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7.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8.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namedSheetViews/namedSheetView1.xml" ContentType="application/vnd.ms-excel.namedsheetviews+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hidePivotFieldList="1"/>
  <mc:AlternateContent xmlns:mc="http://schemas.openxmlformats.org/markup-compatibility/2006">
    <mc:Choice Requires="x15">
      <x15ac:absPath xmlns:x15ac="http://schemas.microsoft.com/office/spreadsheetml/2010/11/ac" url="/Users/giovannya.bravolobos/Downloads/"/>
    </mc:Choice>
  </mc:AlternateContent>
  <xr:revisionPtr revIDLastSave="0" documentId="8_{EF147C19-14A5-8F4F-8282-F93915275604}" xr6:coauthVersionLast="47" xr6:coauthVersionMax="47" xr10:uidLastSave="{00000000-0000-0000-0000-000000000000}"/>
  <bookViews>
    <workbookView xWindow="0" yWindow="660" windowWidth="30240" windowHeight="17380" tabRatio="814" activeTab="8" xr2:uid="{7C638F71-C06B-4DE2-8FE8-734EBCB760A8}"/>
  </bookViews>
  <sheets>
    <sheet name="MATRIZ INGRESO MES-PAIS" sheetId="23" state="hidden" r:id="rId1"/>
    <sheet name="UNIT ECONOMICS" sheetId="40" r:id="rId2"/>
    <sheet name="KPIs" sheetId="30" r:id="rId3"/>
    <sheet name="EERR" sheetId="13" r:id="rId4"/>
    <sheet name="RESUMEN CLIENTES" sheetId="3" r:id="rId5"/>
    <sheet name="MICHAEL" sheetId="44" r:id="rId6"/>
    <sheet name="INGRESOS" sheetId="1" r:id="rId7"/>
    <sheet name="CALENDARIO INGRESOS" sheetId="15" r:id="rId8"/>
    <sheet name="SALIDAS" sheetId="25" r:id="rId9"/>
    <sheet name="PROVEEDORES" sheetId="32" state="hidden" r:id="rId10"/>
    <sheet name="LINGODA" sheetId="42" r:id="rId11"/>
    <sheet name="SaaS" sheetId="28" r:id="rId12"/>
    <sheet name="COHORTES PAIS" sheetId="26" r:id="rId13"/>
    <sheet name="COHORTES INGRESO" sheetId="21" r:id="rId14"/>
    <sheet name="TC" sheetId="19" r:id="rId15"/>
    <sheet name="BACK UP REVOLUT" sheetId="39" r:id="rId16"/>
  </sheets>
  <definedNames>
    <definedName name="_xlnm._FilterDatabase" localSheetId="4" hidden="1">'RESUMEN CLIENTES'!#REF!</definedName>
    <definedName name="DatosExternos_1" localSheetId="15" hidden="1">'BACK UP REVOLUT'!$A$1:$AC$627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13" i="1" l="1"/>
  <c r="I1113" i="1"/>
  <c r="J1113" i="1"/>
  <c r="O1113" i="1"/>
  <c r="T1113" i="1"/>
  <c r="B1108" i="1"/>
  <c r="B1109" i="1"/>
  <c r="B1110" i="1"/>
  <c r="B1111" i="1"/>
  <c r="B1112" i="1"/>
  <c r="I1108" i="1"/>
  <c r="I1109" i="1"/>
  <c r="I1110" i="1"/>
  <c r="I1111" i="1"/>
  <c r="I1112" i="1"/>
  <c r="J1108" i="1"/>
  <c r="J1109" i="1"/>
  <c r="J1110" i="1"/>
  <c r="J1111" i="1"/>
  <c r="J1112" i="1"/>
  <c r="O1108" i="1"/>
  <c r="O1109" i="1"/>
  <c r="O1110" i="1"/>
  <c r="O1111" i="1"/>
  <c r="O1112" i="1"/>
  <c r="T1108" i="1"/>
  <c r="T1109" i="1"/>
  <c r="T1110" i="1"/>
  <c r="T1111" i="1"/>
  <c r="T1112" i="1"/>
  <c r="G1106" i="1"/>
  <c r="H1106" i="1"/>
  <c r="B1106" i="1"/>
  <c r="B1107" i="1"/>
  <c r="I1107" i="1"/>
  <c r="J1107" i="1"/>
  <c r="O1106" i="1"/>
  <c r="O1107" i="1"/>
  <c r="T1106" i="1"/>
  <c r="T1107" i="1"/>
  <c r="G2348" i="15"/>
  <c r="G2400" i="15"/>
  <c r="G2448" i="15"/>
  <c r="G2493" i="15"/>
  <c r="G2533" i="15"/>
  <c r="G2572" i="15"/>
  <c r="G2610" i="15"/>
  <c r="G2645" i="15"/>
  <c r="G2674" i="15"/>
  <c r="G2287" i="15"/>
  <c r="B2674" i="15"/>
  <c r="C2674" i="15"/>
  <c r="D2674" i="15"/>
  <c r="F2674" i="15"/>
  <c r="L2674" i="15" a="1"/>
  <c r="L2674" i="15" s="1"/>
  <c r="M2674" i="15" s="1"/>
  <c r="B2572" i="15"/>
  <c r="B2610" i="15"/>
  <c r="B2645" i="15"/>
  <c r="C2572" i="15"/>
  <c r="C2610" i="15"/>
  <c r="C2645" i="15"/>
  <c r="D2572" i="15"/>
  <c r="D2610" i="15"/>
  <c r="D2645" i="15"/>
  <c r="F2572" i="15"/>
  <c r="F2610" i="15"/>
  <c r="F2645" i="15"/>
  <c r="L2572" i="15" a="1"/>
  <c r="L2572" i="15" s="1"/>
  <c r="M2572" i="15" s="1"/>
  <c r="L2610" i="15" a="1"/>
  <c r="L2610" i="15" s="1"/>
  <c r="M2610" i="15" s="1"/>
  <c r="L2645" i="15" a="1"/>
  <c r="L2645" i="15" s="1"/>
  <c r="M2645" i="15" s="1"/>
  <c r="B1292" i="15"/>
  <c r="B1296" i="15"/>
  <c r="B1321" i="15"/>
  <c r="B1324" i="15"/>
  <c r="B1325" i="15"/>
  <c r="B1326" i="15"/>
  <c r="B1328" i="15"/>
  <c r="B1331" i="15"/>
  <c r="B2287" i="15"/>
  <c r="B2348" i="15"/>
  <c r="B2400" i="15"/>
  <c r="B2448" i="15"/>
  <c r="B2493" i="15"/>
  <c r="B2533" i="15"/>
  <c r="C1292" i="15"/>
  <c r="C1296" i="15"/>
  <c r="C1321" i="15"/>
  <c r="C1324" i="15"/>
  <c r="C1325" i="15"/>
  <c r="C1326" i="15"/>
  <c r="C1328" i="15"/>
  <c r="C1331" i="15"/>
  <c r="C2287" i="15"/>
  <c r="C2348" i="15"/>
  <c r="C2400" i="15"/>
  <c r="C2448" i="15"/>
  <c r="C2493" i="15"/>
  <c r="C2533" i="15"/>
  <c r="D1292" i="15"/>
  <c r="D1296" i="15"/>
  <c r="D1321" i="15"/>
  <c r="D1324" i="15"/>
  <c r="D1325" i="15"/>
  <c r="D1326" i="15"/>
  <c r="D1328" i="15"/>
  <c r="D1331" i="15"/>
  <c r="D2287" i="15"/>
  <c r="D2348" i="15"/>
  <c r="D2400" i="15"/>
  <c r="D2448" i="15"/>
  <c r="D2493" i="15"/>
  <c r="D2533" i="15"/>
  <c r="F1292" i="15"/>
  <c r="F1296" i="15"/>
  <c r="F1321" i="15"/>
  <c r="F1324" i="15"/>
  <c r="F1325" i="15"/>
  <c r="F1326" i="15"/>
  <c r="F1328" i="15"/>
  <c r="F1331" i="15"/>
  <c r="F2287" i="15"/>
  <c r="F2348" i="15"/>
  <c r="F2400" i="15"/>
  <c r="F2448" i="15"/>
  <c r="F2493" i="15"/>
  <c r="F2533" i="15"/>
  <c r="L1292" i="15" a="1"/>
  <c r="L1292" i="15" s="1"/>
  <c r="M1292" i="15" s="1"/>
  <c r="L1296" i="15" a="1"/>
  <c r="L1296" i="15" s="1"/>
  <c r="M1296" i="15" s="1"/>
  <c r="L1321" i="15" a="1"/>
  <c r="L1321" i="15" s="1"/>
  <c r="M1321" i="15" s="1"/>
  <c r="L1324" i="15" a="1"/>
  <c r="L1324" i="15" s="1"/>
  <c r="M1324" i="15" s="1"/>
  <c r="L1325" i="15" a="1"/>
  <c r="L1325" i="15" s="1"/>
  <c r="M1325" i="15" s="1"/>
  <c r="L1326" i="15" a="1"/>
  <c r="L1326" i="15" s="1"/>
  <c r="M1326" i="15" s="1"/>
  <c r="L1328" i="15" a="1"/>
  <c r="L1328" i="15" s="1"/>
  <c r="M1328" i="15" s="1"/>
  <c r="L1331" i="15" a="1"/>
  <c r="L1331" i="15" s="1"/>
  <c r="M1331" i="15" s="1"/>
  <c r="L2287" i="15" a="1"/>
  <c r="L2287" i="15" s="1"/>
  <c r="M2287" i="15" s="1"/>
  <c r="L2348" i="15" a="1"/>
  <c r="L2348" i="15" s="1"/>
  <c r="M2348" i="15" s="1"/>
  <c r="L2400" i="15" a="1"/>
  <c r="L2400" i="15" s="1"/>
  <c r="M2400" i="15" s="1"/>
  <c r="L2448" i="15" a="1"/>
  <c r="L2448" i="15" s="1"/>
  <c r="M2448" i="15" s="1"/>
  <c r="L2493" i="15" a="1"/>
  <c r="L2493" i="15" s="1"/>
  <c r="M2493" i="15" s="1"/>
  <c r="L2533" i="15" a="1"/>
  <c r="L2533" i="15" s="1"/>
  <c r="M2533" i="15" s="1"/>
  <c r="B1291" i="15"/>
  <c r="C1291" i="15"/>
  <c r="D1291" i="15"/>
  <c r="F1291" i="15"/>
  <c r="L1291" i="15" a="1"/>
  <c r="L1291" i="15" s="1"/>
  <c r="M1291" i="15" s="1"/>
  <c r="S201" i="3"/>
  <c r="U201" i="3"/>
  <c r="V201" i="3"/>
  <c r="R201" i="3"/>
  <c r="Z2" i="3"/>
  <c r="Z3" i="3"/>
  <c r="Z4" i="3"/>
  <c r="Z5" i="3"/>
  <c r="Z6" i="3"/>
  <c r="Z7" i="3"/>
  <c r="Z8" i="3"/>
  <c r="Z9" i="3"/>
  <c r="Z10" i="3"/>
  <c r="Z11" i="3"/>
  <c r="Z12" i="3"/>
  <c r="Z13" i="3"/>
  <c r="Z14" i="3"/>
  <c r="Z15" i="3"/>
  <c r="Z16" i="3"/>
  <c r="Z17" i="3"/>
  <c r="Z18" i="3"/>
  <c r="Z19" i="3"/>
  <c r="Z20" i="3"/>
  <c r="Z21" i="3"/>
  <c r="Z22" i="3"/>
  <c r="Z23" i="3"/>
  <c r="Z24" i="3"/>
  <c r="Z25" i="3"/>
  <c r="Z26" i="3"/>
  <c r="Z27" i="3"/>
  <c r="Z28" i="3"/>
  <c r="Z29" i="3"/>
  <c r="Z30" i="3"/>
  <c r="Z31" i="3"/>
  <c r="Z32" i="3"/>
  <c r="Z33" i="3"/>
  <c r="Z34" i="3"/>
  <c r="Z35" i="3"/>
  <c r="Z36" i="3"/>
  <c r="Z37" i="3"/>
  <c r="Z38" i="3"/>
  <c r="Z39" i="3"/>
  <c r="Z40" i="3"/>
  <c r="Z41" i="3"/>
  <c r="Z42" i="3"/>
  <c r="Z43" i="3"/>
  <c r="Z44" i="3"/>
  <c r="Z45" i="3"/>
  <c r="Z46" i="3"/>
  <c r="Z47" i="3"/>
  <c r="Z48" i="3"/>
  <c r="Z49" i="3"/>
  <c r="Z50" i="3"/>
  <c r="Z51" i="3"/>
  <c r="Z52" i="3"/>
  <c r="Z53" i="3"/>
  <c r="Z54" i="3"/>
  <c r="Z55" i="3"/>
  <c r="Z56" i="3"/>
  <c r="Z57" i="3"/>
  <c r="Z58" i="3"/>
  <c r="Z59" i="3"/>
  <c r="Z60" i="3"/>
  <c r="Z61" i="3"/>
  <c r="Z62" i="3"/>
  <c r="Z63" i="3"/>
  <c r="Z64" i="3"/>
  <c r="Z65" i="3"/>
  <c r="Z66" i="3"/>
  <c r="Z67" i="3"/>
  <c r="Z68" i="3"/>
  <c r="Z69" i="3"/>
  <c r="Z70" i="3"/>
  <c r="Z71" i="3"/>
  <c r="Z72" i="3"/>
  <c r="Z73" i="3"/>
  <c r="Z74" i="3"/>
  <c r="Z75" i="3"/>
  <c r="Z76" i="3"/>
  <c r="Z77" i="3"/>
  <c r="Z78" i="3"/>
  <c r="Z79" i="3"/>
  <c r="Z80" i="3"/>
  <c r="Z81" i="3"/>
  <c r="Z82" i="3"/>
  <c r="Z83" i="3"/>
  <c r="Z84" i="3"/>
  <c r="Z85" i="3"/>
  <c r="Z86" i="3"/>
  <c r="Z87" i="3"/>
  <c r="Z88" i="3"/>
  <c r="Z89" i="3"/>
  <c r="Z90" i="3"/>
  <c r="Z91" i="3"/>
  <c r="Z92" i="3"/>
  <c r="Z93" i="3"/>
  <c r="Z94" i="3"/>
  <c r="Z95" i="3"/>
  <c r="Z96" i="3"/>
  <c r="Z97" i="3"/>
  <c r="Z98" i="3"/>
  <c r="Z99" i="3"/>
  <c r="Z100" i="3"/>
  <c r="Z101" i="3"/>
  <c r="Z102" i="3"/>
  <c r="Z103" i="3"/>
  <c r="Z104" i="3"/>
  <c r="Z105" i="3"/>
  <c r="Z106" i="3"/>
  <c r="Z107" i="3"/>
  <c r="Z108" i="3"/>
  <c r="Z109" i="3"/>
  <c r="Z110" i="3"/>
  <c r="Z111" i="3"/>
  <c r="Z112" i="3"/>
  <c r="Z113" i="3"/>
  <c r="Z114" i="3"/>
  <c r="Z115" i="3"/>
  <c r="Z116" i="3"/>
  <c r="Z117" i="3"/>
  <c r="Z118" i="3"/>
  <c r="Z119" i="3"/>
  <c r="Z120" i="3"/>
  <c r="Z121" i="3"/>
  <c r="Z122" i="3"/>
  <c r="Z123" i="3"/>
  <c r="Z124" i="3"/>
  <c r="Z125" i="3"/>
  <c r="Z126" i="3"/>
  <c r="Z127" i="3"/>
  <c r="Z128" i="3"/>
  <c r="Z129" i="3"/>
  <c r="Z130" i="3"/>
  <c r="Z131" i="3"/>
  <c r="Z132" i="3"/>
  <c r="Z133" i="3"/>
  <c r="Z134" i="3"/>
  <c r="Z135" i="3"/>
  <c r="Z136" i="3"/>
  <c r="Z137" i="3"/>
  <c r="Z138" i="3"/>
  <c r="Z139" i="3"/>
  <c r="Z140" i="3"/>
  <c r="Z141" i="3"/>
  <c r="Z142" i="3"/>
  <c r="Z143" i="3"/>
  <c r="Z144" i="3"/>
  <c r="Z145" i="3"/>
  <c r="Z146" i="3"/>
  <c r="Z147" i="3"/>
  <c r="Z148" i="3"/>
  <c r="Z149" i="3"/>
  <c r="Z150" i="3"/>
  <c r="Z151" i="3"/>
  <c r="Z152" i="3"/>
  <c r="Z153" i="3"/>
  <c r="Z154" i="3"/>
  <c r="Z155" i="3"/>
  <c r="Z156" i="3"/>
  <c r="Z157" i="3"/>
  <c r="Z158" i="3"/>
  <c r="Z159" i="3"/>
  <c r="Z160" i="3"/>
  <c r="Z161" i="3"/>
  <c r="Z162" i="3"/>
  <c r="Z163" i="3"/>
  <c r="Z164" i="3"/>
  <c r="Z165" i="3"/>
  <c r="Z166" i="3"/>
  <c r="Z167" i="3"/>
  <c r="Z168" i="3"/>
  <c r="Z169" i="3"/>
  <c r="Z170" i="3"/>
  <c r="Z171" i="3"/>
  <c r="Z172" i="3"/>
  <c r="Z173" i="3"/>
  <c r="Z174" i="3"/>
  <c r="Z175" i="3"/>
  <c r="Z176" i="3"/>
  <c r="Z177" i="3"/>
  <c r="Z178" i="3"/>
  <c r="Z179" i="3"/>
  <c r="Z180" i="3"/>
  <c r="Z181" i="3"/>
  <c r="Z182" i="3"/>
  <c r="Z183" i="3"/>
  <c r="Z184" i="3"/>
  <c r="Z185" i="3"/>
  <c r="Z186" i="3"/>
  <c r="Z187" i="3"/>
  <c r="Z188" i="3"/>
  <c r="Z189" i="3"/>
  <c r="Z190" i="3"/>
  <c r="Z191" i="3"/>
  <c r="Z192" i="3"/>
  <c r="Z193" i="3"/>
  <c r="Z194" i="3"/>
  <c r="Z195" i="3"/>
  <c r="Z196" i="3"/>
  <c r="Z197" i="3"/>
  <c r="Z198" i="3"/>
  <c r="Z199" i="3"/>
  <c r="Z200" i="3"/>
  <c r="Z201" i="3"/>
  <c r="P1358" i="25"/>
  <c r="Q1358" i="25"/>
  <c r="G201" i="3"/>
  <c r="J201" i="3"/>
  <c r="P201" i="3"/>
  <c r="Q201" i="3"/>
  <c r="AA201" i="3"/>
  <c r="S1105" i="1" s="1"/>
  <c r="AB201" i="3"/>
  <c r="F1358" i="25"/>
  <c r="T1105" i="1"/>
  <c r="O1105" i="1"/>
  <c r="J1105" i="1"/>
  <c r="N201" i="3" s="1"/>
  <c r="I1105" i="1"/>
  <c r="B1105" i="1"/>
  <c r="B1103" i="1"/>
  <c r="B1104" i="1"/>
  <c r="I1103" i="1"/>
  <c r="I1104" i="1"/>
  <c r="J1103" i="1"/>
  <c r="J1104" i="1"/>
  <c r="O1103" i="1"/>
  <c r="O1104" i="1"/>
  <c r="T1103" i="1"/>
  <c r="T1104" i="1"/>
  <c r="Q1308" i="25"/>
  <c r="P1308" i="25"/>
  <c r="F1308" i="25"/>
  <c r="Q1196" i="25"/>
  <c r="P1196" i="25"/>
  <c r="F1196" i="25"/>
  <c r="Q1018" i="25"/>
  <c r="P1018" i="25"/>
  <c r="F1018" i="25"/>
  <c r="Q924" i="25"/>
  <c r="P924" i="25"/>
  <c r="F924" i="25"/>
  <c r="Q831" i="25"/>
  <c r="P831" i="25"/>
  <c r="F831" i="25"/>
  <c r="Q725" i="25"/>
  <c r="P725" i="25"/>
  <c r="F725" i="25"/>
  <c r="Q599" i="25"/>
  <c r="P599" i="25"/>
  <c r="F599" i="25"/>
  <c r="Q513" i="25"/>
  <c r="P513" i="25"/>
  <c r="F513" i="25"/>
  <c r="Q433" i="25"/>
  <c r="P433" i="25"/>
  <c r="F433" i="25"/>
  <c r="Q362" i="25"/>
  <c r="P362" i="25"/>
  <c r="F362" i="25"/>
  <c r="Q291" i="25"/>
  <c r="P291" i="25"/>
  <c r="F291" i="25"/>
  <c r="Q200" i="25"/>
  <c r="P200" i="25"/>
  <c r="F200" i="25"/>
  <c r="B1102" i="1"/>
  <c r="I1102" i="1"/>
  <c r="J1102" i="1"/>
  <c r="O1102" i="1"/>
  <c r="T1102" i="1"/>
  <c r="I2271" i="15"/>
  <c r="B1098" i="1"/>
  <c r="B1099" i="1"/>
  <c r="B1100" i="1"/>
  <c r="B1101" i="1"/>
  <c r="I1098" i="1"/>
  <c r="I1099" i="1"/>
  <c r="I1100" i="1"/>
  <c r="I1101" i="1"/>
  <c r="J1098" i="1"/>
  <c r="J1099" i="1"/>
  <c r="J1100" i="1"/>
  <c r="J1101" i="1"/>
  <c r="O1098" i="1"/>
  <c r="O1099" i="1"/>
  <c r="O1100" i="1"/>
  <c r="O1101" i="1"/>
  <c r="T1098" i="1"/>
  <c r="T1099" i="1"/>
  <c r="T1100" i="1"/>
  <c r="T1101" i="1"/>
  <c r="P1353" i="25"/>
  <c r="Q1353" i="25"/>
  <c r="F1353" i="25"/>
  <c r="B1097" i="1"/>
  <c r="I1097" i="1"/>
  <c r="J1097" i="1"/>
  <c r="O1097" i="1"/>
  <c r="T1097" i="1"/>
  <c r="P1344" i="25"/>
  <c r="Q1344" i="25"/>
  <c r="F1344" i="25"/>
  <c r="P1352" i="25"/>
  <c r="Q1352" i="25"/>
  <c r="F1352" i="25"/>
  <c r="P1343" i="25"/>
  <c r="Q1343" i="25"/>
  <c r="P1342" i="25"/>
  <c r="Q1342" i="25"/>
  <c r="F1343" i="25"/>
  <c r="F1342" i="25"/>
  <c r="P1351" i="25"/>
  <c r="Q1351" i="25"/>
  <c r="F1351" i="25"/>
  <c r="P1105" i="25"/>
  <c r="Q1105" i="25"/>
  <c r="P1010" i="25"/>
  <c r="Q1010" i="25"/>
  <c r="F1105" i="25"/>
  <c r="F1010" i="25"/>
  <c r="J1106" i="1" l="1"/>
  <c r="H201" i="3"/>
  <c r="I1106" i="1"/>
  <c r="X201" i="3"/>
  <c r="E2448" i="15" s="1"/>
  <c r="T201" i="3"/>
  <c r="R1105" i="1"/>
  <c r="I201" i="3"/>
  <c r="B1096" i="1"/>
  <c r="I1096" i="1"/>
  <c r="J1096" i="1"/>
  <c r="O1096" i="1"/>
  <c r="T1096" i="1"/>
  <c r="AB2" i="3"/>
  <c r="AB3" i="3"/>
  <c r="AB4" i="3"/>
  <c r="AB5" i="3"/>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B102" i="3"/>
  <c r="AB103" i="3"/>
  <c r="AB104" i="3"/>
  <c r="AB105" i="3"/>
  <c r="AB106" i="3"/>
  <c r="AB107" i="3"/>
  <c r="AB108" i="3"/>
  <c r="AB109" i="3"/>
  <c r="AB110" i="3"/>
  <c r="AB111" i="3"/>
  <c r="AB112" i="3"/>
  <c r="AB113" i="3"/>
  <c r="AB114" i="3"/>
  <c r="AB115" i="3"/>
  <c r="AB116" i="3"/>
  <c r="AB117" i="3"/>
  <c r="AB118" i="3"/>
  <c r="AB119" i="3"/>
  <c r="AB120" i="3"/>
  <c r="AB121" i="3"/>
  <c r="AB122" i="3"/>
  <c r="AB123" i="3"/>
  <c r="AB124" i="3"/>
  <c r="AB125" i="3"/>
  <c r="AB126" i="3"/>
  <c r="AB127" i="3"/>
  <c r="AB128" i="3"/>
  <c r="AB129" i="3"/>
  <c r="AB130" i="3"/>
  <c r="AB131" i="3"/>
  <c r="AB132" i="3"/>
  <c r="AB133" i="3"/>
  <c r="AB134" i="3"/>
  <c r="AB135" i="3"/>
  <c r="AB136" i="3"/>
  <c r="AB137" i="3"/>
  <c r="AB138" i="3"/>
  <c r="AB139" i="3"/>
  <c r="AB140" i="3"/>
  <c r="AB141" i="3"/>
  <c r="AB142" i="3"/>
  <c r="AB143" i="3"/>
  <c r="AB144" i="3"/>
  <c r="AB145" i="3"/>
  <c r="AB146" i="3"/>
  <c r="AB147" i="3"/>
  <c r="AB148" i="3"/>
  <c r="AB149" i="3"/>
  <c r="AB150" i="3"/>
  <c r="AB151" i="3"/>
  <c r="AB152" i="3"/>
  <c r="AB153" i="3"/>
  <c r="AB154" i="3"/>
  <c r="AB155" i="3"/>
  <c r="AB156" i="3"/>
  <c r="AB157" i="3"/>
  <c r="AB158" i="3"/>
  <c r="AB159" i="3"/>
  <c r="AB160" i="3"/>
  <c r="AB161" i="3"/>
  <c r="AB162" i="3"/>
  <c r="AB163" i="3"/>
  <c r="AB164" i="3"/>
  <c r="AB165" i="3"/>
  <c r="AB166" i="3"/>
  <c r="AB167" i="3"/>
  <c r="AB168" i="3"/>
  <c r="AB169" i="3"/>
  <c r="AB170" i="3"/>
  <c r="AB171" i="3"/>
  <c r="AB172" i="3"/>
  <c r="AB173" i="3"/>
  <c r="AB174" i="3"/>
  <c r="AB175" i="3"/>
  <c r="AB176" i="3"/>
  <c r="AB177" i="3"/>
  <c r="AB178" i="3"/>
  <c r="AB179" i="3"/>
  <c r="AB180" i="3"/>
  <c r="AB181" i="3"/>
  <c r="AB182" i="3"/>
  <c r="AB183" i="3"/>
  <c r="AB184" i="3"/>
  <c r="AB185" i="3"/>
  <c r="AB186" i="3"/>
  <c r="AB187" i="3"/>
  <c r="AB188" i="3"/>
  <c r="AB189" i="3"/>
  <c r="AB190" i="3"/>
  <c r="AB191" i="3"/>
  <c r="AB192" i="3"/>
  <c r="AB193" i="3"/>
  <c r="AB194" i="3"/>
  <c r="AB195" i="3"/>
  <c r="AB196" i="3"/>
  <c r="AB197" i="3"/>
  <c r="AB198" i="3"/>
  <c r="AB199" i="3"/>
  <c r="AB200" i="3"/>
  <c r="AA2" i="3"/>
  <c r="AA3" i="3"/>
  <c r="AA4" i="3"/>
  <c r="AA5" i="3"/>
  <c r="AA6" i="3"/>
  <c r="AA7" i="3"/>
  <c r="AA8" i="3"/>
  <c r="AA9" i="3"/>
  <c r="AA10" i="3"/>
  <c r="AA11" i="3"/>
  <c r="S11" i="1" s="1"/>
  <c r="AA12" i="3"/>
  <c r="AA13" i="3"/>
  <c r="AA14" i="3"/>
  <c r="AA15" i="3"/>
  <c r="S1107" i="1" s="1"/>
  <c r="AA16" i="3"/>
  <c r="AA17" i="3"/>
  <c r="AA18" i="3"/>
  <c r="AA19" i="3"/>
  <c r="AA20" i="3"/>
  <c r="S1113" i="1" s="1"/>
  <c r="AA21" i="3"/>
  <c r="S22" i="1" s="1"/>
  <c r="AA22" i="3"/>
  <c r="AA23" i="3"/>
  <c r="AA24" i="3"/>
  <c r="AA25" i="3"/>
  <c r="AA26" i="3"/>
  <c r="AA27" i="3"/>
  <c r="AA28" i="3"/>
  <c r="AA29" i="3"/>
  <c r="AA30" i="3"/>
  <c r="AA31" i="3"/>
  <c r="AA32" i="3"/>
  <c r="AA33" i="3"/>
  <c r="S41" i="1" s="1"/>
  <c r="AA34" i="3"/>
  <c r="AA35" i="3"/>
  <c r="AA36" i="3"/>
  <c r="AA37" i="3"/>
  <c r="AA38" i="3"/>
  <c r="AA39" i="3"/>
  <c r="AA40" i="3"/>
  <c r="AA41" i="3"/>
  <c r="AA42" i="3"/>
  <c r="AA43" i="3"/>
  <c r="AA44" i="3"/>
  <c r="AA45" i="3"/>
  <c r="AA46" i="3"/>
  <c r="AA47" i="3"/>
  <c r="AA48" i="3"/>
  <c r="AA49" i="3"/>
  <c r="AA50" i="3"/>
  <c r="S80" i="1" s="1"/>
  <c r="AA51" i="3"/>
  <c r="AA52" i="3"/>
  <c r="AA53" i="3"/>
  <c r="AA54" i="3"/>
  <c r="AA55" i="3"/>
  <c r="AA56" i="3"/>
  <c r="AA57" i="3"/>
  <c r="AA58" i="3"/>
  <c r="S106" i="1" s="1"/>
  <c r="AA59" i="3"/>
  <c r="AA60" i="3"/>
  <c r="S112" i="1" s="1"/>
  <c r="AA61" i="3"/>
  <c r="AA62" i="3"/>
  <c r="AA63" i="3"/>
  <c r="S117" i="1" s="1"/>
  <c r="AA64" i="3"/>
  <c r="AA65" i="3"/>
  <c r="S118" i="1" s="1"/>
  <c r="AA66" i="3"/>
  <c r="AA67" i="3"/>
  <c r="AA68" i="3"/>
  <c r="AA69" i="3"/>
  <c r="AA70" i="3"/>
  <c r="AA71" i="3"/>
  <c r="AA72" i="3"/>
  <c r="AA73" i="3"/>
  <c r="AA74" i="3"/>
  <c r="S152" i="1" s="1"/>
  <c r="AA75" i="3"/>
  <c r="AA76" i="3"/>
  <c r="AA77" i="3"/>
  <c r="AA78" i="3"/>
  <c r="AA79" i="3"/>
  <c r="AA80" i="3"/>
  <c r="AA81" i="3"/>
  <c r="AA82" i="3"/>
  <c r="AA83" i="3"/>
  <c r="AA84" i="3"/>
  <c r="AA85" i="3"/>
  <c r="AA86" i="3"/>
  <c r="AA87" i="3"/>
  <c r="S192" i="1" s="1"/>
  <c r="AA88" i="3"/>
  <c r="S193" i="1" s="1"/>
  <c r="AA89" i="3"/>
  <c r="S194" i="1" s="1"/>
  <c r="AA90" i="3"/>
  <c r="AA91" i="3"/>
  <c r="S215" i="1" s="1"/>
  <c r="AA92" i="3"/>
  <c r="AA93" i="3"/>
  <c r="AA94" i="3"/>
  <c r="AA95" i="3"/>
  <c r="AA96" i="3"/>
  <c r="AA97" i="3"/>
  <c r="AA98" i="3"/>
  <c r="AA99" i="3"/>
  <c r="S235" i="1" s="1"/>
  <c r="AA100" i="3"/>
  <c r="AA101" i="3"/>
  <c r="S240" i="1" s="1"/>
  <c r="AA102" i="3"/>
  <c r="AA103" i="3"/>
  <c r="AA104" i="3"/>
  <c r="AA105" i="3"/>
  <c r="S253" i="1" s="1"/>
  <c r="AA106" i="3"/>
  <c r="S274" i="1" s="1"/>
  <c r="AA107" i="3"/>
  <c r="AA108" i="3"/>
  <c r="S292" i="1" s="1"/>
  <c r="AA109" i="3"/>
  <c r="AA110" i="3"/>
  <c r="AA111" i="3"/>
  <c r="S299" i="1" s="1"/>
  <c r="AA112" i="3"/>
  <c r="AA113" i="3"/>
  <c r="AA114" i="3"/>
  <c r="AA115" i="3"/>
  <c r="AA116" i="3"/>
  <c r="S318" i="1" s="1"/>
  <c r="AA117" i="3"/>
  <c r="S322" i="1" s="1"/>
  <c r="AA118" i="3"/>
  <c r="S321" i="1" s="1"/>
  <c r="AA119" i="3"/>
  <c r="AA120" i="3"/>
  <c r="AA121" i="3"/>
  <c r="AA122" i="3"/>
  <c r="AA123" i="3"/>
  <c r="AA124" i="3"/>
  <c r="AA125" i="3"/>
  <c r="AA126" i="3"/>
  <c r="AA127" i="3"/>
  <c r="S1106" i="1" s="1"/>
  <c r="AA128" i="3"/>
  <c r="AA129" i="3"/>
  <c r="S356" i="1" s="1"/>
  <c r="AA130" i="3"/>
  <c r="AA131" i="3"/>
  <c r="AA132" i="3"/>
  <c r="S386" i="1" s="1"/>
  <c r="AA133" i="3"/>
  <c r="AA134" i="3"/>
  <c r="S1108" i="1" s="1"/>
  <c r="AA135" i="3"/>
  <c r="AA136" i="3"/>
  <c r="AA137" i="3"/>
  <c r="AA138" i="3"/>
  <c r="AA139" i="3"/>
  <c r="AA140" i="3"/>
  <c r="AA141" i="3"/>
  <c r="AA142" i="3"/>
  <c r="AA143" i="3"/>
  <c r="AA144" i="3"/>
  <c r="AA145" i="3"/>
  <c r="S1102" i="1" s="1"/>
  <c r="AA146" i="3"/>
  <c r="AA147" i="3"/>
  <c r="AA148" i="3"/>
  <c r="AA149" i="3"/>
  <c r="AA150" i="3"/>
  <c r="S555" i="1" s="1"/>
  <c r="AA151" i="3"/>
  <c r="AA152" i="3"/>
  <c r="AA153" i="3"/>
  <c r="AA154" i="3"/>
  <c r="S586" i="1" s="1"/>
  <c r="AA155" i="3"/>
  <c r="S589" i="1" s="1"/>
  <c r="AA156" i="3"/>
  <c r="AA157" i="3"/>
  <c r="AA158" i="3"/>
  <c r="S645" i="1" s="1"/>
  <c r="AA159" i="3"/>
  <c r="AA160" i="3"/>
  <c r="AA161" i="3"/>
  <c r="AA162" i="3"/>
  <c r="AA163" i="3"/>
  <c r="AA164" i="3"/>
  <c r="AA165" i="3"/>
  <c r="AA166" i="3"/>
  <c r="S674" i="1" s="1"/>
  <c r="AA167" i="3"/>
  <c r="S683" i="1" s="1"/>
  <c r="AA168" i="3"/>
  <c r="S1103" i="1" s="1"/>
  <c r="AA169" i="3"/>
  <c r="AA170" i="3"/>
  <c r="S717" i="1" s="1"/>
  <c r="AA171" i="3"/>
  <c r="AA172" i="3"/>
  <c r="AA173" i="3"/>
  <c r="AA174" i="3"/>
  <c r="S774" i="1" s="1"/>
  <c r="AA175" i="3"/>
  <c r="AA176" i="3"/>
  <c r="S796" i="1" s="1"/>
  <c r="AA177" i="3"/>
  <c r="AA178" i="3"/>
  <c r="AA179" i="3"/>
  <c r="AA180" i="3"/>
  <c r="AA181" i="3"/>
  <c r="AA182" i="3"/>
  <c r="AA183" i="3"/>
  <c r="AA184" i="3"/>
  <c r="AA185" i="3"/>
  <c r="AA186" i="3"/>
  <c r="AA187" i="3"/>
  <c r="AA188" i="3"/>
  <c r="S919" i="1" s="1"/>
  <c r="AA189" i="3"/>
  <c r="AA190" i="3"/>
  <c r="AA191" i="3"/>
  <c r="S1104" i="1" s="1"/>
  <c r="AA192" i="3"/>
  <c r="S1112" i="1" s="1"/>
  <c r="AA193" i="3"/>
  <c r="S981" i="1" s="1"/>
  <c r="AA194" i="3"/>
  <c r="AA195" i="3"/>
  <c r="AA196" i="3"/>
  <c r="AA197" i="3"/>
  <c r="S1041" i="1" s="1"/>
  <c r="AA198" i="3"/>
  <c r="S1080" i="1" s="1"/>
  <c r="AA199" i="3"/>
  <c r="AA200" i="3"/>
  <c r="G2785" i="15"/>
  <c r="R200" i="3"/>
  <c r="U199" i="3"/>
  <c r="V199" i="3"/>
  <c r="U200" i="3"/>
  <c r="V200" i="3"/>
  <c r="B1652" i="15"/>
  <c r="C1652" i="15"/>
  <c r="D1652" i="15"/>
  <c r="F1652" i="15"/>
  <c r="L1652" i="15" a="1"/>
  <c r="L1652" i="15" s="1"/>
  <c r="M1652" i="15" s="1"/>
  <c r="B1724" i="15"/>
  <c r="C1724" i="15"/>
  <c r="D1724" i="15"/>
  <c r="F1724" i="15"/>
  <c r="L1724" i="15" a="1"/>
  <c r="L1724" i="15" s="1"/>
  <c r="M1724" i="15" s="1"/>
  <c r="B1574" i="15"/>
  <c r="C1574" i="15"/>
  <c r="D1574" i="15"/>
  <c r="F1574" i="15"/>
  <c r="L1574" i="15" a="1"/>
  <c r="L1574" i="15" s="1"/>
  <c r="M1574" i="15" s="1"/>
  <c r="B1481" i="15"/>
  <c r="C1481" i="15"/>
  <c r="D1481" i="15"/>
  <c r="F1481" i="15"/>
  <c r="L1481" i="15" a="1"/>
  <c r="L1481" i="15" s="1"/>
  <c r="M1481" i="15" s="1"/>
  <c r="B1390" i="15"/>
  <c r="C1390" i="15"/>
  <c r="D1390" i="15"/>
  <c r="F1390" i="15"/>
  <c r="L1390" i="15" a="1"/>
  <c r="L1390" i="15" s="1"/>
  <c r="M1390" i="15" s="1"/>
  <c r="B1362" i="15"/>
  <c r="C1362" i="15"/>
  <c r="D1362" i="15"/>
  <c r="F1362" i="15"/>
  <c r="L1362" i="15" a="1"/>
  <c r="L1362" i="15" s="1"/>
  <c r="M1362" i="15" s="1"/>
  <c r="B1248" i="15"/>
  <c r="C1248" i="15"/>
  <c r="D1248" i="15"/>
  <c r="F1248" i="15"/>
  <c r="L1248" i="15" a="1"/>
  <c r="L1248" i="15" s="1"/>
  <c r="M1248" i="15" s="1"/>
  <c r="B1459" i="15"/>
  <c r="C1459" i="15"/>
  <c r="D1459" i="15"/>
  <c r="F1459" i="15"/>
  <c r="L1459" i="15" a="1"/>
  <c r="L1459" i="15" s="1"/>
  <c r="M1459" i="15" s="1"/>
  <c r="B2835" i="15"/>
  <c r="C2835" i="15"/>
  <c r="D2835" i="15"/>
  <c r="F2835" i="15"/>
  <c r="L2835" i="15" a="1"/>
  <c r="L2835" i="15" s="1"/>
  <c r="M2835" i="15" s="1"/>
  <c r="B2740" i="15"/>
  <c r="C2740" i="15"/>
  <c r="D2740" i="15"/>
  <c r="F2740" i="15"/>
  <c r="L2740" i="15" a="1"/>
  <c r="L2740" i="15" s="1"/>
  <c r="M2740" i="15" s="1"/>
  <c r="B2721" i="15"/>
  <c r="C2721" i="15"/>
  <c r="D2721" i="15"/>
  <c r="F2721" i="15"/>
  <c r="L2721" i="15" a="1"/>
  <c r="L2721" i="15" s="1"/>
  <c r="M2721" i="15" s="1"/>
  <c r="B2701" i="15"/>
  <c r="C2701" i="15"/>
  <c r="D2701" i="15"/>
  <c r="F2701" i="15"/>
  <c r="L2701" i="15" a="1"/>
  <c r="L2701" i="15" s="1"/>
  <c r="M2701" i="15" s="1"/>
  <c r="B2678" i="15"/>
  <c r="C2678" i="15"/>
  <c r="D2678" i="15"/>
  <c r="F2678" i="15"/>
  <c r="L2678" i="15" a="1"/>
  <c r="L2678" i="15" s="1"/>
  <c r="M2678" i="15" s="1"/>
  <c r="B2650" i="15"/>
  <c r="C2650" i="15"/>
  <c r="D2650" i="15"/>
  <c r="F2650" i="15"/>
  <c r="L2650" i="15" a="1"/>
  <c r="L2650" i="15" s="1"/>
  <c r="M2650" i="15" s="1"/>
  <c r="B2617" i="15"/>
  <c r="C2617" i="15"/>
  <c r="D2617" i="15"/>
  <c r="F2617" i="15"/>
  <c r="L2617" i="15" a="1"/>
  <c r="L2617" i="15" s="1"/>
  <c r="M2617" i="15" s="1"/>
  <c r="B2580" i="15"/>
  <c r="C2580" i="15"/>
  <c r="D2580" i="15"/>
  <c r="F2580" i="15"/>
  <c r="L2580" i="15" a="1"/>
  <c r="L2580" i="15" s="1"/>
  <c r="M2580" i="15" s="1"/>
  <c r="B2541" i="15"/>
  <c r="C2541" i="15"/>
  <c r="D2541" i="15"/>
  <c r="F2541" i="15"/>
  <c r="L2541" i="15" a="1"/>
  <c r="L2541" i="15" s="1"/>
  <c r="M2541" i="15" s="1"/>
  <c r="B2504" i="15"/>
  <c r="C2504" i="15"/>
  <c r="D2504" i="15"/>
  <c r="F2504" i="15"/>
  <c r="L2504" i="15" a="1"/>
  <c r="L2504" i="15" s="1"/>
  <c r="M2504" i="15" s="1"/>
  <c r="B2461" i="15"/>
  <c r="C2461" i="15"/>
  <c r="D2461" i="15"/>
  <c r="F2461" i="15"/>
  <c r="L2461" i="15" a="1"/>
  <c r="L2461" i="15" s="1"/>
  <c r="M2461" i="15" s="1"/>
  <c r="B2145" i="15"/>
  <c r="C2145" i="15"/>
  <c r="D2145" i="15"/>
  <c r="F2145" i="15"/>
  <c r="L2145" i="15" a="1"/>
  <c r="L2145" i="15" s="1"/>
  <c r="M2145" i="15" s="1"/>
  <c r="B2071" i="15"/>
  <c r="C2071" i="15"/>
  <c r="D2071" i="15"/>
  <c r="F2071" i="15"/>
  <c r="L2071" i="15" a="1"/>
  <c r="L2071" i="15" s="1"/>
  <c r="M2071" i="15" s="1"/>
  <c r="B1993" i="15"/>
  <c r="C1993" i="15"/>
  <c r="D1993" i="15"/>
  <c r="F1993" i="15"/>
  <c r="L1993" i="15" a="1"/>
  <c r="L1993" i="15" s="1"/>
  <c r="M1993" i="15" s="1"/>
  <c r="B1913" i="15"/>
  <c r="C1913" i="15"/>
  <c r="D1913" i="15"/>
  <c r="F1913" i="15"/>
  <c r="L1913" i="15" a="1"/>
  <c r="L1913" i="15" s="1"/>
  <c r="M1913" i="15" s="1"/>
  <c r="B1832" i="15"/>
  <c r="C1832" i="15"/>
  <c r="D1832" i="15"/>
  <c r="F1832" i="15"/>
  <c r="L1832" i="15" a="1"/>
  <c r="L1832" i="15" s="1"/>
  <c r="M1832" i="15" s="1"/>
  <c r="B1747" i="15"/>
  <c r="C1747" i="15"/>
  <c r="D1747" i="15"/>
  <c r="F1747" i="15"/>
  <c r="L1747" i="15" a="1"/>
  <c r="L1747" i="15" s="1"/>
  <c r="M1747" i="15" s="1"/>
  <c r="B1667" i="15"/>
  <c r="C1667" i="15"/>
  <c r="D1667" i="15"/>
  <c r="F1667" i="15"/>
  <c r="L1667" i="15" a="1"/>
  <c r="L1667" i="15" s="1"/>
  <c r="M1667" i="15" s="1"/>
  <c r="B1579" i="15"/>
  <c r="C1579" i="15"/>
  <c r="D1579" i="15"/>
  <c r="F1579" i="15"/>
  <c r="L1579" i="15" a="1"/>
  <c r="L1579" i="15" s="1"/>
  <c r="M1579" i="15" s="1"/>
  <c r="B1491" i="15"/>
  <c r="C1491" i="15"/>
  <c r="D1491" i="15"/>
  <c r="F1491" i="15"/>
  <c r="L1491" i="15" a="1"/>
  <c r="L1491" i="15" s="1"/>
  <c r="M1491" i="15" s="1"/>
  <c r="B1394" i="15"/>
  <c r="C1394" i="15"/>
  <c r="D1394" i="15"/>
  <c r="F1394" i="15"/>
  <c r="L1394" i="15" a="1"/>
  <c r="L1394" i="15" s="1"/>
  <c r="M1394" i="15" s="1"/>
  <c r="B1284" i="15"/>
  <c r="C1284" i="15"/>
  <c r="D1284" i="15"/>
  <c r="F1284" i="15"/>
  <c r="L1284" i="15" a="1"/>
  <c r="L1284" i="15" s="1"/>
  <c r="M1284" i="15" s="1"/>
  <c r="B1173" i="15"/>
  <c r="C1173" i="15"/>
  <c r="D1173" i="15"/>
  <c r="F1173" i="15"/>
  <c r="L1173" i="15" a="1"/>
  <c r="L1173" i="15" s="1"/>
  <c r="M1173" i="15" s="1"/>
  <c r="B1063" i="15"/>
  <c r="B1064" i="15"/>
  <c r="C1063" i="15"/>
  <c r="C1064" i="15"/>
  <c r="D1063" i="15"/>
  <c r="D1064" i="15"/>
  <c r="F1063" i="15"/>
  <c r="F1064" i="15"/>
  <c r="L1063" i="15" a="1"/>
  <c r="L1063" i="15" s="1"/>
  <c r="M1063" i="15" s="1"/>
  <c r="L1064" i="15" a="1"/>
  <c r="L1064" i="15" s="1"/>
  <c r="M1064" i="15" s="1"/>
  <c r="G199" i="3"/>
  <c r="G200" i="3"/>
  <c r="J199" i="3"/>
  <c r="J200" i="3"/>
  <c r="P199" i="3"/>
  <c r="P200" i="3"/>
  <c r="Q199" i="3"/>
  <c r="Q200" i="3"/>
  <c r="S199" i="3"/>
  <c r="S200" i="3"/>
  <c r="X200" i="3"/>
  <c r="B1081" i="1"/>
  <c r="B1082" i="1"/>
  <c r="B1083" i="1"/>
  <c r="B1084" i="1"/>
  <c r="B1085" i="1"/>
  <c r="B1086" i="1"/>
  <c r="B1087" i="1"/>
  <c r="B1088" i="1"/>
  <c r="B1089" i="1"/>
  <c r="B1090" i="1"/>
  <c r="B1091" i="1"/>
  <c r="B1092" i="1"/>
  <c r="B1093" i="1"/>
  <c r="B1094" i="1"/>
  <c r="B1095" i="1"/>
  <c r="I1081" i="1"/>
  <c r="I1082" i="1"/>
  <c r="I1083" i="1"/>
  <c r="I1084" i="1"/>
  <c r="I1085" i="1"/>
  <c r="I1086" i="1"/>
  <c r="I1087" i="1"/>
  <c r="I1088" i="1"/>
  <c r="I1089" i="1"/>
  <c r="I1090" i="1"/>
  <c r="I1091" i="1"/>
  <c r="I1092" i="1"/>
  <c r="I1093" i="1"/>
  <c r="I1094" i="1"/>
  <c r="I1095" i="1"/>
  <c r="J1081" i="1"/>
  <c r="J1082" i="1"/>
  <c r="J1083" i="1"/>
  <c r="J1084" i="1"/>
  <c r="J1085" i="1"/>
  <c r="J1086" i="1"/>
  <c r="J1087" i="1"/>
  <c r="J1088" i="1"/>
  <c r="J1089" i="1"/>
  <c r="J1090" i="1"/>
  <c r="J1091" i="1"/>
  <c r="J1092" i="1"/>
  <c r="J1093" i="1"/>
  <c r="J1094" i="1"/>
  <c r="J1095" i="1"/>
  <c r="O1081" i="1"/>
  <c r="O1082" i="1"/>
  <c r="O1083" i="1"/>
  <c r="O1084" i="1"/>
  <c r="O1085" i="1"/>
  <c r="O1086" i="1"/>
  <c r="O1087" i="1"/>
  <c r="O1088" i="1"/>
  <c r="O1089" i="1"/>
  <c r="O1090" i="1"/>
  <c r="O1091" i="1"/>
  <c r="O1092" i="1"/>
  <c r="O1093" i="1"/>
  <c r="O1094" i="1"/>
  <c r="O1095" i="1"/>
  <c r="T1081" i="1"/>
  <c r="T1082" i="1"/>
  <c r="T1083" i="1"/>
  <c r="T1084" i="1"/>
  <c r="T1085" i="1"/>
  <c r="T1086" i="1"/>
  <c r="T1087" i="1"/>
  <c r="T1088" i="1"/>
  <c r="T1089" i="1"/>
  <c r="T1090" i="1"/>
  <c r="T1091" i="1"/>
  <c r="T1092" i="1"/>
  <c r="T1093" i="1"/>
  <c r="T1094" i="1"/>
  <c r="T1095" i="1"/>
  <c r="S1109" i="1" l="1"/>
  <c r="S1110" i="1"/>
  <c r="S1111" i="1"/>
  <c r="K201" i="3"/>
  <c r="N200" i="3"/>
  <c r="E2572" i="15"/>
  <c r="E2645" i="15"/>
  <c r="E2610" i="15"/>
  <c r="E2674" i="15"/>
  <c r="E2400" i="15"/>
  <c r="E1328" i="15"/>
  <c r="E2533" i="15"/>
  <c r="E2287" i="15"/>
  <c r="E1291" i="15"/>
  <c r="E1331" i="15"/>
  <c r="E1324" i="15"/>
  <c r="E1325" i="15"/>
  <c r="E1326" i="15"/>
  <c r="E1292" i="15"/>
  <c r="E1296" i="15"/>
  <c r="E1321" i="15"/>
  <c r="E2348" i="15"/>
  <c r="E2493" i="15"/>
  <c r="S800" i="1"/>
  <c r="S947" i="1"/>
  <c r="S1064" i="1"/>
  <c r="S807" i="1"/>
  <c r="S876" i="1"/>
  <c r="S654" i="1"/>
  <c r="S861" i="1"/>
  <c r="S855" i="1"/>
  <c r="S739" i="1"/>
  <c r="S607" i="1"/>
  <c r="S991" i="1"/>
  <c r="S516" i="1"/>
  <c r="S19" i="1"/>
  <c r="S477" i="1"/>
  <c r="S354" i="1"/>
  <c r="S941" i="1"/>
  <c r="S1023" i="1"/>
  <c r="S960" i="1"/>
  <c r="S652" i="1"/>
  <c r="S953" i="1"/>
  <c r="S1072" i="1"/>
  <c r="S821" i="1"/>
  <c r="S508" i="1"/>
  <c r="S618" i="1"/>
  <c r="S357" i="1"/>
  <c r="S741" i="1"/>
  <c r="S420" i="1"/>
  <c r="S966" i="1"/>
  <c r="S448" i="1"/>
  <c r="S1090" i="1"/>
  <c r="S842" i="1"/>
  <c r="S572" i="1"/>
  <c r="S689" i="1"/>
  <c r="S324" i="1"/>
  <c r="S802" i="1"/>
  <c r="S471" i="1"/>
  <c r="S224" i="1"/>
  <c r="S1058" i="1"/>
  <c r="S935" i="1"/>
  <c r="S218" i="1"/>
  <c r="S114" i="1"/>
  <c r="S141" i="1"/>
  <c r="S75" i="1"/>
  <c r="S191" i="1"/>
  <c r="S527" i="1"/>
  <c r="S765" i="1"/>
  <c r="S66" i="1"/>
  <c r="S886" i="1"/>
  <c r="S121" i="1"/>
  <c r="S18" i="1"/>
  <c r="S440" i="1"/>
  <c r="S644" i="1"/>
  <c r="S1008" i="1"/>
  <c r="S294" i="1"/>
  <c r="S990" i="1"/>
  <c r="S931" i="1"/>
  <c r="S1048" i="1"/>
  <c r="S789" i="1"/>
  <c r="S914" i="1"/>
  <c r="S791" i="1"/>
  <c r="S651" i="1"/>
  <c r="S687" i="1"/>
  <c r="S891" i="1"/>
  <c r="S444" i="1"/>
  <c r="S1018" i="1"/>
  <c r="S582" i="1"/>
  <c r="S575" i="1"/>
  <c r="S773" i="1"/>
  <c r="S843" i="1"/>
  <c r="S505" i="1"/>
  <c r="S449" i="1"/>
  <c r="S358" i="1"/>
  <c r="S422" i="1"/>
  <c r="S973" i="1"/>
  <c r="S622" i="1"/>
  <c r="S734" i="1"/>
  <c r="S342" i="1"/>
  <c r="S226" i="1"/>
  <c r="S1050" i="1"/>
  <c r="S682" i="1"/>
  <c r="S922" i="1"/>
  <c r="S574" i="1"/>
  <c r="S792" i="1"/>
  <c r="S473" i="1"/>
  <c r="S412" i="1"/>
  <c r="S860" i="1"/>
  <c r="S1000" i="1"/>
  <c r="S308" i="1"/>
  <c r="S173" i="1"/>
  <c r="S519" i="1"/>
  <c r="S207" i="1"/>
  <c r="S632" i="1"/>
  <c r="S756" i="1"/>
  <c r="S74" i="1"/>
  <c r="S205" i="1"/>
  <c r="S665" i="1"/>
  <c r="S549" i="1"/>
  <c r="S900" i="1"/>
  <c r="S446" i="1"/>
  <c r="S314" i="1"/>
  <c r="S135" i="1"/>
  <c r="S776" i="1"/>
  <c r="S1028" i="1"/>
  <c r="S156" i="1"/>
  <c r="S87" i="1"/>
  <c r="S38" i="1"/>
  <c r="S592" i="1"/>
  <c r="S942" i="1"/>
  <c r="S481" i="1"/>
  <c r="S374" i="1"/>
  <c r="S259" i="1"/>
  <c r="S1078" i="1"/>
  <c r="S492" i="1"/>
  <c r="S728" i="1"/>
  <c r="S270" i="1"/>
  <c r="S837" i="1"/>
  <c r="S16" i="1"/>
  <c r="S104" i="1"/>
  <c r="S48" i="1"/>
  <c r="S992" i="1"/>
  <c r="S390" i="1"/>
  <c r="S608" i="1"/>
  <c r="S159" i="1"/>
  <c r="S928" i="1"/>
  <c r="S1024" i="1"/>
  <c r="S772" i="1"/>
  <c r="S660" i="1"/>
  <c r="S548" i="1"/>
  <c r="S439" i="1"/>
  <c r="S904" i="1"/>
  <c r="S1029" i="1"/>
  <c r="S441" i="1"/>
  <c r="S556" i="1"/>
  <c r="S349" i="1"/>
  <c r="S635" i="1"/>
  <c r="S1013" i="1"/>
  <c r="S291" i="1"/>
  <c r="S286" i="1"/>
  <c r="S230" i="1"/>
  <c r="S289" i="1"/>
  <c r="S285" i="1"/>
  <c r="S170" i="1"/>
  <c r="S236" i="1"/>
  <c r="S696" i="1"/>
  <c r="S578" i="1"/>
  <c r="S345" i="1"/>
  <c r="S808" i="1"/>
  <c r="S933" i="1"/>
  <c r="S1055" i="1"/>
  <c r="S468" i="1"/>
  <c r="S782" i="1"/>
  <c r="S113" i="1"/>
  <c r="S211" i="1"/>
  <c r="S1040" i="1"/>
  <c r="S317" i="1"/>
  <c r="S552" i="1"/>
  <c r="S456" i="1"/>
  <c r="S926" i="1"/>
  <c r="S678" i="1"/>
  <c r="S137" i="1"/>
  <c r="S859" i="1"/>
  <c r="S108" i="1"/>
  <c r="S73" i="1"/>
  <c r="S749" i="1"/>
  <c r="S511" i="1"/>
  <c r="S625" i="1"/>
  <c r="S1088" i="1"/>
  <c r="S996" i="1"/>
  <c r="S279" i="1"/>
  <c r="S176" i="1"/>
  <c r="S406" i="1"/>
  <c r="S524" i="1"/>
  <c r="S272" i="1"/>
  <c r="S36" i="1"/>
  <c r="S101" i="1"/>
  <c r="S740" i="1"/>
  <c r="S993" i="1"/>
  <c r="S95" i="1"/>
  <c r="S17" i="1"/>
  <c r="S924" i="1"/>
  <c r="S1020" i="1"/>
  <c r="S969" i="1"/>
  <c r="S959" i="1"/>
  <c r="S771" i="1"/>
  <c r="S1077" i="1"/>
  <c r="S767" i="1"/>
  <c r="S921" i="1"/>
  <c r="S628" i="1"/>
  <c r="S540" i="1"/>
  <c r="S543" i="1"/>
  <c r="S541" i="1"/>
  <c r="S430" i="1"/>
  <c r="S542" i="1"/>
  <c r="S351" i="1"/>
  <c r="S558" i="1"/>
  <c r="S964" i="1"/>
  <c r="S825" i="1"/>
  <c r="S290" i="1"/>
  <c r="S714" i="1"/>
  <c r="S1066" i="1"/>
  <c r="S484" i="1"/>
  <c r="S370" i="1"/>
  <c r="S590" i="1"/>
  <c r="S331" i="1"/>
  <c r="S217" i="1"/>
  <c r="S955" i="1"/>
  <c r="S171" i="1"/>
  <c r="S956" i="1"/>
  <c r="S744" i="1"/>
  <c r="S745" i="1"/>
  <c r="S746" i="1"/>
  <c r="S483" i="1"/>
  <c r="S611" i="1"/>
  <c r="S849" i="1"/>
  <c r="S494" i="1"/>
  <c r="S504" i="1"/>
  <c r="S609" i="1"/>
  <c r="S610" i="1"/>
  <c r="S394" i="1"/>
  <c r="S261" i="1"/>
  <c r="S848" i="1"/>
  <c r="S175" i="1"/>
  <c r="S850" i="1"/>
  <c r="S954" i="1"/>
  <c r="S111" i="1"/>
  <c r="S115" i="1"/>
  <c r="S180" i="1"/>
  <c r="S443" i="1"/>
  <c r="S71" i="1"/>
  <c r="S116" i="1"/>
  <c r="S1017" i="1"/>
  <c r="S196" i="1"/>
  <c r="S295" i="1"/>
  <c r="S531" i="1"/>
  <c r="S32" i="1"/>
  <c r="S1074" i="1"/>
  <c r="S94" i="1"/>
  <c r="S381" i="1"/>
  <c r="S35" i="1"/>
  <c r="S977" i="1"/>
  <c r="S729" i="1"/>
  <c r="S594" i="1"/>
  <c r="S161" i="1"/>
  <c r="S497" i="1"/>
  <c r="S822" i="1"/>
  <c r="S263" i="1"/>
  <c r="S234" i="1"/>
  <c r="S13" i="1"/>
  <c r="S72" i="1"/>
  <c r="S673" i="1"/>
  <c r="S569" i="1"/>
  <c r="S466" i="1"/>
  <c r="S327" i="1"/>
  <c r="S816" i="1"/>
  <c r="S761" i="1"/>
  <c r="S851" i="1"/>
  <c r="S1044" i="1"/>
  <c r="S1099" i="1"/>
  <c r="S620" i="1"/>
  <c r="S854" i="1"/>
  <c r="S613" i="1"/>
  <c r="S989" i="1"/>
  <c r="S431" i="1"/>
  <c r="S623" i="1"/>
  <c r="S535" i="1"/>
  <c r="S426" i="1"/>
  <c r="S347" i="1"/>
  <c r="S380" i="1"/>
  <c r="S91" i="1"/>
  <c r="S378" i="1"/>
  <c r="S262" i="1"/>
  <c r="S162" i="1"/>
  <c r="S978" i="1"/>
  <c r="S496" i="1"/>
  <c r="S1098" i="1"/>
  <c r="S839" i="1"/>
  <c r="S31" i="1"/>
  <c r="S612" i="1"/>
  <c r="S736" i="1"/>
  <c r="S107" i="1"/>
  <c r="S12" i="1"/>
  <c r="S174" i="1"/>
  <c r="S995" i="1"/>
  <c r="S393" i="1"/>
  <c r="S503" i="1"/>
  <c r="S273" i="1"/>
  <c r="S624" i="1"/>
  <c r="S1097" i="1"/>
  <c r="S750" i="1"/>
  <c r="S840" i="1"/>
  <c r="S1025" i="1"/>
  <c r="S918" i="1"/>
  <c r="S1005" i="1"/>
  <c r="S864" i="1"/>
  <c r="S751" i="1"/>
  <c r="S731" i="1"/>
  <c r="S836" i="1"/>
  <c r="S1092" i="1"/>
  <c r="S424" i="1"/>
  <c r="S515" i="1"/>
  <c r="S606" i="1"/>
  <c r="S986" i="1"/>
  <c r="S764" i="1"/>
  <c r="S433" i="1"/>
  <c r="S647" i="1"/>
  <c r="S1015" i="1"/>
  <c r="S346" i="1"/>
  <c r="S530" i="1"/>
  <c r="S881" i="1"/>
  <c r="S561" i="1"/>
  <c r="S910" i="1"/>
  <c r="S280" i="1"/>
  <c r="S961" i="1"/>
  <c r="S333" i="1"/>
  <c r="S785" i="1"/>
  <c r="S457" i="1"/>
  <c r="S584" i="1"/>
  <c r="S835" i="1"/>
  <c r="S600" i="1"/>
  <c r="S490" i="1"/>
  <c r="S373" i="1"/>
  <c r="S1087" i="1"/>
  <c r="S968" i="1"/>
  <c r="S275" i="1"/>
  <c r="S158" i="1"/>
  <c r="S719" i="1"/>
  <c r="S475" i="1"/>
  <c r="S332" i="1"/>
  <c r="S247" i="1"/>
  <c r="S579" i="1"/>
  <c r="S145" i="1"/>
  <c r="S679" i="1"/>
  <c r="S1062" i="1"/>
  <c r="S809" i="1"/>
  <c r="S110" i="1"/>
  <c r="S932" i="1"/>
  <c r="S58" i="1"/>
  <c r="S469" i="1"/>
  <c r="S1061" i="1"/>
  <c r="S810" i="1"/>
  <c r="S697" i="1"/>
  <c r="S146" i="1"/>
  <c r="S567" i="1"/>
  <c r="S334" i="1"/>
  <c r="S237" i="1"/>
  <c r="S936" i="1"/>
  <c r="S139" i="1"/>
  <c r="S219" i="1"/>
  <c r="S732" i="1"/>
  <c r="S76" i="1"/>
  <c r="S140" i="1"/>
  <c r="S220" i="1"/>
  <c r="S487" i="1"/>
  <c r="S33" i="1"/>
  <c r="S488" i="1"/>
  <c r="S598" i="1"/>
  <c r="S599" i="1"/>
  <c r="S831" i="1"/>
  <c r="S1085" i="1"/>
  <c r="S975" i="1"/>
  <c r="S1086" i="1"/>
  <c r="S832" i="1"/>
  <c r="S256" i="1"/>
  <c r="S257" i="1"/>
  <c r="S221" i="1"/>
  <c r="S974" i="1"/>
  <c r="S733" i="1"/>
  <c r="S384" i="1"/>
  <c r="S385" i="1"/>
  <c r="S897" i="1"/>
  <c r="S1006" i="1"/>
  <c r="S716" i="1"/>
  <c r="S723" i="1"/>
  <c r="S1091" i="1"/>
  <c r="S970" i="1"/>
  <c r="S824" i="1"/>
  <c r="S565" i="1"/>
  <c r="S596" i="1"/>
  <c r="S704" i="1"/>
  <c r="S587" i="1"/>
  <c r="S416" i="1"/>
  <c r="S763" i="1"/>
  <c r="S348" i="1"/>
  <c r="S428" i="1"/>
  <c r="S526" i="1"/>
  <c r="S339" i="1"/>
  <c r="S1011" i="1"/>
  <c r="S643" i="1"/>
  <c r="S882" i="1"/>
  <c r="S794" i="1"/>
  <c r="S148" i="1"/>
  <c r="S686" i="1"/>
  <c r="S109" i="1"/>
  <c r="S166" i="1"/>
  <c r="S284" i="1"/>
  <c r="S419" i="1"/>
  <c r="S512" i="1"/>
  <c r="S98" i="1"/>
  <c r="S102" i="1"/>
  <c r="S103" i="1"/>
  <c r="S642" i="1"/>
  <c r="S53" i="1"/>
  <c r="S147" i="1"/>
  <c r="S507" i="1"/>
  <c r="S168" i="1"/>
  <c r="S853" i="1"/>
  <c r="S271" i="1"/>
  <c r="S591" i="1"/>
  <c r="S392" i="1"/>
  <c r="S712" i="1"/>
  <c r="S1076" i="1"/>
  <c r="S29" i="1"/>
  <c r="S957" i="1"/>
  <c r="S251" i="1"/>
  <c r="S460" i="1"/>
  <c r="S692" i="1"/>
  <c r="S925" i="1"/>
  <c r="S1053" i="1"/>
  <c r="S576" i="1"/>
  <c r="S804" i="1"/>
  <c r="S328" i="1"/>
  <c r="S9" i="1"/>
  <c r="S875" i="1"/>
  <c r="S905" i="1"/>
  <c r="S884" i="1"/>
  <c r="S1010" i="1"/>
  <c r="S700" i="1"/>
  <c r="S929" i="1"/>
  <c r="S703" i="1"/>
  <c r="S693" i="1"/>
  <c r="S694" i="1"/>
  <c r="S701" i="1"/>
  <c r="S677" i="1"/>
  <c r="S544" i="1"/>
  <c r="S545" i="1"/>
  <c r="S971" i="1"/>
  <c r="S799" i="1"/>
  <c r="S680" i="1"/>
  <c r="S826" i="1"/>
  <c r="S404" i="1"/>
  <c r="S401" i="1"/>
  <c r="S880" i="1"/>
  <c r="S202" i="1"/>
  <c r="S298" i="1"/>
  <c r="S397" i="1"/>
  <c r="S269" i="1"/>
  <c r="S631" i="1"/>
  <c r="S189" i="1"/>
  <c r="S500" i="1"/>
  <c r="S438" i="1"/>
  <c r="S427" i="1"/>
  <c r="S525" i="1"/>
  <c r="S131" i="1"/>
  <c r="S885" i="1"/>
  <c r="S1033" i="1"/>
  <c r="S770" i="1"/>
  <c r="S639" i="1"/>
  <c r="S303" i="1"/>
  <c r="S198" i="1"/>
  <c r="S228" i="1"/>
  <c r="S82" i="1"/>
  <c r="S44" i="1"/>
  <c r="S912" i="1"/>
  <c r="S1047" i="1"/>
  <c r="S760" i="1"/>
  <c r="S747" i="1"/>
  <c r="S92" i="1"/>
  <c r="S172" i="1"/>
  <c r="S593" i="1"/>
  <c r="S5" i="1"/>
  <c r="S405" i="1"/>
  <c r="S55" i="1"/>
  <c r="S495" i="1"/>
  <c r="S56" i="1"/>
  <c r="S255" i="1"/>
  <c r="S1027" i="1"/>
  <c r="S1026" i="1"/>
  <c r="S869" i="1"/>
  <c r="S963" i="1"/>
  <c r="S1079" i="1"/>
  <c r="S940" i="1"/>
  <c r="S691" i="1"/>
  <c r="S813" i="1"/>
  <c r="S676" i="1"/>
  <c r="S604" i="1"/>
  <c r="S844" i="1"/>
  <c r="S1075" i="1"/>
  <c r="S537" i="1"/>
  <c r="S550" i="1"/>
  <c r="S967" i="1"/>
  <c r="S718" i="1"/>
  <c r="S1052" i="1"/>
  <c r="S783" i="1"/>
  <c r="S577" i="1"/>
  <c r="S916" i="1"/>
  <c r="S695" i="1"/>
  <c r="S246" i="1"/>
  <c r="S474" i="1"/>
  <c r="S352" i="1"/>
  <c r="S186" i="1"/>
  <c r="S248" i="1"/>
  <c r="S367" i="1"/>
  <c r="S154" i="1"/>
  <c r="S130" i="1"/>
  <c r="S653" i="1"/>
  <c r="S306" i="1"/>
  <c r="S793" i="1"/>
  <c r="S302" i="1"/>
  <c r="S296" i="1"/>
  <c r="S1014" i="1"/>
  <c r="S534" i="1"/>
  <c r="S437" i="1"/>
  <c r="S877" i="1"/>
  <c r="S301" i="1"/>
  <c r="S153" i="1"/>
  <c r="S1068" i="1"/>
  <c r="S344" i="1"/>
  <c r="S685" i="1"/>
  <c r="S467" i="1"/>
  <c r="S81" i="1"/>
  <c r="S134" i="1"/>
  <c r="S242" i="1"/>
  <c r="S951" i="1"/>
  <c r="S570" i="1"/>
  <c r="S806" i="1"/>
  <c r="S828" i="1"/>
  <c r="S89" i="1"/>
  <c r="S307" i="1"/>
  <c r="S1039" i="1"/>
  <c r="S185" i="1"/>
  <c r="S669" i="1"/>
  <c r="S670" i="1"/>
  <c r="S450" i="1"/>
  <c r="S898" i="1"/>
  <c r="S46" i="1"/>
  <c r="S268" i="1"/>
  <c r="S387" i="1"/>
  <c r="S23" i="1"/>
  <c r="S899" i="1"/>
  <c r="S738" i="1"/>
  <c r="S24" i="1"/>
  <c r="S62" i="1"/>
  <c r="S630" i="1"/>
  <c r="S165" i="1"/>
  <c r="S984" i="1"/>
  <c r="S105" i="1"/>
  <c r="S499" i="1"/>
  <c r="S90" i="1"/>
  <c r="S266" i="1"/>
  <c r="S491" i="1"/>
  <c r="S965" i="1"/>
  <c r="S820" i="1"/>
  <c r="S4" i="1"/>
  <c r="S389" i="1"/>
  <c r="S601" i="1"/>
  <c r="S722" i="1"/>
  <c r="S1094" i="1"/>
  <c r="S1019" i="1"/>
  <c r="S997" i="1"/>
  <c r="S867" i="1"/>
  <c r="S1031" i="1"/>
  <c r="S863" i="1"/>
  <c r="S994" i="1"/>
  <c r="S1007" i="1"/>
  <c r="S1030" i="1"/>
  <c r="S657" i="1"/>
  <c r="S658" i="1"/>
  <c r="S539" i="1"/>
  <c r="S699" i="1"/>
  <c r="S1056" i="1"/>
  <c r="S815" i="1"/>
  <c r="S536" i="1"/>
  <c r="S944" i="1"/>
  <c r="S812" i="1"/>
  <c r="S871" i="1"/>
  <c r="S872" i="1"/>
  <c r="S400" i="1"/>
  <c r="S874" i="1"/>
  <c r="S873" i="1"/>
  <c r="S638" i="1"/>
  <c r="S856" i="1"/>
  <c r="S391" i="1"/>
  <c r="S375" i="1"/>
  <c r="S797" i="1"/>
  <c r="S858" i="1"/>
  <c r="S514" i="1"/>
  <c r="S834" i="1"/>
  <c r="S758" i="1"/>
  <c r="S847" i="1"/>
  <c r="S376" i="1"/>
  <c r="S823" i="1"/>
  <c r="S788" i="1"/>
  <c r="S780" i="1"/>
  <c r="S908" i="1"/>
  <c r="S671" i="1"/>
  <c r="S563" i="1"/>
  <c r="S337" i="1"/>
  <c r="S313" i="1"/>
  <c r="S1045" i="1"/>
  <c r="S458" i="1"/>
  <c r="S320" i="1"/>
  <c r="S588" i="1"/>
  <c r="S946" i="1"/>
  <c r="S243" i="1"/>
  <c r="S244" i="1"/>
  <c r="S945" i="1"/>
  <c r="S182" i="1"/>
  <c r="S811" i="1"/>
  <c r="S155" i="1"/>
  <c r="S476" i="1"/>
  <c r="S580" i="1"/>
  <c r="S249" i="1"/>
  <c r="S1071" i="1"/>
  <c r="S937" i="1"/>
  <c r="S129" i="1"/>
  <c r="S336" i="1"/>
  <c r="S698" i="1"/>
  <c r="S907" i="1"/>
  <c r="S452" i="1"/>
  <c r="S562" i="1"/>
  <c r="S1038" i="1"/>
  <c r="S212" i="1"/>
  <c r="S787" i="1"/>
  <c r="S83" i="1"/>
  <c r="S276" i="1"/>
  <c r="S664" i="1"/>
  <c r="S939" i="1"/>
  <c r="S43" i="1"/>
  <c r="S150" i="1"/>
  <c r="S326" i="1"/>
  <c r="S1065" i="1"/>
  <c r="S21" i="1"/>
  <c r="S948" i="1"/>
  <c r="S233" i="1"/>
  <c r="S79" i="1"/>
  <c r="S668" i="1"/>
  <c r="S210" i="1"/>
  <c r="S784" i="1"/>
  <c r="S15" i="1"/>
  <c r="S132" i="1"/>
  <c r="S1069" i="1"/>
  <c r="S927" i="1"/>
  <c r="S39" i="1"/>
  <c r="S461" i="1"/>
  <c r="S3" i="1"/>
  <c r="S560" i="1"/>
  <c r="S353" i="1"/>
  <c r="S987" i="1"/>
  <c r="S988" i="1"/>
  <c r="S1093" i="1"/>
  <c r="S1049" i="1"/>
  <c r="S943" i="1"/>
  <c r="S857" i="1"/>
  <c r="S795" i="1"/>
  <c r="S655" i="1"/>
  <c r="S1042" i="1"/>
  <c r="S663" i="1"/>
  <c r="S786" i="1"/>
  <c r="S917" i="1"/>
  <c r="S662" i="1"/>
  <c r="S818" i="1"/>
  <c r="S528" i="1"/>
  <c r="S713" i="1"/>
  <c r="S605" i="1"/>
  <c r="S950" i="1"/>
  <c r="S1081" i="1"/>
  <c r="S371" i="1"/>
  <c r="S383" i="1"/>
  <c r="S923" i="1"/>
  <c r="S1036" i="1"/>
  <c r="S451" i="1"/>
  <c r="S801" i="1"/>
  <c r="S310" i="1"/>
  <c r="S675" i="1"/>
  <c r="S554" i="1"/>
  <c r="S225" i="1"/>
  <c r="S241" i="1"/>
  <c r="S350" i="1"/>
  <c r="S486" i="1"/>
  <c r="S183" i="1"/>
  <c r="S493" i="1"/>
  <c r="S254" i="1"/>
  <c r="S369" i="1"/>
  <c r="S779" i="1"/>
  <c r="S316" i="1"/>
  <c r="S209" i="1"/>
  <c r="S909" i="1"/>
  <c r="S454" i="1"/>
  <c r="S119" i="1"/>
  <c r="S666" i="1"/>
  <c r="S1043" i="1"/>
  <c r="S553" i="1"/>
  <c r="S42" i="1"/>
  <c r="S894" i="1"/>
  <c r="S429" i="1"/>
  <c r="S68" i="1"/>
  <c r="S649" i="1"/>
  <c r="S769" i="1"/>
  <c r="S67" i="1"/>
  <c r="S1016" i="1"/>
  <c r="S184" i="1"/>
  <c r="S122" i="1"/>
  <c r="S188" i="1"/>
  <c r="S287" i="1"/>
  <c r="S20" i="1"/>
  <c r="S520" i="1"/>
  <c r="S421" i="1"/>
  <c r="S63" i="1"/>
  <c r="S571" i="1"/>
  <c r="S14" i="1"/>
  <c r="S470" i="1"/>
  <c r="S911" i="1"/>
  <c r="S133" i="1"/>
  <c r="S355" i="1"/>
  <c r="S721" i="1"/>
  <c r="S37" i="1"/>
  <c r="S1063" i="1"/>
  <c r="S2" i="1"/>
  <c r="S238" i="1"/>
  <c r="S982" i="1"/>
  <c r="S509" i="1"/>
  <c r="S637" i="1"/>
  <c r="S845" i="1"/>
  <c r="S330" i="1"/>
  <c r="S1101" i="1"/>
  <c r="S309" i="1"/>
  <c r="S752" i="1"/>
  <c r="S229" i="1"/>
  <c r="S399" i="1"/>
  <c r="S648" i="1"/>
  <c r="S178" i="1"/>
  <c r="S297" i="1"/>
  <c r="S688" i="1"/>
  <c r="S363" i="1"/>
  <c r="S364" i="1"/>
  <c r="S359" i="1"/>
  <c r="S360" i="1"/>
  <c r="S362" i="1"/>
  <c r="S361" i="1"/>
  <c r="S85" i="1"/>
  <c r="S206" i="1"/>
  <c r="S281" i="1"/>
  <c r="S197" i="1"/>
  <c r="S160" i="1"/>
  <c r="S213" i="1"/>
  <c r="S223" i="1"/>
  <c r="S84" i="1"/>
  <c r="S214" i="1"/>
  <c r="S277" i="1"/>
  <c r="S278" i="1"/>
  <c r="S201" i="1"/>
  <c r="S200" i="1"/>
  <c r="S1004" i="1"/>
  <c r="S633" i="1"/>
  <c r="S513" i="1"/>
  <c r="S753" i="1"/>
  <c r="S862" i="1"/>
  <c r="S315" i="1"/>
  <c r="S305" i="1"/>
  <c r="S417" i="1"/>
  <c r="S418" i="1"/>
  <c r="S436" i="1"/>
  <c r="S177" i="1"/>
  <c r="S208" i="1"/>
  <c r="S151" i="1"/>
  <c r="S819" i="1"/>
  <c r="S258" i="1"/>
  <c r="S479" i="1"/>
  <c r="S583" i="1"/>
  <c r="S366" i="1"/>
  <c r="S120" i="1"/>
  <c r="S706" i="1"/>
  <c r="S78" i="1"/>
  <c r="S958" i="1"/>
  <c r="S1059" i="1"/>
  <c r="S59" i="1"/>
  <c r="S51" i="1"/>
  <c r="S70" i="1"/>
  <c r="S144" i="1"/>
  <c r="S65" i="1"/>
  <c r="S97" i="1"/>
  <c r="S40" i="1"/>
  <c r="S77" i="1"/>
  <c r="S893" i="1"/>
  <c r="S216" i="1"/>
  <c r="S1054" i="1"/>
  <c r="S169" i="1"/>
  <c r="S232" i="1"/>
  <c r="S124" i="1"/>
  <c r="S890" i="1"/>
  <c r="S766" i="1"/>
  <c r="S1021" i="1"/>
  <c r="S69" i="1"/>
  <c r="S650" i="1"/>
  <c r="S538" i="1"/>
  <c r="S304" i="1"/>
  <c r="S442" i="1"/>
  <c r="S199" i="1"/>
  <c r="S901" i="1"/>
  <c r="S902" i="1"/>
  <c r="S684" i="1"/>
  <c r="S581" i="1"/>
  <c r="S465" i="1"/>
  <c r="S423" i="1"/>
  <c r="S798" i="1"/>
  <c r="S341" i="1"/>
  <c r="S522" i="1"/>
  <c r="S414" i="1"/>
  <c r="S523" i="1"/>
  <c r="S203" i="1"/>
  <c r="S636" i="1"/>
  <c r="S288" i="1"/>
  <c r="S1001" i="1"/>
  <c r="S757" i="1"/>
  <c r="S868" i="1"/>
  <c r="S425" i="1"/>
  <c r="S690" i="1"/>
  <c r="S564" i="1"/>
  <c r="S325" i="1"/>
  <c r="S1057" i="1"/>
  <c r="S231" i="1"/>
  <c r="S57" i="1"/>
  <c r="S803" i="1"/>
  <c r="S463" i="1"/>
  <c r="S142" i="1"/>
  <c r="S934" i="1"/>
  <c r="S126" i="1"/>
  <c r="S775" i="1"/>
  <c r="S903" i="1"/>
  <c r="S30" i="1"/>
  <c r="S445" i="1"/>
  <c r="S547" i="1"/>
  <c r="S661" i="1"/>
  <c r="S1034" i="1"/>
  <c r="S10" i="1"/>
  <c r="S489" i="1"/>
  <c r="S25" i="1"/>
  <c r="S164" i="1"/>
  <c r="S841" i="1"/>
  <c r="S372" i="1"/>
  <c r="S626" i="1"/>
  <c r="S96" i="1"/>
  <c r="S980" i="1"/>
  <c r="S730" i="1"/>
  <c r="S1089" i="1"/>
  <c r="S1096" i="1"/>
  <c r="S892" i="1"/>
  <c r="S915" i="1"/>
  <c r="S748" i="1"/>
  <c r="S708" i="1"/>
  <c r="S742" i="1"/>
  <c r="S852" i="1"/>
  <c r="S735" i="1"/>
  <c r="S985" i="1"/>
  <c r="S597" i="1"/>
  <c r="S566" i="1"/>
  <c r="S720" i="1"/>
  <c r="S395" i="1"/>
  <c r="S453" i="1"/>
  <c r="S462" i="1"/>
  <c r="S707" i="1"/>
  <c r="S709" i="1"/>
  <c r="S711" i="1"/>
  <c r="S335" i="1"/>
  <c r="S368" i="1"/>
  <c r="S482" i="1"/>
  <c r="S602" i="1"/>
  <c r="S252" i="1"/>
  <c r="S329" i="1"/>
  <c r="S1073" i="1"/>
  <c r="S1051" i="1"/>
  <c r="S672" i="1"/>
  <c r="S343" i="1"/>
  <c r="S143" i="1"/>
  <c r="S464" i="1"/>
  <c r="S930" i="1"/>
  <c r="S568" i="1"/>
  <c r="S790" i="1"/>
  <c r="S227" i="1"/>
  <c r="S603" i="1"/>
  <c r="S972" i="1"/>
  <c r="S377" i="1"/>
  <c r="S710" i="1"/>
  <c r="S833" i="1"/>
  <c r="S502" i="1"/>
  <c r="S99" i="1"/>
  <c r="S1095" i="1"/>
  <c r="S260" i="1"/>
  <c r="S250" i="1"/>
  <c r="S149" i="1"/>
  <c r="S52" i="1"/>
  <c r="S480" i="1"/>
  <c r="S338" i="1"/>
  <c r="S715" i="1"/>
  <c r="S1083" i="1"/>
  <c r="S27" i="1"/>
  <c r="S382" i="1"/>
  <c r="S49" i="1"/>
  <c r="S264" i="1"/>
  <c r="S485" i="1"/>
  <c r="S595" i="1"/>
  <c r="S976" i="1"/>
  <c r="S100" i="1"/>
  <c r="S829" i="1"/>
  <c r="S157" i="1"/>
  <c r="S1003" i="1"/>
  <c r="S123" i="1"/>
  <c r="S762" i="1"/>
  <c r="S34" i="1"/>
  <c r="S8" i="1"/>
  <c r="S883" i="1"/>
  <c r="S432" i="1"/>
  <c r="S195" i="1"/>
  <c r="S64" i="1"/>
  <c r="S529" i="1"/>
  <c r="S646" i="1"/>
  <c r="S293" i="1"/>
  <c r="S1084" i="1"/>
  <c r="S1082" i="1"/>
  <c r="S889" i="1"/>
  <c r="S888" i="1"/>
  <c r="S1022" i="1"/>
  <c r="S827" i="1"/>
  <c r="S557" i="1"/>
  <c r="S705" i="1"/>
  <c r="S949" i="1"/>
  <c r="S1070" i="1"/>
  <c r="S411" i="1"/>
  <c r="S396" i="1"/>
  <c r="S615" i="1"/>
  <c r="S725" i="1"/>
  <c r="S616" i="1"/>
  <c r="S726" i="1"/>
  <c r="S617" i="1"/>
  <c r="S727" i="1"/>
  <c r="S409" i="1"/>
  <c r="S724" i="1"/>
  <c r="S402" i="1"/>
  <c r="S407" i="1"/>
  <c r="S408" i="1"/>
  <c r="S498" i="1"/>
  <c r="S614" i="1"/>
  <c r="S410" i="1"/>
  <c r="S1067" i="1"/>
  <c r="S323" i="1"/>
  <c r="S817" i="1"/>
  <c r="S952" i="1"/>
  <c r="S478" i="1"/>
  <c r="S365" i="1"/>
  <c r="S585" i="1"/>
  <c r="S702" i="1"/>
  <c r="S546" i="1"/>
  <c r="S447" i="1"/>
  <c r="S239" i="1"/>
  <c r="S659" i="1"/>
  <c r="S896" i="1"/>
  <c r="S311" i="1"/>
  <c r="S778" i="1"/>
  <c r="S1032" i="1"/>
  <c r="S138" i="1"/>
  <c r="S459" i="1"/>
  <c r="S667" i="1"/>
  <c r="S319" i="1"/>
  <c r="S777" i="1"/>
  <c r="S551" i="1"/>
  <c r="S222" i="1"/>
  <c r="S920" i="1"/>
  <c r="S1046" i="1"/>
  <c r="S282" i="1"/>
  <c r="S629" i="1"/>
  <c r="S413" i="1"/>
  <c r="S755" i="1"/>
  <c r="S86" i="1"/>
  <c r="S179" i="1"/>
  <c r="S517" i="1"/>
  <c r="S865" i="1"/>
  <c r="S998" i="1"/>
  <c r="S379" i="1"/>
  <c r="S267" i="1"/>
  <c r="S1100" i="1"/>
  <c r="S510" i="1"/>
  <c r="S838" i="1"/>
  <c r="S47" i="1"/>
  <c r="S979" i="1"/>
  <c r="S737" i="1"/>
  <c r="S163" i="1"/>
  <c r="S621" i="1"/>
  <c r="S28" i="1"/>
  <c r="S93" i="1"/>
  <c r="S501" i="1"/>
  <c r="S50" i="1"/>
  <c r="S388" i="1"/>
  <c r="S830" i="1"/>
  <c r="S265" i="1"/>
  <c r="S167" i="1"/>
  <c r="S435" i="1"/>
  <c r="S128" i="1"/>
  <c r="S533" i="1"/>
  <c r="S641" i="1"/>
  <c r="S61" i="1"/>
  <c r="S7" i="1"/>
  <c r="S768" i="1"/>
  <c r="S1009" i="1"/>
  <c r="S878" i="1"/>
  <c r="S1035" i="1"/>
  <c r="S887" i="1"/>
  <c r="S906" i="1"/>
  <c r="S619" i="1"/>
  <c r="S743" i="1"/>
  <c r="S398" i="1"/>
  <c r="S506" i="1"/>
  <c r="S983" i="1"/>
  <c r="S403" i="1"/>
  <c r="S846" i="1"/>
  <c r="S656" i="1"/>
  <c r="S245" i="1"/>
  <c r="S559" i="1"/>
  <c r="S1037" i="1"/>
  <c r="S895" i="1"/>
  <c r="S814" i="1"/>
  <c r="S455" i="1"/>
  <c r="S312" i="1"/>
  <c r="S187" i="1"/>
  <c r="S204" i="1"/>
  <c r="S472" i="1"/>
  <c r="S938" i="1"/>
  <c r="S681" i="1"/>
  <c r="S805" i="1"/>
  <c r="S573" i="1"/>
  <c r="S340" i="1"/>
  <c r="S1060" i="1"/>
  <c r="S136" i="1"/>
  <c r="S962" i="1"/>
  <c r="S283" i="1"/>
  <c r="S415" i="1"/>
  <c r="S627" i="1"/>
  <c r="S999" i="1"/>
  <c r="S181" i="1"/>
  <c r="S518" i="1"/>
  <c r="S754" i="1"/>
  <c r="S88" i="1"/>
  <c r="S866" i="1"/>
  <c r="S45" i="1"/>
  <c r="S913" i="1"/>
  <c r="S26" i="1"/>
  <c r="S190" i="1"/>
  <c r="S434" i="1"/>
  <c r="S634" i="1"/>
  <c r="S54" i="1"/>
  <c r="S300" i="1"/>
  <c r="S521" i="1"/>
  <c r="S759" i="1"/>
  <c r="S870" i="1"/>
  <c r="S1002" i="1"/>
  <c r="S125" i="1"/>
  <c r="S60" i="1"/>
  <c r="S781" i="1"/>
  <c r="S6" i="1"/>
  <c r="S1012" i="1"/>
  <c r="S127" i="1"/>
  <c r="S640" i="1"/>
  <c r="S879" i="1"/>
  <c r="S532" i="1"/>
  <c r="R1089" i="1"/>
  <c r="R1096" i="1"/>
  <c r="R1084" i="1"/>
  <c r="R1082" i="1"/>
  <c r="H200" i="3"/>
  <c r="N199" i="3"/>
  <c r="H199" i="3"/>
  <c r="R199" i="3"/>
  <c r="I199" i="3"/>
  <c r="T199" i="3"/>
  <c r="I200" i="3"/>
  <c r="T200" i="3"/>
  <c r="X199" i="3"/>
  <c r="E2740" i="15" s="1"/>
  <c r="K200" i="3" l="1"/>
  <c r="K199" i="3"/>
  <c r="E2835" i="15"/>
  <c r="E2650" i="15"/>
  <c r="E2721" i="15"/>
  <c r="E2701" i="15"/>
  <c r="E2678" i="15"/>
  <c r="E2580" i="15"/>
  <c r="E2617" i="15"/>
  <c r="E2071" i="15"/>
  <c r="E2541" i="15"/>
  <c r="E2504" i="15"/>
  <c r="E2461" i="15"/>
  <c r="E2145" i="15"/>
  <c r="E1491" i="15"/>
  <c r="E1993" i="15"/>
  <c r="E1913" i="15"/>
  <c r="E1832" i="15"/>
  <c r="E1747" i="15"/>
  <c r="E1667" i="15"/>
  <c r="E1579" i="15"/>
  <c r="E1173" i="15"/>
  <c r="E1394" i="15"/>
  <c r="E1284" i="15"/>
  <c r="E1064" i="15"/>
  <c r="E1063" i="15"/>
  <c r="A5" i="40" l="1"/>
  <c r="A6" i="40"/>
  <c r="A7" i="40"/>
  <c r="A8" i="40"/>
  <c r="A9" i="40"/>
  <c r="A10" i="40"/>
  <c r="A11" i="40"/>
  <c r="A12" i="40"/>
  <c r="A13" i="40"/>
  <c r="A14" i="40"/>
  <c r="A15" i="40"/>
  <c r="A16" i="40"/>
  <c r="A4" i="40"/>
  <c r="A3" i="40"/>
  <c r="Q1341" i="25"/>
  <c r="P1341" i="25"/>
  <c r="Q1340" i="25"/>
  <c r="P1340" i="25"/>
  <c r="F1341" i="25"/>
  <c r="F1340" i="25"/>
  <c r="Q1171" i="25"/>
  <c r="P1171" i="25"/>
  <c r="F1171" i="25"/>
  <c r="F1337" i="25"/>
  <c r="Q1337" i="25"/>
  <c r="P1337" i="25"/>
  <c r="F1307" i="25"/>
  <c r="Q1307" i="25"/>
  <c r="P1307" i="25"/>
  <c r="Q1336" i="25"/>
  <c r="P1336" i="25"/>
  <c r="Q1335" i="25"/>
  <c r="P1335" i="25"/>
  <c r="F1336" i="25"/>
  <c r="F1335" i="25"/>
  <c r="Q1334" i="25"/>
  <c r="P1334" i="25"/>
  <c r="F1334" i="25"/>
  <c r="Q1333" i="25"/>
  <c r="P1333" i="25"/>
  <c r="F1333" i="25"/>
  <c r="M2" i="39" l="1"/>
  <c r="N2" i="39"/>
  <c r="N3" i="39"/>
  <c r="N4" i="39"/>
  <c r="N5" i="39"/>
  <c r="N6" i="39"/>
  <c r="N7" i="39"/>
  <c r="N8" i="39"/>
  <c r="N9" i="39"/>
  <c r="N10" i="39"/>
  <c r="N11" i="39"/>
  <c r="N12" i="39"/>
  <c r="N13" i="39"/>
  <c r="N14" i="39"/>
  <c r="N15" i="39"/>
  <c r="N16" i="39"/>
  <c r="N17" i="39"/>
  <c r="N18" i="39"/>
  <c r="N19" i="39"/>
  <c r="N20" i="39"/>
  <c r="N21" i="39"/>
  <c r="N22" i="39"/>
  <c r="N23" i="39"/>
  <c r="N24" i="39"/>
  <c r="N25" i="39"/>
  <c r="N26" i="39"/>
  <c r="N27" i="39"/>
  <c r="N28" i="39"/>
  <c r="N29" i="39"/>
  <c r="N30" i="39"/>
  <c r="N31" i="39"/>
  <c r="N32" i="39"/>
  <c r="N33" i="39"/>
  <c r="N34" i="39"/>
  <c r="N35" i="39"/>
  <c r="N36" i="39"/>
  <c r="N37" i="39"/>
  <c r="N38" i="39"/>
  <c r="N39" i="39"/>
  <c r="N40" i="39"/>
  <c r="N41" i="39"/>
  <c r="N42" i="39"/>
  <c r="N43" i="39"/>
  <c r="N44" i="39"/>
  <c r="N45" i="39"/>
  <c r="N46" i="39"/>
  <c r="N47" i="39"/>
  <c r="N48" i="39"/>
  <c r="N49" i="39"/>
  <c r="N50" i="39"/>
  <c r="N51" i="39"/>
  <c r="N52" i="39"/>
  <c r="N53" i="39"/>
  <c r="N54" i="39"/>
  <c r="N55" i="39"/>
  <c r="N56" i="39"/>
  <c r="N57" i="39"/>
  <c r="N58" i="39"/>
  <c r="N59" i="39"/>
  <c r="N60" i="39"/>
  <c r="N61" i="39"/>
  <c r="N62" i="39"/>
  <c r="N63" i="39"/>
  <c r="N64" i="39"/>
  <c r="N65" i="39"/>
  <c r="N66" i="39"/>
  <c r="N67" i="39"/>
  <c r="N68" i="39"/>
  <c r="N69" i="39"/>
  <c r="N70" i="39"/>
  <c r="N71" i="39"/>
  <c r="N72" i="39"/>
  <c r="N73" i="39"/>
  <c r="N74" i="39"/>
  <c r="N75" i="39"/>
  <c r="N76" i="39"/>
  <c r="N77" i="39"/>
  <c r="N78" i="39"/>
  <c r="N79" i="39"/>
  <c r="N80" i="39"/>
  <c r="N81" i="39"/>
  <c r="N82" i="39"/>
  <c r="N83" i="39"/>
  <c r="N84" i="39"/>
  <c r="N85" i="39"/>
  <c r="N86" i="39"/>
  <c r="N87" i="39"/>
  <c r="N88" i="39"/>
  <c r="N89" i="39"/>
  <c r="N90" i="39"/>
  <c r="N91" i="39"/>
  <c r="N92" i="39"/>
  <c r="N93" i="39"/>
  <c r="N94" i="39"/>
  <c r="N95" i="39"/>
  <c r="N96" i="39"/>
  <c r="N97" i="39"/>
  <c r="N98" i="39"/>
  <c r="N99" i="39"/>
  <c r="N100" i="39"/>
  <c r="N101" i="39"/>
  <c r="N102" i="39"/>
  <c r="N103" i="39"/>
  <c r="N104" i="39"/>
  <c r="N105" i="39"/>
  <c r="N106" i="39"/>
  <c r="N107" i="39"/>
  <c r="N108" i="39"/>
  <c r="N109" i="39"/>
  <c r="N110" i="39"/>
  <c r="N111" i="39"/>
  <c r="N112" i="39"/>
  <c r="N113" i="39"/>
  <c r="N114" i="39"/>
  <c r="N115" i="39"/>
  <c r="N116" i="39"/>
  <c r="N117" i="39"/>
  <c r="N118" i="39"/>
  <c r="N119" i="39"/>
  <c r="N120" i="39"/>
  <c r="N121" i="39"/>
  <c r="N122" i="39"/>
  <c r="N123" i="39"/>
  <c r="N124" i="39"/>
  <c r="N125" i="39"/>
  <c r="N126" i="39"/>
  <c r="N127" i="39"/>
  <c r="N128" i="39"/>
  <c r="N129" i="39"/>
  <c r="N130" i="39"/>
  <c r="N131" i="39"/>
  <c r="N132" i="39"/>
  <c r="N133" i="39"/>
  <c r="N134" i="39"/>
  <c r="N135" i="39"/>
  <c r="N136" i="39"/>
  <c r="N137" i="39"/>
  <c r="N138" i="39"/>
  <c r="N139" i="39"/>
  <c r="N140" i="39"/>
  <c r="N141" i="39"/>
  <c r="N142" i="39"/>
  <c r="N143" i="39"/>
  <c r="N144" i="39"/>
  <c r="N145" i="39"/>
  <c r="N146" i="39"/>
  <c r="N147" i="39"/>
  <c r="N148" i="39"/>
  <c r="N149" i="39"/>
  <c r="N150" i="39"/>
  <c r="N151" i="39"/>
  <c r="N152" i="39"/>
  <c r="N153" i="39"/>
  <c r="N154" i="39"/>
  <c r="N155" i="39"/>
  <c r="N156" i="39"/>
  <c r="N157" i="39"/>
  <c r="N158" i="39"/>
  <c r="N159" i="39"/>
  <c r="N160" i="39"/>
  <c r="N161" i="39"/>
  <c r="N162" i="39"/>
  <c r="N163" i="39"/>
  <c r="N164" i="39"/>
  <c r="N165" i="39"/>
  <c r="N166" i="39"/>
  <c r="N167" i="39"/>
  <c r="N168" i="39"/>
  <c r="N169" i="39"/>
  <c r="N170" i="39"/>
  <c r="N171" i="39"/>
  <c r="N172" i="39"/>
  <c r="N173" i="39"/>
  <c r="N174" i="39"/>
  <c r="N175" i="39"/>
  <c r="N176" i="39"/>
  <c r="N177" i="39"/>
  <c r="N178" i="39"/>
  <c r="N179" i="39"/>
  <c r="N180" i="39"/>
  <c r="N181" i="39"/>
  <c r="N182" i="39"/>
  <c r="N183" i="39"/>
  <c r="N184" i="39"/>
  <c r="N185" i="39"/>
  <c r="N186" i="39"/>
  <c r="N187" i="39"/>
  <c r="N188" i="39"/>
  <c r="N189" i="39"/>
  <c r="N190" i="39"/>
  <c r="N191" i="39"/>
  <c r="N192" i="39"/>
  <c r="N193" i="39"/>
  <c r="N194" i="39"/>
  <c r="N195" i="39"/>
  <c r="N196" i="39"/>
  <c r="N197" i="39"/>
  <c r="N198" i="39"/>
  <c r="N199" i="39"/>
  <c r="N200" i="39"/>
  <c r="N201" i="39"/>
  <c r="N202" i="39"/>
  <c r="N203" i="39"/>
  <c r="N204" i="39"/>
  <c r="N205" i="39"/>
  <c r="N206" i="39"/>
  <c r="N207" i="39"/>
  <c r="N208" i="39"/>
  <c r="N209" i="39"/>
  <c r="N210" i="39"/>
  <c r="N211" i="39"/>
  <c r="N212" i="39"/>
  <c r="N213" i="39"/>
  <c r="N214" i="39"/>
  <c r="N215" i="39"/>
  <c r="N216" i="39"/>
  <c r="N217" i="39"/>
  <c r="N218" i="39"/>
  <c r="N219" i="39"/>
  <c r="N220" i="39"/>
  <c r="N221" i="39"/>
  <c r="N222" i="39"/>
  <c r="N223" i="39"/>
  <c r="N224" i="39"/>
  <c r="N225" i="39"/>
  <c r="N226" i="39"/>
  <c r="N227" i="39"/>
  <c r="N228" i="39"/>
  <c r="N229" i="39"/>
  <c r="N230" i="39"/>
  <c r="N231" i="39"/>
  <c r="N232" i="39"/>
  <c r="N233" i="39"/>
  <c r="N234" i="39"/>
  <c r="N235" i="39"/>
  <c r="N236" i="39"/>
  <c r="N237" i="39"/>
  <c r="N238" i="39"/>
  <c r="N239" i="39"/>
  <c r="N240" i="39"/>
  <c r="N241" i="39"/>
  <c r="N242" i="39"/>
  <c r="N243" i="39"/>
  <c r="N244" i="39"/>
  <c r="N245" i="39"/>
  <c r="N246" i="39"/>
  <c r="N247" i="39"/>
  <c r="N248" i="39"/>
  <c r="N249" i="39"/>
  <c r="N250" i="39"/>
  <c r="N251" i="39"/>
  <c r="N252" i="39"/>
  <c r="N253" i="39"/>
  <c r="N254" i="39"/>
  <c r="N255" i="39"/>
  <c r="N256" i="39"/>
  <c r="N257" i="39"/>
  <c r="N258" i="39"/>
  <c r="N259" i="39"/>
  <c r="N260" i="39"/>
  <c r="N261" i="39"/>
  <c r="N262" i="39"/>
  <c r="N263" i="39"/>
  <c r="N264" i="39"/>
  <c r="N265" i="39"/>
  <c r="N266" i="39"/>
  <c r="N267" i="39"/>
  <c r="N268" i="39"/>
  <c r="N269" i="39"/>
  <c r="N270" i="39"/>
  <c r="N271" i="39"/>
  <c r="N272" i="39"/>
  <c r="N273" i="39"/>
  <c r="N274" i="39"/>
  <c r="N275" i="39"/>
  <c r="N276" i="39"/>
  <c r="N277" i="39"/>
  <c r="N278" i="39"/>
  <c r="N279" i="39"/>
  <c r="N280" i="39"/>
  <c r="N281" i="39"/>
  <c r="N282" i="39"/>
  <c r="N283" i="39"/>
  <c r="N284" i="39"/>
  <c r="N285" i="39"/>
  <c r="N286" i="39"/>
  <c r="N287" i="39"/>
  <c r="N288" i="39"/>
  <c r="N289" i="39"/>
  <c r="N290" i="39"/>
  <c r="N291" i="39"/>
  <c r="N292" i="39"/>
  <c r="N293" i="39"/>
  <c r="N294" i="39"/>
  <c r="N295" i="39"/>
  <c r="N296" i="39"/>
  <c r="N297" i="39"/>
  <c r="N298" i="39"/>
  <c r="N299" i="39"/>
  <c r="N300" i="39"/>
  <c r="N301" i="39"/>
  <c r="N302" i="39"/>
  <c r="N303" i="39"/>
  <c r="N304" i="39"/>
  <c r="N305" i="39"/>
  <c r="N306" i="39"/>
  <c r="N307" i="39"/>
  <c r="N308" i="39"/>
  <c r="N309" i="39"/>
  <c r="N310" i="39"/>
  <c r="N311" i="39"/>
  <c r="N312" i="39"/>
  <c r="N313" i="39"/>
  <c r="N314" i="39"/>
  <c r="N315" i="39"/>
  <c r="N316" i="39"/>
  <c r="N317" i="39"/>
  <c r="N318" i="39"/>
  <c r="N319" i="39"/>
  <c r="N320" i="39"/>
  <c r="N321" i="39"/>
  <c r="N322" i="39"/>
  <c r="N323" i="39"/>
  <c r="N324" i="39"/>
  <c r="N325" i="39"/>
  <c r="N326" i="39"/>
  <c r="N327" i="39"/>
  <c r="N328" i="39"/>
  <c r="N329" i="39"/>
  <c r="N330" i="39"/>
  <c r="N331" i="39"/>
  <c r="N332" i="39"/>
  <c r="N333" i="39"/>
  <c r="N334" i="39"/>
  <c r="N335" i="39"/>
  <c r="N336" i="39"/>
  <c r="N337" i="39"/>
  <c r="N338" i="39"/>
  <c r="N339" i="39"/>
  <c r="N340" i="39"/>
  <c r="N341" i="39"/>
  <c r="N342" i="39"/>
  <c r="N343" i="39"/>
  <c r="N344" i="39"/>
  <c r="N345" i="39"/>
  <c r="N346" i="39"/>
  <c r="N347" i="39"/>
  <c r="N348" i="39"/>
  <c r="N349" i="39"/>
  <c r="N350" i="39"/>
  <c r="N351" i="39"/>
  <c r="N352" i="39"/>
  <c r="N353" i="39"/>
  <c r="N354" i="39"/>
  <c r="N355" i="39"/>
  <c r="N356" i="39"/>
  <c r="N357" i="39"/>
  <c r="N358" i="39"/>
  <c r="N359" i="39"/>
  <c r="N360" i="39"/>
  <c r="N361" i="39"/>
  <c r="N362" i="39"/>
  <c r="N363" i="39"/>
  <c r="N364" i="39"/>
  <c r="N365" i="39"/>
  <c r="N366" i="39"/>
  <c r="N367" i="39"/>
  <c r="N368" i="39"/>
  <c r="N369" i="39"/>
  <c r="N370" i="39"/>
  <c r="N371" i="39"/>
  <c r="N372" i="39"/>
  <c r="N373" i="39"/>
  <c r="N374" i="39"/>
  <c r="N375" i="39"/>
  <c r="N376" i="39"/>
  <c r="N377" i="39"/>
  <c r="N378" i="39"/>
  <c r="N379" i="39"/>
  <c r="N380" i="39"/>
  <c r="N381" i="39"/>
  <c r="N382" i="39"/>
  <c r="N383" i="39"/>
  <c r="N384" i="39"/>
  <c r="N385" i="39"/>
  <c r="N386" i="39"/>
  <c r="N387" i="39"/>
  <c r="N388" i="39"/>
  <c r="N389" i="39"/>
  <c r="N390" i="39"/>
  <c r="N391" i="39"/>
  <c r="N392" i="39"/>
  <c r="N393" i="39"/>
  <c r="N394" i="39"/>
  <c r="N395" i="39"/>
  <c r="N396" i="39"/>
  <c r="N397" i="39"/>
  <c r="N398" i="39"/>
  <c r="N399" i="39"/>
  <c r="N400" i="39"/>
  <c r="N401" i="39"/>
  <c r="N402" i="39"/>
  <c r="N403" i="39"/>
  <c r="N404" i="39"/>
  <c r="N405" i="39"/>
  <c r="N406" i="39"/>
  <c r="N407" i="39"/>
  <c r="N408" i="39"/>
  <c r="N409" i="39"/>
  <c r="N410" i="39"/>
  <c r="N411" i="39"/>
  <c r="N412" i="39"/>
  <c r="N413" i="39"/>
  <c r="N414" i="39"/>
  <c r="N415" i="39"/>
  <c r="N416" i="39"/>
  <c r="N417" i="39"/>
  <c r="N418" i="39"/>
  <c r="N419" i="39"/>
  <c r="N420" i="39"/>
  <c r="N421" i="39"/>
  <c r="N422" i="39"/>
  <c r="N423" i="39"/>
  <c r="N424" i="39"/>
  <c r="N425" i="39"/>
  <c r="N426" i="39"/>
  <c r="N427" i="39"/>
  <c r="N428" i="39"/>
  <c r="N429" i="39"/>
  <c r="N430" i="39"/>
  <c r="N431" i="39"/>
  <c r="N432" i="39"/>
  <c r="N433" i="39"/>
  <c r="N434" i="39"/>
  <c r="N435" i="39"/>
  <c r="N436" i="39"/>
  <c r="N437" i="39"/>
  <c r="N438" i="39"/>
  <c r="N439" i="39"/>
  <c r="N440" i="39"/>
  <c r="N441" i="39"/>
  <c r="N442" i="39"/>
  <c r="N443" i="39"/>
  <c r="N444" i="39"/>
  <c r="N445" i="39"/>
  <c r="N446" i="39"/>
  <c r="N447" i="39"/>
  <c r="N448" i="39"/>
  <c r="N449" i="39"/>
  <c r="N450" i="39"/>
  <c r="N451" i="39"/>
  <c r="N452" i="39"/>
  <c r="N453" i="39"/>
  <c r="N454" i="39"/>
  <c r="N455" i="39"/>
  <c r="N456" i="39"/>
  <c r="N457" i="39"/>
  <c r="N458" i="39"/>
  <c r="N459" i="39"/>
  <c r="N460" i="39"/>
  <c r="N461" i="39"/>
  <c r="N462" i="39"/>
  <c r="N463" i="39"/>
  <c r="N464" i="39"/>
  <c r="N465" i="39"/>
  <c r="N466" i="39"/>
  <c r="N467" i="39"/>
  <c r="N468" i="39"/>
  <c r="N469" i="39"/>
  <c r="N470" i="39"/>
  <c r="N471" i="39"/>
  <c r="N472" i="39"/>
  <c r="N473" i="39"/>
  <c r="N474" i="39"/>
  <c r="N475" i="39"/>
  <c r="N476" i="39"/>
  <c r="N477" i="39"/>
  <c r="N478" i="39"/>
  <c r="N479" i="39"/>
  <c r="N480" i="39"/>
  <c r="N481" i="39"/>
  <c r="N482" i="39"/>
  <c r="N483" i="39"/>
  <c r="N484" i="39"/>
  <c r="N485" i="39"/>
  <c r="N486" i="39"/>
  <c r="N487" i="39"/>
  <c r="N488" i="39"/>
  <c r="N489" i="39"/>
  <c r="N490" i="39"/>
  <c r="N491" i="39"/>
  <c r="N492" i="39"/>
  <c r="N493" i="39"/>
  <c r="N494" i="39"/>
  <c r="N495" i="39"/>
  <c r="N496" i="39"/>
  <c r="N497" i="39"/>
  <c r="N498" i="39"/>
  <c r="N499" i="39"/>
  <c r="N500" i="39"/>
  <c r="N501" i="39"/>
  <c r="N502" i="39"/>
  <c r="N503" i="39"/>
  <c r="N504" i="39"/>
  <c r="N505" i="39"/>
  <c r="N506" i="39"/>
  <c r="N507" i="39"/>
  <c r="N508" i="39"/>
  <c r="N509" i="39"/>
  <c r="N510" i="39"/>
  <c r="N511" i="39"/>
  <c r="N512" i="39"/>
  <c r="N513" i="39"/>
  <c r="N514" i="39"/>
  <c r="N515" i="39"/>
  <c r="N516" i="39"/>
  <c r="N517" i="39"/>
  <c r="N518" i="39"/>
  <c r="N519" i="39"/>
  <c r="N520" i="39"/>
  <c r="N521" i="39"/>
  <c r="N522" i="39"/>
  <c r="N523" i="39"/>
  <c r="N524" i="39"/>
  <c r="N525" i="39"/>
  <c r="N526" i="39"/>
  <c r="N527" i="39"/>
  <c r="N528" i="39"/>
  <c r="N529" i="39"/>
  <c r="N530" i="39"/>
  <c r="N531" i="39"/>
  <c r="N532" i="39"/>
  <c r="N533" i="39"/>
  <c r="N534" i="39"/>
  <c r="N535" i="39"/>
  <c r="N536" i="39"/>
  <c r="N537" i="39"/>
  <c r="N538" i="39"/>
  <c r="N539" i="39"/>
  <c r="N540" i="39"/>
  <c r="N541" i="39"/>
  <c r="N542" i="39"/>
  <c r="N543" i="39"/>
  <c r="N544" i="39"/>
  <c r="N545" i="39"/>
  <c r="N546" i="39"/>
  <c r="N547" i="39"/>
  <c r="N548" i="39"/>
  <c r="N549" i="39"/>
  <c r="N550" i="39"/>
  <c r="N551" i="39"/>
  <c r="N552" i="39"/>
  <c r="N553" i="39"/>
  <c r="N554" i="39"/>
  <c r="N555" i="39"/>
  <c r="N556" i="39"/>
  <c r="N557" i="39"/>
  <c r="N558" i="39"/>
  <c r="N559" i="39"/>
  <c r="N560" i="39"/>
  <c r="N561" i="39"/>
  <c r="N562" i="39"/>
  <c r="N563" i="39"/>
  <c r="N564" i="39"/>
  <c r="N565" i="39"/>
  <c r="N566" i="39"/>
  <c r="N567" i="39"/>
  <c r="N568" i="39"/>
  <c r="N569" i="39"/>
  <c r="N570" i="39"/>
  <c r="N571" i="39"/>
  <c r="N572" i="39"/>
  <c r="N573" i="39"/>
  <c r="N574" i="39"/>
  <c r="N575" i="39"/>
  <c r="N576" i="39"/>
  <c r="N577" i="39"/>
  <c r="N578" i="39"/>
  <c r="N579" i="39"/>
  <c r="N580" i="39"/>
  <c r="N581" i="39"/>
  <c r="N582" i="39"/>
  <c r="N583" i="39"/>
  <c r="N584" i="39"/>
  <c r="N585" i="39"/>
  <c r="N586" i="39"/>
  <c r="N587" i="39"/>
  <c r="N588" i="39"/>
  <c r="N589" i="39"/>
  <c r="N590" i="39"/>
  <c r="N591" i="39"/>
  <c r="N592" i="39"/>
  <c r="N593" i="39"/>
  <c r="N594" i="39"/>
  <c r="N595" i="39"/>
  <c r="N596" i="39"/>
  <c r="N597" i="39"/>
  <c r="N598" i="39"/>
  <c r="N599" i="39"/>
  <c r="N600" i="39"/>
  <c r="N601" i="39"/>
  <c r="N602" i="39"/>
  <c r="N603" i="39"/>
  <c r="N604" i="39"/>
  <c r="N605" i="39"/>
  <c r="N606" i="39"/>
  <c r="N607" i="39"/>
  <c r="N608" i="39"/>
  <c r="N609" i="39"/>
  <c r="N610" i="39"/>
  <c r="N611" i="39"/>
  <c r="N612" i="39"/>
  <c r="N613" i="39"/>
  <c r="N614" i="39"/>
  <c r="N615" i="39"/>
  <c r="N616" i="39"/>
  <c r="N617" i="39"/>
  <c r="N618" i="39"/>
  <c r="N619" i="39"/>
  <c r="N620" i="39"/>
  <c r="N621" i="39"/>
  <c r="N622" i="39"/>
  <c r="N623" i="39"/>
  <c r="N624" i="39"/>
  <c r="N625" i="39"/>
  <c r="N626" i="39"/>
  <c r="N627" i="39"/>
  <c r="L1672" i="15" a="1"/>
  <c r="L1672" i="15" s="1"/>
  <c r="M1672" i="15" s="1"/>
  <c r="L1584" i="15" a="1"/>
  <c r="L1584" i="15" s="1"/>
  <c r="M1584" i="15" s="1"/>
  <c r="L1496" i="15" a="1"/>
  <c r="L1496" i="15" s="1"/>
  <c r="M1496" i="15" s="1"/>
  <c r="F1496" i="15"/>
  <c r="F1584" i="15"/>
  <c r="F1672" i="15"/>
  <c r="D1496" i="15"/>
  <c r="D1584" i="15"/>
  <c r="D1672" i="15"/>
  <c r="C1496" i="15"/>
  <c r="C1584" i="15"/>
  <c r="C1672" i="15"/>
  <c r="B1496" i="15"/>
  <c r="B1584" i="15"/>
  <c r="B1672" i="15"/>
  <c r="L1068" i="15" a="1"/>
  <c r="L1068" i="15" s="1"/>
  <c r="F1068" i="15"/>
  <c r="D1068" i="15"/>
  <c r="C1068" i="15"/>
  <c r="B1068" i="15"/>
  <c r="V198" i="3"/>
  <c r="U198" i="3"/>
  <c r="S198" i="3"/>
  <c r="Q198" i="3"/>
  <c r="P198" i="3"/>
  <c r="J198" i="3"/>
  <c r="G198" i="3"/>
  <c r="R1080" i="1" s="1"/>
  <c r="T1079" i="1"/>
  <c r="T1080" i="1"/>
  <c r="O1079" i="1"/>
  <c r="O1080" i="1"/>
  <c r="J1079" i="1"/>
  <c r="J1080" i="1"/>
  <c r="N198" i="3" s="1"/>
  <c r="I1079" i="1"/>
  <c r="I1080" i="1"/>
  <c r="B1079" i="1"/>
  <c r="B1080" i="1"/>
  <c r="F124" i="30"/>
  <c r="E124" i="30"/>
  <c r="D124" i="30"/>
  <c r="F123" i="30"/>
  <c r="E123" i="30"/>
  <c r="D123" i="30"/>
  <c r="F122" i="30"/>
  <c r="E122" i="30"/>
  <c r="D122" i="30"/>
  <c r="F121" i="30"/>
  <c r="E121" i="30"/>
  <c r="D121" i="30"/>
  <c r="F120" i="30"/>
  <c r="E120" i="30"/>
  <c r="D120" i="30"/>
  <c r="F119" i="30"/>
  <c r="E119" i="30"/>
  <c r="D119" i="30"/>
  <c r="F118" i="30"/>
  <c r="E118" i="30"/>
  <c r="D118" i="30"/>
  <c r="F117" i="30"/>
  <c r="E117" i="30"/>
  <c r="D117" i="30"/>
  <c r="F116" i="30"/>
  <c r="E116" i="30"/>
  <c r="D116" i="30"/>
  <c r="F115" i="30"/>
  <c r="E115" i="30"/>
  <c r="D115" i="30"/>
  <c r="F111" i="30"/>
  <c r="E111" i="30"/>
  <c r="D111" i="30"/>
  <c r="F107" i="30"/>
  <c r="E107" i="30"/>
  <c r="D107" i="30"/>
  <c r="F101" i="30"/>
  <c r="E101" i="30"/>
  <c r="G98" i="30"/>
  <c r="H98" i="30" s="1"/>
  <c r="F98" i="30"/>
  <c r="E98" i="30"/>
  <c r="D98" i="30"/>
  <c r="C98" i="30"/>
  <c r="T1077" i="1"/>
  <c r="T1078" i="1"/>
  <c r="O1077" i="1"/>
  <c r="O1078" i="1"/>
  <c r="J1077" i="1"/>
  <c r="J1078" i="1"/>
  <c r="I1077" i="1"/>
  <c r="I1078" i="1"/>
  <c r="B1077" i="1"/>
  <c r="B1078" i="1"/>
  <c r="Q1321" i="25"/>
  <c r="P1321" i="25"/>
  <c r="F1321" i="25"/>
  <c r="M1068" i="15" l="1"/>
  <c r="X198" i="3" s="1"/>
  <c r="E1672" i="15" s="1"/>
  <c r="R198" i="3"/>
  <c r="H198" i="3"/>
  <c r="T198" i="3"/>
  <c r="I198" i="3"/>
  <c r="I98" i="30"/>
  <c r="K198" i="3" l="1"/>
  <c r="E1584" i="15"/>
  <c r="E1068" i="15"/>
  <c r="E1496" i="15"/>
  <c r="Q1330" i="25"/>
  <c r="P1330" i="25"/>
  <c r="F1330" i="25"/>
  <c r="T1075" i="1"/>
  <c r="T1076" i="1"/>
  <c r="O1075" i="1"/>
  <c r="O1076" i="1"/>
  <c r="J1075" i="1"/>
  <c r="J1076" i="1"/>
  <c r="I1075" i="1"/>
  <c r="I1076" i="1"/>
  <c r="B1075" i="1"/>
  <c r="B1076" i="1"/>
  <c r="L1085" i="15" a="1"/>
  <c r="L1085" i="15" s="1"/>
  <c r="M1085" i="15" s="1"/>
  <c r="F1085" i="15"/>
  <c r="D1085" i="15"/>
  <c r="C1085" i="15"/>
  <c r="B1085" i="15"/>
  <c r="Q1466" i="25"/>
  <c r="P1466" i="25"/>
  <c r="F1466" i="25"/>
  <c r="Q1476" i="25"/>
  <c r="P1476" i="25"/>
  <c r="F1476" i="25"/>
  <c r="Q1475" i="25"/>
  <c r="P1475" i="25"/>
  <c r="F1475" i="25"/>
  <c r="Q1474" i="25"/>
  <c r="P1474" i="25"/>
  <c r="F1474" i="25"/>
  <c r="Q1473" i="25"/>
  <c r="P1473" i="25"/>
  <c r="F1473" i="25"/>
  <c r="Q1472" i="25"/>
  <c r="P1472" i="25"/>
  <c r="F1472" i="25"/>
  <c r="Q1471" i="25"/>
  <c r="P1471" i="25"/>
  <c r="F1471" i="25"/>
  <c r="Q1470" i="25"/>
  <c r="P1470" i="25"/>
  <c r="F1470" i="25"/>
  <c r="Q1469" i="25"/>
  <c r="P1469" i="25"/>
  <c r="F1469" i="25"/>
  <c r="Q1468" i="25"/>
  <c r="P1468" i="25"/>
  <c r="F1468" i="25"/>
  <c r="Q1467" i="25"/>
  <c r="P1467" i="25"/>
  <c r="F1467" i="25"/>
  <c r="Q1463" i="25"/>
  <c r="P1463" i="25"/>
  <c r="F1463" i="25"/>
  <c r="Q1465" i="25"/>
  <c r="P1465" i="25"/>
  <c r="F1465" i="25"/>
  <c r="Q1464" i="25"/>
  <c r="P1464" i="25"/>
  <c r="F1464" i="25"/>
  <c r="Q1462" i="25"/>
  <c r="P1462" i="25"/>
  <c r="F1462" i="25"/>
  <c r="Q1460" i="25"/>
  <c r="P1460" i="25"/>
  <c r="F1460" i="25"/>
  <c r="Q1459" i="25"/>
  <c r="P1459" i="25"/>
  <c r="F1459" i="25"/>
  <c r="Q1458" i="25"/>
  <c r="P1458" i="25"/>
  <c r="F1458" i="25"/>
  <c r="Q1457" i="25"/>
  <c r="P1457" i="25"/>
  <c r="F1457" i="25"/>
  <c r="Q1456" i="25"/>
  <c r="P1456" i="25"/>
  <c r="F1456" i="25"/>
  <c r="Q1455" i="25"/>
  <c r="P1455" i="25"/>
  <c r="F1455" i="25"/>
  <c r="Q1454" i="25"/>
  <c r="P1454" i="25"/>
  <c r="F1454" i="25"/>
  <c r="Q1453" i="25"/>
  <c r="P1453" i="25"/>
  <c r="F1453" i="25"/>
  <c r="Q1452" i="25"/>
  <c r="P1452" i="25"/>
  <c r="F1452" i="25"/>
  <c r="Q1451" i="25"/>
  <c r="P1451" i="25"/>
  <c r="F1451" i="25"/>
  <c r="Q1450" i="25"/>
  <c r="P1450" i="25"/>
  <c r="F1450" i="25"/>
  <c r="Q1449" i="25"/>
  <c r="P1449" i="25"/>
  <c r="F1449" i="25"/>
  <c r="Q1448" i="25"/>
  <c r="P1448" i="25"/>
  <c r="F1448" i="25"/>
  <c r="Q1447" i="25"/>
  <c r="P1447" i="25"/>
  <c r="F1447" i="25"/>
  <c r="Q1446" i="25"/>
  <c r="P1446" i="25"/>
  <c r="F1446" i="25"/>
  <c r="Q1445" i="25"/>
  <c r="P1445" i="25"/>
  <c r="F1445" i="25"/>
  <c r="Q1444" i="25"/>
  <c r="P1444" i="25"/>
  <c r="F1444" i="25"/>
  <c r="Q1443" i="25"/>
  <c r="P1443" i="25"/>
  <c r="F1443" i="25"/>
  <c r="Q1442" i="25"/>
  <c r="P1442" i="25"/>
  <c r="F1442" i="25"/>
  <c r="Q1441" i="25"/>
  <c r="P1441" i="25"/>
  <c r="F1441" i="25"/>
  <c r="Q1440" i="25"/>
  <c r="P1440" i="25"/>
  <c r="F1440" i="25"/>
  <c r="Q1439" i="25"/>
  <c r="P1439" i="25"/>
  <c r="F1439" i="25"/>
  <c r="Q1438" i="25"/>
  <c r="P1438" i="25"/>
  <c r="F1438" i="25"/>
  <c r="Q1437" i="25"/>
  <c r="P1437" i="25"/>
  <c r="F1437" i="25"/>
  <c r="Q1436" i="25"/>
  <c r="P1436" i="25"/>
  <c r="F1436" i="25"/>
  <c r="Q1435" i="25"/>
  <c r="P1435" i="25"/>
  <c r="F1435" i="25"/>
  <c r="Q1434" i="25"/>
  <c r="P1434" i="25"/>
  <c r="F1434" i="25"/>
  <c r="Q1432" i="25"/>
  <c r="P1432" i="25"/>
  <c r="F1432" i="25"/>
  <c r="Q1431" i="25"/>
  <c r="P1431" i="25"/>
  <c r="F1431" i="25"/>
  <c r="Q1430" i="25"/>
  <c r="P1430" i="25"/>
  <c r="F1430" i="25"/>
  <c r="Q1429" i="25"/>
  <c r="P1429" i="25"/>
  <c r="F1429" i="25"/>
  <c r="Q1428" i="25"/>
  <c r="P1428" i="25"/>
  <c r="F1428" i="25"/>
  <c r="Q1427" i="25"/>
  <c r="P1427" i="25"/>
  <c r="F1427" i="25"/>
  <c r="Q1426" i="25"/>
  <c r="P1426" i="25"/>
  <c r="F1426" i="25"/>
  <c r="Q1425" i="25"/>
  <c r="P1425" i="25"/>
  <c r="F1425" i="25"/>
  <c r="Q1424" i="25"/>
  <c r="P1424" i="25"/>
  <c r="F1424" i="25"/>
  <c r="Q1423" i="25"/>
  <c r="P1423" i="25"/>
  <c r="F1423" i="25"/>
  <c r="Q1422" i="25"/>
  <c r="P1422" i="25"/>
  <c r="F1422" i="25"/>
  <c r="Q1421" i="25"/>
  <c r="P1421" i="25"/>
  <c r="F1421" i="25"/>
  <c r="Q1420" i="25"/>
  <c r="P1420" i="25"/>
  <c r="F1420" i="25"/>
  <c r="Q1419" i="25"/>
  <c r="P1419" i="25"/>
  <c r="F1419" i="25"/>
  <c r="Q1418" i="25"/>
  <c r="P1418" i="25"/>
  <c r="F1418" i="25"/>
  <c r="Q1415" i="25"/>
  <c r="P1415" i="25"/>
  <c r="F1415" i="25"/>
  <c r="Q1417" i="25"/>
  <c r="P1417" i="25"/>
  <c r="F1417" i="25"/>
  <c r="Q1414" i="25"/>
  <c r="P1414" i="25"/>
  <c r="F1414" i="25"/>
  <c r="Q1413" i="25"/>
  <c r="P1413" i="25"/>
  <c r="F1413" i="25"/>
  <c r="Q1412" i="25"/>
  <c r="P1412" i="25"/>
  <c r="F1412" i="25"/>
  <c r="Q1411" i="25"/>
  <c r="P1411" i="25"/>
  <c r="F1411" i="25"/>
  <c r="Q1328" i="25"/>
  <c r="P1328" i="25"/>
  <c r="I1149" i="15"/>
  <c r="Q1410" i="25"/>
  <c r="P1410" i="25"/>
  <c r="F1410" i="25"/>
  <c r="Q1409" i="25"/>
  <c r="P1409" i="25"/>
  <c r="F1409" i="25"/>
  <c r="Q1408" i="25"/>
  <c r="P1408" i="25"/>
  <c r="F1408" i="25"/>
  <c r="Q1407" i="25"/>
  <c r="P1407" i="25"/>
  <c r="F1407" i="25"/>
  <c r="Q1406" i="25"/>
  <c r="P1406" i="25"/>
  <c r="F1406" i="25"/>
  <c r="Q1405" i="25"/>
  <c r="P1405" i="25"/>
  <c r="F1405" i="25"/>
  <c r="Q1404" i="25"/>
  <c r="P1404" i="25"/>
  <c r="F1404" i="25"/>
  <c r="Q1403" i="25"/>
  <c r="P1403" i="25"/>
  <c r="F1403" i="25"/>
  <c r="Q1402" i="25"/>
  <c r="P1402" i="25"/>
  <c r="F1402" i="25"/>
  <c r="Q1401" i="25"/>
  <c r="P1401" i="25"/>
  <c r="F1401" i="25"/>
  <c r="Q1400" i="25"/>
  <c r="P1400" i="25"/>
  <c r="F1400" i="25"/>
  <c r="Q1399" i="25"/>
  <c r="P1399" i="25"/>
  <c r="F1399" i="25"/>
  <c r="Q1398" i="25"/>
  <c r="P1398" i="25"/>
  <c r="F1398" i="25"/>
  <c r="Q1397" i="25"/>
  <c r="P1397" i="25"/>
  <c r="F1397" i="25"/>
  <c r="Q1396" i="25"/>
  <c r="P1396" i="25"/>
  <c r="F1396" i="25"/>
  <c r="Q1394" i="25"/>
  <c r="P1394" i="25"/>
  <c r="F1394" i="25"/>
  <c r="Q1393" i="25"/>
  <c r="P1393" i="25"/>
  <c r="F1393" i="25"/>
  <c r="Q1392" i="25"/>
  <c r="P1392" i="25"/>
  <c r="F1392" i="25"/>
  <c r="Q1391" i="25"/>
  <c r="P1391" i="25"/>
  <c r="F1391" i="25"/>
  <c r="Q1390" i="25"/>
  <c r="P1390" i="25"/>
  <c r="F1390" i="25"/>
  <c r="Q1389" i="25"/>
  <c r="P1389" i="25"/>
  <c r="F1389" i="25"/>
  <c r="Q1388" i="25"/>
  <c r="P1388" i="25"/>
  <c r="F1388" i="25"/>
  <c r="Q1387" i="25"/>
  <c r="P1387" i="25"/>
  <c r="F1387" i="25"/>
  <c r="Q1386" i="25"/>
  <c r="P1386" i="25"/>
  <c r="F1386" i="25"/>
  <c r="Q1385" i="25"/>
  <c r="P1385" i="25"/>
  <c r="F1385" i="25"/>
  <c r="Q1384" i="25"/>
  <c r="P1384" i="25"/>
  <c r="F1384" i="25"/>
  <c r="Q1383" i="25"/>
  <c r="P1383" i="25"/>
  <c r="F1383" i="25"/>
  <c r="Q1382" i="25"/>
  <c r="P1382" i="25"/>
  <c r="F1382" i="25"/>
  <c r="Q1381" i="25"/>
  <c r="P1381" i="25"/>
  <c r="F1381" i="25"/>
  <c r="Q1380" i="25"/>
  <c r="P1380" i="25"/>
  <c r="F1380" i="25"/>
  <c r="Q1379" i="25"/>
  <c r="P1379" i="25"/>
  <c r="F1379" i="25"/>
  <c r="Q1378" i="25"/>
  <c r="P1378" i="25"/>
  <c r="F1378" i="25"/>
  <c r="Q1377" i="25"/>
  <c r="P1377" i="25"/>
  <c r="F1377" i="25"/>
  <c r="Q1376" i="25"/>
  <c r="P1376" i="25"/>
  <c r="F1376" i="25"/>
  <c r="Q1375" i="25"/>
  <c r="P1375" i="25"/>
  <c r="F1375" i="25"/>
  <c r="Q1374" i="25"/>
  <c r="P1374" i="25"/>
  <c r="F1374" i="25"/>
  <c r="Q1373" i="25"/>
  <c r="P1373" i="25"/>
  <c r="F1373" i="25"/>
  <c r="Q1372" i="25"/>
  <c r="P1372" i="25"/>
  <c r="F1372" i="25"/>
  <c r="Q1371" i="25"/>
  <c r="P1371" i="25"/>
  <c r="F1371" i="25"/>
  <c r="Q1370" i="25"/>
  <c r="P1370" i="25"/>
  <c r="F1370" i="25"/>
  <c r="Q1368" i="25"/>
  <c r="P1368" i="25"/>
  <c r="F1368" i="25"/>
  <c r="Q1367" i="25"/>
  <c r="P1367" i="25"/>
  <c r="F1367" i="25"/>
  <c r="Q1366" i="25"/>
  <c r="P1366" i="25"/>
  <c r="F1366" i="25"/>
  <c r="Q1365" i="25"/>
  <c r="P1365" i="25"/>
  <c r="F1365" i="25"/>
  <c r="Q1364" i="25"/>
  <c r="P1364" i="25"/>
  <c r="F1364" i="25"/>
  <c r="Q1363" i="25"/>
  <c r="P1363" i="25"/>
  <c r="F1363" i="25"/>
  <c r="Q1362" i="25"/>
  <c r="P1362" i="25"/>
  <c r="F1362" i="25"/>
  <c r="Q1361" i="25"/>
  <c r="P1361" i="25"/>
  <c r="F1361" i="25"/>
  <c r="F1107" i="25"/>
  <c r="P1107" i="25"/>
  <c r="Q1107" i="25"/>
  <c r="F1108" i="25"/>
  <c r="P1108" i="25"/>
  <c r="Q1108" i="25"/>
  <c r="F1109" i="25"/>
  <c r="P1109" i="25"/>
  <c r="Q1109" i="25"/>
  <c r="F1110" i="25"/>
  <c r="P1110" i="25"/>
  <c r="Q1110" i="25"/>
  <c r="F1111" i="25"/>
  <c r="P1111" i="25"/>
  <c r="Q1111" i="25"/>
  <c r="F1112" i="25"/>
  <c r="P1112" i="25"/>
  <c r="Q1112" i="25"/>
  <c r="F1113" i="25"/>
  <c r="P1113" i="25"/>
  <c r="Q1113" i="25"/>
  <c r="F1114" i="25"/>
  <c r="P1114" i="25"/>
  <c r="Q1114" i="25"/>
  <c r="F1115" i="25"/>
  <c r="P1115" i="25"/>
  <c r="Q1115" i="25"/>
  <c r="F1116" i="25"/>
  <c r="P1116" i="25"/>
  <c r="Q1116" i="25"/>
  <c r="F1117" i="25"/>
  <c r="P1117" i="25"/>
  <c r="Q1117" i="25"/>
  <c r="F1118" i="25"/>
  <c r="P1118" i="25"/>
  <c r="Q1118" i="25"/>
  <c r="F1119" i="25"/>
  <c r="P1119" i="25"/>
  <c r="Q1119" i="25"/>
  <c r="F1120" i="25"/>
  <c r="P1120" i="25"/>
  <c r="Q1120" i="25"/>
  <c r="F1121" i="25"/>
  <c r="P1121" i="25"/>
  <c r="Q1121" i="25"/>
  <c r="F1122" i="25"/>
  <c r="P1122" i="25"/>
  <c r="Q1122" i="25"/>
  <c r="F1123" i="25"/>
  <c r="P1123" i="25"/>
  <c r="Q1123" i="25"/>
  <c r="F1124" i="25"/>
  <c r="P1124" i="25"/>
  <c r="Q1124" i="25"/>
  <c r="F1125" i="25"/>
  <c r="P1125" i="25"/>
  <c r="Q1125" i="25"/>
  <c r="F1126" i="25"/>
  <c r="P1126" i="25"/>
  <c r="Q1126" i="25"/>
  <c r="F1127" i="25"/>
  <c r="P1127" i="25"/>
  <c r="Q1127" i="25"/>
  <c r="F1128" i="25"/>
  <c r="P1128" i="25"/>
  <c r="Q1128" i="25"/>
  <c r="F1129" i="25"/>
  <c r="P1129" i="25"/>
  <c r="Q1129" i="25"/>
  <c r="F1130" i="25"/>
  <c r="P1130" i="25"/>
  <c r="Q1130" i="25"/>
  <c r="F1131" i="25"/>
  <c r="P1131" i="25"/>
  <c r="Q1131" i="25"/>
  <c r="F1132" i="25"/>
  <c r="P1132" i="25"/>
  <c r="Q1132" i="25"/>
  <c r="F1133" i="25"/>
  <c r="P1133" i="25"/>
  <c r="Q1133" i="25"/>
  <c r="F1134" i="25"/>
  <c r="P1134" i="25"/>
  <c r="Q1134" i="25"/>
  <c r="F1135" i="25"/>
  <c r="P1135" i="25"/>
  <c r="Q1135" i="25"/>
  <c r="F1136" i="25"/>
  <c r="P1136" i="25"/>
  <c r="Q1136" i="25"/>
  <c r="F1137" i="25"/>
  <c r="P1137" i="25"/>
  <c r="Q1137" i="25"/>
  <c r="F1138" i="25"/>
  <c r="P1138" i="25"/>
  <c r="Q1138" i="25"/>
  <c r="F1139" i="25"/>
  <c r="P1139" i="25"/>
  <c r="Q1139" i="25"/>
  <c r="F1140" i="25"/>
  <c r="P1140" i="25"/>
  <c r="Q1140" i="25"/>
  <c r="F1141" i="25"/>
  <c r="P1141" i="25"/>
  <c r="Q1141" i="25"/>
  <c r="F1142" i="25"/>
  <c r="P1142" i="25"/>
  <c r="Q1142" i="25"/>
  <c r="F1143" i="25"/>
  <c r="P1143" i="25"/>
  <c r="Q1143" i="25"/>
  <c r="F1144" i="25"/>
  <c r="P1144" i="25"/>
  <c r="Q1144" i="25"/>
  <c r="F1145" i="25"/>
  <c r="P1145" i="25"/>
  <c r="Q1145" i="25"/>
  <c r="F1146" i="25"/>
  <c r="P1146" i="25"/>
  <c r="Q1146" i="25"/>
  <c r="F1147" i="25"/>
  <c r="P1147" i="25"/>
  <c r="Q1147" i="25"/>
  <c r="F1148" i="25"/>
  <c r="P1148" i="25"/>
  <c r="Q1148" i="25"/>
  <c r="F1149" i="25"/>
  <c r="P1149" i="25"/>
  <c r="Q1149" i="25"/>
  <c r="F1150" i="25"/>
  <c r="P1150" i="25"/>
  <c r="Q1150" i="25"/>
  <c r="F1151" i="25"/>
  <c r="P1151" i="25"/>
  <c r="Q1151" i="25"/>
  <c r="F1152" i="25"/>
  <c r="P1152" i="25"/>
  <c r="Q1152" i="25"/>
  <c r="F1153" i="25"/>
  <c r="P1153" i="25"/>
  <c r="Q1153" i="25"/>
  <c r="F1154" i="25"/>
  <c r="P1154" i="25"/>
  <c r="Q1154" i="25"/>
  <c r="F1155" i="25"/>
  <c r="P1155" i="25"/>
  <c r="Q1155" i="25"/>
  <c r="F1156" i="25"/>
  <c r="P1156" i="25"/>
  <c r="Q1156" i="25"/>
  <c r="F1157" i="25"/>
  <c r="P1157" i="25"/>
  <c r="Q1157" i="25"/>
  <c r="F1158" i="25"/>
  <c r="P1158" i="25"/>
  <c r="Q1158" i="25"/>
  <c r="F1159" i="25"/>
  <c r="P1159" i="25"/>
  <c r="Q1159" i="25"/>
  <c r="F1160" i="25"/>
  <c r="P1160" i="25"/>
  <c r="Q1160" i="25"/>
  <c r="F1161" i="25"/>
  <c r="P1161" i="25"/>
  <c r="Q1161" i="25"/>
  <c r="F1162" i="25"/>
  <c r="P1162" i="25"/>
  <c r="Q1162" i="25"/>
  <c r="F1163" i="25"/>
  <c r="P1163" i="25"/>
  <c r="Q1163" i="25"/>
  <c r="F1164" i="25"/>
  <c r="P1164" i="25"/>
  <c r="Q1164" i="25"/>
  <c r="P1165" i="25"/>
  <c r="Q1165" i="25"/>
  <c r="F1166" i="25"/>
  <c r="P1166" i="25"/>
  <c r="Q1166" i="25"/>
  <c r="F1167" i="25"/>
  <c r="P1167" i="25"/>
  <c r="Q1167" i="25"/>
  <c r="F1168" i="25"/>
  <c r="P1168" i="25"/>
  <c r="Q1168" i="25"/>
  <c r="F1169" i="25"/>
  <c r="P1169" i="25"/>
  <c r="Q1169" i="25"/>
  <c r="F1170" i="25"/>
  <c r="P1170" i="25"/>
  <c r="Q1170" i="25"/>
  <c r="F1172" i="25"/>
  <c r="P1172" i="25"/>
  <c r="Q1172" i="25"/>
  <c r="F1173" i="25"/>
  <c r="P1173" i="25"/>
  <c r="Q1173" i="25"/>
  <c r="F1174" i="25"/>
  <c r="P1174" i="25"/>
  <c r="Q1174" i="25"/>
  <c r="F1175" i="25"/>
  <c r="P1175" i="25"/>
  <c r="Q1175" i="25"/>
  <c r="F1176" i="25"/>
  <c r="P1176" i="25"/>
  <c r="Q1176" i="25"/>
  <c r="F1177" i="25"/>
  <c r="P1177" i="25"/>
  <c r="Q1177" i="25"/>
  <c r="F1178" i="25"/>
  <c r="P1178" i="25"/>
  <c r="Q1178" i="25"/>
  <c r="F1179" i="25"/>
  <c r="P1179" i="25"/>
  <c r="Q1179" i="25"/>
  <c r="F1180" i="25"/>
  <c r="P1180" i="25"/>
  <c r="Q1180" i="25"/>
  <c r="F1181" i="25"/>
  <c r="P1181" i="25"/>
  <c r="Q1181" i="25"/>
  <c r="F1182" i="25"/>
  <c r="P1182" i="25"/>
  <c r="Q1182" i="25"/>
  <c r="F1183" i="25"/>
  <c r="P1183" i="25"/>
  <c r="Q1183" i="25"/>
  <c r="F1184" i="25"/>
  <c r="P1184" i="25"/>
  <c r="Q1184" i="25"/>
  <c r="F1185" i="25"/>
  <c r="P1185" i="25"/>
  <c r="Q1185" i="25"/>
  <c r="F1186" i="25"/>
  <c r="P1186" i="25"/>
  <c r="Q1186" i="25"/>
  <c r="F1187" i="25"/>
  <c r="P1187" i="25"/>
  <c r="Q1187" i="25"/>
  <c r="F1188" i="25"/>
  <c r="P1188" i="25"/>
  <c r="Q1188" i="25"/>
  <c r="F1189" i="25"/>
  <c r="P1189" i="25"/>
  <c r="Q1189" i="25"/>
  <c r="F1190" i="25"/>
  <c r="P1190" i="25"/>
  <c r="Q1190" i="25"/>
  <c r="F1191" i="25"/>
  <c r="P1191" i="25"/>
  <c r="Q1191" i="25"/>
  <c r="F1192" i="25"/>
  <c r="P1192" i="25"/>
  <c r="Q1192" i="25"/>
  <c r="F1193" i="25"/>
  <c r="P1193" i="25"/>
  <c r="Q1193" i="25"/>
  <c r="F1194" i="25"/>
  <c r="P1194" i="25"/>
  <c r="Q1194" i="25"/>
  <c r="F1195" i="25"/>
  <c r="P1195" i="25"/>
  <c r="Q1195" i="25"/>
  <c r="F1197" i="25"/>
  <c r="P1197" i="25"/>
  <c r="Q1197" i="25"/>
  <c r="F1198" i="25"/>
  <c r="P1198" i="25"/>
  <c r="Q1198" i="25"/>
  <c r="F1199" i="25"/>
  <c r="P1199" i="25"/>
  <c r="Q1199" i="25"/>
  <c r="F1200" i="25"/>
  <c r="P1200" i="25"/>
  <c r="Q1200" i="25"/>
  <c r="F1201" i="25"/>
  <c r="P1201" i="25"/>
  <c r="Q1201" i="25"/>
  <c r="F1202" i="25"/>
  <c r="P1202" i="25"/>
  <c r="Q1202" i="25"/>
  <c r="F1203" i="25"/>
  <c r="P1203" i="25"/>
  <c r="Q1203" i="25"/>
  <c r="F1204" i="25"/>
  <c r="P1204" i="25"/>
  <c r="Q1204" i="25"/>
  <c r="F1205" i="25"/>
  <c r="P1205" i="25"/>
  <c r="Q1205" i="25"/>
  <c r="F1206" i="25"/>
  <c r="P1206" i="25"/>
  <c r="Q1206" i="25"/>
  <c r="F1328" i="25"/>
  <c r="Q1325" i="25"/>
  <c r="P1325" i="25"/>
  <c r="Q1324" i="25"/>
  <c r="P1324" i="25"/>
  <c r="Q1360" i="25"/>
  <c r="P1360" i="25"/>
  <c r="F1360" i="25"/>
  <c r="C116" i="30" s="1"/>
  <c r="Q1359" i="25"/>
  <c r="P1359" i="25"/>
  <c r="F1359" i="25"/>
  <c r="Q1357" i="25"/>
  <c r="P1357" i="25"/>
  <c r="F1357" i="25"/>
  <c r="Q1356" i="25"/>
  <c r="P1356" i="25"/>
  <c r="F1356" i="25"/>
  <c r="Q1355" i="25"/>
  <c r="P1355" i="25"/>
  <c r="F1355" i="25"/>
  <c r="Q1354" i="25"/>
  <c r="P1354" i="25"/>
  <c r="F1354" i="25"/>
  <c r="Q1350" i="25"/>
  <c r="P1350" i="25"/>
  <c r="F1350" i="25"/>
  <c r="Q1349" i="25"/>
  <c r="P1349" i="25"/>
  <c r="F1349" i="25"/>
  <c r="Q1345" i="25"/>
  <c r="P1345" i="25"/>
  <c r="F1345" i="25"/>
  <c r="Q1331" i="25"/>
  <c r="P1331" i="25"/>
  <c r="F1331" i="25"/>
  <c r="Q1332" i="25"/>
  <c r="P1332" i="25"/>
  <c r="F1332" i="25"/>
  <c r="Q1327" i="25"/>
  <c r="P1327" i="25"/>
  <c r="F1327" i="25"/>
  <c r="N1093" i="15"/>
  <c r="I1093" i="15" s="1"/>
  <c r="T1074" i="1"/>
  <c r="O1074" i="1"/>
  <c r="J1074" i="1"/>
  <c r="I1074" i="1"/>
  <c r="B1074" i="1"/>
  <c r="Q1320" i="25"/>
  <c r="P1320" i="25"/>
  <c r="Q1279" i="25"/>
  <c r="P1279" i="25"/>
  <c r="Q1212" i="25"/>
  <c r="P1212" i="25"/>
  <c r="F1320" i="25"/>
  <c r="F1279" i="25"/>
  <c r="F1212" i="25"/>
  <c r="Q1326" i="25"/>
  <c r="P1326" i="25"/>
  <c r="F1326" i="25"/>
  <c r="C124" i="30" s="1"/>
  <c r="F1325" i="25"/>
  <c r="F1324" i="25"/>
  <c r="Q1323" i="25"/>
  <c r="P1323" i="25"/>
  <c r="F1323" i="25"/>
  <c r="B1073" i="15"/>
  <c r="C1073" i="15"/>
  <c r="D1073" i="15"/>
  <c r="F1073" i="15"/>
  <c r="L1073" i="15" a="1"/>
  <c r="L1073" i="15" s="1"/>
  <c r="M1073" i="15" s="1"/>
  <c r="B1072" i="15"/>
  <c r="C1072" i="15"/>
  <c r="D1072" i="15"/>
  <c r="F1072" i="15"/>
  <c r="L1072" i="15" a="1"/>
  <c r="L1072" i="15" s="1"/>
  <c r="M1072" i="15" s="1"/>
  <c r="B1070" i="1"/>
  <c r="B1071" i="1"/>
  <c r="B1072" i="1"/>
  <c r="B1073" i="1"/>
  <c r="I1070" i="1"/>
  <c r="I1071" i="1"/>
  <c r="I1072" i="1"/>
  <c r="I1073" i="1"/>
  <c r="J1070" i="1"/>
  <c r="J1071" i="1"/>
  <c r="J1072" i="1"/>
  <c r="J1073" i="1"/>
  <c r="O1070" i="1"/>
  <c r="O1071" i="1"/>
  <c r="O1072" i="1"/>
  <c r="O1073" i="1"/>
  <c r="T1070" i="1"/>
  <c r="T1071" i="1"/>
  <c r="T1072" i="1"/>
  <c r="T1073" i="1"/>
  <c r="B1068" i="1"/>
  <c r="B1069" i="1"/>
  <c r="I1068" i="1"/>
  <c r="I1069" i="1"/>
  <c r="J1068" i="1"/>
  <c r="J1069" i="1"/>
  <c r="O1068" i="1"/>
  <c r="O1069" i="1"/>
  <c r="T1068" i="1"/>
  <c r="T1069" i="1"/>
  <c r="B1066" i="1"/>
  <c r="B1067" i="1"/>
  <c r="I1066" i="1"/>
  <c r="I1067" i="1"/>
  <c r="J1066" i="1"/>
  <c r="J1067" i="1"/>
  <c r="O1066" i="1"/>
  <c r="O1067" i="1"/>
  <c r="T1066" i="1"/>
  <c r="T1067" i="1"/>
  <c r="H1059" i="1"/>
  <c r="G1059" i="1"/>
  <c r="B1065" i="1"/>
  <c r="I1065" i="1"/>
  <c r="J1065" i="1"/>
  <c r="O1065" i="1"/>
  <c r="T1065" i="1"/>
  <c r="B1055" i="1"/>
  <c r="B1056" i="1"/>
  <c r="B1057" i="1"/>
  <c r="B1058" i="1"/>
  <c r="B1059" i="1"/>
  <c r="B1060" i="1"/>
  <c r="B1061" i="1"/>
  <c r="B1062" i="1"/>
  <c r="B1063" i="1"/>
  <c r="B1064" i="1"/>
  <c r="I1055" i="1"/>
  <c r="I1056" i="1"/>
  <c r="I1057" i="1"/>
  <c r="I1058" i="1"/>
  <c r="I1060" i="1"/>
  <c r="I1061" i="1"/>
  <c r="I1062" i="1"/>
  <c r="I1063" i="1"/>
  <c r="I1064" i="1"/>
  <c r="J1055" i="1"/>
  <c r="J1056" i="1"/>
  <c r="J1057" i="1"/>
  <c r="J1058" i="1"/>
  <c r="J1060" i="1"/>
  <c r="J1061" i="1"/>
  <c r="J1062" i="1"/>
  <c r="J1063" i="1"/>
  <c r="J1064" i="1"/>
  <c r="O1055" i="1"/>
  <c r="O1056" i="1"/>
  <c r="O1057" i="1"/>
  <c r="O1058" i="1"/>
  <c r="O1059" i="1"/>
  <c r="O1060" i="1"/>
  <c r="O1061" i="1"/>
  <c r="O1062" i="1"/>
  <c r="O1063" i="1"/>
  <c r="O1064" i="1"/>
  <c r="T1055" i="1"/>
  <c r="T1056" i="1"/>
  <c r="T1057" i="1"/>
  <c r="T1058" i="1"/>
  <c r="T1059" i="1"/>
  <c r="T1060" i="1"/>
  <c r="T1061" i="1"/>
  <c r="T1062" i="1"/>
  <c r="T1063" i="1"/>
  <c r="T1064" i="1"/>
  <c r="B1047" i="15"/>
  <c r="C1047" i="15"/>
  <c r="D1047" i="15"/>
  <c r="F1047" i="15"/>
  <c r="L1047" i="15" a="1"/>
  <c r="L1047" i="15" s="1"/>
  <c r="M1047" i="15" s="1"/>
  <c r="P1300" i="25"/>
  <c r="Q1300" i="25"/>
  <c r="P1299" i="25"/>
  <c r="Q1299" i="25"/>
  <c r="P1298" i="25"/>
  <c r="Q1298" i="25"/>
  <c r="P1297" i="25"/>
  <c r="Q1297" i="25"/>
  <c r="P1301" i="25"/>
  <c r="Q1301" i="25"/>
  <c r="P1294" i="25"/>
  <c r="Q1294" i="25"/>
  <c r="P1276" i="25"/>
  <c r="Q1276" i="25"/>
  <c r="P1273" i="25"/>
  <c r="Q1273" i="25"/>
  <c r="P1306" i="25"/>
  <c r="Q1306" i="25"/>
  <c r="P1305" i="25"/>
  <c r="Q1305" i="25"/>
  <c r="F1306" i="25"/>
  <c r="F1305" i="25"/>
  <c r="P1304" i="25"/>
  <c r="Q1304" i="25"/>
  <c r="F1304" i="25"/>
  <c r="P1303" i="25"/>
  <c r="Q1303" i="25"/>
  <c r="F1303" i="25"/>
  <c r="F1273" i="25"/>
  <c r="F1301" i="25"/>
  <c r="F1300" i="25"/>
  <c r="F1299" i="25"/>
  <c r="F1298" i="25"/>
  <c r="F1297" i="25"/>
  <c r="P1296" i="25"/>
  <c r="Q1296" i="25"/>
  <c r="F1296" i="25"/>
  <c r="F1276" i="25"/>
  <c r="F1294" i="25"/>
  <c r="Q1272" i="25"/>
  <c r="P1272" i="25"/>
  <c r="F1272" i="25"/>
  <c r="T1053" i="1"/>
  <c r="T1054" i="1"/>
  <c r="O1053" i="1"/>
  <c r="O1054" i="1"/>
  <c r="J1053" i="1"/>
  <c r="J1054" i="1"/>
  <c r="I1053" i="1"/>
  <c r="I1054" i="1"/>
  <c r="B1053" i="1"/>
  <c r="B1054" i="1"/>
  <c r="F1461" i="25"/>
  <c r="P1461" i="25"/>
  <c r="Q1461" i="25"/>
  <c r="F1395" i="25"/>
  <c r="P1395" i="25"/>
  <c r="Q1395" i="25"/>
  <c r="F1347" i="25"/>
  <c r="B1052" i="1"/>
  <c r="I1052" i="1"/>
  <c r="J1052" i="1"/>
  <c r="O1052" i="1"/>
  <c r="T1052" i="1"/>
  <c r="I1116" i="1"/>
  <c r="B160" i="15"/>
  <c r="C160" i="15"/>
  <c r="D160" i="15"/>
  <c r="F160" i="15"/>
  <c r="L160" i="15" a="1"/>
  <c r="L160" i="15" s="1"/>
  <c r="M160" i="15" s="1"/>
  <c r="B85" i="15"/>
  <c r="C85" i="15"/>
  <c r="D85" i="15"/>
  <c r="F85" i="15"/>
  <c r="L85" i="15" a="1"/>
  <c r="L85" i="15" s="1"/>
  <c r="M85" i="15" s="1"/>
  <c r="B345" i="15"/>
  <c r="C345" i="15"/>
  <c r="D345" i="15"/>
  <c r="F345" i="15"/>
  <c r="L345" i="15" a="1"/>
  <c r="L345" i="15" s="1"/>
  <c r="M345" i="15" s="1"/>
  <c r="B344" i="15"/>
  <c r="C344" i="15"/>
  <c r="D344" i="15"/>
  <c r="F344" i="15"/>
  <c r="L344" i="15" a="1"/>
  <c r="L344" i="15" s="1"/>
  <c r="M344" i="15" s="1"/>
  <c r="B347" i="15"/>
  <c r="C347" i="15"/>
  <c r="D347" i="15"/>
  <c r="F347" i="15"/>
  <c r="L347" i="15" a="1"/>
  <c r="L347" i="15" s="1"/>
  <c r="M347" i="15" s="1"/>
  <c r="P1290" i="25"/>
  <c r="Q1290" i="25"/>
  <c r="F1290" i="25"/>
  <c r="B346" i="15"/>
  <c r="C346" i="15"/>
  <c r="D346" i="15"/>
  <c r="F346" i="15"/>
  <c r="L346" i="15" a="1"/>
  <c r="L346" i="15" s="1"/>
  <c r="M346" i="15" s="1"/>
  <c r="B349" i="15"/>
  <c r="C349" i="15"/>
  <c r="D349" i="15"/>
  <c r="F349" i="15"/>
  <c r="L349" i="15" a="1"/>
  <c r="L349" i="15" s="1"/>
  <c r="M349" i="15" s="1"/>
  <c r="B348" i="15"/>
  <c r="C348" i="15"/>
  <c r="D348" i="15"/>
  <c r="F348" i="15"/>
  <c r="L348" i="15" a="1"/>
  <c r="L348" i="15" s="1"/>
  <c r="M348" i="15" s="1"/>
  <c r="B267" i="15"/>
  <c r="C267" i="15"/>
  <c r="D267" i="15"/>
  <c r="F267" i="15"/>
  <c r="L267" i="15" a="1"/>
  <c r="L267" i="15" s="1"/>
  <c r="M267" i="15" s="1"/>
  <c r="B265" i="15"/>
  <c r="C265" i="15"/>
  <c r="D265" i="15"/>
  <c r="F265" i="15"/>
  <c r="L265" i="15" a="1"/>
  <c r="L265" i="15" s="1"/>
  <c r="M265" i="15" s="1"/>
  <c r="B266" i="15"/>
  <c r="C266" i="15"/>
  <c r="D266" i="15"/>
  <c r="F266" i="15"/>
  <c r="L266" i="15" a="1"/>
  <c r="L266" i="15" s="1"/>
  <c r="M266" i="15" s="1"/>
  <c r="B208" i="15"/>
  <c r="C208" i="15"/>
  <c r="D208" i="15"/>
  <c r="F208" i="15"/>
  <c r="L208" i="15" a="1"/>
  <c r="L208" i="15" s="1"/>
  <c r="M208" i="15" s="1"/>
  <c r="B203" i="15"/>
  <c r="C203" i="15"/>
  <c r="D203" i="15"/>
  <c r="F203" i="15"/>
  <c r="L203" i="15" a="1"/>
  <c r="L203" i="15" s="1"/>
  <c r="M203" i="15" s="1"/>
  <c r="B202" i="15"/>
  <c r="C202" i="15"/>
  <c r="D202" i="15"/>
  <c r="F202" i="15"/>
  <c r="L202" i="15" a="1"/>
  <c r="L202" i="15" s="1"/>
  <c r="M202" i="15" s="1"/>
  <c r="B194" i="15"/>
  <c r="C194" i="15"/>
  <c r="D194" i="15"/>
  <c r="F194" i="15"/>
  <c r="L194" i="15" a="1"/>
  <c r="L194" i="15" s="1"/>
  <c r="M194" i="15" s="1"/>
  <c r="B192" i="15"/>
  <c r="C192" i="15"/>
  <c r="D192" i="15"/>
  <c r="F192" i="15"/>
  <c r="L192" i="15" a="1"/>
  <c r="L192" i="15" s="1"/>
  <c r="M192" i="15" s="1"/>
  <c r="I1740" i="15"/>
  <c r="I1142" i="15"/>
  <c r="B1051" i="1"/>
  <c r="I1051" i="1"/>
  <c r="J1051" i="1"/>
  <c r="O1051" i="1"/>
  <c r="T1051" i="1"/>
  <c r="B1048" i="1"/>
  <c r="B1049" i="1"/>
  <c r="B1050" i="1"/>
  <c r="I1048" i="1"/>
  <c r="I1049" i="1"/>
  <c r="I1050" i="1"/>
  <c r="J1048" i="1"/>
  <c r="J1049" i="1"/>
  <c r="J1050" i="1"/>
  <c r="O1048" i="1"/>
  <c r="O1049" i="1"/>
  <c r="O1050" i="1"/>
  <c r="T1048" i="1"/>
  <c r="T1049" i="1"/>
  <c r="T1050" i="1"/>
  <c r="P1295" i="25"/>
  <c r="Q1295" i="25"/>
  <c r="F1295" i="25"/>
  <c r="L592" i="15" a="1"/>
  <c r="L592" i="15" s="1"/>
  <c r="L456" i="15" a="1"/>
  <c r="L456" i="15" s="1"/>
  <c r="P1287" i="25"/>
  <c r="Q1287" i="25"/>
  <c r="F1287" i="25"/>
  <c r="P1293" i="25"/>
  <c r="Q1293" i="25"/>
  <c r="F1293" i="25"/>
  <c r="N994" i="15"/>
  <c r="B994" i="15"/>
  <c r="C994" i="15"/>
  <c r="D994" i="15"/>
  <c r="F994" i="15"/>
  <c r="L994" i="15" a="1"/>
  <c r="L994" i="15" s="1"/>
  <c r="M994" i="15" s="1"/>
  <c r="P1369" i="25"/>
  <c r="P1416" i="25"/>
  <c r="P1433" i="25"/>
  <c r="P1283" i="25"/>
  <c r="P1275" i="25"/>
  <c r="P1278" i="25"/>
  <c r="P1265" i="25"/>
  <c r="P1282" i="25"/>
  <c r="P1288" i="25"/>
  <c r="P1289" i="25"/>
  <c r="P1292" i="25"/>
  <c r="P1286" i="25"/>
  <c r="Q1369" i="25"/>
  <c r="Q1416" i="25"/>
  <c r="Q1433" i="25"/>
  <c r="Q1283" i="25"/>
  <c r="Q1275" i="25"/>
  <c r="Q1278" i="25"/>
  <c r="Q1265" i="25"/>
  <c r="Q1282" i="25"/>
  <c r="Q1288" i="25"/>
  <c r="Q1289" i="25"/>
  <c r="Q1292" i="25"/>
  <c r="Q1286" i="25"/>
  <c r="B72" i="15"/>
  <c r="C72" i="15"/>
  <c r="D72" i="15"/>
  <c r="F72" i="15"/>
  <c r="L72" i="15" a="1"/>
  <c r="L72" i="15" s="1"/>
  <c r="M72" i="15" s="1"/>
  <c r="B60" i="15"/>
  <c r="C60" i="15"/>
  <c r="D60" i="15"/>
  <c r="F60" i="15"/>
  <c r="L60" i="15" a="1"/>
  <c r="L60" i="15" s="1"/>
  <c r="M60" i="15" s="1"/>
  <c r="B137" i="15"/>
  <c r="C137" i="15"/>
  <c r="D137" i="15"/>
  <c r="F137" i="15"/>
  <c r="L137" i="15" a="1"/>
  <c r="L137" i="15" s="1"/>
  <c r="M137" i="15" s="1"/>
  <c r="B76" i="15"/>
  <c r="C76" i="15"/>
  <c r="D76" i="15"/>
  <c r="F76" i="15"/>
  <c r="L76" i="15" a="1"/>
  <c r="L76" i="15" s="1"/>
  <c r="M76" i="15" s="1"/>
  <c r="B87" i="15"/>
  <c r="C87" i="15"/>
  <c r="D87" i="15"/>
  <c r="F87" i="15"/>
  <c r="L87" i="15" a="1"/>
  <c r="L87" i="15" s="1"/>
  <c r="M87" i="15" s="1"/>
  <c r="F1322" i="25"/>
  <c r="F1286" i="25"/>
  <c r="F1292" i="25"/>
  <c r="G208" i="1"/>
  <c r="G177" i="1"/>
  <c r="B1047" i="1"/>
  <c r="I1047" i="1"/>
  <c r="J1047" i="1"/>
  <c r="O1047" i="1"/>
  <c r="T1047" i="1"/>
  <c r="F1289" i="25"/>
  <c r="F1288" i="25"/>
  <c r="C121" i="30" l="1"/>
  <c r="E129" i="30"/>
  <c r="E128" i="30"/>
  <c r="C122" i="30"/>
  <c r="C129" i="30"/>
  <c r="D129" i="30"/>
  <c r="F129" i="30"/>
  <c r="F128" i="30"/>
  <c r="C115" i="30"/>
  <c r="C117" i="30"/>
  <c r="J1059" i="1"/>
  <c r="I1059" i="1"/>
  <c r="L86" i="15" a="1"/>
  <c r="L86" i="15" s="1"/>
  <c r="U197" i="3"/>
  <c r="V197" i="3"/>
  <c r="G2250" i="15"/>
  <c r="G2309" i="15"/>
  <c r="G2366" i="15"/>
  <c r="G2417" i="15"/>
  <c r="G2465" i="15"/>
  <c r="G2508" i="15"/>
  <c r="G2545" i="15"/>
  <c r="G2583" i="15"/>
  <c r="G2620" i="15"/>
  <c r="G2179" i="15"/>
  <c r="B2583" i="15"/>
  <c r="B2620" i="15"/>
  <c r="C2583" i="15"/>
  <c r="C2620" i="15"/>
  <c r="D2583" i="15"/>
  <c r="D2620" i="15"/>
  <c r="F2583" i="15"/>
  <c r="F2620" i="15"/>
  <c r="L2583" i="15" a="1"/>
  <c r="L2583" i="15" s="1"/>
  <c r="M2583" i="15" s="1"/>
  <c r="L2620" i="15" a="1"/>
  <c r="L2620" i="15" s="1"/>
  <c r="M2620" i="15" s="1"/>
  <c r="B2465" i="15"/>
  <c r="B2508" i="15"/>
  <c r="B2545" i="15"/>
  <c r="C2465" i="15"/>
  <c r="C2508" i="15"/>
  <c r="C2545" i="15"/>
  <c r="D2465" i="15"/>
  <c r="D2508" i="15"/>
  <c r="D2545" i="15"/>
  <c r="F2465" i="15"/>
  <c r="F2508" i="15"/>
  <c r="F2545" i="15"/>
  <c r="L2465" i="15" a="1"/>
  <c r="L2465" i="15" s="1"/>
  <c r="M2465" i="15" s="1"/>
  <c r="L2508" i="15" a="1"/>
  <c r="L2508" i="15" s="1"/>
  <c r="M2508" i="15" s="1"/>
  <c r="L2545" i="15" a="1"/>
  <c r="L2545" i="15" s="1"/>
  <c r="M2545" i="15" s="1"/>
  <c r="B1614" i="15"/>
  <c r="B1696" i="15"/>
  <c r="B1771" i="15"/>
  <c r="B2179" i="15"/>
  <c r="B2250" i="15"/>
  <c r="B2309" i="15"/>
  <c r="B2366" i="15"/>
  <c r="B2417" i="15"/>
  <c r="C1614" i="15"/>
  <c r="C1696" i="15"/>
  <c r="C1771" i="15"/>
  <c r="C2179" i="15"/>
  <c r="C2250" i="15"/>
  <c r="C2309" i="15"/>
  <c r="C2366" i="15"/>
  <c r="C2417" i="15"/>
  <c r="D1614" i="15"/>
  <c r="D1696" i="15"/>
  <c r="D1771" i="15"/>
  <c r="D2179" i="15"/>
  <c r="D2250" i="15"/>
  <c r="D2309" i="15"/>
  <c r="D2366" i="15"/>
  <c r="D2417" i="15"/>
  <c r="F1614" i="15"/>
  <c r="F1696" i="15"/>
  <c r="F1771" i="15"/>
  <c r="F2179" i="15"/>
  <c r="F2250" i="15"/>
  <c r="F2309" i="15"/>
  <c r="F2366" i="15"/>
  <c r="F2417" i="15"/>
  <c r="L1614" i="15" a="1"/>
  <c r="L1614" i="15" s="1"/>
  <c r="M1614" i="15" s="1"/>
  <c r="L1696" i="15" a="1"/>
  <c r="L1696" i="15" s="1"/>
  <c r="M1696" i="15" s="1"/>
  <c r="L1771" i="15" a="1"/>
  <c r="L1771" i="15" s="1"/>
  <c r="M1771" i="15" s="1"/>
  <c r="L2179" i="15" a="1"/>
  <c r="L2179" i="15" s="1"/>
  <c r="M2179" i="15" s="1"/>
  <c r="L2250" i="15" a="1"/>
  <c r="L2250" i="15" s="1"/>
  <c r="M2250" i="15" s="1"/>
  <c r="L2309" i="15" a="1"/>
  <c r="L2309" i="15" s="1"/>
  <c r="M2309" i="15" s="1"/>
  <c r="L2366" i="15" a="1"/>
  <c r="L2366" i="15" s="1"/>
  <c r="M2366" i="15" s="1"/>
  <c r="L2417" i="15" a="1"/>
  <c r="L2417" i="15" s="1"/>
  <c r="M2417" i="15" s="1"/>
  <c r="B1017" i="15"/>
  <c r="B1112" i="15"/>
  <c r="B1220" i="15"/>
  <c r="B1335" i="15"/>
  <c r="B1435" i="15"/>
  <c r="B1531" i="15"/>
  <c r="C1017" i="15"/>
  <c r="C1112" i="15"/>
  <c r="C1220" i="15"/>
  <c r="C1335" i="15"/>
  <c r="C1435" i="15"/>
  <c r="C1531" i="15"/>
  <c r="D1017" i="15"/>
  <c r="D1112" i="15"/>
  <c r="D1220" i="15"/>
  <c r="D1335" i="15"/>
  <c r="D1435" i="15"/>
  <c r="D1531" i="15"/>
  <c r="F1017" i="15"/>
  <c r="F1112" i="15"/>
  <c r="F1220" i="15"/>
  <c r="F1335" i="15"/>
  <c r="F1435" i="15"/>
  <c r="F1531" i="15"/>
  <c r="L1017" i="15" a="1"/>
  <c r="L1017" i="15" s="1"/>
  <c r="M1017" i="15" s="1"/>
  <c r="L1112" i="15" a="1"/>
  <c r="L1112" i="15" s="1"/>
  <c r="M1112" i="15" s="1"/>
  <c r="L1220" i="15" a="1"/>
  <c r="L1220" i="15" s="1"/>
  <c r="M1220" i="15" s="1"/>
  <c r="L1335" i="15" a="1"/>
  <c r="L1335" i="15" s="1"/>
  <c r="M1335" i="15" s="1"/>
  <c r="L1435" i="15" a="1"/>
  <c r="L1435" i="15" s="1"/>
  <c r="M1435" i="15" s="1"/>
  <c r="L1531" i="15" a="1"/>
  <c r="L1531" i="15" s="1"/>
  <c r="M1531" i="15" s="1"/>
  <c r="B1011" i="15"/>
  <c r="C1011" i="15"/>
  <c r="D1011" i="15"/>
  <c r="F1011" i="15"/>
  <c r="L1011" i="15" a="1"/>
  <c r="L1011" i="15" s="1"/>
  <c r="G197" i="3"/>
  <c r="R1041" i="1" s="1"/>
  <c r="J197" i="3"/>
  <c r="P197" i="3"/>
  <c r="Q197" i="3"/>
  <c r="S197" i="3"/>
  <c r="B1046" i="1"/>
  <c r="I1046" i="1"/>
  <c r="J1046" i="1"/>
  <c r="O1046" i="1"/>
  <c r="T1046" i="1"/>
  <c r="B1041" i="1"/>
  <c r="B1042" i="1"/>
  <c r="B1043" i="1"/>
  <c r="B1044" i="1"/>
  <c r="B1045" i="1"/>
  <c r="I1041" i="1"/>
  <c r="I1042" i="1"/>
  <c r="I1043" i="1"/>
  <c r="I1044" i="1"/>
  <c r="I1045" i="1"/>
  <c r="J1041" i="1"/>
  <c r="N197" i="3" s="1"/>
  <c r="J1042" i="1"/>
  <c r="J1043" i="1"/>
  <c r="J1044" i="1"/>
  <c r="J1045" i="1"/>
  <c r="O1041" i="1"/>
  <c r="O1042" i="1"/>
  <c r="O1043" i="1"/>
  <c r="O1044" i="1"/>
  <c r="O1045" i="1"/>
  <c r="T1041" i="1"/>
  <c r="T1042" i="1"/>
  <c r="T1043" i="1"/>
  <c r="T1044" i="1"/>
  <c r="T1045" i="1"/>
  <c r="B1040" i="1"/>
  <c r="I1040" i="1"/>
  <c r="J1040" i="1"/>
  <c r="O1040" i="1"/>
  <c r="T1040" i="1"/>
  <c r="B1039" i="1"/>
  <c r="I1039" i="1"/>
  <c r="J1039" i="1"/>
  <c r="O1039" i="1"/>
  <c r="T1039" i="1"/>
  <c r="B1037" i="1"/>
  <c r="B1038" i="1"/>
  <c r="I1037" i="1"/>
  <c r="I1038" i="1"/>
  <c r="J1037" i="1"/>
  <c r="J1038" i="1"/>
  <c r="O1037" i="1"/>
  <c r="O1038" i="1"/>
  <c r="T1037" i="1"/>
  <c r="T1038" i="1"/>
  <c r="B1036" i="1"/>
  <c r="I1036" i="1"/>
  <c r="J1036" i="1"/>
  <c r="O1036" i="1"/>
  <c r="T1036" i="1"/>
  <c r="B1035" i="1"/>
  <c r="I1035" i="1"/>
  <c r="J1035" i="1"/>
  <c r="O1035" i="1"/>
  <c r="T1035" i="1"/>
  <c r="I1119" i="15"/>
  <c r="I1080" i="15"/>
  <c r="P2" i="25"/>
  <c r="P3" i="25"/>
  <c r="P4" i="25"/>
  <c r="P5" i="25"/>
  <c r="P6" i="25"/>
  <c r="P7" i="25"/>
  <c r="P8" i="25"/>
  <c r="P9" i="25"/>
  <c r="P10" i="25"/>
  <c r="P11" i="25"/>
  <c r="P12" i="25"/>
  <c r="P13" i="25"/>
  <c r="P14" i="25"/>
  <c r="P15" i="25"/>
  <c r="P16" i="25"/>
  <c r="P17" i="25"/>
  <c r="P18" i="25"/>
  <c r="P19" i="25"/>
  <c r="P20" i="25"/>
  <c r="P21" i="25"/>
  <c r="P22" i="25"/>
  <c r="P23" i="25"/>
  <c r="P24" i="25"/>
  <c r="P25" i="25"/>
  <c r="P26" i="25"/>
  <c r="P27" i="25"/>
  <c r="P28" i="25"/>
  <c r="P29" i="25"/>
  <c r="P30" i="25"/>
  <c r="P31" i="25"/>
  <c r="P32" i="25"/>
  <c r="P33" i="25"/>
  <c r="P34" i="25"/>
  <c r="P35" i="25"/>
  <c r="P36" i="25"/>
  <c r="P37" i="25"/>
  <c r="P38" i="25"/>
  <c r="P39" i="25"/>
  <c r="P40" i="25"/>
  <c r="P41" i="25"/>
  <c r="P42" i="25"/>
  <c r="P43" i="25"/>
  <c r="P44" i="25"/>
  <c r="P45" i="25"/>
  <c r="P46" i="25"/>
  <c r="P47" i="25"/>
  <c r="P48" i="25"/>
  <c r="P49" i="25"/>
  <c r="P50" i="25"/>
  <c r="P51" i="25"/>
  <c r="P52" i="25"/>
  <c r="P53" i="25"/>
  <c r="P54" i="25"/>
  <c r="P55" i="25"/>
  <c r="P56" i="25"/>
  <c r="P57" i="25"/>
  <c r="P58" i="25"/>
  <c r="P59" i="25"/>
  <c r="P60" i="25"/>
  <c r="P61" i="25"/>
  <c r="P62" i="25"/>
  <c r="P63" i="25"/>
  <c r="P64" i="25"/>
  <c r="P65" i="25"/>
  <c r="P66" i="25"/>
  <c r="P67" i="25"/>
  <c r="P68" i="25"/>
  <c r="P69" i="25"/>
  <c r="P70" i="25"/>
  <c r="P71" i="25"/>
  <c r="P72" i="25"/>
  <c r="P73" i="25"/>
  <c r="P74" i="25"/>
  <c r="P75" i="25"/>
  <c r="P76" i="25"/>
  <c r="P77" i="25"/>
  <c r="P78" i="25"/>
  <c r="P79" i="25"/>
  <c r="P80" i="25"/>
  <c r="P81" i="25"/>
  <c r="P82" i="25"/>
  <c r="P83" i="25"/>
  <c r="P84" i="25"/>
  <c r="P85" i="25"/>
  <c r="P86" i="25"/>
  <c r="P87" i="25"/>
  <c r="P88" i="25"/>
  <c r="P89" i="25"/>
  <c r="P90" i="25"/>
  <c r="P91" i="25"/>
  <c r="P92" i="25"/>
  <c r="P93" i="25"/>
  <c r="P94" i="25"/>
  <c r="P95" i="25"/>
  <c r="P96" i="25"/>
  <c r="P97" i="25"/>
  <c r="P98" i="25"/>
  <c r="P99" i="25"/>
  <c r="P100" i="25"/>
  <c r="P101" i="25"/>
  <c r="P102" i="25"/>
  <c r="P103" i="25"/>
  <c r="P104" i="25"/>
  <c r="P105" i="25"/>
  <c r="P106" i="25"/>
  <c r="P107" i="25"/>
  <c r="P108" i="25"/>
  <c r="P109" i="25"/>
  <c r="P110" i="25"/>
  <c r="P111" i="25"/>
  <c r="P112" i="25"/>
  <c r="P113" i="25"/>
  <c r="P114" i="25"/>
  <c r="P115" i="25"/>
  <c r="P116" i="25"/>
  <c r="P117" i="25"/>
  <c r="P118" i="25"/>
  <c r="P119" i="25"/>
  <c r="P120" i="25"/>
  <c r="P121" i="25"/>
  <c r="P122" i="25"/>
  <c r="P123" i="25"/>
  <c r="P124" i="25"/>
  <c r="P125" i="25"/>
  <c r="P126" i="25"/>
  <c r="P127" i="25"/>
  <c r="P128" i="25"/>
  <c r="P129" i="25"/>
  <c r="P130" i="25"/>
  <c r="P131" i="25"/>
  <c r="P132" i="25"/>
  <c r="P133" i="25"/>
  <c r="P134" i="25"/>
  <c r="P135" i="25"/>
  <c r="P136" i="25"/>
  <c r="P137" i="25"/>
  <c r="P138" i="25"/>
  <c r="P139" i="25"/>
  <c r="P140" i="25"/>
  <c r="P141" i="25"/>
  <c r="P142" i="25"/>
  <c r="P143" i="25"/>
  <c r="P144" i="25"/>
  <c r="P145" i="25"/>
  <c r="P146" i="25"/>
  <c r="P147" i="25"/>
  <c r="P148" i="25"/>
  <c r="P149" i="25"/>
  <c r="P150" i="25"/>
  <c r="P151" i="25"/>
  <c r="P152" i="25"/>
  <c r="P153" i="25"/>
  <c r="P154" i="25"/>
  <c r="P155" i="25"/>
  <c r="P156" i="25"/>
  <c r="P157" i="25"/>
  <c r="P158" i="25"/>
  <c r="P159" i="25"/>
  <c r="P160" i="25"/>
  <c r="P161" i="25"/>
  <c r="P162" i="25"/>
  <c r="P163" i="25"/>
  <c r="P164" i="25"/>
  <c r="P165" i="25"/>
  <c r="P166" i="25"/>
  <c r="P167" i="25"/>
  <c r="P168" i="25"/>
  <c r="P169" i="25"/>
  <c r="P170" i="25"/>
  <c r="P171" i="25"/>
  <c r="P172" i="25"/>
  <c r="P173" i="25"/>
  <c r="P174" i="25"/>
  <c r="P175" i="25"/>
  <c r="P176" i="25"/>
  <c r="P177" i="25"/>
  <c r="P178" i="25"/>
  <c r="P179" i="25"/>
  <c r="P180" i="25"/>
  <c r="P181" i="25"/>
  <c r="P182" i="25"/>
  <c r="P183" i="25"/>
  <c r="P184" i="25"/>
  <c r="P185" i="25"/>
  <c r="P186" i="25"/>
  <c r="P187" i="25"/>
  <c r="P188" i="25"/>
  <c r="P189" i="25"/>
  <c r="P190" i="25"/>
  <c r="P191" i="25"/>
  <c r="P192" i="25"/>
  <c r="P193" i="25"/>
  <c r="P194" i="25"/>
  <c r="P195" i="25"/>
  <c r="P196" i="25"/>
  <c r="P197" i="25"/>
  <c r="P198" i="25"/>
  <c r="P199" i="25"/>
  <c r="P201" i="25"/>
  <c r="P202" i="25"/>
  <c r="P203" i="25"/>
  <c r="P204" i="25"/>
  <c r="P205" i="25"/>
  <c r="P206" i="25"/>
  <c r="P207" i="25"/>
  <c r="P208" i="25"/>
  <c r="P209" i="25"/>
  <c r="P210" i="25"/>
  <c r="P211" i="25"/>
  <c r="P212" i="25"/>
  <c r="P213" i="25"/>
  <c r="P214" i="25"/>
  <c r="P215" i="25"/>
  <c r="P216" i="25"/>
  <c r="P217" i="25"/>
  <c r="P218" i="25"/>
  <c r="P219" i="25"/>
  <c r="P220" i="25"/>
  <c r="P221" i="25"/>
  <c r="P222" i="25"/>
  <c r="P223" i="25"/>
  <c r="P224" i="25"/>
  <c r="P225" i="25"/>
  <c r="P226" i="25"/>
  <c r="P227" i="25"/>
  <c r="P228" i="25"/>
  <c r="P229" i="25"/>
  <c r="P230" i="25"/>
  <c r="P231" i="25"/>
  <c r="P232" i="25"/>
  <c r="P233" i="25"/>
  <c r="P234" i="25"/>
  <c r="P235" i="25"/>
  <c r="P236" i="25"/>
  <c r="P237" i="25"/>
  <c r="P238" i="25"/>
  <c r="P239" i="25"/>
  <c r="P240" i="25"/>
  <c r="P241" i="25"/>
  <c r="P242" i="25"/>
  <c r="P243" i="25"/>
  <c r="P244" i="25"/>
  <c r="P245" i="25"/>
  <c r="P246" i="25"/>
  <c r="P247" i="25"/>
  <c r="P248" i="25"/>
  <c r="P249" i="25"/>
  <c r="P250" i="25"/>
  <c r="P251" i="25"/>
  <c r="P252" i="25"/>
  <c r="P253" i="25"/>
  <c r="P254" i="25"/>
  <c r="P255" i="25"/>
  <c r="P256" i="25"/>
  <c r="P257" i="25"/>
  <c r="P258" i="25"/>
  <c r="P259" i="25"/>
  <c r="P260" i="25"/>
  <c r="P261" i="25"/>
  <c r="P262" i="25"/>
  <c r="P263" i="25"/>
  <c r="P264" i="25"/>
  <c r="P265" i="25"/>
  <c r="P266" i="25"/>
  <c r="P267" i="25"/>
  <c r="P268" i="25"/>
  <c r="P269" i="25"/>
  <c r="P270" i="25"/>
  <c r="P271" i="25"/>
  <c r="P272" i="25"/>
  <c r="P273" i="25"/>
  <c r="P274" i="25"/>
  <c r="P275" i="25"/>
  <c r="P276" i="25"/>
  <c r="P277" i="25"/>
  <c r="P278" i="25"/>
  <c r="P279" i="25"/>
  <c r="P280" i="25"/>
  <c r="P281" i="25"/>
  <c r="P282" i="25"/>
  <c r="P283" i="25"/>
  <c r="P284" i="25"/>
  <c r="P285" i="25"/>
  <c r="P286" i="25"/>
  <c r="P287" i="25"/>
  <c r="P288" i="25"/>
  <c r="P289" i="25"/>
  <c r="P290" i="25"/>
  <c r="P292" i="25"/>
  <c r="P293" i="25"/>
  <c r="P294" i="25"/>
  <c r="P295" i="25"/>
  <c r="P296" i="25"/>
  <c r="P297" i="25"/>
  <c r="P298" i="25"/>
  <c r="P299" i="25"/>
  <c r="P300" i="25"/>
  <c r="P301" i="25"/>
  <c r="P302" i="25"/>
  <c r="P303" i="25"/>
  <c r="P304" i="25"/>
  <c r="P305" i="25"/>
  <c r="P306" i="25"/>
  <c r="P307" i="25"/>
  <c r="P308" i="25"/>
  <c r="P309" i="25"/>
  <c r="P310" i="25"/>
  <c r="P311" i="25"/>
  <c r="P312" i="25"/>
  <c r="P313" i="25"/>
  <c r="P314" i="25"/>
  <c r="P315" i="25"/>
  <c r="P316" i="25"/>
  <c r="P317" i="25"/>
  <c r="P318" i="25"/>
  <c r="P319" i="25"/>
  <c r="P320" i="25"/>
  <c r="P321" i="25"/>
  <c r="P322" i="25"/>
  <c r="P323" i="25"/>
  <c r="P324" i="25"/>
  <c r="P325" i="25"/>
  <c r="P326" i="25"/>
  <c r="P327" i="25"/>
  <c r="P328" i="25"/>
  <c r="P329" i="25"/>
  <c r="P330" i="25"/>
  <c r="P331" i="25"/>
  <c r="P332" i="25"/>
  <c r="P333" i="25"/>
  <c r="P334" i="25"/>
  <c r="P335" i="25"/>
  <c r="P336" i="25"/>
  <c r="P337" i="25"/>
  <c r="P338" i="25"/>
  <c r="P339" i="25"/>
  <c r="P340" i="25"/>
  <c r="P341" i="25"/>
  <c r="P342" i="25"/>
  <c r="P343" i="25"/>
  <c r="P344" i="25"/>
  <c r="P345" i="25"/>
  <c r="P346" i="25"/>
  <c r="P347" i="25"/>
  <c r="P348" i="25"/>
  <c r="P349" i="25"/>
  <c r="P350" i="25"/>
  <c r="P351" i="25"/>
  <c r="P352" i="25"/>
  <c r="P353" i="25"/>
  <c r="P354" i="25"/>
  <c r="P355" i="25"/>
  <c r="P356" i="25"/>
  <c r="P357" i="25"/>
  <c r="P358" i="25"/>
  <c r="P359" i="25"/>
  <c r="P360" i="25"/>
  <c r="P361" i="25"/>
  <c r="P363" i="25"/>
  <c r="P364" i="25"/>
  <c r="P365" i="25"/>
  <c r="P366" i="25"/>
  <c r="P367" i="25"/>
  <c r="P368" i="25"/>
  <c r="P369" i="25"/>
  <c r="P370" i="25"/>
  <c r="P371" i="25"/>
  <c r="P372" i="25"/>
  <c r="P373" i="25"/>
  <c r="P374" i="25"/>
  <c r="P375" i="25"/>
  <c r="P376" i="25"/>
  <c r="P377" i="25"/>
  <c r="P378" i="25"/>
  <c r="P379" i="25"/>
  <c r="P380" i="25"/>
  <c r="P381" i="25"/>
  <c r="P382" i="25"/>
  <c r="P383" i="25"/>
  <c r="P384" i="25"/>
  <c r="P385" i="25"/>
  <c r="P386" i="25"/>
  <c r="P387" i="25"/>
  <c r="P388" i="25"/>
  <c r="P389" i="25"/>
  <c r="P390" i="25"/>
  <c r="P391" i="25"/>
  <c r="P392" i="25"/>
  <c r="P393" i="25"/>
  <c r="P394" i="25"/>
  <c r="P395" i="25"/>
  <c r="P396" i="25"/>
  <c r="P397" i="25"/>
  <c r="P398" i="25"/>
  <c r="P399" i="25"/>
  <c r="P400" i="25"/>
  <c r="P401" i="25"/>
  <c r="P402" i="25"/>
  <c r="P403" i="25"/>
  <c r="P404" i="25"/>
  <c r="P405" i="25"/>
  <c r="P406" i="25"/>
  <c r="P407" i="25"/>
  <c r="P408" i="25"/>
  <c r="P409" i="25"/>
  <c r="P410" i="25"/>
  <c r="P411" i="25"/>
  <c r="P412" i="25"/>
  <c r="P413" i="25"/>
  <c r="P414" i="25"/>
  <c r="P415" i="25"/>
  <c r="P416" i="25"/>
  <c r="P417" i="25"/>
  <c r="P418" i="25"/>
  <c r="P419" i="25"/>
  <c r="P420" i="25"/>
  <c r="P421" i="25"/>
  <c r="P422" i="25"/>
  <c r="P423" i="25"/>
  <c r="P424" i="25"/>
  <c r="P425" i="25"/>
  <c r="P426" i="25"/>
  <c r="P427" i="25"/>
  <c r="P428" i="25"/>
  <c r="P429" i="25"/>
  <c r="P430" i="25"/>
  <c r="P431" i="25"/>
  <c r="P432" i="25"/>
  <c r="P434" i="25"/>
  <c r="P435" i="25"/>
  <c r="P436" i="25"/>
  <c r="P437" i="25"/>
  <c r="P438" i="25"/>
  <c r="P439" i="25"/>
  <c r="P440" i="25"/>
  <c r="P441" i="25"/>
  <c r="P442" i="25"/>
  <c r="P443" i="25"/>
  <c r="P444" i="25"/>
  <c r="P445" i="25"/>
  <c r="P446" i="25"/>
  <c r="P447" i="25"/>
  <c r="P448" i="25"/>
  <c r="P449" i="25"/>
  <c r="P450" i="25"/>
  <c r="P451" i="25"/>
  <c r="P452" i="25"/>
  <c r="P453" i="25"/>
  <c r="P454" i="25"/>
  <c r="P455" i="25"/>
  <c r="P456" i="25"/>
  <c r="P457" i="25"/>
  <c r="P458" i="25"/>
  <c r="P459" i="25"/>
  <c r="P460" i="25"/>
  <c r="P461" i="25"/>
  <c r="P462" i="25"/>
  <c r="P463" i="25"/>
  <c r="P464" i="25"/>
  <c r="P465" i="25"/>
  <c r="P466" i="25"/>
  <c r="P467" i="25"/>
  <c r="P468" i="25"/>
  <c r="P469" i="25"/>
  <c r="P470" i="25"/>
  <c r="P471" i="25"/>
  <c r="P472" i="25"/>
  <c r="P473" i="25"/>
  <c r="P474" i="25"/>
  <c r="P475" i="25"/>
  <c r="P476" i="25"/>
  <c r="P477" i="25"/>
  <c r="P478" i="25"/>
  <c r="P479" i="25"/>
  <c r="P480" i="25"/>
  <c r="P481" i="25"/>
  <c r="P482" i="25"/>
  <c r="P483" i="25"/>
  <c r="P484" i="25"/>
  <c r="P485" i="25"/>
  <c r="P486" i="25"/>
  <c r="P487" i="25"/>
  <c r="P488" i="25"/>
  <c r="P489" i="25"/>
  <c r="P490" i="25"/>
  <c r="P491" i="25"/>
  <c r="P492" i="25"/>
  <c r="P493" i="25"/>
  <c r="P494" i="25"/>
  <c r="P495" i="25"/>
  <c r="P496" i="25"/>
  <c r="P497" i="25"/>
  <c r="P498" i="25"/>
  <c r="P499" i="25"/>
  <c r="P500" i="25"/>
  <c r="P501" i="25"/>
  <c r="P502" i="25"/>
  <c r="P503" i="25"/>
  <c r="P504" i="25"/>
  <c r="P505" i="25"/>
  <c r="P506" i="25"/>
  <c r="P507" i="25"/>
  <c r="P508" i="25"/>
  <c r="P509" i="25"/>
  <c r="P510" i="25"/>
  <c r="P511" i="25"/>
  <c r="P512" i="25"/>
  <c r="P514" i="25"/>
  <c r="P515" i="25"/>
  <c r="P516" i="25"/>
  <c r="P517" i="25"/>
  <c r="P518" i="25"/>
  <c r="P519" i="25"/>
  <c r="P520" i="25"/>
  <c r="P521" i="25"/>
  <c r="P522" i="25"/>
  <c r="P523" i="25"/>
  <c r="P524" i="25"/>
  <c r="P525" i="25"/>
  <c r="P526" i="25"/>
  <c r="P527" i="25"/>
  <c r="P528" i="25"/>
  <c r="P529" i="25"/>
  <c r="P530" i="25"/>
  <c r="P531" i="25"/>
  <c r="P532" i="25"/>
  <c r="P533" i="25"/>
  <c r="P534" i="25"/>
  <c r="P535" i="25"/>
  <c r="P536" i="25"/>
  <c r="P537" i="25"/>
  <c r="P538" i="25"/>
  <c r="P539" i="25"/>
  <c r="P540" i="25"/>
  <c r="P541" i="25"/>
  <c r="P542" i="25"/>
  <c r="P543" i="25"/>
  <c r="P544" i="25"/>
  <c r="P545" i="25"/>
  <c r="P546" i="25"/>
  <c r="P547" i="25"/>
  <c r="P548" i="25"/>
  <c r="P549" i="25"/>
  <c r="P550" i="25"/>
  <c r="P551" i="25"/>
  <c r="P552" i="25"/>
  <c r="P553" i="25"/>
  <c r="P554" i="25"/>
  <c r="P555" i="25"/>
  <c r="P556" i="25"/>
  <c r="P557" i="25"/>
  <c r="P558" i="25"/>
  <c r="P559" i="25"/>
  <c r="P560" i="25"/>
  <c r="P561" i="25"/>
  <c r="P562" i="25"/>
  <c r="P563" i="25"/>
  <c r="P564" i="25"/>
  <c r="P565" i="25"/>
  <c r="P566" i="25"/>
  <c r="P567" i="25"/>
  <c r="P568" i="25"/>
  <c r="P569" i="25"/>
  <c r="P570" i="25"/>
  <c r="P571" i="25"/>
  <c r="P572" i="25"/>
  <c r="P573" i="25"/>
  <c r="P574" i="25"/>
  <c r="P575" i="25"/>
  <c r="P576" i="25"/>
  <c r="P577" i="25"/>
  <c r="P578" i="25"/>
  <c r="P579" i="25"/>
  <c r="P580" i="25"/>
  <c r="P581" i="25"/>
  <c r="P582" i="25"/>
  <c r="P583" i="25"/>
  <c r="P584" i="25"/>
  <c r="P585" i="25"/>
  <c r="P586" i="25"/>
  <c r="P587" i="25"/>
  <c r="P588" i="25"/>
  <c r="P589" i="25"/>
  <c r="P590" i="25"/>
  <c r="P591" i="25"/>
  <c r="P592" i="25"/>
  <c r="P593" i="25"/>
  <c r="P594" i="25"/>
  <c r="P595" i="25"/>
  <c r="P596" i="25"/>
  <c r="P597" i="25"/>
  <c r="P598" i="25"/>
  <c r="P600" i="25"/>
  <c r="P601" i="25"/>
  <c r="P602" i="25"/>
  <c r="P603" i="25"/>
  <c r="P604" i="25"/>
  <c r="P605" i="25"/>
  <c r="P606" i="25"/>
  <c r="P607" i="25"/>
  <c r="P608" i="25"/>
  <c r="P609" i="25"/>
  <c r="P610" i="25"/>
  <c r="P611" i="25"/>
  <c r="P612" i="25"/>
  <c r="P613" i="25"/>
  <c r="P614" i="25"/>
  <c r="P615" i="25"/>
  <c r="P616" i="25"/>
  <c r="P617" i="25"/>
  <c r="P618" i="25"/>
  <c r="P619" i="25"/>
  <c r="P620" i="25"/>
  <c r="P621" i="25"/>
  <c r="P622" i="25"/>
  <c r="P623" i="25"/>
  <c r="P624" i="25"/>
  <c r="P625" i="25"/>
  <c r="P626" i="25"/>
  <c r="P627" i="25"/>
  <c r="P628" i="25"/>
  <c r="P629" i="25"/>
  <c r="P630" i="25"/>
  <c r="P631" i="25"/>
  <c r="P632" i="25"/>
  <c r="P633" i="25"/>
  <c r="P634" i="25"/>
  <c r="P635" i="25"/>
  <c r="P636" i="25"/>
  <c r="P637" i="25"/>
  <c r="P638" i="25"/>
  <c r="P639" i="25"/>
  <c r="P640" i="25"/>
  <c r="P641" i="25"/>
  <c r="P642" i="25"/>
  <c r="P643" i="25"/>
  <c r="P644" i="25"/>
  <c r="P645" i="25"/>
  <c r="P646" i="25"/>
  <c r="P647" i="25"/>
  <c r="P648" i="25"/>
  <c r="P649" i="25"/>
  <c r="P650" i="25"/>
  <c r="P651" i="25"/>
  <c r="P652" i="25"/>
  <c r="P653" i="25"/>
  <c r="P654" i="25"/>
  <c r="P655" i="25"/>
  <c r="P656" i="25"/>
  <c r="P657" i="25"/>
  <c r="P658" i="25"/>
  <c r="P659" i="25"/>
  <c r="P660" i="25"/>
  <c r="P661" i="25"/>
  <c r="P662" i="25"/>
  <c r="P663" i="25"/>
  <c r="P664" i="25"/>
  <c r="P665" i="25"/>
  <c r="P666" i="25"/>
  <c r="P667" i="25"/>
  <c r="P668" i="25"/>
  <c r="P669" i="25"/>
  <c r="P670" i="25"/>
  <c r="P671" i="25"/>
  <c r="P672" i="25"/>
  <c r="P673" i="25"/>
  <c r="P674" i="25"/>
  <c r="P675" i="25"/>
  <c r="P676" i="25"/>
  <c r="P677" i="25"/>
  <c r="P678" i="25"/>
  <c r="P679" i="25"/>
  <c r="P680" i="25"/>
  <c r="P681" i="25"/>
  <c r="P682" i="25"/>
  <c r="P683" i="25"/>
  <c r="P684" i="25"/>
  <c r="P685" i="25"/>
  <c r="P686" i="25"/>
  <c r="P687" i="25"/>
  <c r="P688" i="25"/>
  <c r="P689" i="25"/>
  <c r="P690" i="25"/>
  <c r="P691" i="25"/>
  <c r="P692" i="25"/>
  <c r="P693" i="25"/>
  <c r="P694" i="25"/>
  <c r="P695" i="25"/>
  <c r="P696" i="25"/>
  <c r="P697" i="25"/>
  <c r="P698" i="25"/>
  <c r="P699" i="25"/>
  <c r="P700" i="25"/>
  <c r="P701" i="25"/>
  <c r="P702" i="25"/>
  <c r="P703" i="25"/>
  <c r="P704" i="25"/>
  <c r="P705" i="25"/>
  <c r="P706" i="25"/>
  <c r="P707" i="25"/>
  <c r="P708" i="25"/>
  <c r="P709" i="25"/>
  <c r="P710" i="25"/>
  <c r="P711" i="25"/>
  <c r="P712" i="25"/>
  <c r="P713" i="25"/>
  <c r="P714" i="25"/>
  <c r="P715" i="25"/>
  <c r="P716" i="25"/>
  <c r="P717" i="25"/>
  <c r="P718" i="25"/>
  <c r="P719" i="25"/>
  <c r="P720" i="25"/>
  <c r="P721" i="25"/>
  <c r="P722" i="25"/>
  <c r="P723" i="25"/>
  <c r="P724" i="25"/>
  <c r="P726" i="25"/>
  <c r="P727" i="25"/>
  <c r="P728" i="25"/>
  <c r="P729" i="25"/>
  <c r="P730" i="25"/>
  <c r="P731" i="25"/>
  <c r="P732" i="25"/>
  <c r="P733" i="25"/>
  <c r="P734" i="25"/>
  <c r="P735" i="25"/>
  <c r="P736" i="25"/>
  <c r="P737" i="25"/>
  <c r="P738" i="25"/>
  <c r="P739" i="25"/>
  <c r="P740" i="25"/>
  <c r="P741" i="25"/>
  <c r="P742" i="25"/>
  <c r="P743" i="25"/>
  <c r="P744" i="25"/>
  <c r="P745" i="25"/>
  <c r="P746" i="25"/>
  <c r="P747" i="25"/>
  <c r="P748" i="25"/>
  <c r="P749" i="25"/>
  <c r="P750" i="25"/>
  <c r="P751" i="25"/>
  <c r="P752" i="25"/>
  <c r="P753" i="25"/>
  <c r="P754" i="25"/>
  <c r="P755" i="25"/>
  <c r="P756" i="25"/>
  <c r="P757" i="25"/>
  <c r="P758" i="25"/>
  <c r="P759" i="25"/>
  <c r="P760" i="25"/>
  <c r="P761" i="25"/>
  <c r="P762" i="25"/>
  <c r="P763" i="25"/>
  <c r="P764" i="25"/>
  <c r="P765" i="25"/>
  <c r="P766" i="25"/>
  <c r="P767" i="25"/>
  <c r="P768" i="25"/>
  <c r="P769" i="25"/>
  <c r="P770" i="25"/>
  <c r="P771" i="25"/>
  <c r="P772" i="25"/>
  <c r="P773" i="25"/>
  <c r="P774" i="25"/>
  <c r="P775" i="25"/>
  <c r="P776" i="25"/>
  <c r="P777" i="25"/>
  <c r="P778" i="25"/>
  <c r="P779" i="25"/>
  <c r="P780" i="25"/>
  <c r="P781" i="25"/>
  <c r="P782" i="25"/>
  <c r="P783" i="25"/>
  <c r="P784" i="25"/>
  <c r="P785" i="25"/>
  <c r="P786" i="25"/>
  <c r="P787" i="25"/>
  <c r="P788" i="25"/>
  <c r="P789" i="25"/>
  <c r="P790" i="25"/>
  <c r="P791" i="25"/>
  <c r="P792" i="25"/>
  <c r="P793" i="25"/>
  <c r="P794" i="25"/>
  <c r="P795" i="25"/>
  <c r="P796" i="25"/>
  <c r="P797" i="25"/>
  <c r="P798" i="25"/>
  <c r="P799" i="25"/>
  <c r="P800" i="25"/>
  <c r="P801" i="25"/>
  <c r="P802" i="25"/>
  <c r="P803" i="25"/>
  <c r="P804" i="25"/>
  <c r="P805" i="25"/>
  <c r="P806" i="25"/>
  <c r="P807" i="25"/>
  <c r="P808" i="25"/>
  <c r="P809" i="25"/>
  <c r="P810" i="25"/>
  <c r="P811" i="25"/>
  <c r="P812" i="25"/>
  <c r="P813" i="25"/>
  <c r="P814" i="25"/>
  <c r="P815" i="25"/>
  <c r="P816" i="25"/>
  <c r="P817" i="25"/>
  <c r="P818" i="25"/>
  <c r="P819" i="25"/>
  <c r="P820" i="25"/>
  <c r="P821" i="25"/>
  <c r="P822" i="25"/>
  <c r="P823" i="25"/>
  <c r="P824" i="25"/>
  <c r="P825" i="25"/>
  <c r="P826" i="25"/>
  <c r="P827" i="25"/>
  <c r="P828" i="25"/>
  <c r="P829" i="25"/>
  <c r="P830" i="25"/>
  <c r="P832" i="25"/>
  <c r="P833" i="25"/>
  <c r="P834" i="25"/>
  <c r="P835" i="25"/>
  <c r="P836" i="25"/>
  <c r="P837" i="25"/>
  <c r="P838" i="25"/>
  <c r="P839" i="25"/>
  <c r="P840" i="25"/>
  <c r="P841" i="25"/>
  <c r="P842" i="25"/>
  <c r="P843" i="25"/>
  <c r="P844" i="25"/>
  <c r="P845" i="25"/>
  <c r="P846" i="25"/>
  <c r="P847" i="25"/>
  <c r="P848" i="25"/>
  <c r="P849" i="25"/>
  <c r="P850" i="25"/>
  <c r="P851" i="25"/>
  <c r="P852" i="25"/>
  <c r="P853" i="25"/>
  <c r="P854" i="25"/>
  <c r="P855" i="25"/>
  <c r="P856" i="25"/>
  <c r="P857" i="25"/>
  <c r="P858" i="25"/>
  <c r="P859" i="25"/>
  <c r="P860" i="25"/>
  <c r="P861" i="25"/>
  <c r="P862" i="25"/>
  <c r="P863" i="25"/>
  <c r="P864" i="25"/>
  <c r="P865" i="25"/>
  <c r="P866" i="25"/>
  <c r="P867" i="25"/>
  <c r="P868" i="25"/>
  <c r="P869" i="25"/>
  <c r="P870" i="25"/>
  <c r="P871" i="25"/>
  <c r="P872" i="25"/>
  <c r="P873" i="25"/>
  <c r="P874" i="25"/>
  <c r="P875" i="25"/>
  <c r="P876" i="25"/>
  <c r="P877" i="25"/>
  <c r="P878" i="25"/>
  <c r="P879" i="25"/>
  <c r="P880" i="25"/>
  <c r="P881" i="25"/>
  <c r="P882" i="25"/>
  <c r="P883" i="25"/>
  <c r="P884" i="25"/>
  <c r="P885" i="25"/>
  <c r="P886" i="25"/>
  <c r="P887" i="25"/>
  <c r="P888" i="25"/>
  <c r="P889" i="25"/>
  <c r="P890" i="25"/>
  <c r="P891" i="25"/>
  <c r="P892" i="25"/>
  <c r="P893" i="25"/>
  <c r="P894" i="25"/>
  <c r="P895" i="25"/>
  <c r="P896" i="25"/>
  <c r="P897" i="25"/>
  <c r="P898" i="25"/>
  <c r="P899" i="25"/>
  <c r="P900" i="25"/>
  <c r="P901" i="25"/>
  <c r="P902" i="25"/>
  <c r="P903" i="25"/>
  <c r="P904" i="25"/>
  <c r="P905" i="25"/>
  <c r="P906" i="25"/>
  <c r="P907" i="25"/>
  <c r="P908" i="25"/>
  <c r="P909" i="25"/>
  <c r="P910" i="25"/>
  <c r="P911" i="25"/>
  <c r="P912" i="25"/>
  <c r="P913" i="25"/>
  <c r="P914" i="25"/>
  <c r="P915" i="25"/>
  <c r="P916" i="25"/>
  <c r="P917" i="25"/>
  <c r="P918" i="25"/>
  <c r="P919" i="25"/>
  <c r="P920" i="25"/>
  <c r="P921" i="25"/>
  <c r="P922" i="25"/>
  <c r="P923" i="25"/>
  <c r="P925" i="25"/>
  <c r="P926" i="25"/>
  <c r="P927" i="25"/>
  <c r="P928" i="25"/>
  <c r="P929" i="25"/>
  <c r="P930" i="25"/>
  <c r="P931" i="25"/>
  <c r="P932" i="25"/>
  <c r="P933" i="25"/>
  <c r="P934" i="25"/>
  <c r="P935" i="25"/>
  <c r="P936" i="25"/>
  <c r="P937" i="25"/>
  <c r="P938" i="25"/>
  <c r="P939" i="25"/>
  <c r="P940" i="25"/>
  <c r="P941" i="25"/>
  <c r="P942" i="25"/>
  <c r="P943" i="25"/>
  <c r="P944" i="25"/>
  <c r="P945" i="25"/>
  <c r="P946" i="25"/>
  <c r="P947" i="25"/>
  <c r="P948" i="25"/>
  <c r="P949" i="25"/>
  <c r="P950" i="25"/>
  <c r="P951" i="25"/>
  <c r="P952" i="25"/>
  <c r="P953" i="25"/>
  <c r="P954" i="25"/>
  <c r="P955" i="25"/>
  <c r="P956" i="25"/>
  <c r="P957" i="25"/>
  <c r="P958" i="25"/>
  <c r="P959" i="25"/>
  <c r="P960" i="25"/>
  <c r="P961" i="25"/>
  <c r="P962" i="25"/>
  <c r="P963" i="25"/>
  <c r="P964" i="25"/>
  <c r="P965" i="25"/>
  <c r="P966" i="25"/>
  <c r="P967" i="25"/>
  <c r="P968" i="25"/>
  <c r="P969" i="25"/>
  <c r="P970" i="25"/>
  <c r="P971" i="25"/>
  <c r="P972" i="25"/>
  <c r="P973" i="25"/>
  <c r="P974" i="25"/>
  <c r="P975" i="25"/>
  <c r="P976" i="25"/>
  <c r="P977" i="25"/>
  <c r="P978" i="25"/>
  <c r="P979" i="25"/>
  <c r="P980" i="25"/>
  <c r="P981" i="25"/>
  <c r="P982" i="25"/>
  <c r="P983" i="25"/>
  <c r="P984" i="25"/>
  <c r="P985" i="25"/>
  <c r="P986" i="25"/>
  <c r="P987" i="25"/>
  <c r="P988" i="25"/>
  <c r="P989" i="25"/>
  <c r="P990" i="25"/>
  <c r="P991" i="25"/>
  <c r="P992" i="25"/>
  <c r="P993" i="25"/>
  <c r="P994" i="25"/>
  <c r="P995" i="25"/>
  <c r="P996" i="25"/>
  <c r="P997" i="25"/>
  <c r="P998" i="25"/>
  <c r="P999" i="25"/>
  <c r="P1000" i="25"/>
  <c r="P1001" i="25"/>
  <c r="P1002" i="25"/>
  <c r="P1003" i="25"/>
  <c r="P1004" i="25"/>
  <c r="P1005" i="25"/>
  <c r="P1006" i="25"/>
  <c r="P1007" i="25"/>
  <c r="P1008" i="25"/>
  <c r="P1009" i="25"/>
  <c r="P1011" i="25"/>
  <c r="P1012" i="25"/>
  <c r="P1013" i="25"/>
  <c r="P1014" i="25"/>
  <c r="P1015" i="25"/>
  <c r="P1016" i="25"/>
  <c r="P1017" i="25"/>
  <c r="P1019" i="25"/>
  <c r="P1020" i="25"/>
  <c r="P1021" i="25"/>
  <c r="P1022" i="25"/>
  <c r="P1023" i="25"/>
  <c r="P1024" i="25"/>
  <c r="P1025" i="25"/>
  <c r="P1026" i="25"/>
  <c r="P1027" i="25"/>
  <c r="P1028" i="25"/>
  <c r="P1029" i="25"/>
  <c r="P1030" i="25"/>
  <c r="P1031" i="25"/>
  <c r="P1032" i="25"/>
  <c r="P1033" i="25"/>
  <c r="P1034" i="25"/>
  <c r="P1035" i="25"/>
  <c r="P1036" i="25"/>
  <c r="P1037" i="25"/>
  <c r="P1038" i="25"/>
  <c r="P1039" i="25"/>
  <c r="P1040" i="25"/>
  <c r="P1041" i="25"/>
  <c r="P1042" i="25"/>
  <c r="P1043" i="25"/>
  <c r="P1044" i="25"/>
  <c r="P1045" i="25"/>
  <c r="P1046" i="25"/>
  <c r="P1047" i="25"/>
  <c r="P1048" i="25"/>
  <c r="P1049" i="25"/>
  <c r="P1050" i="25"/>
  <c r="P1051" i="25"/>
  <c r="P1052" i="25"/>
  <c r="P1053" i="25"/>
  <c r="P1054" i="25"/>
  <c r="P1055" i="25"/>
  <c r="P1056" i="25"/>
  <c r="P1057" i="25"/>
  <c r="P1058" i="25"/>
  <c r="P1059" i="25"/>
  <c r="P1060" i="25"/>
  <c r="P1061" i="25"/>
  <c r="P1062" i="25"/>
  <c r="P1063" i="25"/>
  <c r="P1064" i="25"/>
  <c r="P1065" i="25"/>
  <c r="P1066" i="25"/>
  <c r="P1067" i="25"/>
  <c r="P1068" i="25"/>
  <c r="P1069" i="25"/>
  <c r="P1070" i="25"/>
  <c r="P1071" i="25"/>
  <c r="P1072" i="25"/>
  <c r="P1073" i="25"/>
  <c r="P1074" i="25"/>
  <c r="P1075" i="25"/>
  <c r="P1076" i="25"/>
  <c r="P1077" i="25"/>
  <c r="P1078" i="25"/>
  <c r="P1079" i="25"/>
  <c r="P1080" i="25"/>
  <c r="P1081" i="25"/>
  <c r="P1082" i="25"/>
  <c r="P1083" i="25"/>
  <c r="P1084" i="25"/>
  <c r="P1085" i="25"/>
  <c r="P1086" i="25"/>
  <c r="P1087" i="25"/>
  <c r="P1088" i="25"/>
  <c r="P1089" i="25"/>
  <c r="P1090" i="25"/>
  <c r="P1091" i="25"/>
  <c r="P1092" i="25"/>
  <c r="P1093" i="25"/>
  <c r="P1094" i="25"/>
  <c r="P1095" i="25"/>
  <c r="P1096" i="25"/>
  <c r="P1097" i="25"/>
  <c r="P1098" i="25"/>
  <c r="P1099" i="25"/>
  <c r="P1100" i="25"/>
  <c r="P1101" i="25"/>
  <c r="P1102" i="25"/>
  <c r="P1103" i="25"/>
  <c r="P1104" i="25"/>
  <c r="P1106" i="25"/>
  <c r="P1207" i="25"/>
  <c r="P1208" i="25"/>
  <c r="P1209" i="25"/>
  <c r="P1210" i="25"/>
  <c r="P1211" i="25"/>
  <c r="P1214" i="25"/>
  <c r="P1213" i="25"/>
  <c r="P1215" i="25"/>
  <c r="P1216" i="25"/>
  <c r="P1217" i="25"/>
  <c r="P1218" i="25"/>
  <c r="P1219" i="25"/>
  <c r="P1220" i="25"/>
  <c r="P1221" i="25"/>
  <c r="P1222" i="25"/>
  <c r="P1223" i="25"/>
  <c r="P1224" i="25"/>
  <c r="P1225" i="25"/>
  <c r="P1226" i="25"/>
  <c r="P1227" i="25"/>
  <c r="P1228" i="25"/>
  <c r="P1229" i="25"/>
  <c r="P1230" i="25"/>
  <c r="P1231" i="25"/>
  <c r="P1232" i="25"/>
  <c r="P1233" i="25"/>
  <c r="P1234" i="25"/>
  <c r="P1235" i="25"/>
  <c r="P1236" i="25"/>
  <c r="P1237" i="25"/>
  <c r="P1238" i="25"/>
  <c r="P1239" i="25"/>
  <c r="P1240" i="25"/>
  <c r="P1241" i="25"/>
  <c r="P1242" i="25"/>
  <c r="P1243" i="25"/>
  <c r="P1244" i="25"/>
  <c r="P1245" i="25"/>
  <c r="P1246" i="25"/>
  <c r="P1247" i="25"/>
  <c r="P1248" i="25"/>
  <c r="P1249" i="25"/>
  <c r="P1250" i="25"/>
  <c r="P1251" i="25"/>
  <c r="P1252" i="25"/>
  <c r="P1253" i="25"/>
  <c r="P1254" i="25"/>
  <c r="P1255" i="25"/>
  <c r="P1256" i="25"/>
  <c r="P1257" i="25"/>
  <c r="P1258" i="25"/>
  <c r="P1259" i="25"/>
  <c r="P1260" i="25"/>
  <c r="P1261" i="25"/>
  <c r="P1329" i="25"/>
  <c r="P1262" i="25"/>
  <c r="P1263" i="25"/>
  <c r="P1264" i="25"/>
  <c r="P1266" i="25"/>
  <c r="P1267" i="25"/>
  <c r="P1268" i="25"/>
  <c r="P1269" i="25"/>
  <c r="P1270" i="25"/>
  <c r="P1271" i="25"/>
  <c r="P1274" i="25"/>
  <c r="P1277" i="25"/>
  <c r="P1280" i="25"/>
  <c r="P1281" i="25"/>
  <c r="P1284" i="25"/>
  <c r="P1285" i="25"/>
  <c r="P1346" i="25"/>
  <c r="P1291" i="25"/>
  <c r="P1348" i="25"/>
  <c r="P1347" i="25"/>
  <c r="P1302" i="25"/>
  <c r="P1309" i="25"/>
  <c r="P1310" i="25"/>
  <c r="P1311" i="25"/>
  <c r="P1322" i="25"/>
  <c r="P1312" i="25"/>
  <c r="P1313" i="25"/>
  <c r="P1314" i="25"/>
  <c r="P1315" i="25"/>
  <c r="P1316" i="25"/>
  <c r="P1317" i="25"/>
  <c r="P1318" i="25"/>
  <c r="P1319" i="25"/>
  <c r="P1338" i="25"/>
  <c r="P1339" i="25"/>
  <c r="F1282" i="25"/>
  <c r="F1265" i="25"/>
  <c r="F1278" i="25"/>
  <c r="F1275" i="25"/>
  <c r="F1283" i="25"/>
  <c r="T1034" i="1"/>
  <c r="O1034" i="1"/>
  <c r="J1034" i="1"/>
  <c r="I1034" i="1"/>
  <c r="B1034" i="1"/>
  <c r="Q1207" i="25"/>
  <c r="Q1208" i="25"/>
  <c r="Q1209" i="25"/>
  <c r="Q1210" i="25"/>
  <c r="Q1211" i="25"/>
  <c r="Q1214" i="25"/>
  <c r="Q1213" i="25"/>
  <c r="Q1215" i="25"/>
  <c r="Q1216" i="25"/>
  <c r="Q1217" i="25"/>
  <c r="Q1218" i="25"/>
  <c r="Q1219" i="25"/>
  <c r="Q1220" i="25"/>
  <c r="Q1221" i="25"/>
  <c r="Q1222" i="25"/>
  <c r="Q1223" i="25"/>
  <c r="Q1224" i="25"/>
  <c r="Q1225" i="25"/>
  <c r="Q1226" i="25"/>
  <c r="Q1227" i="25"/>
  <c r="Q1228" i="25"/>
  <c r="Q1229" i="25"/>
  <c r="Q1230" i="25"/>
  <c r="Q1231" i="25"/>
  <c r="Q1232" i="25"/>
  <c r="Q1233" i="25"/>
  <c r="Q1234" i="25"/>
  <c r="Q1235" i="25"/>
  <c r="Q1236" i="25"/>
  <c r="Q1237" i="25"/>
  <c r="Q1238" i="25"/>
  <c r="Q1239" i="25"/>
  <c r="Q1240" i="25"/>
  <c r="Q1241" i="25"/>
  <c r="Q1242" i="25"/>
  <c r="Q1243" i="25"/>
  <c r="Q1244" i="25"/>
  <c r="Q1245" i="25"/>
  <c r="Q1246" i="25"/>
  <c r="Q1247" i="25"/>
  <c r="Q1248" i="25"/>
  <c r="Q1249" i="25"/>
  <c r="Q1250" i="25"/>
  <c r="Q1251" i="25"/>
  <c r="Q1252" i="25"/>
  <c r="Q1253" i="25"/>
  <c r="Q1254" i="25"/>
  <c r="Q1255" i="25"/>
  <c r="Q1256" i="25"/>
  <c r="Q1257" i="25"/>
  <c r="Q1258" i="25"/>
  <c r="Q1259" i="25"/>
  <c r="Q1260" i="25"/>
  <c r="Q1261" i="25"/>
  <c r="Q1329" i="25"/>
  <c r="Q1262" i="25"/>
  <c r="Q1263" i="25"/>
  <c r="Q1264" i="25"/>
  <c r="Q1266" i="25"/>
  <c r="Q1267" i="25"/>
  <c r="Q1268" i="25"/>
  <c r="Q1269" i="25"/>
  <c r="Q1270" i="25"/>
  <c r="Q1271" i="25"/>
  <c r="Q1274" i="25"/>
  <c r="Q1277" i="25"/>
  <c r="Q1280" i="25"/>
  <c r="Q1281" i="25"/>
  <c r="Q1284" i="25"/>
  <c r="Q1285" i="25"/>
  <c r="Q1346" i="25"/>
  <c r="Q1291" i="25"/>
  <c r="Q1348" i="25"/>
  <c r="Q1347" i="25"/>
  <c r="Q1302" i="25"/>
  <c r="Q1309" i="25"/>
  <c r="Q1310" i="25"/>
  <c r="Q1311" i="25"/>
  <c r="Q1322" i="25"/>
  <c r="Q1312" i="25"/>
  <c r="Q1313" i="25"/>
  <c r="Q1314" i="25"/>
  <c r="Q1315" i="25"/>
  <c r="Q1316" i="25"/>
  <c r="Q1317" i="25"/>
  <c r="Q1318" i="25"/>
  <c r="Q1319" i="25"/>
  <c r="Q1338" i="25"/>
  <c r="Q1339" i="25"/>
  <c r="F1433" i="25"/>
  <c r="F1369" i="25"/>
  <c r="D128" i="30" s="1"/>
  <c r="B1026" i="15"/>
  <c r="B1032" i="1"/>
  <c r="B1033" i="1"/>
  <c r="I1032" i="1"/>
  <c r="I1033" i="1"/>
  <c r="J1032" i="1"/>
  <c r="J1033" i="1"/>
  <c r="O1032" i="1"/>
  <c r="O1033" i="1"/>
  <c r="T1032" i="1"/>
  <c r="T1033" i="1"/>
  <c r="B972" i="15"/>
  <c r="C972" i="15"/>
  <c r="D972" i="15"/>
  <c r="F972" i="15"/>
  <c r="L972" i="15" a="1"/>
  <c r="L972" i="15" s="1"/>
  <c r="M972" i="15" s="1"/>
  <c r="B973" i="15"/>
  <c r="C973" i="15"/>
  <c r="D973" i="15"/>
  <c r="F973" i="15"/>
  <c r="L973" i="15" a="1"/>
  <c r="L973" i="15" s="1"/>
  <c r="M973" i="15" s="1"/>
  <c r="B1028" i="1"/>
  <c r="B1029" i="1"/>
  <c r="B1030" i="1"/>
  <c r="B1031" i="1"/>
  <c r="I1028" i="1"/>
  <c r="I1029" i="1"/>
  <c r="I1030" i="1"/>
  <c r="I1031" i="1"/>
  <c r="J1028" i="1"/>
  <c r="J1029" i="1"/>
  <c r="J1030" i="1"/>
  <c r="J1031" i="1"/>
  <c r="O1028" i="1"/>
  <c r="O1029" i="1"/>
  <c r="O1030" i="1"/>
  <c r="O1031" i="1"/>
  <c r="T1028" i="1"/>
  <c r="T1029" i="1"/>
  <c r="T1030" i="1"/>
  <c r="T1031" i="1"/>
  <c r="G90" i="1"/>
  <c r="V196" i="3"/>
  <c r="U195" i="3"/>
  <c r="U196" i="3"/>
  <c r="F1241" i="25"/>
  <c r="O51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F1024" i="15"/>
  <c r="G2511" i="15"/>
  <c r="G2548" i="15"/>
  <c r="G2585" i="15"/>
  <c r="G2622" i="15"/>
  <c r="G2654" i="15"/>
  <c r="G2682" i="15"/>
  <c r="G2705" i="15"/>
  <c r="G2724" i="15"/>
  <c r="G2743" i="15"/>
  <c r="G2468" i="15"/>
  <c r="B2511" i="15"/>
  <c r="B2548" i="15"/>
  <c r="B2585" i="15"/>
  <c r="B2622" i="15"/>
  <c r="B2654" i="15"/>
  <c r="B2682" i="15"/>
  <c r="B2705" i="15"/>
  <c r="B2724" i="15"/>
  <c r="B2743" i="15"/>
  <c r="C2511" i="15"/>
  <c r="C2548" i="15"/>
  <c r="C2585" i="15"/>
  <c r="C2622" i="15"/>
  <c r="C2654" i="15"/>
  <c r="C2682" i="15"/>
  <c r="C2705" i="15"/>
  <c r="C2724" i="15"/>
  <c r="C2743" i="15"/>
  <c r="D2511" i="15"/>
  <c r="D2548" i="15"/>
  <c r="D2585" i="15"/>
  <c r="D2622" i="15"/>
  <c r="D2654" i="15"/>
  <c r="D2682" i="15"/>
  <c r="D2705" i="15"/>
  <c r="D2724" i="15"/>
  <c r="D2743" i="15"/>
  <c r="F2511" i="15"/>
  <c r="F2548" i="15"/>
  <c r="F2585" i="15"/>
  <c r="F2622" i="15"/>
  <c r="F2654" i="15"/>
  <c r="F2682" i="15"/>
  <c r="F2705" i="15"/>
  <c r="F2724" i="15"/>
  <c r="F2743" i="15"/>
  <c r="L2511" i="15" a="1"/>
  <c r="L2511" i="15" s="1"/>
  <c r="M2511" i="15" s="1"/>
  <c r="L2548" i="15" a="1"/>
  <c r="L2548" i="15" s="1"/>
  <c r="M2548" i="15" s="1"/>
  <c r="L2585" i="15" a="1"/>
  <c r="L2585" i="15" s="1"/>
  <c r="M2585" i="15" s="1"/>
  <c r="L2622" i="15" a="1"/>
  <c r="L2622" i="15" s="1"/>
  <c r="M2622" i="15" s="1"/>
  <c r="L2654" i="15" a="1"/>
  <c r="L2654" i="15" s="1"/>
  <c r="M2654" i="15" s="1"/>
  <c r="L2682" i="15" a="1"/>
  <c r="L2682" i="15" s="1"/>
  <c r="M2682" i="15" s="1"/>
  <c r="L2705" i="15" a="1"/>
  <c r="L2705" i="15" s="1"/>
  <c r="M2705" i="15" s="1"/>
  <c r="L2724" i="15" a="1"/>
  <c r="L2724" i="15" s="1"/>
  <c r="M2724" i="15" s="1"/>
  <c r="L2743" i="15" a="1"/>
  <c r="L2743" i="15" s="1"/>
  <c r="M2743" i="15" s="1"/>
  <c r="B2468" i="15"/>
  <c r="C2468" i="15"/>
  <c r="D2468" i="15"/>
  <c r="F2468" i="15"/>
  <c r="L2468" i="15" a="1"/>
  <c r="L2468" i="15" s="1"/>
  <c r="M2468" i="15" s="1"/>
  <c r="B2856" i="15"/>
  <c r="C2856" i="15"/>
  <c r="D2856" i="15"/>
  <c r="F2856" i="15"/>
  <c r="L2856" i="15" a="1"/>
  <c r="L2856" i="15" s="1"/>
  <c r="M2856" i="15" s="1"/>
  <c r="B2299" i="15"/>
  <c r="C2299" i="15"/>
  <c r="D2299" i="15"/>
  <c r="F2299" i="15"/>
  <c r="L2299" i="15" a="1"/>
  <c r="L2299" i="15" s="1"/>
  <c r="M2299" i="15" s="1"/>
  <c r="B2014" i="15"/>
  <c r="B2090" i="15"/>
  <c r="B2164" i="15"/>
  <c r="B2237" i="15"/>
  <c r="C2014" i="15"/>
  <c r="C2090" i="15"/>
  <c r="C2164" i="15"/>
  <c r="C2237" i="15"/>
  <c r="D2014" i="15"/>
  <c r="D2090" i="15"/>
  <c r="D2164" i="15"/>
  <c r="D2237" i="15"/>
  <c r="F2014" i="15"/>
  <c r="F2090" i="15"/>
  <c r="F2164" i="15"/>
  <c r="F2237" i="15"/>
  <c r="L2014" i="15" a="1"/>
  <c r="L2014" i="15" s="1"/>
  <c r="M2014" i="15" s="1"/>
  <c r="L2090" i="15" a="1"/>
  <c r="L2090" i="15" s="1"/>
  <c r="M2090" i="15" s="1"/>
  <c r="L2164" i="15" a="1"/>
  <c r="L2164" i="15" s="1"/>
  <c r="M2164" i="15" s="1"/>
  <c r="L2237" i="15" a="1"/>
  <c r="L2237" i="15" s="1"/>
  <c r="M2237" i="15" s="1"/>
  <c r="B1001" i="15"/>
  <c r="B1130" i="15"/>
  <c r="B1238" i="15"/>
  <c r="B1352" i="15"/>
  <c r="B1449" i="15"/>
  <c r="B1545" i="15"/>
  <c r="B1628" i="15"/>
  <c r="B1706" i="15"/>
  <c r="B1781" i="15"/>
  <c r="B1861" i="15"/>
  <c r="B1939" i="15"/>
  <c r="C1001" i="15"/>
  <c r="C1130" i="15"/>
  <c r="C1238" i="15"/>
  <c r="C1352" i="15"/>
  <c r="C1449" i="15"/>
  <c r="C1545" i="15"/>
  <c r="C1628" i="15"/>
  <c r="C1706" i="15"/>
  <c r="C1781" i="15"/>
  <c r="C1861" i="15"/>
  <c r="C1939" i="15"/>
  <c r="D1001" i="15"/>
  <c r="D1130" i="15"/>
  <c r="D1238" i="15"/>
  <c r="D1352" i="15"/>
  <c r="D1449" i="15"/>
  <c r="D1545" i="15"/>
  <c r="D1628" i="15"/>
  <c r="D1706" i="15"/>
  <c r="D1781" i="15"/>
  <c r="D1861" i="15"/>
  <c r="D1939" i="15"/>
  <c r="F1001" i="15"/>
  <c r="F1130" i="15"/>
  <c r="F1238" i="15"/>
  <c r="F1352" i="15"/>
  <c r="F1449" i="15"/>
  <c r="F1545" i="15"/>
  <c r="F1628" i="15"/>
  <c r="F1706" i="15"/>
  <c r="F1781" i="15"/>
  <c r="F1861" i="15"/>
  <c r="F1939" i="15"/>
  <c r="L1001" i="15" a="1"/>
  <c r="L1001" i="15" s="1"/>
  <c r="M1001" i="15" s="1"/>
  <c r="L1130" i="15" a="1"/>
  <c r="L1130" i="15" s="1"/>
  <c r="M1130" i="15" s="1"/>
  <c r="L1238" i="15" a="1"/>
  <c r="L1238" i="15" s="1"/>
  <c r="M1238" i="15" s="1"/>
  <c r="L1352" i="15" a="1"/>
  <c r="L1352" i="15" s="1"/>
  <c r="M1352" i="15" s="1"/>
  <c r="L1449" i="15" a="1"/>
  <c r="L1449" i="15" s="1"/>
  <c r="M1449" i="15" s="1"/>
  <c r="L1545" i="15" a="1"/>
  <c r="L1545" i="15" s="1"/>
  <c r="M1545" i="15" s="1"/>
  <c r="L1628" i="15" a="1"/>
  <c r="L1628" i="15" s="1"/>
  <c r="M1628" i="15" s="1"/>
  <c r="L1706" i="15" a="1"/>
  <c r="L1706" i="15" s="1"/>
  <c r="M1706" i="15" s="1"/>
  <c r="L1781" i="15" a="1"/>
  <c r="L1781" i="15" s="1"/>
  <c r="M1781" i="15" s="1"/>
  <c r="L1861" i="15" a="1"/>
  <c r="L1861" i="15" s="1"/>
  <c r="M1861" i="15" s="1"/>
  <c r="L1939" i="15" a="1"/>
  <c r="L1939" i="15" s="1"/>
  <c r="M1939" i="15" s="1"/>
  <c r="B1000" i="15"/>
  <c r="C1000" i="15"/>
  <c r="D1000" i="15"/>
  <c r="F1000" i="15"/>
  <c r="L1000" i="15" a="1"/>
  <c r="L1000" i="15" s="1"/>
  <c r="M1000" i="15" s="1"/>
  <c r="L1013" i="15" a="1"/>
  <c r="L1013" i="15" s="1"/>
  <c r="G196" i="3"/>
  <c r="J196" i="3"/>
  <c r="P196" i="3"/>
  <c r="Q196" i="3"/>
  <c r="S196" i="3"/>
  <c r="I1026" i="1"/>
  <c r="B1026" i="1"/>
  <c r="B1027" i="1"/>
  <c r="I1027" i="1"/>
  <c r="J1026" i="1"/>
  <c r="J1027" i="1"/>
  <c r="O1026" i="1"/>
  <c r="O1027" i="1"/>
  <c r="T1026" i="1"/>
  <c r="T1027" i="1"/>
  <c r="R1026" i="1" l="1"/>
  <c r="R1027" i="1"/>
  <c r="G115" i="30"/>
  <c r="C118" i="30"/>
  <c r="M1011" i="15"/>
  <c r="X197" i="3" s="1"/>
  <c r="H197" i="3"/>
  <c r="R197" i="3"/>
  <c r="T197" i="3"/>
  <c r="I197" i="3"/>
  <c r="R196" i="3"/>
  <c r="N196" i="3"/>
  <c r="X196" i="3"/>
  <c r="H196" i="3"/>
  <c r="T196" i="3"/>
  <c r="I196" i="3"/>
  <c r="F1271" i="25"/>
  <c r="B1023" i="1"/>
  <c r="I1023" i="1"/>
  <c r="J1023" i="1"/>
  <c r="O1023" i="1"/>
  <c r="T1023" i="1"/>
  <c r="B1025" i="1"/>
  <c r="I1025" i="1"/>
  <c r="J1025" i="1"/>
  <c r="O1025" i="1"/>
  <c r="T1025" i="1"/>
  <c r="B1024" i="1"/>
  <c r="I1024" i="1"/>
  <c r="J1024" i="1"/>
  <c r="O1024" i="1"/>
  <c r="T1024" i="1"/>
  <c r="B1013" i="15"/>
  <c r="C1013" i="15"/>
  <c r="D1013" i="15"/>
  <c r="F1013" i="15"/>
  <c r="M1013" i="15"/>
  <c r="I2855" i="15"/>
  <c r="F1339" i="25"/>
  <c r="B1022" i="1"/>
  <c r="I1022" i="1"/>
  <c r="J1022" i="1"/>
  <c r="O1022" i="1"/>
  <c r="T1022" i="1"/>
  <c r="B1021" i="1"/>
  <c r="I1021" i="1"/>
  <c r="J1021" i="1"/>
  <c r="O1021" i="1"/>
  <c r="T1021" i="1"/>
  <c r="F1264" i="25"/>
  <c r="I1109" i="15"/>
  <c r="B1020" i="1"/>
  <c r="I1020" i="1"/>
  <c r="J1020" i="1"/>
  <c r="O1020" i="1"/>
  <c r="T1020" i="1"/>
  <c r="B1019" i="1"/>
  <c r="I1019" i="1"/>
  <c r="J1019" i="1"/>
  <c r="O1019" i="1"/>
  <c r="T1019" i="1"/>
  <c r="B1017" i="1"/>
  <c r="B1018" i="1"/>
  <c r="I1017" i="1"/>
  <c r="I1018" i="1"/>
  <c r="J1017" i="1"/>
  <c r="J1018" i="1"/>
  <c r="O1017" i="1"/>
  <c r="O1018" i="1"/>
  <c r="T1017" i="1"/>
  <c r="T1018" i="1"/>
  <c r="F1211" i="25"/>
  <c r="Q999" i="25"/>
  <c r="F999" i="25"/>
  <c r="Q1017" i="25"/>
  <c r="F1017" i="25"/>
  <c r="Q998" i="25"/>
  <c r="F998" i="25"/>
  <c r="Q997" i="25"/>
  <c r="F997" i="25"/>
  <c r="Q996" i="25"/>
  <c r="F996" i="25"/>
  <c r="L974" i="15" a="1"/>
  <c r="L974" i="15" s="1"/>
  <c r="Q949" i="25"/>
  <c r="F949" i="25"/>
  <c r="Q858" i="25"/>
  <c r="F858" i="25"/>
  <c r="Q1046" i="25"/>
  <c r="F1046" i="25"/>
  <c r="Q945" i="25"/>
  <c r="F945" i="25"/>
  <c r="F1244" i="25"/>
  <c r="T1016" i="1"/>
  <c r="O1016" i="1"/>
  <c r="J1016" i="1"/>
  <c r="I1016" i="1"/>
  <c r="B1016" i="1"/>
  <c r="F1263" i="25"/>
  <c r="T1015" i="1"/>
  <c r="O1015" i="1"/>
  <c r="J1015" i="1"/>
  <c r="I1015" i="1"/>
  <c r="B1015" i="1"/>
  <c r="F1252" i="25"/>
  <c r="F1250" i="25"/>
  <c r="C2" i="15"/>
  <c r="C3" i="15"/>
  <c r="C4" i="15"/>
  <c r="C5" i="15"/>
  <c r="C6" i="15"/>
  <c r="C7" i="15"/>
  <c r="C8" i="15"/>
  <c r="C9" i="15"/>
  <c r="C10" i="15"/>
  <c r="C11" i="15"/>
  <c r="C12" i="15"/>
  <c r="C13" i="15"/>
  <c r="C14" i="15"/>
  <c r="C15" i="15"/>
  <c r="C16" i="15"/>
  <c r="C17" i="15"/>
  <c r="C18" i="15"/>
  <c r="C19" i="15"/>
  <c r="C20" i="15"/>
  <c r="C22" i="15"/>
  <c r="C23" i="15"/>
  <c r="C24" i="15"/>
  <c r="C25" i="15"/>
  <c r="C26" i="15"/>
  <c r="C27" i="15"/>
  <c r="C28" i="15"/>
  <c r="C29" i="15"/>
  <c r="C30" i="15"/>
  <c r="C31" i="15"/>
  <c r="C32" i="15"/>
  <c r="C33" i="15"/>
  <c r="C34" i="15"/>
  <c r="C35" i="15"/>
  <c r="C36" i="15"/>
  <c r="C37" i="15"/>
  <c r="C38" i="15"/>
  <c r="C39" i="15"/>
  <c r="C40" i="15"/>
  <c r="C42" i="15"/>
  <c r="C41" i="15"/>
  <c r="C21" i="15"/>
  <c r="C43" i="15"/>
  <c r="C44" i="15"/>
  <c r="C45" i="15"/>
  <c r="C46" i="15"/>
  <c r="C47" i="15"/>
  <c r="C48" i="15"/>
  <c r="C49" i="15"/>
  <c r="C50" i="15"/>
  <c r="C51" i="15"/>
  <c r="C52" i="15"/>
  <c r="C53" i="15"/>
  <c r="C54" i="15"/>
  <c r="C56" i="15"/>
  <c r="C57" i="15"/>
  <c r="C58" i="15"/>
  <c r="C59" i="15"/>
  <c r="C61" i="15"/>
  <c r="C62" i="15"/>
  <c r="C63" i="15"/>
  <c r="C64" i="15"/>
  <c r="C65" i="15"/>
  <c r="C66" i="15"/>
  <c r="C68" i="15"/>
  <c r="C69" i="15"/>
  <c r="C70" i="15"/>
  <c r="C67" i="15"/>
  <c r="C71" i="15"/>
  <c r="C73" i="15"/>
  <c r="C74" i="15"/>
  <c r="C75" i="15"/>
  <c r="C77" i="15"/>
  <c r="C78" i="15"/>
  <c r="C79" i="15"/>
  <c r="C80" i="15"/>
  <c r="C81" i="15"/>
  <c r="C83" i="15"/>
  <c r="C86" i="15"/>
  <c r="C84" i="15"/>
  <c r="C88" i="15"/>
  <c r="C89" i="15"/>
  <c r="C90" i="15"/>
  <c r="C91" i="15"/>
  <c r="C92" i="15"/>
  <c r="C93" i="15"/>
  <c r="C94" i="15"/>
  <c r="C95" i="15"/>
  <c r="C96" i="15"/>
  <c r="C97" i="15"/>
  <c r="C98" i="15"/>
  <c r="C99" i="15"/>
  <c r="C100" i="15"/>
  <c r="C101" i="15"/>
  <c r="C102" i="15"/>
  <c r="C103" i="15"/>
  <c r="C104" i="15"/>
  <c r="C105" i="15"/>
  <c r="C106" i="15"/>
  <c r="C171" i="15"/>
  <c r="C107" i="15"/>
  <c r="C108" i="15"/>
  <c r="C109" i="15"/>
  <c r="C110" i="15"/>
  <c r="C111" i="15"/>
  <c r="C112" i="15"/>
  <c r="C113" i="15"/>
  <c r="C114" i="15"/>
  <c r="C115" i="15"/>
  <c r="C116" i="15"/>
  <c r="C117" i="15"/>
  <c r="C118" i="15"/>
  <c r="C119" i="15"/>
  <c r="C120" i="15"/>
  <c r="C55" i="15"/>
  <c r="C121" i="15"/>
  <c r="C122" i="15"/>
  <c r="C123" i="15"/>
  <c r="C124" i="15"/>
  <c r="C125" i="15"/>
  <c r="C126" i="15"/>
  <c r="C127" i="15"/>
  <c r="C128" i="15"/>
  <c r="C129" i="15"/>
  <c r="C130" i="15"/>
  <c r="C131" i="15"/>
  <c r="C132" i="15"/>
  <c r="C133" i="15"/>
  <c r="C134" i="15"/>
  <c r="C135" i="15"/>
  <c r="C136" i="15"/>
  <c r="C138" i="15"/>
  <c r="C139" i="15"/>
  <c r="C140" i="15"/>
  <c r="C141" i="15"/>
  <c r="C142" i="15"/>
  <c r="C145" i="15"/>
  <c r="C144" i="15"/>
  <c r="C143" i="15"/>
  <c r="C146" i="15"/>
  <c r="C147" i="15"/>
  <c r="C148" i="15"/>
  <c r="C149" i="15"/>
  <c r="C150" i="15"/>
  <c r="C151" i="15"/>
  <c r="C152" i="15"/>
  <c r="C153" i="15"/>
  <c r="C154" i="15"/>
  <c r="C155" i="15"/>
  <c r="C156" i="15"/>
  <c r="C157" i="15"/>
  <c r="C158" i="15"/>
  <c r="C159" i="15"/>
  <c r="C161" i="15"/>
  <c r="C162" i="15"/>
  <c r="C163" i="15"/>
  <c r="C164" i="15"/>
  <c r="C165" i="15"/>
  <c r="C166" i="15"/>
  <c r="C167" i="15"/>
  <c r="C168" i="15"/>
  <c r="C169" i="15"/>
  <c r="C170" i="15"/>
  <c r="C172" i="15"/>
  <c r="C173" i="15"/>
  <c r="C174" i="15"/>
  <c r="C175" i="15"/>
  <c r="C176" i="15"/>
  <c r="C197" i="15"/>
  <c r="C177" i="15"/>
  <c r="C178" i="15"/>
  <c r="C179" i="15"/>
  <c r="C180" i="15"/>
  <c r="C181" i="15"/>
  <c r="C182" i="15"/>
  <c r="C183" i="15"/>
  <c r="C184" i="15"/>
  <c r="C185" i="15"/>
  <c r="C186" i="15"/>
  <c r="C187" i="15"/>
  <c r="C188" i="15"/>
  <c r="C190" i="15"/>
  <c r="C193" i="15"/>
  <c r="C195" i="15"/>
  <c r="C196" i="15"/>
  <c r="C198" i="15"/>
  <c r="C199" i="15"/>
  <c r="C200" i="15"/>
  <c r="C201" i="15"/>
  <c r="C204" i="15"/>
  <c r="C205" i="15"/>
  <c r="C206" i="15"/>
  <c r="C207" i="15"/>
  <c r="C209" i="15"/>
  <c r="C210" i="15"/>
  <c r="C211" i="15"/>
  <c r="C212" i="15"/>
  <c r="C213" i="15"/>
  <c r="C214" i="15"/>
  <c r="C215" i="15"/>
  <c r="C216" i="15"/>
  <c r="C217" i="15"/>
  <c r="C218" i="15"/>
  <c r="C219" i="15"/>
  <c r="C220" i="15"/>
  <c r="C221" i="15"/>
  <c r="C222" i="15"/>
  <c r="C223" i="15"/>
  <c r="C224" i="15"/>
  <c r="C225" i="15"/>
  <c r="C226" i="15"/>
  <c r="C227" i="15"/>
  <c r="C228" i="15"/>
  <c r="C229" i="15"/>
  <c r="C230" i="15"/>
  <c r="C233" i="15"/>
  <c r="C232" i="15"/>
  <c r="C231" i="15"/>
  <c r="C235" i="15"/>
  <c r="C234" i="15"/>
  <c r="C236" i="15"/>
  <c r="C237" i="15"/>
  <c r="C238" i="15"/>
  <c r="C239" i="15"/>
  <c r="C240" i="15"/>
  <c r="C241" i="15"/>
  <c r="C242" i="15"/>
  <c r="C243" i="15"/>
  <c r="C244" i="15"/>
  <c r="C245" i="15"/>
  <c r="C246" i="15"/>
  <c r="C247" i="15"/>
  <c r="C248" i="15"/>
  <c r="C249" i="15"/>
  <c r="C250" i="15"/>
  <c r="C252" i="15"/>
  <c r="C251" i="15"/>
  <c r="C253" i="15"/>
  <c r="C254" i="15"/>
  <c r="C255" i="15"/>
  <c r="C256" i="15"/>
  <c r="C257" i="15"/>
  <c r="C258" i="15"/>
  <c r="C259" i="15"/>
  <c r="C260" i="15"/>
  <c r="C261" i="15"/>
  <c r="C262" i="15"/>
  <c r="C263" i="15"/>
  <c r="C264" i="15"/>
  <c r="C268" i="15"/>
  <c r="C269" i="15"/>
  <c r="C270" i="15"/>
  <c r="C272" i="15"/>
  <c r="C271" i="15"/>
  <c r="C273" i="15"/>
  <c r="C274" i="15"/>
  <c r="C275" i="15"/>
  <c r="C276" i="15"/>
  <c r="C277" i="15"/>
  <c r="C278" i="15"/>
  <c r="C279" i="15"/>
  <c r="C280" i="15"/>
  <c r="C281" i="15"/>
  <c r="C282" i="15"/>
  <c r="C283" i="15"/>
  <c r="C284" i="15"/>
  <c r="C285" i="15"/>
  <c r="C286" i="15"/>
  <c r="C287" i="15"/>
  <c r="C288" i="15"/>
  <c r="C290" i="15"/>
  <c r="C291" i="15"/>
  <c r="C289" i="15"/>
  <c r="C292" i="15"/>
  <c r="C293" i="15"/>
  <c r="C294" i="15"/>
  <c r="C295" i="15"/>
  <c r="C296" i="15"/>
  <c r="C297" i="15"/>
  <c r="C298" i="15"/>
  <c r="C299" i="15"/>
  <c r="C300" i="15"/>
  <c r="C301" i="15"/>
  <c r="C302" i="15"/>
  <c r="C303" i="15"/>
  <c r="C304" i="15"/>
  <c r="C305" i="15"/>
  <c r="C306" i="15"/>
  <c r="C307" i="15"/>
  <c r="C308" i="15"/>
  <c r="C309" i="15"/>
  <c r="C310" i="15"/>
  <c r="C311" i="15"/>
  <c r="C312" i="15"/>
  <c r="C313" i="15"/>
  <c r="C314" i="15"/>
  <c r="C315" i="15"/>
  <c r="C316" i="15"/>
  <c r="C317" i="15"/>
  <c r="C318" i="15"/>
  <c r="C319" i="15"/>
  <c r="C320" i="15"/>
  <c r="C321" i="15"/>
  <c r="C322" i="15"/>
  <c r="C323" i="15"/>
  <c r="C324" i="15"/>
  <c r="C325" i="15"/>
  <c r="C326" i="15"/>
  <c r="C327" i="15"/>
  <c r="C328" i="15"/>
  <c r="C329" i="15"/>
  <c r="C330" i="15"/>
  <c r="C331" i="15"/>
  <c r="C332" i="15"/>
  <c r="C333" i="15"/>
  <c r="C334" i="15"/>
  <c r="C335" i="15"/>
  <c r="C336" i="15"/>
  <c r="C337" i="15"/>
  <c r="C338" i="15"/>
  <c r="C339" i="15"/>
  <c r="C340" i="15"/>
  <c r="C341" i="15"/>
  <c r="C342" i="15"/>
  <c r="C343" i="15"/>
  <c r="C350" i="15"/>
  <c r="C351" i="15"/>
  <c r="C352" i="15"/>
  <c r="C353" i="15"/>
  <c r="C354" i="15"/>
  <c r="C355" i="15"/>
  <c r="C356" i="15"/>
  <c r="C357" i="15"/>
  <c r="C358" i="15"/>
  <c r="C359" i="15"/>
  <c r="C360" i="15"/>
  <c r="C361" i="15"/>
  <c r="C362" i="15"/>
  <c r="C363" i="15"/>
  <c r="C364" i="15"/>
  <c r="C365" i="15"/>
  <c r="C366" i="15"/>
  <c r="C367" i="15"/>
  <c r="C368" i="15"/>
  <c r="C369" i="15"/>
  <c r="C370" i="15"/>
  <c r="C371" i="15"/>
  <c r="C372" i="15"/>
  <c r="C373" i="15"/>
  <c r="C374" i="15"/>
  <c r="C375" i="15"/>
  <c r="C376" i="15"/>
  <c r="C377" i="15"/>
  <c r="C378" i="15"/>
  <c r="C379" i="15"/>
  <c r="C380" i="15"/>
  <c r="C381" i="15"/>
  <c r="C382" i="15"/>
  <c r="C383" i="15"/>
  <c r="C384" i="15"/>
  <c r="C385" i="15"/>
  <c r="C386" i="15"/>
  <c r="C387" i="15"/>
  <c r="C388" i="15"/>
  <c r="C389" i="15"/>
  <c r="C390" i="15"/>
  <c r="C391" i="15"/>
  <c r="C392" i="15"/>
  <c r="C393" i="15"/>
  <c r="C394" i="15"/>
  <c r="C395" i="15"/>
  <c r="C396" i="15"/>
  <c r="C397" i="15"/>
  <c r="C398" i="15"/>
  <c r="C399" i="15"/>
  <c r="C400" i="15"/>
  <c r="C401" i="15"/>
  <c r="C402" i="15"/>
  <c r="C403" i="15"/>
  <c r="C404" i="15"/>
  <c r="C405" i="15"/>
  <c r="C406" i="15"/>
  <c r="C407" i="15"/>
  <c r="C408" i="15"/>
  <c r="C409" i="15"/>
  <c r="C410" i="15"/>
  <c r="C411" i="15"/>
  <c r="C412" i="15"/>
  <c r="C413" i="15"/>
  <c r="C414" i="15"/>
  <c r="C415" i="15"/>
  <c r="C416" i="15"/>
  <c r="C417" i="15"/>
  <c r="C418" i="15"/>
  <c r="C419" i="15"/>
  <c r="C420" i="15"/>
  <c r="C421" i="15"/>
  <c r="C422" i="15"/>
  <c r="C423" i="15"/>
  <c r="C424" i="15"/>
  <c r="C425" i="15"/>
  <c r="C426" i="15"/>
  <c r="C427" i="15"/>
  <c r="C428" i="15"/>
  <c r="C429" i="15"/>
  <c r="C430" i="15"/>
  <c r="C431" i="15"/>
  <c r="C432" i="15"/>
  <c r="C433" i="15"/>
  <c r="C434" i="15"/>
  <c r="C435" i="15"/>
  <c r="C436" i="15"/>
  <c r="C437" i="15"/>
  <c r="C438" i="15"/>
  <c r="C439" i="15"/>
  <c r="C440" i="15"/>
  <c r="C441" i="15"/>
  <c r="C442" i="15"/>
  <c r="C443" i="15"/>
  <c r="C444" i="15"/>
  <c r="C445" i="15"/>
  <c r="C446" i="15"/>
  <c r="C447" i="15"/>
  <c r="C448" i="15"/>
  <c r="C449" i="15"/>
  <c r="C450" i="15"/>
  <c r="C451" i="15"/>
  <c r="C452" i="15"/>
  <c r="C453" i="15"/>
  <c r="C454" i="15"/>
  <c r="C455" i="15"/>
  <c r="C456" i="15"/>
  <c r="C457" i="15"/>
  <c r="C458" i="15"/>
  <c r="C459" i="15"/>
  <c r="C460" i="15"/>
  <c r="C461" i="15"/>
  <c r="C462" i="15"/>
  <c r="C463" i="15"/>
  <c r="C464" i="15"/>
  <c r="C465" i="15"/>
  <c r="C466" i="15"/>
  <c r="C467" i="15"/>
  <c r="C468" i="15"/>
  <c r="C469" i="15"/>
  <c r="C470" i="15"/>
  <c r="C471" i="15"/>
  <c r="C472" i="15"/>
  <c r="C473" i="15"/>
  <c r="C474" i="15"/>
  <c r="C475" i="15"/>
  <c r="C476" i="15"/>
  <c r="C477" i="15"/>
  <c r="C478" i="15"/>
  <c r="C479" i="15"/>
  <c r="C480" i="15"/>
  <c r="C481" i="15"/>
  <c r="C482" i="15"/>
  <c r="C483" i="15"/>
  <c r="C484" i="15"/>
  <c r="C485" i="15"/>
  <c r="C486" i="15"/>
  <c r="C487" i="15"/>
  <c r="C488" i="15"/>
  <c r="C489" i="15"/>
  <c r="C490" i="15"/>
  <c r="C491" i="15"/>
  <c r="C492" i="15"/>
  <c r="C493" i="15"/>
  <c r="C494" i="15"/>
  <c r="C495" i="15"/>
  <c r="C496" i="15"/>
  <c r="C497" i="15"/>
  <c r="C498" i="15"/>
  <c r="C499" i="15"/>
  <c r="C500" i="15"/>
  <c r="C501" i="15"/>
  <c r="C502" i="15"/>
  <c r="C503" i="15"/>
  <c r="C504" i="15"/>
  <c r="C505" i="15"/>
  <c r="C506" i="15"/>
  <c r="C507" i="15"/>
  <c r="C508" i="15"/>
  <c r="C509" i="15"/>
  <c r="C510" i="15"/>
  <c r="C511" i="15"/>
  <c r="C512" i="15"/>
  <c r="C513" i="15"/>
  <c r="C514" i="15"/>
  <c r="C515" i="15"/>
  <c r="C516" i="15"/>
  <c r="C517" i="15"/>
  <c r="C518" i="15"/>
  <c r="C519" i="15"/>
  <c r="C520" i="15"/>
  <c r="C521" i="15"/>
  <c r="C189" i="15"/>
  <c r="C522" i="15"/>
  <c r="C523" i="15"/>
  <c r="C524" i="15"/>
  <c r="C525" i="15"/>
  <c r="C526" i="15"/>
  <c r="C527" i="15"/>
  <c r="C528" i="15"/>
  <c r="C529" i="15"/>
  <c r="C530" i="15"/>
  <c r="C531" i="15"/>
  <c r="C532" i="15"/>
  <c r="C533" i="15"/>
  <c r="C534" i="15"/>
  <c r="C535" i="15"/>
  <c r="C536" i="15"/>
  <c r="C537" i="15"/>
  <c r="C538" i="15"/>
  <c r="C539" i="15"/>
  <c r="C540" i="15"/>
  <c r="C541" i="15"/>
  <c r="C542" i="15"/>
  <c r="C543" i="15"/>
  <c r="C544" i="15"/>
  <c r="C545" i="15"/>
  <c r="C546" i="15"/>
  <c r="C547" i="15"/>
  <c r="C548" i="15"/>
  <c r="C549" i="15"/>
  <c r="C550" i="15"/>
  <c r="C551" i="15"/>
  <c r="C552" i="15"/>
  <c r="C553" i="15"/>
  <c r="C554" i="15"/>
  <c r="C555" i="15"/>
  <c r="C556" i="15"/>
  <c r="C557" i="15"/>
  <c r="C558" i="15"/>
  <c r="C559" i="15"/>
  <c r="C560" i="15"/>
  <c r="C561" i="15"/>
  <c r="C562" i="15"/>
  <c r="C563" i="15"/>
  <c r="C564" i="15"/>
  <c r="C565" i="15"/>
  <c r="C566" i="15"/>
  <c r="C567" i="15"/>
  <c r="C568" i="15"/>
  <c r="C569" i="15"/>
  <c r="C570" i="15"/>
  <c r="C571" i="15"/>
  <c r="C572" i="15"/>
  <c r="C573" i="15"/>
  <c r="C574" i="15"/>
  <c r="C575" i="15"/>
  <c r="C576" i="15"/>
  <c r="C577" i="15"/>
  <c r="C578" i="15"/>
  <c r="C579" i="15"/>
  <c r="C580" i="15"/>
  <c r="C581" i="15"/>
  <c r="C582" i="15"/>
  <c r="C583" i="15"/>
  <c r="C584" i="15"/>
  <c r="C585" i="15"/>
  <c r="C586" i="15"/>
  <c r="C587" i="15"/>
  <c r="C588" i="15"/>
  <c r="C589" i="15"/>
  <c r="C590" i="15"/>
  <c r="C591" i="15"/>
  <c r="C592" i="15"/>
  <c r="C593" i="15"/>
  <c r="C594" i="15"/>
  <c r="C595" i="15"/>
  <c r="C596" i="15"/>
  <c r="C597" i="15"/>
  <c r="C598" i="15"/>
  <c r="C599" i="15"/>
  <c r="C600" i="15"/>
  <c r="C601" i="15"/>
  <c r="C602" i="15"/>
  <c r="C603" i="15"/>
  <c r="C604" i="15"/>
  <c r="C605" i="15"/>
  <c r="C606" i="15"/>
  <c r="C607" i="15"/>
  <c r="C608" i="15"/>
  <c r="C609" i="15"/>
  <c r="C610" i="15"/>
  <c r="C611" i="15"/>
  <c r="C612" i="15"/>
  <c r="C613" i="15"/>
  <c r="C614" i="15"/>
  <c r="C615" i="15"/>
  <c r="C616" i="15"/>
  <c r="C617" i="15"/>
  <c r="C618" i="15"/>
  <c r="C619" i="15"/>
  <c r="C620" i="15"/>
  <c r="C621" i="15"/>
  <c r="C622" i="15"/>
  <c r="C623" i="15"/>
  <c r="C624" i="15"/>
  <c r="C625" i="15"/>
  <c r="C626" i="15"/>
  <c r="C627" i="15"/>
  <c r="C628" i="15"/>
  <c r="C629" i="15"/>
  <c r="C630" i="15"/>
  <c r="C631" i="15"/>
  <c r="C632" i="15"/>
  <c r="C633" i="15"/>
  <c r="C634" i="15"/>
  <c r="C635" i="15"/>
  <c r="C636" i="15"/>
  <c r="C637" i="15"/>
  <c r="C638" i="15"/>
  <c r="C639" i="15"/>
  <c r="C640" i="15"/>
  <c r="C641" i="15"/>
  <c r="C642" i="15"/>
  <c r="C643" i="15"/>
  <c r="C644" i="15"/>
  <c r="C645" i="15"/>
  <c r="C646" i="15"/>
  <c r="C647" i="15"/>
  <c r="C648" i="15"/>
  <c r="C649" i="15"/>
  <c r="C650" i="15"/>
  <c r="C651" i="15"/>
  <c r="C652" i="15"/>
  <c r="C655" i="15"/>
  <c r="C653" i="15"/>
  <c r="C654" i="15"/>
  <c r="C656" i="15"/>
  <c r="C657" i="15"/>
  <c r="C658" i="15"/>
  <c r="C661" i="15"/>
  <c r="C662" i="15"/>
  <c r="C659" i="15"/>
  <c r="C660" i="15"/>
  <c r="C663" i="15"/>
  <c r="C664" i="15"/>
  <c r="C665" i="15"/>
  <c r="C666" i="15"/>
  <c r="C667" i="15"/>
  <c r="C668" i="15"/>
  <c r="C669" i="15"/>
  <c r="C670" i="15"/>
  <c r="C671" i="15"/>
  <c r="C672" i="15"/>
  <c r="C673" i="15"/>
  <c r="C674" i="15"/>
  <c r="C675" i="15"/>
  <c r="C676" i="15"/>
  <c r="C677" i="15"/>
  <c r="C678" i="15"/>
  <c r="C679" i="15"/>
  <c r="C680" i="15"/>
  <c r="C681" i="15"/>
  <c r="C682" i="15"/>
  <c r="C683" i="15"/>
  <c r="C684" i="15"/>
  <c r="C685" i="15"/>
  <c r="C686" i="15"/>
  <c r="C687" i="15"/>
  <c r="C688" i="15"/>
  <c r="C689" i="15"/>
  <c r="C690" i="15"/>
  <c r="C691" i="15"/>
  <c r="C692" i="15"/>
  <c r="C693" i="15"/>
  <c r="C694" i="15"/>
  <c r="C695" i="15"/>
  <c r="C696" i="15"/>
  <c r="C697" i="15"/>
  <c r="C698" i="15"/>
  <c r="C699" i="15"/>
  <c r="C700" i="15"/>
  <c r="C701" i="15"/>
  <c r="C702" i="15"/>
  <c r="C703" i="15"/>
  <c r="C704" i="15"/>
  <c r="C705" i="15"/>
  <c r="C706" i="15"/>
  <c r="C707" i="15"/>
  <c r="C708" i="15"/>
  <c r="C709" i="15"/>
  <c r="C710" i="15"/>
  <c r="C711" i="15"/>
  <c r="C712" i="15"/>
  <c r="C713" i="15"/>
  <c r="C714" i="15"/>
  <c r="C715" i="15"/>
  <c r="C716" i="15"/>
  <c r="C717" i="15"/>
  <c r="C718" i="15"/>
  <c r="C719" i="15"/>
  <c r="C720" i="15"/>
  <c r="C723" i="15"/>
  <c r="C721" i="15"/>
  <c r="C722" i="15"/>
  <c r="C724" i="15"/>
  <c r="C725" i="15"/>
  <c r="C726" i="15"/>
  <c r="C727" i="15"/>
  <c r="C728" i="15"/>
  <c r="C729" i="15"/>
  <c r="C730" i="15"/>
  <c r="C731" i="15"/>
  <c r="C732" i="15"/>
  <c r="C733" i="15"/>
  <c r="C734" i="15"/>
  <c r="C735" i="15"/>
  <c r="C736" i="15"/>
  <c r="C737" i="15"/>
  <c r="C738" i="15"/>
  <c r="C739" i="15"/>
  <c r="C740" i="15"/>
  <c r="C741" i="15"/>
  <c r="C742" i="15"/>
  <c r="C743" i="15"/>
  <c r="C744" i="15"/>
  <c r="C745" i="15"/>
  <c r="C746" i="15"/>
  <c r="C747" i="15"/>
  <c r="C748" i="15"/>
  <c r="C749" i="15"/>
  <c r="C750" i="15"/>
  <c r="C751" i="15"/>
  <c r="C752" i="15"/>
  <c r="C753" i="15"/>
  <c r="C754" i="15"/>
  <c r="C755" i="15"/>
  <c r="C756" i="15"/>
  <c r="C757" i="15"/>
  <c r="C758" i="15"/>
  <c r="C759" i="15"/>
  <c r="C760" i="15"/>
  <c r="C761" i="15"/>
  <c r="C762" i="15"/>
  <c r="C764" i="15"/>
  <c r="C765" i="15"/>
  <c r="C766" i="15"/>
  <c r="C767" i="15"/>
  <c r="C768" i="15"/>
  <c r="C769" i="15"/>
  <c r="C770" i="15"/>
  <c r="C771" i="15"/>
  <c r="C772" i="15"/>
  <c r="C773" i="15"/>
  <c r="C774" i="15"/>
  <c r="C763" i="15"/>
  <c r="C775" i="15"/>
  <c r="C776" i="15"/>
  <c r="C777" i="15"/>
  <c r="C778" i="15"/>
  <c r="C779" i="15"/>
  <c r="C780" i="15"/>
  <c r="C781" i="15"/>
  <c r="C782" i="15"/>
  <c r="C783" i="15"/>
  <c r="C784" i="15"/>
  <c r="C785" i="15"/>
  <c r="C786" i="15"/>
  <c r="C787" i="15"/>
  <c r="C788" i="15"/>
  <c r="C789" i="15"/>
  <c r="C790" i="15"/>
  <c r="C791" i="15"/>
  <c r="C792" i="15"/>
  <c r="C793" i="15"/>
  <c r="C794" i="15"/>
  <c r="C795" i="15"/>
  <c r="C796" i="15"/>
  <c r="C797" i="15"/>
  <c r="C798" i="15"/>
  <c r="C799" i="15"/>
  <c r="C800" i="15"/>
  <c r="C801" i="15"/>
  <c r="C802" i="15"/>
  <c r="C803" i="15"/>
  <c r="C804" i="15"/>
  <c r="C805" i="15"/>
  <c r="C806" i="15"/>
  <c r="C807" i="15"/>
  <c r="C808" i="15"/>
  <c r="C809" i="15"/>
  <c r="C810" i="15"/>
  <c r="C811" i="15"/>
  <c r="C812" i="15"/>
  <c r="C813" i="15"/>
  <c r="C814" i="15"/>
  <c r="C815" i="15"/>
  <c r="C816" i="15"/>
  <c r="C817" i="15"/>
  <c r="C818" i="15"/>
  <c r="C819" i="15"/>
  <c r="C820" i="15"/>
  <c r="C821" i="15"/>
  <c r="C822" i="15"/>
  <c r="C823" i="15"/>
  <c r="C824" i="15"/>
  <c r="C825" i="15"/>
  <c r="C826" i="15"/>
  <c r="C827" i="15"/>
  <c r="C828" i="15"/>
  <c r="C829" i="15"/>
  <c r="C830" i="15"/>
  <c r="C831" i="15"/>
  <c r="C832" i="15"/>
  <c r="C833" i="15"/>
  <c r="C834" i="15"/>
  <c r="C835" i="15"/>
  <c r="C836" i="15"/>
  <c r="C837" i="15"/>
  <c r="C838" i="15"/>
  <c r="C839" i="15"/>
  <c r="C840" i="15"/>
  <c r="C841" i="15"/>
  <c r="C842" i="15"/>
  <c r="C843" i="15"/>
  <c r="C844" i="15"/>
  <c r="C845" i="15"/>
  <c r="C846" i="15"/>
  <c r="C847" i="15"/>
  <c r="C848" i="15"/>
  <c r="C849" i="15"/>
  <c r="C850" i="15"/>
  <c r="C852" i="15"/>
  <c r="C851" i="15"/>
  <c r="C853" i="15"/>
  <c r="C854" i="15"/>
  <c r="C855" i="15"/>
  <c r="C856" i="15"/>
  <c r="C857" i="15"/>
  <c r="C858" i="15"/>
  <c r="C859" i="15"/>
  <c r="C860" i="15"/>
  <c r="C861" i="15"/>
  <c r="C862" i="15"/>
  <c r="C863" i="15"/>
  <c r="C864" i="15"/>
  <c r="C865" i="15"/>
  <c r="C866" i="15"/>
  <c r="C867" i="15"/>
  <c r="C868" i="15"/>
  <c r="C869" i="15"/>
  <c r="C870" i="15"/>
  <c r="C871" i="15"/>
  <c r="C872" i="15"/>
  <c r="C873" i="15"/>
  <c r="C876" i="15"/>
  <c r="C874" i="15"/>
  <c r="C875" i="15"/>
  <c r="C877" i="15"/>
  <c r="C879" i="15"/>
  <c r="C878" i="15"/>
  <c r="C880" i="15"/>
  <c r="C881" i="15"/>
  <c r="C882" i="15"/>
  <c r="C885" i="15"/>
  <c r="C883" i="15"/>
  <c r="C884" i="15"/>
  <c r="C886" i="15"/>
  <c r="C888" i="15"/>
  <c r="C887" i="15"/>
  <c r="C889" i="15"/>
  <c r="C890" i="15"/>
  <c r="C891" i="15"/>
  <c r="C892" i="15"/>
  <c r="C893" i="15"/>
  <c r="C894" i="15"/>
  <c r="C896" i="15"/>
  <c r="C897" i="15"/>
  <c r="C895" i="15"/>
  <c r="C900" i="15"/>
  <c r="C901" i="15"/>
  <c r="C899" i="15"/>
  <c r="C898" i="15"/>
  <c r="C903" i="15"/>
  <c r="C904" i="15"/>
  <c r="C902" i="15"/>
  <c r="C905" i="15"/>
  <c r="C906" i="15"/>
  <c r="C907" i="15"/>
  <c r="C908" i="15"/>
  <c r="C909" i="15"/>
  <c r="C911" i="15"/>
  <c r="C910" i="15"/>
  <c r="C913" i="15"/>
  <c r="C912" i="15"/>
  <c r="C914" i="15"/>
  <c r="C915" i="15"/>
  <c r="C916" i="15"/>
  <c r="C917" i="15"/>
  <c r="C918" i="15"/>
  <c r="C919" i="15"/>
  <c r="C920" i="15"/>
  <c r="C924" i="15"/>
  <c r="C926" i="15"/>
  <c r="C925" i="15"/>
  <c r="C927" i="15"/>
  <c r="C928" i="15"/>
  <c r="C929" i="15"/>
  <c r="C930" i="15"/>
  <c r="C931" i="15"/>
  <c r="C932" i="15"/>
  <c r="C933" i="15"/>
  <c r="C922" i="15"/>
  <c r="C921" i="15"/>
  <c r="C923" i="15"/>
  <c r="C934" i="15"/>
  <c r="C935" i="15"/>
  <c r="C936" i="15"/>
  <c r="C937" i="15"/>
  <c r="C938" i="15"/>
  <c r="C939" i="15"/>
  <c r="C940" i="15"/>
  <c r="C941" i="15"/>
  <c r="C942" i="15"/>
  <c r="C943" i="15"/>
  <c r="C945" i="15"/>
  <c r="C946" i="15"/>
  <c r="C947" i="15"/>
  <c r="C944" i="15"/>
  <c r="C963" i="15"/>
  <c r="C948" i="15"/>
  <c r="C949" i="15"/>
  <c r="C951" i="15"/>
  <c r="C952" i="15"/>
  <c r="C953" i="15"/>
  <c r="C954" i="15"/>
  <c r="C955" i="15"/>
  <c r="C956" i="15"/>
  <c r="C957" i="15"/>
  <c r="C959" i="15"/>
  <c r="C958" i="15"/>
  <c r="C960" i="15"/>
  <c r="C964" i="15"/>
  <c r="C965" i="15"/>
  <c r="C966" i="15"/>
  <c r="C967" i="15"/>
  <c r="C968" i="15"/>
  <c r="C969" i="15"/>
  <c r="C970" i="15"/>
  <c r="C971" i="15"/>
  <c r="C975" i="15"/>
  <c r="C974" i="15"/>
  <c r="C976" i="15"/>
  <c r="C977" i="15"/>
  <c r="C978" i="15"/>
  <c r="C981" i="15"/>
  <c r="C961" i="15"/>
  <c r="C950" i="15"/>
  <c r="C980" i="15"/>
  <c r="C962" i="15"/>
  <c r="C979" i="15"/>
  <c r="C982" i="15"/>
  <c r="C983" i="15"/>
  <c r="C984" i="15"/>
  <c r="C986" i="15"/>
  <c r="C985" i="15"/>
  <c r="C988" i="15"/>
  <c r="C989" i="15"/>
  <c r="C990" i="15"/>
  <c r="C991" i="15"/>
  <c r="C987" i="15"/>
  <c r="C992" i="15"/>
  <c r="C993" i="15"/>
  <c r="C995" i="15"/>
  <c r="C996" i="15"/>
  <c r="C997" i="15"/>
  <c r="C998" i="15"/>
  <c r="C999" i="15"/>
  <c r="C1002" i="15"/>
  <c r="C1003" i="15"/>
  <c r="C1004" i="15"/>
  <c r="C1005" i="15"/>
  <c r="C1006" i="15"/>
  <c r="C1007" i="15"/>
  <c r="C1008" i="15"/>
  <c r="C1009" i="15"/>
  <c r="C1010" i="15"/>
  <c r="C1012" i="15"/>
  <c r="C1036" i="15"/>
  <c r="C1014" i="15"/>
  <c r="C1015" i="15"/>
  <c r="C1016" i="15"/>
  <c r="C1019" i="15"/>
  <c r="C1020" i="15"/>
  <c r="C1018" i="15"/>
  <c r="C1021" i="15"/>
  <c r="C1023" i="15"/>
  <c r="C1022" i="15"/>
  <c r="C1024" i="15"/>
  <c r="C1025" i="15"/>
  <c r="C1026" i="15"/>
  <c r="C1027" i="15"/>
  <c r="C1028" i="15"/>
  <c r="C1029" i="15"/>
  <c r="C1030" i="15"/>
  <c r="C1031" i="15"/>
  <c r="C1032" i="15"/>
  <c r="C1033" i="15"/>
  <c r="C1034" i="15"/>
  <c r="C1035" i="15"/>
  <c r="C1037" i="15"/>
  <c r="C1038" i="15"/>
  <c r="C1039" i="15"/>
  <c r="C1041" i="15"/>
  <c r="C1042" i="15"/>
  <c r="C1043" i="15"/>
  <c r="C1044" i="15"/>
  <c r="C1045" i="15"/>
  <c r="C1046" i="15"/>
  <c r="C1140" i="15"/>
  <c r="C1048" i="15"/>
  <c r="C1049" i="15"/>
  <c r="C1050" i="15"/>
  <c r="C1052" i="15"/>
  <c r="C1053" i="15"/>
  <c r="C1054" i="15"/>
  <c r="C1055" i="15"/>
  <c r="C1056" i="15"/>
  <c r="C1057" i="15"/>
  <c r="C1058" i="15"/>
  <c r="C1059" i="15"/>
  <c r="C1060" i="15"/>
  <c r="C1107" i="15"/>
  <c r="C1040" i="15"/>
  <c r="C1051" i="15"/>
  <c r="C1274" i="15"/>
  <c r="C1061" i="15"/>
  <c r="C1062" i="15"/>
  <c r="C1065" i="15"/>
  <c r="C1066" i="15"/>
  <c r="C1067" i="15"/>
  <c r="C1069" i="15"/>
  <c r="C1070" i="15"/>
  <c r="C1071" i="15"/>
  <c r="C1074" i="15"/>
  <c r="C1088" i="15"/>
  <c r="C1075" i="15"/>
  <c r="C1076" i="15"/>
  <c r="C1078" i="15"/>
  <c r="C1079" i="15"/>
  <c r="C1080" i="15"/>
  <c r="C1081" i="15"/>
  <c r="C1082" i="15"/>
  <c r="C1083" i="15"/>
  <c r="C1084" i="15"/>
  <c r="C1086" i="15"/>
  <c r="C1109" i="15"/>
  <c r="C1089" i="15"/>
  <c r="C1090" i="15"/>
  <c r="C1091" i="15"/>
  <c r="C1092" i="15"/>
  <c r="C1093" i="15"/>
  <c r="C1094" i="15"/>
  <c r="C1095" i="15"/>
  <c r="C1097" i="15"/>
  <c r="C1098" i="15"/>
  <c r="C1099" i="15"/>
  <c r="C1100" i="15"/>
  <c r="C1087" i="15"/>
  <c r="C1077" i="15"/>
  <c r="C1191" i="15"/>
  <c r="C1096" i="15"/>
  <c r="C1101" i="15"/>
  <c r="C1102" i="15"/>
  <c r="C1103" i="15"/>
  <c r="C1104" i="15"/>
  <c r="C1105" i="15"/>
  <c r="C1106" i="15"/>
  <c r="C1108" i="15"/>
  <c r="C1110" i="15"/>
  <c r="C1111" i="15"/>
  <c r="C1113" i="15"/>
  <c r="C1114" i="15"/>
  <c r="C1115" i="15"/>
  <c r="C1117" i="15"/>
  <c r="C1118" i="15"/>
  <c r="C1119" i="15"/>
  <c r="C1120" i="15"/>
  <c r="C1121" i="15"/>
  <c r="C1122" i="15"/>
  <c r="C1123" i="15"/>
  <c r="C1116" i="15"/>
  <c r="C1124" i="15"/>
  <c r="C1125" i="15"/>
  <c r="C1126" i="15"/>
  <c r="C1127" i="15"/>
  <c r="C1128" i="15"/>
  <c r="C1129" i="15"/>
  <c r="C1132" i="15"/>
  <c r="C1133" i="15"/>
  <c r="C1131" i="15"/>
  <c r="C1134" i="15"/>
  <c r="C1136" i="15"/>
  <c r="C1135" i="15"/>
  <c r="C1137" i="15"/>
  <c r="C1138" i="15"/>
  <c r="C1139" i="15"/>
  <c r="C1141" i="15"/>
  <c r="C1142" i="15"/>
  <c r="C1143" i="15"/>
  <c r="C1144" i="15"/>
  <c r="C1145" i="15"/>
  <c r="C1146" i="15"/>
  <c r="C1147" i="15"/>
  <c r="C1148" i="15"/>
  <c r="C1149" i="15"/>
  <c r="C1150" i="15"/>
  <c r="C1151" i="15"/>
  <c r="C1261" i="15"/>
  <c r="C1152" i="15"/>
  <c r="C1153" i="15"/>
  <c r="C1154" i="15"/>
  <c r="C1155" i="15"/>
  <c r="C1156" i="15"/>
  <c r="C1157" i="15"/>
  <c r="C1158" i="15"/>
  <c r="C1159" i="15"/>
  <c r="C1160" i="15"/>
  <c r="C1162" i="15"/>
  <c r="C1163" i="15"/>
  <c r="C1164" i="15"/>
  <c r="C1165" i="15"/>
  <c r="C1166" i="15"/>
  <c r="C1167" i="15"/>
  <c r="C1168" i="15"/>
  <c r="C1161" i="15"/>
  <c r="C1169" i="15"/>
  <c r="C1172" i="15"/>
  <c r="C1170" i="15"/>
  <c r="C1171" i="15"/>
  <c r="C1174" i="15"/>
  <c r="C1179" i="15"/>
  <c r="C1175" i="15"/>
  <c r="C1176" i="15"/>
  <c r="C1177" i="15"/>
  <c r="C1178" i="15"/>
  <c r="C1180" i="15"/>
  <c r="C1181" i="15"/>
  <c r="C1182" i="15"/>
  <c r="C1183" i="15"/>
  <c r="C1198" i="15"/>
  <c r="C1184" i="15"/>
  <c r="C1186" i="15"/>
  <c r="C1187" i="15"/>
  <c r="C1188" i="15"/>
  <c r="C1189" i="15"/>
  <c r="C1190" i="15"/>
  <c r="C1192" i="15"/>
  <c r="C1193" i="15"/>
  <c r="C1194" i="15"/>
  <c r="C1195" i="15"/>
  <c r="C1196" i="15"/>
  <c r="C1199" i="15"/>
  <c r="C1200" i="15"/>
  <c r="C1201" i="15"/>
  <c r="C1202" i="15"/>
  <c r="C1203" i="15"/>
  <c r="C1204" i="15"/>
  <c r="C1205" i="15"/>
  <c r="C1207" i="15"/>
  <c r="C1208" i="15"/>
  <c r="C1209" i="15"/>
  <c r="C1210" i="15"/>
  <c r="C1197" i="15"/>
  <c r="C1185" i="15"/>
  <c r="C1303" i="15"/>
  <c r="C1206" i="15"/>
  <c r="C1211" i="15"/>
  <c r="C1212" i="15"/>
  <c r="C1213" i="15"/>
  <c r="C1214" i="15"/>
  <c r="C1215" i="15"/>
  <c r="C1216" i="15"/>
  <c r="C1217" i="15"/>
  <c r="C1218" i="15"/>
  <c r="C1219" i="15"/>
  <c r="C1221" i="15"/>
  <c r="C1222" i="15"/>
  <c r="C1223" i="15"/>
  <c r="C1225" i="15"/>
  <c r="C1226" i="15"/>
  <c r="C1227" i="15"/>
  <c r="C1228" i="15"/>
  <c r="C1229" i="15"/>
  <c r="C1230" i="15"/>
  <c r="C1231" i="15"/>
  <c r="C1224" i="15"/>
  <c r="C1232" i="15"/>
  <c r="C1233" i="15"/>
  <c r="C1234" i="15"/>
  <c r="C1235" i="15"/>
  <c r="C1236" i="15"/>
  <c r="C1237" i="15"/>
  <c r="C1240" i="15"/>
  <c r="C1241" i="15"/>
  <c r="C1239" i="15"/>
  <c r="C1242" i="15"/>
  <c r="C1244" i="15"/>
  <c r="C1243" i="15"/>
  <c r="C1245" i="15"/>
  <c r="C1246" i="15"/>
  <c r="C1247" i="15"/>
  <c r="C1249" i="15"/>
  <c r="C1250" i="15"/>
  <c r="C1251" i="15"/>
  <c r="C1252" i="15"/>
  <c r="C1253" i="15"/>
  <c r="C1254" i="15"/>
  <c r="C1255" i="15"/>
  <c r="C1256" i="15"/>
  <c r="C1257" i="15"/>
  <c r="C1258" i="15"/>
  <c r="C1259" i="15"/>
  <c r="C1260" i="15"/>
  <c r="C1373" i="15"/>
  <c r="C1262" i="15"/>
  <c r="C1263" i="15"/>
  <c r="C1264" i="15"/>
  <c r="C1265" i="15"/>
  <c r="C1266" i="15"/>
  <c r="C1267" i="15"/>
  <c r="C1268" i="15"/>
  <c r="C1269" i="15"/>
  <c r="C1270" i="15"/>
  <c r="C1272" i="15"/>
  <c r="C1273" i="15"/>
  <c r="C1275" i="15"/>
  <c r="C1276" i="15"/>
  <c r="C1277" i="15"/>
  <c r="C1278" i="15"/>
  <c r="C1279" i="15"/>
  <c r="C1280" i="15"/>
  <c r="C1271" i="15"/>
  <c r="C1283" i="15"/>
  <c r="C1281" i="15"/>
  <c r="C1282" i="15"/>
  <c r="C1285" i="15"/>
  <c r="C1286" i="15"/>
  <c r="C1287" i="15"/>
  <c r="C1288" i="15"/>
  <c r="C1289" i="15"/>
  <c r="C1290" i="15"/>
  <c r="C1293" i="15"/>
  <c r="C1294" i="15"/>
  <c r="C1295" i="15"/>
  <c r="C1308" i="15"/>
  <c r="C1297" i="15"/>
  <c r="C1299" i="15"/>
  <c r="C1300" i="15"/>
  <c r="C1301" i="15"/>
  <c r="C1302" i="15"/>
  <c r="C1304" i="15"/>
  <c r="C1305" i="15"/>
  <c r="C1306" i="15"/>
  <c r="C1309" i="15"/>
  <c r="C1310" i="15"/>
  <c r="C1311" i="15"/>
  <c r="C1312" i="15"/>
  <c r="C1313" i="15"/>
  <c r="C1314" i="15"/>
  <c r="C1315" i="15"/>
  <c r="C1317" i="15"/>
  <c r="C1318" i="15"/>
  <c r="C1319" i="15"/>
  <c r="C1320" i="15"/>
  <c r="C1307" i="15"/>
  <c r="C1298" i="15"/>
  <c r="C1409" i="15"/>
  <c r="C1316" i="15"/>
  <c r="C1322" i="15"/>
  <c r="C1323" i="15"/>
  <c r="C1327" i="15"/>
  <c r="C1329" i="15"/>
  <c r="C1330" i="15"/>
  <c r="C1332" i="15"/>
  <c r="C1333" i="15"/>
  <c r="C1334" i="15"/>
  <c r="C1336" i="15"/>
  <c r="C1337" i="15"/>
  <c r="C1339" i="15"/>
  <c r="C1340" i="15"/>
  <c r="C1341" i="15"/>
  <c r="C1342" i="15"/>
  <c r="C1343" i="15"/>
  <c r="C1344" i="15"/>
  <c r="C1345" i="15"/>
  <c r="C1338" i="15"/>
  <c r="C1346" i="15"/>
  <c r="C1347" i="15"/>
  <c r="C1348" i="15"/>
  <c r="C1349" i="15"/>
  <c r="C1350" i="15"/>
  <c r="C1354" i="15"/>
  <c r="C1355" i="15"/>
  <c r="C1353" i="15"/>
  <c r="C1351" i="15"/>
  <c r="C1356" i="15"/>
  <c r="C1358" i="15"/>
  <c r="C1357" i="15"/>
  <c r="C1359" i="15"/>
  <c r="C1360" i="15"/>
  <c r="C1361" i="15"/>
  <c r="C1363" i="15"/>
  <c r="C1364" i="15"/>
  <c r="C1365" i="15"/>
  <c r="C1366" i="15"/>
  <c r="C1367" i="15"/>
  <c r="C1368" i="15"/>
  <c r="C1369" i="15"/>
  <c r="C1370" i="15"/>
  <c r="C1371" i="15"/>
  <c r="C1372" i="15"/>
  <c r="C1374" i="15"/>
  <c r="C1375" i="15"/>
  <c r="C1376" i="15"/>
  <c r="C1377" i="15"/>
  <c r="C1378" i="15"/>
  <c r="C1379" i="15"/>
  <c r="C1380" i="15"/>
  <c r="C1382" i="15"/>
  <c r="C1383" i="15"/>
  <c r="C1384" i="15"/>
  <c r="C1385" i="15"/>
  <c r="C1386" i="15"/>
  <c r="C1387" i="15"/>
  <c r="C1388" i="15"/>
  <c r="C1381" i="15"/>
  <c r="C1389" i="15"/>
  <c r="C1393" i="15"/>
  <c r="C1391" i="15"/>
  <c r="C1392" i="15"/>
  <c r="C1395" i="15"/>
  <c r="C1396" i="15"/>
  <c r="C1397" i="15"/>
  <c r="C1398" i="15"/>
  <c r="C1399" i="15"/>
  <c r="C1400" i="15"/>
  <c r="C1401" i="15"/>
  <c r="C1402" i="15"/>
  <c r="C1414" i="15"/>
  <c r="C1403" i="15"/>
  <c r="C1405" i="15"/>
  <c r="C1406" i="15"/>
  <c r="C1407" i="15"/>
  <c r="C1408" i="15"/>
  <c r="C1410" i="15"/>
  <c r="C1411" i="15"/>
  <c r="C1412" i="15"/>
  <c r="C1415" i="15"/>
  <c r="C1416" i="15"/>
  <c r="C1417" i="15"/>
  <c r="C1418" i="15"/>
  <c r="C1420" i="15"/>
  <c r="C1421" i="15"/>
  <c r="C1423" i="15"/>
  <c r="C1424" i="15"/>
  <c r="C1425" i="15"/>
  <c r="C1426" i="15"/>
  <c r="C1413" i="15"/>
  <c r="C1404" i="15"/>
  <c r="C1506" i="15"/>
  <c r="C1419" i="15"/>
  <c r="C1422" i="15"/>
  <c r="C1427" i="15"/>
  <c r="C1428" i="15"/>
  <c r="C1429" i="15"/>
  <c r="C1430" i="15"/>
  <c r="C1431" i="15"/>
  <c r="C1432" i="15"/>
  <c r="C1433" i="15"/>
  <c r="C1434" i="15"/>
  <c r="C1436" i="15"/>
  <c r="C1438" i="15"/>
  <c r="C1439" i="15"/>
  <c r="C1440" i="15"/>
  <c r="C1441" i="15"/>
  <c r="C1442" i="15"/>
  <c r="C1443" i="15"/>
  <c r="C1444" i="15"/>
  <c r="C1437" i="15"/>
  <c r="C1445" i="15"/>
  <c r="C1446" i="15"/>
  <c r="C1447" i="15"/>
  <c r="C1448" i="15"/>
  <c r="C1451" i="15"/>
  <c r="C1452" i="15"/>
  <c r="C1450" i="15"/>
  <c r="C1453" i="15"/>
  <c r="C1455" i="15"/>
  <c r="C1454" i="15"/>
  <c r="C1456" i="15"/>
  <c r="C1457" i="15"/>
  <c r="C1458" i="15"/>
  <c r="C1460" i="15"/>
  <c r="C1461" i="15"/>
  <c r="C1462" i="15"/>
  <c r="C1463" i="15"/>
  <c r="C1464" i="15"/>
  <c r="C1465" i="15"/>
  <c r="C1466" i="15"/>
  <c r="C1467" i="15"/>
  <c r="C1468" i="15"/>
  <c r="C1469" i="15"/>
  <c r="C1470" i="15"/>
  <c r="C1471" i="15"/>
  <c r="C1472" i="15"/>
  <c r="C1473" i="15"/>
  <c r="C1474" i="15"/>
  <c r="C1475" i="15"/>
  <c r="C1476" i="15"/>
  <c r="C1477" i="15"/>
  <c r="C1478" i="15"/>
  <c r="C1480" i="15"/>
  <c r="C1482" i="15"/>
  <c r="C1483" i="15"/>
  <c r="C1484" i="15"/>
  <c r="C1485" i="15"/>
  <c r="C1486" i="15"/>
  <c r="C1479" i="15"/>
  <c r="C1490" i="15"/>
  <c r="C1487" i="15"/>
  <c r="C1488" i="15"/>
  <c r="C1489" i="15"/>
  <c r="C1492" i="15"/>
  <c r="C1493" i="15"/>
  <c r="C1494" i="15"/>
  <c r="C1495" i="15"/>
  <c r="C1497" i="15"/>
  <c r="C1498" i="15"/>
  <c r="C1499" i="15"/>
  <c r="C1511" i="15"/>
  <c r="C1500" i="15"/>
  <c r="C1502" i="15"/>
  <c r="C1503" i="15"/>
  <c r="C1504" i="15"/>
  <c r="C1505" i="15"/>
  <c r="C1507" i="15"/>
  <c r="C1508" i="15"/>
  <c r="C1509" i="15"/>
  <c r="C1512" i="15"/>
  <c r="C1513" i="15"/>
  <c r="C1514" i="15"/>
  <c r="C1515" i="15"/>
  <c r="C1517" i="15"/>
  <c r="C1518" i="15"/>
  <c r="C1520" i="15"/>
  <c r="C1521" i="15"/>
  <c r="C1522" i="15"/>
  <c r="C1510" i="15"/>
  <c r="C1501" i="15"/>
  <c r="C1591" i="15"/>
  <c r="C1516" i="15"/>
  <c r="C1519" i="15"/>
  <c r="C1523" i="15"/>
  <c r="C1524" i="15"/>
  <c r="C1525" i="15"/>
  <c r="C1526" i="15"/>
  <c r="C1527" i="15"/>
  <c r="C1528" i="15"/>
  <c r="C1529" i="15"/>
  <c r="C1530" i="15"/>
  <c r="C1532" i="15"/>
  <c r="C1534" i="15"/>
  <c r="C1535" i="15"/>
  <c r="C1536" i="15"/>
  <c r="C1537" i="15"/>
  <c r="C1538" i="15"/>
  <c r="C1539" i="15"/>
  <c r="C1540" i="15"/>
  <c r="C1533" i="15"/>
  <c r="C1541" i="15"/>
  <c r="C1542" i="15"/>
  <c r="C1543" i="15"/>
  <c r="C1544" i="15"/>
  <c r="C1547" i="15"/>
  <c r="C1548" i="15"/>
  <c r="C1546" i="15"/>
  <c r="C1549" i="15"/>
  <c r="C1551" i="15"/>
  <c r="C1550" i="15"/>
  <c r="C1552" i="15"/>
  <c r="C1553" i="15"/>
  <c r="C1554" i="15"/>
  <c r="C1555" i="15"/>
  <c r="C1556" i="15"/>
  <c r="C1557" i="15"/>
  <c r="C1558" i="15"/>
  <c r="C1559" i="15"/>
  <c r="C1560" i="15"/>
  <c r="C1561" i="15"/>
  <c r="C1562" i="15"/>
  <c r="C1563" i="15"/>
  <c r="C1564" i="15"/>
  <c r="C1565" i="15"/>
  <c r="C1566" i="15"/>
  <c r="C1567" i="15"/>
  <c r="C1568" i="15"/>
  <c r="C1570" i="15"/>
  <c r="C1571" i="15"/>
  <c r="C1572" i="15"/>
  <c r="C1569" i="15"/>
  <c r="C1573" i="15"/>
  <c r="C1578" i="15"/>
  <c r="C1575" i="15"/>
  <c r="C1576" i="15"/>
  <c r="C1577" i="15"/>
  <c r="C1580" i="15"/>
  <c r="C1581" i="15"/>
  <c r="C1582" i="15"/>
  <c r="C1583" i="15"/>
  <c r="C1585" i="15"/>
  <c r="C1586" i="15"/>
  <c r="C1596" i="15"/>
  <c r="C1588" i="15"/>
  <c r="C1589" i="15"/>
  <c r="C1590" i="15"/>
  <c r="C1592" i="15"/>
  <c r="C1593" i="15"/>
  <c r="C1594" i="15"/>
  <c r="C1597" i="15"/>
  <c r="C1598" i="15"/>
  <c r="C1599" i="15"/>
  <c r="C1600" i="15"/>
  <c r="C1602" i="15"/>
  <c r="C1603" i="15"/>
  <c r="C1605" i="15"/>
  <c r="C1606" i="15"/>
  <c r="C1607" i="15"/>
  <c r="C1595" i="15"/>
  <c r="C1587" i="15"/>
  <c r="C1677" i="15"/>
  <c r="C1601" i="15"/>
  <c r="C1604" i="15"/>
  <c r="C1608" i="15"/>
  <c r="C1609" i="15"/>
  <c r="C1610" i="15"/>
  <c r="C1611" i="15"/>
  <c r="C1612" i="15"/>
  <c r="C1613" i="15"/>
  <c r="C1615" i="15"/>
  <c r="C1617" i="15"/>
  <c r="C1618" i="15"/>
  <c r="C1619" i="15"/>
  <c r="C1620" i="15"/>
  <c r="C1621" i="15"/>
  <c r="C1622" i="15"/>
  <c r="C1623" i="15"/>
  <c r="C1616" i="15"/>
  <c r="C1624" i="15"/>
  <c r="C1625" i="15"/>
  <c r="C1626" i="15"/>
  <c r="C1627" i="15"/>
  <c r="C1630" i="15"/>
  <c r="C1631" i="15"/>
  <c r="C1629" i="15"/>
  <c r="C1633" i="15"/>
  <c r="C1632" i="15"/>
  <c r="C1634" i="15"/>
  <c r="C1635" i="15"/>
  <c r="C1636" i="15"/>
  <c r="C1637" i="15"/>
  <c r="C1638" i="15"/>
  <c r="C1639" i="15"/>
  <c r="C1640" i="15"/>
  <c r="C1641" i="15"/>
  <c r="C1642" i="15"/>
  <c r="C1643" i="15"/>
  <c r="C1644" i="15"/>
  <c r="C1645" i="15"/>
  <c r="C1646" i="15"/>
  <c r="C1647" i="15"/>
  <c r="C1649" i="15"/>
  <c r="C1650" i="15"/>
  <c r="C1648" i="15"/>
  <c r="C1651" i="15"/>
  <c r="C1664" i="15"/>
  <c r="C1653" i="15"/>
  <c r="C1654" i="15"/>
  <c r="C1655" i="15"/>
  <c r="C1656" i="15"/>
  <c r="C1657" i="15"/>
  <c r="C1658" i="15"/>
  <c r="C2111" i="15"/>
  <c r="C1660" i="15"/>
  <c r="C1661" i="15"/>
  <c r="C1662" i="15"/>
  <c r="C1663" i="15"/>
  <c r="C1665" i="15"/>
  <c r="C1666" i="15"/>
  <c r="C1668" i="15"/>
  <c r="C1669" i="15"/>
  <c r="C1670" i="15"/>
  <c r="C1671" i="15"/>
  <c r="C1682" i="15"/>
  <c r="C1686" i="15"/>
  <c r="C1674" i="15"/>
  <c r="C1675" i="15"/>
  <c r="C1676" i="15"/>
  <c r="C1678" i="15"/>
  <c r="C1679" i="15"/>
  <c r="C1680" i="15"/>
  <c r="C1683" i="15"/>
  <c r="C1684" i="15"/>
  <c r="C1685" i="15"/>
  <c r="C1687" i="15"/>
  <c r="C1688" i="15"/>
  <c r="C1690" i="15"/>
  <c r="C1691" i="15"/>
  <c r="C1692" i="15"/>
  <c r="C1681" i="15"/>
  <c r="C1673" i="15"/>
  <c r="C1754" i="15"/>
  <c r="C1689" i="15"/>
  <c r="C1693" i="15"/>
  <c r="C1694" i="15"/>
  <c r="C1695" i="15"/>
  <c r="C1698" i="15"/>
  <c r="C1699" i="15"/>
  <c r="C1700" i="15"/>
  <c r="C1701" i="15"/>
  <c r="C1697" i="15"/>
  <c r="C1702" i="15"/>
  <c r="C1703" i="15"/>
  <c r="C1704" i="15"/>
  <c r="C1705" i="15"/>
  <c r="C1708" i="15"/>
  <c r="C1709" i="15"/>
  <c r="C1707" i="15"/>
  <c r="C1711" i="15"/>
  <c r="C1710" i="15"/>
  <c r="C1712" i="15"/>
  <c r="C1713" i="15"/>
  <c r="C1714" i="15"/>
  <c r="C1715" i="15"/>
  <c r="C1716" i="15"/>
  <c r="C1717" i="15"/>
  <c r="C1718" i="15"/>
  <c r="C1719" i="15"/>
  <c r="C1720" i="15"/>
  <c r="C1721" i="15"/>
  <c r="C1722" i="15"/>
  <c r="C1725" i="15"/>
  <c r="C1726" i="15"/>
  <c r="C1723" i="15"/>
  <c r="C1739" i="15"/>
  <c r="C1727" i="15"/>
  <c r="C1728" i="15"/>
  <c r="C1729" i="15"/>
  <c r="C1730" i="15"/>
  <c r="C1731" i="15"/>
  <c r="C1732" i="15"/>
  <c r="C1733" i="15"/>
  <c r="C2183" i="15"/>
  <c r="C1735" i="15"/>
  <c r="C1736" i="15"/>
  <c r="C1737" i="15"/>
  <c r="C1738" i="15"/>
  <c r="C1740" i="15"/>
  <c r="C1741" i="15"/>
  <c r="C1742" i="15"/>
  <c r="C1823" i="15"/>
  <c r="C1744" i="15"/>
  <c r="C1745" i="15"/>
  <c r="C1746" i="15"/>
  <c r="C1748" i="15"/>
  <c r="C1749" i="15"/>
  <c r="C1750" i="15"/>
  <c r="C1759" i="15"/>
  <c r="C1763" i="15"/>
  <c r="C1751" i="15"/>
  <c r="C1752" i="15"/>
  <c r="C1753" i="15"/>
  <c r="C1755" i="15"/>
  <c r="C1756" i="15"/>
  <c r="C1757" i="15"/>
  <c r="C1760" i="15"/>
  <c r="C1761" i="15"/>
  <c r="C1762" i="15"/>
  <c r="C1764" i="15"/>
  <c r="C1765" i="15"/>
  <c r="C1767" i="15"/>
  <c r="C1768" i="15"/>
  <c r="C1758" i="15"/>
  <c r="C1838" i="15"/>
  <c r="C1766" i="15"/>
  <c r="C1769" i="15"/>
  <c r="C1770" i="15"/>
  <c r="C1773" i="15"/>
  <c r="C1774" i="15"/>
  <c r="C1775" i="15"/>
  <c r="C1776" i="15"/>
  <c r="C1772" i="15"/>
  <c r="C1777" i="15"/>
  <c r="C1778" i="15"/>
  <c r="C1779" i="15"/>
  <c r="C1780" i="15"/>
  <c r="C1783" i="15"/>
  <c r="C1784" i="15"/>
  <c r="C1782" i="15"/>
  <c r="C1786" i="15"/>
  <c r="C1785" i="15"/>
  <c r="C1787" i="15"/>
  <c r="C1788" i="15"/>
  <c r="C1789" i="15"/>
  <c r="C1790" i="15"/>
  <c r="C1791" i="15"/>
  <c r="C1792" i="15"/>
  <c r="C1793" i="15"/>
  <c r="C1794" i="15"/>
  <c r="C1795" i="15"/>
  <c r="C1796" i="15"/>
  <c r="C1797" i="15"/>
  <c r="C1798" i="15"/>
  <c r="C1800" i="15"/>
  <c r="C1801" i="15"/>
  <c r="C1799" i="15"/>
  <c r="C1819" i="15"/>
  <c r="C1802" i="15"/>
  <c r="C1803" i="15"/>
  <c r="C1804" i="15"/>
  <c r="C1805" i="15"/>
  <c r="C1806" i="15"/>
  <c r="C1807" i="15"/>
  <c r="C1808" i="15"/>
  <c r="C1809" i="15"/>
  <c r="C1810" i="15"/>
  <c r="C1811" i="15"/>
  <c r="C1812" i="15"/>
  <c r="C1813" i="15"/>
  <c r="C2510" i="15"/>
  <c r="C2255" i="15"/>
  <c r="C1815" i="15"/>
  <c r="C1895" i="15"/>
  <c r="C1817" i="15"/>
  <c r="C1818" i="15"/>
  <c r="C1820" i="15"/>
  <c r="C1821" i="15"/>
  <c r="C1822" i="15"/>
  <c r="C1902" i="15"/>
  <c r="C1824" i="15"/>
  <c r="C1825" i="15"/>
  <c r="C1906" i="15"/>
  <c r="C1827" i="15"/>
  <c r="C1828" i="15"/>
  <c r="C1830" i="15"/>
  <c r="C1831" i="15"/>
  <c r="C1829" i="15"/>
  <c r="C1833" i="15"/>
  <c r="C1834" i="15"/>
  <c r="C1835" i="15"/>
  <c r="C1841" i="15"/>
  <c r="C1845" i="15"/>
  <c r="C1836" i="15"/>
  <c r="C1837" i="15"/>
  <c r="C1839" i="15"/>
  <c r="C1842" i="15"/>
  <c r="C1843" i="15"/>
  <c r="C1844" i="15"/>
  <c r="C1846" i="15"/>
  <c r="C1848" i="15"/>
  <c r="C1849" i="15"/>
  <c r="C1840" i="15"/>
  <c r="C1919" i="15"/>
  <c r="C1847" i="15"/>
  <c r="C1850" i="15"/>
  <c r="C1851" i="15"/>
  <c r="C1853" i="15"/>
  <c r="C1854" i="15"/>
  <c r="C1855" i="15"/>
  <c r="C1856" i="15"/>
  <c r="C1852" i="15"/>
  <c r="C1857" i="15"/>
  <c r="C1858" i="15"/>
  <c r="C1859" i="15"/>
  <c r="C1860" i="15"/>
  <c r="C1863" i="15"/>
  <c r="C1864" i="15"/>
  <c r="C1862" i="15"/>
  <c r="C1866" i="15"/>
  <c r="C1865" i="15"/>
  <c r="C1867" i="15"/>
  <c r="C1868" i="15"/>
  <c r="C1869" i="15"/>
  <c r="C1870" i="15"/>
  <c r="C1871" i="15"/>
  <c r="C1872" i="15"/>
  <c r="C1873" i="15"/>
  <c r="C1874" i="15"/>
  <c r="C1875" i="15"/>
  <c r="C1876" i="15"/>
  <c r="C1877" i="15"/>
  <c r="C1879" i="15"/>
  <c r="C1880" i="15"/>
  <c r="C1878" i="15"/>
  <c r="C1898" i="15"/>
  <c r="C1881" i="15"/>
  <c r="C1882" i="15"/>
  <c r="C1883" i="15"/>
  <c r="C1884" i="15"/>
  <c r="C1885" i="15"/>
  <c r="C1886" i="15"/>
  <c r="C1887" i="15"/>
  <c r="C1888" i="15"/>
  <c r="C1889" i="15"/>
  <c r="C1890" i="15"/>
  <c r="C1891" i="15"/>
  <c r="C1892" i="15"/>
  <c r="C2547" i="15"/>
  <c r="C2314" i="15"/>
  <c r="C1894" i="15"/>
  <c r="C1972" i="15"/>
  <c r="C1896" i="15"/>
  <c r="C1897" i="15"/>
  <c r="C1899" i="15"/>
  <c r="C1900" i="15"/>
  <c r="C1901" i="15"/>
  <c r="C1980" i="15"/>
  <c r="C1903" i="15"/>
  <c r="C1904" i="15"/>
  <c r="C1905" i="15"/>
  <c r="C1984" i="15"/>
  <c r="C1907" i="15"/>
  <c r="C1908" i="15"/>
  <c r="C1909" i="15"/>
  <c r="C1911" i="15"/>
  <c r="C1912" i="15"/>
  <c r="C1910" i="15"/>
  <c r="C1914" i="15"/>
  <c r="C1915" i="15"/>
  <c r="C1916" i="15"/>
  <c r="C1922" i="15"/>
  <c r="C1926" i="15"/>
  <c r="C1917" i="15"/>
  <c r="C1918" i="15"/>
  <c r="C1920" i="15"/>
  <c r="C1923" i="15"/>
  <c r="C1924" i="15"/>
  <c r="C1925" i="15"/>
  <c r="C1927" i="15"/>
  <c r="C1928" i="15"/>
  <c r="C1929" i="15"/>
  <c r="C1921" i="15"/>
  <c r="C1998" i="15"/>
  <c r="C1930" i="15"/>
  <c r="C1931" i="15"/>
  <c r="C1933" i="15"/>
  <c r="C1934" i="15"/>
  <c r="C1932" i="15"/>
  <c r="C1935" i="15"/>
  <c r="C1936" i="15"/>
  <c r="C1937" i="15"/>
  <c r="C1938" i="15"/>
  <c r="C1940" i="15"/>
  <c r="C1941" i="15"/>
  <c r="C1942" i="15"/>
  <c r="C1943" i="15"/>
  <c r="C1944" i="15"/>
  <c r="C1945" i="15"/>
  <c r="C1946" i="15"/>
  <c r="C1947" i="15"/>
  <c r="C1948" i="15"/>
  <c r="C1949" i="15"/>
  <c r="C1950" i="15"/>
  <c r="C1951" i="15"/>
  <c r="C1952" i="15"/>
  <c r="C1954" i="15"/>
  <c r="C1955" i="15"/>
  <c r="C1953" i="15"/>
  <c r="C1975" i="15"/>
  <c r="C1956" i="15"/>
  <c r="C1957" i="15"/>
  <c r="C1958" i="15"/>
  <c r="C1959" i="15"/>
  <c r="C1960" i="15"/>
  <c r="C1961" i="15"/>
  <c r="C1963" i="15"/>
  <c r="C1964" i="15"/>
  <c r="C1965" i="15"/>
  <c r="C1966" i="15"/>
  <c r="C1967" i="15"/>
  <c r="C1968" i="15"/>
  <c r="C1969" i="15"/>
  <c r="C2584" i="15"/>
  <c r="C1659" i="15"/>
  <c r="C1971" i="15"/>
  <c r="C2043" i="15"/>
  <c r="C1973" i="15"/>
  <c r="C1974" i="15"/>
  <c r="C1977" i="15"/>
  <c r="C1978" i="15"/>
  <c r="C1979" i="15"/>
  <c r="C2055" i="15"/>
  <c r="C1981" i="15"/>
  <c r="C1982" i="15"/>
  <c r="C1983" i="15"/>
  <c r="C2059" i="15"/>
  <c r="C1985" i="15"/>
  <c r="C1986" i="15"/>
  <c r="C1987" i="15"/>
  <c r="C1988" i="15"/>
  <c r="C1989" i="15"/>
  <c r="C1991" i="15"/>
  <c r="C1992" i="15"/>
  <c r="C1976" i="15"/>
  <c r="C1962" i="15"/>
  <c r="C1990" i="15"/>
  <c r="C1994" i="15"/>
  <c r="C1995" i="15"/>
  <c r="C2000" i="15"/>
  <c r="C2004" i="15"/>
  <c r="C1996" i="15"/>
  <c r="C1997" i="15"/>
  <c r="C1999" i="15"/>
  <c r="C2001" i="15"/>
  <c r="C2002" i="15"/>
  <c r="C2003" i="15"/>
  <c r="C2005" i="15"/>
  <c r="C2006" i="15"/>
  <c r="C2074" i="15"/>
  <c r="C2007" i="15"/>
  <c r="C2009" i="15"/>
  <c r="C2010" i="15"/>
  <c r="C2008" i="15"/>
  <c r="C2011" i="15"/>
  <c r="C2012" i="15"/>
  <c r="C2013" i="15"/>
  <c r="C2015" i="15"/>
  <c r="C2016" i="15"/>
  <c r="C2017" i="15"/>
  <c r="C2018" i="15"/>
  <c r="C2019" i="15"/>
  <c r="C2020" i="15"/>
  <c r="C2021" i="15"/>
  <c r="C2022" i="15"/>
  <c r="C2023" i="15"/>
  <c r="C2024" i="15"/>
  <c r="C2026" i="15"/>
  <c r="C2025" i="15"/>
  <c r="C2050" i="15"/>
  <c r="C2027" i="15"/>
  <c r="C2028" i="15"/>
  <c r="C2029" i="15"/>
  <c r="C2030" i="15"/>
  <c r="C2031" i="15"/>
  <c r="C2032" i="15"/>
  <c r="C2034" i="15"/>
  <c r="C2035" i="15"/>
  <c r="C2036" i="15"/>
  <c r="C2037" i="15"/>
  <c r="C2038" i="15"/>
  <c r="C2039" i="15"/>
  <c r="C2040" i="15"/>
  <c r="C2621" i="15"/>
  <c r="C1734" i="15"/>
  <c r="C2042" i="15"/>
  <c r="C2113" i="15"/>
  <c r="C2044" i="15"/>
  <c r="C2046" i="15"/>
  <c r="C2047" i="15"/>
  <c r="C2048" i="15"/>
  <c r="C2049" i="15"/>
  <c r="C2052" i="15"/>
  <c r="C2053" i="15"/>
  <c r="C2054" i="15"/>
  <c r="C2125" i="15"/>
  <c r="C2056" i="15"/>
  <c r="C2057" i="15"/>
  <c r="C2058" i="15"/>
  <c r="C2129" i="15"/>
  <c r="C2060" i="15"/>
  <c r="C2061" i="15"/>
  <c r="C2062" i="15"/>
  <c r="C2063" i="15"/>
  <c r="C2064" i="15"/>
  <c r="C2065" i="15"/>
  <c r="C2066" i="15"/>
  <c r="C2067" i="15"/>
  <c r="C2069" i="15"/>
  <c r="C2070" i="15"/>
  <c r="C2051" i="15"/>
  <c r="C2033" i="15"/>
  <c r="C2068" i="15"/>
  <c r="C2072" i="15"/>
  <c r="C2073" i="15"/>
  <c r="C2076" i="15"/>
  <c r="C2080" i="15"/>
  <c r="C2075" i="15"/>
  <c r="C2077" i="15"/>
  <c r="C2078" i="15"/>
  <c r="C2079" i="15"/>
  <c r="C2081" i="15"/>
  <c r="C2082" i="15"/>
  <c r="C2148" i="15"/>
  <c r="C2083" i="15"/>
  <c r="C2085" i="15"/>
  <c r="C2086" i="15"/>
  <c r="C2084" i="15"/>
  <c r="C2087" i="15"/>
  <c r="C2088" i="15"/>
  <c r="C2089" i="15"/>
  <c r="C2091" i="15"/>
  <c r="C2092" i="15"/>
  <c r="C2093" i="15"/>
  <c r="C2094" i="15"/>
  <c r="C2095" i="15"/>
  <c r="C2096" i="15"/>
  <c r="C2097" i="15"/>
  <c r="C2099" i="15"/>
  <c r="C2098" i="15"/>
  <c r="C2119" i="15"/>
  <c r="C2100" i="15"/>
  <c r="C2101" i="15"/>
  <c r="C2102" i="15"/>
  <c r="C2103" i="15"/>
  <c r="C2105" i="15"/>
  <c r="C2106" i="15"/>
  <c r="C2107" i="15"/>
  <c r="C2108" i="15"/>
  <c r="C2109" i="15"/>
  <c r="C2110" i="15"/>
  <c r="C2653" i="15"/>
  <c r="C1814" i="15"/>
  <c r="C2112" i="15"/>
  <c r="C2185" i="15"/>
  <c r="C2114" i="15"/>
  <c r="C2116" i="15"/>
  <c r="C2117" i="15"/>
  <c r="C2118" i="15"/>
  <c r="C2121" i="15"/>
  <c r="C2122" i="15"/>
  <c r="C2123" i="15"/>
  <c r="C2124" i="15"/>
  <c r="C2199" i="15"/>
  <c r="C2126" i="15"/>
  <c r="C2127" i="15"/>
  <c r="C2128" i="15"/>
  <c r="C2204" i="15"/>
  <c r="C2130" i="15"/>
  <c r="C2131" i="15"/>
  <c r="C2132" i="15"/>
  <c r="C2133" i="15"/>
  <c r="C2134" i="15"/>
  <c r="C2135" i="15"/>
  <c r="C2136" i="15"/>
  <c r="C2137" i="15"/>
  <c r="C2138" i="15"/>
  <c r="C2139" i="15"/>
  <c r="C2140" i="15"/>
  <c r="C2141" i="15"/>
  <c r="C2143" i="15"/>
  <c r="C2144" i="15"/>
  <c r="C2120" i="15"/>
  <c r="C2104" i="15"/>
  <c r="C2785" i="15"/>
  <c r="C2142" i="15"/>
  <c r="C2146" i="15"/>
  <c r="C2147" i="15"/>
  <c r="C2150" i="15"/>
  <c r="C2154" i="15"/>
  <c r="C2149" i="15"/>
  <c r="C2151" i="15"/>
  <c r="C2152" i="15"/>
  <c r="C2153" i="15"/>
  <c r="C2155" i="15"/>
  <c r="C2156" i="15"/>
  <c r="C2222" i="15"/>
  <c r="C2157" i="15"/>
  <c r="C2159" i="15"/>
  <c r="C2160" i="15"/>
  <c r="C2158" i="15"/>
  <c r="C2161" i="15"/>
  <c r="C2162" i="15"/>
  <c r="C2163" i="15"/>
  <c r="C2165" i="15"/>
  <c r="C2166" i="15"/>
  <c r="C2167" i="15"/>
  <c r="C2168" i="15"/>
  <c r="C2169" i="15"/>
  <c r="C2171" i="15"/>
  <c r="C2170" i="15"/>
  <c r="C2194" i="15"/>
  <c r="C2172" i="15"/>
  <c r="C2173" i="15"/>
  <c r="C2174" i="15"/>
  <c r="C2176" i="15"/>
  <c r="C2177" i="15"/>
  <c r="C2178" i="15"/>
  <c r="C2180" i="15"/>
  <c r="C2181" i="15"/>
  <c r="C2182" i="15"/>
  <c r="C2681" i="15"/>
  <c r="C1893" i="15"/>
  <c r="C2184" i="15"/>
  <c r="C1816" i="15"/>
  <c r="C2186" i="15"/>
  <c r="C2188" i="15"/>
  <c r="C2189" i="15"/>
  <c r="C2190" i="15"/>
  <c r="C2191" i="15"/>
  <c r="C2192" i="15"/>
  <c r="C2193" i="15"/>
  <c r="C2196" i="15"/>
  <c r="C2197" i="15"/>
  <c r="C2198" i="15"/>
  <c r="C1743" i="15"/>
  <c r="C2200" i="15"/>
  <c r="C2201" i="15"/>
  <c r="C2202" i="15"/>
  <c r="C2203" i="15"/>
  <c r="C2271" i="15"/>
  <c r="C2205" i="15"/>
  <c r="C2207" i="15"/>
  <c r="C2208" i="15"/>
  <c r="C2209" i="15"/>
  <c r="C2210" i="15"/>
  <c r="C2211" i="15"/>
  <c r="C2212" i="15"/>
  <c r="C2213" i="15"/>
  <c r="C2214" i="15"/>
  <c r="C2215" i="15"/>
  <c r="C2216" i="15"/>
  <c r="C2218" i="15"/>
  <c r="C2219" i="15"/>
  <c r="C2195" i="15"/>
  <c r="C2175" i="15"/>
  <c r="C2790" i="15"/>
  <c r="C2217" i="15"/>
  <c r="C2206" i="15"/>
  <c r="C2220" i="15"/>
  <c r="C2221" i="15"/>
  <c r="C2224" i="15"/>
  <c r="C2228" i="15"/>
  <c r="C2223" i="15"/>
  <c r="C2225" i="15"/>
  <c r="C2226" i="15"/>
  <c r="C2227" i="15"/>
  <c r="C2229" i="15"/>
  <c r="C2288" i="15"/>
  <c r="C2230" i="15"/>
  <c r="C2232" i="15"/>
  <c r="C2233" i="15"/>
  <c r="C2231" i="15"/>
  <c r="C2234" i="15"/>
  <c r="C2235" i="15"/>
  <c r="C2236" i="15"/>
  <c r="C2238" i="15"/>
  <c r="C2239" i="15"/>
  <c r="C2240" i="15"/>
  <c r="C2241" i="15"/>
  <c r="C2243" i="15"/>
  <c r="C2242" i="15"/>
  <c r="C2263" i="15"/>
  <c r="C2244" i="15"/>
  <c r="C2245" i="15"/>
  <c r="C2503" i="15"/>
  <c r="C2248" i="15"/>
  <c r="C2249" i="15"/>
  <c r="C2251" i="15"/>
  <c r="C2252" i="15"/>
  <c r="C2253" i="15"/>
  <c r="C2254" i="15"/>
  <c r="C2704" i="15"/>
  <c r="C1970" i="15"/>
  <c r="C2256" i="15"/>
  <c r="C2257" i="15"/>
  <c r="C2259" i="15"/>
  <c r="C2260" i="15"/>
  <c r="C2261" i="15"/>
  <c r="C2262" i="15"/>
  <c r="C2265" i="15"/>
  <c r="C2266" i="15"/>
  <c r="C2267" i="15"/>
  <c r="C2268" i="15"/>
  <c r="C2269" i="15"/>
  <c r="C2270" i="15"/>
  <c r="C1826" i="15"/>
  <c r="C2272" i="15"/>
  <c r="C2273" i="15"/>
  <c r="C2275" i="15"/>
  <c r="C2276" i="15"/>
  <c r="C2277" i="15"/>
  <c r="C2278" i="15"/>
  <c r="C2279" i="15"/>
  <c r="C2280" i="15"/>
  <c r="C2281" i="15"/>
  <c r="C2282" i="15"/>
  <c r="C2283" i="15"/>
  <c r="C2284" i="15"/>
  <c r="C2285" i="15"/>
  <c r="C2264" i="15"/>
  <c r="C2247" i="15"/>
  <c r="C2795" i="15"/>
  <c r="C2399" i="15"/>
  <c r="C2274" i="15"/>
  <c r="C2289" i="15"/>
  <c r="C2290" i="15"/>
  <c r="C2291" i="15"/>
  <c r="C2349" i="15"/>
  <c r="C2292" i="15"/>
  <c r="C2294" i="15"/>
  <c r="C2295" i="15"/>
  <c r="C2293" i="15"/>
  <c r="C2296" i="15"/>
  <c r="C2297" i="15"/>
  <c r="C2298" i="15"/>
  <c r="C2300" i="15"/>
  <c r="C2302" i="15"/>
  <c r="C2301" i="15"/>
  <c r="C2322" i="15"/>
  <c r="C2303" i="15"/>
  <c r="C2304" i="15"/>
  <c r="C2246" i="15"/>
  <c r="C2307" i="15"/>
  <c r="C2308" i="15"/>
  <c r="C2310" i="15"/>
  <c r="C2311" i="15"/>
  <c r="C2312" i="15"/>
  <c r="C2313" i="15"/>
  <c r="C2723" i="15"/>
  <c r="C2041" i="15"/>
  <c r="C2315" i="15"/>
  <c r="C2316" i="15"/>
  <c r="C2318" i="15"/>
  <c r="C2319" i="15"/>
  <c r="C2320" i="15"/>
  <c r="C2321" i="15"/>
  <c r="C2324" i="15"/>
  <c r="C2325" i="15"/>
  <c r="C2326" i="15"/>
  <c r="C2327" i="15"/>
  <c r="C2328" i="15"/>
  <c r="C2329" i="15"/>
  <c r="C2330" i="15"/>
  <c r="C2331" i="15"/>
  <c r="C2332" i="15"/>
  <c r="C2334" i="15"/>
  <c r="C2335" i="15"/>
  <c r="C2336" i="15"/>
  <c r="C2337" i="15"/>
  <c r="C2338" i="15"/>
  <c r="C2339" i="15"/>
  <c r="C2340" i="15"/>
  <c r="C2341" i="15"/>
  <c r="C2342" i="15"/>
  <c r="C2343" i="15"/>
  <c r="C2344" i="15"/>
  <c r="C2345" i="15"/>
  <c r="C2346" i="15"/>
  <c r="C2323" i="15"/>
  <c r="C2306" i="15"/>
  <c r="C2800" i="15"/>
  <c r="C2286" i="15"/>
  <c r="C2333" i="15"/>
  <c r="C2350" i="15"/>
  <c r="C2351" i="15"/>
  <c r="C2401" i="15"/>
  <c r="C2352" i="15"/>
  <c r="C2354" i="15"/>
  <c r="C2353" i="15"/>
  <c r="C2356" i="15"/>
  <c r="C2355" i="15"/>
  <c r="C2357" i="15"/>
  <c r="C2358" i="15"/>
  <c r="C2360" i="15"/>
  <c r="C2359" i="15"/>
  <c r="C2361" i="15"/>
  <c r="C2362" i="15"/>
  <c r="C2305" i="15"/>
  <c r="C2365" i="15"/>
  <c r="C2367" i="15"/>
  <c r="C2368" i="15"/>
  <c r="C2742" i="15"/>
  <c r="C2369" i="15"/>
  <c r="C2370" i="15"/>
  <c r="C2372" i="15"/>
  <c r="C2373" i="15"/>
  <c r="C2374" i="15"/>
  <c r="C2376" i="15"/>
  <c r="C2377" i="15"/>
  <c r="C2378" i="15"/>
  <c r="C2379" i="15"/>
  <c r="C2380" i="15"/>
  <c r="C2381" i="15"/>
  <c r="C2382" i="15"/>
  <c r="C2383" i="15"/>
  <c r="C2384" i="15"/>
  <c r="C2385" i="15"/>
  <c r="C2386" i="15"/>
  <c r="C2388" i="15"/>
  <c r="C2389" i="15"/>
  <c r="C2390" i="15"/>
  <c r="C2391" i="15"/>
  <c r="C2392" i="15"/>
  <c r="C2393" i="15"/>
  <c r="C2394" i="15"/>
  <c r="C2395" i="15"/>
  <c r="C2396" i="15"/>
  <c r="C2397" i="15"/>
  <c r="C2398" i="15"/>
  <c r="C2375" i="15"/>
  <c r="C2364" i="15"/>
  <c r="C2804" i="15"/>
  <c r="C2347" i="15"/>
  <c r="C2387" i="15"/>
  <c r="C2402" i="15"/>
  <c r="C2403" i="15"/>
  <c r="C2449" i="15"/>
  <c r="C2405" i="15"/>
  <c r="C2404" i="15"/>
  <c r="C2407" i="15"/>
  <c r="C2406" i="15"/>
  <c r="C2408" i="15"/>
  <c r="C2409" i="15"/>
  <c r="C2411" i="15"/>
  <c r="C2410" i="15"/>
  <c r="C2412" i="15"/>
  <c r="C2413" i="15"/>
  <c r="C2363" i="15"/>
  <c r="C2416" i="15"/>
  <c r="C2418" i="15"/>
  <c r="C2419" i="15"/>
  <c r="C2755" i="15"/>
  <c r="C2420" i="15"/>
  <c r="C2421" i="15"/>
  <c r="C2423" i="15"/>
  <c r="C2424" i="15"/>
  <c r="C2426" i="15"/>
  <c r="C2427" i="15"/>
  <c r="C2428" i="15"/>
  <c r="C2429" i="15"/>
  <c r="C2430" i="15"/>
  <c r="C2431" i="15"/>
  <c r="C2432" i="15"/>
  <c r="C2433" i="15"/>
  <c r="C2434" i="15"/>
  <c r="C2435" i="15"/>
  <c r="C2437" i="15"/>
  <c r="C2438" i="15"/>
  <c r="C2439" i="15"/>
  <c r="C2440" i="15"/>
  <c r="C2441" i="15"/>
  <c r="C2442" i="15"/>
  <c r="C2443" i="15"/>
  <c r="C2444" i="15"/>
  <c r="C2445" i="15"/>
  <c r="C2446" i="15"/>
  <c r="C2447" i="15"/>
  <c r="C2425" i="15"/>
  <c r="C2422" i="15"/>
  <c r="C2415" i="15"/>
  <c r="C2808" i="15"/>
  <c r="C2436" i="15"/>
  <c r="C2450" i="15"/>
  <c r="C2451" i="15"/>
  <c r="C2494" i="15"/>
  <c r="C2453" i="15"/>
  <c r="C2452" i="15"/>
  <c r="C2454" i="15"/>
  <c r="C2455" i="15"/>
  <c r="C2456" i="15"/>
  <c r="C2458" i="15"/>
  <c r="C2457" i="15"/>
  <c r="C2459" i="15"/>
  <c r="C2414" i="15"/>
  <c r="C2463" i="15"/>
  <c r="C2464" i="15"/>
  <c r="C2466" i="15"/>
  <c r="C2467" i="15"/>
  <c r="C2469" i="15"/>
  <c r="C2471" i="15"/>
  <c r="C2474" i="15"/>
  <c r="C2475" i="15"/>
  <c r="C2477" i="15"/>
  <c r="C2478" i="15"/>
  <c r="C2479" i="15"/>
  <c r="C2480" i="15"/>
  <c r="C2481" i="15"/>
  <c r="C2482" i="15"/>
  <c r="C2483" i="15"/>
  <c r="C2484" i="15"/>
  <c r="C2486" i="15"/>
  <c r="C2487" i="15"/>
  <c r="C2488" i="15"/>
  <c r="C2489" i="15"/>
  <c r="C2490" i="15"/>
  <c r="C2491" i="15"/>
  <c r="C2492" i="15"/>
  <c r="C2476" i="15"/>
  <c r="C2473" i="15"/>
  <c r="C2470" i="15"/>
  <c r="C2472" i="15"/>
  <c r="C2462" i="15"/>
  <c r="C2812" i="15"/>
  <c r="C2485" i="15"/>
  <c r="C2495" i="15"/>
  <c r="C2496" i="15"/>
  <c r="C2534" i="15"/>
  <c r="C2497" i="15"/>
  <c r="C2498" i="15"/>
  <c r="C2499" i="15"/>
  <c r="C2501" i="15"/>
  <c r="C2500" i="15"/>
  <c r="C2502" i="15"/>
  <c r="C2460" i="15"/>
  <c r="C2506" i="15"/>
  <c r="C2507" i="15"/>
  <c r="C2509" i="15"/>
  <c r="C2512" i="15"/>
  <c r="C2514" i="15"/>
  <c r="C2517" i="15"/>
  <c r="C2518" i="15"/>
  <c r="C2520" i="15"/>
  <c r="C2521" i="15"/>
  <c r="C2522" i="15"/>
  <c r="C2523" i="15"/>
  <c r="C2524" i="15"/>
  <c r="C2525" i="15"/>
  <c r="C2526" i="15"/>
  <c r="C2528" i="15"/>
  <c r="C2529" i="15"/>
  <c r="C2530" i="15"/>
  <c r="C2531" i="15"/>
  <c r="C2532" i="15"/>
  <c r="C2519" i="15"/>
  <c r="C2516" i="15"/>
  <c r="C2513" i="15"/>
  <c r="C2515" i="15"/>
  <c r="C2505" i="15"/>
  <c r="C2816" i="15"/>
  <c r="C2527" i="15"/>
  <c r="C2535" i="15"/>
  <c r="C2573" i="15"/>
  <c r="C2536" i="15"/>
  <c r="C2537" i="15"/>
  <c r="C2538" i="15"/>
  <c r="C2539" i="15"/>
  <c r="C2557" i="15"/>
  <c r="C2540" i="15"/>
  <c r="C2543" i="15"/>
  <c r="C2544" i="15"/>
  <c r="C2546" i="15"/>
  <c r="C2549" i="15"/>
  <c r="C2551" i="15"/>
  <c r="C2552" i="15"/>
  <c r="C2555" i="15"/>
  <c r="C2556" i="15"/>
  <c r="C2558" i="15"/>
  <c r="C2560" i="15"/>
  <c r="C2561" i="15"/>
  <c r="C2562" i="15"/>
  <c r="C2563" i="15"/>
  <c r="C2564" i="15"/>
  <c r="C2565" i="15"/>
  <c r="C2567" i="15"/>
  <c r="C2568" i="15"/>
  <c r="C2569" i="15"/>
  <c r="C2570" i="15"/>
  <c r="C2571" i="15"/>
  <c r="C2559" i="15"/>
  <c r="C2554" i="15"/>
  <c r="C2550" i="15"/>
  <c r="C2553" i="15"/>
  <c r="C2542" i="15"/>
  <c r="C2819" i="15"/>
  <c r="C2566" i="15"/>
  <c r="C2574" i="15"/>
  <c r="C2611" i="15"/>
  <c r="C2575" i="15"/>
  <c r="C2576" i="15"/>
  <c r="C2577" i="15"/>
  <c r="C2578" i="15"/>
  <c r="C2596" i="15"/>
  <c r="C2579" i="15"/>
  <c r="C2581" i="15"/>
  <c r="C2582" i="15"/>
  <c r="C2586" i="15"/>
  <c r="C2587" i="15"/>
  <c r="C2588" i="15"/>
  <c r="C2590" i="15"/>
  <c r="C2591" i="15"/>
  <c r="C2594" i="15"/>
  <c r="C2595" i="15"/>
  <c r="C2597" i="15"/>
  <c r="C2599" i="15"/>
  <c r="C2600" i="15"/>
  <c r="C2601" i="15"/>
  <c r="C2602" i="15"/>
  <c r="C2603" i="15"/>
  <c r="C2604" i="15"/>
  <c r="C2605" i="15"/>
  <c r="C2607" i="15"/>
  <c r="C2608" i="15"/>
  <c r="C2609" i="15"/>
  <c r="C2598" i="15"/>
  <c r="C2593" i="15"/>
  <c r="C2589" i="15"/>
  <c r="C2592" i="15"/>
  <c r="C2821" i="15"/>
  <c r="C2606" i="15"/>
  <c r="C2612" i="15"/>
  <c r="C2646" i="15"/>
  <c r="C2613" i="15"/>
  <c r="C2614" i="15"/>
  <c r="C2615" i="15"/>
  <c r="C2616" i="15"/>
  <c r="C2633" i="15"/>
  <c r="C2618" i="15"/>
  <c r="C2619" i="15"/>
  <c r="C2623" i="15"/>
  <c r="C2624" i="15"/>
  <c r="C2625" i="15"/>
  <c r="C2627" i="15"/>
  <c r="C2628" i="15"/>
  <c r="C2631" i="15"/>
  <c r="C2632" i="15"/>
  <c r="C2634" i="15"/>
  <c r="C2636" i="15"/>
  <c r="C2637" i="15"/>
  <c r="C2638" i="15"/>
  <c r="C2639" i="15"/>
  <c r="C2640" i="15"/>
  <c r="C2642" i="15"/>
  <c r="C2643" i="15"/>
  <c r="C2644" i="15"/>
  <c r="C2635" i="15"/>
  <c r="C2630" i="15"/>
  <c r="C2626" i="15"/>
  <c r="C2629" i="15"/>
  <c r="C2641" i="15"/>
  <c r="C2647" i="15"/>
  <c r="C2675" i="15"/>
  <c r="C2648" i="15"/>
  <c r="C2649" i="15"/>
  <c r="C2664" i="15"/>
  <c r="C2651" i="15"/>
  <c r="C2652" i="15"/>
  <c r="C2655" i="15"/>
  <c r="C2656" i="15"/>
  <c r="C2657" i="15"/>
  <c r="C2659" i="15"/>
  <c r="C2662" i="15"/>
  <c r="C2663" i="15"/>
  <c r="C2665" i="15"/>
  <c r="C2667" i="15"/>
  <c r="C2668" i="15"/>
  <c r="C2669" i="15"/>
  <c r="C2670" i="15"/>
  <c r="C2671" i="15"/>
  <c r="C2672" i="15"/>
  <c r="C2673" i="15"/>
  <c r="C2666" i="15"/>
  <c r="C2661" i="15"/>
  <c r="C2658" i="15"/>
  <c r="C2660" i="15"/>
  <c r="C2699" i="15"/>
  <c r="C2676" i="15"/>
  <c r="C2677" i="15"/>
  <c r="C2693" i="15"/>
  <c r="C2679" i="15"/>
  <c r="C2680" i="15"/>
  <c r="C2683" i="15"/>
  <c r="C2684" i="15"/>
  <c r="C2685" i="15"/>
  <c r="C2687" i="15"/>
  <c r="C2691" i="15"/>
  <c r="C2692" i="15"/>
  <c r="C2695" i="15"/>
  <c r="C2696" i="15"/>
  <c r="C2697" i="15"/>
  <c r="C2698" i="15"/>
  <c r="C2694" i="15"/>
  <c r="C2690" i="15"/>
  <c r="C2686" i="15"/>
  <c r="C2689" i="15"/>
  <c r="C2688" i="15"/>
  <c r="C2720" i="15"/>
  <c r="C2700" i="15"/>
  <c r="C2716" i="15"/>
  <c r="C2702" i="15"/>
  <c r="C2703" i="15"/>
  <c r="C2706" i="15"/>
  <c r="C2707" i="15"/>
  <c r="C2708" i="15"/>
  <c r="C2710" i="15"/>
  <c r="C2714" i="15"/>
  <c r="C2715" i="15"/>
  <c r="C2718" i="15"/>
  <c r="C2719" i="15"/>
  <c r="C2717" i="15"/>
  <c r="C2713" i="15"/>
  <c r="C2709" i="15"/>
  <c r="C2712" i="15"/>
  <c r="C2711" i="15"/>
  <c r="C2739" i="15"/>
  <c r="C2734" i="15"/>
  <c r="C2722" i="15"/>
  <c r="C2725" i="15"/>
  <c r="C2726" i="15"/>
  <c r="C2728" i="15"/>
  <c r="C2729" i="15"/>
  <c r="C2732" i="15"/>
  <c r="C2733" i="15"/>
  <c r="C2736" i="15"/>
  <c r="C2737" i="15"/>
  <c r="C2738" i="15"/>
  <c r="C2735" i="15"/>
  <c r="C2727" i="15"/>
  <c r="C2731" i="15"/>
  <c r="C2730" i="15"/>
  <c r="C2751" i="15"/>
  <c r="C2741" i="15"/>
  <c r="C2744" i="15"/>
  <c r="C2746" i="15"/>
  <c r="C2749" i="15"/>
  <c r="C2750" i="15"/>
  <c r="C2752" i="15"/>
  <c r="C2753" i="15"/>
  <c r="C2754" i="15"/>
  <c r="C2745" i="15"/>
  <c r="C2748" i="15"/>
  <c r="C2747" i="15"/>
  <c r="C2760" i="15"/>
  <c r="C2756" i="15"/>
  <c r="C2757" i="15"/>
  <c r="C2759" i="15"/>
  <c r="C2761" i="15"/>
  <c r="C2762" i="15"/>
  <c r="C2758" i="15"/>
  <c r="C2767" i="15"/>
  <c r="C2763" i="15"/>
  <c r="C2764" i="15"/>
  <c r="C2766" i="15"/>
  <c r="C2768" i="15"/>
  <c r="C2769" i="15"/>
  <c r="C2765" i="15"/>
  <c r="C2770" i="15"/>
  <c r="C2771" i="15"/>
  <c r="C2773" i="15"/>
  <c r="C2774" i="15"/>
  <c r="C2772" i="15"/>
  <c r="C2775" i="15"/>
  <c r="C2776" i="15"/>
  <c r="C2778" i="15"/>
  <c r="C2779" i="15"/>
  <c r="C2777" i="15"/>
  <c r="C2780" i="15"/>
  <c r="C2781" i="15"/>
  <c r="C2783" i="15"/>
  <c r="C2782" i="15"/>
  <c r="C2784" i="15"/>
  <c r="C2786" i="15"/>
  <c r="C2788" i="15"/>
  <c r="C2787" i="15"/>
  <c r="C2789" i="15"/>
  <c r="C2791" i="15"/>
  <c r="C2793" i="15"/>
  <c r="C2792" i="15"/>
  <c r="C2794" i="15"/>
  <c r="C2796" i="15"/>
  <c r="C2798" i="15"/>
  <c r="C2797" i="15"/>
  <c r="C2799" i="15"/>
  <c r="C2802" i="15"/>
  <c r="C2801" i="15"/>
  <c r="C2803" i="15"/>
  <c r="C2806" i="15"/>
  <c r="C2805" i="15"/>
  <c r="C2807" i="15"/>
  <c r="C2810" i="15"/>
  <c r="C2809" i="15"/>
  <c r="C2811" i="15"/>
  <c r="C2814" i="15"/>
  <c r="C2813" i="15"/>
  <c r="C2815" i="15"/>
  <c r="C2818" i="15"/>
  <c r="C2817" i="15"/>
  <c r="C2820" i="15"/>
  <c r="C2878" i="15"/>
  <c r="C2871" i="15"/>
  <c r="C2822" i="15"/>
  <c r="C2823" i="15"/>
  <c r="C2824" i="15"/>
  <c r="C2825" i="15"/>
  <c r="C2826" i="15"/>
  <c r="C2827" i="15"/>
  <c r="C2828" i="15"/>
  <c r="C2829" i="15"/>
  <c r="C2830" i="15"/>
  <c r="C2831" i="15"/>
  <c r="C2832" i="15"/>
  <c r="C2833" i="15"/>
  <c r="C2834" i="15"/>
  <c r="C2836" i="15"/>
  <c r="C2837" i="15"/>
  <c r="C2838" i="15"/>
  <c r="C2839" i="15"/>
  <c r="C2840" i="15"/>
  <c r="C2841" i="15"/>
  <c r="C2842" i="15"/>
  <c r="C2843" i="15"/>
  <c r="C2844" i="15"/>
  <c r="C2845" i="15"/>
  <c r="C2846" i="15"/>
  <c r="C2847" i="15"/>
  <c r="C2849" i="15"/>
  <c r="C2850" i="15"/>
  <c r="C2851" i="15"/>
  <c r="C2852" i="15"/>
  <c r="C2853" i="15"/>
  <c r="C2854" i="15"/>
  <c r="C2855" i="15"/>
  <c r="C2857" i="15"/>
  <c r="C2858" i="15"/>
  <c r="C2115" i="15"/>
  <c r="C2187" i="15"/>
  <c r="C2258" i="15"/>
  <c r="C2045" i="15"/>
  <c r="C2317" i="15"/>
  <c r="C2371" i="15"/>
  <c r="C2860" i="15"/>
  <c r="C2861" i="15"/>
  <c r="C2862" i="15"/>
  <c r="C2863" i="15"/>
  <c r="C2864" i="15"/>
  <c r="C2865" i="15"/>
  <c r="C2866" i="15"/>
  <c r="C2867" i="15"/>
  <c r="C2869" i="15"/>
  <c r="C2872" i="15"/>
  <c r="C2873" i="15"/>
  <c r="C2874" i="15"/>
  <c r="C2875" i="15"/>
  <c r="C2876" i="15"/>
  <c r="C2877" i="15"/>
  <c r="C2880" i="15"/>
  <c r="C2881" i="15"/>
  <c r="C2882" i="15"/>
  <c r="C2883" i="15"/>
  <c r="C2884" i="15"/>
  <c r="C2885" i="15"/>
  <c r="C2886" i="15"/>
  <c r="C2887" i="15"/>
  <c r="C2888" i="15"/>
  <c r="C2889" i="15"/>
  <c r="C2890" i="15"/>
  <c r="C2891" i="15"/>
  <c r="C2892" i="15"/>
  <c r="C2895" i="15"/>
  <c r="C2896" i="15"/>
  <c r="C2893" i="15"/>
  <c r="C2894" i="15"/>
  <c r="C2897" i="15"/>
  <c r="C2898" i="15"/>
  <c r="C2899" i="15"/>
  <c r="C2900" i="15"/>
  <c r="C2901" i="15"/>
  <c r="C2902" i="15"/>
  <c r="C2903" i="15"/>
  <c r="C2904" i="15"/>
  <c r="C2912" i="15"/>
  <c r="C2913" i="15"/>
  <c r="C2914" i="15"/>
  <c r="C2915" i="15"/>
  <c r="C2916" i="15"/>
  <c r="C2917" i="15"/>
  <c r="C2911" i="15"/>
  <c r="C2918" i="15"/>
  <c r="C2919" i="15"/>
  <c r="C2920" i="15"/>
  <c r="C2921" i="15"/>
  <c r="C2922" i="15"/>
  <c r="C2923" i="15"/>
  <c r="C2925" i="15"/>
  <c r="C2926" i="15"/>
  <c r="C2924" i="15"/>
  <c r="C2927" i="15"/>
  <c r="C82" i="15"/>
  <c r="C191" i="15"/>
  <c r="C2928" i="15"/>
  <c r="C2929" i="15"/>
  <c r="C2930" i="15"/>
  <c r="C2931" i="15"/>
  <c r="C2932" i="15"/>
  <c r="C2933" i="15"/>
  <c r="C2934" i="15"/>
  <c r="C2935" i="15"/>
  <c r="C2936" i="15"/>
  <c r="C2937" i="15"/>
  <c r="C2938" i="15"/>
  <c r="C2939" i="15"/>
  <c r="C2940" i="15"/>
  <c r="C2941" i="15"/>
  <c r="C2942" i="15"/>
  <c r="C2943" i="15"/>
  <c r="C2944" i="15"/>
  <c r="C2945" i="15"/>
  <c r="C2946" i="15"/>
  <c r="C2947" i="15"/>
  <c r="C2948" i="15"/>
  <c r="C2949" i="15"/>
  <c r="C2950" i="15"/>
  <c r="C2951" i="15"/>
  <c r="C2952" i="15"/>
  <c r="C2953" i="15"/>
  <c r="C2954" i="15"/>
  <c r="C2955" i="15"/>
  <c r="C2956" i="15"/>
  <c r="C2957" i="15"/>
  <c r="C2958" i="15"/>
  <c r="C2905" i="15"/>
  <c r="C2906" i="15"/>
  <c r="C2907" i="15"/>
  <c r="C2908" i="15"/>
  <c r="C2909" i="15"/>
  <c r="C2910" i="15"/>
  <c r="C2879" i="15"/>
  <c r="C2868" i="15"/>
  <c r="C2859" i="15"/>
  <c r="C2848" i="15"/>
  <c r="C2870" i="15"/>
  <c r="B1004" i="15"/>
  <c r="B1014" i="1"/>
  <c r="I1014" i="1"/>
  <c r="J1014" i="1"/>
  <c r="O1014" i="1"/>
  <c r="T1014" i="1"/>
  <c r="B1012" i="1"/>
  <c r="B1013" i="1"/>
  <c r="I1012" i="1"/>
  <c r="I1013" i="1"/>
  <c r="J1012" i="1"/>
  <c r="J1013" i="1"/>
  <c r="O1012" i="1"/>
  <c r="O1013" i="1"/>
  <c r="T1012" i="1"/>
  <c r="T1013" i="1"/>
  <c r="L17" i="15" a="1"/>
  <c r="L17" i="15" s="1"/>
  <c r="B1011" i="1"/>
  <c r="I1011" i="1"/>
  <c r="J1011" i="1"/>
  <c r="O1011" i="1"/>
  <c r="T1011" i="1"/>
  <c r="B1009" i="1"/>
  <c r="B1010" i="1"/>
  <c r="I1009" i="1"/>
  <c r="I1010" i="1"/>
  <c r="J1009" i="1"/>
  <c r="J1010" i="1"/>
  <c r="O1009" i="1"/>
  <c r="O1010" i="1"/>
  <c r="T1009" i="1"/>
  <c r="T1010" i="1"/>
  <c r="D2" i="13"/>
  <c r="D3" i="13"/>
  <c r="D8" i="13"/>
  <c r="D18" i="13"/>
  <c r="D19" i="13"/>
  <c r="D20" i="13"/>
  <c r="D21" i="13"/>
  <c r="D22" i="13"/>
  <c r="D23" i="13"/>
  <c r="D24" i="13"/>
  <c r="D25" i="13"/>
  <c r="D26" i="13"/>
  <c r="D27" i="13"/>
  <c r="D28" i="13"/>
  <c r="D29" i="13"/>
  <c r="D30" i="13"/>
  <c r="D31" i="13"/>
  <c r="D32" i="13"/>
  <c r="D33" i="13"/>
  <c r="D34" i="13"/>
  <c r="D35" i="13"/>
  <c r="D36" i="13"/>
  <c r="D37" i="13"/>
  <c r="D38" i="13"/>
  <c r="D39" i="13"/>
  <c r="T1007" i="1"/>
  <c r="T1008" i="1"/>
  <c r="O1007" i="1"/>
  <c r="O1008" i="1"/>
  <c r="J1007" i="1"/>
  <c r="J1008" i="1"/>
  <c r="I1007" i="1"/>
  <c r="I1008" i="1"/>
  <c r="B1007" i="1"/>
  <c r="B1008" i="1"/>
  <c r="F1338" i="25"/>
  <c r="F1416" i="25"/>
  <c r="F1348" i="25"/>
  <c r="F1329" i="25"/>
  <c r="F1346" i="25"/>
  <c r="G1006" i="1"/>
  <c r="T1005" i="1"/>
  <c r="T1006" i="1"/>
  <c r="O1006" i="1"/>
  <c r="J1005" i="1"/>
  <c r="I1005" i="1"/>
  <c r="B1005" i="1"/>
  <c r="B1006" i="1"/>
  <c r="F52" i="30"/>
  <c r="E52" i="30"/>
  <c r="B987" i="15"/>
  <c r="D987" i="15"/>
  <c r="F987" i="15"/>
  <c r="L987" i="15" a="1"/>
  <c r="L987" i="15" s="1"/>
  <c r="M987" i="15" s="1"/>
  <c r="B1004" i="1"/>
  <c r="I1004" i="1"/>
  <c r="J1004" i="1"/>
  <c r="T1004" i="1"/>
  <c r="B1003" i="1"/>
  <c r="I1003" i="1"/>
  <c r="J1003" i="1"/>
  <c r="T1003" i="1"/>
  <c r="B1002" i="1"/>
  <c r="I1002" i="1"/>
  <c r="J1002" i="1"/>
  <c r="T1002" i="1"/>
  <c r="U11" i="28"/>
  <c r="U30" i="28"/>
  <c r="U5" i="28"/>
  <c r="U43" i="28"/>
  <c r="U45" i="28"/>
  <c r="U25" i="28"/>
  <c r="U51" i="28"/>
  <c r="U34" i="28"/>
  <c r="U2" i="28"/>
  <c r="U9" i="28"/>
  <c r="U3" i="28"/>
  <c r="U27" i="28"/>
  <c r="U47" i="28"/>
  <c r="U37" i="28"/>
  <c r="U33" i="28"/>
  <c r="U48" i="28"/>
  <c r="U12" i="28"/>
  <c r="U40" i="28"/>
  <c r="U35" i="28"/>
  <c r="U42" i="28"/>
  <c r="U31" i="28"/>
  <c r="U13" i="28"/>
  <c r="U41" i="28"/>
  <c r="U16" i="28"/>
  <c r="U17" i="28"/>
  <c r="U7" i="28"/>
  <c r="U49" i="28"/>
  <c r="U38" i="28"/>
  <c r="U28" i="28"/>
  <c r="U23" i="28"/>
  <c r="U15" i="28"/>
  <c r="U14" i="28"/>
  <c r="U36" i="28"/>
  <c r="U10" i="28"/>
  <c r="U22" i="28"/>
  <c r="U6" i="28"/>
  <c r="U32" i="28"/>
  <c r="U20" i="28"/>
  <c r="U50" i="28"/>
  <c r="U46" i="28"/>
  <c r="U44" i="28"/>
  <c r="U8" i="28"/>
  <c r="U26" i="28"/>
  <c r="U18" i="28"/>
  <c r="U29" i="28"/>
  <c r="U4" i="28"/>
  <c r="U21" i="28"/>
  <c r="U19" i="28"/>
  <c r="U39" i="28"/>
  <c r="U24" i="28"/>
  <c r="F78" i="30"/>
  <c r="C78" i="30"/>
  <c r="D76" i="30"/>
  <c r="F69" i="30"/>
  <c r="C123" i="30" l="1"/>
  <c r="C119" i="30"/>
  <c r="C120" i="30"/>
  <c r="C128" i="30"/>
  <c r="D70" i="30"/>
  <c r="E2465" i="15"/>
  <c r="E2508" i="15"/>
  <c r="E2583" i="15"/>
  <c r="E2620" i="15"/>
  <c r="E2545" i="15"/>
  <c r="E1011" i="15"/>
  <c r="E1696" i="15"/>
  <c r="E2417" i="15"/>
  <c r="E2250" i="15"/>
  <c r="E1771" i="15"/>
  <c r="E2366" i="15"/>
  <c r="E2179" i="15"/>
  <c r="E1614" i="15"/>
  <c r="E2309" i="15"/>
  <c r="E1531" i="15"/>
  <c r="E1335" i="15"/>
  <c r="E1017" i="15"/>
  <c r="E1112" i="15"/>
  <c r="E1220" i="15"/>
  <c r="E1435" i="15"/>
  <c r="K197" i="3"/>
  <c r="J1006" i="1"/>
  <c r="E1000" i="15"/>
  <c r="E2682" i="15"/>
  <c r="E2705" i="15"/>
  <c r="E2724" i="15"/>
  <c r="E2743" i="15"/>
  <c r="E2622" i="15"/>
  <c r="E2585" i="15"/>
  <c r="E2548" i="15"/>
  <c r="E2511" i="15"/>
  <c r="E2654" i="15"/>
  <c r="E2856" i="15"/>
  <c r="E2090" i="15"/>
  <c r="E2164" i="15"/>
  <c r="E2299" i="15"/>
  <c r="E2468" i="15"/>
  <c r="E2014" i="15"/>
  <c r="E2237" i="15"/>
  <c r="E1001" i="15"/>
  <c r="E1130" i="15"/>
  <c r="E1238" i="15"/>
  <c r="E1352" i="15"/>
  <c r="E1449" i="15"/>
  <c r="E1545" i="15"/>
  <c r="E1628" i="15"/>
  <c r="E1706" i="15"/>
  <c r="E1781" i="15"/>
  <c r="E1861" i="15"/>
  <c r="E1939" i="15"/>
  <c r="K196" i="3"/>
  <c r="I37" i="23"/>
  <c r="I25" i="23"/>
  <c r="O38" i="23"/>
  <c r="O27" i="23"/>
  <c r="I36" i="23"/>
  <c r="I24" i="23"/>
  <c r="O37" i="23"/>
  <c r="O26" i="23"/>
  <c r="I35" i="23"/>
  <c r="I23" i="23"/>
  <c r="O36" i="23"/>
  <c r="O25" i="23"/>
  <c r="I34" i="23"/>
  <c r="I22" i="23"/>
  <c r="O35" i="23"/>
  <c r="O24" i="23"/>
  <c r="I33" i="23"/>
  <c r="I21" i="23"/>
  <c r="O34" i="23"/>
  <c r="O23" i="23"/>
  <c r="I32" i="23"/>
  <c r="I20" i="23"/>
  <c r="O33" i="23"/>
  <c r="O22" i="23"/>
  <c r="I31" i="23"/>
  <c r="I19" i="23"/>
  <c r="O32" i="23"/>
  <c r="O21" i="23"/>
  <c r="I41" i="23"/>
  <c r="I30" i="23"/>
  <c r="I28" i="23"/>
  <c r="O31" i="23"/>
  <c r="O19" i="23"/>
  <c r="I40" i="23"/>
  <c r="I29" i="23"/>
  <c r="O41" i="23"/>
  <c r="O30" i="23"/>
  <c r="O20" i="23"/>
  <c r="I39" i="23"/>
  <c r="I27" i="23"/>
  <c r="O40" i="23"/>
  <c r="O29" i="23"/>
  <c r="I38" i="23"/>
  <c r="I26" i="23"/>
  <c r="O39" i="23"/>
  <c r="O28" i="23"/>
  <c r="E69" i="30"/>
  <c r="D52" i="30"/>
  <c r="I1006" i="1"/>
  <c r="I42" i="23" l="1"/>
  <c r="O42" i="23"/>
  <c r="AB18" i="13"/>
  <c r="AB17" i="13"/>
  <c r="P2" i="13"/>
  <c r="P3" i="13"/>
  <c r="P18" i="13"/>
  <c r="P19" i="13"/>
  <c r="P20" i="13"/>
  <c r="P21" i="13"/>
  <c r="P22" i="13"/>
  <c r="P23" i="13"/>
  <c r="P24" i="13"/>
  <c r="P25" i="13"/>
  <c r="P26" i="13"/>
  <c r="P27" i="13"/>
  <c r="P28" i="13"/>
  <c r="P29" i="13"/>
  <c r="P30" i="13"/>
  <c r="P31" i="13"/>
  <c r="P32" i="13"/>
  <c r="P33" i="13"/>
  <c r="P34" i="13"/>
  <c r="P35" i="13"/>
  <c r="P36" i="13"/>
  <c r="P37" i="13"/>
  <c r="P38" i="13"/>
  <c r="P39" i="13"/>
  <c r="F1247" i="25" l="1"/>
  <c r="F1246" i="25"/>
  <c r="B1000" i="1"/>
  <c r="B1001" i="1"/>
  <c r="I1000" i="1"/>
  <c r="I1001" i="1"/>
  <c r="J1000" i="1"/>
  <c r="J1001" i="1"/>
  <c r="T1000" i="1"/>
  <c r="T1001" i="1"/>
  <c r="C27" i="30"/>
  <c r="B999" i="1"/>
  <c r="I999" i="1"/>
  <c r="J999" i="1"/>
  <c r="T999" i="1"/>
  <c r="G2274" i="15" l="1"/>
  <c r="G2333" i="15"/>
  <c r="G2387" i="15"/>
  <c r="G2436" i="15"/>
  <c r="G2485" i="15"/>
  <c r="G2527" i="15"/>
  <c r="G2566" i="15"/>
  <c r="G2606" i="15"/>
  <c r="G2641" i="15"/>
  <c r="G2206" i="15"/>
  <c r="B2606" i="15"/>
  <c r="B2641" i="15"/>
  <c r="D2606" i="15"/>
  <c r="D2641" i="15"/>
  <c r="F2606" i="15"/>
  <c r="F2641" i="15"/>
  <c r="L2606" i="15" a="1"/>
  <c r="L2606" i="15" s="1"/>
  <c r="M2606" i="15" s="1"/>
  <c r="L2641" i="15" a="1"/>
  <c r="L2641" i="15" s="1"/>
  <c r="M2641" i="15" s="1"/>
  <c r="B2485" i="15"/>
  <c r="B2527" i="15"/>
  <c r="B2566" i="15"/>
  <c r="D2485" i="15"/>
  <c r="D2527" i="15"/>
  <c r="D2566" i="15"/>
  <c r="F2485" i="15"/>
  <c r="F2527" i="15"/>
  <c r="F2566" i="15"/>
  <c r="L2485" i="15" a="1"/>
  <c r="L2485" i="15" s="1"/>
  <c r="M2485" i="15" s="1"/>
  <c r="L2527" i="15" a="1"/>
  <c r="L2527" i="15" s="1"/>
  <c r="M2527" i="15" s="1"/>
  <c r="L2566" i="15" a="1"/>
  <c r="L2566" i="15" s="1"/>
  <c r="M2566" i="15" s="1"/>
  <c r="B2206" i="15"/>
  <c r="B2274" i="15"/>
  <c r="B2333" i="15"/>
  <c r="B2387" i="15"/>
  <c r="B2436" i="15"/>
  <c r="D2206" i="15"/>
  <c r="D2274" i="15"/>
  <c r="D2333" i="15"/>
  <c r="D2387" i="15"/>
  <c r="D2436" i="15"/>
  <c r="F2206" i="15"/>
  <c r="F2274" i="15"/>
  <c r="F2333" i="15"/>
  <c r="F2387" i="15"/>
  <c r="F2436" i="15"/>
  <c r="L2206" i="15" a="1"/>
  <c r="L2206" i="15" s="1"/>
  <c r="M2206" i="15" s="1"/>
  <c r="L2274" i="15" a="1"/>
  <c r="L2274" i="15" s="1"/>
  <c r="M2274" i="15" s="1"/>
  <c r="L2333" i="15" a="1"/>
  <c r="L2333" i="15" s="1"/>
  <c r="M2333" i="15" s="1"/>
  <c r="L2387" i="15" a="1"/>
  <c r="L2387" i="15" s="1"/>
  <c r="M2387" i="15" s="1"/>
  <c r="L2436" i="15" a="1"/>
  <c r="L2436" i="15" s="1"/>
  <c r="M2436" i="15" s="1"/>
  <c r="B992" i="15"/>
  <c r="B1096" i="15"/>
  <c r="B1206" i="15"/>
  <c r="B1316" i="15"/>
  <c r="B1422" i="15"/>
  <c r="B1519" i="15"/>
  <c r="B1604" i="15"/>
  <c r="B1689" i="15"/>
  <c r="B1766" i="15"/>
  <c r="B1847" i="15"/>
  <c r="D992" i="15"/>
  <c r="D1096" i="15"/>
  <c r="D1206" i="15"/>
  <c r="D1316" i="15"/>
  <c r="D1422" i="15"/>
  <c r="D1519" i="15"/>
  <c r="D1604" i="15"/>
  <c r="D1689" i="15"/>
  <c r="D1766" i="15"/>
  <c r="D1847" i="15"/>
  <c r="F992" i="15"/>
  <c r="F1096" i="15"/>
  <c r="F1206" i="15"/>
  <c r="F1316" i="15"/>
  <c r="F1422" i="15"/>
  <c r="F1519" i="15"/>
  <c r="F1604" i="15"/>
  <c r="F1689" i="15"/>
  <c r="F1766" i="15"/>
  <c r="F1847" i="15"/>
  <c r="L992" i="15" a="1"/>
  <c r="L992" i="15" s="1"/>
  <c r="M992" i="15" s="1"/>
  <c r="L1096" i="15" a="1"/>
  <c r="L1096" i="15" s="1"/>
  <c r="M1096" i="15" s="1"/>
  <c r="L1206" i="15" a="1"/>
  <c r="L1206" i="15" s="1"/>
  <c r="M1206" i="15" s="1"/>
  <c r="L1316" i="15" a="1"/>
  <c r="L1316" i="15" s="1"/>
  <c r="M1316" i="15" s="1"/>
  <c r="L1422" i="15" a="1"/>
  <c r="L1422" i="15" s="1"/>
  <c r="M1422" i="15" s="1"/>
  <c r="L1519" i="15" a="1"/>
  <c r="L1519" i="15" s="1"/>
  <c r="M1519" i="15" s="1"/>
  <c r="L1604" i="15" a="1"/>
  <c r="L1604" i="15" s="1"/>
  <c r="M1604" i="15" s="1"/>
  <c r="L1689" i="15" a="1"/>
  <c r="L1689" i="15" s="1"/>
  <c r="M1689" i="15" s="1"/>
  <c r="L1766" i="15" a="1"/>
  <c r="L1766" i="15" s="1"/>
  <c r="M1766" i="15" s="1"/>
  <c r="L1847" i="15" a="1"/>
  <c r="L1847" i="15" s="1"/>
  <c r="M1847" i="15" s="1"/>
  <c r="B986" i="15"/>
  <c r="D986" i="15"/>
  <c r="F986" i="15"/>
  <c r="L986" i="15" a="1"/>
  <c r="L986" i="15" s="1"/>
  <c r="F1243" i="25"/>
  <c r="G195" i="3"/>
  <c r="J195" i="3"/>
  <c r="P195" i="3"/>
  <c r="Q195" i="3"/>
  <c r="S195" i="3"/>
  <c r="V195" i="3"/>
  <c r="B997" i="1"/>
  <c r="B998" i="1"/>
  <c r="I997" i="1"/>
  <c r="I998" i="1"/>
  <c r="J997" i="1"/>
  <c r="N195" i="3" s="1"/>
  <c r="J998" i="1"/>
  <c r="T997" i="1"/>
  <c r="T998" i="1"/>
  <c r="F1239" i="25"/>
  <c r="F1210" i="25"/>
  <c r="F1238" i="25"/>
  <c r="F1234" i="25"/>
  <c r="F1233" i="25"/>
  <c r="F1232" i="25"/>
  <c r="R997" i="1" l="1"/>
  <c r="R1019" i="1"/>
  <c r="M986" i="15"/>
  <c r="X195" i="3" s="1"/>
  <c r="T195" i="3"/>
  <c r="H195" i="3"/>
  <c r="R195" i="3"/>
  <c r="I195" i="3"/>
  <c r="K195" i="3" l="1"/>
  <c r="E2641" i="15"/>
  <c r="E2606" i="15"/>
  <c r="E2566" i="15"/>
  <c r="E2485" i="15"/>
  <c r="E2527" i="15"/>
  <c r="E986" i="15"/>
  <c r="E2387" i="15"/>
  <c r="E2436" i="15"/>
  <c r="E2206" i="15"/>
  <c r="E2274" i="15"/>
  <c r="E2333" i="15"/>
  <c r="E1689" i="15"/>
  <c r="E1766" i="15"/>
  <c r="E1604" i="15"/>
  <c r="E1316" i="15"/>
  <c r="E1422" i="15"/>
  <c r="E1847" i="15"/>
  <c r="E992" i="15"/>
  <c r="E1519" i="15"/>
  <c r="E1096" i="15"/>
  <c r="E1206" i="15"/>
  <c r="F1229" i="25"/>
  <c r="F1277" i="25"/>
  <c r="F1319" i="25"/>
  <c r="F1318" i="25"/>
  <c r="F1317" i="25"/>
  <c r="F1316" i="25"/>
  <c r="F1315" i="25"/>
  <c r="F1314" i="25"/>
  <c r="F1313" i="25"/>
  <c r="F1312" i="25"/>
  <c r="F1262" i="25"/>
  <c r="F1311" i="25"/>
  <c r="F1310" i="25"/>
  <c r="F1309" i="25"/>
  <c r="F1302" i="25"/>
  <c r="F1291" i="25"/>
  <c r="F1285" i="25"/>
  <c r="F1284" i="25"/>
  <c r="F1281" i="25"/>
  <c r="F1280" i="25"/>
  <c r="F1274" i="25"/>
  <c r="F1269" i="25"/>
  <c r="F1270" i="25"/>
  <c r="F1268" i="25"/>
  <c r="F1267" i="25"/>
  <c r="F1266" i="25"/>
  <c r="F1260" i="25"/>
  <c r="F1259" i="25"/>
  <c r="F1261" i="25"/>
  <c r="F1258" i="25"/>
  <c r="F1257" i="25"/>
  <c r="F1254" i="25"/>
  <c r="F1256" i="25"/>
  <c r="F1255" i="25"/>
  <c r="F1253" i="25"/>
  <c r="F1249" i="25"/>
  <c r="F1251" i="25"/>
  <c r="F1245" i="25"/>
  <c r="F1248" i="25"/>
  <c r="F1237" i="25"/>
  <c r="F1236" i="25"/>
  <c r="F1240" i="25"/>
  <c r="F1242" i="25"/>
  <c r="F1235" i="25"/>
  <c r="B1103" i="15"/>
  <c r="D1103" i="15"/>
  <c r="F1103" i="15"/>
  <c r="L1103" i="15" a="1"/>
  <c r="L1103" i="15" s="1"/>
  <c r="M1103" i="15" s="1"/>
  <c r="B984" i="15"/>
  <c r="D984" i="15"/>
  <c r="F984" i="15"/>
  <c r="L984" i="15" a="1"/>
  <c r="L984" i="15" s="1"/>
  <c r="M984" i="15" s="1"/>
  <c r="B995" i="1"/>
  <c r="B996" i="1"/>
  <c r="I995" i="1"/>
  <c r="I996" i="1"/>
  <c r="J995" i="1"/>
  <c r="J996" i="1"/>
  <c r="T995" i="1"/>
  <c r="T996" i="1"/>
  <c r="B976" i="15"/>
  <c r="D976" i="15"/>
  <c r="F976" i="15"/>
  <c r="L976" i="15" a="1"/>
  <c r="L976" i="15" s="1"/>
  <c r="M976" i="15" s="1"/>
  <c r="B974" i="15"/>
  <c r="D974" i="15"/>
  <c r="F974" i="15"/>
  <c r="M974" i="15"/>
  <c r="B994" i="1"/>
  <c r="I994" i="1"/>
  <c r="J994" i="1"/>
  <c r="T994" i="1"/>
  <c r="T991" i="1"/>
  <c r="T992" i="1"/>
  <c r="T993" i="1"/>
  <c r="J991" i="1"/>
  <c r="J992" i="1"/>
  <c r="J993" i="1"/>
  <c r="I991" i="1"/>
  <c r="I992" i="1"/>
  <c r="I993" i="1"/>
  <c r="B991" i="1"/>
  <c r="B992" i="1"/>
  <c r="B993" i="1"/>
  <c r="R193" i="3"/>
  <c r="G2596" i="15"/>
  <c r="G2633" i="15"/>
  <c r="G2664" i="15"/>
  <c r="G2693" i="15"/>
  <c r="G2716" i="15"/>
  <c r="G2734" i="15"/>
  <c r="G2751" i="15"/>
  <c r="G2760" i="15"/>
  <c r="G2767" i="15"/>
  <c r="G2557" i="15"/>
  <c r="B2596" i="15"/>
  <c r="B2633" i="15"/>
  <c r="B2664" i="15"/>
  <c r="B2693" i="15"/>
  <c r="B2716" i="15"/>
  <c r="B2734" i="15"/>
  <c r="B2751" i="15"/>
  <c r="B2760" i="15"/>
  <c r="B2767" i="15"/>
  <c r="D2596" i="15"/>
  <c r="D2633" i="15"/>
  <c r="D2664" i="15"/>
  <c r="D2693" i="15"/>
  <c r="D2716" i="15"/>
  <c r="D2734" i="15"/>
  <c r="D2751" i="15"/>
  <c r="D2760" i="15"/>
  <c r="D2767" i="15"/>
  <c r="F2596" i="15"/>
  <c r="F2633" i="15"/>
  <c r="F2664" i="15"/>
  <c r="F2693" i="15"/>
  <c r="F2716" i="15"/>
  <c r="F2734" i="15"/>
  <c r="F2751" i="15"/>
  <c r="F2760" i="15"/>
  <c r="F2767" i="15"/>
  <c r="L2596" i="15" a="1"/>
  <c r="L2596" i="15" s="1"/>
  <c r="L2633" i="15" a="1"/>
  <c r="L2633" i="15" s="1"/>
  <c r="M2633" i="15" s="1"/>
  <c r="L2664" i="15" a="1"/>
  <c r="L2664" i="15" s="1"/>
  <c r="M2664" i="15" s="1"/>
  <c r="L2693" i="15" a="1"/>
  <c r="L2693" i="15" s="1"/>
  <c r="M2693" i="15" s="1"/>
  <c r="L2716" i="15" a="1"/>
  <c r="L2716" i="15" s="1"/>
  <c r="M2716" i="15" s="1"/>
  <c r="L2734" i="15" a="1"/>
  <c r="L2734" i="15" s="1"/>
  <c r="M2734" i="15" s="1"/>
  <c r="L2751" i="15" a="1"/>
  <c r="L2751" i="15" s="1"/>
  <c r="M2751" i="15" s="1"/>
  <c r="L2760" i="15" a="1"/>
  <c r="L2760" i="15" s="1"/>
  <c r="M2760" i="15" s="1"/>
  <c r="L2767" i="15" a="1"/>
  <c r="L2767" i="15" s="1"/>
  <c r="M2767" i="15" s="1"/>
  <c r="B2557" i="15"/>
  <c r="D2557" i="15"/>
  <c r="F2557" i="15"/>
  <c r="L2557" i="15" a="1"/>
  <c r="L2557" i="15" s="1"/>
  <c r="B2878" i="15"/>
  <c r="D2878" i="15"/>
  <c r="F2878" i="15"/>
  <c r="L2878" i="15" a="1"/>
  <c r="L2878" i="15" s="1"/>
  <c r="M2878" i="15" s="1"/>
  <c r="B2224" i="15"/>
  <c r="D2224" i="15"/>
  <c r="F2224" i="15"/>
  <c r="L2224" i="15" a="1"/>
  <c r="L2224" i="15" s="1"/>
  <c r="M2224" i="15" s="1"/>
  <c r="B962" i="15"/>
  <c r="B1088" i="15"/>
  <c r="B1198" i="15"/>
  <c r="B1308" i="15"/>
  <c r="B1414" i="15"/>
  <c r="B1511" i="15"/>
  <c r="B1596" i="15"/>
  <c r="B1682" i="15"/>
  <c r="B1759" i="15"/>
  <c r="B1841" i="15"/>
  <c r="B1922" i="15"/>
  <c r="B2000" i="15"/>
  <c r="B2076" i="15"/>
  <c r="B2150" i="15"/>
  <c r="D962" i="15"/>
  <c r="D1088" i="15"/>
  <c r="D1198" i="15"/>
  <c r="D1308" i="15"/>
  <c r="D1414" i="15"/>
  <c r="D1511" i="15"/>
  <c r="D1596" i="15"/>
  <c r="D1682" i="15"/>
  <c r="D1759" i="15"/>
  <c r="D1841" i="15"/>
  <c r="D1922" i="15"/>
  <c r="D2000" i="15"/>
  <c r="D2076" i="15"/>
  <c r="D2150" i="15"/>
  <c r="F962" i="15"/>
  <c r="F1088" i="15"/>
  <c r="F1198" i="15"/>
  <c r="F1308" i="15"/>
  <c r="F1414" i="15"/>
  <c r="F1511" i="15"/>
  <c r="F1596" i="15"/>
  <c r="F1682" i="15"/>
  <c r="F1759" i="15"/>
  <c r="F1841" i="15"/>
  <c r="F1922" i="15"/>
  <c r="F2000" i="15"/>
  <c r="F2076" i="15"/>
  <c r="F2150" i="15"/>
  <c r="L962" i="15" a="1"/>
  <c r="L962" i="15" s="1"/>
  <c r="M962" i="15" s="1"/>
  <c r="L1088" i="15" a="1"/>
  <c r="L1088" i="15" s="1"/>
  <c r="M1088" i="15" s="1"/>
  <c r="L1198" i="15" a="1"/>
  <c r="L1198" i="15" s="1"/>
  <c r="M1198" i="15" s="1"/>
  <c r="L1308" i="15" a="1"/>
  <c r="L1308" i="15" s="1"/>
  <c r="M1308" i="15" s="1"/>
  <c r="L1414" i="15" a="1"/>
  <c r="L1414" i="15" s="1"/>
  <c r="M1414" i="15" s="1"/>
  <c r="L1511" i="15" a="1"/>
  <c r="L1511" i="15" s="1"/>
  <c r="M1511" i="15" s="1"/>
  <c r="L1596" i="15" a="1"/>
  <c r="L1596" i="15" s="1"/>
  <c r="M1596" i="15" s="1"/>
  <c r="L1682" i="15" a="1"/>
  <c r="L1682" i="15" s="1"/>
  <c r="M1682" i="15" s="1"/>
  <c r="L1759" i="15" a="1"/>
  <c r="L1759" i="15" s="1"/>
  <c r="M1759" i="15" s="1"/>
  <c r="L1841" i="15" a="1"/>
  <c r="L1841" i="15" s="1"/>
  <c r="M1841" i="15" s="1"/>
  <c r="L1922" i="15" a="1"/>
  <c r="L1922" i="15" s="1"/>
  <c r="M1922" i="15" s="1"/>
  <c r="L2000" i="15" a="1"/>
  <c r="L2000" i="15" s="1"/>
  <c r="M2000" i="15" s="1"/>
  <c r="L2076" i="15" a="1"/>
  <c r="L2076" i="15" s="1"/>
  <c r="M2076" i="15" s="1"/>
  <c r="L2150" i="15" a="1"/>
  <c r="L2150" i="15" s="1"/>
  <c r="M2150" i="15" s="1"/>
  <c r="B963" i="15"/>
  <c r="D963" i="15"/>
  <c r="F963" i="15"/>
  <c r="L963" i="15" a="1"/>
  <c r="L963" i="15" s="1"/>
  <c r="G1829" i="15"/>
  <c r="G1910" i="15"/>
  <c r="G1990" i="15"/>
  <c r="G2068" i="15"/>
  <c r="G2142" i="15"/>
  <c r="G2217" i="15"/>
  <c r="G2399" i="15"/>
  <c r="G2286" i="15"/>
  <c r="G2347" i="15"/>
  <c r="G1746" i="15"/>
  <c r="B1746" i="15"/>
  <c r="B1829" i="15"/>
  <c r="B1910" i="15"/>
  <c r="B1990" i="15"/>
  <c r="B2068" i="15"/>
  <c r="B2142" i="15"/>
  <c r="B2217" i="15"/>
  <c r="B2399" i="15"/>
  <c r="B2286" i="15"/>
  <c r="B2347" i="15"/>
  <c r="D1746" i="15"/>
  <c r="D1829" i="15"/>
  <c r="D1910" i="15"/>
  <c r="D1990" i="15"/>
  <c r="D2068" i="15"/>
  <c r="D2142" i="15"/>
  <c r="D2217" i="15"/>
  <c r="D2399" i="15"/>
  <c r="D2286" i="15"/>
  <c r="D2347" i="15"/>
  <c r="F1746" i="15"/>
  <c r="F1829" i="15"/>
  <c r="F1910" i="15"/>
  <c r="F1990" i="15"/>
  <c r="F2068" i="15"/>
  <c r="F2142" i="15"/>
  <c r="F2217" i="15"/>
  <c r="F2399" i="15"/>
  <c r="F2286" i="15"/>
  <c r="F2347" i="15"/>
  <c r="L1746" i="15" a="1"/>
  <c r="L1746" i="15" s="1"/>
  <c r="M1746" i="15" s="1"/>
  <c r="L1829" i="15" a="1"/>
  <c r="L1829" i="15" s="1"/>
  <c r="M1829" i="15" s="1"/>
  <c r="L1910" i="15" a="1"/>
  <c r="L1910" i="15" s="1"/>
  <c r="M1910" i="15" s="1"/>
  <c r="L1990" i="15" a="1"/>
  <c r="L1990" i="15" s="1"/>
  <c r="M1990" i="15" s="1"/>
  <c r="L2068" i="15" a="1"/>
  <c r="L2068" i="15" s="1"/>
  <c r="M2068" i="15" s="1"/>
  <c r="L2142" i="15" a="1"/>
  <c r="L2142" i="15" s="1"/>
  <c r="M2142" i="15" s="1"/>
  <c r="L2217" i="15" a="1"/>
  <c r="L2217" i="15" s="1"/>
  <c r="M2217" i="15" s="1"/>
  <c r="L2399" i="15" a="1"/>
  <c r="L2399" i="15" s="1"/>
  <c r="M2399" i="15" s="1"/>
  <c r="L2286" i="15" a="1"/>
  <c r="L2286" i="15" s="1"/>
  <c r="M2286" i="15" s="1"/>
  <c r="L2347" i="15" a="1"/>
  <c r="L2347" i="15" s="1"/>
  <c r="M2347" i="15" s="1"/>
  <c r="B980" i="15"/>
  <c r="D980" i="15"/>
  <c r="F980" i="15"/>
  <c r="L980" i="15" a="1"/>
  <c r="L980" i="15" s="1"/>
  <c r="M980" i="15" s="1"/>
  <c r="B990" i="1"/>
  <c r="I990" i="1"/>
  <c r="J990" i="1"/>
  <c r="T990" i="1"/>
  <c r="B989" i="1"/>
  <c r="I989" i="1"/>
  <c r="J989" i="1"/>
  <c r="T989" i="1"/>
  <c r="U193" i="3"/>
  <c r="U194" i="3"/>
  <c r="G194" i="3"/>
  <c r="J194" i="3"/>
  <c r="P194" i="3"/>
  <c r="Q194" i="3"/>
  <c r="S194" i="3"/>
  <c r="V194" i="3"/>
  <c r="B987" i="1"/>
  <c r="B988" i="1"/>
  <c r="I987" i="1"/>
  <c r="I988" i="1"/>
  <c r="J987" i="1"/>
  <c r="J988" i="1"/>
  <c r="T987" i="1"/>
  <c r="T988" i="1"/>
  <c r="B985" i="1"/>
  <c r="B986" i="1"/>
  <c r="I985" i="1"/>
  <c r="I986" i="1"/>
  <c r="J985" i="1"/>
  <c r="J986" i="1"/>
  <c r="T985" i="1"/>
  <c r="T986" i="1"/>
  <c r="B984" i="1"/>
  <c r="I984" i="1"/>
  <c r="J984" i="1"/>
  <c r="T984" i="1"/>
  <c r="B982" i="1"/>
  <c r="B983" i="1"/>
  <c r="I982" i="1"/>
  <c r="I983" i="1"/>
  <c r="J982" i="1"/>
  <c r="J983" i="1"/>
  <c r="T982" i="1"/>
  <c r="T983" i="1"/>
  <c r="Q910" i="25"/>
  <c r="F910" i="25"/>
  <c r="F1222" i="25"/>
  <c r="F1218" i="25"/>
  <c r="F1217" i="25"/>
  <c r="F1216" i="25"/>
  <c r="F1215" i="25"/>
  <c r="R1093" i="1" l="1"/>
  <c r="R987" i="1"/>
  <c r="R988" i="1"/>
  <c r="E70" i="30"/>
  <c r="G124" i="30"/>
  <c r="F76" i="30"/>
  <c r="F77" i="30"/>
  <c r="M963" i="15"/>
  <c r="F70" i="30"/>
  <c r="F71" i="30"/>
  <c r="F72" i="30" s="1"/>
  <c r="F74" i="30"/>
  <c r="F73" i="30"/>
  <c r="F75" i="30"/>
  <c r="E76" i="30"/>
  <c r="E78" i="30"/>
  <c r="E71" i="30"/>
  <c r="E72" i="30" s="1"/>
  <c r="F83" i="30"/>
  <c r="T194" i="3"/>
  <c r="E77" i="30"/>
  <c r="E83" i="30"/>
  <c r="E75" i="30"/>
  <c r="E73" i="30"/>
  <c r="E74" i="30"/>
  <c r="D78" i="30"/>
  <c r="M2557" i="15"/>
  <c r="M2596" i="15"/>
  <c r="D73" i="30"/>
  <c r="F82" i="30"/>
  <c r="F89" i="30" s="1"/>
  <c r="D71" i="30"/>
  <c r="D69" i="30"/>
  <c r="E82" i="30"/>
  <c r="E89" i="30" s="1"/>
  <c r="D77" i="30"/>
  <c r="D74" i="30"/>
  <c r="D82" i="30"/>
  <c r="D83" i="30"/>
  <c r="D75" i="30"/>
  <c r="N194" i="3"/>
  <c r="R194" i="3"/>
  <c r="H194" i="3"/>
  <c r="I194" i="3"/>
  <c r="L1295" i="15" a="1"/>
  <c r="L1295" i="15" s="1"/>
  <c r="M1295" i="15" s="1"/>
  <c r="F1295" i="15"/>
  <c r="D1295" i="15"/>
  <c r="B1295" i="15"/>
  <c r="B1845" i="15"/>
  <c r="D1845" i="15"/>
  <c r="F1845" i="15"/>
  <c r="L1845" i="15" a="1"/>
  <c r="L1845" i="15" s="1"/>
  <c r="M1845" i="15" s="1"/>
  <c r="B1926" i="15"/>
  <c r="D1926" i="15"/>
  <c r="F1926" i="15"/>
  <c r="L1926" i="15" a="1"/>
  <c r="L1926" i="15" s="1"/>
  <c r="M1926" i="15" s="1"/>
  <c r="B2004" i="15"/>
  <c r="D2004" i="15"/>
  <c r="F2004" i="15"/>
  <c r="L2004" i="15" a="1"/>
  <c r="L2004" i="15" s="1"/>
  <c r="M2004" i="15" s="1"/>
  <c r="B2080" i="15"/>
  <c r="D2080" i="15"/>
  <c r="F2080" i="15"/>
  <c r="L2080" i="15" a="1"/>
  <c r="L2080" i="15" s="1"/>
  <c r="M2080" i="15" s="1"/>
  <c r="B2154" i="15"/>
  <c r="D2154" i="15"/>
  <c r="F2154" i="15"/>
  <c r="L2154" i="15" a="1"/>
  <c r="L2154" i="15" s="1"/>
  <c r="M2154" i="15" s="1"/>
  <c r="B1516" i="15"/>
  <c r="D1516" i="15"/>
  <c r="F1516" i="15"/>
  <c r="L1516" i="15" a="1"/>
  <c r="L1516" i="15" s="1"/>
  <c r="M1516" i="15" s="1"/>
  <c r="B1601" i="15"/>
  <c r="D1601" i="15"/>
  <c r="F1601" i="15"/>
  <c r="L1601" i="15" a="1"/>
  <c r="L1601" i="15" s="1"/>
  <c r="M1601" i="15" s="1"/>
  <c r="B1686" i="15"/>
  <c r="D1686" i="15"/>
  <c r="F1686" i="15"/>
  <c r="L1686" i="15" a="1"/>
  <c r="L1686" i="15" s="1"/>
  <c r="M1686" i="15" s="1"/>
  <c r="B1763" i="15"/>
  <c r="D1763" i="15"/>
  <c r="F1763" i="15"/>
  <c r="L1763" i="15" a="1"/>
  <c r="L1763" i="15" s="1"/>
  <c r="M1763" i="15" s="1"/>
  <c r="B1419" i="15"/>
  <c r="D1419" i="15"/>
  <c r="F1419" i="15"/>
  <c r="L1419" i="15" a="1"/>
  <c r="L1419" i="15" s="1"/>
  <c r="M1419" i="15" s="1"/>
  <c r="B2228" i="15"/>
  <c r="D2228" i="15"/>
  <c r="F2228" i="15"/>
  <c r="L2228" i="15" a="1"/>
  <c r="L2228" i="15" s="1"/>
  <c r="M2228" i="15" s="1"/>
  <c r="P193" i="3"/>
  <c r="G193" i="3"/>
  <c r="R981" i="1" s="1"/>
  <c r="J193" i="3"/>
  <c r="Q193" i="3"/>
  <c r="S193" i="3"/>
  <c r="V193" i="3"/>
  <c r="X193" i="3"/>
  <c r="B978" i="1"/>
  <c r="B979" i="1"/>
  <c r="B980" i="1"/>
  <c r="B981" i="1"/>
  <c r="I978" i="1"/>
  <c r="I979" i="1"/>
  <c r="I980" i="1"/>
  <c r="I981" i="1"/>
  <c r="J978" i="1"/>
  <c r="J979" i="1"/>
  <c r="J980" i="1"/>
  <c r="J981" i="1"/>
  <c r="N193" i="3" s="1"/>
  <c r="T978" i="1"/>
  <c r="T979" i="1"/>
  <c r="T980" i="1"/>
  <c r="T981" i="1"/>
  <c r="B1351" i="15"/>
  <c r="D1351" i="15"/>
  <c r="F1351" i="15"/>
  <c r="L1351" i="15" a="1"/>
  <c r="L1351" i="15" s="1"/>
  <c r="M1351" i="15" s="1"/>
  <c r="B976" i="1"/>
  <c r="B977" i="1"/>
  <c r="I976" i="1"/>
  <c r="I977" i="1"/>
  <c r="J976" i="1"/>
  <c r="J977" i="1"/>
  <c r="T976" i="1"/>
  <c r="T977" i="1"/>
  <c r="H973" i="1"/>
  <c r="G973" i="1"/>
  <c r="B972" i="1"/>
  <c r="B973" i="1"/>
  <c r="B974" i="1"/>
  <c r="B975" i="1"/>
  <c r="I972" i="1"/>
  <c r="I974" i="1"/>
  <c r="I975" i="1"/>
  <c r="J972" i="1"/>
  <c r="J974" i="1"/>
  <c r="J975" i="1"/>
  <c r="O973" i="1"/>
  <c r="T972" i="1"/>
  <c r="T973" i="1"/>
  <c r="T974" i="1"/>
  <c r="T975" i="1"/>
  <c r="B2720" i="15"/>
  <c r="D2720" i="15"/>
  <c r="F2720" i="15"/>
  <c r="L2720" i="15" a="1"/>
  <c r="L2720" i="15" s="1"/>
  <c r="M2720" i="15" s="1"/>
  <c r="G2790" i="15"/>
  <c r="G2795" i="15"/>
  <c r="G2800" i="15"/>
  <c r="G2804" i="15"/>
  <c r="G2808" i="15"/>
  <c r="G2812" i="15"/>
  <c r="G2816" i="15"/>
  <c r="G2819" i="15"/>
  <c r="G2821" i="15"/>
  <c r="B1191" i="15"/>
  <c r="D1191" i="15"/>
  <c r="F1191" i="15"/>
  <c r="L1191" i="15" a="1"/>
  <c r="L1191" i="15" s="1"/>
  <c r="M1191" i="15" s="1"/>
  <c r="B2808" i="15"/>
  <c r="B2812" i="15"/>
  <c r="B2816" i="15"/>
  <c r="B2819" i="15"/>
  <c r="B2821" i="15"/>
  <c r="D2808" i="15"/>
  <c r="D2812" i="15"/>
  <c r="D2816" i="15"/>
  <c r="D2819" i="15"/>
  <c r="D2821" i="15"/>
  <c r="F2808" i="15"/>
  <c r="F2812" i="15"/>
  <c r="F2816" i="15"/>
  <c r="F2819" i="15"/>
  <c r="F2821" i="15"/>
  <c r="L2808" i="15" a="1"/>
  <c r="L2808" i="15" s="1"/>
  <c r="M2808" i="15" s="1"/>
  <c r="L2812" i="15" a="1"/>
  <c r="L2812" i="15" s="1"/>
  <c r="M2812" i="15" s="1"/>
  <c r="L2816" i="15" a="1"/>
  <c r="L2816" i="15" s="1"/>
  <c r="M2816" i="15" s="1"/>
  <c r="L2819" i="15" a="1"/>
  <c r="L2819" i="15" s="1"/>
  <c r="M2819" i="15" s="1"/>
  <c r="L2821" i="15" a="1"/>
  <c r="L2821" i="15" s="1"/>
  <c r="M2821" i="15" s="1"/>
  <c r="B2785" i="15"/>
  <c r="B2790" i="15"/>
  <c r="B2795" i="15"/>
  <c r="B2800" i="15"/>
  <c r="B2804" i="15"/>
  <c r="D2785" i="15"/>
  <c r="D2790" i="15"/>
  <c r="D2795" i="15"/>
  <c r="D2800" i="15"/>
  <c r="D2804" i="15"/>
  <c r="F2785" i="15"/>
  <c r="F2790" i="15"/>
  <c r="F2795" i="15"/>
  <c r="F2800" i="15"/>
  <c r="F2804" i="15"/>
  <c r="L2785" i="15" a="1"/>
  <c r="L2785" i="15" s="1"/>
  <c r="M2785" i="15" s="1"/>
  <c r="L2790" i="15" a="1"/>
  <c r="L2790" i="15" s="1"/>
  <c r="M2790" i="15" s="1"/>
  <c r="L2795" i="15" a="1"/>
  <c r="L2795" i="15" s="1"/>
  <c r="M2795" i="15" s="1"/>
  <c r="L2800" i="15" a="1"/>
  <c r="L2800" i="15" s="1"/>
  <c r="M2800" i="15" s="1"/>
  <c r="L2804" i="15" a="1"/>
  <c r="L2804" i="15" s="1"/>
  <c r="M2804" i="15" s="1"/>
  <c r="B2739" i="15"/>
  <c r="D2739" i="15"/>
  <c r="F2739" i="15"/>
  <c r="L2739" i="15" a="1"/>
  <c r="L2739" i="15" s="1"/>
  <c r="M2739" i="15" s="1"/>
  <c r="B2349" i="15"/>
  <c r="B2401" i="15"/>
  <c r="B2449" i="15"/>
  <c r="B2494" i="15"/>
  <c r="B2534" i="15"/>
  <c r="B2573" i="15"/>
  <c r="B2611" i="15"/>
  <c r="B2646" i="15"/>
  <c r="B2675" i="15"/>
  <c r="B2699" i="15"/>
  <c r="D2349" i="15"/>
  <c r="D2401" i="15"/>
  <c r="D2449" i="15"/>
  <c r="D2494" i="15"/>
  <c r="D2534" i="15"/>
  <c r="D2573" i="15"/>
  <c r="D2611" i="15"/>
  <c r="D2646" i="15"/>
  <c r="D2675" i="15"/>
  <c r="D2699" i="15"/>
  <c r="F2349" i="15"/>
  <c r="F2401" i="15"/>
  <c r="F2449" i="15"/>
  <c r="F2494" i="15"/>
  <c r="F2534" i="15"/>
  <c r="F2573" i="15"/>
  <c r="F2611" i="15"/>
  <c r="F2646" i="15"/>
  <c r="F2675" i="15"/>
  <c r="F2699" i="15"/>
  <c r="L2349" i="15" a="1"/>
  <c r="L2349" i="15" s="1"/>
  <c r="M2349" i="15" s="1"/>
  <c r="L2401" i="15" a="1"/>
  <c r="L2401" i="15" s="1"/>
  <c r="M2401" i="15" s="1"/>
  <c r="L2449" i="15" a="1"/>
  <c r="L2449" i="15" s="1"/>
  <c r="M2449" i="15" s="1"/>
  <c r="L2494" i="15" a="1"/>
  <c r="L2494" i="15" s="1"/>
  <c r="M2494" i="15" s="1"/>
  <c r="L2534" i="15" a="1"/>
  <c r="L2534" i="15" s="1"/>
  <c r="M2534" i="15" s="1"/>
  <c r="L2573" i="15" a="1"/>
  <c r="L2573" i="15" s="1"/>
  <c r="M2573" i="15" s="1"/>
  <c r="L2611" i="15" a="1"/>
  <c r="L2611" i="15" s="1"/>
  <c r="M2611" i="15" s="1"/>
  <c r="L2646" i="15" a="1"/>
  <c r="L2646" i="15" s="1"/>
  <c r="M2646" i="15" s="1"/>
  <c r="L2675" i="15" a="1"/>
  <c r="L2675" i="15" s="1"/>
  <c r="M2675" i="15" s="1"/>
  <c r="L2699" i="15" a="1"/>
  <c r="L2699" i="15" s="1"/>
  <c r="M2699" i="15" s="1"/>
  <c r="B2288" i="15"/>
  <c r="D2288" i="15"/>
  <c r="F2288" i="15"/>
  <c r="L2288" i="15" a="1"/>
  <c r="L2288" i="15" s="1"/>
  <c r="M2288" i="15" s="1"/>
  <c r="B2222" i="15"/>
  <c r="D2222" i="15"/>
  <c r="F2222" i="15"/>
  <c r="L2222" i="15" a="1"/>
  <c r="L2222" i="15" s="1"/>
  <c r="M2222" i="15" s="1"/>
  <c r="B2074" i="15"/>
  <c r="B2148" i="15"/>
  <c r="D2074" i="15"/>
  <c r="D2148" i="15"/>
  <c r="F2074" i="15"/>
  <c r="F2148" i="15"/>
  <c r="L2074" i="15" a="1"/>
  <c r="L2074" i="15" s="1"/>
  <c r="M2074" i="15" s="1"/>
  <c r="L2148" i="15" a="1"/>
  <c r="L2148" i="15" s="1"/>
  <c r="M2148" i="15" s="1"/>
  <c r="B1303" i="15"/>
  <c r="B1409" i="15"/>
  <c r="B1506" i="15"/>
  <c r="B1591" i="15"/>
  <c r="B1677" i="15"/>
  <c r="B1754" i="15"/>
  <c r="B1838" i="15"/>
  <c r="B1919" i="15"/>
  <c r="B1998" i="15"/>
  <c r="D1303" i="15"/>
  <c r="D1409" i="15"/>
  <c r="D1506" i="15"/>
  <c r="D1591" i="15"/>
  <c r="D1677" i="15"/>
  <c r="D1754" i="15"/>
  <c r="D1838" i="15"/>
  <c r="D1919" i="15"/>
  <c r="D1998" i="15"/>
  <c r="F1303" i="15"/>
  <c r="F1409" i="15"/>
  <c r="F1506" i="15"/>
  <c r="F1591" i="15"/>
  <c r="F1677" i="15"/>
  <c r="F1754" i="15"/>
  <c r="F1838" i="15"/>
  <c r="F1919" i="15"/>
  <c r="F1998" i="15"/>
  <c r="L1303" i="15" a="1"/>
  <c r="L1303" i="15" s="1"/>
  <c r="M1303" i="15" s="1"/>
  <c r="L1409" i="15" a="1"/>
  <c r="L1409" i="15" s="1"/>
  <c r="M1409" i="15" s="1"/>
  <c r="L1506" i="15" a="1"/>
  <c r="L1506" i="15" s="1"/>
  <c r="M1506" i="15" s="1"/>
  <c r="L1591" i="15" a="1"/>
  <c r="L1591" i="15" s="1"/>
  <c r="M1591" i="15" s="1"/>
  <c r="L1677" i="15" a="1"/>
  <c r="L1677" i="15" s="1"/>
  <c r="M1677" i="15" s="1"/>
  <c r="L1754" i="15" a="1"/>
  <c r="L1754" i="15" s="1"/>
  <c r="M1754" i="15" s="1"/>
  <c r="L1838" i="15" a="1"/>
  <c r="L1838" i="15" s="1"/>
  <c r="M1838" i="15" s="1"/>
  <c r="L1919" i="15" a="1"/>
  <c r="L1919" i="15" s="1"/>
  <c r="M1919" i="15" s="1"/>
  <c r="L1998" i="15" a="1"/>
  <c r="L1998" i="15" s="1"/>
  <c r="M1998" i="15" s="1"/>
  <c r="B898" i="15"/>
  <c r="D898" i="15"/>
  <c r="F898" i="15"/>
  <c r="L898" i="15" a="1"/>
  <c r="L898" i="15" s="1"/>
  <c r="B960" i="15"/>
  <c r="B959" i="15"/>
  <c r="D959" i="15"/>
  <c r="F959" i="15"/>
  <c r="L959" i="15" a="1"/>
  <c r="L959" i="15" s="1"/>
  <c r="M959" i="15" s="1"/>
  <c r="G2474" i="15"/>
  <c r="B971" i="1"/>
  <c r="I971" i="1"/>
  <c r="J971" i="1"/>
  <c r="T971" i="1"/>
  <c r="I1179" i="15"/>
  <c r="B944" i="15"/>
  <c r="D944" i="15"/>
  <c r="F944" i="15"/>
  <c r="L944" i="15" a="1"/>
  <c r="L944" i="15" s="1"/>
  <c r="M944" i="15" s="1"/>
  <c r="B938" i="15"/>
  <c r="D938" i="15"/>
  <c r="F938" i="15"/>
  <c r="L938" i="15" a="1"/>
  <c r="L938" i="15" s="1"/>
  <c r="M938" i="15" s="1"/>
  <c r="B970" i="1"/>
  <c r="I970" i="1"/>
  <c r="J970" i="1"/>
  <c r="T970" i="1"/>
  <c r="H958" i="1"/>
  <c r="G958" i="1"/>
  <c r="I43" i="30"/>
  <c r="B966" i="1"/>
  <c r="B967" i="1"/>
  <c r="B968" i="1"/>
  <c r="B969" i="1"/>
  <c r="J966" i="1"/>
  <c r="J967" i="1"/>
  <c r="J968" i="1"/>
  <c r="J969" i="1"/>
  <c r="T966" i="1"/>
  <c r="T967" i="1"/>
  <c r="T968" i="1"/>
  <c r="T969" i="1"/>
  <c r="B957" i="1"/>
  <c r="B958" i="1"/>
  <c r="B959" i="1"/>
  <c r="B960" i="1"/>
  <c r="B961" i="1"/>
  <c r="B962" i="1"/>
  <c r="B963" i="1"/>
  <c r="B964" i="1"/>
  <c r="B965" i="1"/>
  <c r="J957" i="1"/>
  <c r="J959" i="1"/>
  <c r="J960" i="1"/>
  <c r="J961" i="1"/>
  <c r="J962" i="1"/>
  <c r="J963" i="1"/>
  <c r="J964" i="1"/>
  <c r="J965" i="1"/>
  <c r="O958" i="1"/>
  <c r="T957" i="1"/>
  <c r="T958" i="1"/>
  <c r="T959" i="1"/>
  <c r="T960" i="1"/>
  <c r="T961" i="1"/>
  <c r="T962" i="1"/>
  <c r="T963" i="1"/>
  <c r="T964" i="1"/>
  <c r="T965" i="1"/>
  <c r="M898" i="15" l="1"/>
  <c r="X194" i="3"/>
  <c r="E2693" i="15" s="1"/>
  <c r="C52" i="30"/>
  <c r="G78" i="30"/>
  <c r="T193" i="3"/>
  <c r="D17" i="13"/>
  <c r="D89" i="30"/>
  <c r="D72" i="30"/>
  <c r="G52" i="30"/>
  <c r="E980" i="15"/>
  <c r="E2142" i="15"/>
  <c r="E1829" i="15"/>
  <c r="E2399" i="15"/>
  <c r="E2286" i="15"/>
  <c r="E1746" i="15"/>
  <c r="E2347" i="15"/>
  <c r="E1990" i="15"/>
  <c r="E2068" i="15"/>
  <c r="E2217" i="15"/>
  <c r="E1910" i="15"/>
  <c r="K194" i="3"/>
  <c r="H193" i="3"/>
  <c r="J973" i="1"/>
  <c r="I193" i="3"/>
  <c r="I973" i="1"/>
  <c r="J958" i="1"/>
  <c r="B953" i="1"/>
  <c r="B954" i="1"/>
  <c r="B955" i="1"/>
  <c r="B956" i="1"/>
  <c r="J954" i="1"/>
  <c r="J955" i="1"/>
  <c r="J956" i="1"/>
  <c r="T954" i="1"/>
  <c r="T955" i="1"/>
  <c r="T956" i="1"/>
  <c r="F1207" i="25"/>
  <c r="F1209" i="25"/>
  <c r="G123" i="30" s="1"/>
  <c r="F1214" i="25"/>
  <c r="G129" i="30" s="1"/>
  <c r="F1213" i="25"/>
  <c r="F1223" i="25"/>
  <c r="F1219" i="25"/>
  <c r="F1220" i="25"/>
  <c r="G122" i="30" s="1"/>
  <c r="F1221" i="25"/>
  <c r="F1225" i="25"/>
  <c r="F1226" i="25"/>
  <c r="F1224" i="25"/>
  <c r="F1227" i="25"/>
  <c r="F1228" i="25"/>
  <c r="F1230" i="25"/>
  <c r="F1231" i="25"/>
  <c r="Q928" i="25"/>
  <c r="Q903" i="25"/>
  <c r="Q836" i="25"/>
  <c r="Q813" i="25"/>
  <c r="Q724" i="25"/>
  <c r="Q639" i="25"/>
  <c r="Q577" i="25"/>
  <c r="Q498" i="25"/>
  <c r="Q361" i="25"/>
  <c r="Q347" i="25"/>
  <c r="Q316" i="25"/>
  <c r="Q314" i="25"/>
  <c r="Q311" i="25"/>
  <c r="F314" i="25"/>
  <c r="F311" i="25"/>
  <c r="F316" i="25"/>
  <c r="F498" i="25"/>
  <c r="F361" i="25"/>
  <c r="F577" i="25"/>
  <c r="F347" i="25"/>
  <c r="F813" i="25"/>
  <c r="F639" i="25"/>
  <c r="F836" i="25"/>
  <c r="F724" i="25"/>
  <c r="F928" i="25"/>
  <c r="F903" i="25"/>
  <c r="F1208" i="25"/>
  <c r="Q1104" i="25"/>
  <c r="F1104" i="25"/>
  <c r="B952" i="1"/>
  <c r="J952" i="1"/>
  <c r="J953" i="1"/>
  <c r="T952" i="1"/>
  <c r="T953" i="1"/>
  <c r="B951" i="1"/>
  <c r="I951" i="1"/>
  <c r="J951" i="1"/>
  <c r="T951" i="1"/>
  <c r="B945" i="1"/>
  <c r="B946" i="1"/>
  <c r="B947" i="1"/>
  <c r="B948" i="1"/>
  <c r="B949" i="1"/>
  <c r="B950" i="1"/>
  <c r="J945" i="1"/>
  <c r="J946" i="1"/>
  <c r="J947" i="1"/>
  <c r="J948" i="1"/>
  <c r="J949" i="1"/>
  <c r="J950" i="1"/>
  <c r="T945" i="1"/>
  <c r="T946" i="1"/>
  <c r="T947" i="1"/>
  <c r="T948" i="1"/>
  <c r="T949" i="1"/>
  <c r="T950" i="1"/>
  <c r="T944" i="1"/>
  <c r="J944" i="1"/>
  <c r="I944" i="1"/>
  <c r="B944" i="1"/>
  <c r="T943" i="1"/>
  <c r="J943" i="1"/>
  <c r="I943" i="1"/>
  <c r="B943" i="1"/>
  <c r="L926" i="15" a="1"/>
  <c r="L926" i="15" s="1"/>
  <c r="M926" i="15" s="1"/>
  <c r="F926" i="15"/>
  <c r="D926" i="15"/>
  <c r="B926" i="15"/>
  <c r="T942" i="1"/>
  <c r="J942" i="1"/>
  <c r="I942" i="1"/>
  <c r="B942" i="1"/>
  <c r="G2777" i="15"/>
  <c r="G2782" i="15"/>
  <c r="G2787" i="15"/>
  <c r="G2792" i="15"/>
  <c r="G2797" i="15"/>
  <c r="G2801" i="15"/>
  <c r="G2805" i="15"/>
  <c r="G2809" i="15"/>
  <c r="G2813" i="15"/>
  <c r="G2817" i="15"/>
  <c r="G2820" i="15"/>
  <c r="G2772" i="15"/>
  <c r="L2820" i="15" a="1"/>
  <c r="L2820" i="15" s="1"/>
  <c r="M2820" i="15" s="1"/>
  <c r="L2817" i="15" a="1"/>
  <c r="L2817" i="15" s="1"/>
  <c r="M2817" i="15" s="1"/>
  <c r="F2817" i="15"/>
  <c r="F2820" i="15"/>
  <c r="D2817" i="15"/>
  <c r="D2820" i="15"/>
  <c r="B2817" i="15"/>
  <c r="B2820" i="15"/>
  <c r="L2813" i="15" a="1"/>
  <c r="L2813" i="15" s="1"/>
  <c r="M2813" i="15" s="1"/>
  <c r="L2809" i="15" a="1"/>
  <c r="L2809" i="15" s="1"/>
  <c r="M2809" i="15" s="1"/>
  <c r="F2809" i="15"/>
  <c r="F2813" i="15"/>
  <c r="D2809" i="15"/>
  <c r="D2813" i="15"/>
  <c r="B2809" i="15"/>
  <c r="B2813" i="15"/>
  <c r="L2805" i="15" a="1"/>
  <c r="L2805" i="15" s="1"/>
  <c r="M2805" i="15" s="1"/>
  <c r="L2801" i="15" a="1"/>
  <c r="L2801" i="15" s="1"/>
  <c r="M2801" i="15" s="1"/>
  <c r="L2797" i="15" a="1"/>
  <c r="L2797" i="15" s="1"/>
  <c r="M2797" i="15" s="1"/>
  <c r="L2792" i="15" a="1"/>
  <c r="L2792" i="15" s="1"/>
  <c r="M2792" i="15" s="1"/>
  <c r="L2787" i="15" a="1"/>
  <c r="L2787" i="15" s="1"/>
  <c r="M2787" i="15" s="1"/>
  <c r="L2782" i="15" a="1"/>
  <c r="L2782" i="15" s="1"/>
  <c r="M2782" i="15" s="1"/>
  <c r="L2777" i="15" a="1"/>
  <c r="L2777" i="15" s="1"/>
  <c r="M2777" i="15" s="1"/>
  <c r="L2772" i="15" a="1"/>
  <c r="L2772" i="15" s="1"/>
  <c r="M2772" i="15" s="1"/>
  <c r="F2772" i="15"/>
  <c r="F2777" i="15"/>
  <c r="F2782" i="15"/>
  <c r="F2787" i="15"/>
  <c r="F2792" i="15"/>
  <c r="F2797" i="15"/>
  <c r="F2801" i="15"/>
  <c r="F2805" i="15"/>
  <c r="D2772" i="15"/>
  <c r="D2777" i="15"/>
  <c r="D2782" i="15"/>
  <c r="D2787" i="15"/>
  <c r="D2792" i="15"/>
  <c r="D2797" i="15"/>
  <c r="D2801" i="15"/>
  <c r="D2805" i="15"/>
  <c r="B2772" i="15"/>
  <c r="B2777" i="15"/>
  <c r="B2782" i="15"/>
  <c r="B2787" i="15"/>
  <c r="B2792" i="15"/>
  <c r="B2797" i="15"/>
  <c r="B2801" i="15"/>
  <c r="B2805" i="15"/>
  <c r="L2870" i="15" a="1"/>
  <c r="L2870" i="15" s="1"/>
  <c r="M2870" i="15" s="1"/>
  <c r="F2870" i="15"/>
  <c r="D2870" i="15"/>
  <c r="B2870" i="15"/>
  <c r="L2615" i="15" a="1"/>
  <c r="L2615" i="15" s="1"/>
  <c r="M2615" i="15" s="1"/>
  <c r="F2615" i="15"/>
  <c r="D2615" i="15"/>
  <c r="B2615" i="15"/>
  <c r="L2577" i="15" a="1"/>
  <c r="L2577" i="15" s="1"/>
  <c r="M2577" i="15" s="1"/>
  <c r="L2538" i="15" a="1"/>
  <c r="L2538" i="15" s="1"/>
  <c r="M2538" i="15" s="1"/>
  <c r="L2499" i="15" a="1"/>
  <c r="L2499" i="15" s="1"/>
  <c r="M2499" i="15" s="1"/>
  <c r="L2455" i="15" a="1"/>
  <c r="L2455" i="15" s="1"/>
  <c r="M2455" i="15" s="1"/>
  <c r="L2408" i="15" a="1"/>
  <c r="L2408" i="15" s="1"/>
  <c r="M2408" i="15" s="1"/>
  <c r="F2408" i="15"/>
  <c r="F2455" i="15"/>
  <c r="F2499" i="15"/>
  <c r="F2538" i="15"/>
  <c r="F2577" i="15"/>
  <c r="D2408" i="15"/>
  <c r="D2455" i="15"/>
  <c r="D2499" i="15"/>
  <c r="D2538" i="15"/>
  <c r="D2577" i="15"/>
  <c r="B2408" i="15"/>
  <c r="B2455" i="15"/>
  <c r="B2499" i="15"/>
  <c r="B2538" i="15"/>
  <c r="B2577" i="15"/>
  <c r="L2357" i="15" a="1"/>
  <c r="L2357" i="15" s="1"/>
  <c r="M2357" i="15" s="1"/>
  <c r="L2298" i="15" a="1"/>
  <c r="L2298" i="15" s="1"/>
  <c r="M2298" i="15" s="1"/>
  <c r="L2236" i="15" a="1"/>
  <c r="L2236" i="15" s="1"/>
  <c r="M2236" i="15" s="1"/>
  <c r="F2236" i="15"/>
  <c r="F2298" i="15"/>
  <c r="F2357" i="15"/>
  <c r="D2236" i="15"/>
  <c r="D2298" i="15"/>
  <c r="D2357" i="15"/>
  <c r="B2236" i="15"/>
  <c r="B2298" i="15"/>
  <c r="B2357" i="15"/>
  <c r="L2163" i="15" a="1"/>
  <c r="L2163" i="15" s="1"/>
  <c r="M2163" i="15" s="1"/>
  <c r="L2089" i="15" a="1"/>
  <c r="L2089" i="15" s="1"/>
  <c r="M2089" i="15" s="1"/>
  <c r="L2013" i="15" a="1"/>
  <c r="L2013" i="15" s="1"/>
  <c r="M2013" i="15" s="1"/>
  <c r="L1937" i="15" a="1"/>
  <c r="L1937" i="15" s="1"/>
  <c r="M1937" i="15" s="1"/>
  <c r="L1859" i="15" a="1"/>
  <c r="L1859" i="15" s="1"/>
  <c r="M1859" i="15" s="1"/>
  <c r="L1779" i="15" a="1"/>
  <c r="L1779" i="15" s="1"/>
  <c r="M1779" i="15" s="1"/>
  <c r="L1704" i="15" a="1"/>
  <c r="L1704" i="15" s="1"/>
  <c r="M1704" i="15" s="1"/>
  <c r="L1626" i="15" a="1"/>
  <c r="L1626" i="15" s="1"/>
  <c r="M1626" i="15" s="1"/>
  <c r="L1543" i="15" a="1"/>
  <c r="L1543" i="15" s="1"/>
  <c r="M1543" i="15" s="1"/>
  <c r="L1447" i="15" a="1"/>
  <c r="L1447" i="15" s="1"/>
  <c r="M1447" i="15" s="1"/>
  <c r="L1348" i="15" a="1"/>
  <c r="L1348" i="15" s="1"/>
  <c r="M1348" i="15" s="1"/>
  <c r="L1234" i="15" a="1"/>
  <c r="L1234" i="15" s="1"/>
  <c r="M1234" i="15" s="1"/>
  <c r="L1126" i="15" a="1"/>
  <c r="L1126" i="15" s="1"/>
  <c r="M1126" i="15" s="1"/>
  <c r="L1036" i="15" a="1"/>
  <c r="L1036" i="15" s="1"/>
  <c r="M1036" i="15" s="1"/>
  <c r="L935" i="15" a="1"/>
  <c r="L935" i="15" s="1"/>
  <c r="M935" i="15" s="1"/>
  <c r="F935" i="15"/>
  <c r="F1036" i="15"/>
  <c r="F1126" i="15"/>
  <c r="F1234" i="15"/>
  <c r="F1348" i="15"/>
  <c r="F1447" i="15"/>
  <c r="F1543" i="15"/>
  <c r="F1626" i="15"/>
  <c r="F1704" i="15"/>
  <c r="F1779" i="15"/>
  <c r="F1859" i="15"/>
  <c r="F1937" i="15"/>
  <c r="F2013" i="15"/>
  <c r="F2089" i="15"/>
  <c r="F2163" i="15"/>
  <c r="D935" i="15"/>
  <c r="D1036" i="15"/>
  <c r="D1126" i="15"/>
  <c r="D1234" i="15"/>
  <c r="D1348" i="15"/>
  <c r="D1447" i="15"/>
  <c r="D1543" i="15"/>
  <c r="D1626" i="15"/>
  <c r="D1704" i="15"/>
  <c r="D1779" i="15"/>
  <c r="D1859" i="15"/>
  <c r="D1937" i="15"/>
  <c r="D2013" i="15"/>
  <c r="D2089" i="15"/>
  <c r="D2163" i="15"/>
  <c r="B935" i="15"/>
  <c r="B1036" i="15"/>
  <c r="B1126" i="15"/>
  <c r="B1234" i="15"/>
  <c r="B1348" i="15"/>
  <c r="B1447" i="15"/>
  <c r="B1543" i="15"/>
  <c r="B1626" i="15"/>
  <c r="B1704" i="15"/>
  <c r="B1779" i="15"/>
  <c r="B1859" i="15"/>
  <c r="B1937" i="15"/>
  <c r="B2013" i="15"/>
  <c r="B2089" i="15"/>
  <c r="B2163" i="15"/>
  <c r="L923" i="15" a="1"/>
  <c r="L923" i="15" s="1"/>
  <c r="F923" i="15"/>
  <c r="D923" i="15"/>
  <c r="B923" i="15"/>
  <c r="U192" i="3"/>
  <c r="V192" i="3"/>
  <c r="Q192" i="3"/>
  <c r="P192" i="3"/>
  <c r="J192" i="3"/>
  <c r="G192" i="3"/>
  <c r="R1112" i="1" s="1"/>
  <c r="S192" i="3"/>
  <c r="T941" i="1"/>
  <c r="J941" i="1"/>
  <c r="N192" i="3" s="1"/>
  <c r="I941" i="1"/>
  <c r="B941" i="1"/>
  <c r="B945" i="15"/>
  <c r="D945" i="15"/>
  <c r="F945" i="15"/>
  <c r="L945" i="15" a="1"/>
  <c r="L945" i="15" s="1"/>
  <c r="M945" i="15" s="1"/>
  <c r="B946" i="15"/>
  <c r="D946" i="15"/>
  <c r="F946" i="15"/>
  <c r="L946" i="15" a="1"/>
  <c r="L946" i="15" s="1"/>
  <c r="M946" i="15" s="1"/>
  <c r="L143" i="15" a="1"/>
  <c r="L143" i="15" s="1"/>
  <c r="M143" i="15" s="1"/>
  <c r="F143" i="15"/>
  <c r="D143" i="15"/>
  <c r="B143" i="15"/>
  <c r="T940" i="1"/>
  <c r="J940" i="1"/>
  <c r="I940" i="1"/>
  <c r="B940" i="1"/>
  <c r="K21" i="28"/>
  <c r="R960" i="1" l="1"/>
  <c r="R1023" i="1"/>
  <c r="R941" i="1"/>
  <c r="I129" i="30"/>
  <c r="H129" i="30"/>
  <c r="G121" i="30"/>
  <c r="G120" i="30"/>
  <c r="G119" i="30"/>
  <c r="G116" i="30"/>
  <c r="C69" i="30"/>
  <c r="G69" i="30" s="1"/>
  <c r="E962" i="15"/>
  <c r="E1682" i="15"/>
  <c r="E1922" i="15"/>
  <c r="E1596" i="15"/>
  <c r="E2664" i="15"/>
  <c r="E2000" i="15"/>
  <c r="E963" i="15"/>
  <c r="E1308" i="15"/>
  <c r="E1414" i="15"/>
  <c r="E2760" i="15"/>
  <c r="E1088" i="15"/>
  <c r="E1841" i="15"/>
  <c r="E2224" i="15"/>
  <c r="E2716" i="15"/>
  <c r="E2633" i="15"/>
  <c r="E2734" i="15"/>
  <c r="E2878" i="15"/>
  <c r="E1198" i="15"/>
  <c r="E2150" i="15"/>
  <c r="E2557" i="15"/>
  <c r="E2076" i="15"/>
  <c r="E2596" i="15"/>
  <c r="E1511" i="15"/>
  <c r="E2767" i="15"/>
  <c r="E1759" i="15"/>
  <c r="E2751" i="15"/>
  <c r="T192" i="3"/>
  <c r="C71" i="30"/>
  <c r="C70" i="30"/>
  <c r="G70" i="30" s="1"/>
  <c r="S17" i="13"/>
  <c r="C73" i="30"/>
  <c r="G73" i="30" s="1"/>
  <c r="C76" i="30"/>
  <c r="G76" i="30" s="1"/>
  <c r="C83" i="30"/>
  <c r="G83" i="30" s="1"/>
  <c r="X17" i="13"/>
  <c r="C77" i="30"/>
  <c r="G77" i="30" s="1"/>
  <c r="C74" i="30"/>
  <c r="G74" i="30" s="1"/>
  <c r="C82" i="30"/>
  <c r="G82" i="30" s="1"/>
  <c r="C75" i="30"/>
  <c r="G75" i="30" s="1"/>
  <c r="H52" i="30"/>
  <c r="I52" i="30"/>
  <c r="F27" i="30"/>
  <c r="F25" i="30"/>
  <c r="R192" i="3"/>
  <c r="K193" i="3"/>
  <c r="H192" i="3"/>
  <c r="I192" i="3"/>
  <c r="M923" i="15"/>
  <c r="X192" i="3" s="1"/>
  <c r="Q991" i="25"/>
  <c r="Q951" i="25"/>
  <c r="F991" i="25"/>
  <c r="F951" i="25"/>
  <c r="G2711" i="15"/>
  <c r="G2730" i="15"/>
  <c r="G2747" i="15"/>
  <c r="G2758" i="15"/>
  <c r="G2765" i="15"/>
  <c r="G2688" i="15"/>
  <c r="L2765" i="15" a="1"/>
  <c r="L2765" i="15" s="1"/>
  <c r="M2765" i="15" s="1"/>
  <c r="F2765" i="15"/>
  <c r="D2765" i="15"/>
  <c r="B2765" i="15"/>
  <c r="L2758" i="15" a="1"/>
  <c r="L2758" i="15" s="1"/>
  <c r="M2758" i="15" s="1"/>
  <c r="F2758" i="15"/>
  <c r="D2758" i="15"/>
  <c r="B2758" i="15"/>
  <c r="L2747" i="15" a="1"/>
  <c r="L2747" i="15" s="1"/>
  <c r="M2747" i="15" s="1"/>
  <c r="F2747" i="15"/>
  <c r="D2747" i="15"/>
  <c r="B2747" i="15"/>
  <c r="L2730" i="15" a="1"/>
  <c r="L2730" i="15" s="1"/>
  <c r="M2730" i="15" s="1"/>
  <c r="F2730" i="15"/>
  <c r="D2730" i="15"/>
  <c r="B2730" i="15"/>
  <c r="L2711" i="15" a="1"/>
  <c r="L2711" i="15" s="1"/>
  <c r="M2711" i="15" s="1"/>
  <c r="F2711" i="15"/>
  <c r="D2711" i="15"/>
  <c r="B2711" i="15"/>
  <c r="L2688" i="15" a="1"/>
  <c r="L2688" i="15" s="1"/>
  <c r="M2688" i="15" s="1"/>
  <c r="F2688" i="15"/>
  <c r="D2688" i="15"/>
  <c r="B2688" i="15"/>
  <c r="L2616" i="15" a="1"/>
  <c r="L2616" i="15" s="1"/>
  <c r="M2616" i="15" s="1"/>
  <c r="F2616" i="15"/>
  <c r="D2616" i="15"/>
  <c r="B2616" i="15"/>
  <c r="L2578" i="15" a="1"/>
  <c r="L2578" i="15" s="1"/>
  <c r="M2578" i="15" s="1"/>
  <c r="F2578" i="15"/>
  <c r="D2578" i="15"/>
  <c r="B2578" i="15"/>
  <c r="L2539" i="15" a="1"/>
  <c r="L2539" i="15" s="1"/>
  <c r="M2539" i="15" s="1"/>
  <c r="F2539" i="15"/>
  <c r="D2539" i="15"/>
  <c r="B2539" i="15"/>
  <c r="L2500" i="15" a="1"/>
  <c r="L2500" i="15" s="1"/>
  <c r="M2500" i="15" s="1"/>
  <c r="F2500" i="15"/>
  <c r="D2500" i="15"/>
  <c r="B2500" i="15"/>
  <c r="L2457" i="15" a="1"/>
  <c r="L2457" i="15" s="1"/>
  <c r="M2457" i="15" s="1"/>
  <c r="F2457" i="15"/>
  <c r="D2457" i="15"/>
  <c r="B2457" i="15"/>
  <c r="L2410" i="15" a="1"/>
  <c r="L2410" i="15" s="1"/>
  <c r="M2410" i="15" s="1"/>
  <c r="F2410" i="15"/>
  <c r="D2410" i="15"/>
  <c r="B2410" i="15"/>
  <c r="L2359" i="15" a="1"/>
  <c r="L2359" i="15" s="1"/>
  <c r="M2359" i="15" s="1"/>
  <c r="F2359" i="15"/>
  <c r="D2359" i="15"/>
  <c r="B2359" i="15"/>
  <c r="L2301" i="15" a="1"/>
  <c r="L2301" i="15" s="1"/>
  <c r="M2301" i="15" s="1"/>
  <c r="F2301" i="15"/>
  <c r="D2301" i="15"/>
  <c r="B2301" i="15"/>
  <c r="L1723" i="15" a="1"/>
  <c r="L1723" i="15" s="1"/>
  <c r="M1723" i="15" s="1"/>
  <c r="F1723" i="15"/>
  <c r="D1723" i="15"/>
  <c r="B1723" i="15"/>
  <c r="L1799" i="15" a="1"/>
  <c r="L1799" i="15" s="1"/>
  <c r="M1799" i="15" s="1"/>
  <c r="F1799" i="15"/>
  <c r="D1799" i="15"/>
  <c r="B1799" i="15"/>
  <c r="L1878" i="15" a="1"/>
  <c r="L1878" i="15" s="1"/>
  <c r="M1878" i="15" s="1"/>
  <c r="F1878" i="15"/>
  <c r="D1878" i="15"/>
  <c r="B1878" i="15"/>
  <c r="L1953" i="15" a="1"/>
  <c r="L1953" i="15" s="1"/>
  <c r="M1953" i="15" s="1"/>
  <c r="F1953" i="15"/>
  <c r="D1953" i="15"/>
  <c r="B1953" i="15"/>
  <c r="L2242" i="15" a="1"/>
  <c r="L2242" i="15" s="1"/>
  <c r="M2242" i="15" s="1"/>
  <c r="L2170" i="15" a="1"/>
  <c r="L2170" i="15" s="1"/>
  <c r="M2170" i="15" s="1"/>
  <c r="L2098" i="15" a="1"/>
  <c r="L2098" i="15" s="1"/>
  <c r="M2098" i="15" s="1"/>
  <c r="L2025" i="15" a="1"/>
  <c r="L2025" i="15" s="1"/>
  <c r="M2025" i="15" s="1"/>
  <c r="L1648" i="15" a="1"/>
  <c r="L1648" i="15" s="1"/>
  <c r="M1648" i="15" s="1"/>
  <c r="L1569" i="15" a="1"/>
  <c r="L1569" i="15" s="1"/>
  <c r="M1569" i="15" s="1"/>
  <c r="L1479" i="15" a="1"/>
  <c r="L1479" i="15" s="1"/>
  <c r="M1479" i="15" s="1"/>
  <c r="L1381" i="15" a="1"/>
  <c r="L1381" i="15" s="1"/>
  <c r="M1381" i="15" s="1"/>
  <c r="L1271" i="15" a="1"/>
  <c r="L1271" i="15" s="1"/>
  <c r="M1271" i="15" s="1"/>
  <c r="L1161" i="15" a="1"/>
  <c r="L1161" i="15" s="1"/>
  <c r="M1161" i="15" s="1"/>
  <c r="L1051" i="15" a="1"/>
  <c r="L1051" i="15" s="1"/>
  <c r="M1051" i="15" s="1"/>
  <c r="F1051" i="15"/>
  <c r="F1161" i="15"/>
  <c r="F1271" i="15"/>
  <c r="F1381" i="15"/>
  <c r="F1479" i="15"/>
  <c r="F1569" i="15"/>
  <c r="F1648" i="15"/>
  <c r="F2025" i="15"/>
  <c r="F2098" i="15"/>
  <c r="F2170" i="15"/>
  <c r="F2242" i="15"/>
  <c r="D1051" i="15"/>
  <c r="D1161" i="15"/>
  <c r="D1271" i="15"/>
  <c r="D1381" i="15"/>
  <c r="D1479" i="15"/>
  <c r="D1569" i="15"/>
  <c r="D1648" i="15"/>
  <c r="D2025" i="15"/>
  <c r="D2098" i="15"/>
  <c r="D2170" i="15"/>
  <c r="D2242" i="15"/>
  <c r="B1051" i="15"/>
  <c r="B1161" i="15"/>
  <c r="B1271" i="15"/>
  <c r="B1381" i="15"/>
  <c r="B1479" i="15"/>
  <c r="B1569" i="15"/>
  <c r="B1648" i="15"/>
  <c r="B2025" i="15"/>
  <c r="B2098" i="15"/>
  <c r="B2170" i="15"/>
  <c r="B2242" i="15"/>
  <c r="L921" i="15" a="1"/>
  <c r="L921" i="15" s="1"/>
  <c r="M921" i="15" s="1"/>
  <c r="F921" i="15"/>
  <c r="D921" i="15"/>
  <c r="B921" i="15"/>
  <c r="H939" i="1"/>
  <c r="G939" i="1"/>
  <c r="F6" i="30" s="1"/>
  <c r="T939" i="1"/>
  <c r="O939" i="1"/>
  <c r="B939" i="1"/>
  <c r="T938" i="1"/>
  <c r="O938" i="1"/>
  <c r="J938" i="1"/>
  <c r="I938" i="1"/>
  <c r="B938" i="1"/>
  <c r="B2297" i="15"/>
  <c r="D2297" i="15"/>
  <c r="F2297" i="15"/>
  <c r="L2297" i="15" a="1"/>
  <c r="L2297" i="15" s="1"/>
  <c r="M2297" i="15" s="1"/>
  <c r="B2356" i="15"/>
  <c r="D2356" i="15"/>
  <c r="F2356" i="15"/>
  <c r="L2356" i="15" a="1"/>
  <c r="L2356" i="15" s="1"/>
  <c r="M2356" i="15" s="1"/>
  <c r="E6" i="30"/>
  <c r="G2033" i="15"/>
  <c r="G2104" i="15"/>
  <c r="G2175" i="15"/>
  <c r="G2247" i="15"/>
  <c r="G2306" i="15"/>
  <c r="G2364" i="15"/>
  <c r="G2415" i="15"/>
  <c r="G2462" i="15"/>
  <c r="G2505" i="15"/>
  <c r="G2542" i="15"/>
  <c r="G1962" i="15"/>
  <c r="L2542" i="15" a="1"/>
  <c r="L2542" i="15" s="1"/>
  <c r="M2542" i="15" s="1"/>
  <c r="L2505" i="15" a="1"/>
  <c r="L2505" i="15" s="1"/>
  <c r="M2505" i="15" s="1"/>
  <c r="L2462" i="15" a="1"/>
  <c r="L2462" i="15" s="1"/>
  <c r="M2462" i="15" s="1"/>
  <c r="F2462" i="15"/>
  <c r="F2505" i="15"/>
  <c r="F2542" i="15"/>
  <c r="D2462" i="15"/>
  <c r="D2505" i="15"/>
  <c r="D2542" i="15"/>
  <c r="B2462" i="15"/>
  <c r="B2505" i="15"/>
  <c r="B2542" i="15"/>
  <c r="L2415" i="15" a="1"/>
  <c r="L2415" i="15" s="1"/>
  <c r="M2415" i="15" s="1"/>
  <c r="L2364" i="15" a="1"/>
  <c r="L2364" i="15" s="1"/>
  <c r="M2364" i="15" s="1"/>
  <c r="L2306" i="15" a="1"/>
  <c r="L2306" i="15" s="1"/>
  <c r="M2306" i="15" s="1"/>
  <c r="L2247" i="15" a="1"/>
  <c r="L2247" i="15" s="1"/>
  <c r="M2247" i="15" s="1"/>
  <c r="L2175" i="15" a="1"/>
  <c r="L2175" i="15" s="1"/>
  <c r="M2175" i="15" s="1"/>
  <c r="L2104" i="15" a="1"/>
  <c r="L2104" i="15" s="1"/>
  <c r="M2104" i="15" s="1"/>
  <c r="L2033" i="15" a="1"/>
  <c r="L2033" i="15" s="1"/>
  <c r="M2033" i="15" s="1"/>
  <c r="L1962" i="15" a="1"/>
  <c r="L1962" i="15" s="1"/>
  <c r="M1962" i="15" s="1"/>
  <c r="L2848" i="15" a="1"/>
  <c r="L2848" i="15" s="1"/>
  <c r="M2848" i="15" s="1"/>
  <c r="F2848" i="15"/>
  <c r="F1962" i="15"/>
  <c r="F2033" i="15"/>
  <c r="F2104" i="15"/>
  <c r="F2175" i="15"/>
  <c r="F2247" i="15"/>
  <c r="F2306" i="15"/>
  <c r="F2364" i="15"/>
  <c r="F2415" i="15"/>
  <c r="D2848" i="15"/>
  <c r="D1962" i="15"/>
  <c r="D2033" i="15"/>
  <c r="D2104" i="15"/>
  <c r="D2175" i="15"/>
  <c r="D2247" i="15"/>
  <c r="D2306" i="15"/>
  <c r="D2364" i="15"/>
  <c r="D2415" i="15"/>
  <c r="B2848" i="15"/>
  <c r="B1962" i="15"/>
  <c r="B2033" i="15"/>
  <c r="B2104" i="15"/>
  <c r="B2175" i="15"/>
  <c r="B2247" i="15"/>
  <c r="B2306" i="15"/>
  <c r="B2364" i="15"/>
  <c r="B2415" i="15"/>
  <c r="L1673" i="15" a="1"/>
  <c r="L1673" i="15" s="1"/>
  <c r="M1673" i="15" s="1"/>
  <c r="L1587" i="15" a="1"/>
  <c r="L1587" i="15" s="1"/>
  <c r="M1587" i="15" s="1"/>
  <c r="L1501" i="15" a="1"/>
  <c r="L1501" i="15" s="1"/>
  <c r="M1501" i="15" s="1"/>
  <c r="L1404" i="15" a="1"/>
  <c r="L1404" i="15" s="1"/>
  <c r="M1404" i="15" s="1"/>
  <c r="L1298" i="15" a="1"/>
  <c r="L1298" i="15" s="1"/>
  <c r="M1298" i="15" s="1"/>
  <c r="L1185" i="15" a="1"/>
  <c r="L1185" i="15" s="1"/>
  <c r="M1185" i="15" s="1"/>
  <c r="L1077" i="15" a="1"/>
  <c r="L1077" i="15" s="1"/>
  <c r="M1077" i="15" s="1"/>
  <c r="L950" i="15" a="1"/>
  <c r="L950" i="15" s="1"/>
  <c r="M950" i="15" s="1"/>
  <c r="F950" i="15"/>
  <c r="F1077" i="15"/>
  <c r="F1185" i="15"/>
  <c r="F1298" i="15"/>
  <c r="F1404" i="15"/>
  <c r="F1501" i="15"/>
  <c r="F1587" i="15"/>
  <c r="F1673" i="15"/>
  <c r="D950" i="15"/>
  <c r="D1077" i="15"/>
  <c r="D1185" i="15"/>
  <c r="D1298" i="15"/>
  <c r="D1404" i="15"/>
  <c r="D1501" i="15"/>
  <c r="D1587" i="15"/>
  <c r="D1673" i="15"/>
  <c r="B950" i="15"/>
  <c r="B1077" i="15"/>
  <c r="B1185" i="15"/>
  <c r="B1298" i="15"/>
  <c r="B1404" i="15"/>
  <c r="B1501" i="15"/>
  <c r="B1587" i="15"/>
  <c r="B1673" i="15"/>
  <c r="L910" i="15" a="1"/>
  <c r="L910" i="15" s="1"/>
  <c r="F910" i="15"/>
  <c r="D910" i="15"/>
  <c r="B910" i="15"/>
  <c r="U190" i="3"/>
  <c r="U191" i="3"/>
  <c r="V191" i="3"/>
  <c r="Q191" i="3"/>
  <c r="P191" i="3"/>
  <c r="J191" i="3"/>
  <c r="G191" i="3"/>
  <c r="R1104" i="1" s="1"/>
  <c r="S191" i="3"/>
  <c r="T931" i="1"/>
  <c r="T932" i="1"/>
  <c r="T933" i="1"/>
  <c r="T934" i="1"/>
  <c r="T935" i="1"/>
  <c r="T936" i="1"/>
  <c r="T937" i="1"/>
  <c r="O931" i="1"/>
  <c r="O932" i="1"/>
  <c r="O933" i="1"/>
  <c r="O934" i="1"/>
  <c r="O935" i="1"/>
  <c r="O936" i="1"/>
  <c r="O937" i="1"/>
  <c r="J931" i="1"/>
  <c r="N191" i="3" s="1"/>
  <c r="J932" i="1"/>
  <c r="J933" i="1"/>
  <c r="J934" i="1"/>
  <c r="J935" i="1"/>
  <c r="J936" i="1"/>
  <c r="J937" i="1"/>
  <c r="I931" i="1"/>
  <c r="I932" i="1"/>
  <c r="I933" i="1"/>
  <c r="I934" i="1"/>
  <c r="I935" i="1"/>
  <c r="I936" i="1"/>
  <c r="I937" i="1"/>
  <c r="B931" i="1"/>
  <c r="B932" i="1"/>
  <c r="B933" i="1"/>
  <c r="B934" i="1"/>
  <c r="B935" i="1"/>
  <c r="B936" i="1"/>
  <c r="B937" i="1"/>
  <c r="B930" i="1"/>
  <c r="I930" i="1"/>
  <c r="J930" i="1"/>
  <c r="O930" i="1"/>
  <c r="T930" i="1"/>
  <c r="E16" i="13"/>
  <c r="N998" i="15"/>
  <c r="I998" i="15" s="1"/>
  <c r="B929" i="1"/>
  <c r="I929" i="1"/>
  <c r="J929" i="1"/>
  <c r="O929" i="1"/>
  <c r="T929" i="1"/>
  <c r="K2" i="28"/>
  <c r="K14" i="28"/>
  <c r="K29" i="28"/>
  <c r="K28" i="28"/>
  <c r="K11" i="28"/>
  <c r="V190" i="3"/>
  <c r="R190" i="3"/>
  <c r="Q190" i="3"/>
  <c r="P190" i="3"/>
  <c r="J190" i="3"/>
  <c r="G190" i="3"/>
  <c r="X190" i="3"/>
  <c r="S190" i="3"/>
  <c r="T928" i="1"/>
  <c r="O928" i="1"/>
  <c r="J928" i="1"/>
  <c r="N190" i="3" s="1"/>
  <c r="I928" i="1"/>
  <c r="B928" i="1"/>
  <c r="T927" i="1"/>
  <c r="O927" i="1"/>
  <c r="J927" i="1"/>
  <c r="I927" i="1"/>
  <c r="B927" i="1"/>
  <c r="B905" i="15"/>
  <c r="C2" i="26"/>
  <c r="C3" i="26"/>
  <c r="C4" i="26"/>
  <c r="C5" i="26"/>
  <c r="C6" i="26"/>
  <c r="C7" i="26"/>
  <c r="C8" i="26"/>
  <c r="C9" i="26"/>
  <c r="C10" i="26"/>
  <c r="C11" i="26"/>
  <c r="C12" i="26"/>
  <c r="C13" i="26"/>
  <c r="C14" i="26"/>
  <c r="C15" i="26"/>
  <c r="C16" i="26"/>
  <c r="G2515" i="15"/>
  <c r="G2553" i="15"/>
  <c r="G2592" i="15"/>
  <c r="G2629" i="15"/>
  <c r="G2660" i="15"/>
  <c r="G2689" i="15"/>
  <c r="G2712" i="15"/>
  <c r="G2731" i="15"/>
  <c r="G2748" i="15"/>
  <c r="G2472" i="15"/>
  <c r="B2660" i="15"/>
  <c r="B2689" i="15"/>
  <c r="B2712" i="15"/>
  <c r="B2731" i="15"/>
  <c r="B2748" i="15"/>
  <c r="D2660" i="15"/>
  <c r="D2689" i="15"/>
  <c r="D2712" i="15"/>
  <c r="D2731" i="15"/>
  <c r="D2748" i="15"/>
  <c r="F2660" i="15"/>
  <c r="F2689" i="15"/>
  <c r="F2712" i="15"/>
  <c r="F2731" i="15"/>
  <c r="F2748" i="15"/>
  <c r="L2660" i="15" a="1"/>
  <c r="L2660" i="15" s="1"/>
  <c r="M2660" i="15" s="1"/>
  <c r="L2689" i="15" a="1"/>
  <c r="L2689" i="15" s="1"/>
  <c r="M2689" i="15" s="1"/>
  <c r="L2712" i="15" a="1"/>
  <c r="L2712" i="15" s="1"/>
  <c r="M2712" i="15" s="1"/>
  <c r="L2731" i="15" a="1"/>
  <c r="L2731" i="15" s="1"/>
  <c r="M2731" i="15" s="1"/>
  <c r="L2748" i="15" a="1"/>
  <c r="L2748" i="15" s="1"/>
  <c r="M2748" i="15" s="1"/>
  <c r="B2407" i="15"/>
  <c r="B2472" i="15"/>
  <c r="B2515" i="15"/>
  <c r="B2553" i="15"/>
  <c r="B2592" i="15"/>
  <c r="B2629" i="15"/>
  <c r="D2407" i="15"/>
  <c r="D2472" i="15"/>
  <c r="D2515" i="15"/>
  <c r="D2553" i="15"/>
  <c r="D2592" i="15"/>
  <c r="D2629" i="15"/>
  <c r="F2407" i="15"/>
  <c r="F2472" i="15"/>
  <c r="F2515" i="15"/>
  <c r="F2553" i="15"/>
  <c r="F2592" i="15"/>
  <c r="F2629" i="15"/>
  <c r="L2407" i="15" a="1"/>
  <c r="L2407" i="15" s="1"/>
  <c r="M2407" i="15" s="1"/>
  <c r="L2472" i="15" a="1"/>
  <c r="L2472" i="15" s="1"/>
  <c r="M2472" i="15" s="1"/>
  <c r="L2515" i="15" a="1"/>
  <c r="L2515" i="15" s="1"/>
  <c r="M2515" i="15" s="1"/>
  <c r="L2553" i="15" a="1"/>
  <c r="L2553" i="15" s="1"/>
  <c r="M2553" i="15" s="1"/>
  <c r="L2592" i="15" a="1"/>
  <c r="L2592" i="15" s="1"/>
  <c r="M2592" i="15" s="1"/>
  <c r="L2629" i="15" a="1"/>
  <c r="L2629" i="15" s="1"/>
  <c r="M2629" i="15" s="1"/>
  <c r="B1858" i="15"/>
  <c r="B1936" i="15"/>
  <c r="B2012" i="15"/>
  <c r="B2088" i="15"/>
  <c r="B2162" i="15"/>
  <c r="B2235" i="15"/>
  <c r="D1858" i="15"/>
  <c r="D1936" i="15"/>
  <c r="D2012" i="15"/>
  <c r="D2088" i="15"/>
  <c r="D2162" i="15"/>
  <c r="D2235" i="15"/>
  <c r="F1858" i="15"/>
  <c r="F1936" i="15"/>
  <c r="F2012" i="15"/>
  <c r="F2088" i="15"/>
  <c r="F2162" i="15"/>
  <c r="F2235" i="15"/>
  <c r="L1858" i="15" a="1"/>
  <c r="L1858" i="15" s="1"/>
  <c r="M1858" i="15" s="1"/>
  <c r="L1936" i="15" a="1"/>
  <c r="L1936" i="15" s="1"/>
  <c r="M1936" i="15" s="1"/>
  <c r="L2012" i="15" a="1"/>
  <c r="L2012" i="15" s="1"/>
  <c r="M2012" i="15" s="1"/>
  <c r="L2088" i="15" a="1"/>
  <c r="L2088" i="15" s="1"/>
  <c r="M2088" i="15" s="1"/>
  <c r="L2162" i="15" a="1"/>
  <c r="L2162" i="15" s="1"/>
  <c r="M2162" i="15" s="1"/>
  <c r="L2235" i="15" a="1"/>
  <c r="L2235" i="15" s="1"/>
  <c r="M2235" i="15" s="1"/>
  <c r="K41" i="28"/>
  <c r="K38" i="28"/>
  <c r="K46" i="28"/>
  <c r="K5" i="28"/>
  <c r="K32" i="28"/>
  <c r="K37" i="28"/>
  <c r="K27" i="28"/>
  <c r="K36" i="28"/>
  <c r="K47" i="28"/>
  <c r="K18" i="28"/>
  <c r="K12" i="28"/>
  <c r="K43" i="28"/>
  <c r="N43" i="28" s="1"/>
  <c r="K23" i="28"/>
  <c r="K25" i="28"/>
  <c r="K33" i="28"/>
  <c r="K8" i="28"/>
  <c r="K17" i="28"/>
  <c r="K40" i="28"/>
  <c r="K4" i="28"/>
  <c r="K15" i="28"/>
  <c r="K22" i="28"/>
  <c r="K35" i="28"/>
  <c r="K44" i="28"/>
  <c r="K30" i="28"/>
  <c r="N30" i="28" s="1"/>
  <c r="K19" i="28"/>
  <c r="K48" i="28"/>
  <c r="K3" i="28"/>
  <c r="K49" i="28"/>
  <c r="K45" i="28"/>
  <c r="K6" i="28"/>
  <c r="K34" i="28"/>
  <c r="N34" i="28" s="1"/>
  <c r="K20" i="28"/>
  <c r="K24" i="28"/>
  <c r="K10" i="28"/>
  <c r="K42" i="28"/>
  <c r="K13" i="28"/>
  <c r="K7" i="28"/>
  <c r="K16" i="28"/>
  <c r="K51" i="28"/>
  <c r="K31" i="28"/>
  <c r="K50" i="28"/>
  <c r="K9" i="28"/>
  <c r="N9" i="28" s="1"/>
  <c r="K26" i="28"/>
  <c r="K39" i="28"/>
  <c r="B1778" i="15"/>
  <c r="D1778" i="15"/>
  <c r="F1778" i="15"/>
  <c r="L1778" i="15" a="1"/>
  <c r="L1778" i="15" s="1"/>
  <c r="M1778" i="15" s="1"/>
  <c r="B1703" i="15"/>
  <c r="D1703" i="15"/>
  <c r="F1703" i="15"/>
  <c r="L1703" i="15" a="1"/>
  <c r="L1703" i="15" s="1"/>
  <c r="M1703" i="15" s="1"/>
  <c r="B1625" i="15"/>
  <c r="D1625" i="15"/>
  <c r="F1625" i="15"/>
  <c r="L1625" i="15" a="1"/>
  <c r="L1625" i="15" s="1"/>
  <c r="M1625" i="15" s="1"/>
  <c r="B1542" i="15"/>
  <c r="D1542" i="15"/>
  <c r="F1542" i="15"/>
  <c r="L1542" i="15" a="1"/>
  <c r="L1542" i="15" s="1"/>
  <c r="M1542" i="15" s="1"/>
  <c r="B1446" i="15"/>
  <c r="D1446" i="15"/>
  <c r="F1446" i="15"/>
  <c r="L1446" i="15" a="1"/>
  <c r="L1446" i="15" s="1"/>
  <c r="M1446" i="15" s="1"/>
  <c r="B1347" i="15"/>
  <c r="D1347" i="15"/>
  <c r="F1347" i="15"/>
  <c r="L1347" i="15" a="1"/>
  <c r="L1347" i="15" s="1"/>
  <c r="M1347" i="15" s="1"/>
  <c r="B1233" i="15"/>
  <c r="D1233" i="15"/>
  <c r="F1233" i="15"/>
  <c r="L1233" i="15" a="1"/>
  <c r="L1233" i="15" s="1"/>
  <c r="M1233" i="15" s="1"/>
  <c r="B1125" i="15"/>
  <c r="D1125" i="15"/>
  <c r="F1125" i="15"/>
  <c r="L1125" i="15" a="1"/>
  <c r="L1125" i="15" s="1"/>
  <c r="M1125" i="15" s="1"/>
  <c r="B1012" i="15"/>
  <c r="D1012" i="15"/>
  <c r="F1012" i="15"/>
  <c r="L1012" i="15" a="1"/>
  <c r="L1012" i="15" s="1"/>
  <c r="M1012" i="15" s="1"/>
  <c r="B922" i="15"/>
  <c r="D922" i="15"/>
  <c r="F922" i="15"/>
  <c r="L922" i="15" a="1"/>
  <c r="L922" i="15" s="1"/>
  <c r="M922" i="15" s="1"/>
  <c r="B902" i="15"/>
  <c r="D902" i="15"/>
  <c r="F902" i="15"/>
  <c r="L902" i="15" a="1"/>
  <c r="L902" i="15" s="1"/>
  <c r="L940" i="15" a="1"/>
  <c r="L940" i="15" s="1"/>
  <c r="J925" i="1"/>
  <c r="I925" i="1"/>
  <c r="T925" i="1"/>
  <c r="T926" i="1"/>
  <c r="O925" i="1"/>
  <c r="O926" i="1"/>
  <c r="J926" i="1"/>
  <c r="I926" i="1"/>
  <c r="B925" i="1"/>
  <c r="B926" i="1"/>
  <c r="U189" i="3"/>
  <c r="G189" i="3"/>
  <c r="J189" i="3"/>
  <c r="P189" i="3"/>
  <c r="Q189" i="3"/>
  <c r="S189" i="3"/>
  <c r="V189" i="3"/>
  <c r="B924" i="1"/>
  <c r="I924" i="1"/>
  <c r="J924" i="1"/>
  <c r="N189" i="3" s="1"/>
  <c r="O924" i="1"/>
  <c r="T924" i="1"/>
  <c r="B920" i="1"/>
  <c r="B921" i="1"/>
  <c r="B922" i="1"/>
  <c r="B923" i="1"/>
  <c r="I920" i="1"/>
  <c r="I921" i="1"/>
  <c r="I922" i="1"/>
  <c r="I923" i="1"/>
  <c r="J920" i="1"/>
  <c r="J921" i="1"/>
  <c r="J922" i="1"/>
  <c r="J923" i="1"/>
  <c r="O920" i="1"/>
  <c r="O921" i="1"/>
  <c r="O922" i="1"/>
  <c r="O923" i="1"/>
  <c r="T920" i="1"/>
  <c r="T921" i="1"/>
  <c r="T922" i="1"/>
  <c r="T923" i="1"/>
  <c r="U188" i="3"/>
  <c r="G188" i="3"/>
  <c r="R919" i="1" s="1"/>
  <c r="J188" i="3"/>
  <c r="P188" i="3"/>
  <c r="Q188" i="3"/>
  <c r="R188" i="3"/>
  <c r="S188" i="3"/>
  <c r="V188" i="3"/>
  <c r="X188" i="3"/>
  <c r="E2720" i="15" s="1"/>
  <c r="B919" i="1"/>
  <c r="I919" i="1"/>
  <c r="J919" i="1"/>
  <c r="N188" i="3" s="1"/>
  <c r="O919" i="1"/>
  <c r="T919" i="1"/>
  <c r="B2868" i="15"/>
  <c r="G2513" i="15"/>
  <c r="G2550" i="15"/>
  <c r="G2589" i="15"/>
  <c r="G2626" i="15"/>
  <c r="G2658" i="15"/>
  <c r="G2686" i="15"/>
  <c r="G2709" i="15"/>
  <c r="G2727" i="15"/>
  <c r="G2745" i="15"/>
  <c r="G2470" i="15"/>
  <c r="B2727" i="15"/>
  <c r="B2745" i="15"/>
  <c r="D2727" i="15"/>
  <c r="D2745" i="15"/>
  <c r="F2727" i="15"/>
  <c r="F2745" i="15"/>
  <c r="L2727" i="15" a="1"/>
  <c r="L2727" i="15" s="1"/>
  <c r="M2727" i="15" s="1"/>
  <c r="L2745" i="15" a="1"/>
  <c r="L2745" i="15" s="1"/>
  <c r="M2745" i="15" s="1"/>
  <c r="B2859" i="15"/>
  <c r="B2470" i="15"/>
  <c r="B2513" i="15"/>
  <c r="B2550" i="15"/>
  <c r="B2589" i="15"/>
  <c r="B2626" i="15"/>
  <c r="B2658" i="15"/>
  <c r="B2686" i="15"/>
  <c r="B2709" i="15"/>
  <c r="D2859" i="15"/>
  <c r="D2470" i="15"/>
  <c r="D2513" i="15"/>
  <c r="D2550" i="15"/>
  <c r="D2589" i="15"/>
  <c r="D2626" i="15"/>
  <c r="D2658" i="15"/>
  <c r="D2686" i="15"/>
  <c r="D2709" i="15"/>
  <c r="F2859" i="15"/>
  <c r="F2470" i="15"/>
  <c r="F2513" i="15"/>
  <c r="F2550" i="15"/>
  <c r="F2589" i="15"/>
  <c r="F2626" i="15"/>
  <c r="F2658" i="15"/>
  <c r="F2686" i="15"/>
  <c r="F2709" i="15"/>
  <c r="L2859" i="15" a="1"/>
  <c r="L2859" i="15" s="1"/>
  <c r="M2859" i="15" s="1"/>
  <c r="L2470" i="15" a="1"/>
  <c r="L2470" i="15" s="1"/>
  <c r="M2470" i="15" s="1"/>
  <c r="L2513" i="15" a="1"/>
  <c r="L2513" i="15" s="1"/>
  <c r="M2513" i="15" s="1"/>
  <c r="L2550" i="15" a="1"/>
  <c r="L2550" i="15" s="1"/>
  <c r="M2550" i="15" s="1"/>
  <c r="L2589" i="15" a="1"/>
  <c r="L2589" i="15" s="1"/>
  <c r="M2589" i="15" s="1"/>
  <c r="L2626" i="15" a="1"/>
  <c r="L2626" i="15" s="1"/>
  <c r="M2626" i="15" s="1"/>
  <c r="L2658" i="15" a="1"/>
  <c r="L2658" i="15" s="1"/>
  <c r="M2658" i="15" s="1"/>
  <c r="L2686" i="15" a="1"/>
  <c r="L2686" i="15" s="1"/>
  <c r="M2686" i="15" s="1"/>
  <c r="L2709" i="15" a="1"/>
  <c r="L2709" i="15" s="1"/>
  <c r="M2709" i="15" s="1"/>
  <c r="B2700" i="15"/>
  <c r="D2700" i="15"/>
  <c r="F2700" i="15"/>
  <c r="L2700" i="15" a="1"/>
  <c r="L2700" i="15" s="1"/>
  <c r="M2700" i="15" s="1"/>
  <c r="B2536" i="15"/>
  <c r="B2575" i="15"/>
  <c r="B2613" i="15"/>
  <c r="B2648" i="15"/>
  <c r="B2676" i="15"/>
  <c r="D2536" i="15"/>
  <c r="D2575" i="15"/>
  <c r="D2613" i="15"/>
  <c r="D2648" i="15"/>
  <c r="D2676" i="15"/>
  <c r="F2536" i="15"/>
  <c r="F2575" i="15"/>
  <c r="F2613" i="15"/>
  <c r="F2648" i="15"/>
  <c r="F2676" i="15"/>
  <c r="L2536" i="15" a="1"/>
  <c r="L2536" i="15" s="1"/>
  <c r="M2536" i="15" s="1"/>
  <c r="L2575" i="15" a="1"/>
  <c r="L2575" i="15" s="1"/>
  <c r="M2575" i="15" s="1"/>
  <c r="L2613" i="15" a="1"/>
  <c r="L2613" i="15" s="1"/>
  <c r="M2613" i="15" s="1"/>
  <c r="L2648" i="15" a="1"/>
  <c r="L2648" i="15" s="1"/>
  <c r="M2648" i="15" s="1"/>
  <c r="L2676" i="15" a="1"/>
  <c r="L2676" i="15" s="1"/>
  <c r="M2676" i="15" s="1"/>
  <c r="B2404" i="15"/>
  <c r="B2452" i="15"/>
  <c r="B2497" i="15"/>
  <c r="D2404" i="15"/>
  <c r="D2452" i="15"/>
  <c r="D2497" i="15"/>
  <c r="F2404" i="15"/>
  <c r="F2452" i="15"/>
  <c r="F2497" i="15"/>
  <c r="L2404" i="15" a="1"/>
  <c r="L2404" i="15" s="1"/>
  <c r="M2404" i="15" s="1"/>
  <c r="L2452" i="15" a="1"/>
  <c r="L2452" i="15" s="1"/>
  <c r="M2452" i="15" s="1"/>
  <c r="L2497" i="15" a="1"/>
  <c r="L2497" i="15" s="1"/>
  <c r="M2497" i="15" s="1"/>
  <c r="B899" i="15"/>
  <c r="B1116" i="15"/>
  <c r="B1224" i="15"/>
  <c r="B1338" i="15"/>
  <c r="B1437" i="15"/>
  <c r="B1533" i="15"/>
  <c r="B1616" i="15"/>
  <c r="B1697" i="15"/>
  <c r="B1772" i="15"/>
  <c r="B1852" i="15"/>
  <c r="B1932" i="15"/>
  <c r="B2008" i="15"/>
  <c r="B2084" i="15"/>
  <c r="B2158" i="15"/>
  <c r="B2231" i="15"/>
  <c r="B2293" i="15"/>
  <c r="B2353" i="15"/>
  <c r="D899" i="15"/>
  <c r="D1116" i="15"/>
  <c r="D1224" i="15"/>
  <c r="D1338" i="15"/>
  <c r="D1437" i="15"/>
  <c r="D1533" i="15"/>
  <c r="D1616" i="15"/>
  <c r="D1697" i="15"/>
  <c r="D1772" i="15"/>
  <c r="D1852" i="15"/>
  <c r="D1932" i="15"/>
  <c r="D2008" i="15"/>
  <c r="D2084" i="15"/>
  <c r="D2158" i="15"/>
  <c r="D2231" i="15"/>
  <c r="D2293" i="15"/>
  <c r="D2353" i="15"/>
  <c r="F899" i="15"/>
  <c r="F1116" i="15"/>
  <c r="F1224" i="15"/>
  <c r="F1338" i="15"/>
  <c r="F1437" i="15"/>
  <c r="F1533" i="15"/>
  <c r="F1616" i="15"/>
  <c r="F1697" i="15"/>
  <c r="F1772" i="15"/>
  <c r="F1852" i="15"/>
  <c r="F1932" i="15"/>
  <c r="F2008" i="15"/>
  <c r="F2084" i="15"/>
  <c r="F2158" i="15"/>
  <c r="F2231" i="15"/>
  <c r="F2293" i="15"/>
  <c r="F2353" i="15"/>
  <c r="L899" i="15" a="1"/>
  <c r="L899" i="15" s="1"/>
  <c r="M899" i="15" s="1"/>
  <c r="L1116" i="15" a="1"/>
  <c r="L1116" i="15" s="1"/>
  <c r="M1116" i="15" s="1"/>
  <c r="L1224" i="15" a="1"/>
  <c r="L1224" i="15" s="1"/>
  <c r="M1224" i="15" s="1"/>
  <c r="L1338" i="15" a="1"/>
  <c r="L1338" i="15" s="1"/>
  <c r="M1338" i="15" s="1"/>
  <c r="L1437" i="15" a="1"/>
  <c r="L1437" i="15" s="1"/>
  <c r="M1437" i="15" s="1"/>
  <c r="L1533" i="15" a="1"/>
  <c r="L1533" i="15" s="1"/>
  <c r="M1533" i="15" s="1"/>
  <c r="L1616" i="15" a="1"/>
  <c r="L1616" i="15" s="1"/>
  <c r="M1616" i="15" s="1"/>
  <c r="L1697" i="15" a="1"/>
  <c r="L1697" i="15" s="1"/>
  <c r="M1697" i="15" s="1"/>
  <c r="L1772" i="15" a="1"/>
  <c r="L1772" i="15" s="1"/>
  <c r="M1772" i="15" s="1"/>
  <c r="L1852" i="15" a="1"/>
  <c r="L1852" i="15" s="1"/>
  <c r="M1852" i="15" s="1"/>
  <c r="L1932" i="15" a="1"/>
  <c r="L1932" i="15" s="1"/>
  <c r="M1932" i="15" s="1"/>
  <c r="L2008" i="15" a="1"/>
  <c r="L2008" i="15" s="1"/>
  <c r="M2008" i="15" s="1"/>
  <c r="L2084" i="15" a="1"/>
  <c r="L2084" i="15" s="1"/>
  <c r="M2084" i="15" s="1"/>
  <c r="L2158" i="15" a="1"/>
  <c r="L2158" i="15" s="1"/>
  <c r="M2158" i="15" s="1"/>
  <c r="L2231" i="15" a="1"/>
  <c r="L2231" i="15" s="1"/>
  <c r="M2231" i="15" s="1"/>
  <c r="L2293" i="15" a="1"/>
  <c r="L2293" i="15" s="1"/>
  <c r="M2293" i="15" s="1"/>
  <c r="L2353" i="15" a="1"/>
  <c r="L2353" i="15" s="1"/>
  <c r="M2353" i="15" s="1"/>
  <c r="B878" i="15"/>
  <c r="D878" i="15"/>
  <c r="F878" i="15"/>
  <c r="L878" i="15" a="1"/>
  <c r="L878" i="15" s="1"/>
  <c r="U187" i="3"/>
  <c r="G187" i="3"/>
  <c r="J187" i="3"/>
  <c r="P187" i="3"/>
  <c r="Q187" i="3"/>
  <c r="R187" i="3"/>
  <c r="S187" i="3"/>
  <c r="V187" i="3"/>
  <c r="X187" i="3"/>
  <c r="B918" i="1"/>
  <c r="I918" i="1"/>
  <c r="J918" i="1"/>
  <c r="N187" i="3" s="1"/>
  <c r="O918" i="1"/>
  <c r="T918" i="1"/>
  <c r="B917" i="1"/>
  <c r="I917" i="1"/>
  <c r="J917" i="1"/>
  <c r="O917" i="1"/>
  <c r="T917" i="1"/>
  <c r="B895" i="15"/>
  <c r="D895" i="15"/>
  <c r="F895" i="15"/>
  <c r="L895" i="15" a="1"/>
  <c r="L895" i="15" s="1"/>
  <c r="M895" i="15" s="1"/>
  <c r="B916" i="1"/>
  <c r="I916" i="1"/>
  <c r="J916" i="1"/>
  <c r="O916" i="1"/>
  <c r="T916" i="1"/>
  <c r="I914" i="1"/>
  <c r="B914" i="1"/>
  <c r="B915" i="1"/>
  <c r="I915" i="1"/>
  <c r="J914" i="1"/>
  <c r="J915" i="1"/>
  <c r="O914" i="1"/>
  <c r="O915" i="1"/>
  <c r="T914" i="1"/>
  <c r="T915" i="1"/>
  <c r="B907" i="1"/>
  <c r="B908" i="1"/>
  <c r="B909" i="1"/>
  <c r="B910" i="1"/>
  <c r="B911" i="1"/>
  <c r="B912" i="1"/>
  <c r="B913" i="1"/>
  <c r="I907" i="1"/>
  <c r="I908" i="1"/>
  <c r="I909" i="1"/>
  <c r="I910" i="1"/>
  <c r="I911" i="1"/>
  <c r="I912" i="1"/>
  <c r="I913" i="1"/>
  <c r="J907" i="1"/>
  <c r="J908" i="1"/>
  <c r="J909" i="1"/>
  <c r="J910" i="1"/>
  <c r="J911" i="1"/>
  <c r="J912" i="1"/>
  <c r="J913" i="1"/>
  <c r="O907" i="1"/>
  <c r="O908" i="1"/>
  <c r="O909" i="1"/>
  <c r="O910" i="1"/>
  <c r="O911" i="1"/>
  <c r="O912" i="1"/>
  <c r="O913" i="1"/>
  <c r="T907" i="1"/>
  <c r="T908" i="1"/>
  <c r="T909" i="1"/>
  <c r="T910" i="1"/>
  <c r="T911" i="1"/>
  <c r="T912" i="1"/>
  <c r="T913" i="1"/>
  <c r="Q3" i="25"/>
  <c r="Q4" i="25"/>
  <c r="Q5" i="25"/>
  <c r="Q6" i="25"/>
  <c r="Q7" i="25"/>
  <c r="Q8" i="25"/>
  <c r="Q9" i="25"/>
  <c r="Q10" i="25"/>
  <c r="Q11" i="25"/>
  <c r="Q12" i="25"/>
  <c r="Q13" i="25"/>
  <c r="Q14" i="25"/>
  <c r="Q15" i="25"/>
  <c r="Q16" i="25"/>
  <c r="Q17" i="25"/>
  <c r="Q18" i="25"/>
  <c r="Q19" i="25"/>
  <c r="Q20" i="25"/>
  <c r="Q21" i="25"/>
  <c r="Q22" i="25"/>
  <c r="Q23" i="25"/>
  <c r="Q24" i="25"/>
  <c r="Q25" i="25"/>
  <c r="Q26" i="25"/>
  <c r="Q27" i="25"/>
  <c r="Q28" i="25"/>
  <c r="Q29" i="25"/>
  <c r="Q30" i="25"/>
  <c r="Q31" i="25"/>
  <c r="Q32" i="25"/>
  <c r="Q33" i="25"/>
  <c r="Q34" i="25"/>
  <c r="Q35" i="25"/>
  <c r="Q36" i="25"/>
  <c r="Q37" i="25"/>
  <c r="Q38" i="25"/>
  <c r="Q39" i="25"/>
  <c r="Q40" i="25"/>
  <c r="Q41" i="25"/>
  <c r="Q42" i="25"/>
  <c r="Q43" i="25"/>
  <c r="Q44" i="25"/>
  <c r="Q45" i="25"/>
  <c r="Q46" i="25"/>
  <c r="Q47" i="25"/>
  <c r="Q48" i="25"/>
  <c r="Q49" i="25"/>
  <c r="Q50" i="25"/>
  <c r="Q51" i="25"/>
  <c r="Q52" i="25"/>
  <c r="Q53" i="25"/>
  <c r="Q54" i="25"/>
  <c r="Q55" i="25"/>
  <c r="Q56" i="25"/>
  <c r="Q57" i="25"/>
  <c r="Q58" i="25"/>
  <c r="Q59" i="25"/>
  <c r="Q60" i="25"/>
  <c r="Q61" i="25"/>
  <c r="Q62" i="25"/>
  <c r="Q63" i="25"/>
  <c r="Q64" i="25"/>
  <c r="Q65" i="25"/>
  <c r="Q66" i="25"/>
  <c r="Q67" i="25"/>
  <c r="Q68" i="25"/>
  <c r="Q69" i="25"/>
  <c r="Q70" i="25"/>
  <c r="Q71" i="25"/>
  <c r="Q72" i="25"/>
  <c r="Q73" i="25"/>
  <c r="Q74" i="25"/>
  <c r="Q75" i="25"/>
  <c r="Q76" i="25"/>
  <c r="Q77" i="25"/>
  <c r="Q78" i="25"/>
  <c r="Q79" i="25"/>
  <c r="Q80" i="25"/>
  <c r="Q81" i="25"/>
  <c r="Q82" i="25"/>
  <c r="Q83" i="25"/>
  <c r="Q84" i="25"/>
  <c r="Q85" i="25"/>
  <c r="Q86" i="25"/>
  <c r="Q87" i="25"/>
  <c r="Q88" i="25"/>
  <c r="Q89" i="25"/>
  <c r="Q90" i="25"/>
  <c r="Q91" i="25"/>
  <c r="Q92" i="25"/>
  <c r="Q93" i="25"/>
  <c r="Q94" i="25"/>
  <c r="Q95" i="25"/>
  <c r="Q96" i="25"/>
  <c r="Q97" i="25"/>
  <c r="Q98" i="25"/>
  <c r="Q99" i="25"/>
  <c r="Q100" i="25"/>
  <c r="Q101" i="25"/>
  <c r="Q102" i="25"/>
  <c r="Q103" i="25"/>
  <c r="Q104" i="25"/>
  <c r="Q105" i="25"/>
  <c r="Q106" i="25"/>
  <c r="Q107" i="25"/>
  <c r="Q108" i="25"/>
  <c r="Q109" i="25"/>
  <c r="Q110" i="25"/>
  <c r="Q111" i="25"/>
  <c r="Q112" i="25"/>
  <c r="Q113" i="25"/>
  <c r="Q114" i="25"/>
  <c r="Q115" i="25"/>
  <c r="Q116" i="25"/>
  <c r="Q117" i="25"/>
  <c r="Q118" i="25"/>
  <c r="Q119" i="25"/>
  <c r="Q120" i="25"/>
  <c r="Q121" i="25"/>
  <c r="Q122" i="25"/>
  <c r="Q123" i="25"/>
  <c r="Q124" i="25"/>
  <c r="Q125" i="25"/>
  <c r="Q126" i="25"/>
  <c r="Q127" i="25"/>
  <c r="Q128" i="25"/>
  <c r="Q129" i="25"/>
  <c r="Q130" i="25"/>
  <c r="Q131" i="25"/>
  <c r="Q132" i="25"/>
  <c r="Q133" i="25"/>
  <c r="Q134" i="25"/>
  <c r="Q135" i="25"/>
  <c r="Q136" i="25"/>
  <c r="Q137" i="25"/>
  <c r="Q138" i="25"/>
  <c r="Q139" i="25"/>
  <c r="Q140" i="25"/>
  <c r="Q141" i="25"/>
  <c r="Q142" i="25"/>
  <c r="Q143" i="25"/>
  <c r="Q144" i="25"/>
  <c r="Q145" i="25"/>
  <c r="Q146" i="25"/>
  <c r="Q147" i="25"/>
  <c r="Q148" i="25"/>
  <c r="Q149" i="25"/>
  <c r="Q150" i="25"/>
  <c r="Q151" i="25"/>
  <c r="Q152" i="25"/>
  <c r="Q153" i="25"/>
  <c r="Q154" i="25"/>
  <c r="Q155" i="25"/>
  <c r="Q156" i="25"/>
  <c r="Q157" i="25"/>
  <c r="Q158" i="25"/>
  <c r="Q159" i="25"/>
  <c r="Q160" i="25"/>
  <c r="Q161" i="25"/>
  <c r="Q162" i="25"/>
  <c r="Q163" i="25"/>
  <c r="Q164" i="25"/>
  <c r="Q165" i="25"/>
  <c r="Q166" i="25"/>
  <c r="Q167" i="25"/>
  <c r="Q168" i="25"/>
  <c r="Q169" i="25"/>
  <c r="Q170" i="25"/>
  <c r="Q171" i="25"/>
  <c r="Q172" i="25"/>
  <c r="Q173" i="25"/>
  <c r="Q174" i="25"/>
  <c r="Q175" i="25"/>
  <c r="Q176" i="25"/>
  <c r="Q177" i="25"/>
  <c r="Q178" i="25"/>
  <c r="Q179" i="25"/>
  <c r="Q180" i="25"/>
  <c r="Q181" i="25"/>
  <c r="Q182" i="25"/>
  <c r="Q183" i="25"/>
  <c r="Q184" i="25"/>
  <c r="Q185" i="25"/>
  <c r="Q186" i="25"/>
  <c r="Q187" i="25"/>
  <c r="Q188" i="25"/>
  <c r="Q189" i="25"/>
  <c r="Q190" i="25"/>
  <c r="Q191" i="25"/>
  <c r="Q192" i="25"/>
  <c r="Q193" i="25"/>
  <c r="Q194" i="25"/>
  <c r="Q195" i="25"/>
  <c r="Q196" i="25"/>
  <c r="Q197" i="25"/>
  <c r="Q198" i="25"/>
  <c r="Q199" i="25"/>
  <c r="Q201" i="25"/>
  <c r="Q202" i="25"/>
  <c r="Q203" i="25"/>
  <c r="Q204" i="25"/>
  <c r="Q205" i="25"/>
  <c r="Q206" i="25"/>
  <c r="Q207" i="25"/>
  <c r="Q208" i="25"/>
  <c r="Q209" i="25"/>
  <c r="Q210" i="25"/>
  <c r="Q211" i="25"/>
  <c r="Q212" i="25"/>
  <c r="Q213" i="25"/>
  <c r="Q214" i="25"/>
  <c r="Q215" i="25"/>
  <c r="Q216" i="25"/>
  <c r="Q217" i="25"/>
  <c r="Q218" i="25"/>
  <c r="Q219" i="25"/>
  <c r="Q220" i="25"/>
  <c r="Q221" i="25"/>
  <c r="Q222" i="25"/>
  <c r="Q223" i="25"/>
  <c r="Q224" i="25"/>
  <c r="Q225" i="25"/>
  <c r="Q226" i="25"/>
  <c r="Q227" i="25"/>
  <c r="Q228" i="25"/>
  <c r="Q229" i="25"/>
  <c r="Q230" i="25"/>
  <c r="Q231" i="25"/>
  <c r="Q232" i="25"/>
  <c r="Q233" i="25"/>
  <c r="Q234" i="25"/>
  <c r="Q235" i="25"/>
  <c r="Q236" i="25"/>
  <c r="Q237" i="25"/>
  <c r="Q238" i="25"/>
  <c r="Q239" i="25"/>
  <c r="Q240" i="25"/>
  <c r="Q241" i="25"/>
  <c r="Q242" i="25"/>
  <c r="Q243" i="25"/>
  <c r="Q244" i="25"/>
  <c r="Q245" i="25"/>
  <c r="Q246" i="25"/>
  <c r="Q247" i="25"/>
  <c r="Q248" i="25"/>
  <c r="Q249" i="25"/>
  <c r="Q250" i="25"/>
  <c r="Q251" i="25"/>
  <c r="Q252" i="25"/>
  <c r="Q253" i="25"/>
  <c r="Q254" i="25"/>
  <c r="Q255" i="25"/>
  <c r="Q256" i="25"/>
  <c r="Q257" i="25"/>
  <c r="Q258" i="25"/>
  <c r="Q259" i="25"/>
  <c r="Q260" i="25"/>
  <c r="Q261" i="25"/>
  <c r="Q262" i="25"/>
  <c r="Q263" i="25"/>
  <c r="Q264" i="25"/>
  <c r="Q265" i="25"/>
  <c r="Q266" i="25"/>
  <c r="Q267" i="25"/>
  <c r="Q268" i="25"/>
  <c r="Q269" i="25"/>
  <c r="Q270" i="25"/>
  <c r="Q271" i="25"/>
  <c r="Q272" i="25"/>
  <c r="Q273" i="25"/>
  <c r="Q274" i="25"/>
  <c r="Q275" i="25"/>
  <c r="Q276" i="25"/>
  <c r="Q277" i="25"/>
  <c r="Q278" i="25"/>
  <c r="Q279" i="25"/>
  <c r="Q280" i="25"/>
  <c r="Q281" i="25"/>
  <c r="Q282" i="25"/>
  <c r="Q283" i="25"/>
  <c r="Q284" i="25"/>
  <c r="Q285" i="25"/>
  <c r="Q286" i="25"/>
  <c r="Q287" i="25"/>
  <c r="Q288" i="25"/>
  <c r="Q289" i="25"/>
  <c r="Q290" i="25"/>
  <c r="Q292" i="25"/>
  <c r="Q293" i="25"/>
  <c r="Q294" i="25"/>
  <c r="Q295" i="25"/>
  <c r="Q296" i="25"/>
  <c r="Q297" i="25"/>
  <c r="Q298" i="25"/>
  <c r="Q299" i="25"/>
  <c r="Q300" i="25"/>
  <c r="Q301" i="25"/>
  <c r="Q302" i="25"/>
  <c r="Q303" i="25"/>
  <c r="Q304" i="25"/>
  <c r="Q305" i="25"/>
  <c r="Q306" i="25"/>
  <c r="Q307" i="25"/>
  <c r="Q308" i="25"/>
  <c r="Q309" i="25"/>
  <c r="Q310" i="25"/>
  <c r="Q312" i="25"/>
  <c r="Q313" i="25"/>
  <c r="Q315" i="25"/>
  <c r="Q317" i="25"/>
  <c r="Q318" i="25"/>
  <c r="Q319" i="25"/>
  <c r="Q320" i="25"/>
  <c r="Q321" i="25"/>
  <c r="Q322" i="25"/>
  <c r="Q323" i="25"/>
  <c r="Q324" i="25"/>
  <c r="Q325" i="25"/>
  <c r="Q326" i="25"/>
  <c r="Q327" i="25"/>
  <c r="Q328" i="25"/>
  <c r="Q329" i="25"/>
  <c r="Q330" i="25"/>
  <c r="Q331" i="25"/>
  <c r="Q332" i="25"/>
  <c r="Q333" i="25"/>
  <c r="Q334" i="25"/>
  <c r="Q335" i="25"/>
  <c r="Q336" i="25"/>
  <c r="Q337" i="25"/>
  <c r="Q338" i="25"/>
  <c r="Q339" i="25"/>
  <c r="Q340" i="25"/>
  <c r="Q341" i="25"/>
  <c r="Q342" i="25"/>
  <c r="Q343" i="25"/>
  <c r="Q344" i="25"/>
  <c r="Q345" i="25"/>
  <c r="Q346" i="25"/>
  <c r="Q348" i="25"/>
  <c r="Q349" i="25"/>
  <c r="Q350" i="25"/>
  <c r="Q351" i="25"/>
  <c r="Q352" i="25"/>
  <c r="Q353" i="25"/>
  <c r="Q354" i="25"/>
  <c r="Q355" i="25"/>
  <c r="Q356" i="25"/>
  <c r="Q357" i="25"/>
  <c r="Q358" i="25"/>
  <c r="Q359" i="25"/>
  <c r="Q360" i="25"/>
  <c r="Q363" i="25"/>
  <c r="Q364" i="25"/>
  <c r="Q365" i="25"/>
  <c r="Q366" i="25"/>
  <c r="Q367" i="25"/>
  <c r="Q368" i="25"/>
  <c r="Q369" i="25"/>
  <c r="Q370" i="25"/>
  <c r="Q371" i="25"/>
  <c r="Q372" i="25"/>
  <c r="Q373" i="25"/>
  <c r="Q374" i="25"/>
  <c r="Q375" i="25"/>
  <c r="Q376" i="25"/>
  <c r="Q377" i="25"/>
  <c r="Q378" i="25"/>
  <c r="Q379" i="25"/>
  <c r="Q380" i="25"/>
  <c r="Q381" i="25"/>
  <c r="Q382" i="25"/>
  <c r="Q383" i="25"/>
  <c r="Q384" i="25"/>
  <c r="Q385" i="25"/>
  <c r="Q386" i="25"/>
  <c r="Q387" i="25"/>
  <c r="Q388" i="25"/>
  <c r="Q389" i="25"/>
  <c r="Q390" i="25"/>
  <c r="Q391" i="25"/>
  <c r="Q392" i="25"/>
  <c r="Q393" i="25"/>
  <c r="Q394" i="25"/>
  <c r="Q395" i="25"/>
  <c r="Q396" i="25"/>
  <c r="Q397" i="25"/>
  <c r="Q398" i="25"/>
  <c r="Q399" i="25"/>
  <c r="Q400" i="25"/>
  <c r="Q401" i="25"/>
  <c r="Q402" i="25"/>
  <c r="Q403" i="25"/>
  <c r="Q404" i="25"/>
  <c r="Q405" i="25"/>
  <c r="Q406" i="25"/>
  <c r="Q407" i="25"/>
  <c r="Q408" i="25"/>
  <c r="Q409" i="25"/>
  <c r="Q410" i="25"/>
  <c r="Q411" i="25"/>
  <c r="Q412" i="25"/>
  <c r="Q413" i="25"/>
  <c r="Q414" i="25"/>
  <c r="Q415" i="25"/>
  <c r="Q416" i="25"/>
  <c r="Q417" i="25"/>
  <c r="Q418" i="25"/>
  <c r="Q419" i="25"/>
  <c r="Q420" i="25"/>
  <c r="Q421" i="25"/>
  <c r="Q422" i="25"/>
  <c r="Q423" i="25"/>
  <c r="Q424" i="25"/>
  <c r="Q425" i="25"/>
  <c r="Q426" i="25"/>
  <c r="Q427" i="25"/>
  <c r="Q428" i="25"/>
  <c r="Q429" i="25"/>
  <c r="Q430" i="25"/>
  <c r="Q431" i="25"/>
  <c r="Q432" i="25"/>
  <c r="Q434" i="25"/>
  <c r="Q435" i="25"/>
  <c r="Q436" i="25"/>
  <c r="Q437" i="25"/>
  <c r="Q438" i="25"/>
  <c r="Q439" i="25"/>
  <c r="Q440" i="25"/>
  <c r="Q441" i="25"/>
  <c r="Q442" i="25"/>
  <c r="Q443" i="25"/>
  <c r="Q444" i="25"/>
  <c r="Q445" i="25"/>
  <c r="Q446" i="25"/>
  <c r="Q447" i="25"/>
  <c r="Q448" i="25"/>
  <c r="Q449" i="25"/>
  <c r="Q450" i="25"/>
  <c r="Q451" i="25"/>
  <c r="Q452" i="25"/>
  <c r="Q453" i="25"/>
  <c r="Q454" i="25"/>
  <c r="Q455" i="25"/>
  <c r="Q456" i="25"/>
  <c r="Q457" i="25"/>
  <c r="Q458" i="25"/>
  <c r="Q459" i="25"/>
  <c r="Q460" i="25"/>
  <c r="Q461" i="25"/>
  <c r="Q462" i="25"/>
  <c r="Q463" i="25"/>
  <c r="Q464" i="25"/>
  <c r="Q465" i="25"/>
  <c r="Q466" i="25"/>
  <c r="Q467" i="25"/>
  <c r="Q468" i="25"/>
  <c r="Q469" i="25"/>
  <c r="Q470" i="25"/>
  <c r="Q471" i="25"/>
  <c r="Q472" i="25"/>
  <c r="Q473" i="25"/>
  <c r="Q474" i="25"/>
  <c r="Q475" i="25"/>
  <c r="Q476" i="25"/>
  <c r="Q477" i="25"/>
  <c r="Q478" i="25"/>
  <c r="Q479" i="25"/>
  <c r="Q480" i="25"/>
  <c r="Q481" i="25"/>
  <c r="Q482" i="25"/>
  <c r="Q483" i="25"/>
  <c r="Q484" i="25"/>
  <c r="Q485" i="25"/>
  <c r="Q486" i="25"/>
  <c r="Q487" i="25"/>
  <c r="Q488" i="25"/>
  <c r="Q489" i="25"/>
  <c r="Q490" i="25"/>
  <c r="Q491" i="25"/>
  <c r="Q492" i="25"/>
  <c r="Q493" i="25"/>
  <c r="Q494" i="25"/>
  <c r="Q495" i="25"/>
  <c r="Q496" i="25"/>
  <c r="Q497" i="25"/>
  <c r="Q499" i="25"/>
  <c r="Q500" i="25"/>
  <c r="Q501" i="25"/>
  <c r="Q502" i="25"/>
  <c r="Q503" i="25"/>
  <c r="Q504" i="25"/>
  <c r="Q505" i="25"/>
  <c r="Q506" i="25"/>
  <c r="Q507" i="25"/>
  <c r="Q508" i="25"/>
  <c r="Q509" i="25"/>
  <c r="Q510" i="25"/>
  <c r="Q511" i="25"/>
  <c r="Q512" i="25"/>
  <c r="Q514" i="25"/>
  <c r="Q515" i="25"/>
  <c r="Q516" i="25"/>
  <c r="Q517" i="25"/>
  <c r="Q518" i="25"/>
  <c r="Q519" i="25"/>
  <c r="Q520" i="25"/>
  <c r="Q521" i="25"/>
  <c r="Q522" i="25"/>
  <c r="Q523" i="25"/>
  <c r="Q524" i="25"/>
  <c r="Q525" i="25"/>
  <c r="Q526" i="25"/>
  <c r="Q527" i="25"/>
  <c r="Q528" i="25"/>
  <c r="Q529" i="25"/>
  <c r="Q530" i="25"/>
  <c r="Q531" i="25"/>
  <c r="Q532" i="25"/>
  <c r="Q533" i="25"/>
  <c r="Q534" i="25"/>
  <c r="Q535" i="25"/>
  <c r="Q536" i="25"/>
  <c r="Q537" i="25"/>
  <c r="Q538" i="25"/>
  <c r="Q539" i="25"/>
  <c r="Q540" i="25"/>
  <c r="Q541" i="25"/>
  <c r="Q542" i="25"/>
  <c r="Q543" i="25"/>
  <c r="Q544" i="25"/>
  <c r="Q545" i="25"/>
  <c r="Q546" i="25"/>
  <c r="Q547" i="25"/>
  <c r="Q548" i="25"/>
  <c r="Q549" i="25"/>
  <c r="Q550" i="25"/>
  <c r="Q551" i="25"/>
  <c r="Q552" i="25"/>
  <c r="Q553" i="25"/>
  <c r="Q554" i="25"/>
  <c r="Q555" i="25"/>
  <c r="Q556" i="25"/>
  <c r="Q557" i="25"/>
  <c r="Q558" i="25"/>
  <c r="Q559" i="25"/>
  <c r="Q560" i="25"/>
  <c r="Q561" i="25"/>
  <c r="Q562" i="25"/>
  <c r="Q563" i="25"/>
  <c r="Q564" i="25"/>
  <c r="Q565" i="25"/>
  <c r="Q566" i="25"/>
  <c r="Q567" i="25"/>
  <c r="Q568" i="25"/>
  <c r="Q569" i="25"/>
  <c r="Q570" i="25"/>
  <c r="Q571" i="25"/>
  <c r="Q572" i="25"/>
  <c r="Q573" i="25"/>
  <c r="Q574" i="25"/>
  <c r="Q575" i="25"/>
  <c r="Q576" i="25"/>
  <c r="Q578" i="25"/>
  <c r="Q579" i="25"/>
  <c r="Q580" i="25"/>
  <c r="Q581" i="25"/>
  <c r="Q582" i="25"/>
  <c r="Q583" i="25"/>
  <c r="Q584" i="25"/>
  <c r="Q585" i="25"/>
  <c r="Q586" i="25"/>
  <c r="Q587" i="25"/>
  <c r="Q588" i="25"/>
  <c r="Q589" i="25"/>
  <c r="Q590" i="25"/>
  <c r="Q591" i="25"/>
  <c r="Q592" i="25"/>
  <c r="Q593" i="25"/>
  <c r="Q594" i="25"/>
  <c r="Q595" i="25"/>
  <c r="Q596" i="25"/>
  <c r="Q597" i="25"/>
  <c r="Q598" i="25"/>
  <c r="Q600" i="25"/>
  <c r="Q601" i="25"/>
  <c r="Q602" i="25"/>
  <c r="Q603" i="25"/>
  <c r="Q604" i="25"/>
  <c r="Q605" i="25"/>
  <c r="Q606" i="25"/>
  <c r="Q607" i="25"/>
  <c r="Q608" i="25"/>
  <c r="Q609" i="25"/>
  <c r="Q610" i="25"/>
  <c r="Q611" i="25"/>
  <c r="Q612" i="25"/>
  <c r="Q613" i="25"/>
  <c r="Q614" i="25"/>
  <c r="Q615" i="25"/>
  <c r="Q616" i="25"/>
  <c r="Q617" i="25"/>
  <c r="Q618" i="25"/>
  <c r="Q619" i="25"/>
  <c r="Q620" i="25"/>
  <c r="Q621" i="25"/>
  <c r="Q622" i="25"/>
  <c r="Q623" i="25"/>
  <c r="Q624" i="25"/>
  <c r="Q625" i="25"/>
  <c r="Q626" i="25"/>
  <c r="Q627" i="25"/>
  <c r="Q628" i="25"/>
  <c r="Q629" i="25"/>
  <c r="Q630" i="25"/>
  <c r="Q631" i="25"/>
  <c r="Q632" i="25"/>
  <c r="Q633" i="25"/>
  <c r="Q634" i="25"/>
  <c r="Q635" i="25"/>
  <c r="Q636" i="25"/>
  <c r="Q637" i="25"/>
  <c r="Q638" i="25"/>
  <c r="Q640" i="25"/>
  <c r="Q641" i="25"/>
  <c r="Q642" i="25"/>
  <c r="Q643" i="25"/>
  <c r="Q644" i="25"/>
  <c r="Q645" i="25"/>
  <c r="Q646" i="25"/>
  <c r="Q647" i="25"/>
  <c r="Q648" i="25"/>
  <c r="Q649" i="25"/>
  <c r="Q650" i="25"/>
  <c r="Q651" i="25"/>
  <c r="Q652" i="25"/>
  <c r="Q653" i="25"/>
  <c r="Q654" i="25"/>
  <c r="Q655" i="25"/>
  <c r="Q656" i="25"/>
  <c r="Q657" i="25"/>
  <c r="Q658" i="25"/>
  <c r="Q659" i="25"/>
  <c r="Q660" i="25"/>
  <c r="Q661" i="25"/>
  <c r="Q662" i="25"/>
  <c r="Q663" i="25"/>
  <c r="Q664" i="25"/>
  <c r="Q665" i="25"/>
  <c r="Q666" i="25"/>
  <c r="Q667" i="25"/>
  <c r="Q668" i="25"/>
  <c r="Q669" i="25"/>
  <c r="Q670" i="25"/>
  <c r="Q671" i="25"/>
  <c r="Q672" i="25"/>
  <c r="Q673" i="25"/>
  <c r="Q674" i="25"/>
  <c r="Q675" i="25"/>
  <c r="Q676" i="25"/>
  <c r="Q677" i="25"/>
  <c r="Q678" i="25"/>
  <c r="Q679" i="25"/>
  <c r="Q680" i="25"/>
  <c r="Q681" i="25"/>
  <c r="Q682" i="25"/>
  <c r="Q683" i="25"/>
  <c r="Q684" i="25"/>
  <c r="Q685" i="25"/>
  <c r="Q686" i="25"/>
  <c r="Q687" i="25"/>
  <c r="Q688" i="25"/>
  <c r="Q689" i="25"/>
  <c r="Q690" i="25"/>
  <c r="Q691" i="25"/>
  <c r="Q692" i="25"/>
  <c r="Q693" i="25"/>
  <c r="Q694" i="25"/>
  <c r="Q695" i="25"/>
  <c r="Q696" i="25"/>
  <c r="Q697" i="25"/>
  <c r="Q698" i="25"/>
  <c r="Q699" i="25"/>
  <c r="Q700" i="25"/>
  <c r="Q701" i="25"/>
  <c r="Q702" i="25"/>
  <c r="Q703" i="25"/>
  <c r="Q704" i="25"/>
  <c r="Q705" i="25"/>
  <c r="Q706" i="25"/>
  <c r="Q707" i="25"/>
  <c r="Q708" i="25"/>
  <c r="Q709" i="25"/>
  <c r="Q710" i="25"/>
  <c r="Q711" i="25"/>
  <c r="Q712" i="25"/>
  <c r="Q713" i="25"/>
  <c r="Q714" i="25"/>
  <c r="Q715" i="25"/>
  <c r="Q716" i="25"/>
  <c r="Q717" i="25"/>
  <c r="Q718" i="25"/>
  <c r="Q719" i="25"/>
  <c r="Q720" i="25"/>
  <c r="Q721" i="25"/>
  <c r="Q722" i="25"/>
  <c r="Q723" i="25"/>
  <c r="Q726" i="25"/>
  <c r="Q727" i="25"/>
  <c r="Q728" i="25"/>
  <c r="Q729" i="25"/>
  <c r="Q730" i="25"/>
  <c r="Q731" i="25"/>
  <c r="Q732" i="25"/>
  <c r="Q733" i="25"/>
  <c r="Q734" i="25"/>
  <c r="Q735" i="25"/>
  <c r="Q736" i="25"/>
  <c r="Q737" i="25"/>
  <c r="Q738" i="25"/>
  <c r="Q739" i="25"/>
  <c r="Q740" i="25"/>
  <c r="Q741" i="25"/>
  <c r="Q742" i="25"/>
  <c r="Q743" i="25"/>
  <c r="Q744" i="25"/>
  <c r="Q745" i="25"/>
  <c r="Q746" i="25"/>
  <c r="Q747" i="25"/>
  <c r="Q748" i="25"/>
  <c r="Q749" i="25"/>
  <c r="Q750" i="25"/>
  <c r="Q751" i="25"/>
  <c r="Q752" i="25"/>
  <c r="Q753" i="25"/>
  <c r="Q754" i="25"/>
  <c r="Q755" i="25"/>
  <c r="Q756" i="25"/>
  <c r="Q757" i="25"/>
  <c r="Q758" i="25"/>
  <c r="Q759" i="25"/>
  <c r="Q760" i="25"/>
  <c r="Q761" i="25"/>
  <c r="Q762" i="25"/>
  <c r="Q763" i="25"/>
  <c r="Q764" i="25"/>
  <c r="Q765" i="25"/>
  <c r="Q766" i="25"/>
  <c r="Q767" i="25"/>
  <c r="Q768" i="25"/>
  <c r="Q769" i="25"/>
  <c r="Q770" i="25"/>
  <c r="Q771" i="25"/>
  <c r="Q772" i="25"/>
  <c r="Q773" i="25"/>
  <c r="Q774" i="25"/>
  <c r="Q775" i="25"/>
  <c r="Q776" i="25"/>
  <c r="Q777" i="25"/>
  <c r="Q778" i="25"/>
  <c r="Q779" i="25"/>
  <c r="Q780" i="25"/>
  <c r="Q781" i="25"/>
  <c r="Q782" i="25"/>
  <c r="Q783" i="25"/>
  <c r="Q784" i="25"/>
  <c r="Q785" i="25"/>
  <c r="Q786" i="25"/>
  <c r="Q787" i="25"/>
  <c r="Q788" i="25"/>
  <c r="Q789" i="25"/>
  <c r="Q790" i="25"/>
  <c r="Q791" i="25"/>
  <c r="Q792" i="25"/>
  <c r="Q793" i="25"/>
  <c r="Q794" i="25"/>
  <c r="Q795" i="25"/>
  <c r="Q796" i="25"/>
  <c r="Q797" i="25"/>
  <c r="Q798" i="25"/>
  <c r="Q799" i="25"/>
  <c r="Q800" i="25"/>
  <c r="Q801" i="25"/>
  <c r="Q802" i="25"/>
  <c r="Q803" i="25"/>
  <c r="Q804" i="25"/>
  <c r="Q805" i="25"/>
  <c r="Q806" i="25"/>
  <c r="Q807" i="25"/>
  <c r="Q808" i="25"/>
  <c r="Q809" i="25"/>
  <c r="Q810" i="25"/>
  <c r="Q811" i="25"/>
  <c r="Q812" i="25"/>
  <c r="Q814" i="25"/>
  <c r="Q815" i="25"/>
  <c r="Q816" i="25"/>
  <c r="Q817" i="25"/>
  <c r="Q818" i="25"/>
  <c r="Q819" i="25"/>
  <c r="Q820" i="25"/>
  <c r="Q821" i="25"/>
  <c r="Q822" i="25"/>
  <c r="Q823" i="25"/>
  <c r="Q824" i="25"/>
  <c r="Q825" i="25"/>
  <c r="Q826" i="25"/>
  <c r="Q827" i="25"/>
  <c r="Q828" i="25"/>
  <c r="Q829" i="25"/>
  <c r="Q830" i="25"/>
  <c r="Q832" i="25"/>
  <c r="Q833" i="25"/>
  <c r="Q834" i="25"/>
  <c r="Q835" i="25"/>
  <c r="Q837" i="25"/>
  <c r="Q838" i="25"/>
  <c r="Q839" i="25"/>
  <c r="Q840" i="25"/>
  <c r="Q841" i="25"/>
  <c r="Q842" i="25"/>
  <c r="Q843" i="25"/>
  <c r="Q844" i="25"/>
  <c r="Q845" i="25"/>
  <c r="Q846" i="25"/>
  <c r="Q847" i="25"/>
  <c r="Q848" i="25"/>
  <c r="Q849" i="25"/>
  <c r="Q850" i="25"/>
  <c r="Q851" i="25"/>
  <c r="Q852" i="25"/>
  <c r="Q853" i="25"/>
  <c r="Q854" i="25"/>
  <c r="Q855" i="25"/>
  <c r="Q856" i="25"/>
  <c r="Q857" i="25"/>
  <c r="Q859" i="25"/>
  <c r="Q860" i="25"/>
  <c r="Q861" i="25"/>
  <c r="Q862" i="25"/>
  <c r="Q863" i="25"/>
  <c r="Q864" i="25"/>
  <c r="Q865" i="25"/>
  <c r="Q866" i="25"/>
  <c r="Q867" i="25"/>
  <c r="Q868" i="25"/>
  <c r="Q869" i="25"/>
  <c r="Q870" i="25"/>
  <c r="Q871" i="25"/>
  <c r="Q872" i="25"/>
  <c r="Q873" i="25"/>
  <c r="Q874" i="25"/>
  <c r="Q875" i="25"/>
  <c r="Q876" i="25"/>
  <c r="Q877" i="25"/>
  <c r="Q878" i="25"/>
  <c r="Q879" i="25"/>
  <c r="Q880" i="25"/>
  <c r="Q881" i="25"/>
  <c r="Q882" i="25"/>
  <c r="Q883" i="25"/>
  <c r="Q884" i="25"/>
  <c r="Q885" i="25"/>
  <c r="Q886" i="25"/>
  <c r="Q887" i="25"/>
  <c r="Q888" i="25"/>
  <c r="Q889" i="25"/>
  <c r="Q890" i="25"/>
  <c r="Q891" i="25"/>
  <c r="Q892" i="25"/>
  <c r="Q893" i="25"/>
  <c r="Q894" i="25"/>
  <c r="Q895" i="25"/>
  <c r="Q896" i="25"/>
  <c r="Q897" i="25"/>
  <c r="Q898" i="25"/>
  <c r="Q899" i="25"/>
  <c r="Q900" i="25"/>
  <c r="Q901" i="25"/>
  <c r="Q902" i="25"/>
  <c r="Q904" i="25"/>
  <c r="Q905" i="25"/>
  <c r="Q906" i="25"/>
  <c r="Q907" i="25"/>
  <c r="Q908" i="25"/>
  <c r="Q909" i="25"/>
  <c r="Q911" i="25"/>
  <c r="Q920" i="25"/>
  <c r="Q912" i="25"/>
  <c r="Q913" i="25"/>
  <c r="Q914" i="25"/>
  <c r="Q915" i="25"/>
  <c r="Q916" i="25"/>
  <c r="Q917" i="25"/>
  <c r="Q918" i="25"/>
  <c r="Q919" i="25"/>
  <c r="Q921" i="25"/>
  <c r="Q922" i="25"/>
  <c r="Q923" i="25"/>
  <c r="Q925" i="25"/>
  <c r="Q926" i="25"/>
  <c r="Q927" i="25"/>
  <c r="Q929" i="25"/>
  <c r="Q930" i="25"/>
  <c r="Q931" i="25"/>
  <c r="Q932" i="25"/>
  <c r="Q933" i="25"/>
  <c r="Q934" i="25"/>
  <c r="Q935" i="25"/>
  <c r="Q936" i="25"/>
  <c r="Q937" i="25"/>
  <c r="Q938" i="25"/>
  <c r="Q939" i="25"/>
  <c r="Q940" i="25"/>
  <c r="Q941" i="25"/>
  <c r="Q942" i="25"/>
  <c r="Q943" i="25"/>
  <c r="Q944" i="25"/>
  <c r="Q946" i="25"/>
  <c r="Q947" i="25"/>
  <c r="Q948" i="25"/>
  <c r="Q950" i="25"/>
  <c r="Q952" i="25"/>
  <c r="Q953" i="25"/>
  <c r="Q954" i="25"/>
  <c r="Q955" i="25"/>
  <c r="Q956" i="25"/>
  <c r="Q957" i="25"/>
  <c r="Q958" i="25"/>
  <c r="Q959" i="25"/>
  <c r="Q960" i="25"/>
  <c r="Q961" i="25"/>
  <c r="Q962" i="25"/>
  <c r="Q963" i="25"/>
  <c r="Q964" i="25"/>
  <c r="Q965" i="25"/>
  <c r="Q966" i="25"/>
  <c r="Q967" i="25"/>
  <c r="Q968" i="25"/>
  <c r="Q969" i="25"/>
  <c r="Q970" i="25"/>
  <c r="Q971" i="25"/>
  <c r="Q972" i="25"/>
  <c r="Q973" i="25"/>
  <c r="Q974" i="25"/>
  <c r="Q975" i="25"/>
  <c r="Q976" i="25"/>
  <c r="Q977" i="25"/>
  <c r="Q978" i="25"/>
  <c r="Q979" i="25"/>
  <c r="Q980" i="25"/>
  <c r="Q981" i="25"/>
  <c r="Q982" i="25"/>
  <c r="Q983" i="25"/>
  <c r="Q984" i="25"/>
  <c r="Q985" i="25"/>
  <c r="Q986" i="25"/>
  <c r="Q987" i="25"/>
  <c r="Q988" i="25"/>
  <c r="Q989" i="25"/>
  <c r="Q990" i="25"/>
  <c r="Q992" i="25"/>
  <c r="Q993" i="25"/>
  <c r="Q994" i="25"/>
  <c r="Q995" i="25"/>
  <c r="Q1009" i="25"/>
  <c r="Q1000" i="25"/>
  <c r="Q1001" i="25"/>
  <c r="Q1002" i="25"/>
  <c r="Q1003" i="25"/>
  <c r="Q1004" i="25"/>
  <c r="Q1005" i="25"/>
  <c r="Q1006" i="25"/>
  <c r="Q1007" i="25"/>
  <c r="Q1008" i="25"/>
  <c r="Q1016" i="25"/>
  <c r="Q1011" i="25"/>
  <c r="Q1012" i="25"/>
  <c r="Q1013" i="25"/>
  <c r="Q1014" i="25"/>
  <c r="Q1015" i="25"/>
  <c r="Q1019" i="25"/>
  <c r="Q1020" i="25"/>
  <c r="Q1021" i="25"/>
  <c r="Q1022" i="25"/>
  <c r="Q1023" i="25"/>
  <c r="Q1024" i="25"/>
  <c r="Q1025" i="25"/>
  <c r="Q1026" i="25"/>
  <c r="Q1027" i="25"/>
  <c r="Q1028" i="25"/>
  <c r="Q1029" i="25"/>
  <c r="Q1030" i="25"/>
  <c r="Q1031" i="25"/>
  <c r="Q1032" i="25"/>
  <c r="Q1033" i="25"/>
  <c r="Q1034" i="25"/>
  <c r="Q1035" i="25"/>
  <c r="Q1036" i="25"/>
  <c r="Q1037" i="25"/>
  <c r="Q1038" i="25"/>
  <c r="Q1039" i="25"/>
  <c r="Q1043" i="25"/>
  <c r="Q1040" i="25"/>
  <c r="Q1041" i="25"/>
  <c r="Q1042" i="25"/>
  <c r="Q1044" i="25"/>
  <c r="Q1045" i="25"/>
  <c r="Q1047" i="25"/>
  <c r="Q1048" i="25"/>
  <c r="Q1049" i="25"/>
  <c r="Q1050" i="25"/>
  <c r="Q1051" i="25"/>
  <c r="Q1052" i="25"/>
  <c r="Q1053" i="25"/>
  <c r="Q1054" i="25"/>
  <c r="Q1055" i="25"/>
  <c r="Q1056" i="25"/>
  <c r="Q1057" i="25"/>
  <c r="Q1058" i="25"/>
  <c r="Q1059" i="25"/>
  <c r="Q1060" i="25"/>
  <c r="Q1061" i="25"/>
  <c r="Q1062" i="25"/>
  <c r="Q1063" i="25"/>
  <c r="Q1064" i="25"/>
  <c r="Q1065" i="25"/>
  <c r="Q1066" i="25"/>
  <c r="Q1067" i="25"/>
  <c r="Q1068" i="25"/>
  <c r="Q1069" i="25"/>
  <c r="Q1070" i="25"/>
  <c r="Q1071" i="25"/>
  <c r="Q1072" i="25"/>
  <c r="Q1073" i="25"/>
  <c r="Q1074" i="25"/>
  <c r="Q1075" i="25"/>
  <c r="Q1076" i="25"/>
  <c r="Q1077" i="25"/>
  <c r="Q1078" i="25"/>
  <c r="Q1079" i="25"/>
  <c r="Q1080" i="25"/>
  <c r="Q1081" i="25"/>
  <c r="Q1082" i="25"/>
  <c r="Q1083" i="25"/>
  <c r="Q1084" i="25"/>
  <c r="Q1085" i="25"/>
  <c r="Q1086" i="25"/>
  <c r="Q1087" i="25"/>
  <c r="Q1088" i="25"/>
  <c r="Q1089" i="25"/>
  <c r="Q1090" i="25"/>
  <c r="Q1091" i="25"/>
  <c r="Q1092" i="25"/>
  <c r="Q1093" i="25"/>
  <c r="Q1094" i="25"/>
  <c r="Q1095" i="25"/>
  <c r="Q1096" i="25"/>
  <c r="Q1097" i="25"/>
  <c r="Q1098" i="25"/>
  <c r="Q1099" i="25"/>
  <c r="Q1100" i="25"/>
  <c r="Q1101" i="25"/>
  <c r="Q1102" i="25"/>
  <c r="Q1103" i="25"/>
  <c r="Q1106" i="25"/>
  <c r="B906" i="1"/>
  <c r="I906" i="1"/>
  <c r="J906" i="1"/>
  <c r="O906" i="1"/>
  <c r="T906" i="1"/>
  <c r="B905" i="1"/>
  <c r="I905" i="1"/>
  <c r="J905" i="1"/>
  <c r="O905" i="1"/>
  <c r="T905" i="1"/>
  <c r="N893" i="15"/>
  <c r="I893" i="15" s="1"/>
  <c r="B904" i="1"/>
  <c r="I904" i="1"/>
  <c r="J904" i="1"/>
  <c r="O904" i="1"/>
  <c r="T904" i="1"/>
  <c r="B903" i="1"/>
  <c r="I903" i="1"/>
  <c r="J903" i="1"/>
  <c r="O903" i="1"/>
  <c r="T903" i="1"/>
  <c r="B902" i="1"/>
  <c r="I902" i="1"/>
  <c r="J902" i="1"/>
  <c r="O902" i="1"/>
  <c r="T902" i="1"/>
  <c r="B883" i="15"/>
  <c r="D883" i="15"/>
  <c r="F883" i="15"/>
  <c r="L883" i="15" a="1"/>
  <c r="L883" i="15" s="1"/>
  <c r="M883" i="15" s="1"/>
  <c r="B884" i="15"/>
  <c r="D884" i="15"/>
  <c r="F884" i="15"/>
  <c r="L884" i="15" a="1"/>
  <c r="L884" i="15" s="1"/>
  <c r="M884" i="15" s="1"/>
  <c r="U186" i="3"/>
  <c r="G186" i="3"/>
  <c r="J186" i="3"/>
  <c r="P186" i="3"/>
  <c r="Q186" i="3"/>
  <c r="S186" i="3"/>
  <c r="V186" i="3"/>
  <c r="B901" i="1"/>
  <c r="I901" i="1"/>
  <c r="J901" i="1"/>
  <c r="O901" i="1"/>
  <c r="T901" i="1"/>
  <c r="B898" i="1"/>
  <c r="B899" i="1"/>
  <c r="B900" i="1"/>
  <c r="I898" i="1"/>
  <c r="I899" i="1"/>
  <c r="I900" i="1"/>
  <c r="J898" i="1"/>
  <c r="J899" i="1"/>
  <c r="J900" i="1"/>
  <c r="O898" i="1"/>
  <c r="O899" i="1"/>
  <c r="O900" i="1"/>
  <c r="T898" i="1"/>
  <c r="T899" i="1"/>
  <c r="T900" i="1"/>
  <c r="U182" i="3"/>
  <c r="U183" i="3"/>
  <c r="U184" i="3"/>
  <c r="U185" i="3"/>
  <c r="G2323" i="15"/>
  <c r="G2264" i="15"/>
  <c r="G2195" i="15"/>
  <c r="G2120" i="15"/>
  <c r="G2051" i="15"/>
  <c r="G1976" i="15"/>
  <c r="B1921" i="15"/>
  <c r="D1921" i="15"/>
  <c r="F1921" i="15"/>
  <c r="L1921" i="15" a="1"/>
  <c r="L1921" i="15" s="1"/>
  <c r="M1921" i="15" s="1"/>
  <c r="B2323" i="15"/>
  <c r="D2323" i="15"/>
  <c r="F2323" i="15"/>
  <c r="L2323" i="15" a="1"/>
  <c r="L2323" i="15" s="1"/>
  <c r="M2323" i="15" s="1"/>
  <c r="B2264" i="15"/>
  <c r="D2264" i="15"/>
  <c r="F2264" i="15"/>
  <c r="L2264" i="15" a="1"/>
  <c r="L2264" i="15" s="1"/>
  <c r="M2264" i="15" s="1"/>
  <c r="B2195" i="15"/>
  <c r="D2195" i="15"/>
  <c r="F2195" i="15"/>
  <c r="L2195" i="15" a="1"/>
  <c r="L2195" i="15" s="1"/>
  <c r="M2195" i="15" s="1"/>
  <c r="B2120" i="15"/>
  <c r="D2120" i="15"/>
  <c r="F2120" i="15"/>
  <c r="L2120" i="15" a="1"/>
  <c r="L2120" i="15" s="1"/>
  <c r="M2120" i="15" s="1"/>
  <c r="B2051" i="15"/>
  <c r="D2051" i="15"/>
  <c r="F2051" i="15"/>
  <c r="L2051" i="15" a="1"/>
  <c r="L2051" i="15" s="1"/>
  <c r="M2051" i="15" s="1"/>
  <c r="B1976" i="15"/>
  <c r="D1976" i="15"/>
  <c r="F1976" i="15"/>
  <c r="L1976" i="15" a="1"/>
  <c r="L1976" i="15" s="1"/>
  <c r="M1976" i="15" s="1"/>
  <c r="B1840" i="15"/>
  <c r="D1840" i="15"/>
  <c r="F1840" i="15"/>
  <c r="L1840" i="15" a="1"/>
  <c r="L1840" i="15" s="1"/>
  <c r="M1840" i="15" s="1"/>
  <c r="B1758" i="15"/>
  <c r="D1758" i="15"/>
  <c r="F1758" i="15"/>
  <c r="L1758" i="15" a="1"/>
  <c r="L1758" i="15" s="1"/>
  <c r="M1758" i="15" s="1"/>
  <c r="B1681" i="15"/>
  <c r="D1681" i="15"/>
  <c r="F1681" i="15"/>
  <c r="L1681" i="15" a="1"/>
  <c r="L1681" i="15" s="1"/>
  <c r="M1681" i="15" s="1"/>
  <c r="B1595" i="15"/>
  <c r="D1595" i="15"/>
  <c r="F1595" i="15"/>
  <c r="L1595" i="15" a="1"/>
  <c r="L1595" i="15" s="1"/>
  <c r="M1595" i="15" s="1"/>
  <c r="B1510" i="15"/>
  <c r="D1510" i="15"/>
  <c r="F1510" i="15"/>
  <c r="L1510" i="15" a="1"/>
  <c r="L1510" i="15" s="1"/>
  <c r="M1510" i="15" s="1"/>
  <c r="B1413" i="15"/>
  <c r="D1413" i="15"/>
  <c r="F1413" i="15"/>
  <c r="L1413" i="15" a="1"/>
  <c r="L1413" i="15" s="1"/>
  <c r="M1413" i="15" s="1"/>
  <c r="B1307" i="15"/>
  <c r="D1307" i="15"/>
  <c r="F1307" i="15"/>
  <c r="L1307" i="15" a="1"/>
  <c r="L1307" i="15" s="1"/>
  <c r="M1307" i="15" s="1"/>
  <c r="B1197" i="15"/>
  <c r="D1197" i="15"/>
  <c r="F1197" i="15"/>
  <c r="L1197" i="15" a="1"/>
  <c r="L1197" i="15" s="1"/>
  <c r="M1197" i="15" s="1"/>
  <c r="B1087" i="15"/>
  <c r="D1087" i="15"/>
  <c r="F1087" i="15"/>
  <c r="L1087" i="15" a="1"/>
  <c r="L1087" i="15" s="1"/>
  <c r="M1087" i="15" s="1"/>
  <c r="B961" i="15"/>
  <c r="D961" i="15"/>
  <c r="F961" i="15"/>
  <c r="L961" i="15" a="1"/>
  <c r="L961" i="15" s="1"/>
  <c r="M961" i="15" s="1"/>
  <c r="B885" i="15"/>
  <c r="D885" i="15"/>
  <c r="F885" i="15"/>
  <c r="L885" i="15" a="1"/>
  <c r="L885" i="15" s="1"/>
  <c r="M885" i="15" s="1"/>
  <c r="G5" i="26"/>
  <c r="G185" i="3"/>
  <c r="J185" i="3"/>
  <c r="P185" i="3"/>
  <c r="Q185" i="3"/>
  <c r="R185" i="3"/>
  <c r="S185" i="3"/>
  <c r="V185" i="3"/>
  <c r="X185" i="3"/>
  <c r="B897" i="1"/>
  <c r="I897" i="1"/>
  <c r="J897" i="1"/>
  <c r="N185" i="3" s="1"/>
  <c r="O897" i="1"/>
  <c r="T897" i="1"/>
  <c r="G4" i="26"/>
  <c r="B896" i="1"/>
  <c r="I896" i="1"/>
  <c r="J896" i="1"/>
  <c r="O896" i="1"/>
  <c r="T896" i="1"/>
  <c r="R1025" i="1" l="1"/>
  <c r="R918" i="1"/>
  <c r="R928" i="1"/>
  <c r="R1024" i="1"/>
  <c r="R924" i="1"/>
  <c r="R969" i="1"/>
  <c r="R1020" i="1"/>
  <c r="R901" i="1"/>
  <c r="R902" i="1"/>
  <c r="I191" i="3"/>
  <c r="R931" i="1"/>
  <c r="R990" i="1"/>
  <c r="R1006" i="1"/>
  <c r="R897" i="1"/>
  <c r="I119" i="30"/>
  <c r="H119" i="30"/>
  <c r="G117" i="30"/>
  <c r="G128" i="30"/>
  <c r="M878" i="15"/>
  <c r="M902" i="15"/>
  <c r="X189" i="3" s="1"/>
  <c r="E2356" i="15" s="1"/>
  <c r="E2357" i="15"/>
  <c r="E1013" i="15"/>
  <c r="T185" i="3"/>
  <c r="T186" i="3"/>
  <c r="T191" i="3"/>
  <c r="T188" i="3"/>
  <c r="T187" i="3"/>
  <c r="T190" i="3"/>
  <c r="T189" i="3"/>
  <c r="C89" i="30"/>
  <c r="G71" i="30"/>
  <c r="C72" i="30"/>
  <c r="I73" i="30"/>
  <c r="H73" i="30"/>
  <c r="I83" i="30"/>
  <c r="H83" i="30"/>
  <c r="E25" i="30"/>
  <c r="E27" i="30"/>
  <c r="E24" i="30"/>
  <c r="F26" i="30"/>
  <c r="F24" i="30"/>
  <c r="E1191" i="15"/>
  <c r="E2819" i="15"/>
  <c r="E2812" i="15"/>
  <c r="E2808" i="15"/>
  <c r="E2821" i="15"/>
  <c r="E2816" i="15"/>
  <c r="E2785" i="15"/>
  <c r="E2800" i="15"/>
  <c r="E2795" i="15"/>
  <c r="E2804" i="15"/>
  <c r="E2790" i="15"/>
  <c r="E2449" i="15"/>
  <c r="E2573" i="15"/>
  <c r="E2534" i="15"/>
  <c r="E2494" i="15"/>
  <c r="E2646" i="15"/>
  <c r="E2148" i="15"/>
  <c r="E2699" i="15"/>
  <c r="E2675" i="15"/>
  <c r="E2611" i="15"/>
  <c r="E2401" i="15"/>
  <c r="E2739" i="15"/>
  <c r="E2074" i="15"/>
  <c r="E2349" i="15"/>
  <c r="E2222" i="15"/>
  <c r="E2288" i="15"/>
  <c r="E898" i="15"/>
  <c r="E1303" i="15"/>
  <c r="E1506" i="15"/>
  <c r="E1754" i="15"/>
  <c r="E1919" i="15"/>
  <c r="E1998" i="15"/>
  <c r="E1409" i="15"/>
  <c r="E1591" i="15"/>
  <c r="E1677" i="15"/>
  <c r="E1838" i="15"/>
  <c r="F34" i="30"/>
  <c r="E1036" i="15"/>
  <c r="E1234" i="15"/>
  <c r="E2813" i="15"/>
  <c r="K192" i="3"/>
  <c r="E2782" i="15"/>
  <c r="E2820" i="15"/>
  <c r="E2577" i="15"/>
  <c r="E2615" i="15"/>
  <c r="E2792" i="15"/>
  <c r="E1626" i="15"/>
  <c r="E1126" i="15"/>
  <c r="E2455" i="15"/>
  <c r="E2236" i="15"/>
  <c r="E2089" i="15"/>
  <c r="E1348" i="15"/>
  <c r="E1704" i="15"/>
  <c r="E1859" i="15"/>
  <c r="E2499" i="15"/>
  <c r="E2809" i="15"/>
  <c r="E2298" i="15"/>
  <c r="E2772" i="15"/>
  <c r="E923" i="15"/>
  <c r="E2801" i="15"/>
  <c r="E1779" i="15"/>
  <c r="E935" i="15"/>
  <c r="E2817" i="15"/>
  <c r="E2870" i="15"/>
  <c r="E2797" i="15"/>
  <c r="E1937" i="15"/>
  <c r="E2787" i="15"/>
  <c r="E2538" i="15"/>
  <c r="E1447" i="15"/>
  <c r="E2777" i="15"/>
  <c r="E2408" i="15"/>
  <c r="E1543" i="15"/>
  <c r="E2013" i="15"/>
  <c r="E2163" i="15"/>
  <c r="E2805" i="15"/>
  <c r="J939" i="1"/>
  <c r="F21" i="30" s="1"/>
  <c r="I939" i="1"/>
  <c r="F23" i="30"/>
  <c r="F33" i="30"/>
  <c r="R191" i="3"/>
  <c r="M910" i="15"/>
  <c r="X191" i="3" s="1"/>
  <c r="H191" i="3"/>
  <c r="I190" i="3"/>
  <c r="H190" i="3"/>
  <c r="R189" i="3"/>
  <c r="H189" i="3"/>
  <c r="I189" i="3"/>
  <c r="H188" i="3"/>
  <c r="I188" i="3"/>
  <c r="H187" i="3"/>
  <c r="I187" i="3"/>
  <c r="R186" i="3"/>
  <c r="N186" i="3"/>
  <c r="H186" i="3"/>
  <c r="X186" i="3"/>
  <c r="E987" i="15" s="1"/>
  <c r="I186" i="3"/>
  <c r="H185" i="3"/>
  <c r="I185" i="3"/>
  <c r="T895" i="1"/>
  <c r="O895" i="1"/>
  <c r="J895" i="1"/>
  <c r="I895" i="1"/>
  <c r="B895" i="1"/>
  <c r="K191" i="3" l="1"/>
  <c r="H117" i="30"/>
  <c r="G118" i="30"/>
  <c r="I118" i="30"/>
  <c r="H71" i="30"/>
  <c r="G72" i="30"/>
  <c r="I72" i="30"/>
  <c r="C90" i="30"/>
  <c r="D90" i="30" s="1"/>
  <c r="E90" i="30" s="1"/>
  <c r="F90" i="30" s="1"/>
  <c r="G89" i="30"/>
  <c r="F43" i="30"/>
  <c r="F28" i="30"/>
  <c r="F29" i="30" s="1"/>
  <c r="F22" i="30"/>
  <c r="E2297" i="15"/>
  <c r="E2175" i="15"/>
  <c r="E2462" i="15"/>
  <c r="E1673" i="15"/>
  <c r="E1501" i="15"/>
  <c r="E2364" i="15"/>
  <c r="E1298" i="15"/>
  <c r="E910" i="15"/>
  <c r="E2033" i="15"/>
  <c r="E950" i="15"/>
  <c r="E1587" i="15"/>
  <c r="E2848" i="15"/>
  <c r="E2542" i="15"/>
  <c r="E1962" i="15"/>
  <c r="E2306" i="15"/>
  <c r="E2104" i="15"/>
  <c r="E2247" i="15"/>
  <c r="E1077" i="15"/>
  <c r="E2415" i="15"/>
  <c r="E1404" i="15"/>
  <c r="E1185" i="15"/>
  <c r="E2505" i="15"/>
  <c r="K190" i="3"/>
  <c r="E2629" i="15"/>
  <c r="E2712" i="15"/>
  <c r="E2748" i="15"/>
  <c r="E2660" i="15"/>
  <c r="E2731" i="15"/>
  <c r="E2689" i="15"/>
  <c r="E2515" i="15"/>
  <c r="E2407" i="15"/>
  <c r="E2472" i="15"/>
  <c r="E2553" i="15"/>
  <c r="E2592" i="15"/>
  <c r="E1778" i="15"/>
  <c r="E1936" i="15"/>
  <c r="E1858" i="15"/>
  <c r="E2012" i="15"/>
  <c r="E2088" i="15"/>
  <c r="E2162" i="15"/>
  <c r="E2235" i="15"/>
  <c r="E1542" i="15"/>
  <c r="E1703" i="15"/>
  <c r="E1625" i="15"/>
  <c r="E1347" i="15"/>
  <c r="E1446" i="15"/>
  <c r="E1125" i="15"/>
  <c r="E1233" i="15"/>
  <c r="E902" i="15"/>
  <c r="E922" i="15"/>
  <c r="E1012" i="15"/>
  <c r="K189" i="3"/>
  <c r="K188" i="3"/>
  <c r="K187" i="3"/>
  <c r="K186" i="3"/>
  <c r="E883" i="15"/>
  <c r="E884" i="15"/>
  <c r="K185" i="3"/>
  <c r="F825" i="25"/>
  <c r="T894" i="1"/>
  <c r="O894" i="1"/>
  <c r="J894" i="1"/>
  <c r="I894" i="1"/>
  <c r="B894" i="1"/>
  <c r="T893" i="1"/>
  <c r="O893" i="1"/>
  <c r="J893" i="1"/>
  <c r="I893" i="1"/>
  <c r="B893" i="1"/>
  <c r="E2" i="13"/>
  <c r="E3" i="13"/>
  <c r="E4" i="13"/>
  <c r="E5" i="13"/>
  <c r="E6" i="13"/>
  <c r="E7" i="13"/>
  <c r="E8" i="13"/>
  <c r="E9" i="13"/>
  <c r="E10" i="13"/>
  <c r="E11" i="13"/>
  <c r="E12" i="13"/>
  <c r="E13" i="13"/>
  <c r="E14" i="13"/>
  <c r="E15" i="13"/>
  <c r="E17" i="13"/>
  <c r="E18" i="13"/>
  <c r="E19" i="13"/>
  <c r="E20" i="13"/>
  <c r="E21" i="13"/>
  <c r="E22" i="13"/>
  <c r="E23" i="13"/>
  <c r="E24" i="13"/>
  <c r="E25" i="13"/>
  <c r="E26" i="13"/>
  <c r="E27" i="13"/>
  <c r="E28" i="13"/>
  <c r="E29" i="13"/>
  <c r="E30" i="13"/>
  <c r="E31" i="13"/>
  <c r="E32" i="13"/>
  <c r="E33" i="13"/>
  <c r="E34" i="13"/>
  <c r="E35" i="13"/>
  <c r="E36" i="13"/>
  <c r="E37" i="13"/>
  <c r="E38" i="13"/>
  <c r="E39" i="13"/>
  <c r="G680" i="1"/>
  <c r="B891" i="15" l="1"/>
  <c r="X184" i="3"/>
  <c r="V184" i="3"/>
  <c r="S184" i="3"/>
  <c r="R184" i="3"/>
  <c r="Q184" i="3"/>
  <c r="P184" i="3"/>
  <c r="J184" i="3"/>
  <c r="G184" i="3"/>
  <c r="T892" i="1"/>
  <c r="O892" i="1"/>
  <c r="J892" i="1"/>
  <c r="N184" i="3" s="1"/>
  <c r="I892" i="1"/>
  <c r="B892" i="1"/>
  <c r="T891" i="1"/>
  <c r="O891" i="1"/>
  <c r="J891" i="1"/>
  <c r="I891" i="1"/>
  <c r="B891" i="1"/>
  <c r="L874" i="15" a="1"/>
  <c r="L874" i="15" s="1"/>
  <c r="F874" i="15"/>
  <c r="D874" i="15"/>
  <c r="B874" i="15"/>
  <c r="G2422" i="15"/>
  <c r="G2473" i="15"/>
  <c r="G2516" i="15"/>
  <c r="G2554" i="15"/>
  <c r="G2593" i="15"/>
  <c r="G2630" i="15"/>
  <c r="G2661" i="15"/>
  <c r="G2690" i="15"/>
  <c r="G2713" i="15"/>
  <c r="G2375" i="15"/>
  <c r="L2713" i="15" a="1"/>
  <c r="L2713" i="15" s="1"/>
  <c r="M2713" i="15" s="1"/>
  <c r="F2713" i="15"/>
  <c r="D2713" i="15"/>
  <c r="B2713" i="15"/>
  <c r="L2690" i="15" a="1"/>
  <c r="L2690" i="15" s="1"/>
  <c r="M2690" i="15" s="1"/>
  <c r="L2661" i="15" a="1"/>
  <c r="L2661" i="15" s="1"/>
  <c r="M2661" i="15" s="1"/>
  <c r="F2661" i="15"/>
  <c r="F2690" i="15"/>
  <c r="D2661" i="15"/>
  <c r="D2690" i="15"/>
  <c r="B2661" i="15"/>
  <c r="B2690" i="15"/>
  <c r="L2630" i="15" a="1"/>
  <c r="L2630" i="15" s="1"/>
  <c r="M2630" i="15" s="1"/>
  <c r="L2593" i="15" a="1"/>
  <c r="L2593" i="15" s="1"/>
  <c r="M2593" i="15" s="1"/>
  <c r="L2554" i="15" a="1"/>
  <c r="L2554" i="15" s="1"/>
  <c r="M2554" i="15" s="1"/>
  <c r="L2516" i="15" a="1"/>
  <c r="L2516" i="15" s="1"/>
  <c r="M2516" i="15" s="1"/>
  <c r="L2473" i="15" a="1"/>
  <c r="L2473" i="15" s="1"/>
  <c r="M2473" i="15" s="1"/>
  <c r="L2422" i="15" a="1"/>
  <c r="L2422" i="15" s="1"/>
  <c r="M2422" i="15" s="1"/>
  <c r="F2422" i="15"/>
  <c r="F2473" i="15"/>
  <c r="F2516" i="15"/>
  <c r="F2554" i="15"/>
  <c r="F2593" i="15"/>
  <c r="F2630" i="15"/>
  <c r="D2422" i="15"/>
  <c r="D2473" i="15"/>
  <c r="D2516" i="15"/>
  <c r="D2554" i="15"/>
  <c r="D2593" i="15"/>
  <c r="D2630" i="15"/>
  <c r="B2422" i="15"/>
  <c r="B2473" i="15"/>
  <c r="B2516" i="15"/>
  <c r="B2554" i="15"/>
  <c r="B2593" i="15"/>
  <c r="B2630" i="15"/>
  <c r="L2375" i="15" a="1"/>
  <c r="L2375" i="15" s="1"/>
  <c r="M2375" i="15" s="1"/>
  <c r="L2868" i="15" a="1"/>
  <c r="L2868" i="15" s="1"/>
  <c r="M2868" i="15" s="1"/>
  <c r="F2868" i="15"/>
  <c r="F2375" i="15"/>
  <c r="D2868" i="15"/>
  <c r="D2375" i="15"/>
  <c r="B2375" i="15"/>
  <c r="L1862" i="15" a="1"/>
  <c r="L1862" i="15" s="1"/>
  <c r="M1862" i="15" s="1"/>
  <c r="L1782" i="15" a="1"/>
  <c r="L1782" i="15" s="1"/>
  <c r="M1782" i="15" s="1"/>
  <c r="L1707" i="15" a="1"/>
  <c r="L1707" i="15" s="1"/>
  <c r="M1707" i="15" s="1"/>
  <c r="L1629" i="15" a="1"/>
  <c r="L1629" i="15" s="1"/>
  <c r="M1629" i="15" s="1"/>
  <c r="L1546" i="15" a="1"/>
  <c r="L1546" i="15" s="1"/>
  <c r="M1546" i="15" s="1"/>
  <c r="L1450" i="15" a="1"/>
  <c r="L1450" i="15" s="1"/>
  <c r="M1450" i="15" s="1"/>
  <c r="L1353" i="15" a="1"/>
  <c r="L1353" i="15" s="1"/>
  <c r="M1353" i="15" s="1"/>
  <c r="L1239" i="15" a="1"/>
  <c r="L1239" i="15" s="1"/>
  <c r="M1239" i="15" s="1"/>
  <c r="L1131" i="15" a="1"/>
  <c r="L1131" i="15" s="1"/>
  <c r="M1131" i="15" s="1"/>
  <c r="L1018" i="15" a="1"/>
  <c r="L1018" i="15" s="1"/>
  <c r="M1018" i="15" s="1"/>
  <c r="F1018" i="15"/>
  <c r="F1131" i="15"/>
  <c r="F1239" i="15"/>
  <c r="F1353" i="15"/>
  <c r="F1450" i="15"/>
  <c r="F1546" i="15"/>
  <c r="F1629" i="15"/>
  <c r="F1707" i="15"/>
  <c r="F1782" i="15"/>
  <c r="F1862" i="15"/>
  <c r="D1018" i="15"/>
  <c r="D1131" i="15"/>
  <c r="D1239" i="15"/>
  <c r="D1353" i="15"/>
  <c r="D1450" i="15"/>
  <c r="D1546" i="15"/>
  <c r="D1629" i="15"/>
  <c r="D1707" i="15"/>
  <c r="D1782" i="15"/>
  <c r="D1862" i="15"/>
  <c r="B1018" i="15"/>
  <c r="B1131" i="15"/>
  <c r="B1239" i="15"/>
  <c r="B1353" i="15"/>
  <c r="B1450" i="15"/>
  <c r="B1546" i="15"/>
  <c r="B1629" i="15"/>
  <c r="B1707" i="15"/>
  <c r="B1782" i="15"/>
  <c r="B1862" i="15"/>
  <c r="L875" i="15" a="1"/>
  <c r="L875" i="15" s="1"/>
  <c r="M875" i="15" s="1"/>
  <c r="F875" i="15"/>
  <c r="D875" i="15"/>
  <c r="B875" i="15"/>
  <c r="G2476" i="15"/>
  <c r="G2519" i="15"/>
  <c r="G2559" i="15"/>
  <c r="G2598" i="15"/>
  <c r="G2635" i="15"/>
  <c r="G2666" i="15"/>
  <c r="G2694" i="15"/>
  <c r="G2717" i="15"/>
  <c r="G2735" i="15"/>
  <c r="G2425" i="15"/>
  <c r="L2735" i="15" a="1"/>
  <c r="L2735" i="15" s="1"/>
  <c r="M2735" i="15" s="1"/>
  <c r="L2717" i="15" a="1"/>
  <c r="L2717" i="15" s="1"/>
  <c r="M2717" i="15" s="1"/>
  <c r="F2717" i="15"/>
  <c r="F2735" i="15"/>
  <c r="D2717" i="15"/>
  <c r="D2735" i="15"/>
  <c r="B2717" i="15"/>
  <c r="B2735" i="15"/>
  <c r="L2694" i="15" a="1"/>
  <c r="L2694" i="15" s="1"/>
  <c r="M2694" i="15" s="1"/>
  <c r="L2666" i="15" a="1"/>
  <c r="L2666" i="15" s="1"/>
  <c r="M2666" i="15" s="1"/>
  <c r="L2635" i="15" a="1"/>
  <c r="L2635" i="15" s="1"/>
  <c r="M2635" i="15" s="1"/>
  <c r="L2598" i="15" a="1"/>
  <c r="L2598" i="15" s="1"/>
  <c r="M2598" i="15" s="1"/>
  <c r="L2559" i="15" a="1"/>
  <c r="L2559" i="15" s="1"/>
  <c r="M2559" i="15" s="1"/>
  <c r="L2519" i="15" a="1"/>
  <c r="L2519" i="15" s="1"/>
  <c r="M2519" i="15" s="1"/>
  <c r="F2519" i="15"/>
  <c r="F2559" i="15"/>
  <c r="F2598" i="15"/>
  <c r="F2635" i="15"/>
  <c r="F2666" i="15"/>
  <c r="F2694" i="15"/>
  <c r="D2519" i="15"/>
  <c r="D2559" i="15"/>
  <c r="D2598" i="15"/>
  <c r="D2635" i="15"/>
  <c r="D2666" i="15"/>
  <c r="D2694" i="15"/>
  <c r="B2519" i="15"/>
  <c r="B2559" i="15"/>
  <c r="B2598" i="15"/>
  <c r="B2635" i="15"/>
  <c r="B2666" i="15"/>
  <c r="B2694" i="15"/>
  <c r="L2476" i="15" a="1"/>
  <c r="L2476" i="15" s="1"/>
  <c r="M2476" i="15" s="1"/>
  <c r="L2425" i="15" a="1"/>
  <c r="L2425" i="15" s="1"/>
  <c r="M2425" i="15" s="1"/>
  <c r="L2879" i="15" a="1"/>
  <c r="L2879" i="15" s="1"/>
  <c r="M2879" i="15" s="1"/>
  <c r="F2879" i="15"/>
  <c r="F2425" i="15"/>
  <c r="F2476" i="15"/>
  <c r="D2879" i="15"/>
  <c r="D2425" i="15"/>
  <c r="D2476" i="15"/>
  <c r="B2879" i="15"/>
  <c r="B2425" i="15"/>
  <c r="B2476" i="15"/>
  <c r="L1865" i="15" a="1"/>
  <c r="L1865" i="15" s="1"/>
  <c r="M1865" i="15" s="1"/>
  <c r="F1865" i="15"/>
  <c r="D1865" i="15"/>
  <c r="B1865" i="15"/>
  <c r="L1785" i="15" a="1"/>
  <c r="L1785" i="15" s="1"/>
  <c r="M1785" i="15" s="1"/>
  <c r="L1710" i="15" a="1"/>
  <c r="L1710" i="15" s="1"/>
  <c r="M1710" i="15" s="1"/>
  <c r="L1632" i="15" a="1"/>
  <c r="L1632" i="15" s="1"/>
  <c r="M1632" i="15" s="1"/>
  <c r="L1550" i="15" a="1"/>
  <c r="L1550" i="15" s="1"/>
  <c r="M1550" i="15" s="1"/>
  <c r="L1454" i="15" a="1"/>
  <c r="L1454" i="15" s="1"/>
  <c r="M1454" i="15" s="1"/>
  <c r="L1357" i="15" a="1"/>
  <c r="L1357" i="15" s="1"/>
  <c r="M1357" i="15" s="1"/>
  <c r="L1243" i="15" a="1"/>
  <c r="L1243" i="15" s="1"/>
  <c r="M1243" i="15" s="1"/>
  <c r="L1135" i="15" a="1"/>
  <c r="L1135" i="15" s="1"/>
  <c r="M1135" i="15" s="1"/>
  <c r="L1022" i="15" a="1"/>
  <c r="L1022" i="15" s="1"/>
  <c r="M1022" i="15" s="1"/>
  <c r="L887" i="15" a="1"/>
  <c r="L887" i="15" s="1"/>
  <c r="M887" i="15" s="1"/>
  <c r="F887" i="15"/>
  <c r="F1022" i="15"/>
  <c r="F1135" i="15"/>
  <c r="F1243" i="15"/>
  <c r="F1357" i="15"/>
  <c r="F1454" i="15"/>
  <c r="F1550" i="15"/>
  <c r="F1632" i="15"/>
  <c r="F1710" i="15"/>
  <c r="F1785" i="15"/>
  <c r="D887" i="15"/>
  <c r="D1022" i="15"/>
  <c r="D1135" i="15"/>
  <c r="D1243" i="15"/>
  <c r="D1357" i="15"/>
  <c r="D1454" i="15"/>
  <c r="D1550" i="15"/>
  <c r="D1632" i="15"/>
  <c r="D1710" i="15"/>
  <c r="D1785" i="15"/>
  <c r="B887" i="15"/>
  <c r="B1022" i="15"/>
  <c r="B1135" i="15"/>
  <c r="B1243" i="15"/>
  <c r="B1357" i="15"/>
  <c r="B1454" i="15"/>
  <c r="B1550" i="15"/>
  <c r="B1632" i="15"/>
  <c r="B1710" i="15"/>
  <c r="B1785" i="15"/>
  <c r="L873" i="15" a="1"/>
  <c r="L873" i="15" s="1"/>
  <c r="F873" i="15"/>
  <c r="D873" i="15"/>
  <c r="B873" i="15"/>
  <c r="B2910" i="15"/>
  <c r="B2953" i="15"/>
  <c r="G182" i="3"/>
  <c r="G183" i="3"/>
  <c r="J182" i="3"/>
  <c r="J183" i="3"/>
  <c r="P182" i="3"/>
  <c r="P183" i="3"/>
  <c r="Q182" i="3"/>
  <c r="Q183" i="3"/>
  <c r="S182" i="3"/>
  <c r="S183" i="3"/>
  <c r="V182" i="3"/>
  <c r="V183" i="3"/>
  <c r="B885" i="1"/>
  <c r="B886" i="1"/>
  <c r="B887" i="1"/>
  <c r="B888" i="1"/>
  <c r="B889" i="1"/>
  <c r="B890" i="1"/>
  <c r="I885" i="1"/>
  <c r="I886" i="1"/>
  <c r="I887" i="1"/>
  <c r="I888" i="1"/>
  <c r="I889" i="1"/>
  <c r="I890" i="1"/>
  <c r="J885" i="1"/>
  <c r="J886" i="1"/>
  <c r="J887" i="1"/>
  <c r="N182" i="3" s="1"/>
  <c r="J888" i="1"/>
  <c r="J889" i="1"/>
  <c r="J890" i="1"/>
  <c r="O885" i="1"/>
  <c r="O886" i="1"/>
  <c r="O887" i="1"/>
  <c r="O888" i="1"/>
  <c r="O889" i="1"/>
  <c r="O890" i="1"/>
  <c r="T885" i="1"/>
  <c r="T886" i="1"/>
  <c r="T887" i="1"/>
  <c r="T888" i="1"/>
  <c r="T889" i="1"/>
  <c r="T890" i="1"/>
  <c r="F840" i="25"/>
  <c r="F1103" i="25"/>
  <c r="I871" i="15"/>
  <c r="B871" i="15"/>
  <c r="D871" i="15"/>
  <c r="F871" i="15"/>
  <c r="L871" i="15" a="1"/>
  <c r="L871" i="15" s="1"/>
  <c r="M871" i="15" s="1"/>
  <c r="B884" i="1"/>
  <c r="I884" i="1"/>
  <c r="J884" i="1"/>
  <c r="O884" i="1"/>
  <c r="T884" i="1"/>
  <c r="AH2" i="13"/>
  <c r="AH3" i="13"/>
  <c r="AH17" i="13"/>
  <c r="AH18" i="13"/>
  <c r="AH19" i="13"/>
  <c r="AH20" i="13"/>
  <c r="AH21" i="13"/>
  <c r="AH22" i="13"/>
  <c r="AH23" i="13"/>
  <c r="AH24" i="13"/>
  <c r="AH25" i="13"/>
  <c r="AH26" i="13"/>
  <c r="AH27" i="13"/>
  <c r="AH28" i="13"/>
  <c r="AH29" i="13"/>
  <c r="AH30" i="13"/>
  <c r="AH31" i="13"/>
  <c r="AH32" i="13"/>
  <c r="AH33" i="13"/>
  <c r="AH34" i="13"/>
  <c r="AH35" i="13"/>
  <c r="AH36" i="13"/>
  <c r="AH37" i="13"/>
  <c r="AH38" i="13"/>
  <c r="AH39" i="13"/>
  <c r="E2" i="26"/>
  <c r="E3" i="26"/>
  <c r="E4" i="26"/>
  <c r="E5" i="26"/>
  <c r="E6" i="26"/>
  <c r="E7" i="26"/>
  <c r="E8" i="26"/>
  <c r="E9" i="26"/>
  <c r="E10" i="26"/>
  <c r="E11" i="26"/>
  <c r="E12" i="26"/>
  <c r="E13" i="26"/>
  <c r="E14" i="26"/>
  <c r="E15" i="26"/>
  <c r="E16" i="26"/>
  <c r="G3" i="26"/>
  <c r="F2" i="26"/>
  <c r="F3" i="26"/>
  <c r="F4" i="26"/>
  <c r="F5" i="26"/>
  <c r="F6" i="26"/>
  <c r="F7" i="26"/>
  <c r="F8" i="26"/>
  <c r="F9" i="26"/>
  <c r="F10" i="26"/>
  <c r="F11" i="26"/>
  <c r="F12" i="26"/>
  <c r="F13" i="26"/>
  <c r="F14" i="26"/>
  <c r="F15" i="26"/>
  <c r="F16" i="26"/>
  <c r="H2" i="26"/>
  <c r="H3" i="26"/>
  <c r="H4" i="26"/>
  <c r="H5" i="26"/>
  <c r="H6" i="26"/>
  <c r="H7" i="26"/>
  <c r="H8" i="26"/>
  <c r="H9" i="26"/>
  <c r="H10" i="26"/>
  <c r="H11" i="26"/>
  <c r="H12" i="26"/>
  <c r="H13" i="26"/>
  <c r="H14" i="26"/>
  <c r="H15" i="26"/>
  <c r="H16" i="26"/>
  <c r="G2" i="26"/>
  <c r="G6" i="26"/>
  <c r="G7" i="26"/>
  <c r="G8" i="26"/>
  <c r="G9" i="26"/>
  <c r="G10" i="26"/>
  <c r="G11" i="26"/>
  <c r="G12" i="26"/>
  <c r="G13" i="26"/>
  <c r="G14" i="26"/>
  <c r="G15" i="26"/>
  <c r="G16" i="26"/>
  <c r="T106" i="1"/>
  <c r="F1097" i="25"/>
  <c r="Q2" i="3"/>
  <c r="Q3" i="3"/>
  <c r="Q6" i="3"/>
  <c r="Q8" i="3"/>
  <c r="Q9" i="3"/>
  <c r="Q10" i="3"/>
  <c r="Q11" i="3"/>
  <c r="Q12" i="3"/>
  <c r="Q13" i="3"/>
  <c r="Q16" i="3"/>
  <c r="Q17" i="3"/>
  <c r="Q19" i="3"/>
  <c r="Q21" i="3"/>
  <c r="Q23" i="3"/>
  <c r="Q24" i="3"/>
  <c r="Q25" i="3"/>
  <c r="Q32" i="3"/>
  <c r="Q27" i="3"/>
  <c r="Q28" i="3"/>
  <c r="Q29" i="3"/>
  <c r="Q33" i="3"/>
  <c r="Q34" i="3"/>
  <c r="Q37" i="3"/>
  <c r="Q38" i="3"/>
  <c r="Q49" i="3"/>
  <c r="Q39" i="3"/>
  <c r="Q40" i="3"/>
  <c r="Q41" i="3"/>
  <c r="Q42" i="3"/>
  <c r="Q43" i="3"/>
  <c r="Q44" i="3"/>
  <c r="Q45" i="3"/>
  <c r="Q46" i="3"/>
  <c r="Q47" i="3"/>
  <c r="Q50" i="3"/>
  <c r="Q51" i="3"/>
  <c r="Q52" i="3"/>
  <c r="Q53" i="3"/>
  <c r="Q54" i="3"/>
  <c r="Q55" i="3"/>
  <c r="Q56" i="3"/>
  <c r="Q57" i="3"/>
  <c r="Q58" i="3"/>
  <c r="Q59" i="3"/>
  <c r="Q60" i="3"/>
  <c r="Q61" i="3"/>
  <c r="Q62" i="3"/>
  <c r="Q63" i="3"/>
  <c r="Q64" i="3"/>
  <c r="Q65" i="3"/>
  <c r="Q66" i="3"/>
  <c r="Q67" i="3"/>
  <c r="Q68" i="3"/>
  <c r="Q69" i="3"/>
  <c r="Q71" i="3"/>
  <c r="Q72" i="3"/>
  <c r="Q73" i="3"/>
  <c r="Q74" i="3"/>
  <c r="Q75" i="3"/>
  <c r="Q76" i="3"/>
  <c r="Q77" i="3"/>
  <c r="Q78" i="3"/>
  <c r="Q79" i="3"/>
  <c r="Q82" i="3"/>
  <c r="Q83" i="3"/>
  <c r="Q84" i="3"/>
  <c r="Q85" i="3"/>
  <c r="Q86" i="3"/>
  <c r="Q87" i="3"/>
  <c r="Q88" i="3"/>
  <c r="Q89" i="3"/>
  <c r="Q90" i="3"/>
  <c r="Q91" i="3"/>
  <c r="Q92" i="3"/>
  <c r="Q93" i="3"/>
  <c r="Q94" i="3"/>
  <c r="Q95" i="3"/>
  <c r="Q96" i="3"/>
  <c r="Q97" i="3"/>
  <c r="Q99" i="3"/>
  <c r="Q100" i="3"/>
  <c r="Q101" i="3"/>
  <c r="Q102" i="3"/>
  <c r="Q103" i="3"/>
  <c r="Q105" i="3"/>
  <c r="Q106" i="3"/>
  <c r="Q108" i="3"/>
  <c r="Q109" i="3"/>
  <c r="Q110" i="3"/>
  <c r="Q111" i="3"/>
  <c r="Q112" i="3"/>
  <c r="Q113" i="3"/>
  <c r="Q114" i="3"/>
  <c r="Q115" i="3"/>
  <c r="Q116" i="3"/>
  <c r="Q117" i="3"/>
  <c r="Q118" i="3"/>
  <c r="Q119" i="3"/>
  <c r="Q120" i="3"/>
  <c r="Q121" i="3"/>
  <c r="Q122" i="3"/>
  <c r="Q123" i="3"/>
  <c r="Q124" i="3"/>
  <c r="Q125" i="3"/>
  <c r="Q126" i="3"/>
  <c r="Q128" i="3"/>
  <c r="Q129" i="3"/>
  <c r="Q130" i="3"/>
  <c r="Q131" i="3"/>
  <c r="Q132" i="3"/>
  <c r="Q133" i="3"/>
  <c r="Q134" i="3"/>
  <c r="Q135" i="3"/>
  <c r="Q136" i="3"/>
  <c r="Q137" i="3"/>
  <c r="Q138" i="3"/>
  <c r="Q140" i="3"/>
  <c r="Q141" i="3"/>
  <c r="Q142" i="3"/>
  <c r="Q143"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G2906" i="15"/>
  <c r="G2907" i="15"/>
  <c r="G2908" i="15"/>
  <c r="G2909" i="15"/>
  <c r="G2910" i="15"/>
  <c r="G2905" i="15"/>
  <c r="B2905" i="15"/>
  <c r="B2906" i="15"/>
  <c r="B2907" i="15"/>
  <c r="B2908" i="15"/>
  <c r="B2909" i="15"/>
  <c r="D2905" i="15"/>
  <c r="D2906" i="15"/>
  <c r="D2907" i="15"/>
  <c r="D2908" i="15"/>
  <c r="D2909" i="15"/>
  <c r="D2910" i="15"/>
  <c r="F2905" i="15"/>
  <c r="F2906" i="15"/>
  <c r="F2907" i="15"/>
  <c r="F2908" i="15"/>
  <c r="F2909" i="15"/>
  <c r="F2910" i="15"/>
  <c r="L2905" i="15" a="1"/>
  <c r="L2905" i="15" s="1"/>
  <c r="M2905" i="15" s="1"/>
  <c r="L2906" i="15" a="1"/>
  <c r="L2906" i="15" s="1"/>
  <c r="M2906" i="15" s="1"/>
  <c r="L2907" i="15" a="1"/>
  <c r="L2907" i="15" s="1"/>
  <c r="M2907" i="15" s="1"/>
  <c r="L2908" i="15" a="1"/>
  <c r="L2908" i="15" s="1"/>
  <c r="M2908" i="15" s="1"/>
  <c r="L2909" i="15" a="1"/>
  <c r="L2909" i="15" s="1"/>
  <c r="M2909" i="15" s="1"/>
  <c r="L2910" i="15" a="1"/>
  <c r="L2910" i="15" s="1"/>
  <c r="M2910" i="15" s="1"/>
  <c r="B1864" i="15"/>
  <c r="B1941" i="15"/>
  <c r="D1864" i="15"/>
  <c r="D1941" i="15"/>
  <c r="F1864" i="15"/>
  <c r="F1941" i="15"/>
  <c r="L1864" i="15" a="1"/>
  <c r="L1864" i="15" s="1"/>
  <c r="M1864" i="15" s="1"/>
  <c r="L1941" i="15" a="1"/>
  <c r="L1941" i="15" s="1"/>
  <c r="M1941" i="15" s="1"/>
  <c r="B1452" i="15"/>
  <c r="B1548" i="15"/>
  <c r="B1631" i="15"/>
  <c r="B1709" i="15"/>
  <c r="B1784" i="15"/>
  <c r="D1452" i="15"/>
  <c r="D1548" i="15"/>
  <c r="D1631" i="15"/>
  <c r="D1709" i="15"/>
  <c r="D1784" i="15"/>
  <c r="F1452" i="15"/>
  <c r="F1548" i="15"/>
  <c r="F1631" i="15"/>
  <c r="F1709" i="15"/>
  <c r="F1784" i="15"/>
  <c r="L1452" i="15" a="1"/>
  <c r="L1452" i="15" s="1"/>
  <c r="M1452" i="15" s="1"/>
  <c r="L1548" i="15" a="1"/>
  <c r="L1548" i="15" s="1"/>
  <c r="M1548" i="15" s="1"/>
  <c r="L1631" i="15" a="1"/>
  <c r="L1631" i="15" s="1"/>
  <c r="M1631" i="15" s="1"/>
  <c r="L1709" i="15" a="1"/>
  <c r="L1709" i="15" s="1"/>
  <c r="M1709" i="15" s="1"/>
  <c r="L1784" i="15" a="1"/>
  <c r="L1784" i="15" s="1"/>
  <c r="M1784" i="15" s="1"/>
  <c r="B84" i="15"/>
  <c r="B178" i="15"/>
  <c r="B289" i="15"/>
  <c r="B433" i="15"/>
  <c r="B653" i="15"/>
  <c r="B654" i="15"/>
  <c r="B814" i="15"/>
  <c r="B882" i="15"/>
  <c r="B1020" i="15"/>
  <c r="B1133" i="15"/>
  <c r="B1241" i="15"/>
  <c r="B1355" i="15"/>
  <c r="D84" i="15"/>
  <c r="D178" i="15"/>
  <c r="D289" i="15"/>
  <c r="D433" i="15"/>
  <c r="D653" i="15"/>
  <c r="D654" i="15"/>
  <c r="D814" i="15"/>
  <c r="D882" i="15"/>
  <c r="D1020" i="15"/>
  <c r="D1133" i="15"/>
  <c r="D1241" i="15"/>
  <c r="D1355" i="15"/>
  <c r="F84" i="15"/>
  <c r="F178" i="15"/>
  <c r="F289" i="15"/>
  <c r="F433" i="15"/>
  <c r="F653" i="15"/>
  <c r="F654" i="15"/>
  <c r="F814" i="15"/>
  <c r="F882" i="15"/>
  <c r="F1020" i="15"/>
  <c r="F1133" i="15"/>
  <c r="F1241" i="15"/>
  <c r="F1355" i="15"/>
  <c r="L84" i="15" a="1"/>
  <c r="L84" i="15" s="1"/>
  <c r="M84" i="15" s="1"/>
  <c r="L178" i="15" a="1"/>
  <c r="L178" i="15" s="1"/>
  <c r="M178" i="15" s="1"/>
  <c r="L289" i="15" a="1"/>
  <c r="L289" i="15" s="1"/>
  <c r="M289" i="15" s="1"/>
  <c r="L433" i="15" a="1"/>
  <c r="L433" i="15" s="1"/>
  <c r="M433" i="15" s="1"/>
  <c r="L653" i="15" a="1"/>
  <c r="L653" i="15" s="1"/>
  <c r="M653" i="15" s="1"/>
  <c r="L654" i="15" a="1"/>
  <c r="L654" i="15" s="1"/>
  <c r="M654" i="15" s="1"/>
  <c r="L814" i="15" a="1"/>
  <c r="L814" i="15" s="1"/>
  <c r="M814" i="15" s="1"/>
  <c r="L882" i="15" a="1"/>
  <c r="L882" i="15" s="1"/>
  <c r="M882" i="15" s="1"/>
  <c r="L1020" i="15" a="1"/>
  <c r="L1020" i="15" s="1"/>
  <c r="M1020" i="15" s="1"/>
  <c r="L1133" i="15" a="1"/>
  <c r="L1133" i="15" s="1"/>
  <c r="M1133" i="15" s="1"/>
  <c r="L1241" i="15" a="1"/>
  <c r="L1241" i="15" s="1"/>
  <c r="M1241" i="15" s="1"/>
  <c r="L1355" i="15" a="1"/>
  <c r="L1355" i="15" s="1"/>
  <c r="M1355" i="15" s="1"/>
  <c r="B48" i="15"/>
  <c r="D48" i="15"/>
  <c r="F48" i="15"/>
  <c r="L48" i="15" a="1"/>
  <c r="L48" i="15" s="1"/>
  <c r="AB2" i="13"/>
  <c r="AB3" i="13"/>
  <c r="AB4" i="13"/>
  <c r="AB5" i="13"/>
  <c r="AB7" i="13"/>
  <c r="AB8" i="13"/>
  <c r="AB13" i="13"/>
  <c r="AB14" i="13"/>
  <c r="AB16" i="13"/>
  <c r="AB19" i="13"/>
  <c r="AB20" i="13"/>
  <c r="AB21" i="13"/>
  <c r="AB22" i="13"/>
  <c r="AB23" i="13"/>
  <c r="AB24" i="13"/>
  <c r="AB25" i="13"/>
  <c r="AB26" i="13"/>
  <c r="AB27" i="13"/>
  <c r="AB28" i="13"/>
  <c r="AB29" i="13"/>
  <c r="AB30" i="13"/>
  <c r="AB31" i="13"/>
  <c r="AB32" i="13"/>
  <c r="AB33" i="13"/>
  <c r="AB34" i="13"/>
  <c r="AB35" i="13"/>
  <c r="AB36" i="13"/>
  <c r="AB37" i="13"/>
  <c r="AB38" i="13"/>
  <c r="AB39" i="13"/>
  <c r="AE19" i="13"/>
  <c r="AE20" i="13"/>
  <c r="AE21" i="13"/>
  <c r="AE22" i="13"/>
  <c r="AE23" i="13"/>
  <c r="AE24" i="13"/>
  <c r="AE25" i="13"/>
  <c r="AE26" i="13"/>
  <c r="AE27" i="13"/>
  <c r="AE28" i="13"/>
  <c r="AE29" i="13"/>
  <c r="AE30" i="13"/>
  <c r="AE31" i="13"/>
  <c r="AE32" i="13"/>
  <c r="AE33" i="13"/>
  <c r="AE34" i="13"/>
  <c r="AE35" i="13"/>
  <c r="AE36" i="13"/>
  <c r="AE37" i="13"/>
  <c r="AE38" i="13"/>
  <c r="AE39" i="13"/>
  <c r="B881" i="1"/>
  <c r="B882" i="1"/>
  <c r="B883" i="1"/>
  <c r="I881" i="1"/>
  <c r="I882" i="1"/>
  <c r="I883" i="1"/>
  <c r="J881" i="1"/>
  <c r="J882" i="1"/>
  <c r="J883" i="1"/>
  <c r="O881" i="1"/>
  <c r="O882" i="1"/>
  <c r="O883" i="1"/>
  <c r="T881" i="1"/>
  <c r="T882" i="1"/>
  <c r="T883" i="1"/>
  <c r="B878" i="1"/>
  <c r="B879" i="1"/>
  <c r="B880" i="1"/>
  <c r="I878" i="1"/>
  <c r="I879" i="1"/>
  <c r="I880" i="1"/>
  <c r="J878" i="1"/>
  <c r="J879" i="1"/>
  <c r="J880" i="1"/>
  <c r="O878" i="1"/>
  <c r="O879" i="1"/>
  <c r="O880" i="1"/>
  <c r="T878" i="1"/>
  <c r="T879" i="1"/>
  <c r="T880" i="1"/>
  <c r="B877" i="1"/>
  <c r="I877" i="1"/>
  <c r="J877" i="1"/>
  <c r="O877" i="1"/>
  <c r="T877" i="1"/>
  <c r="S5" i="13"/>
  <c r="S18" i="13"/>
  <c r="S19" i="13"/>
  <c r="AF19" i="13" s="1"/>
  <c r="S20" i="13"/>
  <c r="AF20" i="13" s="1"/>
  <c r="S21" i="13"/>
  <c r="AF21" i="13" s="1"/>
  <c r="S22" i="13"/>
  <c r="AF22" i="13" s="1"/>
  <c r="S23" i="13"/>
  <c r="AF23" i="13" s="1"/>
  <c r="S24" i="13"/>
  <c r="AF24" i="13" s="1"/>
  <c r="S25" i="13"/>
  <c r="AF25" i="13" s="1"/>
  <c r="S26" i="13"/>
  <c r="AF26" i="13" s="1"/>
  <c r="S27" i="13"/>
  <c r="AF27" i="13" s="1"/>
  <c r="S28" i="13"/>
  <c r="AF28" i="13" s="1"/>
  <c r="S29" i="13"/>
  <c r="AF29" i="13" s="1"/>
  <c r="S30" i="13"/>
  <c r="AF30" i="13" s="1"/>
  <c r="S31" i="13"/>
  <c r="AF31" i="13" s="1"/>
  <c r="S32" i="13"/>
  <c r="AF32" i="13" s="1"/>
  <c r="S33" i="13"/>
  <c r="AF33" i="13" s="1"/>
  <c r="S34" i="13"/>
  <c r="AF34" i="13" s="1"/>
  <c r="S35" i="13"/>
  <c r="AF35" i="13" s="1"/>
  <c r="S36" i="13"/>
  <c r="AF36" i="13" s="1"/>
  <c r="S37" i="13"/>
  <c r="AF37" i="13" s="1"/>
  <c r="S38" i="13"/>
  <c r="AF38" i="13" s="1"/>
  <c r="S39" i="13"/>
  <c r="AF39" i="13" s="1"/>
  <c r="X2" i="13"/>
  <c r="X18" i="13"/>
  <c r="X19" i="13"/>
  <c r="X20" i="13"/>
  <c r="X21" i="13"/>
  <c r="X22" i="13"/>
  <c r="X23" i="13"/>
  <c r="X24" i="13"/>
  <c r="X25" i="13"/>
  <c r="X26" i="13"/>
  <c r="X27" i="13"/>
  <c r="X28" i="13"/>
  <c r="X29" i="13"/>
  <c r="X30" i="13"/>
  <c r="X31" i="13"/>
  <c r="X32" i="13"/>
  <c r="X33" i="13"/>
  <c r="X34" i="13"/>
  <c r="X35" i="13"/>
  <c r="X36" i="13"/>
  <c r="X37" i="13"/>
  <c r="X38" i="13"/>
  <c r="X39" i="13"/>
  <c r="W2" i="13"/>
  <c r="W17" i="13"/>
  <c r="W18" i="13"/>
  <c r="W19" i="13"/>
  <c r="W20" i="13"/>
  <c r="W21" i="13"/>
  <c r="W22" i="13"/>
  <c r="W23" i="13"/>
  <c r="W24" i="13"/>
  <c r="W25" i="13"/>
  <c r="W26" i="13"/>
  <c r="W27" i="13"/>
  <c r="W28" i="13"/>
  <c r="W29" i="13"/>
  <c r="W30" i="13"/>
  <c r="W31" i="13"/>
  <c r="W32" i="13"/>
  <c r="W33" i="13"/>
  <c r="W34" i="13"/>
  <c r="W35" i="13"/>
  <c r="W36" i="13"/>
  <c r="W37" i="13"/>
  <c r="W38" i="13"/>
  <c r="W39" i="13"/>
  <c r="V17" i="13"/>
  <c r="V18" i="13"/>
  <c r="V19" i="13"/>
  <c r="V20" i="13"/>
  <c r="V21" i="13"/>
  <c r="V22" i="13"/>
  <c r="V23" i="13"/>
  <c r="V24" i="13"/>
  <c r="V25" i="13"/>
  <c r="V26" i="13"/>
  <c r="V27" i="13"/>
  <c r="V28" i="13"/>
  <c r="V29" i="13"/>
  <c r="V30" i="13"/>
  <c r="V31" i="13"/>
  <c r="V32" i="13"/>
  <c r="V33" i="13"/>
  <c r="V34" i="13"/>
  <c r="V35" i="13"/>
  <c r="V36" i="13"/>
  <c r="V37" i="13"/>
  <c r="V38" i="13"/>
  <c r="V39" i="13"/>
  <c r="Y2" i="13"/>
  <c r="Y3" i="13"/>
  <c r="Y17" i="13"/>
  <c r="Y18" i="13"/>
  <c r="Y19" i="13"/>
  <c r="Y20" i="13"/>
  <c r="Y21" i="13"/>
  <c r="Y22" i="13"/>
  <c r="Y23" i="13"/>
  <c r="Y24" i="13"/>
  <c r="Y25" i="13"/>
  <c r="Y26" i="13"/>
  <c r="Y27" i="13"/>
  <c r="Y28" i="13"/>
  <c r="Y29" i="13"/>
  <c r="Y30" i="13"/>
  <c r="Y31" i="13"/>
  <c r="Y32" i="13"/>
  <c r="Y33" i="13"/>
  <c r="Y34" i="13"/>
  <c r="Y35" i="13"/>
  <c r="Y36" i="13"/>
  <c r="Y37" i="13"/>
  <c r="Y38" i="13"/>
  <c r="Y39" i="13"/>
  <c r="Z17" i="13"/>
  <c r="Z18" i="13"/>
  <c r="Z19" i="13"/>
  <c r="Z20" i="13"/>
  <c r="Z21" i="13"/>
  <c r="Z22" i="13"/>
  <c r="Z23" i="13"/>
  <c r="Z24" i="13"/>
  <c r="Z25" i="13"/>
  <c r="Z26" i="13"/>
  <c r="Z27" i="13"/>
  <c r="Z28" i="13"/>
  <c r="Z29" i="13"/>
  <c r="Z30" i="13"/>
  <c r="Z31" i="13"/>
  <c r="Z32" i="13"/>
  <c r="Z33" i="13"/>
  <c r="Z34" i="13"/>
  <c r="Z35" i="13"/>
  <c r="Z36" i="13"/>
  <c r="Z37" i="13"/>
  <c r="Z38" i="13"/>
  <c r="Z39" i="13"/>
  <c r="Q2" i="13"/>
  <c r="Q3" i="13"/>
  <c r="Q17" i="13"/>
  <c r="D16" i="40" s="1"/>
  <c r="Q18" i="13"/>
  <c r="AG18" i="13" s="1"/>
  <c r="Q19" i="13"/>
  <c r="Q20" i="13"/>
  <c r="Q21" i="13"/>
  <c r="Q22" i="13"/>
  <c r="Q23" i="13"/>
  <c r="Q24" i="13"/>
  <c r="Q25" i="13"/>
  <c r="Q26" i="13"/>
  <c r="Q27" i="13"/>
  <c r="Q28" i="13"/>
  <c r="Q29" i="13"/>
  <c r="Q30" i="13"/>
  <c r="Q31" i="13"/>
  <c r="Q32" i="13"/>
  <c r="Q33" i="13"/>
  <c r="Q34" i="13"/>
  <c r="Q35" i="13"/>
  <c r="Q36" i="13"/>
  <c r="Q37" i="13"/>
  <c r="Q38" i="13"/>
  <c r="Q39" i="13"/>
  <c r="R17" i="13"/>
  <c r="R18" i="13"/>
  <c r="R19" i="13"/>
  <c r="R20" i="13"/>
  <c r="R21" i="13"/>
  <c r="R22" i="13"/>
  <c r="R23" i="13"/>
  <c r="R24" i="13"/>
  <c r="R25" i="13"/>
  <c r="R26" i="13"/>
  <c r="R27" i="13"/>
  <c r="R28" i="13"/>
  <c r="R29" i="13"/>
  <c r="R30" i="13"/>
  <c r="R31" i="13"/>
  <c r="R32" i="13"/>
  <c r="R33" i="13"/>
  <c r="R34" i="13"/>
  <c r="R35" i="13"/>
  <c r="R36" i="13"/>
  <c r="R37" i="13"/>
  <c r="R38" i="13"/>
  <c r="R39" i="13"/>
  <c r="F2" i="25"/>
  <c r="B876" i="1"/>
  <c r="I876" i="1"/>
  <c r="J876" i="1"/>
  <c r="O876" i="1"/>
  <c r="T876" i="1"/>
  <c r="F1106" i="25"/>
  <c r="F1102" i="25"/>
  <c r="F1101" i="25"/>
  <c r="F1100" i="25"/>
  <c r="F1099" i="25"/>
  <c r="F1098" i="25"/>
  <c r="F1096" i="25"/>
  <c r="F1095" i="25"/>
  <c r="F1094" i="25"/>
  <c r="F1093" i="25"/>
  <c r="F1092" i="25"/>
  <c r="F1091" i="25"/>
  <c r="AB15" i="13" s="1"/>
  <c r="F1090" i="25"/>
  <c r="F1089" i="25"/>
  <c r="F1088" i="25"/>
  <c r="F1087" i="25"/>
  <c r="F1086" i="25"/>
  <c r="F1085" i="25"/>
  <c r="F1084" i="25"/>
  <c r="F1083" i="25"/>
  <c r="F1082" i="25"/>
  <c r="F1081" i="25"/>
  <c r="F1080" i="25"/>
  <c r="F1079" i="25"/>
  <c r="F1078" i="25"/>
  <c r="F1077" i="25"/>
  <c r="F1076" i="25"/>
  <c r="F1075" i="25"/>
  <c r="F1074" i="25"/>
  <c r="F1073" i="25"/>
  <c r="F1072" i="25"/>
  <c r="F1071" i="25"/>
  <c r="F1070" i="25"/>
  <c r="F1069" i="25"/>
  <c r="F1068" i="25"/>
  <c r="F1067" i="25"/>
  <c r="F1065" i="25"/>
  <c r="F1064" i="25"/>
  <c r="F1063" i="25"/>
  <c r="F1062" i="25"/>
  <c r="F1061" i="25"/>
  <c r="F1060" i="25"/>
  <c r="F1059" i="25"/>
  <c r="F1058" i="25"/>
  <c r="F1057" i="25"/>
  <c r="F1056" i="25"/>
  <c r="F1055" i="25"/>
  <c r="F1054" i="25"/>
  <c r="F1053" i="25"/>
  <c r="F1052" i="25"/>
  <c r="F1051" i="25"/>
  <c r="F1050" i="25"/>
  <c r="F1049" i="25"/>
  <c r="F1048" i="25"/>
  <c r="F1047" i="25"/>
  <c r="F1045" i="25"/>
  <c r="F1044" i="25"/>
  <c r="F1042" i="25"/>
  <c r="F1041" i="25"/>
  <c r="F1040" i="25"/>
  <c r="F1043" i="25"/>
  <c r="F1039" i="25"/>
  <c r="F1038" i="25"/>
  <c r="F1037" i="25"/>
  <c r="F1036" i="25"/>
  <c r="F1035" i="25"/>
  <c r="F1034" i="25"/>
  <c r="F1033" i="25"/>
  <c r="F1032" i="25"/>
  <c r="F1031" i="25"/>
  <c r="F1030" i="25"/>
  <c r="F1029" i="25"/>
  <c r="F1028" i="25"/>
  <c r="F1027" i="25"/>
  <c r="F1026" i="25"/>
  <c r="F1025" i="25"/>
  <c r="F1024" i="25"/>
  <c r="F1023" i="25"/>
  <c r="F1022" i="25"/>
  <c r="F1021" i="25"/>
  <c r="F1020" i="25"/>
  <c r="F1019" i="25"/>
  <c r="F1015" i="25"/>
  <c r="F1014" i="25"/>
  <c r="F1013" i="25"/>
  <c r="F1012" i="25"/>
  <c r="F1011" i="25"/>
  <c r="F1016" i="25"/>
  <c r="F1008" i="25"/>
  <c r="F1007" i="25"/>
  <c r="F1006" i="25"/>
  <c r="F1005" i="25"/>
  <c r="F1004" i="25"/>
  <c r="F1003" i="25"/>
  <c r="F1002" i="25"/>
  <c r="F1001" i="25"/>
  <c r="F1000" i="25"/>
  <c r="F1009" i="25"/>
  <c r="F995" i="25"/>
  <c r="F994" i="25"/>
  <c r="F993" i="25"/>
  <c r="F992" i="25"/>
  <c r="F990" i="25"/>
  <c r="F989" i="25"/>
  <c r="F988" i="25"/>
  <c r="F987" i="25"/>
  <c r="F986" i="25"/>
  <c r="F985" i="25"/>
  <c r="F984" i="25"/>
  <c r="F983" i="25"/>
  <c r="F982" i="25"/>
  <c r="F981" i="25"/>
  <c r="F980" i="25"/>
  <c r="F979" i="25"/>
  <c r="F978" i="25"/>
  <c r="F977" i="25"/>
  <c r="F976" i="25"/>
  <c r="F975" i="25"/>
  <c r="F974" i="25"/>
  <c r="F972" i="25"/>
  <c r="F971" i="25"/>
  <c r="F970" i="25"/>
  <c r="F969" i="25"/>
  <c r="F968" i="25"/>
  <c r="F967" i="25"/>
  <c r="F966" i="25"/>
  <c r="F965" i="25"/>
  <c r="F964" i="25"/>
  <c r="F963" i="25"/>
  <c r="F962" i="25"/>
  <c r="F961" i="25"/>
  <c r="F960" i="25"/>
  <c r="F959" i="25"/>
  <c r="F958" i="25"/>
  <c r="F957" i="25"/>
  <c r="F956" i="25"/>
  <c r="F955" i="25"/>
  <c r="F954" i="25"/>
  <c r="F953" i="25"/>
  <c r="F952" i="25"/>
  <c r="F950" i="25"/>
  <c r="F948" i="25"/>
  <c r="F947" i="25"/>
  <c r="F946" i="25"/>
  <c r="F944" i="25"/>
  <c r="F943" i="25"/>
  <c r="F942" i="25"/>
  <c r="F941" i="25"/>
  <c r="F940" i="25"/>
  <c r="F939" i="25"/>
  <c r="F938" i="25"/>
  <c r="F937" i="25"/>
  <c r="F936" i="25"/>
  <c r="F935" i="25"/>
  <c r="F934" i="25"/>
  <c r="F933" i="25"/>
  <c r="F932" i="25"/>
  <c r="F931" i="25"/>
  <c r="F930" i="25"/>
  <c r="F929" i="25"/>
  <c r="F927" i="25"/>
  <c r="F926" i="25"/>
  <c r="F925" i="25"/>
  <c r="F923" i="25"/>
  <c r="F922" i="25"/>
  <c r="F921" i="25"/>
  <c r="F919" i="25"/>
  <c r="F918" i="25"/>
  <c r="F917" i="25"/>
  <c r="F916" i="25"/>
  <c r="F915" i="25"/>
  <c r="F914" i="25"/>
  <c r="F913" i="25"/>
  <c r="F912" i="25"/>
  <c r="F920" i="25"/>
  <c r="F911" i="25"/>
  <c r="F909" i="25"/>
  <c r="F908" i="25"/>
  <c r="F907" i="25"/>
  <c r="F906" i="25"/>
  <c r="F1066" i="25"/>
  <c r="F905" i="25"/>
  <c r="F904" i="25"/>
  <c r="F902" i="25"/>
  <c r="F901" i="25"/>
  <c r="F900" i="25"/>
  <c r="F899" i="25"/>
  <c r="F898" i="25"/>
  <c r="F897" i="25"/>
  <c r="F896" i="25"/>
  <c r="F895" i="25"/>
  <c r="F894" i="25"/>
  <c r="F893" i="25"/>
  <c r="F892" i="25"/>
  <c r="F891" i="25"/>
  <c r="F890" i="25"/>
  <c r="F889" i="25"/>
  <c r="F888" i="25"/>
  <c r="F887" i="25"/>
  <c r="F886" i="25"/>
  <c r="F885" i="25"/>
  <c r="F884" i="25"/>
  <c r="F883" i="25"/>
  <c r="F882" i="25"/>
  <c r="F881" i="25"/>
  <c r="F880" i="25"/>
  <c r="F879" i="25"/>
  <c r="F878" i="25"/>
  <c r="F877" i="25"/>
  <c r="F876" i="25"/>
  <c r="F875" i="25"/>
  <c r="F874" i="25"/>
  <c r="F873" i="25"/>
  <c r="F872" i="25"/>
  <c r="F871" i="25"/>
  <c r="F870" i="25"/>
  <c r="F869" i="25"/>
  <c r="F868" i="25"/>
  <c r="F867" i="25"/>
  <c r="F866" i="25"/>
  <c r="F865" i="25"/>
  <c r="F864" i="25"/>
  <c r="F863" i="25"/>
  <c r="F862" i="25"/>
  <c r="F861" i="25"/>
  <c r="F860" i="25"/>
  <c r="F859" i="25"/>
  <c r="F857" i="25"/>
  <c r="F856" i="25"/>
  <c r="F855" i="25"/>
  <c r="F854" i="25"/>
  <c r="F853" i="25"/>
  <c r="F852" i="25"/>
  <c r="F851" i="25"/>
  <c r="F850" i="25"/>
  <c r="F849" i="25"/>
  <c r="F848" i="25"/>
  <c r="F847" i="25"/>
  <c r="F846" i="25"/>
  <c r="F845" i="25"/>
  <c r="F844" i="25"/>
  <c r="F843" i="25"/>
  <c r="F842" i="25"/>
  <c r="F841" i="25"/>
  <c r="F839" i="25"/>
  <c r="F838" i="25"/>
  <c r="F837" i="25"/>
  <c r="F835" i="25"/>
  <c r="F834" i="25"/>
  <c r="F833" i="25"/>
  <c r="F832" i="25"/>
  <c r="F830" i="25"/>
  <c r="F829" i="25"/>
  <c r="F828" i="25"/>
  <c r="F827" i="25"/>
  <c r="F826" i="25"/>
  <c r="F824" i="25"/>
  <c r="F823" i="25"/>
  <c r="F822" i="25"/>
  <c r="F821" i="25"/>
  <c r="F820" i="25"/>
  <c r="F819" i="25"/>
  <c r="F818" i="25"/>
  <c r="F817" i="25"/>
  <c r="F816" i="25"/>
  <c r="F815" i="25"/>
  <c r="F814" i="25"/>
  <c r="F812" i="25"/>
  <c r="F811" i="25"/>
  <c r="F810" i="25"/>
  <c r="F809" i="25"/>
  <c r="F808" i="25"/>
  <c r="F807" i="25"/>
  <c r="F806" i="25"/>
  <c r="F805" i="25"/>
  <c r="F804" i="25"/>
  <c r="F803" i="25"/>
  <c r="F802" i="25"/>
  <c r="F801" i="25"/>
  <c r="F800" i="25"/>
  <c r="F799" i="25"/>
  <c r="F798" i="25"/>
  <c r="F797" i="25"/>
  <c r="F796" i="25"/>
  <c r="F795" i="25"/>
  <c r="F794" i="25"/>
  <c r="F793" i="25"/>
  <c r="F792" i="25"/>
  <c r="F791" i="25"/>
  <c r="F790" i="25"/>
  <c r="F789" i="25"/>
  <c r="F788" i="25"/>
  <c r="F787" i="25"/>
  <c r="F786" i="25"/>
  <c r="F785" i="25"/>
  <c r="F784" i="25"/>
  <c r="F783" i="25"/>
  <c r="F782" i="25"/>
  <c r="F781" i="25"/>
  <c r="F780" i="25"/>
  <c r="F779" i="25"/>
  <c r="F778" i="25"/>
  <c r="F777" i="25"/>
  <c r="F776" i="25"/>
  <c r="F775" i="25"/>
  <c r="F774" i="25"/>
  <c r="F773" i="25"/>
  <c r="F772" i="25"/>
  <c r="F771" i="25"/>
  <c r="F770" i="25"/>
  <c r="F769" i="25"/>
  <c r="F768" i="25"/>
  <c r="F767" i="25"/>
  <c r="F766" i="25"/>
  <c r="F765" i="25"/>
  <c r="F764" i="25"/>
  <c r="F763" i="25"/>
  <c r="F762" i="25"/>
  <c r="F761" i="25"/>
  <c r="F760" i="25"/>
  <c r="F759" i="25"/>
  <c r="AB12" i="13" s="1"/>
  <c r="F758" i="25"/>
  <c r="F757" i="25"/>
  <c r="F756" i="25"/>
  <c r="F755" i="25"/>
  <c r="F754" i="25"/>
  <c r="F753" i="25"/>
  <c r="F752" i="25"/>
  <c r="F751" i="25"/>
  <c r="F750" i="25"/>
  <c r="F749" i="25"/>
  <c r="F748" i="25"/>
  <c r="F747" i="25"/>
  <c r="F746" i="25"/>
  <c r="F745" i="25"/>
  <c r="F744" i="25"/>
  <c r="F743" i="25"/>
  <c r="F742" i="25"/>
  <c r="F741" i="25"/>
  <c r="F740" i="25"/>
  <c r="F739" i="25"/>
  <c r="F738" i="25"/>
  <c r="F737" i="25"/>
  <c r="F736" i="25"/>
  <c r="F735" i="25"/>
  <c r="F734" i="25"/>
  <c r="F733" i="25"/>
  <c r="F732" i="25"/>
  <c r="F731" i="25"/>
  <c r="F730" i="25"/>
  <c r="F729" i="25"/>
  <c r="F728" i="25"/>
  <c r="F727" i="25"/>
  <c r="F726" i="25"/>
  <c r="F723" i="25"/>
  <c r="F722" i="25"/>
  <c r="F721" i="25"/>
  <c r="F720" i="25"/>
  <c r="F719" i="25"/>
  <c r="F718" i="25"/>
  <c r="F717" i="25"/>
  <c r="F716" i="25"/>
  <c r="F715" i="25"/>
  <c r="F714" i="25"/>
  <c r="F713" i="25"/>
  <c r="F712" i="25"/>
  <c r="F711" i="25"/>
  <c r="F710" i="25"/>
  <c r="F709" i="25"/>
  <c r="F708" i="25"/>
  <c r="F707" i="25"/>
  <c r="F706" i="25"/>
  <c r="F705" i="25"/>
  <c r="F704" i="25"/>
  <c r="F703" i="25"/>
  <c r="F702" i="25"/>
  <c r="F701" i="25"/>
  <c r="F700" i="25"/>
  <c r="F699" i="25"/>
  <c r="F698" i="25"/>
  <c r="F697" i="25"/>
  <c r="F696" i="25"/>
  <c r="F695" i="25"/>
  <c r="F694" i="25"/>
  <c r="F693" i="25"/>
  <c r="F692" i="25"/>
  <c r="F691" i="25"/>
  <c r="F690" i="25"/>
  <c r="F689" i="25"/>
  <c r="F688" i="25"/>
  <c r="F687" i="25"/>
  <c r="F686" i="25"/>
  <c r="F685" i="25"/>
  <c r="F684" i="25"/>
  <c r="F683" i="25"/>
  <c r="F682" i="25"/>
  <c r="F681" i="25"/>
  <c r="F680" i="25"/>
  <c r="F679" i="25"/>
  <c r="F678" i="25"/>
  <c r="F677" i="25"/>
  <c r="F676" i="25"/>
  <c r="F675" i="25"/>
  <c r="F674" i="25"/>
  <c r="F673" i="25"/>
  <c r="F672" i="25"/>
  <c r="F671" i="25"/>
  <c r="F670" i="25"/>
  <c r="F669" i="25"/>
  <c r="F668" i="25"/>
  <c r="F667" i="25"/>
  <c r="F666" i="25"/>
  <c r="F665" i="25"/>
  <c r="F664" i="25"/>
  <c r="F663" i="25"/>
  <c r="F662" i="25"/>
  <c r="F661" i="25"/>
  <c r="F660" i="25"/>
  <c r="F659" i="25"/>
  <c r="F658" i="25"/>
  <c r="F657" i="25"/>
  <c r="F656" i="25"/>
  <c r="F655" i="25"/>
  <c r="F654" i="25"/>
  <c r="F653" i="25"/>
  <c r="F652" i="25"/>
  <c r="F651" i="25"/>
  <c r="F650" i="25"/>
  <c r="F649" i="25"/>
  <c r="F648" i="25"/>
  <c r="F647" i="25"/>
  <c r="F646" i="25"/>
  <c r="F645" i="25"/>
  <c r="F644" i="25"/>
  <c r="F643" i="25"/>
  <c r="F642" i="25"/>
  <c r="F641" i="25"/>
  <c r="F640" i="25"/>
  <c r="F638" i="25"/>
  <c r="F637" i="25"/>
  <c r="F636" i="25"/>
  <c r="F635" i="25"/>
  <c r="F634" i="25"/>
  <c r="F633" i="25"/>
  <c r="F632" i="25"/>
  <c r="F631" i="25"/>
  <c r="F630" i="25"/>
  <c r="F629" i="25"/>
  <c r="F628" i="25"/>
  <c r="F627" i="25"/>
  <c r="F626" i="25"/>
  <c r="F625" i="25"/>
  <c r="F624" i="25"/>
  <c r="F623" i="25"/>
  <c r="F622" i="25"/>
  <c r="F621" i="25"/>
  <c r="F620" i="25"/>
  <c r="F619" i="25"/>
  <c r="F618" i="25"/>
  <c r="F617" i="25"/>
  <c r="F616" i="25"/>
  <c r="F615" i="25"/>
  <c r="F614" i="25"/>
  <c r="F613" i="25"/>
  <c r="F612" i="25"/>
  <c r="F611" i="25"/>
  <c r="F610" i="25"/>
  <c r="F609" i="25"/>
  <c r="F608" i="25"/>
  <c r="F607" i="25"/>
  <c r="F606" i="25"/>
  <c r="F605" i="25"/>
  <c r="F604" i="25"/>
  <c r="F603" i="25"/>
  <c r="F602" i="25"/>
  <c r="F601" i="25"/>
  <c r="F600" i="25"/>
  <c r="F598" i="25"/>
  <c r="F597" i="25"/>
  <c r="F596" i="25"/>
  <c r="F595" i="25"/>
  <c r="F594" i="25"/>
  <c r="F593" i="25"/>
  <c r="F592" i="25"/>
  <c r="F591" i="25"/>
  <c r="F590" i="25"/>
  <c r="F589" i="25"/>
  <c r="F588" i="25"/>
  <c r="F587" i="25"/>
  <c r="F586" i="25"/>
  <c r="AB10" i="13" s="1"/>
  <c r="F585" i="25"/>
  <c r="F584" i="25"/>
  <c r="F583" i="25"/>
  <c r="F582" i="25"/>
  <c r="F581" i="25"/>
  <c r="F580" i="25"/>
  <c r="F579" i="25"/>
  <c r="F578" i="25"/>
  <c r="F576" i="25"/>
  <c r="F575" i="25"/>
  <c r="F574" i="25"/>
  <c r="F573" i="25"/>
  <c r="F572" i="25"/>
  <c r="F571" i="25"/>
  <c r="F570" i="25"/>
  <c r="F569" i="25"/>
  <c r="F568" i="25"/>
  <c r="F567" i="25"/>
  <c r="F566" i="25"/>
  <c r="F565" i="25"/>
  <c r="F564" i="25"/>
  <c r="F563" i="25"/>
  <c r="F562" i="25"/>
  <c r="F561" i="25"/>
  <c r="F560" i="25"/>
  <c r="F559" i="25"/>
  <c r="F558" i="25"/>
  <c r="F557" i="25"/>
  <c r="F556" i="25"/>
  <c r="F555" i="25"/>
  <c r="F554" i="25"/>
  <c r="F553" i="25"/>
  <c r="F552" i="25"/>
  <c r="F551" i="25"/>
  <c r="F550" i="25"/>
  <c r="F549" i="25"/>
  <c r="F548" i="25"/>
  <c r="F547" i="25"/>
  <c r="F546" i="25"/>
  <c r="F545" i="25"/>
  <c r="F544" i="25"/>
  <c r="F543" i="25"/>
  <c r="F542" i="25"/>
  <c r="F541" i="25"/>
  <c r="F540" i="25"/>
  <c r="F539" i="25"/>
  <c r="F538" i="25"/>
  <c r="F537" i="25"/>
  <c r="F536" i="25"/>
  <c r="F535" i="25"/>
  <c r="F534" i="25"/>
  <c r="F533" i="25"/>
  <c r="F532" i="25"/>
  <c r="F531" i="25"/>
  <c r="F530" i="25"/>
  <c r="F529" i="25"/>
  <c r="F528" i="25"/>
  <c r="F527" i="25"/>
  <c r="F526" i="25"/>
  <c r="F525" i="25"/>
  <c r="F524" i="25"/>
  <c r="F523" i="25"/>
  <c r="F522" i="25"/>
  <c r="F521" i="25"/>
  <c r="F520" i="25"/>
  <c r="F519" i="25"/>
  <c r="F518" i="25"/>
  <c r="F517" i="25"/>
  <c r="F516" i="25"/>
  <c r="F515" i="25"/>
  <c r="F514" i="25"/>
  <c r="F512" i="25"/>
  <c r="F511" i="25"/>
  <c r="F510" i="25"/>
  <c r="F509" i="25"/>
  <c r="F508" i="25"/>
  <c r="F507" i="25"/>
  <c r="F506" i="25"/>
  <c r="F505" i="25"/>
  <c r="F504" i="25"/>
  <c r="F503" i="25"/>
  <c r="F502" i="25"/>
  <c r="F501" i="25"/>
  <c r="F500" i="25"/>
  <c r="F499" i="25"/>
  <c r="F497" i="25"/>
  <c r="F496" i="25"/>
  <c r="F495" i="25"/>
  <c r="F494" i="25"/>
  <c r="F493" i="25"/>
  <c r="F492" i="25"/>
  <c r="AB9" i="13" s="1"/>
  <c r="F491" i="25"/>
  <c r="F490" i="25"/>
  <c r="F489" i="25"/>
  <c r="F488" i="25"/>
  <c r="F487" i="25"/>
  <c r="F486" i="25"/>
  <c r="F485" i="25"/>
  <c r="F484" i="25"/>
  <c r="F483" i="25"/>
  <c r="F482" i="25"/>
  <c r="F481" i="25"/>
  <c r="F480" i="25"/>
  <c r="F479" i="25"/>
  <c r="F478" i="25"/>
  <c r="F477" i="25"/>
  <c r="F476" i="25"/>
  <c r="F475" i="25"/>
  <c r="F474" i="25"/>
  <c r="F473" i="25"/>
  <c r="F472" i="25"/>
  <c r="F471" i="25"/>
  <c r="F470" i="25"/>
  <c r="F469" i="25"/>
  <c r="F468" i="25"/>
  <c r="F467" i="25"/>
  <c r="F466" i="25"/>
  <c r="F465" i="25"/>
  <c r="F464" i="25"/>
  <c r="F463" i="25"/>
  <c r="F462" i="25"/>
  <c r="F461" i="25"/>
  <c r="F460" i="25"/>
  <c r="F459" i="25"/>
  <c r="F458" i="25"/>
  <c r="F457" i="25"/>
  <c r="F456" i="25"/>
  <c r="F455" i="25"/>
  <c r="F454" i="25"/>
  <c r="F453" i="25"/>
  <c r="F452" i="25"/>
  <c r="F451" i="25"/>
  <c r="F450" i="25"/>
  <c r="F449" i="25"/>
  <c r="F448" i="25"/>
  <c r="F447" i="25"/>
  <c r="F446" i="25"/>
  <c r="F445" i="25"/>
  <c r="F444" i="25"/>
  <c r="F443" i="25"/>
  <c r="F442" i="25"/>
  <c r="F441" i="25"/>
  <c r="F440" i="25"/>
  <c r="F439" i="25"/>
  <c r="F438" i="25"/>
  <c r="F437" i="25"/>
  <c r="F436" i="25"/>
  <c r="F435" i="25"/>
  <c r="F434" i="25"/>
  <c r="F432" i="25"/>
  <c r="F431" i="25"/>
  <c r="F430" i="25"/>
  <c r="F429" i="25"/>
  <c r="F428" i="25"/>
  <c r="F427" i="25"/>
  <c r="F426" i="25"/>
  <c r="F425" i="25"/>
  <c r="F424" i="25"/>
  <c r="F423" i="25"/>
  <c r="F422" i="25"/>
  <c r="F421" i="25"/>
  <c r="F420" i="25"/>
  <c r="F419" i="25"/>
  <c r="F418" i="25"/>
  <c r="F417" i="25"/>
  <c r="F416" i="25"/>
  <c r="F415" i="25"/>
  <c r="F414" i="25"/>
  <c r="F413" i="25"/>
  <c r="F412" i="25"/>
  <c r="F411" i="25"/>
  <c r="F410" i="25"/>
  <c r="F409" i="25"/>
  <c r="F408" i="25"/>
  <c r="F407" i="25"/>
  <c r="F406" i="25"/>
  <c r="F405" i="25"/>
  <c r="F404" i="25"/>
  <c r="F403" i="25"/>
  <c r="F402" i="25"/>
  <c r="F401" i="25"/>
  <c r="F400" i="25"/>
  <c r="F399" i="25"/>
  <c r="F398" i="25"/>
  <c r="F397" i="25"/>
  <c r="F396" i="25"/>
  <c r="F395" i="25"/>
  <c r="F394" i="25"/>
  <c r="F393" i="25"/>
  <c r="F392" i="25"/>
  <c r="F391" i="25"/>
  <c r="F390" i="25"/>
  <c r="F389" i="25"/>
  <c r="F388" i="25"/>
  <c r="F387" i="25"/>
  <c r="F386" i="25"/>
  <c r="F385" i="25"/>
  <c r="F384" i="25"/>
  <c r="F383" i="25"/>
  <c r="F382" i="25"/>
  <c r="F381" i="25"/>
  <c r="F380" i="25"/>
  <c r="F379" i="25"/>
  <c r="F378" i="25"/>
  <c r="F377" i="25"/>
  <c r="F376" i="25"/>
  <c r="F375" i="25"/>
  <c r="F374" i="25"/>
  <c r="F373" i="25"/>
  <c r="F372" i="25"/>
  <c r="F371" i="25"/>
  <c r="F370" i="25"/>
  <c r="F369" i="25"/>
  <c r="F368" i="25"/>
  <c r="F367" i="25"/>
  <c r="F366" i="25"/>
  <c r="F365" i="25"/>
  <c r="F364" i="25"/>
  <c r="F363" i="25"/>
  <c r="F360" i="25"/>
  <c r="F359" i="25"/>
  <c r="F358" i="25"/>
  <c r="F357" i="25"/>
  <c r="F356" i="25"/>
  <c r="F355" i="25"/>
  <c r="F354" i="25"/>
  <c r="F353" i="25"/>
  <c r="F352" i="25"/>
  <c r="F351" i="25"/>
  <c r="F350" i="25"/>
  <c r="F349" i="25"/>
  <c r="F348" i="25"/>
  <c r="F346" i="25"/>
  <c r="F345" i="25"/>
  <c r="F344" i="25"/>
  <c r="F343" i="25"/>
  <c r="F342" i="25"/>
  <c r="F341" i="25"/>
  <c r="F340" i="25"/>
  <c r="F339" i="25"/>
  <c r="F338" i="25"/>
  <c r="F337" i="25"/>
  <c r="F336" i="25"/>
  <c r="F335" i="25"/>
  <c r="F334" i="25"/>
  <c r="F333" i="25"/>
  <c r="F332" i="25"/>
  <c r="F331" i="25"/>
  <c r="F330" i="25"/>
  <c r="F329" i="25"/>
  <c r="F328" i="25"/>
  <c r="F327" i="25"/>
  <c r="F326" i="25"/>
  <c r="F325" i="25"/>
  <c r="F324" i="25"/>
  <c r="F323" i="25"/>
  <c r="F322" i="25"/>
  <c r="F321" i="25"/>
  <c r="F320" i="25"/>
  <c r="F319" i="25"/>
  <c r="F318" i="25"/>
  <c r="F317" i="25"/>
  <c r="F315" i="25"/>
  <c r="F313" i="25"/>
  <c r="F312" i="25"/>
  <c r="F310" i="25"/>
  <c r="F309" i="25"/>
  <c r="F308" i="25"/>
  <c r="F307" i="25"/>
  <c r="F306" i="25"/>
  <c r="F305" i="25"/>
  <c r="F304" i="25"/>
  <c r="F303" i="25"/>
  <c r="F302" i="25"/>
  <c r="F301" i="25"/>
  <c r="F300" i="25"/>
  <c r="F299" i="25"/>
  <c r="F298" i="25"/>
  <c r="F297" i="25"/>
  <c r="F296" i="25"/>
  <c r="F295" i="25"/>
  <c r="F294" i="25"/>
  <c r="F293" i="25"/>
  <c r="F292" i="25"/>
  <c r="F290" i="25"/>
  <c r="F289" i="25"/>
  <c r="F288" i="25"/>
  <c r="F287" i="25"/>
  <c r="F286" i="25"/>
  <c r="F285" i="25"/>
  <c r="F284" i="25"/>
  <c r="F283" i="25"/>
  <c r="F282" i="25"/>
  <c r="F281" i="25"/>
  <c r="F280" i="25"/>
  <c r="F279" i="25"/>
  <c r="F278" i="25"/>
  <c r="F277" i="25"/>
  <c r="F276" i="25"/>
  <c r="F275" i="25"/>
  <c r="F274" i="25"/>
  <c r="F273" i="25"/>
  <c r="F272" i="25"/>
  <c r="F271" i="25"/>
  <c r="F270" i="25"/>
  <c r="F269" i="25"/>
  <c r="F268" i="25"/>
  <c r="F267" i="25"/>
  <c r="F266" i="25"/>
  <c r="F265" i="25"/>
  <c r="F264" i="25"/>
  <c r="F263" i="25"/>
  <c r="F262" i="25"/>
  <c r="F261" i="25"/>
  <c r="F260" i="25"/>
  <c r="F259" i="25"/>
  <c r="F258" i="25"/>
  <c r="F257" i="25"/>
  <c r="F256" i="25"/>
  <c r="F255" i="25"/>
  <c r="F254" i="25"/>
  <c r="F253" i="25"/>
  <c r="F252" i="25"/>
  <c r="F251" i="25"/>
  <c r="F250" i="25"/>
  <c r="F249" i="25"/>
  <c r="F248" i="25"/>
  <c r="F247" i="25"/>
  <c r="F246" i="25"/>
  <c r="F245" i="25"/>
  <c r="F244" i="25"/>
  <c r="F243" i="25"/>
  <c r="F242" i="25"/>
  <c r="F241" i="25"/>
  <c r="F240" i="25"/>
  <c r="F239" i="25"/>
  <c r="F238" i="25"/>
  <c r="F237" i="25"/>
  <c r="F236" i="25"/>
  <c r="F235" i="25"/>
  <c r="F234" i="25"/>
  <c r="AB6" i="13" s="1"/>
  <c r="F233" i="25"/>
  <c r="F232" i="25"/>
  <c r="F231" i="25"/>
  <c r="F230" i="25"/>
  <c r="F229" i="25"/>
  <c r="F228" i="25"/>
  <c r="F227" i="25"/>
  <c r="F226" i="25"/>
  <c r="F225" i="25"/>
  <c r="F224" i="25"/>
  <c r="F223" i="25"/>
  <c r="F222" i="25"/>
  <c r="F221" i="25"/>
  <c r="F220" i="25"/>
  <c r="F219" i="25"/>
  <c r="F218" i="25"/>
  <c r="F217" i="25"/>
  <c r="F216" i="25"/>
  <c r="F215" i="25"/>
  <c r="F214" i="25"/>
  <c r="F213" i="25"/>
  <c r="F212" i="25"/>
  <c r="F211" i="25"/>
  <c r="F210" i="25"/>
  <c r="F209" i="25"/>
  <c r="F208" i="25"/>
  <c r="F207" i="25"/>
  <c r="F206" i="25"/>
  <c r="F205" i="25"/>
  <c r="F204" i="25"/>
  <c r="F203" i="25"/>
  <c r="F202" i="25"/>
  <c r="F201" i="25"/>
  <c r="F199" i="25"/>
  <c r="F198" i="25"/>
  <c r="F197" i="25"/>
  <c r="F196" i="25"/>
  <c r="F195" i="25"/>
  <c r="F194" i="25"/>
  <c r="F193" i="25"/>
  <c r="F192" i="25"/>
  <c r="F191" i="25"/>
  <c r="F190" i="25"/>
  <c r="F189" i="25"/>
  <c r="F188" i="25"/>
  <c r="F187" i="25"/>
  <c r="F186" i="25"/>
  <c r="F185" i="25"/>
  <c r="F184" i="25"/>
  <c r="F183" i="25"/>
  <c r="F182" i="25"/>
  <c r="F181" i="25"/>
  <c r="F180" i="25"/>
  <c r="F179" i="25"/>
  <c r="F178" i="25"/>
  <c r="F177" i="25"/>
  <c r="F176" i="25"/>
  <c r="F175" i="25"/>
  <c r="F174" i="25"/>
  <c r="F173" i="25"/>
  <c r="F172" i="25"/>
  <c r="F171" i="25"/>
  <c r="F170" i="25"/>
  <c r="F169" i="25"/>
  <c r="F168" i="25"/>
  <c r="F167" i="25"/>
  <c r="F166" i="25"/>
  <c r="F165" i="25"/>
  <c r="F164" i="25"/>
  <c r="F163" i="25"/>
  <c r="F162" i="25"/>
  <c r="F161" i="25"/>
  <c r="F160" i="25"/>
  <c r="F159" i="25"/>
  <c r="F158" i="25"/>
  <c r="F157" i="25"/>
  <c r="F156" i="25"/>
  <c r="F155" i="25"/>
  <c r="F154" i="25"/>
  <c r="F153" i="25"/>
  <c r="F152" i="25"/>
  <c r="F151" i="25"/>
  <c r="F150" i="25"/>
  <c r="F149" i="25"/>
  <c r="F148" i="25"/>
  <c r="F147" i="25"/>
  <c r="F146" i="25"/>
  <c r="F145" i="25"/>
  <c r="F144" i="25"/>
  <c r="F143" i="25"/>
  <c r="F142" i="25"/>
  <c r="F141" i="25"/>
  <c r="F140" i="25"/>
  <c r="F139" i="25"/>
  <c r="F138" i="25"/>
  <c r="F137" i="25"/>
  <c r="F136" i="25"/>
  <c r="F135" i="25"/>
  <c r="F134" i="25"/>
  <c r="F133" i="25"/>
  <c r="F132" i="25"/>
  <c r="F131" i="25"/>
  <c r="F130" i="25"/>
  <c r="F129" i="25"/>
  <c r="F128" i="25"/>
  <c r="F127" i="25"/>
  <c r="F126" i="25"/>
  <c r="F125" i="25"/>
  <c r="F124" i="25"/>
  <c r="F123" i="25"/>
  <c r="F122" i="25"/>
  <c r="F121" i="25"/>
  <c r="F120" i="25"/>
  <c r="F119" i="25"/>
  <c r="F118" i="25"/>
  <c r="F117" i="25"/>
  <c r="F116" i="25"/>
  <c r="F115" i="25"/>
  <c r="F114" i="25"/>
  <c r="F113" i="25"/>
  <c r="F112" i="25"/>
  <c r="F111" i="25"/>
  <c r="F110" i="25"/>
  <c r="F109" i="25"/>
  <c r="F108" i="25"/>
  <c r="F107" i="25"/>
  <c r="F106" i="25"/>
  <c r="F105" i="25"/>
  <c r="F104" i="25"/>
  <c r="F103" i="25"/>
  <c r="F102" i="25"/>
  <c r="F101" i="25"/>
  <c r="F100" i="25"/>
  <c r="F99" i="25"/>
  <c r="F98" i="25"/>
  <c r="F97" i="25"/>
  <c r="F96" i="25"/>
  <c r="F95" i="25"/>
  <c r="F94" i="25"/>
  <c r="F93" i="25"/>
  <c r="F92" i="25"/>
  <c r="F91" i="25"/>
  <c r="F90" i="25"/>
  <c r="F89" i="25"/>
  <c r="F88" i="25"/>
  <c r="F87" i="25"/>
  <c r="F86" i="25"/>
  <c r="F85" i="25"/>
  <c r="F84" i="25"/>
  <c r="F83" i="25"/>
  <c r="F82" i="25"/>
  <c r="F81" i="25"/>
  <c r="F80" i="25"/>
  <c r="F79" i="25"/>
  <c r="F78" i="25"/>
  <c r="F77" i="25"/>
  <c r="F76" i="25"/>
  <c r="F75" i="25"/>
  <c r="F74" i="25"/>
  <c r="F73" i="25"/>
  <c r="F72" i="25"/>
  <c r="F71" i="25"/>
  <c r="F70" i="25"/>
  <c r="F69" i="25"/>
  <c r="F68" i="25"/>
  <c r="F67" i="25"/>
  <c r="F66" i="25"/>
  <c r="F65" i="25"/>
  <c r="F64" i="25"/>
  <c r="F63" i="25"/>
  <c r="F62" i="25"/>
  <c r="F61" i="25"/>
  <c r="F60" i="25"/>
  <c r="F59" i="25"/>
  <c r="F58" i="25"/>
  <c r="F57" i="25"/>
  <c r="F56" i="25"/>
  <c r="F55" i="25"/>
  <c r="F54" i="25"/>
  <c r="F53" i="25"/>
  <c r="F52" i="25"/>
  <c r="F51" i="25"/>
  <c r="F50" i="25"/>
  <c r="F49" i="25"/>
  <c r="F48" i="25"/>
  <c r="F47" i="25"/>
  <c r="F46" i="25"/>
  <c r="F45" i="25"/>
  <c r="F44" i="25"/>
  <c r="F43" i="25"/>
  <c r="F42" i="25"/>
  <c r="F41" i="25"/>
  <c r="F40" i="25"/>
  <c r="F39" i="25"/>
  <c r="F38" i="25"/>
  <c r="F37" i="25"/>
  <c r="F36" i="25"/>
  <c r="F35" i="25"/>
  <c r="F34" i="25"/>
  <c r="F33" i="25"/>
  <c r="F32" i="25"/>
  <c r="F31" i="25"/>
  <c r="F30" i="25"/>
  <c r="F29" i="25"/>
  <c r="F28" i="25"/>
  <c r="F27" i="25"/>
  <c r="F26" i="25"/>
  <c r="F25" i="25"/>
  <c r="F22" i="25"/>
  <c r="F21" i="25"/>
  <c r="F24" i="25"/>
  <c r="F19" i="25"/>
  <c r="F23" i="25"/>
  <c r="Y4" i="13" s="1"/>
  <c r="F20" i="25"/>
  <c r="F18" i="25"/>
  <c r="F17" i="25"/>
  <c r="F16" i="25"/>
  <c r="F15" i="25"/>
  <c r="F14" i="25"/>
  <c r="F13" i="25"/>
  <c r="F12" i="25"/>
  <c r="F11" i="25"/>
  <c r="F10" i="25"/>
  <c r="F9" i="25"/>
  <c r="F8" i="25"/>
  <c r="S3" i="13" s="1"/>
  <c r="F7" i="25"/>
  <c r="F6" i="25"/>
  <c r="F5" i="25"/>
  <c r="S2" i="13" s="1"/>
  <c r="F4" i="25"/>
  <c r="F3" i="25"/>
  <c r="Q2" i="25"/>
  <c r="R915" i="1" l="1"/>
  <c r="R892" i="1"/>
  <c r="R888" i="1"/>
  <c r="R1022" i="1"/>
  <c r="R889" i="1"/>
  <c r="R887" i="1"/>
  <c r="R906" i="1"/>
  <c r="R1035" i="1"/>
  <c r="M48" i="15"/>
  <c r="M873" i="15"/>
  <c r="X182" i="3" s="1"/>
  <c r="M874" i="15"/>
  <c r="X183" i="3" s="1"/>
  <c r="E1450" i="15" s="1"/>
  <c r="T182" i="3"/>
  <c r="T183" i="3"/>
  <c r="T184" i="3"/>
  <c r="C33" i="30"/>
  <c r="D25" i="30"/>
  <c r="D26" i="30"/>
  <c r="D27" i="30"/>
  <c r="G27" i="30" s="1"/>
  <c r="Y16" i="13"/>
  <c r="R2" i="13"/>
  <c r="Y15" i="13"/>
  <c r="E26" i="30"/>
  <c r="T17" i="13"/>
  <c r="AA17" i="13" s="1"/>
  <c r="Z16" i="13"/>
  <c r="S15" i="13"/>
  <c r="R15" i="13"/>
  <c r="C34" i="30"/>
  <c r="T30" i="13"/>
  <c r="T32" i="13"/>
  <c r="AA32" i="13" s="1"/>
  <c r="T31" i="13"/>
  <c r="T34" i="13"/>
  <c r="C25" i="30"/>
  <c r="T37" i="13"/>
  <c r="T21" i="13"/>
  <c r="T20" i="13"/>
  <c r="T18" i="13"/>
  <c r="T36" i="13"/>
  <c r="T25" i="13"/>
  <c r="T39" i="13"/>
  <c r="T38" i="13"/>
  <c r="T22" i="13"/>
  <c r="T27" i="13"/>
  <c r="T23" i="13"/>
  <c r="T19" i="13"/>
  <c r="T28" i="13"/>
  <c r="T35" i="13"/>
  <c r="T29" i="13"/>
  <c r="T33" i="13"/>
  <c r="T24" i="13"/>
  <c r="T2" i="13"/>
  <c r="T26" i="13"/>
  <c r="T3" i="13"/>
  <c r="C24" i="30"/>
  <c r="D23" i="30"/>
  <c r="D24" i="30"/>
  <c r="C26" i="30"/>
  <c r="C23" i="30"/>
  <c r="E28" i="30"/>
  <c r="AG20" i="13"/>
  <c r="AG30" i="13"/>
  <c r="AG37" i="13"/>
  <c r="AG34" i="13"/>
  <c r="AG23" i="13"/>
  <c r="AG33" i="13"/>
  <c r="AG22" i="13"/>
  <c r="AG32" i="13"/>
  <c r="AG21" i="13"/>
  <c r="AG19" i="13"/>
  <c r="AG29" i="13"/>
  <c r="AG39" i="13"/>
  <c r="AG17" i="13"/>
  <c r="AG27" i="13"/>
  <c r="AG36" i="13"/>
  <c r="AG25" i="13"/>
  <c r="AG35" i="13"/>
  <c r="AG24" i="13"/>
  <c r="AG31" i="13"/>
  <c r="AG28" i="13"/>
  <c r="AG38" i="13"/>
  <c r="AG26" i="13"/>
  <c r="E34" i="30"/>
  <c r="D34" i="30"/>
  <c r="E23" i="30"/>
  <c r="E21" i="30"/>
  <c r="D33" i="30"/>
  <c r="E33" i="30"/>
  <c r="E22" i="30"/>
  <c r="E2626" i="15"/>
  <c r="E2745" i="15"/>
  <c r="E2727" i="15"/>
  <c r="E2513" i="15"/>
  <c r="E2550" i="15"/>
  <c r="E2589" i="15"/>
  <c r="E2536" i="15"/>
  <c r="E2497" i="15"/>
  <c r="E2686" i="15"/>
  <c r="E2452" i="15"/>
  <c r="E2709" i="15"/>
  <c r="E2613" i="15"/>
  <c r="E2575" i="15"/>
  <c r="E2470" i="15"/>
  <c r="E2404" i="15"/>
  <c r="E2658" i="15"/>
  <c r="E2648" i="15"/>
  <c r="E2700" i="15"/>
  <c r="E2859" i="15"/>
  <c r="E2676" i="15"/>
  <c r="E878" i="15"/>
  <c r="E1338" i="15"/>
  <c r="E1533" i="15"/>
  <c r="E899" i="15"/>
  <c r="E2353" i="15"/>
  <c r="E1116" i="15"/>
  <c r="E1224" i="15"/>
  <c r="E1437" i="15"/>
  <c r="E2008" i="15"/>
  <c r="E1772" i="15"/>
  <c r="E1852" i="15"/>
  <c r="E1932" i="15"/>
  <c r="E2084" i="15"/>
  <c r="E2231" i="15"/>
  <c r="E1616" i="15"/>
  <c r="E2158" i="15"/>
  <c r="E1697" i="15"/>
  <c r="E2293" i="15"/>
  <c r="V2" i="13"/>
  <c r="H184" i="3"/>
  <c r="H183" i="3"/>
  <c r="H182" i="3"/>
  <c r="I184" i="3"/>
  <c r="I183" i="3"/>
  <c r="N183" i="3"/>
  <c r="R183" i="3"/>
  <c r="R182" i="3"/>
  <c r="S16" i="13"/>
  <c r="I182" i="3"/>
  <c r="S6" i="13"/>
  <c r="AB11" i="13"/>
  <c r="AG3" i="13"/>
  <c r="AG2" i="13"/>
  <c r="S12" i="13"/>
  <c r="S8" i="13"/>
  <c r="S11" i="13"/>
  <c r="S14" i="13"/>
  <c r="S9" i="13"/>
  <c r="S7" i="13"/>
  <c r="S4" i="13"/>
  <c r="S10" i="13"/>
  <c r="S13" i="13"/>
  <c r="W12" i="13"/>
  <c r="W6" i="13"/>
  <c r="W11" i="13"/>
  <c r="X10" i="13"/>
  <c r="V3" i="13"/>
  <c r="X4" i="13"/>
  <c r="W7" i="13"/>
  <c r="V8" i="13"/>
  <c r="X9" i="13"/>
  <c r="V11" i="13"/>
  <c r="X12" i="13"/>
  <c r="V14" i="13"/>
  <c r="V15" i="13"/>
  <c r="X11" i="13"/>
  <c r="V5" i="13"/>
  <c r="W9" i="13"/>
  <c r="V12" i="13"/>
  <c r="V16" i="13"/>
  <c r="X15" i="13"/>
  <c r="V10" i="13"/>
  <c r="X5" i="13"/>
  <c r="X8" i="13"/>
  <c r="W13" i="13"/>
  <c r="X6" i="13"/>
  <c r="V6" i="13"/>
  <c r="X14" i="13"/>
  <c r="W10" i="13"/>
  <c r="V7" i="13"/>
  <c r="W16" i="13"/>
  <c r="W8" i="13"/>
  <c r="X13" i="13"/>
  <c r="W15" i="13"/>
  <c r="X16" i="13"/>
  <c r="W3" i="13"/>
  <c r="X7" i="13"/>
  <c r="V13" i="13"/>
  <c r="V4" i="13"/>
  <c r="W14" i="13"/>
  <c r="V9" i="13"/>
  <c r="X3" i="13"/>
  <c r="W4" i="13"/>
  <c r="W5" i="13"/>
  <c r="R16" i="13"/>
  <c r="Y7" i="13"/>
  <c r="Y6" i="13"/>
  <c r="Y5" i="13"/>
  <c r="Y8" i="13"/>
  <c r="Y11" i="13"/>
  <c r="Y12" i="13"/>
  <c r="Y13" i="13"/>
  <c r="Y14" i="13"/>
  <c r="Y10" i="13"/>
  <c r="Y9" i="13"/>
  <c r="Z7" i="13"/>
  <c r="Z8" i="13"/>
  <c r="Z15" i="13"/>
  <c r="Z10" i="13"/>
  <c r="Z3" i="13"/>
  <c r="Z14" i="13"/>
  <c r="Z5" i="13"/>
  <c r="Z4" i="13"/>
  <c r="R8" i="13"/>
  <c r="R12" i="13"/>
  <c r="R14" i="13"/>
  <c r="R9" i="13"/>
  <c r="Z12" i="13"/>
  <c r="R13" i="13"/>
  <c r="Z13" i="13"/>
  <c r="R10" i="13"/>
  <c r="Z11" i="13"/>
  <c r="R11" i="13"/>
  <c r="R7" i="13"/>
  <c r="Z9" i="13"/>
  <c r="Z2" i="13"/>
  <c r="R5" i="13"/>
  <c r="R4" i="13"/>
  <c r="Z6" i="13"/>
  <c r="R6" i="13"/>
  <c r="R3" i="13"/>
  <c r="B2295" i="15"/>
  <c r="B2354" i="15"/>
  <c r="B2405" i="15"/>
  <c r="B2453" i="15"/>
  <c r="D2295" i="15"/>
  <c r="D2354" i="15"/>
  <c r="D2405" i="15"/>
  <c r="D2453" i="15"/>
  <c r="F2295" i="15"/>
  <c r="F2354" i="15"/>
  <c r="F2405" i="15"/>
  <c r="F2453" i="15"/>
  <c r="L2295" i="15" a="1"/>
  <c r="L2295" i="15" s="1"/>
  <c r="M2295" i="15" s="1"/>
  <c r="L2354" i="15" a="1"/>
  <c r="L2354" i="15" s="1"/>
  <c r="M2354" i="15" s="1"/>
  <c r="L2405" i="15" a="1"/>
  <c r="L2405" i="15" s="1"/>
  <c r="M2405" i="15" s="1"/>
  <c r="L2453" i="15" a="1"/>
  <c r="L2453" i="15" s="1"/>
  <c r="M2453" i="15" s="1"/>
  <c r="B2086" i="15"/>
  <c r="B2160" i="15"/>
  <c r="B2233" i="15"/>
  <c r="D2086" i="15"/>
  <c r="D2160" i="15"/>
  <c r="D2233" i="15"/>
  <c r="F2086" i="15"/>
  <c r="F2160" i="15"/>
  <c r="F2233" i="15"/>
  <c r="L2086" i="15" a="1"/>
  <c r="L2086" i="15" s="1"/>
  <c r="M2086" i="15" s="1"/>
  <c r="L2160" i="15" a="1"/>
  <c r="L2160" i="15" s="1"/>
  <c r="M2160" i="15" s="1"/>
  <c r="L2233" i="15" a="1"/>
  <c r="L2233" i="15" s="1"/>
  <c r="M2233" i="15" s="1"/>
  <c r="B870" i="15"/>
  <c r="B1007" i="15"/>
  <c r="B1121" i="15"/>
  <c r="B1229" i="15"/>
  <c r="B1343" i="15"/>
  <c r="B1442" i="15"/>
  <c r="B1538" i="15"/>
  <c r="B1621" i="15"/>
  <c r="B1700" i="15"/>
  <c r="B1775" i="15"/>
  <c r="B1855" i="15"/>
  <c r="B1934" i="15"/>
  <c r="B2010" i="15"/>
  <c r="D870" i="15"/>
  <c r="D1007" i="15"/>
  <c r="D1121" i="15"/>
  <c r="D1229" i="15"/>
  <c r="D1343" i="15"/>
  <c r="D1442" i="15"/>
  <c r="D1538" i="15"/>
  <c r="D1621" i="15"/>
  <c r="D1700" i="15"/>
  <c r="D1775" i="15"/>
  <c r="D1855" i="15"/>
  <c r="D1934" i="15"/>
  <c r="D2010" i="15"/>
  <c r="F870" i="15"/>
  <c r="F1007" i="15"/>
  <c r="F1121" i="15"/>
  <c r="F1229" i="15"/>
  <c r="F1343" i="15"/>
  <c r="F1442" i="15"/>
  <c r="F1538" i="15"/>
  <c r="F1621" i="15"/>
  <c r="F1700" i="15"/>
  <c r="F1775" i="15"/>
  <c r="F1855" i="15"/>
  <c r="F1934" i="15"/>
  <c r="F2010" i="15"/>
  <c r="L870" i="15" a="1"/>
  <c r="L870" i="15" s="1"/>
  <c r="M870" i="15" s="1"/>
  <c r="L1007" i="15" a="1"/>
  <c r="L1007" i="15" s="1"/>
  <c r="M1007" i="15" s="1"/>
  <c r="L1121" i="15" a="1"/>
  <c r="L1121" i="15" s="1"/>
  <c r="M1121" i="15" s="1"/>
  <c r="L1229" i="15" a="1"/>
  <c r="L1229" i="15" s="1"/>
  <c r="M1229" i="15" s="1"/>
  <c r="L1343" i="15" a="1"/>
  <c r="L1343" i="15" s="1"/>
  <c r="M1343" i="15" s="1"/>
  <c r="L1442" i="15" a="1"/>
  <c r="L1442" i="15" s="1"/>
  <c r="M1442" i="15" s="1"/>
  <c r="L1538" i="15" a="1"/>
  <c r="L1538" i="15" s="1"/>
  <c r="M1538" i="15" s="1"/>
  <c r="L1621" i="15" a="1"/>
  <c r="L1621" i="15" s="1"/>
  <c r="M1621" i="15" s="1"/>
  <c r="L1700" i="15" a="1"/>
  <c r="L1700" i="15" s="1"/>
  <c r="M1700" i="15" s="1"/>
  <c r="L1775" i="15" a="1"/>
  <c r="L1775" i="15" s="1"/>
  <c r="M1775" i="15" s="1"/>
  <c r="L1855" i="15" a="1"/>
  <c r="L1855" i="15" s="1"/>
  <c r="M1855" i="15" s="1"/>
  <c r="L1934" i="15" a="1"/>
  <c r="L1934" i="15" s="1"/>
  <c r="M1934" i="15" s="1"/>
  <c r="L2010" i="15" a="1"/>
  <c r="L2010" i="15" s="1"/>
  <c r="M2010" i="15" s="1"/>
  <c r="B848" i="15"/>
  <c r="D848" i="15"/>
  <c r="F848" i="15"/>
  <c r="L848" i="15" a="1"/>
  <c r="L848" i="15" s="1"/>
  <c r="U181" i="3"/>
  <c r="B875" i="1"/>
  <c r="I875" i="1"/>
  <c r="J875" i="1"/>
  <c r="N181" i="3" s="1"/>
  <c r="O875" i="1"/>
  <c r="T875" i="1"/>
  <c r="G181" i="3"/>
  <c r="J181" i="3"/>
  <c r="P181" i="3"/>
  <c r="S181" i="3"/>
  <c r="V181" i="3"/>
  <c r="G17" i="1"/>
  <c r="G95" i="1"/>
  <c r="H95" i="1"/>
  <c r="L43" i="15" a="1"/>
  <c r="L43" i="15" s="1"/>
  <c r="B872" i="1"/>
  <c r="B873" i="1"/>
  <c r="B874" i="1"/>
  <c r="I872" i="1"/>
  <c r="I873" i="1"/>
  <c r="I874" i="1"/>
  <c r="J872" i="1"/>
  <c r="J873" i="1"/>
  <c r="J874" i="1"/>
  <c r="O872" i="1"/>
  <c r="O873" i="1"/>
  <c r="O874" i="1"/>
  <c r="T872" i="1"/>
  <c r="T873" i="1"/>
  <c r="T874" i="1"/>
  <c r="U180" i="3"/>
  <c r="G2517" i="15"/>
  <c r="G2555" i="15"/>
  <c r="G2594" i="15"/>
  <c r="G2631" i="15"/>
  <c r="G2662" i="15"/>
  <c r="G2691" i="15"/>
  <c r="G2714" i="15"/>
  <c r="G2732" i="15"/>
  <c r="G2749" i="15"/>
  <c r="B2749" i="15"/>
  <c r="D2749" i="15"/>
  <c r="F2749" i="15"/>
  <c r="L2749" i="15" a="1"/>
  <c r="L2749" i="15" s="1"/>
  <c r="M2749" i="15" s="1"/>
  <c r="B2517" i="15"/>
  <c r="B2555" i="15"/>
  <c r="B2594" i="15"/>
  <c r="B2631" i="15"/>
  <c r="B2662" i="15"/>
  <c r="B2691" i="15"/>
  <c r="B2714" i="15"/>
  <c r="B2732" i="15"/>
  <c r="D2517" i="15"/>
  <c r="D2555" i="15"/>
  <c r="D2594" i="15"/>
  <c r="D2631" i="15"/>
  <c r="D2662" i="15"/>
  <c r="D2691" i="15"/>
  <c r="D2714" i="15"/>
  <c r="D2732" i="15"/>
  <c r="F2517" i="15"/>
  <c r="F2555" i="15"/>
  <c r="F2594" i="15"/>
  <c r="F2631" i="15"/>
  <c r="F2662" i="15"/>
  <c r="F2691" i="15"/>
  <c r="F2714" i="15"/>
  <c r="F2732" i="15"/>
  <c r="L2517" i="15" a="1"/>
  <c r="L2517" i="15" s="1"/>
  <c r="M2517" i="15" s="1"/>
  <c r="L2555" i="15" a="1"/>
  <c r="L2555" i="15" s="1"/>
  <c r="M2555" i="15" s="1"/>
  <c r="L2594" i="15" a="1"/>
  <c r="L2594" i="15" s="1"/>
  <c r="M2594" i="15" s="1"/>
  <c r="L2631" i="15" a="1"/>
  <c r="L2631" i="15" s="1"/>
  <c r="M2631" i="15" s="1"/>
  <c r="L2662" i="15" a="1"/>
  <c r="L2662" i="15" s="1"/>
  <c r="M2662" i="15" s="1"/>
  <c r="L2691" i="15" a="1"/>
  <c r="L2691" i="15" s="1"/>
  <c r="M2691" i="15" s="1"/>
  <c r="L2714" i="15" a="1"/>
  <c r="L2714" i="15" s="1"/>
  <c r="M2714" i="15" s="1"/>
  <c r="L2732" i="15" a="1"/>
  <c r="L2732" i="15" s="1"/>
  <c r="M2732" i="15" s="1"/>
  <c r="B2474" i="15"/>
  <c r="D2474" i="15"/>
  <c r="F2474" i="15"/>
  <c r="L2474" i="15" a="1"/>
  <c r="L2474" i="15" s="1"/>
  <c r="M2474" i="15" s="1"/>
  <c r="B2322" i="15"/>
  <c r="B2871" i="15"/>
  <c r="D2322" i="15"/>
  <c r="D2871" i="15"/>
  <c r="F2322" i="15"/>
  <c r="F2871" i="15"/>
  <c r="L2322" i="15" a="1"/>
  <c r="L2322" i="15" s="1"/>
  <c r="L2871" i="15" a="1"/>
  <c r="L2871" i="15" s="1"/>
  <c r="M2871" i="15" s="1"/>
  <c r="B1898" i="15"/>
  <c r="B1975" i="15"/>
  <c r="B2050" i="15"/>
  <c r="B2119" i="15"/>
  <c r="B2194" i="15"/>
  <c r="B2263" i="15"/>
  <c r="D1898" i="15"/>
  <c r="D1975" i="15"/>
  <c r="D2050" i="15"/>
  <c r="D2119" i="15"/>
  <c r="D2194" i="15"/>
  <c r="D2263" i="15"/>
  <c r="F1898" i="15"/>
  <c r="F1975" i="15"/>
  <c r="F2050" i="15"/>
  <c r="F2119" i="15"/>
  <c r="F2194" i="15"/>
  <c r="F2263" i="15"/>
  <c r="L1898" i="15" a="1"/>
  <c r="L1898" i="15" s="1"/>
  <c r="L1975" i="15" a="1"/>
  <c r="L1975" i="15" s="1"/>
  <c r="L2050" i="15" a="1"/>
  <c r="L2050" i="15" s="1"/>
  <c r="L2119" i="15" a="1"/>
  <c r="L2119" i="15" s="1"/>
  <c r="L2194" i="15" a="1"/>
  <c r="L2194" i="15" s="1"/>
  <c r="L2263" i="15" a="1"/>
  <c r="L2263" i="15" s="1"/>
  <c r="B1664" i="15"/>
  <c r="B1739" i="15"/>
  <c r="B1819" i="15"/>
  <c r="D1664" i="15"/>
  <c r="D1739" i="15"/>
  <c r="D1819" i="15"/>
  <c r="F1664" i="15"/>
  <c r="F1739" i="15"/>
  <c r="F1819" i="15"/>
  <c r="L1664" i="15" a="1"/>
  <c r="L1664" i="15" s="1"/>
  <c r="L1739" i="15" a="1"/>
  <c r="L1739" i="15" s="1"/>
  <c r="L1819" i="15" a="1"/>
  <c r="L1819" i="15" s="1"/>
  <c r="B1065" i="15"/>
  <c r="B1172" i="15"/>
  <c r="B1283" i="15"/>
  <c r="B1393" i="15"/>
  <c r="B1490" i="15"/>
  <c r="B1578" i="15"/>
  <c r="D1065" i="15"/>
  <c r="D1172" i="15"/>
  <c r="D1283" i="15"/>
  <c r="D1393" i="15"/>
  <c r="D1490" i="15"/>
  <c r="D1578" i="15"/>
  <c r="F1065" i="15"/>
  <c r="F1172" i="15"/>
  <c r="F1283" i="15"/>
  <c r="F1393" i="15"/>
  <c r="F1490" i="15"/>
  <c r="F1578" i="15"/>
  <c r="L1065" i="15" a="1"/>
  <c r="L1065" i="15" s="1"/>
  <c r="M1065" i="15" s="1"/>
  <c r="L1172" i="15" a="1"/>
  <c r="L1172" i="15" s="1"/>
  <c r="L1283" i="15" a="1"/>
  <c r="L1283" i="15" s="1"/>
  <c r="L1393" i="15" a="1"/>
  <c r="L1393" i="15" s="1"/>
  <c r="L1490" i="15" a="1"/>
  <c r="L1490" i="15" s="1"/>
  <c r="L1578" i="15" a="1"/>
  <c r="L1578" i="15" s="1"/>
  <c r="B858" i="15"/>
  <c r="D858" i="15"/>
  <c r="F858" i="15"/>
  <c r="L858" i="15" a="1"/>
  <c r="L858" i="15" s="1"/>
  <c r="J340" i="1"/>
  <c r="I340" i="1"/>
  <c r="B309" i="1"/>
  <c r="T2" i="1"/>
  <c r="T3" i="1"/>
  <c r="T4" i="1"/>
  <c r="T5" i="1"/>
  <c r="T6" i="1"/>
  <c r="T7" i="1"/>
  <c r="T8" i="1"/>
  <c r="T9" i="1"/>
  <c r="T10" i="1"/>
  <c r="T11" i="1"/>
  <c r="T12" i="1"/>
  <c r="T13" i="1"/>
  <c r="T14" i="1"/>
  <c r="T15" i="1"/>
  <c r="T16" i="1"/>
  <c r="T18" i="1"/>
  <c r="T17" i="1"/>
  <c r="T19" i="1"/>
  <c r="T20" i="1"/>
  <c r="T21" i="1"/>
  <c r="T22" i="1"/>
  <c r="T23" i="1"/>
  <c r="T24" i="1"/>
  <c r="T25" i="1"/>
  <c r="T26" i="1"/>
  <c r="T27" i="1"/>
  <c r="T28" i="1"/>
  <c r="T29" i="1"/>
  <c r="T30" i="1"/>
  <c r="T31" i="1"/>
  <c r="T32" i="1"/>
  <c r="T33" i="1"/>
  <c r="T34" i="1"/>
  <c r="T35" i="1"/>
  <c r="T40" i="1"/>
  <c r="T36" i="1"/>
  <c r="T37" i="1"/>
  <c r="T38" i="1"/>
  <c r="T39" i="1"/>
  <c r="T41" i="1"/>
  <c r="T42" i="1"/>
  <c r="T43" i="1"/>
  <c r="T44" i="1"/>
  <c r="T45" i="1"/>
  <c r="T46" i="1"/>
  <c r="T85" i="1"/>
  <c r="T47" i="1"/>
  <c r="T48" i="1"/>
  <c r="T49" i="1"/>
  <c r="T50" i="1"/>
  <c r="T51" i="1"/>
  <c r="T52" i="1"/>
  <c r="T53" i="1"/>
  <c r="T54" i="1"/>
  <c r="T55" i="1"/>
  <c r="T56" i="1"/>
  <c r="T57" i="1"/>
  <c r="T58" i="1"/>
  <c r="T60" i="1"/>
  <c r="T61" i="1"/>
  <c r="T62" i="1"/>
  <c r="T63" i="1"/>
  <c r="T59" i="1"/>
  <c r="T64" i="1"/>
  <c r="T65" i="1"/>
  <c r="T66" i="1"/>
  <c r="T67" i="1"/>
  <c r="T68" i="1"/>
  <c r="T69" i="1"/>
  <c r="T70" i="1"/>
  <c r="T71" i="1"/>
  <c r="T72" i="1"/>
  <c r="T73" i="1"/>
  <c r="T74" i="1"/>
  <c r="T75" i="1"/>
  <c r="T76" i="1"/>
  <c r="T77" i="1"/>
  <c r="T78" i="1"/>
  <c r="T160" i="1"/>
  <c r="T79" i="1"/>
  <c r="T80" i="1"/>
  <c r="T81" i="1"/>
  <c r="T82" i="1"/>
  <c r="T83" i="1"/>
  <c r="T84" i="1"/>
  <c r="T86" i="1"/>
  <c r="T87" i="1"/>
  <c r="T88" i="1"/>
  <c r="T89" i="1"/>
  <c r="T90" i="1"/>
  <c r="T91" i="1"/>
  <c r="T92" i="1"/>
  <c r="T93" i="1"/>
  <c r="T94" i="1"/>
  <c r="T95" i="1"/>
  <c r="T96" i="1"/>
  <c r="T97" i="1"/>
  <c r="T98" i="1"/>
  <c r="T99" i="1"/>
  <c r="T100" i="1"/>
  <c r="T101" i="1"/>
  <c r="T102" i="1"/>
  <c r="T103" i="1"/>
  <c r="T104" i="1"/>
  <c r="T105"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B871" i="1"/>
  <c r="I871" i="1"/>
  <c r="J871" i="1"/>
  <c r="O871" i="1"/>
  <c r="B870" i="1"/>
  <c r="I870" i="1"/>
  <c r="J870" i="1"/>
  <c r="O870" i="1"/>
  <c r="G180" i="3"/>
  <c r="J180" i="3"/>
  <c r="P180" i="3"/>
  <c r="S180" i="3"/>
  <c r="V180" i="3"/>
  <c r="B868" i="1"/>
  <c r="B869" i="1"/>
  <c r="I868" i="1"/>
  <c r="I869" i="1"/>
  <c r="J868" i="1"/>
  <c r="J869" i="1"/>
  <c r="N180" i="3" s="1"/>
  <c r="O868" i="1"/>
  <c r="O869" i="1"/>
  <c r="B867" i="1"/>
  <c r="I867" i="1"/>
  <c r="J867" i="1"/>
  <c r="O867" i="1"/>
  <c r="B182" i="1"/>
  <c r="G2518" i="15"/>
  <c r="G2558" i="15"/>
  <c r="G2597" i="15"/>
  <c r="G2634" i="15"/>
  <c r="G2665" i="15"/>
  <c r="G2475" i="15"/>
  <c r="B2475" i="15"/>
  <c r="B2518" i="15"/>
  <c r="B2558" i="15"/>
  <c r="B2597" i="15"/>
  <c r="B2634" i="15"/>
  <c r="B2665" i="15"/>
  <c r="D2475" i="15"/>
  <c r="D2518" i="15"/>
  <c r="D2558" i="15"/>
  <c r="D2597" i="15"/>
  <c r="D2634" i="15"/>
  <c r="D2665" i="15"/>
  <c r="F2475" i="15"/>
  <c r="F2518" i="15"/>
  <c r="F2558" i="15"/>
  <c r="F2597" i="15"/>
  <c r="F2634" i="15"/>
  <c r="F2665" i="15"/>
  <c r="L2475" i="15" a="1"/>
  <c r="L2475" i="15" s="1"/>
  <c r="M2475" i="15" s="1"/>
  <c r="L2518" i="15" a="1"/>
  <c r="L2518" i="15" s="1"/>
  <c r="M2518" i="15" s="1"/>
  <c r="L2558" i="15" a="1"/>
  <c r="L2558" i="15" s="1"/>
  <c r="M2558" i="15" s="1"/>
  <c r="L2597" i="15" a="1"/>
  <c r="L2597" i="15" s="1"/>
  <c r="M2597" i="15" s="1"/>
  <c r="L2634" i="15" a="1"/>
  <c r="L2634" i="15" s="1"/>
  <c r="M2634" i="15" s="1"/>
  <c r="L2665" i="15" a="1"/>
  <c r="L2665" i="15" s="1"/>
  <c r="M2665" i="15" s="1"/>
  <c r="B2020" i="15"/>
  <c r="D2020" i="15"/>
  <c r="F2020" i="15"/>
  <c r="L2020" i="15" a="1"/>
  <c r="L2020" i="15" s="1"/>
  <c r="M2020" i="15" s="1"/>
  <c r="B853" i="15"/>
  <c r="B988" i="15"/>
  <c r="B1105" i="15"/>
  <c r="B1215" i="15"/>
  <c r="B1329" i="15"/>
  <c r="B1430" i="15"/>
  <c r="B1526" i="15"/>
  <c r="D853" i="15"/>
  <c r="D988" i="15"/>
  <c r="D1105" i="15"/>
  <c r="D1215" i="15"/>
  <c r="D1329" i="15"/>
  <c r="D1430" i="15"/>
  <c r="D1526" i="15"/>
  <c r="F853" i="15"/>
  <c r="F988" i="15"/>
  <c r="F1105" i="15"/>
  <c r="F1215" i="15"/>
  <c r="F1329" i="15"/>
  <c r="F1430" i="15"/>
  <c r="F1526" i="15"/>
  <c r="L853" i="15" a="1"/>
  <c r="L853" i="15" s="1"/>
  <c r="M853" i="15" s="1"/>
  <c r="L988" i="15" a="1"/>
  <c r="L988" i="15" s="1"/>
  <c r="M988" i="15" s="1"/>
  <c r="L1105" i="15" a="1"/>
  <c r="L1105" i="15" s="1"/>
  <c r="M1105" i="15" s="1"/>
  <c r="L1215" i="15" a="1"/>
  <c r="L1215" i="15" s="1"/>
  <c r="M1215" i="15" s="1"/>
  <c r="L1329" i="15" a="1"/>
  <c r="L1329" i="15" s="1"/>
  <c r="M1329" i="15" s="1"/>
  <c r="L1430" i="15" a="1"/>
  <c r="L1430" i="15" s="1"/>
  <c r="M1430" i="15" s="1"/>
  <c r="L1526" i="15" a="1"/>
  <c r="L1526" i="15" s="1"/>
  <c r="M1526" i="15" s="1"/>
  <c r="B128" i="15"/>
  <c r="D128" i="15"/>
  <c r="F128" i="15"/>
  <c r="L128" i="15" a="1"/>
  <c r="L128" i="15" s="1"/>
  <c r="U179" i="3"/>
  <c r="G2136" i="15"/>
  <c r="G2211" i="15"/>
  <c r="G2280" i="15"/>
  <c r="G2340" i="15"/>
  <c r="G2394" i="15"/>
  <c r="G2443" i="15"/>
  <c r="G2490" i="15"/>
  <c r="G2530" i="15"/>
  <c r="G2569" i="15"/>
  <c r="G2064" i="15"/>
  <c r="B2280" i="15"/>
  <c r="B2340" i="15"/>
  <c r="B2394" i="15"/>
  <c r="B2443" i="15"/>
  <c r="B2490" i="15"/>
  <c r="B2530" i="15"/>
  <c r="B2569" i="15"/>
  <c r="D2280" i="15"/>
  <c r="D2340" i="15"/>
  <c r="D2394" i="15"/>
  <c r="D2443" i="15"/>
  <c r="D2490" i="15"/>
  <c r="D2530" i="15"/>
  <c r="D2569" i="15"/>
  <c r="F2280" i="15"/>
  <c r="F2340" i="15"/>
  <c r="F2394" i="15"/>
  <c r="F2443" i="15"/>
  <c r="F2490" i="15"/>
  <c r="F2530" i="15"/>
  <c r="F2569" i="15"/>
  <c r="L2280" i="15" a="1"/>
  <c r="L2280" i="15" s="1"/>
  <c r="M2280" i="15" s="1"/>
  <c r="L2340" i="15" a="1"/>
  <c r="L2340" i="15" s="1"/>
  <c r="M2340" i="15" s="1"/>
  <c r="L2394" i="15" a="1"/>
  <c r="L2394" i="15" s="1"/>
  <c r="M2394" i="15" s="1"/>
  <c r="L2443" i="15" a="1"/>
  <c r="L2443" i="15" s="1"/>
  <c r="M2443" i="15" s="1"/>
  <c r="L2490" i="15" a="1"/>
  <c r="L2490" i="15" s="1"/>
  <c r="M2490" i="15" s="1"/>
  <c r="L2530" i="15" a="1"/>
  <c r="L2530" i="15" s="1"/>
  <c r="M2530" i="15" s="1"/>
  <c r="L2569" i="15" a="1"/>
  <c r="L2569" i="15" s="1"/>
  <c r="M2569" i="15" s="1"/>
  <c r="B856" i="15"/>
  <c r="B975" i="15"/>
  <c r="B2928" i="15"/>
  <c r="B2064" i="15"/>
  <c r="B2136" i="15"/>
  <c r="B2211" i="15"/>
  <c r="D856" i="15"/>
  <c r="D975" i="15"/>
  <c r="D2928" i="15"/>
  <c r="D2064" i="15"/>
  <c r="D2136" i="15"/>
  <c r="D2211" i="15"/>
  <c r="F856" i="15"/>
  <c r="F975" i="15"/>
  <c r="F2928" i="15"/>
  <c r="F2064" i="15"/>
  <c r="F2136" i="15"/>
  <c r="F2211" i="15"/>
  <c r="L856" i="15" a="1"/>
  <c r="L856" i="15" s="1"/>
  <c r="M856" i="15" s="1"/>
  <c r="L975" i="15" a="1"/>
  <c r="L975" i="15" s="1"/>
  <c r="M975" i="15" s="1"/>
  <c r="L2928" i="15" a="1"/>
  <c r="L2928" i="15" s="1"/>
  <c r="M2928" i="15" s="1"/>
  <c r="L2064" i="15" a="1"/>
  <c r="L2064" i="15" s="1"/>
  <c r="M2064" i="15" s="1"/>
  <c r="L2136" i="15" a="1"/>
  <c r="L2136" i="15" s="1"/>
  <c r="M2136" i="15" s="1"/>
  <c r="L2211" i="15" a="1"/>
  <c r="L2211" i="15" s="1"/>
  <c r="M2211" i="15" s="1"/>
  <c r="B850" i="15"/>
  <c r="D850" i="15"/>
  <c r="F850" i="15"/>
  <c r="L850" i="15" a="1"/>
  <c r="L850" i="15" s="1"/>
  <c r="M850" i="15" s="1"/>
  <c r="G179" i="3"/>
  <c r="J179" i="3"/>
  <c r="P179" i="3"/>
  <c r="S179" i="3"/>
  <c r="V179" i="3"/>
  <c r="B863" i="1"/>
  <c r="B865" i="1"/>
  <c r="B866" i="1"/>
  <c r="I865" i="1"/>
  <c r="I866" i="1"/>
  <c r="J865" i="1"/>
  <c r="J866" i="1"/>
  <c r="O865" i="1"/>
  <c r="O866" i="1"/>
  <c r="B864" i="1"/>
  <c r="I864" i="1"/>
  <c r="J864" i="1"/>
  <c r="O864" i="1"/>
  <c r="I863" i="1"/>
  <c r="J863" i="1"/>
  <c r="O863" i="1"/>
  <c r="G2623" i="15"/>
  <c r="G2655" i="15"/>
  <c r="G2683" i="15"/>
  <c r="G2706" i="15"/>
  <c r="G2725" i="15"/>
  <c r="G2586" i="15"/>
  <c r="B2586" i="15"/>
  <c r="B2623" i="15"/>
  <c r="B2655" i="15"/>
  <c r="B2683" i="15"/>
  <c r="B2706" i="15"/>
  <c r="B2725" i="15"/>
  <c r="D2586" i="15"/>
  <c r="D2623" i="15"/>
  <c r="D2655" i="15"/>
  <c r="D2683" i="15"/>
  <c r="D2706" i="15"/>
  <c r="D2725" i="15"/>
  <c r="F2586" i="15"/>
  <c r="F2623" i="15"/>
  <c r="F2655" i="15"/>
  <c r="F2683" i="15"/>
  <c r="F2706" i="15"/>
  <c r="F2725" i="15"/>
  <c r="L2586" i="15" a="1"/>
  <c r="L2586" i="15" s="1"/>
  <c r="M2586" i="15" s="1"/>
  <c r="L2623" i="15" a="1"/>
  <c r="L2623" i="15" s="1"/>
  <c r="M2623" i="15" s="1"/>
  <c r="L2655" i="15" a="1"/>
  <c r="L2655" i="15" s="1"/>
  <c r="M2655" i="15" s="1"/>
  <c r="L2683" i="15" a="1"/>
  <c r="L2683" i="15" s="1"/>
  <c r="M2683" i="15" s="1"/>
  <c r="L2706" i="15" a="1"/>
  <c r="L2706" i="15" s="1"/>
  <c r="M2706" i="15" s="1"/>
  <c r="L2725" i="15" a="1"/>
  <c r="L2725" i="15" s="1"/>
  <c r="M2725" i="15" s="1"/>
  <c r="B2094" i="15"/>
  <c r="B2167" i="15"/>
  <c r="B2239" i="15"/>
  <c r="D2094" i="15"/>
  <c r="D2167" i="15"/>
  <c r="D2239" i="15"/>
  <c r="F2094" i="15"/>
  <c r="F2167" i="15"/>
  <c r="F2239" i="15"/>
  <c r="L2094" i="15" a="1"/>
  <c r="L2094" i="15" s="1"/>
  <c r="M2094" i="15" s="1"/>
  <c r="L2167" i="15" a="1"/>
  <c r="L2167" i="15" s="1"/>
  <c r="M2167" i="15" s="1"/>
  <c r="L2239" i="15" a="1"/>
  <c r="L2239" i="15" s="1"/>
  <c r="M2239" i="15" s="1"/>
  <c r="B877" i="15"/>
  <c r="B1035" i="15"/>
  <c r="B1147" i="15"/>
  <c r="B1255" i="15"/>
  <c r="B1368" i="15"/>
  <c r="B1465" i="15"/>
  <c r="B1558" i="15"/>
  <c r="B1639" i="15"/>
  <c r="B1715" i="15"/>
  <c r="B1790" i="15"/>
  <c r="B1870" i="15"/>
  <c r="B1946" i="15"/>
  <c r="B2019" i="15"/>
  <c r="D877" i="15"/>
  <c r="D1035" i="15"/>
  <c r="D1147" i="15"/>
  <c r="D1255" i="15"/>
  <c r="D1368" i="15"/>
  <c r="D1465" i="15"/>
  <c r="D1558" i="15"/>
  <c r="D1639" i="15"/>
  <c r="D1715" i="15"/>
  <c r="D1790" i="15"/>
  <c r="D1870" i="15"/>
  <c r="D1946" i="15"/>
  <c r="D2019" i="15"/>
  <c r="F877" i="15"/>
  <c r="F1035" i="15"/>
  <c r="F1147" i="15"/>
  <c r="F1255" i="15"/>
  <c r="F1368" i="15"/>
  <c r="F1465" i="15"/>
  <c r="F1558" i="15"/>
  <c r="F1639" i="15"/>
  <c r="F1715" i="15"/>
  <c r="F1790" i="15"/>
  <c r="F1870" i="15"/>
  <c r="F1946" i="15"/>
  <c r="F2019" i="15"/>
  <c r="L877" i="15" a="1"/>
  <c r="L877" i="15" s="1"/>
  <c r="M877" i="15" s="1"/>
  <c r="L1035" i="15" a="1"/>
  <c r="L1035" i="15" s="1"/>
  <c r="M1035" i="15" s="1"/>
  <c r="L1147" i="15" a="1"/>
  <c r="L1147" i="15" s="1"/>
  <c r="M1147" i="15" s="1"/>
  <c r="L1255" i="15" a="1"/>
  <c r="L1255" i="15" s="1"/>
  <c r="M1255" i="15" s="1"/>
  <c r="L1368" i="15" a="1"/>
  <c r="L1368" i="15" s="1"/>
  <c r="M1368" i="15" s="1"/>
  <c r="L1465" i="15" a="1"/>
  <c r="L1465" i="15" s="1"/>
  <c r="M1465" i="15" s="1"/>
  <c r="L1558" i="15" a="1"/>
  <c r="L1558" i="15" s="1"/>
  <c r="M1558" i="15" s="1"/>
  <c r="L1639" i="15" a="1"/>
  <c r="L1639" i="15" s="1"/>
  <c r="M1639" i="15" s="1"/>
  <c r="L1715" i="15" a="1"/>
  <c r="L1715" i="15" s="1"/>
  <c r="M1715" i="15" s="1"/>
  <c r="L1790" i="15" a="1"/>
  <c r="L1790" i="15" s="1"/>
  <c r="M1790" i="15" s="1"/>
  <c r="L1870" i="15" a="1"/>
  <c r="L1870" i="15" s="1"/>
  <c r="M1870" i="15" s="1"/>
  <c r="L1946" i="15" a="1"/>
  <c r="L1946" i="15" s="1"/>
  <c r="M1946" i="15" s="1"/>
  <c r="L2019" i="15" a="1"/>
  <c r="L2019" i="15" s="1"/>
  <c r="M2019" i="15" s="1"/>
  <c r="B205" i="15"/>
  <c r="D205" i="15"/>
  <c r="F205" i="15"/>
  <c r="L205" i="15" a="1"/>
  <c r="L205" i="15" s="1"/>
  <c r="G862" i="1"/>
  <c r="D6" i="30" s="1"/>
  <c r="H862" i="1"/>
  <c r="O862" i="1"/>
  <c r="B862" i="1"/>
  <c r="B852" i="15"/>
  <c r="D852" i="15"/>
  <c r="F852" i="15"/>
  <c r="L852" i="15" a="1"/>
  <c r="L852" i="15" s="1"/>
  <c r="M852" i="15" s="1"/>
  <c r="B861" i="1"/>
  <c r="I861" i="1"/>
  <c r="J861" i="1"/>
  <c r="O861" i="1"/>
  <c r="F1140" i="15"/>
  <c r="B860" i="1"/>
  <c r="I860" i="1"/>
  <c r="J860" i="1"/>
  <c r="O860" i="1"/>
  <c r="U172" i="3"/>
  <c r="U173" i="3"/>
  <c r="U174" i="3"/>
  <c r="U175" i="3"/>
  <c r="U176" i="3"/>
  <c r="U177" i="3"/>
  <c r="U178" i="3"/>
  <c r="B859" i="1"/>
  <c r="I859" i="1"/>
  <c r="J859" i="1"/>
  <c r="O859" i="1"/>
  <c r="B858" i="1"/>
  <c r="I858" i="1"/>
  <c r="J858" i="1"/>
  <c r="O858" i="1"/>
  <c r="G2506" i="15"/>
  <c r="G2543" i="15"/>
  <c r="G2581" i="15"/>
  <c r="G2618" i="15"/>
  <c r="G2651" i="15"/>
  <c r="G2679" i="15"/>
  <c r="G2702" i="15"/>
  <c r="G2722" i="15"/>
  <c r="G2741" i="15"/>
  <c r="G2463" i="15"/>
  <c r="B2741" i="15"/>
  <c r="D2741" i="15"/>
  <c r="F2741" i="15"/>
  <c r="L2741" i="15" a="1"/>
  <c r="L2741" i="15" s="1"/>
  <c r="M2741" i="15" s="1"/>
  <c r="B2722" i="15"/>
  <c r="D2722" i="15"/>
  <c r="F2722" i="15"/>
  <c r="L2722" i="15" a="1"/>
  <c r="L2722" i="15" s="1"/>
  <c r="M2722" i="15" s="1"/>
  <c r="B2849" i="15"/>
  <c r="B2463" i="15"/>
  <c r="B2506" i="15"/>
  <c r="B2543" i="15"/>
  <c r="B2581" i="15"/>
  <c r="B2618" i="15"/>
  <c r="B2651" i="15"/>
  <c r="B2679" i="15"/>
  <c r="B2702" i="15"/>
  <c r="D2849" i="15"/>
  <c r="D2463" i="15"/>
  <c r="D2506" i="15"/>
  <c r="D2543" i="15"/>
  <c r="D2581" i="15"/>
  <c r="D2618" i="15"/>
  <c r="D2651" i="15"/>
  <c r="D2679" i="15"/>
  <c r="D2702" i="15"/>
  <c r="F2849" i="15"/>
  <c r="F2463" i="15"/>
  <c r="F2506" i="15"/>
  <c r="F2543" i="15"/>
  <c r="F2581" i="15"/>
  <c r="F2618" i="15"/>
  <c r="F2651" i="15"/>
  <c r="F2679" i="15"/>
  <c r="F2702" i="15"/>
  <c r="L2849" i="15" a="1"/>
  <c r="L2849" i="15" s="1"/>
  <c r="M2849" i="15" s="1"/>
  <c r="L2463" i="15" a="1"/>
  <c r="L2463" i="15" s="1"/>
  <c r="M2463" i="15" s="1"/>
  <c r="L2506" i="15" a="1"/>
  <c r="L2506" i="15" s="1"/>
  <c r="M2506" i="15" s="1"/>
  <c r="L2543" i="15" a="1"/>
  <c r="L2543" i="15" s="1"/>
  <c r="M2543" i="15" s="1"/>
  <c r="L2581" i="15" a="1"/>
  <c r="L2581" i="15" s="1"/>
  <c r="M2581" i="15" s="1"/>
  <c r="L2618" i="15" a="1"/>
  <c r="L2618" i="15" s="1"/>
  <c r="M2618" i="15" s="1"/>
  <c r="L2651" i="15" a="1"/>
  <c r="L2651" i="15" s="1"/>
  <c r="M2651" i="15" s="1"/>
  <c r="L2679" i="15" a="1"/>
  <c r="L2679" i="15" s="1"/>
  <c r="M2679" i="15" s="1"/>
  <c r="L2702" i="15" a="1"/>
  <c r="L2702" i="15" s="1"/>
  <c r="M2702" i="15" s="1"/>
  <c r="B2021" i="15"/>
  <c r="B2096" i="15"/>
  <c r="B2168" i="15"/>
  <c r="B2240" i="15"/>
  <c r="D2021" i="15"/>
  <c r="D2096" i="15"/>
  <c r="D2168" i="15"/>
  <c r="D2240" i="15"/>
  <c r="F2021" i="15"/>
  <c r="F2096" i="15"/>
  <c r="F2168" i="15"/>
  <c r="F2240" i="15"/>
  <c r="L2021" i="15" a="1"/>
  <c r="L2021" i="15" s="1"/>
  <c r="M2021" i="15" s="1"/>
  <c r="L2096" i="15" a="1"/>
  <c r="L2096" i="15" s="1"/>
  <c r="M2096" i="15" s="1"/>
  <c r="L2168" i="15" a="1"/>
  <c r="L2168" i="15" s="1"/>
  <c r="M2168" i="15" s="1"/>
  <c r="L2240" i="15" a="1"/>
  <c r="L2240" i="15" s="1"/>
  <c r="M2240" i="15" s="1"/>
  <c r="B1371" i="15"/>
  <c r="B1468" i="15"/>
  <c r="B1560" i="15"/>
  <c r="B1641" i="15"/>
  <c r="B1716" i="15"/>
  <c r="B1791" i="15"/>
  <c r="B1871" i="15"/>
  <c r="B1947" i="15"/>
  <c r="D1371" i="15"/>
  <c r="D1468" i="15"/>
  <c r="D1560" i="15"/>
  <c r="D1641" i="15"/>
  <c r="D1716" i="15"/>
  <c r="D1791" i="15"/>
  <c r="D1871" i="15"/>
  <c r="D1947" i="15"/>
  <c r="F1371" i="15"/>
  <c r="F1468" i="15"/>
  <c r="F1560" i="15"/>
  <c r="F1641" i="15"/>
  <c r="F1716" i="15"/>
  <c r="F1791" i="15"/>
  <c r="F1871" i="15"/>
  <c r="F1947" i="15"/>
  <c r="L1371" i="15" a="1"/>
  <c r="L1371" i="15" s="1"/>
  <c r="M1371" i="15" s="1"/>
  <c r="L1468" i="15" a="1"/>
  <c r="L1468" i="15" s="1"/>
  <c r="M1468" i="15" s="1"/>
  <c r="L1560" i="15" a="1"/>
  <c r="L1560" i="15" s="1"/>
  <c r="M1560" i="15" s="1"/>
  <c r="L1641" i="15" a="1"/>
  <c r="L1641" i="15" s="1"/>
  <c r="M1641" i="15" s="1"/>
  <c r="L1716" i="15" a="1"/>
  <c r="L1716" i="15" s="1"/>
  <c r="M1716" i="15" s="1"/>
  <c r="L1791" i="15" a="1"/>
  <c r="L1791" i="15" s="1"/>
  <c r="M1791" i="15" s="1"/>
  <c r="L1871" i="15" a="1"/>
  <c r="L1871" i="15" s="1"/>
  <c r="M1871" i="15" s="1"/>
  <c r="L1947" i="15" a="1"/>
  <c r="L1947" i="15" s="1"/>
  <c r="M1947" i="15" s="1"/>
  <c r="B846" i="15"/>
  <c r="B1043" i="15"/>
  <c r="B1150" i="15"/>
  <c r="B1258" i="15"/>
  <c r="D846" i="15"/>
  <c r="D905" i="15"/>
  <c r="D1043" i="15"/>
  <c r="D1150" i="15"/>
  <c r="D1258" i="15"/>
  <c r="F846" i="15"/>
  <c r="F905" i="15"/>
  <c r="F1043" i="15"/>
  <c r="F1150" i="15"/>
  <c r="F1258" i="15"/>
  <c r="L846" i="15" a="1"/>
  <c r="L846" i="15" s="1"/>
  <c r="L905" i="15" a="1"/>
  <c r="L905" i="15" s="1"/>
  <c r="M905" i="15" s="1"/>
  <c r="L1043" i="15" a="1"/>
  <c r="L1043" i="15" s="1"/>
  <c r="M1043" i="15" s="1"/>
  <c r="L1150" i="15" a="1"/>
  <c r="L1150" i="15" s="1"/>
  <c r="M1150" i="15" s="1"/>
  <c r="L1258" i="15" a="1"/>
  <c r="L1258" i="15" s="1"/>
  <c r="M1258" i="15" s="1"/>
  <c r="G178" i="3"/>
  <c r="J178" i="3"/>
  <c r="P178" i="3"/>
  <c r="S178" i="3"/>
  <c r="V178" i="3"/>
  <c r="B857" i="1"/>
  <c r="I857" i="1"/>
  <c r="J857" i="1"/>
  <c r="N178" i="3" s="1"/>
  <c r="O857" i="1"/>
  <c r="G2780" i="15"/>
  <c r="G2784" i="15"/>
  <c r="G2789" i="15"/>
  <c r="G2794" i="15"/>
  <c r="G2799" i="15"/>
  <c r="G2803" i="15"/>
  <c r="G2807" i="15"/>
  <c r="G2811" i="15"/>
  <c r="G2815" i="15"/>
  <c r="G2775" i="15"/>
  <c r="L2815" i="15" a="1"/>
  <c r="L2815" i="15" s="1"/>
  <c r="M2815" i="15" s="1"/>
  <c r="L2811" i="15" a="1"/>
  <c r="L2811" i="15" s="1"/>
  <c r="M2811" i="15" s="1"/>
  <c r="L2807" i="15" a="1"/>
  <c r="L2807" i="15" s="1"/>
  <c r="M2807" i="15" s="1"/>
  <c r="L2803" i="15" a="1"/>
  <c r="L2803" i="15" s="1"/>
  <c r="M2803" i="15" s="1"/>
  <c r="F2803" i="15"/>
  <c r="F2807" i="15"/>
  <c r="F2811" i="15"/>
  <c r="F2815" i="15"/>
  <c r="D2803" i="15"/>
  <c r="D2807" i="15"/>
  <c r="D2811" i="15"/>
  <c r="D2815" i="15"/>
  <c r="B2803" i="15"/>
  <c r="B2807" i="15"/>
  <c r="B2811" i="15"/>
  <c r="B2815" i="15"/>
  <c r="L2799" i="15" a="1"/>
  <c r="L2799" i="15" s="1"/>
  <c r="M2799" i="15" s="1"/>
  <c r="L2794" i="15" a="1"/>
  <c r="L2794" i="15" s="1"/>
  <c r="M2794" i="15" s="1"/>
  <c r="L2789" i="15" a="1"/>
  <c r="L2789" i="15" s="1"/>
  <c r="M2789" i="15" s="1"/>
  <c r="L2784" i="15" a="1"/>
  <c r="L2784" i="15" s="1"/>
  <c r="M2784" i="15" s="1"/>
  <c r="L2780" i="15" a="1"/>
  <c r="L2780" i="15" s="1"/>
  <c r="M2780" i="15" s="1"/>
  <c r="L2775" i="15" a="1"/>
  <c r="L2775" i="15" s="1"/>
  <c r="M2775" i="15" s="1"/>
  <c r="L2847" i="15" a="1"/>
  <c r="L2847" i="15" s="1"/>
  <c r="M2847" i="15" s="1"/>
  <c r="F2847" i="15"/>
  <c r="F2775" i="15"/>
  <c r="F2780" i="15"/>
  <c r="F2784" i="15"/>
  <c r="F2789" i="15"/>
  <c r="F2794" i="15"/>
  <c r="F2799" i="15"/>
  <c r="D2847" i="15"/>
  <c r="D2775" i="15"/>
  <c r="D2780" i="15"/>
  <c r="D2784" i="15"/>
  <c r="D2789" i="15"/>
  <c r="D2794" i="15"/>
  <c r="D2799" i="15"/>
  <c r="B2847" i="15"/>
  <c r="B2775" i="15"/>
  <c r="B2780" i="15"/>
  <c r="B2784" i="15"/>
  <c r="B2789" i="15"/>
  <c r="B2794" i="15"/>
  <c r="B2799" i="15"/>
  <c r="L2677" i="15" a="1"/>
  <c r="L2677" i="15" s="1"/>
  <c r="M2677" i="15" s="1"/>
  <c r="F2677" i="15"/>
  <c r="D2677" i="15"/>
  <c r="B2677" i="15"/>
  <c r="L2649" i="15" a="1"/>
  <c r="L2649" i="15" s="1"/>
  <c r="M2649" i="15" s="1"/>
  <c r="L2614" i="15" a="1"/>
  <c r="L2614" i="15" s="1"/>
  <c r="M2614" i="15" s="1"/>
  <c r="L2576" i="15" a="1"/>
  <c r="L2576" i="15" s="1"/>
  <c r="M2576" i="15" s="1"/>
  <c r="L2537" i="15" a="1"/>
  <c r="L2537" i="15" s="1"/>
  <c r="M2537" i="15" s="1"/>
  <c r="F2537" i="15"/>
  <c r="F2576" i="15"/>
  <c r="F2614" i="15"/>
  <c r="F2649" i="15"/>
  <c r="D2537" i="15"/>
  <c r="D2576" i="15"/>
  <c r="D2614" i="15"/>
  <c r="D2649" i="15"/>
  <c r="B2537" i="15"/>
  <c r="B2576" i="15"/>
  <c r="B2614" i="15"/>
  <c r="B2649" i="15"/>
  <c r="L2498" i="15" a="1"/>
  <c r="L2498" i="15" s="1"/>
  <c r="M2498" i="15" s="1"/>
  <c r="L2454" i="15" a="1"/>
  <c r="L2454" i="15" s="1"/>
  <c r="M2454" i="15" s="1"/>
  <c r="L2406" i="15" a="1"/>
  <c r="L2406" i="15" s="1"/>
  <c r="M2406" i="15" s="1"/>
  <c r="L2355" i="15" a="1"/>
  <c r="L2355" i="15" s="1"/>
  <c r="M2355" i="15" s="1"/>
  <c r="L2296" i="15" a="1"/>
  <c r="L2296" i="15" s="1"/>
  <c r="M2296" i="15" s="1"/>
  <c r="L2234" i="15" a="1"/>
  <c r="L2234" i="15" s="1"/>
  <c r="M2234" i="15" s="1"/>
  <c r="L2161" i="15" a="1"/>
  <c r="L2161" i="15" s="1"/>
  <c r="M2161" i="15" s="1"/>
  <c r="L2087" i="15" a="1"/>
  <c r="L2087" i="15" s="1"/>
  <c r="M2087" i="15" s="1"/>
  <c r="F2087" i="15"/>
  <c r="F2161" i="15"/>
  <c r="F2234" i="15"/>
  <c r="F2296" i="15"/>
  <c r="F2355" i="15"/>
  <c r="F2406" i="15"/>
  <c r="F2454" i="15"/>
  <c r="F2498" i="15"/>
  <c r="D2087" i="15"/>
  <c r="D2161" i="15"/>
  <c r="D2234" i="15"/>
  <c r="D2296" i="15"/>
  <c r="D2355" i="15"/>
  <c r="D2406" i="15"/>
  <c r="D2454" i="15"/>
  <c r="D2498" i="15"/>
  <c r="B2087" i="15"/>
  <c r="B2161" i="15"/>
  <c r="B2234" i="15"/>
  <c r="B2296" i="15"/>
  <c r="B2355" i="15"/>
  <c r="B2406" i="15"/>
  <c r="B2454" i="15"/>
  <c r="B2498" i="15"/>
  <c r="B1010" i="15"/>
  <c r="B1124" i="15"/>
  <c r="B1232" i="15"/>
  <c r="B1346" i="15"/>
  <c r="B1445" i="15"/>
  <c r="B1541" i="15"/>
  <c r="B1624" i="15"/>
  <c r="B1702" i="15"/>
  <c r="B1777" i="15"/>
  <c r="B1857" i="15"/>
  <c r="B1935" i="15"/>
  <c r="B2011" i="15"/>
  <c r="D1010" i="15"/>
  <c r="D1124" i="15"/>
  <c r="D1232" i="15"/>
  <c r="D1346" i="15"/>
  <c r="D1445" i="15"/>
  <c r="D1541" i="15"/>
  <c r="D1624" i="15"/>
  <c r="D1702" i="15"/>
  <c r="D1777" i="15"/>
  <c r="D1857" i="15"/>
  <c r="D1935" i="15"/>
  <c r="D2011" i="15"/>
  <c r="F1010" i="15"/>
  <c r="F1124" i="15"/>
  <c r="F1232" i="15"/>
  <c r="F1346" i="15"/>
  <c r="F1445" i="15"/>
  <c r="F1541" i="15"/>
  <c r="F1624" i="15"/>
  <c r="F1702" i="15"/>
  <c r="F1777" i="15"/>
  <c r="F1857" i="15"/>
  <c r="F1935" i="15"/>
  <c r="F2011" i="15"/>
  <c r="L1010" i="15" a="1"/>
  <c r="L1010" i="15" s="1"/>
  <c r="M1010" i="15" s="1"/>
  <c r="L1124" i="15" a="1"/>
  <c r="L1124" i="15" s="1"/>
  <c r="M1124" i="15" s="1"/>
  <c r="L1232" i="15" a="1"/>
  <c r="L1232" i="15" s="1"/>
  <c r="M1232" i="15" s="1"/>
  <c r="L1346" i="15" a="1"/>
  <c r="L1346" i="15" s="1"/>
  <c r="M1346" i="15" s="1"/>
  <c r="L1445" i="15" a="1"/>
  <c r="L1445" i="15" s="1"/>
  <c r="M1445" i="15" s="1"/>
  <c r="L1541" i="15" a="1"/>
  <c r="L1541" i="15" s="1"/>
  <c r="M1541" i="15" s="1"/>
  <c r="L1624" i="15" a="1"/>
  <c r="L1624" i="15" s="1"/>
  <c r="M1624" i="15" s="1"/>
  <c r="L1702" i="15" a="1"/>
  <c r="L1702" i="15" s="1"/>
  <c r="M1702" i="15" s="1"/>
  <c r="L1777" i="15" a="1"/>
  <c r="L1777" i="15" s="1"/>
  <c r="M1777" i="15" s="1"/>
  <c r="L1857" i="15" a="1"/>
  <c r="L1857" i="15" s="1"/>
  <c r="M1857" i="15" s="1"/>
  <c r="L1935" i="15" a="1"/>
  <c r="L1935" i="15" s="1"/>
  <c r="M1935" i="15" s="1"/>
  <c r="L2011" i="15" a="1"/>
  <c r="L2011" i="15" s="1"/>
  <c r="M2011" i="15" s="1"/>
  <c r="B790" i="15"/>
  <c r="D790" i="15"/>
  <c r="F790" i="15"/>
  <c r="L790" i="15" a="1"/>
  <c r="L790" i="15" s="1"/>
  <c r="M790" i="15" s="1"/>
  <c r="J2" i="3"/>
  <c r="J3" i="3"/>
  <c r="J4" i="3"/>
  <c r="J5" i="3"/>
  <c r="J6" i="3"/>
  <c r="J7" i="3"/>
  <c r="J8" i="3"/>
  <c r="J9" i="3"/>
  <c r="J10" i="3"/>
  <c r="J11" i="3"/>
  <c r="J14" i="3"/>
  <c r="J12" i="3"/>
  <c r="J13" i="3"/>
  <c r="J15" i="3"/>
  <c r="J16" i="3"/>
  <c r="J17" i="3"/>
  <c r="J18" i="3"/>
  <c r="J19" i="3"/>
  <c r="J20" i="3"/>
  <c r="J21" i="3"/>
  <c r="J22" i="3"/>
  <c r="J23" i="3"/>
  <c r="J24" i="3"/>
  <c r="J25" i="3"/>
  <c r="J26" i="3"/>
  <c r="J32" i="3"/>
  <c r="J27" i="3"/>
  <c r="J28" i="3"/>
  <c r="J29" i="3"/>
  <c r="J30" i="3"/>
  <c r="J31" i="3"/>
  <c r="J33" i="3"/>
  <c r="J34" i="3"/>
  <c r="J35" i="3"/>
  <c r="J36" i="3"/>
  <c r="J37" i="3"/>
  <c r="J38" i="3"/>
  <c r="J49" i="3"/>
  <c r="J39" i="3"/>
  <c r="J40" i="3"/>
  <c r="J41" i="3"/>
  <c r="J42" i="3"/>
  <c r="J43" i="3"/>
  <c r="J44" i="3"/>
  <c r="J45" i="3"/>
  <c r="J46" i="3"/>
  <c r="J47" i="3"/>
  <c r="J48" i="3"/>
  <c r="J50" i="3"/>
  <c r="J51" i="3"/>
  <c r="J52" i="3"/>
  <c r="J53" i="3"/>
  <c r="J54" i="3"/>
  <c r="J55" i="3"/>
  <c r="J56" i="3"/>
  <c r="J57" i="3"/>
  <c r="J58" i="3"/>
  <c r="J59" i="3"/>
  <c r="J80" i="3"/>
  <c r="J60" i="3"/>
  <c r="J61" i="3"/>
  <c r="J62" i="3"/>
  <c r="J63" i="3"/>
  <c r="J64" i="3"/>
  <c r="J65" i="3"/>
  <c r="J66" i="3"/>
  <c r="J67" i="3"/>
  <c r="J68" i="3"/>
  <c r="J69" i="3"/>
  <c r="J70" i="3"/>
  <c r="J71" i="3"/>
  <c r="J72" i="3"/>
  <c r="J73" i="3"/>
  <c r="J74" i="3"/>
  <c r="J75" i="3"/>
  <c r="J76" i="3"/>
  <c r="J77" i="3"/>
  <c r="J78" i="3"/>
  <c r="J79"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G11" i="3"/>
  <c r="R11" i="1" s="1"/>
  <c r="M94" i="15"/>
  <c r="M456" i="15"/>
  <c r="M940" i="15"/>
  <c r="M592" i="15"/>
  <c r="O856" i="1"/>
  <c r="J856" i="1"/>
  <c r="I856" i="1"/>
  <c r="B856" i="1"/>
  <c r="D109" i="30" l="1"/>
  <c r="R1049" i="1"/>
  <c r="R857" i="1"/>
  <c r="R943" i="1"/>
  <c r="R867" i="1"/>
  <c r="R994" i="1"/>
  <c r="R863" i="1"/>
  <c r="R1007" i="1"/>
  <c r="R1030" i="1"/>
  <c r="R1031" i="1"/>
  <c r="R884" i="1"/>
  <c r="R875" i="1"/>
  <c r="R905" i="1"/>
  <c r="R1010" i="1"/>
  <c r="R869" i="1"/>
  <c r="R1079" i="1"/>
  <c r="R963" i="1"/>
  <c r="F109" i="30"/>
  <c r="E109" i="30"/>
  <c r="H18" i="21"/>
  <c r="G18" i="21"/>
  <c r="T178" i="3"/>
  <c r="M846" i="15"/>
  <c r="X178" i="3" s="1"/>
  <c r="E2722" i="15" s="1"/>
  <c r="M205" i="15"/>
  <c r="T179" i="3"/>
  <c r="M128" i="15"/>
  <c r="T180" i="3"/>
  <c r="M858" i="15"/>
  <c r="M43" i="15"/>
  <c r="T181" i="3"/>
  <c r="M848" i="15"/>
  <c r="X181" i="3" s="1"/>
  <c r="J14" i="23"/>
  <c r="I14" i="23"/>
  <c r="F14" i="23"/>
  <c r="P14" i="23"/>
  <c r="O14" i="23"/>
  <c r="N14" i="23"/>
  <c r="B14" i="23"/>
  <c r="M14" i="23"/>
  <c r="M1578" i="15"/>
  <c r="M1819" i="15"/>
  <c r="M1739" i="15"/>
  <c r="M2263" i="15"/>
  <c r="M1664" i="15"/>
  <c r="M2194" i="15"/>
  <c r="M2119" i="15"/>
  <c r="M2050" i="15"/>
  <c r="M2322" i="15"/>
  <c r="M1975" i="15"/>
  <c r="M1898" i="15"/>
  <c r="M1490" i="15"/>
  <c r="M1393" i="15"/>
  <c r="M1283" i="15"/>
  <c r="M1172" i="15"/>
  <c r="G26" i="30"/>
  <c r="G25" i="30"/>
  <c r="AC32" i="13"/>
  <c r="AD32" i="13" s="1"/>
  <c r="AC17" i="13"/>
  <c r="U32" i="13"/>
  <c r="U35" i="13"/>
  <c r="AA35" i="13"/>
  <c r="U31" i="13"/>
  <c r="AA31" i="13"/>
  <c r="U28" i="13"/>
  <c r="AA28" i="13"/>
  <c r="U17" i="13"/>
  <c r="U19" i="13"/>
  <c r="AA19" i="13"/>
  <c r="U27" i="13"/>
  <c r="AA27" i="13"/>
  <c r="U24" i="13"/>
  <c r="AA24" i="13"/>
  <c r="U22" i="13"/>
  <c r="AA22" i="13"/>
  <c r="U37" i="13"/>
  <c r="AA37" i="13"/>
  <c r="U38" i="13"/>
  <c r="AA38" i="13"/>
  <c r="U29" i="13"/>
  <c r="AA29" i="13"/>
  <c r="U39" i="13"/>
  <c r="AA39" i="13"/>
  <c r="U33" i="13"/>
  <c r="AA33" i="13"/>
  <c r="U25" i="13"/>
  <c r="AA25" i="13"/>
  <c r="U23" i="13"/>
  <c r="AA23" i="13"/>
  <c r="U36" i="13"/>
  <c r="AA36" i="13"/>
  <c r="U30" i="13"/>
  <c r="AA30" i="13"/>
  <c r="U3" i="13"/>
  <c r="AA3" i="13"/>
  <c r="AC3" i="13" s="1"/>
  <c r="U18" i="13"/>
  <c r="AA18" i="13"/>
  <c r="U34" i="13"/>
  <c r="AA34" i="13"/>
  <c r="U26" i="13"/>
  <c r="AA26" i="13"/>
  <c r="U20" i="13"/>
  <c r="AA20" i="13"/>
  <c r="U2" i="13"/>
  <c r="AA2" i="13"/>
  <c r="U21" i="13"/>
  <c r="AA21" i="13"/>
  <c r="G34" i="30"/>
  <c r="H34" i="30" s="1"/>
  <c r="G24" i="30"/>
  <c r="H17" i="21"/>
  <c r="G17" i="21"/>
  <c r="E43" i="30"/>
  <c r="E29" i="30"/>
  <c r="G33" i="30"/>
  <c r="G23" i="30"/>
  <c r="K182" i="3"/>
  <c r="I180" i="3"/>
  <c r="H180" i="3"/>
  <c r="I178" i="3"/>
  <c r="H178" i="3"/>
  <c r="I179" i="3"/>
  <c r="H179" i="3"/>
  <c r="I181" i="3"/>
  <c r="H181" i="3"/>
  <c r="K183" i="3"/>
  <c r="K184" i="3"/>
  <c r="G10" i="21"/>
  <c r="G2" i="21"/>
  <c r="H3" i="21"/>
  <c r="H4" i="21"/>
  <c r="H5" i="21"/>
  <c r="H6" i="21"/>
  <c r="H7" i="21"/>
  <c r="H8" i="21"/>
  <c r="H9" i="21"/>
  <c r="H10" i="21"/>
  <c r="H11" i="21"/>
  <c r="H12" i="21"/>
  <c r="H13" i="21"/>
  <c r="H14" i="21"/>
  <c r="H15" i="21"/>
  <c r="H16" i="21"/>
  <c r="H2" i="21"/>
  <c r="E2516" i="15"/>
  <c r="E1782" i="15"/>
  <c r="E875" i="15"/>
  <c r="E874" i="15"/>
  <c r="E2868" i="15"/>
  <c r="E2690" i="15"/>
  <c r="E1018" i="15"/>
  <c r="E2593" i="15"/>
  <c r="E1862" i="15"/>
  <c r="E2375" i="15"/>
  <c r="E1239" i="15"/>
  <c r="E1353" i="15"/>
  <c r="E2422" i="15"/>
  <c r="E1546" i="15"/>
  <c r="E2473" i="15"/>
  <c r="E2661" i="15"/>
  <c r="E2554" i="15"/>
  <c r="E2713" i="15"/>
  <c r="E1629" i="15"/>
  <c r="E2630" i="15"/>
  <c r="E1707" i="15"/>
  <c r="E1131" i="15"/>
  <c r="E1550" i="15"/>
  <c r="E2559" i="15"/>
  <c r="E2717" i="15"/>
  <c r="E2635" i="15"/>
  <c r="E2666" i="15"/>
  <c r="E2425" i="15"/>
  <c r="E1865" i="15"/>
  <c r="E2879" i="15"/>
  <c r="E2735" i="15"/>
  <c r="E2476" i="15"/>
  <c r="E2519" i="15"/>
  <c r="E2598" i="15"/>
  <c r="E2694" i="15"/>
  <c r="E1022" i="15"/>
  <c r="E1710" i="15"/>
  <c r="E1785" i="15"/>
  <c r="E1135" i="15"/>
  <c r="E873" i="15"/>
  <c r="E1243" i="15"/>
  <c r="E1632" i="15"/>
  <c r="E1454" i="15"/>
  <c r="E1357" i="15"/>
  <c r="E887" i="15"/>
  <c r="G5" i="21"/>
  <c r="I11" i="3"/>
  <c r="Q14" i="3"/>
  <c r="N179" i="3"/>
  <c r="R181" i="3"/>
  <c r="J4" i="23"/>
  <c r="L6" i="23"/>
  <c r="B3" i="23"/>
  <c r="N2" i="23"/>
  <c r="K13" i="23"/>
  <c r="I11" i="23"/>
  <c r="M2" i="23"/>
  <c r="I12" i="23"/>
  <c r="P3" i="23"/>
  <c r="L2" i="23"/>
  <c r="I13" i="23"/>
  <c r="P4" i="23"/>
  <c r="O3" i="23"/>
  <c r="K2" i="23"/>
  <c r="P5" i="23"/>
  <c r="O4" i="23"/>
  <c r="N3" i="23"/>
  <c r="J2" i="23"/>
  <c r="P6" i="23"/>
  <c r="O5" i="23"/>
  <c r="N4" i="23"/>
  <c r="M3" i="23"/>
  <c r="I2" i="23"/>
  <c r="P7" i="23"/>
  <c r="O6" i="23"/>
  <c r="N5" i="23"/>
  <c r="M4" i="23"/>
  <c r="L3" i="23"/>
  <c r="H2" i="23"/>
  <c r="P8" i="23"/>
  <c r="O7" i="23"/>
  <c r="N6" i="23"/>
  <c r="M5" i="23"/>
  <c r="L4" i="23"/>
  <c r="K3" i="23"/>
  <c r="G2" i="23"/>
  <c r="P9" i="23"/>
  <c r="O8" i="23"/>
  <c r="N7" i="23"/>
  <c r="M6" i="23"/>
  <c r="L5" i="23"/>
  <c r="K4" i="23"/>
  <c r="J3" i="23"/>
  <c r="E2" i="23"/>
  <c r="I3" i="23"/>
  <c r="D2" i="23"/>
  <c r="I4" i="23"/>
  <c r="H3" i="23"/>
  <c r="O11" i="23"/>
  <c r="H4" i="23"/>
  <c r="G3" i="23"/>
  <c r="F2" i="23"/>
  <c r="O12" i="23"/>
  <c r="J7" i="23"/>
  <c r="I6" i="23"/>
  <c r="F3" i="23"/>
  <c r="O13" i="23"/>
  <c r="N12" i="23"/>
  <c r="I7" i="23"/>
  <c r="G5" i="23"/>
  <c r="E3" i="23"/>
  <c r="I8" i="23"/>
  <c r="G6" i="23"/>
  <c r="D3" i="23"/>
  <c r="P2" i="23"/>
  <c r="O2" i="23"/>
  <c r="I10" i="23"/>
  <c r="G6" i="21"/>
  <c r="R180" i="3"/>
  <c r="R179" i="3"/>
  <c r="X179" i="3"/>
  <c r="E972" i="15" s="1"/>
  <c r="J862" i="1"/>
  <c r="D28" i="30" s="1"/>
  <c r="I862" i="1"/>
  <c r="R178" i="3"/>
  <c r="G16" i="21"/>
  <c r="G15" i="21"/>
  <c r="G14" i="21"/>
  <c r="G13" i="21"/>
  <c r="G12" i="21"/>
  <c r="G11" i="21"/>
  <c r="G9" i="21"/>
  <c r="G8" i="21"/>
  <c r="G7" i="21"/>
  <c r="G4" i="21"/>
  <c r="G3" i="21"/>
  <c r="O855" i="1"/>
  <c r="J855" i="1"/>
  <c r="I855" i="1"/>
  <c r="B855" i="1"/>
  <c r="O853" i="1"/>
  <c r="O854" i="1"/>
  <c r="J853" i="1"/>
  <c r="J854" i="1"/>
  <c r="I853" i="1"/>
  <c r="I854" i="1"/>
  <c r="B853" i="1"/>
  <c r="B854" i="1"/>
  <c r="E976" i="15" l="1"/>
  <c r="E973" i="15"/>
  <c r="X180" i="3"/>
  <c r="E1898" i="15" s="1"/>
  <c r="AC20" i="13"/>
  <c r="AD20" i="13" s="1"/>
  <c r="AC26" i="13"/>
  <c r="AD26" i="13" s="1"/>
  <c r="AC33" i="13"/>
  <c r="AD33" i="13" s="1"/>
  <c r="AC19" i="13"/>
  <c r="AD19" i="13" s="1"/>
  <c r="AC39" i="13"/>
  <c r="AD39" i="13" s="1"/>
  <c r="AC29" i="13"/>
  <c r="AD29" i="13" s="1"/>
  <c r="AC31" i="13"/>
  <c r="AD31" i="13" s="1"/>
  <c r="AC18" i="13"/>
  <c r="AD18" i="13" s="1"/>
  <c r="AC38" i="13"/>
  <c r="AD38" i="13" s="1"/>
  <c r="AC25" i="13"/>
  <c r="AD25" i="13" s="1"/>
  <c r="AC28" i="13"/>
  <c r="AD28" i="13" s="1"/>
  <c r="AC35" i="13"/>
  <c r="AD35" i="13" s="1"/>
  <c r="AC30" i="13"/>
  <c r="AD30" i="13" s="1"/>
  <c r="AC37" i="13"/>
  <c r="AD37" i="13" s="1"/>
  <c r="AC21" i="13"/>
  <c r="AD21" i="13" s="1"/>
  <c r="AC36" i="13"/>
  <c r="AD36" i="13" s="1"/>
  <c r="AC22" i="13"/>
  <c r="AD22" i="13" s="1"/>
  <c r="AC27" i="13"/>
  <c r="AD27" i="13" s="1"/>
  <c r="AC23" i="13"/>
  <c r="AD23" i="13" s="1"/>
  <c r="AC24" i="13"/>
  <c r="AD24" i="13" s="1"/>
  <c r="AC34" i="13"/>
  <c r="AD34" i="13" s="1"/>
  <c r="AC2" i="13"/>
  <c r="E2280" i="15"/>
  <c r="E974" i="15"/>
  <c r="D21" i="30"/>
  <c r="D43" i="30" s="1"/>
  <c r="I34" i="30"/>
  <c r="D22" i="30"/>
  <c r="K178" i="3"/>
  <c r="K180" i="3"/>
  <c r="K181" i="3"/>
  <c r="K179" i="3"/>
  <c r="E2453" i="15"/>
  <c r="E871" i="15"/>
  <c r="E2160" i="15"/>
  <c r="E2295" i="15"/>
  <c r="E2086" i="15"/>
  <c r="E2354" i="15"/>
  <c r="E2405" i="15"/>
  <c r="E2233" i="15"/>
  <c r="E1538" i="15"/>
  <c r="E1621" i="15"/>
  <c r="E1700" i="15"/>
  <c r="E1775" i="15"/>
  <c r="E1855" i="15"/>
  <c r="E1934" i="15"/>
  <c r="E2010" i="15"/>
  <c r="E870" i="15"/>
  <c r="E1007" i="15"/>
  <c r="E1343" i="15"/>
  <c r="E1442" i="15"/>
  <c r="E1121" i="15"/>
  <c r="E1229" i="15"/>
  <c r="E848" i="15"/>
  <c r="E2443" i="15"/>
  <c r="E2490" i="15"/>
  <c r="E2530" i="15"/>
  <c r="E2569" i="15"/>
  <c r="E2394" i="15"/>
  <c r="E2340" i="15"/>
  <c r="E2136" i="15"/>
  <c r="E2211" i="15"/>
  <c r="E2064" i="15"/>
  <c r="E856" i="15"/>
  <c r="E975" i="15"/>
  <c r="E2928" i="15"/>
  <c r="E850" i="15"/>
  <c r="E2741" i="15"/>
  <c r="E2849" i="15"/>
  <c r="E2463" i="15"/>
  <c r="E2506" i="15"/>
  <c r="E2581" i="15"/>
  <c r="E2618" i="15"/>
  <c r="E2679" i="15"/>
  <c r="E2702" i="15"/>
  <c r="E2543" i="15"/>
  <c r="E2651" i="15"/>
  <c r="E1371" i="15"/>
  <c r="E1468" i="15"/>
  <c r="E1560" i="15"/>
  <c r="E1716" i="15"/>
  <c r="E1791" i="15"/>
  <c r="E1947" i="15"/>
  <c r="E2021" i="15"/>
  <c r="E2096" i="15"/>
  <c r="E2168" i="15"/>
  <c r="E2240" i="15"/>
  <c r="E1641" i="15"/>
  <c r="E1871" i="15"/>
  <c r="G2957" i="15"/>
  <c r="G2958" i="15"/>
  <c r="G2948" i="15"/>
  <c r="G2949" i="15"/>
  <c r="G2950" i="15"/>
  <c r="G2951" i="15"/>
  <c r="G2952" i="15"/>
  <c r="G2953" i="15"/>
  <c r="G2937" i="15"/>
  <c r="G2938" i="15"/>
  <c r="G2939" i="15"/>
  <c r="G2940" i="15"/>
  <c r="G2941" i="15"/>
  <c r="G2942" i="15"/>
  <c r="G2943" i="15"/>
  <c r="G2944" i="15"/>
  <c r="G2945" i="15"/>
  <c r="G2946" i="15"/>
  <c r="G2929" i="15"/>
  <c r="G2930" i="15"/>
  <c r="G2931" i="15"/>
  <c r="G2932" i="15"/>
  <c r="G2933" i="15"/>
  <c r="G2934" i="15"/>
  <c r="G2925" i="15"/>
  <c r="G2926" i="15"/>
  <c r="G2918" i="15"/>
  <c r="G2919" i="15"/>
  <c r="G2920" i="15"/>
  <c r="G2921" i="15"/>
  <c r="G2922" i="15"/>
  <c r="G2923" i="15"/>
  <c r="G2912" i="15"/>
  <c r="G2913" i="15"/>
  <c r="G2914" i="15"/>
  <c r="G2915" i="15"/>
  <c r="G2916" i="15"/>
  <c r="G2917" i="15"/>
  <c r="G2911" i="15"/>
  <c r="G2898" i="15"/>
  <c r="G2899" i="15"/>
  <c r="G2900" i="15"/>
  <c r="G2901" i="15"/>
  <c r="G2902" i="15"/>
  <c r="G2903" i="15"/>
  <c r="G2895" i="15"/>
  <c r="G2896" i="15"/>
  <c r="G2893" i="15"/>
  <c r="G2894" i="15"/>
  <c r="G2882" i="15"/>
  <c r="G2883" i="15"/>
  <c r="G2884" i="15"/>
  <c r="G2885" i="15"/>
  <c r="G2886" i="15"/>
  <c r="G2887" i="15"/>
  <c r="G2888" i="15"/>
  <c r="G2889" i="15"/>
  <c r="G2890" i="15"/>
  <c r="G2891" i="15"/>
  <c r="G2872" i="15"/>
  <c r="G2873" i="15"/>
  <c r="G2874" i="15"/>
  <c r="G2875" i="15"/>
  <c r="G2876" i="15"/>
  <c r="G2862" i="15"/>
  <c r="G2863" i="15"/>
  <c r="G2864" i="15"/>
  <c r="G2865" i="15"/>
  <c r="G2866" i="15"/>
  <c r="G2867" i="15"/>
  <c r="G2115" i="15"/>
  <c r="G2187" i="15"/>
  <c r="G2258" i="15"/>
  <c r="G2045" i="15"/>
  <c r="G2317" i="15"/>
  <c r="G2371" i="15"/>
  <c r="G2836" i="15"/>
  <c r="G2837" i="15"/>
  <c r="G2838" i="15"/>
  <c r="G2839" i="15"/>
  <c r="G2840" i="15"/>
  <c r="G2841" i="15"/>
  <c r="G2842" i="15"/>
  <c r="G2843" i="15"/>
  <c r="G2844" i="15"/>
  <c r="G2845" i="15"/>
  <c r="G2828" i="15"/>
  <c r="G2829" i="15"/>
  <c r="G2830" i="15"/>
  <c r="G2831" i="15"/>
  <c r="G2832" i="15"/>
  <c r="G2833" i="15"/>
  <c r="G2822" i="15"/>
  <c r="G2823" i="15"/>
  <c r="G2824" i="15"/>
  <c r="G2825" i="15"/>
  <c r="G2826" i="15"/>
  <c r="G2827" i="15"/>
  <c r="G2956" i="15"/>
  <c r="G2955" i="15"/>
  <c r="G2954" i="15"/>
  <c r="X11" i="3"/>
  <c r="X21" i="3"/>
  <c r="X33" i="3"/>
  <c r="X50" i="3"/>
  <c r="X60" i="3"/>
  <c r="X63" i="3"/>
  <c r="X65" i="3"/>
  <c r="X70" i="3"/>
  <c r="X74" i="3"/>
  <c r="X87" i="3"/>
  <c r="X88" i="3"/>
  <c r="X89" i="3"/>
  <c r="X92" i="3"/>
  <c r="X99" i="3"/>
  <c r="X101" i="3"/>
  <c r="X105" i="3"/>
  <c r="X106" i="3"/>
  <c r="X111" i="3"/>
  <c r="X117" i="3"/>
  <c r="X129" i="3"/>
  <c r="X149" i="3"/>
  <c r="X154" i="3"/>
  <c r="X155" i="3"/>
  <c r="X176" i="3"/>
  <c r="B852" i="1"/>
  <c r="I852" i="1"/>
  <c r="J852" i="1"/>
  <c r="O852" i="1"/>
  <c r="B20" i="15"/>
  <c r="B851" i="1"/>
  <c r="I851" i="1"/>
  <c r="J851" i="1"/>
  <c r="O851" i="1"/>
  <c r="J42" i="19"/>
  <c r="E1283" i="15" l="1"/>
  <c r="E2871" i="15"/>
  <c r="E2263" i="15"/>
  <c r="E1172" i="15"/>
  <c r="E1393" i="15"/>
  <c r="E1578" i="15"/>
  <c r="E2194" i="15"/>
  <c r="E858" i="15"/>
  <c r="E1065" i="15"/>
  <c r="E2732" i="15"/>
  <c r="E2691" i="15"/>
  <c r="E1819" i="15"/>
  <c r="E2322" i="15"/>
  <c r="E2662" i="15"/>
  <c r="P28" i="23"/>
  <c r="P35" i="23"/>
  <c r="P32" i="23"/>
  <c r="P38" i="23"/>
  <c r="P24" i="23"/>
  <c r="P27" i="23"/>
  <c r="P34" i="23"/>
  <c r="P31" i="23"/>
  <c r="P41" i="23"/>
  <c r="P21" i="23"/>
  <c r="P37" i="23"/>
  <c r="P23" i="23"/>
  <c r="P19" i="23"/>
  <c r="P26" i="23"/>
  <c r="P40" i="23"/>
  <c r="P33" i="23"/>
  <c r="P30" i="23"/>
  <c r="P29" i="23"/>
  <c r="P36" i="23"/>
  <c r="P22" i="23"/>
  <c r="P20" i="23"/>
  <c r="P25" i="23"/>
  <c r="P39" i="23"/>
  <c r="E2631" i="15"/>
  <c r="E1664" i="15"/>
  <c r="E1739" i="15"/>
  <c r="E2050" i="15"/>
  <c r="E2517" i="15"/>
  <c r="E2714" i="15"/>
  <c r="E2594" i="15"/>
  <c r="E1490" i="15"/>
  <c r="E2749" i="15"/>
  <c r="E2474" i="15"/>
  <c r="E2119" i="15"/>
  <c r="E1975" i="15"/>
  <c r="E2555" i="15"/>
  <c r="E938" i="15"/>
  <c r="AD2" i="13"/>
  <c r="AD3" i="13" s="1"/>
  <c r="D29" i="30"/>
  <c r="I9" i="26"/>
  <c r="E2020" i="15"/>
  <c r="E2634" i="15"/>
  <c r="E2665" i="15"/>
  <c r="E2597" i="15"/>
  <c r="E2558" i="15"/>
  <c r="E2518" i="15"/>
  <c r="E2475" i="15"/>
  <c r="E128" i="15"/>
  <c r="E1105" i="15"/>
  <c r="E1329" i="15"/>
  <c r="E1430" i="15"/>
  <c r="E1526" i="15"/>
  <c r="E988" i="15"/>
  <c r="E1215" i="15"/>
  <c r="E853" i="15"/>
  <c r="E2586" i="15"/>
  <c r="E2623" i="15"/>
  <c r="E2655" i="15"/>
  <c r="E2706" i="15"/>
  <c r="E2725" i="15"/>
  <c r="E2683" i="15"/>
  <c r="E2239" i="15"/>
  <c r="E2167" i="15"/>
  <c r="E2094" i="15"/>
  <c r="E205" i="15"/>
  <c r="E1558" i="15"/>
  <c r="E1639" i="15"/>
  <c r="E1715" i="15"/>
  <c r="E1790" i="15"/>
  <c r="E1870" i="15"/>
  <c r="E1946" i="15"/>
  <c r="E2019" i="15"/>
  <c r="E877" i="15"/>
  <c r="E1035" i="15"/>
  <c r="E1147" i="15"/>
  <c r="E1255" i="15"/>
  <c r="E1368" i="15"/>
  <c r="E1465" i="15"/>
  <c r="E1150" i="15"/>
  <c r="E846" i="15"/>
  <c r="E905" i="15"/>
  <c r="E1043" i="15"/>
  <c r="E1258" i="15"/>
  <c r="E2807" i="15"/>
  <c r="E2803" i="15"/>
  <c r="E2815" i="15"/>
  <c r="E2811" i="15"/>
  <c r="E2537" i="15"/>
  <c r="E2161" i="15"/>
  <c r="E2296" i="15"/>
  <c r="E2847" i="15"/>
  <c r="E2087" i="15"/>
  <c r="E2775" i="15"/>
  <c r="E2576" i="15"/>
  <c r="E2677" i="15"/>
  <c r="E2406" i="15"/>
  <c r="E2454" i="15"/>
  <c r="E2498" i="15"/>
  <c r="E2780" i="15"/>
  <c r="E2614" i="15"/>
  <c r="E2234" i="15"/>
  <c r="E2784" i="15"/>
  <c r="E2789" i="15"/>
  <c r="E2355" i="15"/>
  <c r="E2799" i="15"/>
  <c r="E2794" i="15"/>
  <c r="E2649" i="15"/>
  <c r="E1777" i="15"/>
  <c r="E1857" i="15"/>
  <c r="E1935" i="15"/>
  <c r="E2011" i="15"/>
  <c r="E1010" i="15"/>
  <c r="E1124" i="15"/>
  <c r="E1232" i="15"/>
  <c r="E1346" i="15"/>
  <c r="E1445" i="15"/>
  <c r="E1541" i="15"/>
  <c r="E1624" i="15"/>
  <c r="E1702" i="15"/>
  <c r="B850" i="1"/>
  <c r="I850" i="1"/>
  <c r="J850" i="1"/>
  <c r="O850" i="1"/>
  <c r="B846" i="1"/>
  <c r="B847" i="1"/>
  <c r="B848" i="1"/>
  <c r="B849" i="1"/>
  <c r="I846" i="1"/>
  <c r="I847" i="1"/>
  <c r="I848" i="1"/>
  <c r="I849" i="1"/>
  <c r="J846" i="1"/>
  <c r="J847" i="1"/>
  <c r="J848" i="1"/>
  <c r="J849" i="1"/>
  <c r="O846" i="1"/>
  <c r="O847" i="1"/>
  <c r="O848" i="1"/>
  <c r="O849" i="1"/>
  <c r="B845" i="1"/>
  <c r="I845" i="1"/>
  <c r="J845" i="1"/>
  <c r="O845" i="1"/>
  <c r="G2260" i="15"/>
  <c r="G2319" i="15"/>
  <c r="G2373" i="15"/>
  <c r="G2421" i="15"/>
  <c r="G2471" i="15"/>
  <c r="G2514" i="15"/>
  <c r="G2552" i="15"/>
  <c r="G2591" i="15"/>
  <c r="G2628" i="15"/>
  <c r="G2189" i="15"/>
  <c r="B2628" i="15"/>
  <c r="D2628" i="15"/>
  <c r="F2628" i="15"/>
  <c r="L2628" i="15" a="1"/>
  <c r="L2628" i="15" s="1"/>
  <c r="M2628" i="15" s="1"/>
  <c r="B2591" i="15"/>
  <c r="D2591" i="15"/>
  <c r="F2591" i="15"/>
  <c r="L2591" i="15" a="1"/>
  <c r="L2591" i="15" s="1"/>
  <c r="M2591" i="15" s="1"/>
  <c r="B2552" i="15"/>
  <c r="D2552" i="15"/>
  <c r="F2552" i="15"/>
  <c r="L2552" i="15" a="1"/>
  <c r="L2552" i="15" s="1"/>
  <c r="M2552" i="15" s="1"/>
  <c r="B2514" i="15"/>
  <c r="D2514" i="15"/>
  <c r="F2514" i="15"/>
  <c r="L2514" i="15" a="1"/>
  <c r="L2514" i="15" s="1"/>
  <c r="M2514" i="15" s="1"/>
  <c r="B2471" i="15"/>
  <c r="D2471" i="15"/>
  <c r="F2471" i="15"/>
  <c r="L2471" i="15" a="1"/>
  <c r="L2471" i="15" s="1"/>
  <c r="M2471" i="15" s="1"/>
  <c r="B2189" i="15"/>
  <c r="B2260" i="15"/>
  <c r="B2319" i="15"/>
  <c r="B2373" i="15"/>
  <c r="B2421" i="15"/>
  <c r="D2189" i="15"/>
  <c r="D2260" i="15"/>
  <c r="D2319" i="15"/>
  <c r="D2373" i="15"/>
  <c r="D2421" i="15"/>
  <c r="F2189" i="15"/>
  <c r="F2260" i="15"/>
  <c r="F2319" i="15"/>
  <c r="F2373" i="15"/>
  <c r="F2421" i="15"/>
  <c r="L2189" i="15" a="1"/>
  <c r="L2189" i="15" s="1"/>
  <c r="M2189" i="15" s="1"/>
  <c r="L2260" i="15" a="1"/>
  <c r="L2260" i="15" s="1"/>
  <c r="M2260" i="15" s="1"/>
  <c r="L2319" i="15" a="1"/>
  <c r="L2319" i="15" s="1"/>
  <c r="M2319" i="15" s="1"/>
  <c r="L2373" i="15" a="1"/>
  <c r="L2373" i="15" s="1"/>
  <c r="M2373" i="15" s="1"/>
  <c r="L2421" i="15" a="1"/>
  <c r="L2421" i="15" s="1"/>
  <c r="M2421" i="15" s="1"/>
  <c r="B2860" i="15"/>
  <c r="D2860" i="15"/>
  <c r="F2860" i="15"/>
  <c r="L2860" i="15" a="1"/>
  <c r="L2860" i="15" s="1"/>
  <c r="M2860" i="15" s="1"/>
  <c r="B798" i="15"/>
  <c r="B918" i="15"/>
  <c r="B1048" i="15"/>
  <c r="B1158" i="15"/>
  <c r="B1269" i="15"/>
  <c r="B1379" i="15"/>
  <c r="B1477" i="15"/>
  <c r="B1567" i="15"/>
  <c r="B1646" i="15"/>
  <c r="B1721" i="15"/>
  <c r="B1797" i="15"/>
  <c r="B1876" i="15"/>
  <c r="B1951" i="15"/>
  <c r="B2023" i="15"/>
  <c r="D798" i="15"/>
  <c r="D918" i="15"/>
  <c r="D1048" i="15"/>
  <c r="D1158" i="15"/>
  <c r="D1269" i="15"/>
  <c r="D1379" i="15"/>
  <c r="D1477" i="15"/>
  <c r="D1567" i="15"/>
  <c r="D1646" i="15"/>
  <c r="D1721" i="15"/>
  <c r="D1797" i="15"/>
  <c r="D1876" i="15"/>
  <c r="D1951" i="15"/>
  <c r="D2023" i="15"/>
  <c r="F798" i="15"/>
  <c r="F918" i="15"/>
  <c r="F1048" i="15"/>
  <c r="F1158" i="15"/>
  <c r="F1269" i="15"/>
  <c r="F1379" i="15"/>
  <c r="F1477" i="15"/>
  <c r="F1567" i="15"/>
  <c r="F1646" i="15"/>
  <c r="F1721" i="15"/>
  <c r="F1797" i="15"/>
  <c r="F1876" i="15"/>
  <c r="F1951" i="15"/>
  <c r="F2023" i="15"/>
  <c r="L798" i="15" a="1"/>
  <c r="L798" i="15" s="1"/>
  <c r="M798" i="15" s="1"/>
  <c r="L918" i="15" a="1"/>
  <c r="L918" i="15" s="1"/>
  <c r="M918" i="15" s="1"/>
  <c r="L1048" i="15" a="1"/>
  <c r="L1048" i="15" s="1"/>
  <c r="M1048" i="15" s="1"/>
  <c r="L1158" i="15" a="1"/>
  <c r="L1158" i="15" s="1"/>
  <c r="M1158" i="15" s="1"/>
  <c r="L1269" i="15" a="1"/>
  <c r="L1269" i="15" s="1"/>
  <c r="M1269" i="15" s="1"/>
  <c r="L1379" i="15" a="1"/>
  <c r="L1379" i="15" s="1"/>
  <c r="M1379" i="15" s="1"/>
  <c r="L1477" i="15" a="1"/>
  <c r="L1477" i="15" s="1"/>
  <c r="M1477" i="15" s="1"/>
  <c r="L1567" i="15" a="1"/>
  <c r="L1567" i="15" s="1"/>
  <c r="M1567" i="15" s="1"/>
  <c r="L1646" i="15" a="1"/>
  <c r="L1646" i="15" s="1"/>
  <c r="M1646" i="15" s="1"/>
  <c r="L1721" i="15" a="1"/>
  <c r="L1721" i="15" s="1"/>
  <c r="M1721" i="15" s="1"/>
  <c r="L1797" i="15" a="1"/>
  <c r="L1797" i="15" s="1"/>
  <c r="M1797" i="15" s="1"/>
  <c r="L1876" i="15" a="1"/>
  <c r="L1876" i="15" s="1"/>
  <c r="M1876" i="15" s="1"/>
  <c r="L1951" i="15" a="1"/>
  <c r="L1951" i="15" s="1"/>
  <c r="M1951" i="15" s="1"/>
  <c r="L2023" i="15" a="1"/>
  <c r="L2023" i="15" s="1"/>
  <c r="M2023" i="15" s="1"/>
  <c r="B792" i="15"/>
  <c r="D792" i="15"/>
  <c r="F792" i="15"/>
  <c r="L792" i="15" a="1"/>
  <c r="L792" i="15" s="1"/>
  <c r="H843" i="1"/>
  <c r="G843" i="1"/>
  <c r="B843" i="1"/>
  <c r="B844" i="1"/>
  <c r="I844" i="1"/>
  <c r="J844" i="1"/>
  <c r="O843" i="1"/>
  <c r="O844" i="1"/>
  <c r="B764" i="15"/>
  <c r="D764" i="15"/>
  <c r="F764" i="15"/>
  <c r="L764" i="15" a="1"/>
  <c r="L764" i="15" s="1"/>
  <c r="M764" i="15" s="1"/>
  <c r="B774" i="15"/>
  <c r="D774" i="15"/>
  <c r="F774" i="15"/>
  <c r="L774" i="15" a="1"/>
  <c r="L774" i="15" s="1"/>
  <c r="M774" i="15" s="1"/>
  <c r="B765" i="15"/>
  <c r="D765" i="15"/>
  <c r="F765" i="15"/>
  <c r="L765" i="15" a="1"/>
  <c r="L765" i="15" s="1"/>
  <c r="M765" i="15" s="1"/>
  <c r="B766" i="15"/>
  <c r="D766" i="15"/>
  <c r="F766" i="15"/>
  <c r="L766" i="15" a="1"/>
  <c r="L766" i="15" s="1"/>
  <c r="M766" i="15" s="1"/>
  <c r="B767" i="15"/>
  <c r="D767" i="15"/>
  <c r="F767" i="15"/>
  <c r="L767" i="15" a="1"/>
  <c r="L767" i="15" s="1"/>
  <c r="M767" i="15" s="1"/>
  <c r="B768" i="15"/>
  <c r="D768" i="15"/>
  <c r="F768" i="15"/>
  <c r="L768" i="15" a="1"/>
  <c r="L768" i="15" s="1"/>
  <c r="M768" i="15" s="1"/>
  <c r="B769" i="15"/>
  <c r="D769" i="15"/>
  <c r="F769" i="15"/>
  <c r="L769" i="15" a="1"/>
  <c r="L769" i="15" s="1"/>
  <c r="M769" i="15" s="1"/>
  <c r="B770" i="15"/>
  <c r="D770" i="15"/>
  <c r="F770" i="15"/>
  <c r="L770" i="15" a="1"/>
  <c r="L770" i="15" s="1"/>
  <c r="M770" i="15" s="1"/>
  <c r="B771" i="15"/>
  <c r="D771" i="15"/>
  <c r="F771" i="15"/>
  <c r="L771" i="15" a="1"/>
  <c r="L771" i="15" s="1"/>
  <c r="M771" i="15" s="1"/>
  <c r="B772" i="15"/>
  <c r="D772" i="15"/>
  <c r="F772" i="15"/>
  <c r="L772" i="15" a="1"/>
  <c r="L772" i="15" s="1"/>
  <c r="M772" i="15" s="1"/>
  <c r="B773" i="15"/>
  <c r="D773" i="15"/>
  <c r="F773" i="15"/>
  <c r="L773" i="15" a="1"/>
  <c r="L773" i="15" s="1"/>
  <c r="M773" i="15" s="1"/>
  <c r="B835" i="1"/>
  <c r="B836" i="1"/>
  <c r="B837" i="1"/>
  <c r="B838" i="1"/>
  <c r="B839" i="1"/>
  <c r="B840" i="1"/>
  <c r="B841" i="1"/>
  <c r="B842" i="1"/>
  <c r="I835" i="1"/>
  <c r="I836" i="1"/>
  <c r="I837" i="1"/>
  <c r="I838" i="1"/>
  <c r="I839" i="1"/>
  <c r="I840" i="1"/>
  <c r="I841" i="1"/>
  <c r="I842" i="1"/>
  <c r="J835" i="1"/>
  <c r="J836" i="1"/>
  <c r="J837" i="1"/>
  <c r="J838" i="1"/>
  <c r="J839" i="1"/>
  <c r="J840" i="1"/>
  <c r="J841" i="1"/>
  <c r="J842" i="1"/>
  <c r="O835" i="1"/>
  <c r="O836" i="1"/>
  <c r="O837" i="1"/>
  <c r="O838" i="1"/>
  <c r="O839" i="1"/>
  <c r="O840" i="1"/>
  <c r="O841" i="1"/>
  <c r="O842" i="1"/>
  <c r="B831" i="1"/>
  <c r="B832" i="1"/>
  <c r="B833" i="1"/>
  <c r="B834" i="1"/>
  <c r="I831" i="1"/>
  <c r="I832" i="1"/>
  <c r="I833" i="1"/>
  <c r="I834" i="1"/>
  <c r="J831" i="1"/>
  <c r="J832" i="1"/>
  <c r="J833" i="1"/>
  <c r="J834" i="1"/>
  <c r="O831" i="1"/>
  <c r="O832" i="1"/>
  <c r="O833" i="1"/>
  <c r="O834" i="1"/>
  <c r="B829" i="1"/>
  <c r="B830" i="1"/>
  <c r="I829" i="1"/>
  <c r="I830" i="1"/>
  <c r="J829" i="1"/>
  <c r="J830" i="1"/>
  <c r="O829" i="1"/>
  <c r="O830" i="1"/>
  <c r="H828" i="1"/>
  <c r="G828" i="1"/>
  <c r="B827" i="1"/>
  <c r="B828" i="1"/>
  <c r="I827" i="1"/>
  <c r="J827" i="1"/>
  <c r="O827" i="1"/>
  <c r="O828" i="1"/>
  <c r="B828" i="15"/>
  <c r="D828" i="15"/>
  <c r="F828" i="15"/>
  <c r="L828" i="15" a="1"/>
  <c r="L828" i="15" s="1"/>
  <c r="M828" i="15" s="1"/>
  <c r="B817" i="15"/>
  <c r="D817" i="15"/>
  <c r="F817" i="15"/>
  <c r="L817" i="15" a="1"/>
  <c r="L817" i="15" s="1"/>
  <c r="M817" i="15" s="1"/>
  <c r="B818" i="15"/>
  <c r="D818" i="15"/>
  <c r="F818" i="15"/>
  <c r="L818" i="15" a="1"/>
  <c r="L818" i="15" s="1"/>
  <c r="M818" i="15" s="1"/>
  <c r="B823" i="1"/>
  <c r="B824" i="1"/>
  <c r="B825" i="1"/>
  <c r="B826" i="1"/>
  <c r="I823" i="1"/>
  <c r="I824" i="1"/>
  <c r="I825" i="1"/>
  <c r="I826" i="1"/>
  <c r="J823" i="1"/>
  <c r="J824" i="1"/>
  <c r="J825" i="1"/>
  <c r="J826" i="1"/>
  <c r="O823" i="1"/>
  <c r="O824" i="1"/>
  <c r="O825" i="1"/>
  <c r="O826" i="1"/>
  <c r="N835" i="15"/>
  <c r="B822" i="1"/>
  <c r="I822" i="1"/>
  <c r="J822" i="1"/>
  <c r="O822" i="1"/>
  <c r="B821" i="1"/>
  <c r="G819" i="1"/>
  <c r="H819" i="1"/>
  <c r="B820" i="1"/>
  <c r="I820" i="1"/>
  <c r="I821" i="1"/>
  <c r="J820" i="1"/>
  <c r="J821" i="1"/>
  <c r="O820" i="1"/>
  <c r="O821" i="1"/>
  <c r="B818" i="1"/>
  <c r="B819" i="1"/>
  <c r="I818" i="1"/>
  <c r="J818" i="1"/>
  <c r="O818" i="1"/>
  <c r="O819" i="1"/>
  <c r="B817" i="1"/>
  <c r="I817" i="1"/>
  <c r="J817" i="1"/>
  <c r="O817" i="1"/>
  <c r="B816" i="1"/>
  <c r="I816" i="1"/>
  <c r="J816" i="1"/>
  <c r="O816" i="1"/>
  <c r="O815" i="1"/>
  <c r="J815" i="1"/>
  <c r="I815" i="1"/>
  <c r="B815" i="1"/>
  <c r="O814" i="1"/>
  <c r="J814" i="1"/>
  <c r="I814" i="1"/>
  <c r="B814" i="1"/>
  <c r="O813" i="1"/>
  <c r="J813" i="1"/>
  <c r="I813" i="1"/>
  <c r="B813" i="1"/>
  <c r="M792" i="15" l="1"/>
  <c r="X177" i="3" s="1"/>
  <c r="E14" i="23"/>
  <c r="P42" i="23"/>
  <c r="G14" i="23"/>
  <c r="D14" i="23"/>
  <c r="C14" i="23"/>
  <c r="D16" i="13"/>
  <c r="C6" i="30"/>
  <c r="G6" i="30"/>
  <c r="H6" i="30" s="1"/>
  <c r="I843" i="1"/>
  <c r="J843" i="1"/>
  <c r="L14" i="23" s="1"/>
  <c r="J828" i="1"/>
  <c r="K14" i="23" s="1"/>
  <c r="I828" i="1"/>
  <c r="J819" i="1"/>
  <c r="H14" i="23" s="1"/>
  <c r="I819" i="1"/>
  <c r="C22" i="30" l="1"/>
  <c r="C28" i="30"/>
  <c r="C21" i="30"/>
  <c r="C43" i="30" s="1"/>
  <c r="C44" i="30" s="1"/>
  <c r="D44" i="30" s="1"/>
  <c r="E44" i="30" s="1"/>
  <c r="F44" i="30" s="1"/>
  <c r="G44" i="30" s="1"/>
  <c r="G90" i="30" s="1"/>
  <c r="Q14" i="23"/>
  <c r="I6" i="30"/>
  <c r="AH16" i="13"/>
  <c r="Q16" i="13"/>
  <c r="B812" i="1"/>
  <c r="O810" i="1"/>
  <c r="O811" i="1"/>
  <c r="O812" i="1"/>
  <c r="J810" i="1"/>
  <c r="J811" i="1"/>
  <c r="J812" i="1"/>
  <c r="I810" i="1"/>
  <c r="I811" i="1"/>
  <c r="I812" i="1"/>
  <c r="B810" i="1"/>
  <c r="B811" i="1"/>
  <c r="O807" i="1"/>
  <c r="O808" i="1"/>
  <c r="O809" i="1"/>
  <c r="J807" i="1"/>
  <c r="J808" i="1"/>
  <c r="J809" i="1"/>
  <c r="I807" i="1"/>
  <c r="I808" i="1"/>
  <c r="I809" i="1"/>
  <c r="B807" i="1"/>
  <c r="B808" i="1"/>
  <c r="B809" i="1"/>
  <c r="O805" i="1"/>
  <c r="O806" i="1"/>
  <c r="J805" i="1"/>
  <c r="J806" i="1"/>
  <c r="I805" i="1"/>
  <c r="I806" i="1"/>
  <c r="B805" i="1"/>
  <c r="B806" i="1"/>
  <c r="G2746" i="15"/>
  <c r="G2757" i="15"/>
  <c r="G2764" i="15"/>
  <c r="G2771" i="15"/>
  <c r="G2776" i="15"/>
  <c r="G2781" i="15"/>
  <c r="G2786" i="15"/>
  <c r="G2791" i="15"/>
  <c r="G2796" i="15"/>
  <c r="G2728" i="15"/>
  <c r="B2786" i="15"/>
  <c r="B2791" i="15"/>
  <c r="B2796" i="15"/>
  <c r="D2786" i="15"/>
  <c r="D2791" i="15"/>
  <c r="D2796" i="15"/>
  <c r="F2786" i="15"/>
  <c r="F2791" i="15"/>
  <c r="F2796" i="15"/>
  <c r="L2786" i="15" a="1"/>
  <c r="L2786" i="15" s="1"/>
  <c r="M2786" i="15" s="1"/>
  <c r="L2791" i="15" a="1"/>
  <c r="L2791" i="15" s="1"/>
  <c r="M2791" i="15" s="1"/>
  <c r="L2796" i="15" a="1"/>
  <c r="L2796" i="15" s="1"/>
  <c r="M2796" i="15" s="1"/>
  <c r="B2746" i="15"/>
  <c r="B2757" i="15"/>
  <c r="B2764" i="15"/>
  <c r="B2771" i="15"/>
  <c r="B2776" i="15"/>
  <c r="B2781" i="15"/>
  <c r="D2746" i="15"/>
  <c r="D2757" i="15"/>
  <c r="D2764" i="15"/>
  <c r="D2771" i="15"/>
  <c r="D2776" i="15"/>
  <c r="D2781" i="15"/>
  <c r="F2746" i="15"/>
  <c r="F2757" i="15"/>
  <c r="F2764" i="15"/>
  <c r="F2771" i="15"/>
  <c r="F2776" i="15"/>
  <c r="F2781" i="15"/>
  <c r="L2746" i="15" a="1"/>
  <c r="L2746" i="15" s="1"/>
  <c r="M2746" i="15" s="1"/>
  <c r="L2757" i="15" a="1"/>
  <c r="L2757" i="15" s="1"/>
  <c r="M2757" i="15" s="1"/>
  <c r="L2764" i="15" a="1"/>
  <c r="L2764" i="15" s="1"/>
  <c r="M2764" i="15" s="1"/>
  <c r="L2771" i="15" a="1"/>
  <c r="L2771" i="15" s="1"/>
  <c r="M2771" i="15" s="1"/>
  <c r="L2776" i="15" a="1"/>
  <c r="L2776" i="15" s="1"/>
  <c r="M2776" i="15" s="1"/>
  <c r="L2781" i="15" a="1"/>
  <c r="L2781" i="15" s="1"/>
  <c r="M2781" i="15" s="1"/>
  <c r="B2728" i="15"/>
  <c r="D2728" i="15"/>
  <c r="F2728" i="15"/>
  <c r="L2728" i="15" a="1"/>
  <c r="L2728" i="15" s="1"/>
  <c r="M2728" i="15" s="1"/>
  <c r="B2238" i="15"/>
  <c r="D2238" i="15"/>
  <c r="F2238" i="15"/>
  <c r="L2238" i="15" a="1"/>
  <c r="L2238" i="15" s="1"/>
  <c r="M2238" i="15" s="1"/>
  <c r="B2018" i="15"/>
  <c r="B2093" i="15"/>
  <c r="B2166" i="15"/>
  <c r="D2018" i="15"/>
  <c r="D2093" i="15"/>
  <c r="D2166" i="15"/>
  <c r="F2018" i="15"/>
  <c r="F2093" i="15"/>
  <c r="F2166" i="15"/>
  <c r="L2018" i="15" a="1"/>
  <c r="L2018" i="15" s="1"/>
  <c r="M2018" i="15" s="1"/>
  <c r="L2093" i="15" a="1"/>
  <c r="L2093" i="15" s="1"/>
  <c r="M2093" i="15" s="1"/>
  <c r="L2166" i="15" a="1"/>
  <c r="L2166" i="15" s="1"/>
  <c r="M2166" i="15" s="1"/>
  <c r="B785" i="15"/>
  <c r="B900" i="15"/>
  <c r="B1033" i="15"/>
  <c r="B1145" i="15"/>
  <c r="B1253" i="15"/>
  <c r="B1366" i="15"/>
  <c r="B1463" i="15"/>
  <c r="B1556" i="15"/>
  <c r="B1637" i="15"/>
  <c r="B1714" i="15"/>
  <c r="B1789" i="15"/>
  <c r="B1869" i="15"/>
  <c r="B1945" i="15"/>
  <c r="D785" i="15"/>
  <c r="D900" i="15"/>
  <c r="D1033" i="15"/>
  <c r="D1145" i="15"/>
  <c r="D1253" i="15"/>
  <c r="D1366" i="15"/>
  <c r="D1463" i="15"/>
  <c r="D1556" i="15"/>
  <c r="D1637" i="15"/>
  <c r="D1714" i="15"/>
  <c r="D1789" i="15"/>
  <c r="D1869" i="15"/>
  <c r="D1945" i="15"/>
  <c r="F785" i="15"/>
  <c r="F900" i="15"/>
  <c r="F1033" i="15"/>
  <c r="F1145" i="15"/>
  <c r="F1253" i="15"/>
  <c r="F1366" i="15"/>
  <c r="F1463" i="15"/>
  <c r="F1556" i="15"/>
  <c r="F1637" i="15"/>
  <c r="F1714" i="15"/>
  <c r="F1789" i="15"/>
  <c r="F1869" i="15"/>
  <c r="F1945" i="15"/>
  <c r="L785" i="15" a="1"/>
  <c r="L785" i="15" s="1"/>
  <c r="M785" i="15" s="1"/>
  <c r="L900" i="15" a="1"/>
  <c r="L900" i="15" s="1"/>
  <c r="M900" i="15" s="1"/>
  <c r="L1033" i="15" a="1"/>
  <c r="L1033" i="15" s="1"/>
  <c r="M1033" i="15" s="1"/>
  <c r="L1145" i="15" a="1"/>
  <c r="L1145" i="15" s="1"/>
  <c r="M1145" i="15" s="1"/>
  <c r="L1253" i="15" a="1"/>
  <c r="L1253" i="15" s="1"/>
  <c r="M1253" i="15" s="1"/>
  <c r="L1366" i="15" a="1"/>
  <c r="L1366" i="15" s="1"/>
  <c r="M1366" i="15" s="1"/>
  <c r="L1463" i="15" a="1"/>
  <c r="L1463" i="15" s="1"/>
  <c r="M1463" i="15" s="1"/>
  <c r="L1556" i="15" a="1"/>
  <c r="L1556" i="15" s="1"/>
  <c r="M1556" i="15" s="1"/>
  <c r="L1637" i="15" a="1"/>
  <c r="L1637" i="15" s="1"/>
  <c r="M1637" i="15" s="1"/>
  <c r="L1714" i="15" a="1"/>
  <c r="L1714" i="15" s="1"/>
  <c r="M1714" i="15" s="1"/>
  <c r="L1789" i="15" a="1"/>
  <c r="L1789" i="15" s="1"/>
  <c r="M1789" i="15" s="1"/>
  <c r="L1869" i="15" a="1"/>
  <c r="L1869" i="15" s="1"/>
  <c r="M1869" i="15" s="1"/>
  <c r="L1945" i="15" a="1"/>
  <c r="L1945" i="15" s="1"/>
  <c r="M1945" i="15" s="1"/>
  <c r="B784" i="15"/>
  <c r="D784" i="15"/>
  <c r="F784" i="15"/>
  <c r="L784" i="15" a="1"/>
  <c r="L784" i="15" s="1"/>
  <c r="B802" i="1"/>
  <c r="B803" i="1"/>
  <c r="B804" i="1"/>
  <c r="I802" i="1"/>
  <c r="I803" i="1"/>
  <c r="I804" i="1"/>
  <c r="J802" i="1"/>
  <c r="J803" i="1"/>
  <c r="J804" i="1"/>
  <c r="O802" i="1"/>
  <c r="O803" i="1"/>
  <c r="O804" i="1"/>
  <c r="B699" i="15"/>
  <c r="D699" i="15"/>
  <c r="F699" i="15"/>
  <c r="L699" i="15" a="1"/>
  <c r="L699" i="15" s="1"/>
  <c r="M699" i="15" s="1"/>
  <c r="G177" i="3"/>
  <c r="P177" i="3"/>
  <c r="R177" i="3"/>
  <c r="S177" i="3"/>
  <c r="V177" i="3"/>
  <c r="B800" i="1"/>
  <c r="B801" i="1"/>
  <c r="I801" i="1"/>
  <c r="J801" i="1"/>
  <c r="O801" i="1"/>
  <c r="B798" i="1"/>
  <c r="B799" i="1"/>
  <c r="I798" i="1"/>
  <c r="I799" i="1"/>
  <c r="I800" i="1"/>
  <c r="J798" i="1"/>
  <c r="J799" i="1"/>
  <c r="J800" i="1"/>
  <c r="O798" i="1"/>
  <c r="O799" i="1"/>
  <c r="O800" i="1"/>
  <c r="G176" i="3"/>
  <c r="R796" i="1" s="1"/>
  <c r="P176" i="3"/>
  <c r="R176" i="3"/>
  <c r="S176" i="3"/>
  <c r="V176" i="3"/>
  <c r="B796" i="1"/>
  <c r="B797" i="1"/>
  <c r="I796" i="1"/>
  <c r="I797" i="1"/>
  <c r="J796" i="1"/>
  <c r="N176" i="3" s="1"/>
  <c r="J797" i="1"/>
  <c r="O796" i="1"/>
  <c r="O797" i="1"/>
  <c r="B795" i="1"/>
  <c r="I795" i="1"/>
  <c r="J795" i="1"/>
  <c r="O795" i="1"/>
  <c r="B778" i="15"/>
  <c r="D778" i="15"/>
  <c r="F778" i="15"/>
  <c r="L778" i="15" a="1"/>
  <c r="L778" i="15" s="1"/>
  <c r="M778" i="15" s="1"/>
  <c r="B794" i="1"/>
  <c r="I794" i="1"/>
  <c r="J794" i="1"/>
  <c r="O794" i="1"/>
  <c r="G175" i="3"/>
  <c r="P175" i="3"/>
  <c r="S175" i="3"/>
  <c r="V175" i="3"/>
  <c r="B792" i="1"/>
  <c r="B793" i="1"/>
  <c r="I792" i="1"/>
  <c r="I793" i="1"/>
  <c r="J792" i="1"/>
  <c r="J793" i="1"/>
  <c r="O792" i="1"/>
  <c r="O793" i="1"/>
  <c r="B791" i="1"/>
  <c r="I791" i="1"/>
  <c r="J791" i="1"/>
  <c r="O791" i="1"/>
  <c r="B788" i="1"/>
  <c r="B789" i="1"/>
  <c r="B790" i="1"/>
  <c r="I788" i="1"/>
  <c r="I789" i="1"/>
  <c r="I790" i="1"/>
  <c r="J788" i="1"/>
  <c r="J789" i="1"/>
  <c r="J790" i="1"/>
  <c r="O788" i="1"/>
  <c r="O789" i="1"/>
  <c r="O790" i="1"/>
  <c r="B787" i="1"/>
  <c r="I787" i="1"/>
  <c r="J787" i="1"/>
  <c r="O787" i="1"/>
  <c r="B784" i="1"/>
  <c r="B785" i="1"/>
  <c r="B786" i="1"/>
  <c r="I784" i="1"/>
  <c r="I785" i="1"/>
  <c r="I786" i="1"/>
  <c r="J784" i="1"/>
  <c r="J785" i="1"/>
  <c r="J786" i="1"/>
  <c r="O784" i="1"/>
  <c r="O785" i="1"/>
  <c r="O786" i="1"/>
  <c r="G2370" i="15"/>
  <c r="B783" i="1"/>
  <c r="I783" i="1"/>
  <c r="J783" i="1"/>
  <c r="O783" i="1"/>
  <c r="B778" i="1"/>
  <c r="B779" i="1"/>
  <c r="B780" i="1"/>
  <c r="B781" i="1"/>
  <c r="B782" i="1"/>
  <c r="I778" i="1"/>
  <c r="I779" i="1"/>
  <c r="I780" i="1"/>
  <c r="I781" i="1"/>
  <c r="I782" i="1"/>
  <c r="J778" i="1"/>
  <c r="J779" i="1"/>
  <c r="J780" i="1"/>
  <c r="J781" i="1"/>
  <c r="J782" i="1"/>
  <c r="O778" i="1"/>
  <c r="O779" i="1"/>
  <c r="O780" i="1"/>
  <c r="O781" i="1"/>
  <c r="O782" i="1"/>
  <c r="B777" i="1"/>
  <c r="I777" i="1"/>
  <c r="J777" i="1"/>
  <c r="O777" i="1"/>
  <c r="I2880" i="15"/>
  <c r="I776" i="1"/>
  <c r="J776" i="1"/>
  <c r="O776" i="1"/>
  <c r="B776" i="1"/>
  <c r="G2336" i="15"/>
  <c r="G2390" i="15"/>
  <c r="G2439" i="15"/>
  <c r="G2487" i="15"/>
  <c r="G2529" i="15"/>
  <c r="G2568" i="15"/>
  <c r="G2607" i="15"/>
  <c r="G2642" i="15"/>
  <c r="G2671" i="15"/>
  <c r="G2276" i="15"/>
  <c r="B2671" i="15"/>
  <c r="D2671" i="15"/>
  <c r="F2671" i="15"/>
  <c r="L2671" i="15" a="1"/>
  <c r="L2671" i="15" s="1"/>
  <c r="M2671" i="15" s="1"/>
  <c r="B2642" i="15"/>
  <c r="D2642" i="15"/>
  <c r="F2642" i="15"/>
  <c r="L2642" i="15" a="1"/>
  <c r="L2642" i="15" s="1"/>
  <c r="M2642" i="15" s="1"/>
  <c r="B2607" i="15"/>
  <c r="D2607" i="15"/>
  <c r="F2607" i="15"/>
  <c r="L2607" i="15" a="1"/>
  <c r="L2607" i="15" s="1"/>
  <c r="M2607" i="15" s="1"/>
  <c r="B2568" i="15"/>
  <c r="D2568" i="15"/>
  <c r="F2568" i="15"/>
  <c r="L2568" i="15" a="1"/>
  <c r="L2568" i="15" s="1"/>
  <c r="M2568" i="15" s="1"/>
  <c r="B2529" i="15"/>
  <c r="D2529" i="15"/>
  <c r="F2529" i="15"/>
  <c r="L2529" i="15" a="1"/>
  <c r="L2529" i="15" s="1"/>
  <c r="M2529" i="15" s="1"/>
  <c r="B2487" i="15"/>
  <c r="D2487" i="15"/>
  <c r="F2487" i="15"/>
  <c r="L2487" i="15" a="1"/>
  <c r="L2487" i="15" s="1"/>
  <c r="M2487" i="15" s="1"/>
  <c r="B2439" i="15"/>
  <c r="D2439" i="15"/>
  <c r="F2439" i="15"/>
  <c r="L2439" i="15" a="1"/>
  <c r="L2439" i="15" s="1"/>
  <c r="M2439" i="15" s="1"/>
  <c r="B2390" i="15"/>
  <c r="D2390" i="15"/>
  <c r="F2390" i="15"/>
  <c r="L2390" i="15" a="1"/>
  <c r="L2390" i="15" s="1"/>
  <c r="M2390" i="15" s="1"/>
  <c r="B2336" i="15"/>
  <c r="D2336" i="15"/>
  <c r="F2336" i="15"/>
  <c r="L2336" i="15" a="1"/>
  <c r="L2336" i="15" s="1"/>
  <c r="M2336" i="15" s="1"/>
  <c r="B2276" i="15"/>
  <c r="D2276" i="15"/>
  <c r="F2276" i="15"/>
  <c r="L2276" i="15" a="1"/>
  <c r="L2276" i="15" s="1"/>
  <c r="M2276" i="15" s="1"/>
  <c r="B2927" i="15"/>
  <c r="D2927" i="15"/>
  <c r="F2927" i="15"/>
  <c r="L2927" i="15" a="1"/>
  <c r="L2927" i="15" s="1"/>
  <c r="M2927" i="15" s="1"/>
  <c r="B2017" i="15"/>
  <c r="D2017" i="15"/>
  <c r="F2017" i="15"/>
  <c r="L2017" i="15" a="1"/>
  <c r="L2017" i="15" s="1"/>
  <c r="M2017" i="15" s="1"/>
  <c r="B1944" i="15"/>
  <c r="D1944" i="15"/>
  <c r="F1944" i="15"/>
  <c r="L1944" i="15" a="1"/>
  <c r="L1944" i="15" s="1"/>
  <c r="M1944" i="15" s="1"/>
  <c r="B1868" i="15"/>
  <c r="D1868" i="15"/>
  <c r="F1868" i="15"/>
  <c r="L1868" i="15" a="1"/>
  <c r="L1868" i="15" s="1"/>
  <c r="M1868" i="15" s="1"/>
  <c r="B1788" i="15"/>
  <c r="D1788" i="15"/>
  <c r="F1788" i="15"/>
  <c r="L1788" i="15" a="1"/>
  <c r="L1788" i="15" s="1"/>
  <c r="M1788" i="15" s="1"/>
  <c r="B1713" i="15"/>
  <c r="D1713" i="15"/>
  <c r="F1713" i="15"/>
  <c r="L1713" i="15" a="1"/>
  <c r="L1713" i="15" s="1"/>
  <c r="M1713" i="15" s="1"/>
  <c r="B1143" i="15"/>
  <c r="B1635" i="15"/>
  <c r="D1635" i="15"/>
  <c r="F1635" i="15"/>
  <c r="L1635" i="15" a="1"/>
  <c r="L1635" i="15" s="1"/>
  <c r="M1635" i="15" s="1"/>
  <c r="B1554" i="15"/>
  <c r="D1554" i="15"/>
  <c r="F1554" i="15"/>
  <c r="L1554" i="15" a="1"/>
  <c r="L1554" i="15" s="1"/>
  <c r="M1554" i="15" s="1"/>
  <c r="B1461" i="15"/>
  <c r="D1461" i="15"/>
  <c r="F1461" i="15"/>
  <c r="L1461" i="15" a="1"/>
  <c r="L1461" i="15" s="1"/>
  <c r="M1461" i="15" s="1"/>
  <c r="B1364" i="15"/>
  <c r="D1364" i="15"/>
  <c r="F1364" i="15"/>
  <c r="L1364" i="15" a="1"/>
  <c r="L1364" i="15" s="1"/>
  <c r="M1364" i="15" s="1"/>
  <c r="B1251" i="15"/>
  <c r="D1251" i="15"/>
  <c r="F1251" i="15"/>
  <c r="L1251" i="15" a="1"/>
  <c r="L1251" i="15" s="1"/>
  <c r="M1251" i="15" s="1"/>
  <c r="D1143" i="15"/>
  <c r="F1143" i="15"/>
  <c r="L1143" i="15" a="1"/>
  <c r="L1143" i="15" s="1"/>
  <c r="M1143" i="15" s="1"/>
  <c r="B1031" i="15"/>
  <c r="D1031" i="15"/>
  <c r="F1031" i="15"/>
  <c r="L1031" i="15" a="1"/>
  <c r="L1031" i="15" s="1"/>
  <c r="M1031" i="15" s="1"/>
  <c r="B844" i="15"/>
  <c r="D844" i="15"/>
  <c r="F844" i="15"/>
  <c r="L844" i="15" a="1"/>
  <c r="L844" i="15" s="1"/>
  <c r="M844" i="15" s="1"/>
  <c r="B743" i="15"/>
  <c r="D743" i="15"/>
  <c r="F743" i="15"/>
  <c r="L743" i="15" a="1"/>
  <c r="L743" i="15" s="1"/>
  <c r="B761" i="15"/>
  <c r="D761" i="15"/>
  <c r="F761" i="15"/>
  <c r="L761" i="15" a="1"/>
  <c r="L761" i="15" s="1"/>
  <c r="M761" i="15" s="1"/>
  <c r="G174" i="3"/>
  <c r="R774" i="1" s="1"/>
  <c r="P174" i="3"/>
  <c r="S174" i="3"/>
  <c r="V174" i="3"/>
  <c r="B773" i="1"/>
  <c r="B774" i="1"/>
  <c r="B775" i="1"/>
  <c r="I773" i="1"/>
  <c r="I774" i="1"/>
  <c r="I775" i="1"/>
  <c r="J773" i="1"/>
  <c r="J774" i="1"/>
  <c r="N174" i="3" s="1"/>
  <c r="J775" i="1"/>
  <c r="O773" i="1"/>
  <c r="O774" i="1"/>
  <c r="O775" i="1"/>
  <c r="B652" i="15"/>
  <c r="D652" i="15"/>
  <c r="F652" i="15"/>
  <c r="L652" i="15" a="1"/>
  <c r="L652" i="15" s="1"/>
  <c r="M652" i="15" s="1"/>
  <c r="B772" i="1"/>
  <c r="I772" i="1"/>
  <c r="J772" i="1"/>
  <c r="O772" i="1"/>
  <c r="I835" i="15"/>
  <c r="I826" i="15"/>
  <c r="O771" i="1"/>
  <c r="J771" i="1"/>
  <c r="I771" i="1"/>
  <c r="B771" i="1"/>
  <c r="D7" i="19"/>
  <c r="J20" i="19"/>
  <c r="J13" i="19"/>
  <c r="L763" i="15" a="1"/>
  <c r="L763" i="15" s="1"/>
  <c r="M763" i="15" s="1"/>
  <c r="F763" i="15"/>
  <c r="D763" i="15"/>
  <c r="B763" i="15"/>
  <c r="G1735" i="15"/>
  <c r="G1815" i="15"/>
  <c r="G1894" i="15"/>
  <c r="G1971" i="15"/>
  <c r="G2042" i="15"/>
  <c r="G2112" i="15"/>
  <c r="G2184" i="15"/>
  <c r="G2256" i="15"/>
  <c r="G2315" i="15"/>
  <c r="G1660" i="15"/>
  <c r="B2315" i="15"/>
  <c r="D2315" i="15"/>
  <c r="F2315" i="15"/>
  <c r="L2315" i="15" a="1"/>
  <c r="L2315" i="15" s="1"/>
  <c r="M2315" i="15" s="1"/>
  <c r="B2256" i="15"/>
  <c r="D2256" i="15"/>
  <c r="F2256" i="15"/>
  <c r="L2256" i="15" a="1"/>
  <c r="L2256" i="15" s="1"/>
  <c r="M2256" i="15" s="1"/>
  <c r="B1660" i="15"/>
  <c r="B1735" i="15"/>
  <c r="B1815" i="15"/>
  <c r="B1894" i="15"/>
  <c r="B1971" i="15"/>
  <c r="B2042" i="15"/>
  <c r="B2112" i="15"/>
  <c r="B2184" i="15"/>
  <c r="D1660" i="15"/>
  <c r="D1735" i="15"/>
  <c r="D1815" i="15"/>
  <c r="D1894" i="15"/>
  <c r="D1971" i="15"/>
  <c r="D2042" i="15"/>
  <c r="D2112" i="15"/>
  <c r="D2184" i="15"/>
  <c r="F1660" i="15"/>
  <c r="F1735" i="15"/>
  <c r="F1815" i="15"/>
  <c r="F1894" i="15"/>
  <c r="F1971" i="15"/>
  <c r="F2042" i="15"/>
  <c r="F2112" i="15"/>
  <c r="F2184" i="15"/>
  <c r="L1660" i="15" a="1"/>
  <c r="L1660" i="15" s="1"/>
  <c r="M1660" i="15" s="1"/>
  <c r="L1735" i="15" a="1"/>
  <c r="L1735" i="15" s="1"/>
  <c r="M1735" i="15" s="1"/>
  <c r="L1815" i="15" a="1"/>
  <c r="L1815" i="15" s="1"/>
  <c r="M1815" i="15" s="1"/>
  <c r="L1894" i="15" a="1"/>
  <c r="L1894" i="15" s="1"/>
  <c r="M1894" i="15" s="1"/>
  <c r="L1971" i="15" a="1"/>
  <c r="L1971" i="15" s="1"/>
  <c r="M1971" i="15" s="1"/>
  <c r="L2042" i="15" a="1"/>
  <c r="L2042" i="15" s="1"/>
  <c r="M2042" i="15" s="1"/>
  <c r="L2112" i="15" a="1"/>
  <c r="L2112" i="15" s="1"/>
  <c r="M2112" i="15" s="1"/>
  <c r="L2184" i="15" a="1"/>
  <c r="L2184" i="15" s="1"/>
  <c r="M2184" i="15" s="1"/>
  <c r="B1918" i="15"/>
  <c r="B1997" i="15"/>
  <c r="D1918" i="15"/>
  <c r="D1997" i="15"/>
  <c r="F1918" i="15"/>
  <c r="F1997" i="15"/>
  <c r="L1918" i="15" a="1"/>
  <c r="L1918" i="15" s="1"/>
  <c r="M1918" i="15" s="1"/>
  <c r="L1997" i="15" a="1"/>
  <c r="L1997" i="15" s="1"/>
  <c r="M1997" i="15" s="1"/>
  <c r="B825" i="15"/>
  <c r="B955" i="15"/>
  <c r="B1082" i="15"/>
  <c r="B1190" i="15"/>
  <c r="B1302" i="15"/>
  <c r="B1408" i="15"/>
  <c r="B1505" i="15"/>
  <c r="B1590" i="15"/>
  <c r="B1676" i="15"/>
  <c r="B1753" i="15"/>
  <c r="B1837" i="15"/>
  <c r="D825" i="15"/>
  <c r="D955" i="15"/>
  <c r="D1082" i="15"/>
  <c r="D1190" i="15"/>
  <c r="D1302" i="15"/>
  <c r="D1408" i="15"/>
  <c r="D1505" i="15"/>
  <c r="D1590" i="15"/>
  <c r="D1676" i="15"/>
  <c r="D1753" i="15"/>
  <c r="D1837" i="15"/>
  <c r="F825" i="15"/>
  <c r="F955" i="15"/>
  <c r="F1082" i="15"/>
  <c r="F1190" i="15"/>
  <c r="F1302" i="15"/>
  <c r="F1408" i="15"/>
  <c r="F1505" i="15"/>
  <c r="F1590" i="15"/>
  <c r="F1676" i="15"/>
  <c r="F1753" i="15"/>
  <c r="F1837" i="15"/>
  <c r="L825" i="15" a="1"/>
  <c r="L825" i="15" s="1"/>
  <c r="M825" i="15" s="1"/>
  <c r="L955" i="15" a="1"/>
  <c r="L955" i="15" s="1"/>
  <c r="M955" i="15" s="1"/>
  <c r="L1082" i="15" a="1"/>
  <c r="L1082" i="15" s="1"/>
  <c r="M1082" i="15" s="1"/>
  <c r="L1190" i="15" a="1"/>
  <c r="L1190" i="15" s="1"/>
  <c r="M1190" i="15" s="1"/>
  <c r="L1302" i="15" a="1"/>
  <c r="L1302" i="15" s="1"/>
  <c r="M1302" i="15" s="1"/>
  <c r="L1408" i="15" a="1"/>
  <c r="L1408" i="15" s="1"/>
  <c r="M1408" i="15" s="1"/>
  <c r="L1505" i="15" a="1"/>
  <c r="L1505" i="15" s="1"/>
  <c r="M1505" i="15" s="1"/>
  <c r="L1590" i="15" a="1"/>
  <c r="L1590" i="15" s="1"/>
  <c r="M1590" i="15" s="1"/>
  <c r="L1676" i="15" a="1"/>
  <c r="L1676" i="15" s="1"/>
  <c r="M1676" i="15" s="1"/>
  <c r="L1753" i="15" a="1"/>
  <c r="L1753" i="15" s="1"/>
  <c r="M1753" i="15" s="1"/>
  <c r="L1837" i="15" a="1"/>
  <c r="L1837" i="15" s="1"/>
  <c r="M1837" i="15" s="1"/>
  <c r="B750" i="15"/>
  <c r="D750" i="15"/>
  <c r="F750" i="15"/>
  <c r="L750" i="15" a="1"/>
  <c r="L750" i="15" s="1"/>
  <c r="B47" i="15"/>
  <c r="D47" i="15"/>
  <c r="F47" i="15"/>
  <c r="L47" i="15" a="1"/>
  <c r="L47" i="15" s="1"/>
  <c r="B1361" i="15"/>
  <c r="D1361" i="15"/>
  <c r="F1361" i="15"/>
  <c r="L1361" i="15" a="1"/>
  <c r="L1361" i="15" s="1"/>
  <c r="M1361" i="15" s="1"/>
  <c r="B45" i="15"/>
  <c r="D45" i="15"/>
  <c r="F45" i="15"/>
  <c r="L45" i="15" a="1"/>
  <c r="L45" i="15" s="1"/>
  <c r="B1458" i="15"/>
  <c r="D1458" i="15"/>
  <c r="F1458" i="15"/>
  <c r="L1458" i="15" a="1"/>
  <c r="L1458" i="15" s="1"/>
  <c r="M1458" i="15" s="1"/>
  <c r="B1247" i="15"/>
  <c r="D1247" i="15"/>
  <c r="F1247" i="15"/>
  <c r="L1247" i="15" a="1"/>
  <c r="L1247" i="15" s="1"/>
  <c r="M1247" i="15" s="1"/>
  <c r="B1139" i="15"/>
  <c r="D1139" i="15"/>
  <c r="F1139" i="15"/>
  <c r="L1139" i="15" a="1"/>
  <c r="L1139" i="15" s="1"/>
  <c r="M1139" i="15" s="1"/>
  <c r="D1026" i="15"/>
  <c r="F1026" i="15"/>
  <c r="L1026" i="15" a="1"/>
  <c r="L1026" i="15" s="1"/>
  <c r="M1026" i="15" s="1"/>
  <c r="D891" i="15"/>
  <c r="F891" i="15"/>
  <c r="L891" i="15" a="1"/>
  <c r="L891" i="15" s="1"/>
  <c r="M891" i="15" s="1"/>
  <c r="B770" i="1"/>
  <c r="I770" i="1"/>
  <c r="J770" i="1"/>
  <c r="O770" i="1"/>
  <c r="O769" i="1"/>
  <c r="J769" i="1"/>
  <c r="I769" i="1"/>
  <c r="B769" i="1"/>
  <c r="R914" i="1" l="1"/>
  <c r="R789" i="1"/>
  <c r="R791" i="1"/>
  <c r="R1048" i="1"/>
  <c r="R800" i="1"/>
  <c r="R807" i="1"/>
  <c r="R1064" i="1"/>
  <c r="R947" i="1"/>
  <c r="T16" i="13"/>
  <c r="AA16" i="13" s="1"/>
  <c r="AC16" i="13" s="1"/>
  <c r="D15" i="40"/>
  <c r="M47" i="15"/>
  <c r="M45" i="15"/>
  <c r="M750" i="15"/>
  <c r="X173" i="3" s="1"/>
  <c r="E2256" i="15" s="1"/>
  <c r="T174" i="3"/>
  <c r="M743" i="15"/>
  <c r="X172" i="3" s="1"/>
  <c r="E2671" i="15" s="1"/>
  <c r="T175" i="3"/>
  <c r="T176" i="3"/>
  <c r="T177" i="3"/>
  <c r="M784" i="15"/>
  <c r="X175" i="3" s="1"/>
  <c r="E2796" i="15" s="1"/>
  <c r="G43" i="30"/>
  <c r="H44" i="30"/>
  <c r="G22" i="30"/>
  <c r="H22" i="30" s="1"/>
  <c r="N177" i="3"/>
  <c r="G21" i="30"/>
  <c r="G28" i="30"/>
  <c r="C29" i="30"/>
  <c r="I177" i="3"/>
  <c r="H177" i="3"/>
  <c r="I174" i="3"/>
  <c r="H174" i="3"/>
  <c r="I175" i="3"/>
  <c r="H175" i="3"/>
  <c r="I176" i="3"/>
  <c r="H176" i="3"/>
  <c r="AG16" i="13"/>
  <c r="N175" i="3"/>
  <c r="J13" i="23"/>
  <c r="M13" i="23"/>
  <c r="N13" i="23"/>
  <c r="X174" i="3"/>
  <c r="E2552" i="15"/>
  <c r="E2514" i="15"/>
  <c r="E2628" i="15"/>
  <c r="E2471" i="15"/>
  <c r="E2591" i="15"/>
  <c r="E2860" i="15"/>
  <c r="E2319" i="15"/>
  <c r="E2189" i="15"/>
  <c r="E2373" i="15"/>
  <c r="E2260" i="15"/>
  <c r="E2421" i="15"/>
  <c r="E792" i="15"/>
  <c r="E798" i="15"/>
  <c r="E1567" i="15"/>
  <c r="E918" i="15"/>
  <c r="E1048" i="15"/>
  <c r="E1379" i="15"/>
  <c r="E1158" i="15"/>
  <c r="E1269" i="15"/>
  <c r="E2023" i="15"/>
  <c r="E1646" i="15"/>
  <c r="E1876" i="15"/>
  <c r="E1951" i="15"/>
  <c r="E1797" i="15"/>
  <c r="E1477" i="15"/>
  <c r="E1721" i="15"/>
  <c r="R175" i="3"/>
  <c r="R174" i="3"/>
  <c r="V173" i="3"/>
  <c r="S173" i="3"/>
  <c r="R173" i="3"/>
  <c r="P173" i="3"/>
  <c r="G173" i="3"/>
  <c r="O767" i="1"/>
  <c r="O768" i="1"/>
  <c r="J767" i="1"/>
  <c r="N173" i="3" s="1"/>
  <c r="J768" i="1"/>
  <c r="I767" i="1"/>
  <c r="I768" i="1"/>
  <c r="B767" i="1"/>
  <c r="B768" i="1"/>
  <c r="O766" i="1"/>
  <c r="J766" i="1"/>
  <c r="I766" i="1"/>
  <c r="B766" i="1"/>
  <c r="O764" i="1"/>
  <c r="O765" i="1"/>
  <c r="J764" i="1"/>
  <c r="J765" i="1"/>
  <c r="I764" i="1"/>
  <c r="I765" i="1"/>
  <c r="B764" i="1"/>
  <c r="B765" i="1"/>
  <c r="V172" i="3"/>
  <c r="R172" i="3"/>
  <c r="P172" i="3"/>
  <c r="G172" i="3"/>
  <c r="S172" i="3"/>
  <c r="B760" i="1"/>
  <c r="B761" i="1"/>
  <c r="B762" i="1"/>
  <c r="B763" i="1"/>
  <c r="I760" i="1"/>
  <c r="I761" i="1"/>
  <c r="I762" i="1"/>
  <c r="I763" i="1"/>
  <c r="J760" i="1"/>
  <c r="J761" i="1"/>
  <c r="N172" i="3" s="1"/>
  <c r="J762" i="1"/>
  <c r="J763" i="1"/>
  <c r="O760" i="1"/>
  <c r="O761" i="1"/>
  <c r="O762" i="1"/>
  <c r="O763" i="1"/>
  <c r="U171" i="3"/>
  <c r="U170" i="3"/>
  <c r="U169" i="3"/>
  <c r="U168" i="3"/>
  <c r="U167" i="3"/>
  <c r="F2190" i="15"/>
  <c r="F2" i="15"/>
  <c r="F3" i="15"/>
  <c r="F4" i="15"/>
  <c r="F5" i="15"/>
  <c r="F6" i="15"/>
  <c r="F17" i="15"/>
  <c r="F7" i="15"/>
  <c r="F10" i="15"/>
  <c r="F8" i="15"/>
  <c r="F9" i="15"/>
  <c r="F11" i="15"/>
  <c r="F12" i="15"/>
  <c r="F13" i="15"/>
  <c r="F14" i="15"/>
  <c r="F15" i="15"/>
  <c r="F16" i="15"/>
  <c r="F19" i="15"/>
  <c r="F20" i="15"/>
  <c r="F18" i="15"/>
  <c r="F22" i="15"/>
  <c r="F23" i="15"/>
  <c r="F24" i="15"/>
  <c r="F25" i="15"/>
  <c r="F26" i="15"/>
  <c r="F28" i="15"/>
  <c r="F27" i="15"/>
  <c r="F29" i="15"/>
  <c r="F30" i="15"/>
  <c r="F31" i="15"/>
  <c r="F32" i="15"/>
  <c r="F33" i="15"/>
  <c r="F43" i="15"/>
  <c r="F34" i="15"/>
  <c r="F35" i="15"/>
  <c r="F38" i="15"/>
  <c r="F36" i="15"/>
  <c r="F37" i="15"/>
  <c r="F40" i="15"/>
  <c r="F39" i="15"/>
  <c r="F42" i="15"/>
  <c r="F41" i="15"/>
  <c r="F21" i="15"/>
  <c r="F44" i="15"/>
  <c r="F46" i="15"/>
  <c r="F49" i="15"/>
  <c r="F50" i="15"/>
  <c r="F51" i="15"/>
  <c r="F53" i="15"/>
  <c r="F54" i="15"/>
  <c r="F52" i="15"/>
  <c r="F56" i="15"/>
  <c r="F57" i="15"/>
  <c r="F58" i="15"/>
  <c r="F61" i="15"/>
  <c r="F59" i="15"/>
  <c r="F69" i="15"/>
  <c r="F64" i="15"/>
  <c r="F62" i="15"/>
  <c r="F65" i="15"/>
  <c r="F66" i="15"/>
  <c r="F63" i="15"/>
  <c r="F68" i="15"/>
  <c r="F70" i="15"/>
  <c r="F67" i="15"/>
  <c r="F71" i="15"/>
  <c r="F73" i="15"/>
  <c r="F74" i="15"/>
  <c r="F77" i="15"/>
  <c r="F75" i="15"/>
  <c r="F78" i="15"/>
  <c r="F80" i="15"/>
  <c r="F81" i="15"/>
  <c r="F79" i="15"/>
  <c r="F83" i="15"/>
  <c r="F86" i="15"/>
  <c r="F88" i="15"/>
  <c r="F89" i="15"/>
  <c r="F92" i="15"/>
  <c r="F97" i="15"/>
  <c r="F101" i="15"/>
  <c r="F100" i="15"/>
  <c r="F90" i="15"/>
  <c r="F99" i="15"/>
  <c r="F96" i="15"/>
  <c r="F98" i="15"/>
  <c r="F93" i="15"/>
  <c r="F91" i="15"/>
  <c r="F95" i="15"/>
  <c r="F94" i="15"/>
  <c r="F102" i="15"/>
  <c r="F103" i="15"/>
  <c r="F105" i="15"/>
  <c r="F104" i="15"/>
  <c r="F106" i="15"/>
  <c r="F171" i="15"/>
  <c r="F107" i="15"/>
  <c r="F108" i="15"/>
  <c r="F109" i="15"/>
  <c r="F111" i="15"/>
  <c r="F110" i="15"/>
  <c r="F112" i="15"/>
  <c r="F113" i="15"/>
  <c r="F120" i="15"/>
  <c r="F116" i="15"/>
  <c r="F114" i="15"/>
  <c r="F117" i="15"/>
  <c r="F118" i="15"/>
  <c r="F115" i="15"/>
  <c r="F119" i="15"/>
  <c r="F55" i="15"/>
  <c r="F121" i="15"/>
  <c r="F122" i="15"/>
  <c r="F123" i="15"/>
  <c r="F124" i="15"/>
  <c r="F126" i="15"/>
  <c r="F125" i="15"/>
  <c r="F127" i="15"/>
  <c r="F129" i="15"/>
  <c r="F130" i="15"/>
  <c r="F133" i="15"/>
  <c r="F131" i="15"/>
  <c r="F132" i="15"/>
  <c r="F139" i="15"/>
  <c r="F142" i="15"/>
  <c r="F134" i="15"/>
  <c r="F138" i="15"/>
  <c r="F140" i="15"/>
  <c r="F136" i="15"/>
  <c r="F141" i="15"/>
  <c r="F135" i="15"/>
  <c r="F145" i="15"/>
  <c r="F144" i="15"/>
  <c r="F146" i="15"/>
  <c r="F147" i="15"/>
  <c r="F152" i="15"/>
  <c r="F156" i="15"/>
  <c r="F150" i="15"/>
  <c r="F162" i="15"/>
  <c r="F161" i="15"/>
  <c r="F148" i="15"/>
  <c r="F159" i="15"/>
  <c r="F155" i="15"/>
  <c r="F157" i="15"/>
  <c r="F153" i="15"/>
  <c r="F151" i="15"/>
  <c r="F154" i="15"/>
  <c r="F149" i="15"/>
  <c r="F158" i="15"/>
  <c r="F163" i="15"/>
  <c r="F166" i="15"/>
  <c r="F165" i="15"/>
  <c r="F164" i="15"/>
  <c r="F167" i="15"/>
  <c r="F169" i="15"/>
  <c r="F168" i="15"/>
  <c r="F170" i="15"/>
  <c r="F172" i="15"/>
  <c r="F175" i="15"/>
  <c r="F174" i="15"/>
  <c r="F173" i="15"/>
  <c r="F176" i="15"/>
  <c r="F177" i="15"/>
  <c r="F197" i="15"/>
  <c r="F179" i="15"/>
  <c r="F181" i="15"/>
  <c r="F182" i="15"/>
  <c r="F180" i="15"/>
  <c r="F187" i="15"/>
  <c r="F183" i="15"/>
  <c r="F185" i="15"/>
  <c r="F184" i="15"/>
  <c r="F186" i="15"/>
  <c r="F188" i="15"/>
  <c r="F190" i="15"/>
  <c r="F193" i="15"/>
  <c r="F195" i="15"/>
  <c r="F196" i="15"/>
  <c r="F200" i="15"/>
  <c r="F199" i="15"/>
  <c r="F198" i="15"/>
  <c r="F201" i="15"/>
  <c r="F204" i="15"/>
  <c r="F206" i="15"/>
  <c r="F207" i="15"/>
  <c r="F212" i="15"/>
  <c r="F213" i="15"/>
  <c r="F211" i="15"/>
  <c r="F210" i="15"/>
  <c r="F209" i="15"/>
  <c r="F215" i="15"/>
  <c r="F216" i="15"/>
  <c r="F219" i="15"/>
  <c r="F228" i="15"/>
  <c r="F223" i="15"/>
  <c r="F226" i="15"/>
  <c r="F222" i="15"/>
  <c r="F224" i="15"/>
  <c r="F225" i="15"/>
  <c r="F221" i="15"/>
  <c r="F214" i="15"/>
  <c r="F220" i="15"/>
  <c r="F227" i="15"/>
  <c r="F217" i="15"/>
  <c r="F218" i="15"/>
  <c r="F236" i="15"/>
  <c r="F230" i="15"/>
  <c r="F235" i="15"/>
  <c r="F234" i="15"/>
  <c r="F237" i="15"/>
  <c r="F229" i="15"/>
  <c r="F238" i="15"/>
  <c r="F233" i="15"/>
  <c r="F232" i="15"/>
  <c r="F231" i="15"/>
  <c r="F239" i="15"/>
  <c r="F240" i="15"/>
  <c r="F241" i="15"/>
  <c r="F242" i="15"/>
  <c r="F244" i="15"/>
  <c r="F243" i="15"/>
  <c r="F248" i="15"/>
  <c r="F253" i="15"/>
  <c r="F256" i="15"/>
  <c r="F246" i="15"/>
  <c r="F261" i="15"/>
  <c r="F260" i="15"/>
  <c r="F258" i="15"/>
  <c r="F245" i="15"/>
  <c r="F257" i="15"/>
  <c r="F254" i="15"/>
  <c r="F249" i="15"/>
  <c r="F259" i="15"/>
  <c r="F252" i="15"/>
  <c r="F251" i="15"/>
  <c r="F247" i="15"/>
  <c r="F250" i="15"/>
  <c r="F255" i="15"/>
  <c r="F262" i="15"/>
  <c r="F263" i="15"/>
  <c r="F264" i="15"/>
  <c r="F269" i="15"/>
  <c r="F268" i="15"/>
  <c r="F270" i="15"/>
  <c r="F272" i="15"/>
  <c r="F271" i="15"/>
  <c r="F273" i="15"/>
  <c r="F274" i="15"/>
  <c r="F276" i="15"/>
  <c r="F275" i="15"/>
  <c r="F277" i="15"/>
  <c r="F278" i="15"/>
  <c r="F287" i="15"/>
  <c r="F288" i="15"/>
  <c r="F282" i="15"/>
  <c r="F283" i="15"/>
  <c r="F284" i="15"/>
  <c r="F285" i="15"/>
  <c r="F279" i="15"/>
  <c r="F281" i="15"/>
  <c r="F280" i="15"/>
  <c r="F286" i="15"/>
  <c r="F291" i="15"/>
  <c r="F290" i="15"/>
  <c r="F293" i="15"/>
  <c r="F292" i="15"/>
  <c r="F294" i="15"/>
  <c r="F295" i="15"/>
  <c r="F296" i="15"/>
  <c r="F297" i="15"/>
  <c r="F298" i="15"/>
  <c r="F299" i="15"/>
  <c r="F300" i="15"/>
  <c r="F301" i="15"/>
  <c r="F304" i="15"/>
  <c r="F303" i="15"/>
  <c r="F302" i="15"/>
  <c r="F305" i="15"/>
  <c r="F307" i="15"/>
  <c r="F306" i="15"/>
  <c r="F309" i="15"/>
  <c r="F310" i="15"/>
  <c r="F311" i="15"/>
  <c r="F308" i="15"/>
  <c r="F315" i="15"/>
  <c r="F313" i="15"/>
  <c r="F314" i="15"/>
  <c r="F317" i="15"/>
  <c r="F312" i="15"/>
  <c r="F316" i="15"/>
  <c r="F322" i="15"/>
  <c r="F319" i="15"/>
  <c r="F333" i="15"/>
  <c r="F328" i="15"/>
  <c r="F320" i="15"/>
  <c r="F326" i="15"/>
  <c r="F331" i="15"/>
  <c r="F342" i="15"/>
  <c r="F337" i="15"/>
  <c r="F325" i="15"/>
  <c r="F335" i="15"/>
  <c r="F338" i="15"/>
  <c r="F334" i="15"/>
  <c r="F321" i="15"/>
  <c r="F340" i="15"/>
  <c r="F332" i="15"/>
  <c r="F336" i="15"/>
  <c r="F330" i="15"/>
  <c r="F318" i="15"/>
  <c r="F327" i="15"/>
  <c r="F341" i="15"/>
  <c r="F323" i="15"/>
  <c r="F339" i="15"/>
  <c r="F329" i="15"/>
  <c r="F324" i="15"/>
  <c r="F343" i="15"/>
  <c r="F352" i="15"/>
  <c r="F350" i="15"/>
  <c r="F351" i="15"/>
  <c r="F353" i="15"/>
  <c r="F354" i="15"/>
  <c r="F356" i="15"/>
  <c r="F355" i="15"/>
  <c r="F357" i="15"/>
  <c r="F361" i="15"/>
  <c r="F358" i="15"/>
  <c r="F359" i="15"/>
  <c r="F360" i="15"/>
  <c r="F365" i="15"/>
  <c r="F367" i="15"/>
  <c r="F374" i="15"/>
  <c r="F363" i="15"/>
  <c r="F381" i="15"/>
  <c r="F378" i="15"/>
  <c r="F379" i="15"/>
  <c r="F373" i="15"/>
  <c r="F369" i="15"/>
  <c r="F362" i="15"/>
  <c r="F377" i="15"/>
  <c r="F372" i="15"/>
  <c r="F375" i="15"/>
  <c r="F366" i="15"/>
  <c r="F380" i="15"/>
  <c r="F370" i="15"/>
  <c r="F371" i="15"/>
  <c r="F364" i="15"/>
  <c r="F368" i="15"/>
  <c r="F376" i="15"/>
  <c r="F382" i="15"/>
  <c r="F385" i="15"/>
  <c r="F386" i="15"/>
  <c r="F384" i="15"/>
  <c r="F383" i="15"/>
  <c r="F388" i="15"/>
  <c r="F390" i="15"/>
  <c r="F389" i="15"/>
  <c r="F387" i="15"/>
  <c r="F391" i="15"/>
  <c r="F392" i="15"/>
  <c r="F393" i="15"/>
  <c r="F394" i="15"/>
  <c r="F395" i="15"/>
  <c r="F396" i="15"/>
  <c r="F397" i="15"/>
  <c r="F399" i="15"/>
  <c r="F398" i="15"/>
  <c r="F401" i="15"/>
  <c r="F400" i="15"/>
  <c r="F402" i="15"/>
  <c r="F403" i="15"/>
  <c r="F405" i="15"/>
  <c r="F404" i="15"/>
  <c r="F407" i="15"/>
  <c r="F406" i="15"/>
  <c r="F408" i="15"/>
  <c r="F413" i="15"/>
  <c r="F422" i="15"/>
  <c r="F418" i="15"/>
  <c r="F421" i="15"/>
  <c r="F412" i="15"/>
  <c r="F409" i="15"/>
  <c r="F410" i="15"/>
  <c r="F420" i="15"/>
  <c r="F417" i="15"/>
  <c r="F411" i="15"/>
  <c r="F419" i="15"/>
  <c r="F414" i="15"/>
  <c r="F415" i="15"/>
  <c r="F416" i="15"/>
  <c r="F423" i="15"/>
  <c r="F424" i="15"/>
  <c r="F425" i="15"/>
  <c r="F426" i="15"/>
  <c r="F427" i="15"/>
  <c r="F431" i="15"/>
  <c r="F430" i="15"/>
  <c r="F429" i="15"/>
  <c r="F428" i="15"/>
  <c r="F432" i="15"/>
  <c r="F434" i="15"/>
  <c r="F435" i="15"/>
  <c r="F438" i="15"/>
  <c r="F437" i="15"/>
  <c r="F436" i="15"/>
  <c r="F439" i="15"/>
  <c r="F440" i="15"/>
  <c r="F441" i="15"/>
  <c r="F443" i="15"/>
  <c r="F442" i="15"/>
  <c r="F444" i="15"/>
  <c r="F445" i="15"/>
  <c r="F447" i="15"/>
  <c r="F451" i="15"/>
  <c r="F462" i="15"/>
  <c r="F457" i="15"/>
  <c r="F459" i="15"/>
  <c r="F456" i="15"/>
  <c r="F453" i="15"/>
  <c r="F448" i="15"/>
  <c r="F460" i="15"/>
  <c r="F455" i="15"/>
  <c r="F458" i="15"/>
  <c r="F446" i="15"/>
  <c r="F452" i="15"/>
  <c r="F461" i="15"/>
  <c r="F449" i="15"/>
  <c r="F454" i="15"/>
  <c r="F450" i="15"/>
  <c r="F463" i="15"/>
  <c r="F464" i="15"/>
  <c r="F465" i="15"/>
  <c r="F467" i="15"/>
  <c r="F468" i="15"/>
  <c r="F469" i="15"/>
  <c r="F470" i="15"/>
  <c r="F471" i="15"/>
  <c r="F466" i="15"/>
  <c r="F472" i="15"/>
  <c r="F474" i="15"/>
  <c r="F475" i="15"/>
  <c r="F476" i="15"/>
  <c r="F473" i="15"/>
  <c r="F480" i="15"/>
  <c r="F482" i="15"/>
  <c r="F490" i="15"/>
  <c r="F488" i="15"/>
  <c r="F489" i="15"/>
  <c r="F484" i="15"/>
  <c r="F478" i="15"/>
  <c r="F496" i="15"/>
  <c r="F494" i="15"/>
  <c r="F477" i="15"/>
  <c r="F493" i="15"/>
  <c r="F487" i="15"/>
  <c r="F491" i="15"/>
  <c r="F481" i="15"/>
  <c r="F495" i="15"/>
  <c r="F485" i="15"/>
  <c r="F486" i="15"/>
  <c r="F479" i="15"/>
  <c r="F483" i="15"/>
  <c r="F492" i="15"/>
  <c r="F498" i="15"/>
  <c r="F497" i="15"/>
  <c r="F499" i="15"/>
  <c r="F501" i="15"/>
  <c r="F500" i="15"/>
  <c r="F502" i="15"/>
  <c r="F505" i="15"/>
  <c r="F506" i="15"/>
  <c r="F504" i="15"/>
  <c r="F503" i="15"/>
  <c r="F507" i="15"/>
  <c r="F508" i="15"/>
  <c r="F514" i="15"/>
  <c r="F510" i="15"/>
  <c r="F522" i="15"/>
  <c r="F513" i="15"/>
  <c r="F518" i="15"/>
  <c r="F189" i="15"/>
  <c r="F521" i="15"/>
  <c r="F515" i="15"/>
  <c r="F509" i="15"/>
  <c r="F516" i="15"/>
  <c r="F511" i="15"/>
  <c r="F523" i="15"/>
  <c r="F520" i="15"/>
  <c r="F517" i="15"/>
  <c r="F512" i="15"/>
  <c r="F519" i="15"/>
  <c r="F524" i="15"/>
  <c r="F525" i="15"/>
  <c r="F526" i="15"/>
  <c r="F527" i="15"/>
  <c r="F528" i="15"/>
  <c r="F530" i="15"/>
  <c r="F529" i="15"/>
  <c r="F531" i="15"/>
  <c r="F532" i="15"/>
  <c r="F534" i="15"/>
  <c r="F533" i="15"/>
  <c r="F537" i="15"/>
  <c r="F539" i="15"/>
  <c r="F536" i="15"/>
  <c r="F538" i="15"/>
  <c r="F535" i="15"/>
  <c r="F541" i="15"/>
  <c r="F540" i="15"/>
  <c r="F542" i="15"/>
  <c r="F545" i="15"/>
  <c r="F547" i="15"/>
  <c r="F546" i="15"/>
  <c r="F543" i="15"/>
  <c r="F544" i="15"/>
  <c r="F549" i="15"/>
  <c r="F548" i="15"/>
  <c r="F551" i="15"/>
  <c r="F554" i="15"/>
  <c r="F563" i="15"/>
  <c r="F940" i="15"/>
  <c r="F560" i="15"/>
  <c r="F556" i="15"/>
  <c r="F561" i="15"/>
  <c r="F558" i="15"/>
  <c r="F559" i="15"/>
  <c r="F550" i="15"/>
  <c r="F555" i="15"/>
  <c r="F562" i="15"/>
  <c r="F552" i="15"/>
  <c r="F557" i="15"/>
  <c r="F553" i="15"/>
  <c r="F565" i="15"/>
  <c r="F564" i="15"/>
  <c r="F566" i="15"/>
  <c r="F567" i="15"/>
  <c r="F569" i="15"/>
  <c r="F568" i="15"/>
  <c r="F571" i="15"/>
  <c r="F570" i="15"/>
  <c r="F572" i="15"/>
  <c r="F574" i="15"/>
  <c r="F575" i="15"/>
  <c r="F576" i="15"/>
  <c r="F573" i="15"/>
  <c r="F581" i="15"/>
  <c r="F591" i="15"/>
  <c r="F588" i="15"/>
  <c r="F589" i="15"/>
  <c r="F584" i="15"/>
  <c r="F578" i="15"/>
  <c r="F599" i="15"/>
  <c r="F595" i="15"/>
  <c r="F597" i="15"/>
  <c r="F577" i="15"/>
  <c r="F594" i="15"/>
  <c r="F580" i="15"/>
  <c r="F596" i="15"/>
  <c r="F587" i="15"/>
  <c r="F592" i="15"/>
  <c r="F590" i="15"/>
  <c r="F582" i="15"/>
  <c r="F598" i="15"/>
  <c r="F585" i="15"/>
  <c r="F586" i="15"/>
  <c r="F579" i="15"/>
  <c r="F583" i="15"/>
  <c r="F593" i="15"/>
  <c r="F606" i="15"/>
  <c r="F605" i="15"/>
  <c r="F601" i="15"/>
  <c r="F602" i="15"/>
  <c r="F603" i="15"/>
  <c r="F604" i="15"/>
  <c r="F600" i="15"/>
  <c r="F608" i="15"/>
  <c r="F607" i="15"/>
  <c r="F610" i="15"/>
  <c r="F609" i="15"/>
  <c r="F612" i="15"/>
  <c r="F613" i="15"/>
  <c r="F611" i="15"/>
  <c r="F614" i="15"/>
  <c r="F615" i="15"/>
  <c r="F621" i="15"/>
  <c r="F620" i="15"/>
  <c r="F617" i="15"/>
  <c r="F625" i="15"/>
  <c r="F622" i="15"/>
  <c r="F616" i="15"/>
  <c r="F623" i="15"/>
  <c r="F618" i="15"/>
  <c r="F627" i="15"/>
  <c r="F624" i="15"/>
  <c r="F619" i="15"/>
  <c r="F626" i="15"/>
  <c r="F628" i="15"/>
  <c r="F629" i="15"/>
  <c r="F630" i="15"/>
  <c r="F631" i="15"/>
  <c r="F634" i="15"/>
  <c r="F632" i="15"/>
  <c r="F636" i="15"/>
  <c r="F633" i="15"/>
  <c r="F635" i="15"/>
  <c r="F637" i="15"/>
  <c r="F638" i="15"/>
  <c r="F639" i="15"/>
  <c r="F640" i="15"/>
  <c r="F642" i="15"/>
  <c r="F641" i="15"/>
  <c r="F643" i="15"/>
  <c r="F644" i="15"/>
  <c r="F647" i="15"/>
  <c r="F650" i="15"/>
  <c r="F646" i="15"/>
  <c r="F649" i="15"/>
  <c r="F645" i="15"/>
  <c r="F648" i="15"/>
  <c r="F655" i="15"/>
  <c r="F651" i="15"/>
  <c r="F657" i="15"/>
  <c r="F656" i="15"/>
  <c r="F663" i="15"/>
  <c r="F658" i="15"/>
  <c r="F661" i="15"/>
  <c r="F662" i="15"/>
  <c r="F659" i="15"/>
  <c r="F660" i="15"/>
  <c r="F666" i="15"/>
  <c r="F664" i="15"/>
  <c r="F665" i="15"/>
  <c r="F667" i="15"/>
  <c r="F669" i="15"/>
  <c r="F680" i="15"/>
  <c r="F673" i="15"/>
  <c r="F685" i="15"/>
  <c r="F1067" i="15"/>
  <c r="F682" i="15"/>
  <c r="F681" i="15"/>
  <c r="F675" i="15"/>
  <c r="F670" i="15"/>
  <c r="F683" i="15"/>
  <c r="F677" i="15"/>
  <c r="F679" i="15"/>
  <c r="F668" i="15"/>
  <c r="F674" i="15"/>
  <c r="F684" i="15"/>
  <c r="F671" i="15"/>
  <c r="F676" i="15"/>
  <c r="F672" i="15"/>
  <c r="F678" i="15"/>
  <c r="F687" i="15"/>
  <c r="F688" i="15"/>
  <c r="F689" i="15"/>
  <c r="F690" i="15"/>
  <c r="F686" i="15"/>
  <c r="F692" i="15"/>
  <c r="F691" i="15"/>
  <c r="F693" i="15"/>
  <c r="F695" i="15"/>
  <c r="F694" i="15"/>
  <c r="F698" i="15"/>
  <c r="F697" i="15"/>
  <c r="F696" i="15"/>
  <c r="F700" i="15"/>
  <c r="F702" i="15"/>
  <c r="F703" i="15"/>
  <c r="F704" i="15"/>
  <c r="F701" i="15"/>
  <c r="F708" i="15"/>
  <c r="F718" i="15"/>
  <c r="F715" i="15"/>
  <c r="F716" i="15"/>
  <c r="F711" i="15"/>
  <c r="F706" i="15"/>
  <c r="F729" i="15"/>
  <c r="F728" i="15"/>
  <c r="F726" i="15"/>
  <c r="F705" i="15"/>
  <c r="F724" i="15"/>
  <c r="F707" i="15"/>
  <c r="F725" i="15"/>
  <c r="F714" i="15"/>
  <c r="F719" i="15"/>
  <c r="F717" i="15"/>
  <c r="F709" i="15"/>
  <c r="F727" i="15"/>
  <c r="F712" i="15"/>
  <c r="F713" i="15"/>
  <c r="F710" i="15"/>
  <c r="F720" i="15"/>
  <c r="F723" i="15"/>
  <c r="F721" i="15"/>
  <c r="F722" i="15"/>
  <c r="F735" i="15"/>
  <c r="F734" i="15"/>
  <c r="F730" i="15"/>
  <c r="F731" i="15"/>
  <c r="F732" i="15"/>
  <c r="F733" i="15"/>
  <c r="F736" i="15"/>
  <c r="F737" i="15"/>
  <c r="F739" i="15"/>
  <c r="F740" i="15"/>
  <c r="F738" i="15"/>
  <c r="F741" i="15"/>
  <c r="F742" i="15"/>
  <c r="F749" i="15"/>
  <c r="F745" i="15"/>
  <c r="F754" i="15"/>
  <c r="F751" i="15"/>
  <c r="F744" i="15"/>
  <c r="F752" i="15"/>
  <c r="F746" i="15"/>
  <c r="F755" i="15"/>
  <c r="F753" i="15"/>
  <c r="F747" i="15"/>
  <c r="F1274" i="15"/>
  <c r="F748" i="15"/>
  <c r="F756" i="15"/>
  <c r="F757" i="15"/>
  <c r="F759" i="15"/>
  <c r="F758" i="15"/>
  <c r="F760" i="15"/>
  <c r="F762" i="15"/>
  <c r="F775" i="15"/>
  <c r="F776" i="15"/>
  <c r="F781" i="15"/>
  <c r="F783" i="15"/>
  <c r="F780" i="15"/>
  <c r="F782" i="15"/>
  <c r="F777" i="15"/>
  <c r="F779" i="15"/>
  <c r="F786" i="15"/>
  <c r="F788" i="15"/>
  <c r="F787" i="15"/>
  <c r="F789" i="15"/>
  <c r="F791" i="15"/>
  <c r="F803" i="15"/>
  <c r="F796" i="15"/>
  <c r="F808" i="15"/>
  <c r="F1175" i="15"/>
  <c r="F805" i="15"/>
  <c r="F804" i="15"/>
  <c r="F799" i="15"/>
  <c r="F806" i="15"/>
  <c r="F801" i="15"/>
  <c r="F802" i="15"/>
  <c r="F793" i="15"/>
  <c r="F797" i="15"/>
  <c r="F807" i="15"/>
  <c r="F794" i="15"/>
  <c r="F800" i="15"/>
  <c r="F795" i="15"/>
  <c r="F809" i="15"/>
  <c r="F811" i="15"/>
  <c r="F810" i="15"/>
  <c r="F812" i="15"/>
  <c r="F1177" i="15"/>
  <c r="F1176" i="15"/>
  <c r="F813" i="15"/>
  <c r="F815" i="15"/>
  <c r="F819" i="15"/>
  <c r="F816" i="15"/>
  <c r="F834" i="15"/>
  <c r="F831" i="15"/>
  <c r="F827" i="15"/>
  <c r="F822" i="15"/>
  <c r="F842" i="15"/>
  <c r="F833" i="15"/>
  <c r="F1225" i="15"/>
  <c r="F1194" i="15"/>
  <c r="F840" i="15"/>
  <c r="F820" i="15"/>
  <c r="F838" i="15"/>
  <c r="F823" i="15"/>
  <c r="F839" i="15"/>
  <c r="F830" i="15"/>
  <c r="F835" i="15"/>
  <c r="F832" i="15"/>
  <c r="F824" i="15"/>
  <c r="F821" i="15"/>
  <c r="F841" i="15"/>
  <c r="F829" i="15"/>
  <c r="F826" i="15"/>
  <c r="F836" i="15"/>
  <c r="F837" i="15"/>
  <c r="F845" i="15"/>
  <c r="F843" i="15"/>
  <c r="F847" i="15"/>
  <c r="F849" i="15"/>
  <c r="F855" i="15"/>
  <c r="F851" i="15"/>
  <c r="F854" i="15"/>
  <c r="F857" i="15"/>
  <c r="F859" i="15"/>
  <c r="F865" i="15"/>
  <c r="F862" i="15"/>
  <c r="F869" i="15"/>
  <c r="F866" i="15"/>
  <c r="F861" i="15"/>
  <c r="F867" i="15"/>
  <c r="F863" i="15"/>
  <c r="F872" i="15"/>
  <c r="F868" i="15"/>
  <c r="F864" i="15"/>
  <c r="F876" i="15"/>
  <c r="F879" i="15"/>
  <c r="F881" i="15"/>
  <c r="F880" i="15"/>
  <c r="F886" i="15"/>
  <c r="F888" i="15"/>
  <c r="F889" i="15"/>
  <c r="F909" i="15"/>
  <c r="F894" i="15"/>
  <c r="F897" i="15"/>
  <c r="F893" i="15"/>
  <c r="F896" i="15"/>
  <c r="F890" i="15"/>
  <c r="F892" i="15"/>
  <c r="F901" i="15"/>
  <c r="F904" i="15"/>
  <c r="F903" i="15"/>
  <c r="F908" i="15"/>
  <c r="F906" i="15"/>
  <c r="F907" i="15"/>
  <c r="F911" i="15"/>
  <c r="F912" i="15"/>
  <c r="F914" i="15"/>
  <c r="F928" i="15"/>
  <c r="F933" i="15"/>
  <c r="F1286" i="15"/>
  <c r="F930" i="15"/>
  <c r="F925" i="15"/>
  <c r="F929" i="15"/>
  <c r="F919" i="15"/>
  <c r="F931" i="15"/>
  <c r="F924" i="15"/>
  <c r="F927" i="15"/>
  <c r="F913" i="15"/>
  <c r="F917" i="15"/>
  <c r="F932" i="15"/>
  <c r="F915" i="15"/>
  <c r="F920" i="15"/>
  <c r="F916" i="15"/>
  <c r="F934" i="15"/>
  <c r="F937" i="15"/>
  <c r="F936" i="15"/>
  <c r="F939" i="15"/>
  <c r="F1288" i="15"/>
  <c r="F1287" i="15"/>
  <c r="F860" i="15"/>
  <c r="F941" i="15"/>
  <c r="F942" i="15"/>
  <c r="F947" i="15"/>
  <c r="F943" i="15"/>
  <c r="F956" i="15"/>
  <c r="F952" i="15"/>
  <c r="F967" i="15"/>
  <c r="F964" i="15"/>
  <c r="F957" i="15"/>
  <c r="F951" i="15"/>
  <c r="F981" i="15"/>
  <c r="F966" i="15"/>
  <c r="F977" i="15"/>
  <c r="F948" i="15"/>
  <c r="F970" i="15"/>
  <c r="F953" i="15"/>
  <c r="F971" i="15"/>
  <c r="F960" i="15"/>
  <c r="F965" i="15"/>
  <c r="F954" i="15"/>
  <c r="F949" i="15"/>
  <c r="F978" i="15"/>
  <c r="F958" i="15"/>
  <c r="F968" i="15"/>
  <c r="F979" i="15"/>
  <c r="F969" i="15"/>
  <c r="F983" i="15"/>
  <c r="F982" i="15"/>
  <c r="F1213" i="15"/>
  <c r="F985" i="15"/>
  <c r="F990" i="15"/>
  <c r="F989" i="15"/>
  <c r="F991" i="15"/>
  <c r="F993" i="15"/>
  <c r="F999" i="15"/>
  <c r="F996" i="15"/>
  <c r="F1009" i="15"/>
  <c r="F1005" i="15"/>
  <c r="F1002" i="15"/>
  <c r="F995" i="15"/>
  <c r="F1003" i="15"/>
  <c r="F997" i="15"/>
  <c r="F1008" i="15"/>
  <c r="F1004" i="15"/>
  <c r="F998" i="15"/>
  <c r="F1006" i="15"/>
  <c r="F1014" i="15"/>
  <c r="F1015" i="15"/>
  <c r="F1019" i="15"/>
  <c r="F1016" i="15"/>
  <c r="F1021" i="15"/>
  <c r="F1023" i="15"/>
  <c r="F1040" i="15"/>
  <c r="F1029" i="15"/>
  <c r="F1032" i="15"/>
  <c r="F1028" i="15"/>
  <c r="F1030" i="15"/>
  <c r="F1025" i="15"/>
  <c r="F1027" i="15"/>
  <c r="F1034" i="15"/>
  <c r="F1038" i="15"/>
  <c r="F1037" i="15"/>
  <c r="F1107" i="15"/>
  <c r="F1041" i="15"/>
  <c r="F1055" i="15"/>
  <c r="F1060" i="15"/>
  <c r="F1396" i="15"/>
  <c r="F1057" i="15"/>
  <c r="F1056" i="15"/>
  <c r="F1049" i="15"/>
  <c r="F1042" i="15"/>
  <c r="F1058" i="15"/>
  <c r="F1052" i="15"/>
  <c r="F1054" i="15"/>
  <c r="F1039" i="15"/>
  <c r="F1046" i="15"/>
  <c r="F1059" i="15"/>
  <c r="F1044" i="15"/>
  <c r="F1050" i="15"/>
  <c r="F1045" i="15"/>
  <c r="F1053" i="15"/>
  <c r="F1062" i="15"/>
  <c r="F1061" i="15"/>
  <c r="F1066" i="15"/>
  <c r="F1398" i="15"/>
  <c r="F1397" i="15"/>
  <c r="F1179" i="15"/>
  <c r="F1069" i="15"/>
  <c r="F1070" i="15"/>
  <c r="F1074" i="15"/>
  <c r="F1071" i="15"/>
  <c r="F1079" i="15"/>
  <c r="F1092" i="15"/>
  <c r="F1089" i="15"/>
  <c r="F1084" i="15"/>
  <c r="F1078" i="15"/>
  <c r="F1100" i="15"/>
  <c r="F1091" i="15"/>
  <c r="F1098" i="15"/>
  <c r="F1075" i="15"/>
  <c r="F1095" i="15"/>
  <c r="F1080" i="15"/>
  <c r="F1097" i="15"/>
  <c r="F1109" i="15"/>
  <c r="F1090" i="15"/>
  <c r="F1081" i="15"/>
  <c r="F1076" i="15"/>
  <c r="F1099" i="15"/>
  <c r="F1086" i="15"/>
  <c r="F1093" i="15"/>
  <c r="F1083" i="15"/>
  <c r="F1094" i="15"/>
  <c r="F1102" i="15"/>
  <c r="F1101" i="15"/>
  <c r="F1104" i="15"/>
  <c r="F1106" i="15"/>
  <c r="F1108" i="15"/>
  <c r="F1115" i="15"/>
  <c r="F1111" i="15"/>
  <c r="F1123" i="15"/>
  <c r="F1120" i="15"/>
  <c r="F1117" i="15"/>
  <c r="F1110" i="15"/>
  <c r="F1118" i="15"/>
  <c r="F1113" i="15"/>
  <c r="F1122" i="15"/>
  <c r="F1119" i="15"/>
  <c r="F1114" i="15"/>
  <c r="F1127" i="15"/>
  <c r="F1128" i="15"/>
  <c r="F1132" i="15"/>
  <c r="F1129" i="15"/>
  <c r="F1134" i="15"/>
  <c r="F1136" i="15"/>
  <c r="F1137" i="15"/>
  <c r="F1152" i="15"/>
  <c r="F1142" i="15"/>
  <c r="F1144" i="15"/>
  <c r="F1138" i="15"/>
  <c r="F1141" i="15"/>
  <c r="F1146" i="15"/>
  <c r="F1149" i="15"/>
  <c r="F1148" i="15"/>
  <c r="F1261" i="15"/>
  <c r="F1151" i="15"/>
  <c r="F1154" i="15"/>
  <c r="F1168" i="15"/>
  <c r="F1493" i="15"/>
  <c r="F1165" i="15"/>
  <c r="F1164" i="15"/>
  <c r="F1159" i="15"/>
  <c r="F1166" i="15"/>
  <c r="F1162" i="15"/>
  <c r="F1163" i="15"/>
  <c r="F1153" i="15"/>
  <c r="F1157" i="15"/>
  <c r="F1167" i="15"/>
  <c r="F1155" i="15"/>
  <c r="F1160" i="15"/>
  <c r="F1156" i="15"/>
  <c r="F1169" i="15"/>
  <c r="F1171" i="15"/>
  <c r="F1170" i="15"/>
  <c r="F1174" i="15"/>
  <c r="F1495" i="15"/>
  <c r="F1494" i="15"/>
  <c r="F1180" i="15"/>
  <c r="F1178" i="15"/>
  <c r="F1181" i="15"/>
  <c r="F1183" i="15"/>
  <c r="F1182" i="15"/>
  <c r="F1187" i="15"/>
  <c r="F1202" i="15"/>
  <c r="F1199" i="15"/>
  <c r="F1192" i="15"/>
  <c r="F1186" i="15"/>
  <c r="F1210" i="15"/>
  <c r="F1201" i="15"/>
  <c r="F1208" i="15"/>
  <c r="F1184" i="15"/>
  <c r="F1205" i="15"/>
  <c r="F1188" i="15"/>
  <c r="F1207" i="15"/>
  <c r="F1196" i="15"/>
  <c r="F1200" i="15"/>
  <c r="F1189" i="15"/>
  <c r="F1209" i="15"/>
  <c r="F1195" i="15"/>
  <c r="F1203" i="15"/>
  <c r="F1204" i="15"/>
  <c r="F1212" i="15"/>
  <c r="F1211" i="15"/>
  <c r="F1214" i="15"/>
  <c r="F1216" i="15"/>
  <c r="F1217" i="15"/>
  <c r="F1223" i="15"/>
  <c r="F1219" i="15"/>
  <c r="F1231" i="15"/>
  <c r="F1228" i="15"/>
  <c r="F1193" i="15"/>
  <c r="F1218" i="15"/>
  <c r="F1226" i="15"/>
  <c r="F1221" i="15"/>
  <c r="F1230" i="15"/>
  <c r="F1227" i="15"/>
  <c r="F1222" i="15"/>
  <c r="F1235" i="15"/>
  <c r="F1236" i="15"/>
  <c r="F1240" i="15"/>
  <c r="F1237" i="15"/>
  <c r="F1242" i="15"/>
  <c r="F1244" i="15"/>
  <c r="F1245" i="15"/>
  <c r="F1262" i="15"/>
  <c r="F1250" i="15"/>
  <c r="F1252" i="15"/>
  <c r="F1246" i="15"/>
  <c r="F1249" i="15"/>
  <c r="F1254" i="15"/>
  <c r="F1257" i="15"/>
  <c r="F1256" i="15"/>
  <c r="F1373" i="15"/>
  <c r="F1259" i="15"/>
  <c r="F1260" i="15"/>
  <c r="F1264" i="15"/>
  <c r="F1280" i="15"/>
  <c r="F1277" i="15"/>
  <c r="F1273" i="15"/>
  <c r="F1276" i="15"/>
  <c r="F1270" i="15"/>
  <c r="F1265" i="15"/>
  <c r="F1278" i="15"/>
  <c r="F1272" i="15"/>
  <c r="F1275" i="15"/>
  <c r="F1263" i="15"/>
  <c r="F1268" i="15"/>
  <c r="F1279" i="15"/>
  <c r="F1266" i="15"/>
  <c r="F1267" i="15"/>
  <c r="F1282" i="15"/>
  <c r="F1281" i="15"/>
  <c r="F1285" i="15"/>
  <c r="F1583" i="15"/>
  <c r="F1582" i="15"/>
  <c r="F1290" i="15"/>
  <c r="F1289" i="15"/>
  <c r="F1293" i="15"/>
  <c r="F1294" i="15"/>
  <c r="F1312" i="15"/>
  <c r="F1309" i="15"/>
  <c r="F1304" i="15"/>
  <c r="F1299" i="15"/>
  <c r="F1320" i="15"/>
  <c r="F1311" i="15"/>
  <c r="F1318" i="15"/>
  <c r="F1297" i="15"/>
  <c r="F1315" i="15"/>
  <c r="F1300" i="15"/>
  <c r="F1317" i="15"/>
  <c r="F1306" i="15"/>
  <c r="F1310" i="15"/>
  <c r="F1301" i="15"/>
  <c r="F1319" i="15"/>
  <c r="F1305" i="15"/>
  <c r="F1313" i="15"/>
  <c r="F1314" i="15"/>
  <c r="F1323" i="15"/>
  <c r="F1322" i="15"/>
  <c r="F1327" i="15"/>
  <c r="F1330" i="15"/>
  <c r="F1332" i="15"/>
  <c r="F1337" i="15"/>
  <c r="F1334" i="15"/>
  <c r="F1345" i="15"/>
  <c r="F1342" i="15"/>
  <c r="F1339" i="15"/>
  <c r="F1333" i="15"/>
  <c r="F1340" i="15"/>
  <c r="F1336" i="15"/>
  <c r="F1344" i="15"/>
  <c r="F1341" i="15"/>
  <c r="F1349" i="15"/>
  <c r="F1350" i="15"/>
  <c r="F1354" i="15"/>
  <c r="F1356" i="15"/>
  <c r="F1358" i="15"/>
  <c r="F1359" i="15"/>
  <c r="F1374" i="15"/>
  <c r="F1365" i="15"/>
  <c r="F1360" i="15"/>
  <c r="F1363" i="15"/>
  <c r="F1367" i="15"/>
  <c r="F1370" i="15"/>
  <c r="F1369" i="15"/>
  <c r="F1372" i="15"/>
  <c r="F1388" i="15"/>
  <c r="F1581" i="15"/>
  <c r="F1385" i="15"/>
  <c r="F1384" i="15"/>
  <c r="F1380" i="15"/>
  <c r="F1386" i="15"/>
  <c r="F1382" i="15"/>
  <c r="F1383" i="15"/>
  <c r="F1375" i="15"/>
  <c r="F1378" i="15"/>
  <c r="F1387" i="15"/>
  <c r="F1376" i="15"/>
  <c r="F1377" i="15"/>
  <c r="F1389" i="15"/>
  <c r="F1392" i="15"/>
  <c r="F1391" i="15"/>
  <c r="F1395" i="15"/>
  <c r="F1671" i="15"/>
  <c r="F1670" i="15"/>
  <c r="F1400" i="15"/>
  <c r="F1399" i="15"/>
  <c r="F1401" i="15"/>
  <c r="F1402" i="15"/>
  <c r="F1418" i="15"/>
  <c r="F1415" i="15"/>
  <c r="F1410" i="15"/>
  <c r="F1405" i="15"/>
  <c r="F1426" i="15"/>
  <c r="F1417" i="15"/>
  <c r="F1424" i="15"/>
  <c r="F1403" i="15"/>
  <c r="F1421" i="15"/>
  <c r="F1406" i="15"/>
  <c r="F1423" i="15"/>
  <c r="F1412" i="15"/>
  <c r="F1416" i="15"/>
  <c r="F1407" i="15"/>
  <c r="F1425" i="15"/>
  <c r="F1411" i="15"/>
  <c r="F1420" i="15"/>
  <c r="F1428" i="15"/>
  <c r="F1427" i="15"/>
  <c r="F1429" i="15"/>
  <c r="F1431" i="15"/>
  <c r="F1432" i="15"/>
  <c r="F1434" i="15"/>
  <c r="F1444" i="15"/>
  <c r="F1441" i="15"/>
  <c r="F1438" i="15"/>
  <c r="F1433" i="15"/>
  <c r="F1439" i="15"/>
  <c r="F1436" i="15"/>
  <c r="F1443" i="15"/>
  <c r="F1440" i="15"/>
  <c r="F1448" i="15"/>
  <c r="F1451" i="15"/>
  <c r="F1453" i="15"/>
  <c r="F1455" i="15"/>
  <c r="F1456" i="15"/>
  <c r="F1471" i="15"/>
  <c r="F1462" i="15"/>
  <c r="F1457" i="15"/>
  <c r="F1460" i="15"/>
  <c r="F1464" i="15"/>
  <c r="F1467" i="15"/>
  <c r="F1466" i="15"/>
  <c r="F1470" i="15"/>
  <c r="F1469" i="15"/>
  <c r="F1486" i="15"/>
  <c r="F1669" i="15"/>
  <c r="F1483" i="15"/>
  <c r="F1482" i="15"/>
  <c r="F1478" i="15"/>
  <c r="F1473" i="15"/>
  <c r="F1484" i="15"/>
  <c r="F1480" i="15"/>
  <c r="F1472" i="15"/>
  <c r="F1476" i="15"/>
  <c r="F1474" i="15"/>
  <c r="F1485" i="15"/>
  <c r="F1475" i="15"/>
  <c r="F1488" i="15"/>
  <c r="F1487" i="15"/>
  <c r="F1489" i="15"/>
  <c r="F1492" i="15"/>
  <c r="F1750" i="15"/>
  <c r="F1749" i="15"/>
  <c r="F1498" i="15"/>
  <c r="F1497" i="15"/>
  <c r="F1499" i="15"/>
  <c r="F1515" i="15"/>
  <c r="F1512" i="15"/>
  <c r="F1507" i="15"/>
  <c r="F1502" i="15"/>
  <c r="F1514" i="15"/>
  <c r="F1521" i="15"/>
  <c r="F1500" i="15"/>
  <c r="F1518" i="15"/>
  <c r="F1503" i="15"/>
  <c r="F1520" i="15"/>
  <c r="F1509" i="15"/>
  <c r="F1513" i="15"/>
  <c r="F1504" i="15"/>
  <c r="F1522" i="15"/>
  <c r="F1508" i="15"/>
  <c r="F1517" i="15"/>
  <c r="F1524" i="15"/>
  <c r="F1523" i="15"/>
  <c r="F1525" i="15"/>
  <c r="F1527" i="15"/>
  <c r="F1528" i="15"/>
  <c r="F1530" i="15"/>
  <c r="F1540" i="15"/>
  <c r="F1537" i="15"/>
  <c r="F1534" i="15"/>
  <c r="F1529" i="15"/>
  <c r="F1535" i="15"/>
  <c r="F1532" i="15"/>
  <c r="F1539" i="15"/>
  <c r="F1536" i="15"/>
  <c r="F1544" i="15"/>
  <c r="F1547" i="15"/>
  <c r="F1549" i="15"/>
  <c r="F1551" i="15"/>
  <c r="F1552" i="15"/>
  <c r="F1563" i="15"/>
  <c r="F1555" i="15"/>
  <c r="F1553" i="15"/>
  <c r="F1557" i="15"/>
  <c r="F1559" i="15"/>
  <c r="F1561" i="15"/>
  <c r="F1562" i="15"/>
  <c r="F1796" i="15"/>
  <c r="F1571" i="15"/>
  <c r="F1570" i="15"/>
  <c r="F1568" i="15"/>
  <c r="F1572" i="15"/>
  <c r="F1564" i="15"/>
  <c r="F1566" i="15"/>
  <c r="F1565" i="15"/>
  <c r="F1573" i="15"/>
  <c r="F1576" i="15"/>
  <c r="F1575" i="15"/>
  <c r="F1577" i="15"/>
  <c r="F1580" i="15"/>
  <c r="F1835" i="15"/>
  <c r="F1834" i="15"/>
  <c r="F1586" i="15"/>
  <c r="F1585" i="15"/>
  <c r="F1600" i="15"/>
  <c r="F1597" i="15"/>
  <c r="F1592" i="15"/>
  <c r="F1588" i="15"/>
  <c r="F1599" i="15"/>
  <c r="F1606" i="15"/>
  <c r="F1603" i="15"/>
  <c r="F1589" i="15"/>
  <c r="F1605" i="15"/>
  <c r="F1594" i="15"/>
  <c r="F1598" i="15"/>
  <c r="F1607" i="15"/>
  <c r="F1593" i="15"/>
  <c r="F1602" i="15"/>
  <c r="F1609" i="15"/>
  <c r="F1608" i="15"/>
  <c r="F1610" i="15"/>
  <c r="F1611" i="15"/>
  <c r="F1612" i="15"/>
  <c r="F1623" i="15"/>
  <c r="F1620" i="15"/>
  <c r="F1617" i="15"/>
  <c r="F1613" i="15"/>
  <c r="F1618" i="15"/>
  <c r="F1615" i="15"/>
  <c r="F1622" i="15"/>
  <c r="F1619" i="15"/>
  <c r="F1627" i="15"/>
  <c r="F1630" i="15"/>
  <c r="F1633" i="15"/>
  <c r="F1644" i="15"/>
  <c r="F1636" i="15"/>
  <c r="F1634" i="15"/>
  <c r="F1638" i="15"/>
  <c r="F1640" i="15"/>
  <c r="F1643" i="15"/>
  <c r="F1642" i="15"/>
  <c r="F1875" i="15"/>
  <c r="F1650" i="15"/>
  <c r="F1649" i="15"/>
  <c r="F1647" i="15"/>
  <c r="F1645" i="15"/>
  <c r="F1651" i="15"/>
  <c r="F2111" i="15"/>
  <c r="F1654" i="15"/>
  <c r="F1666" i="15"/>
  <c r="F1658" i="15"/>
  <c r="F1653" i="15"/>
  <c r="F1665" i="15"/>
  <c r="F1657" i="15"/>
  <c r="F1662" i="15"/>
  <c r="F1656" i="15"/>
  <c r="F1655" i="15"/>
  <c r="F1661" i="15"/>
  <c r="F1663" i="15"/>
  <c r="F1668" i="15"/>
  <c r="F1916" i="15"/>
  <c r="F1915" i="15"/>
  <c r="F1685" i="15"/>
  <c r="F1683" i="15"/>
  <c r="F1678" i="15"/>
  <c r="F1674" i="15"/>
  <c r="F1684" i="15"/>
  <c r="F1691" i="15"/>
  <c r="F1688" i="15"/>
  <c r="F1675" i="15"/>
  <c r="F1690" i="15"/>
  <c r="F1680" i="15"/>
  <c r="F1692" i="15"/>
  <c r="F1679" i="15"/>
  <c r="F1687" i="15"/>
  <c r="F1694" i="15"/>
  <c r="F1693" i="15"/>
  <c r="F1695" i="15"/>
  <c r="F1701" i="15"/>
  <c r="F1698" i="15"/>
  <c r="F1699" i="15"/>
  <c r="F1705" i="15"/>
  <c r="F1708" i="15"/>
  <c r="F1711" i="15"/>
  <c r="F1719" i="15"/>
  <c r="F1712" i="15"/>
  <c r="F1718" i="15"/>
  <c r="F1717" i="15"/>
  <c r="F1950" i="15"/>
  <c r="F1726" i="15"/>
  <c r="F1725" i="15"/>
  <c r="F1722" i="15"/>
  <c r="F1720" i="15"/>
  <c r="F2183" i="15"/>
  <c r="F1728" i="15"/>
  <c r="F1744" i="15"/>
  <c r="F1733" i="15"/>
  <c r="F1730" i="15"/>
  <c r="F1727" i="15"/>
  <c r="F1745" i="15"/>
  <c r="F1741" i="15"/>
  <c r="F1823" i="15"/>
  <c r="F1732" i="15"/>
  <c r="F1737" i="15"/>
  <c r="F1731" i="15"/>
  <c r="F1740" i="15"/>
  <c r="F1742" i="15"/>
  <c r="F1729" i="15"/>
  <c r="F1736" i="15"/>
  <c r="F1738" i="15"/>
  <c r="F1748" i="15"/>
  <c r="F1995" i="15"/>
  <c r="F1994" i="15"/>
  <c r="F1762" i="15"/>
  <c r="F1760" i="15"/>
  <c r="F1755" i="15"/>
  <c r="F1751" i="15"/>
  <c r="F1761" i="15"/>
  <c r="F1767" i="15"/>
  <c r="F1765" i="15"/>
  <c r="F1752" i="15"/>
  <c r="F1757" i="15"/>
  <c r="F1768" i="15"/>
  <c r="F1756" i="15"/>
  <c r="F1764" i="15"/>
  <c r="F1769" i="15"/>
  <c r="F1770" i="15"/>
  <c r="F1776" i="15"/>
  <c r="F1773" i="15"/>
  <c r="F1774" i="15"/>
  <c r="F1780" i="15"/>
  <c r="F1783" i="15"/>
  <c r="F1786" i="15"/>
  <c r="F1795" i="15"/>
  <c r="F1787" i="15"/>
  <c r="F1794" i="15"/>
  <c r="F1792" i="15"/>
  <c r="F1793" i="15"/>
  <c r="F1801" i="15"/>
  <c r="F1800" i="15"/>
  <c r="F1798" i="15"/>
  <c r="F2255" i="15"/>
  <c r="F1805" i="15"/>
  <c r="F1824" i="15"/>
  <c r="F1813" i="15"/>
  <c r="F2510" i="15"/>
  <c r="F1807" i="15"/>
  <c r="F1804" i="15"/>
  <c r="F1827" i="15"/>
  <c r="F1821" i="15"/>
  <c r="F1895" i="15"/>
  <c r="F1902" i="15"/>
  <c r="F1831" i="15"/>
  <c r="F1812" i="15"/>
  <c r="F1817" i="15"/>
  <c r="F1810" i="15"/>
  <c r="F1820" i="15"/>
  <c r="F1906" i="15"/>
  <c r="F1822" i="15"/>
  <c r="F1828" i="15"/>
  <c r="F1825" i="15"/>
  <c r="F1806" i="15"/>
  <c r="F1803" i="15"/>
  <c r="F1811" i="15"/>
  <c r="F1809" i="15"/>
  <c r="F1808" i="15"/>
  <c r="F1830" i="15"/>
  <c r="F1802" i="15"/>
  <c r="F1818" i="15"/>
  <c r="F1833" i="15"/>
  <c r="F2073" i="15"/>
  <c r="F2072" i="15"/>
  <c r="F1844" i="15"/>
  <c r="F1842" i="15"/>
  <c r="F1839" i="15"/>
  <c r="F1836" i="15"/>
  <c r="F1843" i="15"/>
  <c r="F1848" i="15"/>
  <c r="F1849" i="15"/>
  <c r="F1846" i="15"/>
  <c r="F1850" i="15"/>
  <c r="F1851" i="15"/>
  <c r="F1856" i="15"/>
  <c r="F1853" i="15"/>
  <c r="F1854" i="15"/>
  <c r="F1860" i="15"/>
  <c r="F1863" i="15"/>
  <c r="F1866" i="15"/>
  <c r="F1874" i="15"/>
  <c r="F1867" i="15"/>
  <c r="F1873" i="15"/>
  <c r="F1872" i="15"/>
  <c r="F1880" i="15"/>
  <c r="F1879" i="15"/>
  <c r="F1877" i="15"/>
  <c r="F2314" i="15"/>
  <c r="F1884" i="15"/>
  <c r="F1904" i="15"/>
  <c r="F1892" i="15"/>
  <c r="F2547" i="15"/>
  <c r="F1886" i="15"/>
  <c r="F1883" i="15"/>
  <c r="F1908" i="15"/>
  <c r="F1900" i="15"/>
  <c r="F1972" i="15"/>
  <c r="F1980" i="15"/>
  <c r="F1912" i="15"/>
  <c r="F1896" i="15"/>
  <c r="F1889" i="15"/>
  <c r="F1891" i="15"/>
  <c r="F1899" i="15"/>
  <c r="F1984" i="15"/>
  <c r="F1901" i="15"/>
  <c r="F1909" i="15"/>
  <c r="F1905" i="15"/>
  <c r="F1903" i="15"/>
  <c r="F1885" i="15"/>
  <c r="F1907" i="15"/>
  <c r="F1882" i="15"/>
  <c r="F1890" i="15"/>
  <c r="F1888" i="15"/>
  <c r="F1887" i="15"/>
  <c r="F1911" i="15"/>
  <c r="F1881" i="15"/>
  <c r="F1897" i="15"/>
  <c r="F1914" i="15"/>
  <c r="F2147" i="15"/>
  <c r="F2146" i="15"/>
  <c r="F1925" i="15"/>
  <c r="F1923" i="15"/>
  <c r="F1920" i="15"/>
  <c r="F1917" i="15"/>
  <c r="F1924" i="15"/>
  <c r="F1928" i="15"/>
  <c r="F1929" i="15"/>
  <c r="F1927" i="15"/>
  <c r="F1930" i="15"/>
  <c r="F1931" i="15"/>
  <c r="F1933" i="15"/>
  <c r="F1938" i="15"/>
  <c r="F1940" i="15"/>
  <c r="F1942" i="15"/>
  <c r="F1943" i="15"/>
  <c r="F1949" i="15"/>
  <c r="F1948" i="15"/>
  <c r="F1955" i="15"/>
  <c r="F1954" i="15"/>
  <c r="F1952" i="15"/>
  <c r="F1659" i="15"/>
  <c r="F1959" i="15"/>
  <c r="F1982" i="15"/>
  <c r="F1969" i="15"/>
  <c r="F2584" i="15"/>
  <c r="F1961" i="15"/>
  <c r="F1958" i="15"/>
  <c r="F1986" i="15"/>
  <c r="F1978" i="15"/>
  <c r="F1989" i="15"/>
  <c r="F2043" i="15"/>
  <c r="F2055" i="15"/>
  <c r="F1992" i="15"/>
  <c r="F1973" i="15"/>
  <c r="F1965" i="15"/>
  <c r="F1968" i="15"/>
  <c r="F1977" i="15"/>
  <c r="F2059" i="15"/>
  <c r="F1979" i="15"/>
  <c r="F1987" i="15"/>
  <c r="F1983" i="15"/>
  <c r="F1981" i="15"/>
  <c r="F1960" i="15"/>
  <c r="F1988" i="15"/>
  <c r="F1985" i="15"/>
  <c r="F1957" i="15"/>
  <c r="F1966" i="15"/>
  <c r="F1964" i="15"/>
  <c r="F1967" i="15"/>
  <c r="F1963" i="15"/>
  <c r="F1991" i="15"/>
  <c r="F1956" i="15"/>
  <c r="F1974" i="15"/>
  <c r="F2221" i="15"/>
  <c r="F2220" i="15"/>
  <c r="F2003" i="15"/>
  <c r="F2001" i="15"/>
  <c r="F1999" i="15"/>
  <c r="F1996" i="15"/>
  <c r="F2002" i="15"/>
  <c r="F2006" i="15"/>
  <c r="F2005" i="15"/>
  <c r="F2007" i="15"/>
  <c r="F2009" i="15"/>
  <c r="F2015" i="15"/>
  <c r="F2016" i="15"/>
  <c r="F2022" i="15"/>
  <c r="F2026" i="15"/>
  <c r="F2024" i="15"/>
  <c r="F1734" i="15"/>
  <c r="F2030" i="15"/>
  <c r="F2057" i="15"/>
  <c r="F2040" i="15"/>
  <c r="F2621" i="15"/>
  <c r="F2032" i="15"/>
  <c r="F2029" i="15"/>
  <c r="F2063" i="15"/>
  <c r="F2053" i="15"/>
  <c r="F2067" i="15"/>
  <c r="F2046" i="15"/>
  <c r="F2113" i="15"/>
  <c r="F2125" i="15"/>
  <c r="F2070" i="15"/>
  <c r="F2047" i="15"/>
  <c r="F2036" i="15"/>
  <c r="F2039" i="15"/>
  <c r="F2052" i="15"/>
  <c r="F2129" i="15"/>
  <c r="F2054" i="15"/>
  <c r="F2065" i="15"/>
  <c r="F2058" i="15"/>
  <c r="F2056" i="15"/>
  <c r="F2031" i="15"/>
  <c r="F2066" i="15"/>
  <c r="F2061" i="15"/>
  <c r="F2028" i="15"/>
  <c r="F2044" i="15"/>
  <c r="F2062" i="15"/>
  <c r="F2037" i="15"/>
  <c r="F2060" i="15"/>
  <c r="F2035" i="15"/>
  <c r="F2038" i="15"/>
  <c r="F2048" i="15"/>
  <c r="F2034" i="15"/>
  <c r="F2069" i="15"/>
  <c r="F2027" i="15"/>
  <c r="F2049" i="15"/>
  <c r="F2079" i="15"/>
  <c r="F2077" i="15"/>
  <c r="F2075" i="15"/>
  <c r="F2078" i="15"/>
  <c r="F2082" i="15"/>
  <c r="F2081" i="15"/>
  <c r="F2083" i="15"/>
  <c r="F2085" i="15"/>
  <c r="F2091" i="15"/>
  <c r="F2092" i="15"/>
  <c r="F2095" i="15"/>
  <c r="F2099" i="15"/>
  <c r="F2097" i="15"/>
  <c r="F1814" i="15"/>
  <c r="F2137" i="15"/>
  <c r="F2653" i="15"/>
  <c r="F2103" i="15"/>
  <c r="F2101" i="15"/>
  <c r="F2131" i="15"/>
  <c r="F2134" i="15"/>
  <c r="F2122" i="15"/>
  <c r="F2140" i="15"/>
  <c r="F2116" i="15"/>
  <c r="F2185" i="15"/>
  <c r="F2199" i="15"/>
  <c r="F2144" i="15"/>
  <c r="F2135" i="15"/>
  <c r="F2130" i="15"/>
  <c r="F2107" i="15"/>
  <c r="F2110" i="15"/>
  <c r="F2121" i="15"/>
  <c r="F2204" i="15"/>
  <c r="F2123" i="15"/>
  <c r="F2138" i="15"/>
  <c r="F2128" i="15"/>
  <c r="F2126" i="15"/>
  <c r="F2102" i="15"/>
  <c r="F2139" i="15"/>
  <c r="F2132" i="15"/>
  <c r="F2100" i="15"/>
  <c r="F2114" i="15"/>
  <c r="F2133" i="15"/>
  <c r="F2108" i="15"/>
  <c r="F2106" i="15"/>
  <c r="F2124" i="15"/>
  <c r="F2109" i="15"/>
  <c r="F2117" i="15"/>
  <c r="F2127" i="15"/>
  <c r="F2141" i="15"/>
  <c r="F2105" i="15"/>
  <c r="F2143" i="15"/>
  <c r="F2118" i="15"/>
  <c r="F2153" i="15"/>
  <c r="F2151" i="15"/>
  <c r="F2149" i="15"/>
  <c r="F2152" i="15"/>
  <c r="F2156" i="15"/>
  <c r="F2155" i="15"/>
  <c r="F2157" i="15"/>
  <c r="F2159" i="15"/>
  <c r="F2165" i="15"/>
  <c r="F2171" i="15"/>
  <c r="F2169" i="15"/>
  <c r="F1893" i="15"/>
  <c r="F2203" i="15"/>
  <c r="F2212" i="15"/>
  <c r="F2681" i="15"/>
  <c r="F2173" i="15"/>
  <c r="F2207" i="15"/>
  <c r="F2193" i="15"/>
  <c r="F2197" i="15"/>
  <c r="F2215" i="15"/>
  <c r="F2188" i="15"/>
  <c r="F1816" i="15"/>
  <c r="F1743" i="15"/>
  <c r="F2219" i="15"/>
  <c r="F2210" i="15"/>
  <c r="F2205" i="15"/>
  <c r="F2178" i="15"/>
  <c r="F2182" i="15"/>
  <c r="F2196" i="15"/>
  <c r="F2271" i="15"/>
  <c r="F2213" i="15"/>
  <c r="F2202" i="15"/>
  <c r="F2200" i="15"/>
  <c r="F2209" i="15"/>
  <c r="F2174" i="15"/>
  <c r="F2214" i="15"/>
  <c r="F2172" i="15"/>
  <c r="F2186" i="15"/>
  <c r="F2208" i="15"/>
  <c r="F2180" i="15"/>
  <c r="F2177" i="15"/>
  <c r="F2198" i="15"/>
  <c r="F2181" i="15"/>
  <c r="F2191" i="15"/>
  <c r="F2201" i="15"/>
  <c r="F2216" i="15"/>
  <c r="F2176" i="15"/>
  <c r="F2218" i="15"/>
  <c r="F2192" i="15"/>
  <c r="F2227" i="15"/>
  <c r="F2225" i="15"/>
  <c r="F2223" i="15"/>
  <c r="F2226" i="15"/>
  <c r="F2229" i="15"/>
  <c r="F2230" i="15"/>
  <c r="F2232" i="15"/>
  <c r="F2243" i="15"/>
  <c r="F2241" i="15"/>
  <c r="F2253" i="15"/>
  <c r="F1970" i="15"/>
  <c r="F2270" i="15"/>
  <c r="F2281" i="15"/>
  <c r="F2704" i="15"/>
  <c r="F2244" i="15"/>
  <c r="F2275" i="15"/>
  <c r="F2262" i="15"/>
  <c r="F2269" i="15"/>
  <c r="F2265" i="15"/>
  <c r="F2284" i="15"/>
  <c r="F2259" i="15"/>
  <c r="F2279" i="15"/>
  <c r="F2273" i="15"/>
  <c r="F2503" i="15"/>
  <c r="F2249" i="15"/>
  <c r="F2254" i="15"/>
  <c r="F1826" i="15"/>
  <c r="F2282" i="15"/>
  <c r="F2267" i="15"/>
  <c r="F2278" i="15"/>
  <c r="F2245" i="15"/>
  <c r="F2283" i="15"/>
  <c r="F2257" i="15"/>
  <c r="F2277" i="15"/>
  <c r="F2251" i="15"/>
  <c r="F2248" i="15"/>
  <c r="F2266" i="15"/>
  <c r="F2252" i="15"/>
  <c r="F2261" i="15"/>
  <c r="F2268" i="15"/>
  <c r="F2285" i="15"/>
  <c r="F2272" i="15"/>
  <c r="F2290" i="15"/>
  <c r="F2289" i="15"/>
  <c r="F2291" i="15"/>
  <c r="F2292" i="15"/>
  <c r="F2294" i="15"/>
  <c r="F2302" i="15"/>
  <c r="F2300" i="15"/>
  <c r="F2041" i="15"/>
  <c r="F2329" i="15"/>
  <c r="F2342" i="15"/>
  <c r="F2723" i="15"/>
  <c r="F2325" i="15"/>
  <c r="F2303" i="15"/>
  <c r="F2334" i="15"/>
  <c r="F2321" i="15"/>
  <c r="F2328" i="15"/>
  <c r="F2324" i="15"/>
  <c r="F2345" i="15"/>
  <c r="F2318" i="15"/>
  <c r="F2310" i="15"/>
  <c r="F2339" i="15"/>
  <c r="F2331" i="15"/>
  <c r="F2246" i="15"/>
  <c r="F2332" i="15"/>
  <c r="F2308" i="15"/>
  <c r="F2313" i="15"/>
  <c r="F2335" i="15"/>
  <c r="F2341" i="15"/>
  <c r="F2343" i="15"/>
  <c r="F2338" i="15"/>
  <c r="F2304" i="15"/>
  <c r="F2344" i="15"/>
  <c r="F2316" i="15"/>
  <c r="F2337" i="15"/>
  <c r="F2311" i="15"/>
  <c r="F2307" i="15"/>
  <c r="F2326" i="15"/>
  <c r="F2312" i="15"/>
  <c r="F2320" i="15"/>
  <c r="F2327" i="15"/>
  <c r="F2346" i="15"/>
  <c r="F2330" i="15"/>
  <c r="F2351" i="15"/>
  <c r="F2350" i="15"/>
  <c r="F2352" i="15"/>
  <c r="F2360" i="15"/>
  <c r="F2358" i="15"/>
  <c r="F2383" i="15"/>
  <c r="F2396" i="15"/>
  <c r="F2742" i="15"/>
  <c r="F2379" i="15"/>
  <c r="F2361" i="15"/>
  <c r="F2388" i="15"/>
  <c r="F2376" i="15"/>
  <c r="F2382" i="15"/>
  <c r="F2377" i="15"/>
  <c r="F2370" i="15"/>
  <c r="F2372" i="15"/>
  <c r="F2367" i="15"/>
  <c r="F2393" i="15"/>
  <c r="F2385" i="15"/>
  <c r="F2305" i="15"/>
  <c r="F2386" i="15"/>
  <c r="F2368" i="15"/>
  <c r="F2362" i="15"/>
  <c r="F2389" i="15"/>
  <c r="F2378" i="15"/>
  <c r="F2395" i="15"/>
  <c r="F2397" i="15"/>
  <c r="F2392" i="15"/>
  <c r="F2369" i="15"/>
  <c r="F2391" i="15"/>
  <c r="F2365" i="15"/>
  <c r="F2380" i="15"/>
  <c r="F2374" i="15"/>
  <c r="F2381" i="15"/>
  <c r="F2398" i="15"/>
  <c r="F2384" i="15"/>
  <c r="F2403" i="15"/>
  <c r="F2402" i="15"/>
  <c r="F2411" i="15"/>
  <c r="F2409" i="15"/>
  <c r="F2432" i="15"/>
  <c r="F2445" i="15"/>
  <c r="F2755" i="15"/>
  <c r="F2427" i="15"/>
  <c r="F2412" i="15"/>
  <c r="F2437" i="15"/>
  <c r="F2423" i="15"/>
  <c r="F2431" i="15"/>
  <c r="F2424" i="15"/>
  <c r="F2420" i="15"/>
  <c r="F2418" i="15"/>
  <c r="F2442" i="15"/>
  <c r="F2434" i="15"/>
  <c r="F2363" i="15"/>
  <c r="F2435" i="15"/>
  <c r="F2419" i="15"/>
  <c r="F2413" i="15"/>
  <c r="F2438" i="15"/>
  <c r="F2426" i="15"/>
  <c r="F2444" i="15"/>
  <c r="F2446" i="15"/>
  <c r="F2441" i="15"/>
  <c r="F2440" i="15"/>
  <c r="F2416" i="15"/>
  <c r="F2428" i="15"/>
  <c r="F2429" i="15"/>
  <c r="F2447" i="15"/>
  <c r="F2430" i="15"/>
  <c r="F2433" i="15"/>
  <c r="F2451" i="15"/>
  <c r="F2450" i="15"/>
  <c r="F2458" i="15"/>
  <c r="F2456" i="15"/>
  <c r="F2481" i="15"/>
  <c r="F2478" i="15"/>
  <c r="F2480" i="15"/>
  <c r="F2483" i="15"/>
  <c r="F2469" i="15"/>
  <c r="F2466" i="15"/>
  <c r="F2414" i="15"/>
  <c r="F2484" i="15"/>
  <c r="F2467" i="15"/>
  <c r="F2459" i="15"/>
  <c r="F2486" i="15"/>
  <c r="F2477" i="15"/>
  <c r="F2491" i="15"/>
  <c r="F2489" i="15"/>
  <c r="F2488" i="15"/>
  <c r="F2464" i="15"/>
  <c r="F2492" i="15"/>
  <c r="F2479" i="15"/>
  <c r="F2482" i="15"/>
  <c r="F2496" i="15"/>
  <c r="F2495" i="15"/>
  <c r="F2501" i="15"/>
  <c r="F2521" i="15"/>
  <c r="F2523" i="15"/>
  <c r="F2525" i="15"/>
  <c r="F2512" i="15"/>
  <c r="F2509" i="15"/>
  <c r="F2460" i="15"/>
  <c r="F2526" i="15"/>
  <c r="F2502" i="15"/>
  <c r="F2528" i="15"/>
  <c r="F2520" i="15"/>
  <c r="F2531" i="15"/>
  <c r="F2507" i="15"/>
  <c r="F2532" i="15"/>
  <c r="F2522" i="15"/>
  <c r="F2524" i="15"/>
  <c r="F2535" i="15"/>
  <c r="F2561" i="15"/>
  <c r="F2551" i="15"/>
  <c r="F2564" i="15"/>
  <c r="F2549" i="15"/>
  <c r="F2546" i="15"/>
  <c r="F2565" i="15"/>
  <c r="F2540" i="15"/>
  <c r="F2567" i="15"/>
  <c r="F2560" i="15"/>
  <c r="F2570" i="15"/>
  <c r="F2544" i="15"/>
  <c r="F2556" i="15"/>
  <c r="F2571" i="15"/>
  <c r="F2562" i="15"/>
  <c r="F2563" i="15"/>
  <c r="F2574" i="15"/>
  <c r="F2600" i="15"/>
  <c r="F2590" i="15"/>
  <c r="F2604" i="15"/>
  <c r="F2588" i="15"/>
  <c r="F2587" i="15"/>
  <c r="F2605" i="15"/>
  <c r="F2579" i="15"/>
  <c r="F2599" i="15"/>
  <c r="F2608" i="15"/>
  <c r="F2582" i="15"/>
  <c r="F2595" i="15"/>
  <c r="F2609" i="15"/>
  <c r="F2602" i="15"/>
  <c r="F2601" i="15"/>
  <c r="F2603" i="15"/>
  <c r="F2612" i="15"/>
  <c r="F2627" i="15"/>
  <c r="F2639" i="15"/>
  <c r="F2625" i="15"/>
  <c r="F2624" i="15"/>
  <c r="F2640" i="15"/>
  <c r="F2643" i="15"/>
  <c r="F2619" i="15"/>
  <c r="F2632" i="15"/>
  <c r="F2644" i="15"/>
  <c r="F2637" i="15"/>
  <c r="F2636" i="15"/>
  <c r="F2638" i="15"/>
  <c r="F2647" i="15"/>
  <c r="F2659" i="15"/>
  <c r="F2669" i="15"/>
  <c r="F2657" i="15"/>
  <c r="F2656" i="15"/>
  <c r="F2670" i="15"/>
  <c r="F2672" i="15"/>
  <c r="F2652" i="15"/>
  <c r="F2663" i="15"/>
  <c r="F2673" i="15"/>
  <c r="F2667" i="15"/>
  <c r="F2668" i="15"/>
  <c r="F2687" i="15"/>
  <c r="F2685" i="15"/>
  <c r="F2684" i="15"/>
  <c r="F2696" i="15"/>
  <c r="F2697" i="15"/>
  <c r="F2680" i="15"/>
  <c r="F2692" i="15"/>
  <c r="F2698" i="15"/>
  <c r="F2695" i="15"/>
  <c r="F2710" i="15"/>
  <c r="F2708" i="15"/>
  <c r="F2707" i="15"/>
  <c r="F2703" i="15"/>
  <c r="F2715" i="15"/>
  <c r="F2719" i="15"/>
  <c r="F2718" i="15"/>
  <c r="F2729" i="15"/>
  <c r="F2737" i="15"/>
  <c r="F2726" i="15"/>
  <c r="F2733" i="15"/>
  <c r="F2738" i="15"/>
  <c r="F2736" i="15"/>
  <c r="F2753" i="15"/>
  <c r="F2744" i="15"/>
  <c r="F2750" i="15"/>
  <c r="F2754" i="15"/>
  <c r="F2752" i="15"/>
  <c r="F2762" i="15"/>
  <c r="F2756" i="15"/>
  <c r="F2759" i="15"/>
  <c r="F2761" i="15"/>
  <c r="F2769" i="15"/>
  <c r="F2763" i="15"/>
  <c r="F2766" i="15"/>
  <c r="F2768" i="15"/>
  <c r="F2774" i="15"/>
  <c r="F2770" i="15"/>
  <c r="F2773" i="15"/>
  <c r="F2779" i="15"/>
  <c r="F2778" i="15"/>
  <c r="F2783" i="15"/>
  <c r="F2788" i="15"/>
  <c r="F2793" i="15"/>
  <c r="F2798" i="15"/>
  <c r="F2802" i="15"/>
  <c r="F2806" i="15"/>
  <c r="F2810" i="15"/>
  <c r="F2814" i="15"/>
  <c r="F2818" i="15"/>
  <c r="F2880" i="15"/>
  <c r="F2854" i="15"/>
  <c r="F2855" i="15"/>
  <c r="F2115" i="15"/>
  <c r="F2187" i="15"/>
  <c r="F2258" i="15"/>
  <c r="F2045" i="15"/>
  <c r="F2317" i="15"/>
  <c r="F2371" i="15"/>
  <c r="F2912" i="15"/>
  <c r="F2925" i="15"/>
  <c r="F2822" i="15"/>
  <c r="F2913" i="15"/>
  <c r="F2926" i="15"/>
  <c r="F2823" i="15"/>
  <c r="F82" i="15"/>
  <c r="F2918" i="15"/>
  <c r="F2914" i="15"/>
  <c r="F2824" i="15"/>
  <c r="F2919" i="15"/>
  <c r="F2915" i="15"/>
  <c r="F2825" i="15"/>
  <c r="F191" i="15"/>
  <c r="F2920" i="15"/>
  <c r="F2916" i="15"/>
  <c r="F2826" i="15"/>
  <c r="F2921" i="15"/>
  <c r="F2917" i="15"/>
  <c r="F2827" i="15"/>
  <c r="F2922" i="15"/>
  <c r="F2911" i="15"/>
  <c r="F2923" i="15"/>
  <c r="F2937" i="15"/>
  <c r="F2938" i="15"/>
  <c r="F2939" i="15"/>
  <c r="F2940" i="15"/>
  <c r="F2941" i="15"/>
  <c r="F2942" i="15"/>
  <c r="F2943" i="15"/>
  <c r="F2944" i="15"/>
  <c r="F2945" i="15"/>
  <c r="F2946" i="15"/>
  <c r="F2929" i="15"/>
  <c r="F2930" i="15"/>
  <c r="F2931" i="15"/>
  <c r="F2932" i="15"/>
  <c r="F2933" i="15"/>
  <c r="F2934" i="15"/>
  <c r="F2828" i="15"/>
  <c r="F2829" i="15"/>
  <c r="F2830" i="15"/>
  <c r="F2831" i="15"/>
  <c r="F2832" i="15"/>
  <c r="F2833" i="15"/>
  <c r="F2954" i="15"/>
  <c r="F2955" i="15"/>
  <c r="F2956" i="15"/>
  <c r="F2957" i="15"/>
  <c r="F2958" i="15"/>
  <c r="F2898" i="15"/>
  <c r="F2899" i="15"/>
  <c r="F2900" i="15"/>
  <c r="F2901" i="15"/>
  <c r="F2902" i="15"/>
  <c r="F2903" i="15"/>
  <c r="F2882" i="15"/>
  <c r="F2883" i="15"/>
  <c r="F2884" i="15"/>
  <c r="F2885" i="15"/>
  <c r="F2886" i="15"/>
  <c r="F2887" i="15"/>
  <c r="F2888" i="15"/>
  <c r="F2889" i="15"/>
  <c r="F2890" i="15"/>
  <c r="F2891" i="15"/>
  <c r="F2948" i="15"/>
  <c r="F2949" i="15"/>
  <c r="F2950" i="15"/>
  <c r="F2951" i="15"/>
  <c r="F2952" i="15"/>
  <c r="F2953" i="15"/>
  <c r="F2836" i="15"/>
  <c r="F2837" i="15"/>
  <c r="F2838" i="15"/>
  <c r="F2839" i="15"/>
  <c r="F2840" i="15"/>
  <c r="F2841" i="15"/>
  <c r="F2842" i="15"/>
  <c r="F2843" i="15"/>
  <c r="F2844" i="15"/>
  <c r="F2845" i="15"/>
  <c r="F2895" i="15"/>
  <c r="F2896" i="15"/>
  <c r="F2893" i="15"/>
  <c r="F2894" i="15"/>
  <c r="F2872" i="15"/>
  <c r="F2873" i="15"/>
  <c r="F2874" i="15"/>
  <c r="F2875" i="15"/>
  <c r="F2876" i="15"/>
  <c r="F2862" i="15"/>
  <c r="F2863" i="15"/>
  <c r="F2864" i="15"/>
  <c r="F2865" i="15"/>
  <c r="F2866" i="15"/>
  <c r="F2867" i="15"/>
  <c r="F2924" i="15"/>
  <c r="F2853" i="15"/>
  <c r="F2947" i="15"/>
  <c r="F2881" i="15"/>
  <c r="F2858" i="15"/>
  <c r="F2857" i="15"/>
  <c r="F2869" i="15"/>
  <c r="F2892" i="15"/>
  <c r="F2904" i="15"/>
  <c r="F2850" i="15"/>
  <c r="F2852" i="15"/>
  <c r="F2846" i="15"/>
  <c r="F2935" i="15"/>
  <c r="F2834" i="15"/>
  <c r="F2877" i="15"/>
  <c r="F2936" i="15"/>
  <c r="F2851" i="15"/>
  <c r="F2897" i="15"/>
  <c r="F2861" i="15"/>
  <c r="B759" i="1"/>
  <c r="I759" i="1"/>
  <c r="J759" i="1"/>
  <c r="O759" i="1"/>
  <c r="B758" i="1"/>
  <c r="I758" i="1"/>
  <c r="J758" i="1"/>
  <c r="O758" i="1"/>
  <c r="B757" i="1"/>
  <c r="I757" i="1"/>
  <c r="J757" i="1"/>
  <c r="O757" i="1"/>
  <c r="G2190" i="15"/>
  <c r="B737" i="15"/>
  <c r="B2861" i="15"/>
  <c r="B2190" i="15"/>
  <c r="D2861" i="15"/>
  <c r="D2190" i="15"/>
  <c r="L2861" i="15" a="1"/>
  <c r="L2861" i="15" s="1"/>
  <c r="M2861" i="15" s="1"/>
  <c r="L2190" i="15" a="1"/>
  <c r="L2190" i="15" s="1"/>
  <c r="M2190" i="15" s="1"/>
  <c r="B1931" i="15"/>
  <c r="D1931" i="15"/>
  <c r="L1931" i="15" a="1"/>
  <c r="L1931" i="15" s="1"/>
  <c r="M1931" i="15" s="1"/>
  <c r="B1851" i="15"/>
  <c r="D1851" i="15"/>
  <c r="L1851" i="15" a="1"/>
  <c r="L1851" i="15" s="1"/>
  <c r="M1851" i="15" s="1"/>
  <c r="B1610" i="15"/>
  <c r="B1695" i="15"/>
  <c r="B1770" i="15"/>
  <c r="D1610" i="15"/>
  <c r="D1695" i="15"/>
  <c r="D1770" i="15"/>
  <c r="L1610" i="15" a="1"/>
  <c r="L1610" i="15" s="1"/>
  <c r="M1610" i="15" s="1"/>
  <c r="L1695" i="15" a="1"/>
  <c r="L1695" i="15" s="1"/>
  <c r="M1695" i="15" s="1"/>
  <c r="L1770" i="15" a="1"/>
  <c r="L1770" i="15" s="1"/>
  <c r="M1770" i="15" s="1"/>
  <c r="B849" i="15"/>
  <c r="B985" i="15"/>
  <c r="B1104" i="15"/>
  <c r="B1214" i="15"/>
  <c r="B1327" i="15"/>
  <c r="B1429" i="15"/>
  <c r="B1525" i="15"/>
  <c r="D849" i="15"/>
  <c r="D985" i="15"/>
  <c r="D1104" i="15"/>
  <c r="D1214" i="15"/>
  <c r="D1327" i="15"/>
  <c r="D1429" i="15"/>
  <c r="D1525" i="15"/>
  <c r="L849" i="15" a="1"/>
  <c r="L849" i="15" s="1"/>
  <c r="M849" i="15" s="1"/>
  <c r="L985" i="15" a="1"/>
  <c r="L985" i="15" s="1"/>
  <c r="M985" i="15" s="1"/>
  <c r="L1104" i="15" a="1"/>
  <c r="L1104" i="15" s="1"/>
  <c r="M1104" i="15" s="1"/>
  <c r="L1214" i="15" a="1"/>
  <c r="L1214" i="15" s="1"/>
  <c r="M1214" i="15" s="1"/>
  <c r="L1327" i="15" a="1"/>
  <c r="L1327" i="15" s="1"/>
  <c r="M1327" i="15" s="1"/>
  <c r="L1429" i="15" a="1"/>
  <c r="L1429" i="15" s="1"/>
  <c r="M1429" i="15" s="1"/>
  <c r="L1525" i="15" a="1"/>
  <c r="L1525" i="15" s="1"/>
  <c r="M1525" i="15" s="1"/>
  <c r="D737" i="15"/>
  <c r="L737" i="15" a="1"/>
  <c r="L737" i="15" s="1"/>
  <c r="B721" i="15"/>
  <c r="D721" i="15"/>
  <c r="L721" i="15" a="1"/>
  <c r="L721" i="15" s="1"/>
  <c r="M721" i="15" s="1"/>
  <c r="G2330" i="15"/>
  <c r="G2384" i="15"/>
  <c r="G2433" i="15"/>
  <c r="G2482" i="15"/>
  <c r="G2524" i="15"/>
  <c r="G2563" i="15"/>
  <c r="G2603" i="15"/>
  <c r="G2638" i="15"/>
  <c r="G2668" i="15"/>
  <c r="G2272" i="15"/>
  <c r="B2668" i="15"/>
  <c r="D2668" i="15"/>
  <c r="L2668" i="15" a="1"/>
  <c r="L2668" i="15" s="1"/>
  <c r="M2668" i="15" s="1"/>
  <c r="B2563" i="15"/>
  <c r="B2603" i="15"/>
  <c r="B2638" i="15"/>
  <c r="D2563" i="15"/>
  <c r="D2603" i="15"/>
  <c r="D2638" i="15"/>
  <c r="L2563" i="15" a="1"/>
  <c r="L2563" i="15" s="1"/>
  <c r="M2563" i="15" s="1"/>
  <c r="L2603" i="15" a="1"/>
  <c r="L2603" i="15" s="1"/>
  <c r="M2603" i="15" s="1"/>
  <c r="L2638" i="15" a="1"/>
  <c r="L2638" i="15" s="1"/>
  <c r="M2638" i="15" s="1"/>
  <c r="B2272" i="15"/>
  <c r="B2330" i="15"/>
  <c r="B2384" i="15"/>
  <c r="B2433" i="15"/>
  <c r="B2482" i="15"/>
  <c r="B2524" i="15"/>
  <c r="D2272" i="15"/>
  <c r="D2330" i="15"/>
  <c r="D2384" i="15"/>
  <c r="D2433" i="15"/>
  <c r="D2482" i="15"/>
  <c r="D2524" i="15"/>
  <c r="L2272" i="15" a="1"/>
  <c r="L2272" i="15" s="1"/>
  <c r="M2272" i="15" s="1"/>
  <c r="L2330" i="15" a="1"/>
  <c r="L2330" i="15" s="1"/>
  <c r="M2330" i="15" s="1"/>
  <c r="L2384" i="15" a="1"/>
  <c r="L2384" i="15" s="1"/>
  <c r="M2384" i="15" s="1"/>
  <c r="L2433" i="15" a="1"/>
  <c r="L2433" i="15" s="1"/>
  <c r="M2433" i="15" s="1"/>
  <c r="L2482" i="15" a="1"/>
  <c r="L2482" i="15" s="1"/>
  <c r="M2482" i="15" s="1"/>
  <c r="L2524" i="15" a="1"/>
  <c r="L2524" i="15" s="1"/>
  <c r="M2524" i="15" s="1"/>
  <c r="B2897" i="15"/>
  <c r="D2897" i="15"/>
  <c r="L2897" i="15" a="1"/>
  <c r="L2897" i="15" s="1"/>
  <c r="M2897" i="15" s="1"/>
  <c r="B2005" i="15"/>
  <c r="B2081" i="15"/>
  <c r="B2155" i="15"/>
  <c r="D2005" i="15"/>
  <c r="D2081" i="15"/>
  <c r="D2155" i="15"/>
  <c r="L2005" i="15" a="1"/>
  <c r="L2005" i="15" s="1"/>
  <c r="M2005" i="15" s="1"/>
  <c r="L2081" i="15" a="1"/>
  <c r="L2081" i="15" s="1"/>
  <c r="M2081" i="15" s="1"/>
  <c r="L2155" i="15" a="1"/>
  <c r="L2155" i="15" s="1"/>
  <c r="M2155" i="15" s="1"/>
  <c r="B1764" i="15"/>
  <c r="B1846" i="15"/>
  <c r="B1927" i="15"/>
  <c r="D1764" i="15"/>
  <c r="D1846" i="15"/>
  <c r="D1927" i="15"/>
  <c r="L1764" i="15" a="1"/>
  <c r="L1764" i="15" s="1"/>
  <c r="M1764" i="15" s="1"/>
  <c r="L1846" i="15" a="1"/>
  <c r="L1846" i="15" s="1"/>
  <c r="M1846" i="15" s="1"/>
  <c r="L1927" i="15" a="1"/>
  <c r="L1927" i="15" s="1"/>
  <c r="M1927" i="15" s="1"/>
  <c r="B723" i="15"/>
  <c r="B722" i="15"/>
  <c r="B837" i="15"/>
  <c r="B969" i="15"/>
  <c r="B1094" i="15"/>
  <c r="B1204" i="15"/>
  <c r="B1314" i="15"/>
  <c r="B1420" i="15"/>
  <c r="B1517" i="15"/>
  <c r="B1602" i="15"/>
  <c r="B1687" i="15"/>
  <c r="D723" i="15"/>
  <c r="D722" i="15"/>
  <c r="D837" i="15"/>
  <c r="D969" i="15"/>
  <c r="D1094" i="15"/>
  <c r="D1204" i="15"/>
  <c r="D1314" i="15"/>
  <c r="D1420" i="15"/>
  <c r="D1517" i="15"/>
  <c r="D1602" i="15"/>
  <c r="D1687" i="15"/>
  <c r="L723" i="15" a="1"/>
  <c r="L723" i="15" s="1"/>
  <c r="M723" i="15" s="1"/>
  <c r="L722" i="15" a="1"/>
  <c r="L722" i="15" s="1"/>
  <c r="M722" i="15" s="1"/>
  <c r="L837" i="15" a="1"/>
  <c r="L837" i="15" s="1"/>
  <c r="M837" i="15" s="1"/>
  <c r="L969" i="15" a="1"/>
  <c r="L969" i="15" s="1"/>
  <c r="M969" i="15" s="1"/>
  <c r="L1094" i="15" a="1"/>
  <c r="L1094" i="15" s="1"/>
  <c r="M1094" i="15" s="1"/>
  <c r="L1204" i="15" a="1"/>
  <c r="L1204" i="15" s="1"/>
  <c r="M1204" i="15" s="1"/>
  <c r="L1314" i="15" a="1"/>
  <c r="L1314" i="15" s="1"/>
  <c r="M1314" i="15" s="1"/>
  <c r="L1420" i="15" a="1"/>
  <c r="L1420" i="15" s="1"/>
  <c r="M1420" i="15" s="1"/>
  <c r="L1517" i="15" a="1"/>
  <c r="L1517" i="15" s="1"/>
  <c r="M1517" i="15" s="1"/>
  <c r="L1602" i="15" a="1"/>
  <c r="L1602" i="15" s="1"/>
  <c r="M1602" i="15" s="1"/>
  <c r="L1687" i="15" a="1"/>
  <c r="L1687" i="15" s="1"/>
  <c r="M1687" i="15" s="1"/>
  <c r="B691" i="15"/>
  <c r="D691" i="15"/>
  <c r="L691" i="15" a="1"/>
  <c r="L691" i="15" s="1"/>
  <c r="D2" i="15"/>
  <c r="D3" i="15"/>
  <c r="D4" i="15"/>
  <c r="D5" i="15"/>
  <c r="D6" i="15"/>
  <c r="D17" i="15"/>
  <c r="D7" i="15"/>
  <c r="D10" i="15"/>
  <c r="D8" i="15"/>
  <c r="D9" i="15"/>
  <c r="D11" i="15"/>
  <c r="D12" i="15"/>
  <c r="D13" i="15"/>
  <c r="D14" i="15"/>
  <c r="D15" i="15"/>
  <c r="D16" i="15"/>
  <c r="D19" i="15"/>
  <c r="D20" i="15"/>
  <c r="D18" i="15"/>
  <c r="D22" i="15"/>
  <c r="D23" i="15"/>
  <c r="D24" i="15"/>
  <c r="D25" i="15"/>
  <c r="D26" i="15"/>
  <c r="D28" i="15"/>
  <c r="D27" i="15"/>
  <c r="D29" i="15"/>
  <c r="D30" i="15"/>
  <c r="D31" i="15"/>
  <c r="D32" i="15"/>
  <c r="D33" i="15"/>
  <c r="D43" i="15"/>
  <c r="D34" i="15"/>
  <c r="D35" i="15"/>
  <c r="D38" i="15"/>
  <c r="D36" i="15"/>
  <c r="D37" i="15"/>
  <c r="D40" i="15"/>
  <c r="D39" i="15"/>
  <c r="D42" i="15"/>
  <c r="D41" i="15"/>
  <c r="D21" i="15"/>
  <c r="D44" i="15"/>
  <c r="D46" i="15"/>
  <c r="D49" i="15"/>
  <c r="D50" i="15"/>
  <c r="D51" i="15"/>
  <c r="D53" i="15"/>
  <c r="D54" i="15"/>
  <c r="D52" i="15"/>
  <c r="D56" i="15"/>
  <c r="D57" i="15"/>
  <c r="D58" i="15"/>
  <c r="D61" i="15"/>
  <c r="D59" i="15"/>
  <c r="D69" i="15"/>
  <c r="D64" i="15"/>
  <c r="D62" i="15"/>
  <c r="D65" i="15"/>
  <c r="D66" i="15"/>
  <c r="D63" i="15"/>
  <c r="D68" i="15"/>
  <c r="D70" i="15"/>
  <c r="D67" i="15"/>
  <c r="D71" i="15"/>
  <c r="D73" i="15"/>
  <c r="D74" i="15"/>
  <c r="D77" i="15"/>
  <c r="D75" i="15"/>
  <c r="D78" i="15"/>
  <c r="D80" i="15"/>
  <c r="D81" i="15"/>
  <c r="D79" i="15"/>
  <c r="D83" i="15"/>
  <c r="D86" i="15"/>
  <c r="D88" i="15"/>
  <c r="D89" i="15"/>
  <c r="D92" i="15"/>
  <c r="D97" i="15"/>
  <c r="D101" i="15"/>
  <c r="D100" i="15"/>
  <c r="D90" i="15"/>
  <c r="D99" i="15"/>
  <c r="D96" i="15"/>
  <c r="D98" i="15"/>
  <c r="D93" i="15"/>
  <c r="D91" i="15"/>
  <c r="D95" i="15"/>
  <c r="D94" i="15"/>
  <c r="D102" i="15"/>
  <c r="D103" i="15"/>
  <c r="D105" i="15"/>
  <c r="D104" i="15"/>
  <c r="D106" i="15"/>
  <c r="D171" i="15"/>
  <c r="D107" i="15"/>
  <c r="D108" i="15"/>
  <c r="D109" i="15"/>
  <c r="D111" i="15"/>
  <c r="D110" i="15"/>
  <c r="D112" i="15"/>
  <c r="D113" i="15"/>
  <c r="D120" i="15"/>
  <c r="D116" i="15"/>
  <c r="D114" i="15"/>
  <c r="D117" i="15"/>
  <c r="D118" i="15"/>
  <c r="D115" i="15"/>
  <c r="D119" i="15"/>
  <c r="D55" i="15"/>
  <c r="D121" i="15"/>
  <c r="D122" i="15"/>
  <c r="D123" i="15"/>
  <c r="D124" i="15"/>
  <c r="D126" i="15"/>
  <c r="D125" i="15"/>
  <c r="D127" i="15"/>
  <c r="D129" i="15"/>
  <c r="D130" i="15"/>
  <c r="D133" i="15"/>
  <c r="D131" i="15"/>
  <c r="D132" i="15"/>
  <c r="D139" i="15"/>
  <c r="D142" i="15"/>
  <c r="D134" i="15"/>
  <c r="D138" i="15"/>
  <c r="D140" i="15"/>
  <c r="D136" i="15"/>
  <c r="D141" i="15"/>
  <c r="D135" i="15"/>
  <c r="D145" i="15"/>
  <c r="D144" i="15"/>
  <c r="D146" i="15"/>
  <c r="D147" i="15"/>
  <c r="D152" i="15"/>
  <c r="D156" i="15"/>
  <c r="D150" i="15"/>
  <c r="D162" i="15"/>
  <c r="D161" i="15"/>
  <c r="D148" i="15"/>
  <c r="D159" i="15"/>
  <c r="D155" i="15"/>
  <c r="D157" i="15"/>
  <c r="D153" i="15"/>
  <c r="D151" i="15"/>
  <c r="D154" i="15"/>
  <c r="D149" i="15"/>
  <c r="D158" i="15"/>
  <c r="D163" i="15"/>
  <c r="D166" i="15"/>
  <c r="D165" i="15"/>
  <c r="D164" i="15"/>
  <c r="D167" i="15"/>
  <c r="D169" i="15"/>
  <c r="D168" i="15"/>
  <c r="D170" i="15"/>
  <c r="D172" i="15"/>
  <c r="D175" i="15"/>
  <c r="D174" i="15"/>
  <c r="D173" i="15"/>
  <c r="D176" i="15"/>
  <c r="D177" i="15"/>
  <c r="D197" i="15"/>
  <c r="D179" i="15"/>
  <c r="D181" i="15"/>
  <c r="D182" i="15"/>
  <c r="D180" i="15"/>
  <c r="D187" i="15"/>
  <c r="D183" i="15"/>
  <c r="D185" i="15"/>
  <c r="D184" i="15"/>
  <c r="D186" i="15"/>
  <c r="D188" i="15"/>
  <c r="D190" i="15"/>
  <c r="D193" i="15"/>
  <c r="D195" i="15"/>
  <c r="D196" i="15"/>
  <c r="D200" i="15"/>
  <c r="D199" i="15"/>
  <c r="D198" i="15"/>
  <c r="D201" i="15"/>
  <c r="D204" i="15"/>
  <c r="D206" i="15"/>
  <c r="D207" i="15"/>
  <c r="D212" i="15"/>
  <c r="D213" i="15"/>
  <c r="D211" i="15"/>
  <c r="D210" i="15"/>
  <c r="D209" i="15"/>
  <c r="D215" i="15"/>
  <c r="D216" i="15"/>
  <c r="D219" i="15"/>
  <c r="D228" i="15"/>
  <c r="D223" i="15"/>
  <c r="D226" i="15"/>
  <c r="D222" i="15"/>
  <c r="D224" i="15"/>
  <c r="D225" i="15"/>
  <c r="D221" i="15"/>
  <c r="D214" i="15"/>
  <c r="D220" i="15"/>
  <c r="D227" i="15"/>
  <c r="D217" i="15"/>
  <c r="D218" i="15"/>
  <c r="D236" i="15"/>
  <c r="D230" i="15"/>
  <c r="D235" i="15"/>
  <c r="D234" i="15"/>
  <c r="D237" i="15"/>
  <c r="D229" i="15"/>
  <c r="D238" i="15"/>
  <c r="D233" i="15"/>
  <c r="D232" i="15"/>
  <c r="D231" i="15"/>
  <c r="D239" i="15"/>
  <c r="D240" i="15"/>
  <c r="D241" i="15"/>
  <c r="D242" i="15"/>
  <c r="D244" i="15"/>
  <c r="D243" i="15"/>
  <c r="D248" i="15"/>
  <c r="D253" i="15"/>
  <c r="D256" i="15"/>
  <c r="D246" i="15"/>
  <c r="D261" i="15"/>
  <c r="D260" i="15"/>
  <c r="D258" i="15"/>
  <c r="D245" i="15"/>
  <c r="D257" i="15"/>
  <c r="D254" i="15"/>
  <c r="D249" i="15"/>
  <c r="D259" i="15"/>
  <c r="D252" i="15"/>
  <c r="D251" i="15"/>
  <c r="D247" i="15"/>
  <c r="D250" i="15"/>
  <c r="D255" i="15"/>
  <c r="D262" i="15"/>
  <c r="D263" i="15"/>
  <c r="D264" i="15"/>
  <c r="D269" i="15"/>
  <c r="D268" i="15"/>
  <c r="D270" i="15"/>
  <c r="D272" i="15"/>
  <c r="D271" i="15"/>
  <c r="D273" i="15"/>
  <c r="D274" i="15"/>
  <c r="D276" i="15"/>
  <c r="D275" i="15"/>
  <c r="D277" i="15"/>
  <c r="D278" i="15"/>
  <c r="D287" i="15"/>
  <c r="D288" i="15"/>
  <c r="D282" i="15"/>
  <c r="D283" i="15"/>
  <c r="D284" i="15"/>
  <c r="D285" i="15"/>
  <c r="D279" i="15"/>
  <c r="D281" i="15"/>
  <c r="D280" i="15"/>
  <c r="D286" i="15"/>
  <c r="D291" i="15"/>
  <c r="D290" i="15"/>
  <c r="D293" i="15"/>
  <c r="D292" i="15"/>
  <c r="D294" i="15"/>
  <c r="D295" i="15"/>
  <c r="D296" i="15"/>
  <c r="D297" i="15"/>
  <c r="D298" i="15"/>
  <c r="D299" i="15"/>
  <c r="D300" i="15"/>
  <c r="D301" i="15"/>
  <c r="D304" i="15"/>
  <c r="D303" i="15"/>
  <c r="D302" i="15"/>
  <c r="D305" i="15"/>
  <c r="D307" i="15"/>
  <c r="D306" i="15"/>
  <c r="D309" i="15"/>
  <c r="D310" i="15"/>
  <c r="D311" i="15"/>
  <c r="D308" i="15"/>
  <c r="D315" i="15"/>
  <c r="D313" i="15"/>
  <c r="D314" i="15"/>
  <c r="D317" i="15"/>
  <c r="D312" i="15"/>
  <c r="D316" i="15"/>
  <c r="D322" i="15"/>
  <c r="D319" i="15"/>
  <c r="D333" i="15"/>
  <c r="D328" i="15"/>
  <c r="D320" i="15"/>
  <c r="D326" i="15"/>
  <c r="D331" i="15"/>
  <c r="D342" i="15"/>
  <c r="D337" i="15"/>
  <c r="D325" i="15"/>
  <c r="D335" i="15"/>
  <c r="D338" i="15"/>
  <c r="D334" i="15"/>
  <c r="D321" i="15"/>
  <c r="D340" i="15"/>
  <c r="D332" i="15"/>
  <c r="D336" i="15"/>
  <c r="D330" i="15"/>
  <c r="D318" i="15"/>
  <c r="D327" i="15"/>
  <c r="D341" i="15"/>
  <c r="D323" i="15"/>
  <c r="D339" i="15"/>
  <c r="D329" i="15"/>
  <c r="D324" i="15"/>
  <c r="D343" i="15"/>
  <c r="D352" i="15"/>
  <c r="D350" i="15"/>
  <c r="D351" i="15"/>
  <c r="D353" i="15"/>
  <c r="D354" i="15"/>
  <c r="D356" i="15"/>
  <c r="D355" i="15"/>
  <c r="D357" i="15"/>
  <c r="D361" i="15"/>
  <c r="D358" i="15"/>
  <c r="D359" i="15"/>
  <c r="D360" i="15"/>
  <c r="D365" i="15"/>
  <c r="D367" i="15"/>
  <c r="D374" i="15"/>
  <c r="D363" i="15"/>
  <c r="D381" i="15"/>
  <c r="D378" i="15"/>
  <c r="D379" i="15"/>
  <c r="D373" i="15"/>
  <c r="D369" i="15"/>
  <c r="D362" i="15"/>
  <c r="D377" i="15"/>
  <c r="D372" i="15"/>
  <c r="D375" i="15"/>
  <c r="D366" i="15"/>
  <c r="D380" i="15"/>
  <c r="D370" i="15"/>
  <c r="D371" i="15"/>
  <c r="D364" i="15"/>
  <c r="D368" i="15"/>
  <c r="D376" i="15"/>
  <c r="D382" i="15"/>
  <c r="D385" i="15"/>
  <c r="D386" i="15"/>
  <c r="D384" i="15"/>
  <c r="D383" i="15"/>
  <c r="D388" i="15"/>
  <c r="D390" i="15"/>
  <c r="D389" i="15"/>
  <c r="D387" i="15"/>
  <c r="D391" i="15"/>
  <c r="D392" i="15"/>
  <c r="D393" i="15"/>
  <c r="D394" i="15"/>
  <c r="D395" i="15"/>
  <c r="D396" i="15"/>
  <c r="D397" i="15"/>
  <c r="D399" i="15"/>
  <c r="D398" i="15"/>
  <c r="D401" i="15"/>
  <c r="D400" i="15"/>
  <c r="D402" i="15"/>
  <c r="D403" i="15"/>
  <c r="D405" i="15"/>
  <c r="D404" i="15"/>
  <c r="D407" i="15"/>
  <c r="D406" i="15"/>
  <c r="D408" i="15"/>
  <c r="D413" i="15"/>
  <c r="D422" i="15"/>
  <c r="D418" i="15"/>
  <c r="D421" i="15"/>
  <c r="D412" i="15"/>
  <c r="D409" i="15"/>
  <c r="D410" i="15"/>
  <c r="D420" i="15"/>
  <c r="D417" i="15"/>
  <c r="D411" i="15"/>
  <c r="D419" i="15"/>
  <c r="D414" i="15"/>
  <c r="D415" i="15"/>
  <c r="D416" i="15"/>
  <c r="D423" i="15"/>
  <c r="D424" i="15"/>
  <c r="D425" i="15"/>
  <c r="D426" i="15"/>
  <c r="D427" i="15"/>
  <c r="D431" i="15"/>
  <c r="D430" i="15"/>
  <c r="D429" i="15"/>
  <c r="D428" i="15"/>
  <c r="D432" i="15"/>
  <c r="D434" i="15"/>
  <c r="D435" i="15"/>
  <c r="D438" i="15"/>
  <c r="D437" i="15"/>
  <c r="D436" i="15"/>
  <c r="D439" i="15"/>
  <c r="D440" i="15"/>
  <c r="D441" i="15"/>
  <c r="D443" i="15"/>
  <c r="D442" i="15"/>
  <c r="D444" i="15"/>
  <c r="D445" i="15"/>
  <c r="D447" i="15"/>
  <c r="D451" i="15"/>
  <c r="D462" i="15"/>
  <c r="D457" i="15"/>
  <c r="D459" i="15"/>
  <c r="D456" i="15"/>
  <c r="D453" i="15"/>
  <c r="D448" i="15"/>
  <c r="D460" i="15"/>
  <c r="D455" i="15"/>
  <c r="D458" i="15"/>
  <c r="D446" i="15"/>
  <c r="D452" i="15"/>
  <c r="D461" i="15"/>
  <c r="D449" i="15"/>
  <c r="D454" i="15"/>
  <c r="D450" i="15"/>
  <c r="D463" i="15"/>
  <c r="D464" i="15"/>
  <c r="D465" i="15"/>
  <c r="D467" i="15"/>
  <c r="D468" i="15"/>
  <c r="D469" i="15"/>
  <c r="D470" i="15"/>
  <c r="D471" i="15"/>
  <c r="D466" i="15"/>
  <c r="D472" i="15"/>
  <c r="D474" i="15"/>
  <c r="D475" i="15"/>
  <c r="D476" i="15"/>
  <c r="D473" i="15"/>
  <c r="D480" i="15"/>
  <c r="D482" i="15"/>
  <c r="D490" i="15"/>
  <c r="D488" i="15"/>
  <c r="D489" i="15"/>
  <c r="D484" i="15"/>
  <c r="D478" i="15"/>
  <c r="D496" i="15"/>
  <c r="D494" i="15"/>
  <c r="D477" i="15"/>
  <c r="D493" i="15"/>
  <c r="D487" i="15"/>
  <c r="D491" i="15"/>
  <c r="D481" i="15"/>
  <c r="D495" i="15"/>
  <c r="D485" i="15"/>
  <c r="D486" i="15"/>
  <c r="D479" i="15"/>
  <c r="D483" i="15"/>
  <c r="D492" i="15"/>
  <c r="D498" i="15"/>
  <c r="D497" i="15"/>
  <c r="D499" i="15"/>
  <c r="D501" i="15"/>
  <c r="D500" i="15"/>
  <c r="D502" i="15"/>
  <c r="D505" i="15"/>
  <c r="D506" i="15"/>
  <c r="D504" i="15"/>
  <c r="D503" i="15"/>
  <c r="D507" i="15"/>
  <c r="D508" i="15"/>
  <c r="D514" i="15"/>
  <c r="D510" i="15"/>
  <c r="D522" i="15"/>
  <c r="D513" i="15"/>
  <c r="D518" i="15"/>
  <c r="D189" i="15"/>
  <c r="D521" i="15"/>
  <c r="D515" i="15"/>
  <c r="D509" i="15"/>
  <c r="D516" i="15"/>
  <c r="D511" i="15"/>
  <c r="D523" i="15"/>
  <c r="D520" i="15"/>
  <c r="D517" i="15"/>
  <c r="D512" i="15"/>
  <c r="D519" i="15"/>
  <c r="D524" i="15"/>
  <c r="D525" i="15"/>
  <c r="D526" i="15"/>
  <c r="D527" i="15"/>
  <c r="D528" i="15"/>
  <c r="D530" i="15"/>
  <c r="D529" i="15"/>
  <c r="D531" i="15"/>
  <c r="D532" i="15"/>
  <c r="D534" i="15"/>
  <c r="D533" i="15"/>
  <c r="D537" i="15"/>
  <c r="D539" i="15"/>
  <c r="D536" i="15"/>
  <c r="D538" i="15"/>
  <c r="D535" i="15"/>
  <c r="D541" i="15"/>
  <c r="D540" i="15"/>
  <c r="D542" i="15"/>
  <c r="D545" i="15"/>
  <c r="D547" i="15"/>
  <c r="D546" i="15"/>
  <c r="D543" i="15"/>
  <c r="D544" i="15"/>
  <c r="D549" i="15"/>
  <c r="D548" i="15"/>
  <c r="D551" i="15"/>
  <c r="D554" i="15"/>
  <c r="D563" i="15"/>
  <c r="D940" i="15"/>
  <c r="D560" i="15"/>
  <c r="D556" i="15"/>
  <c r="D561" i="15"/>
  <c r="D558" i="15"/>
  <c r="D559" i="15"/>
  <c r="D550" i="15"/>
  <c r="D555" i="15"/>
  <c r="D562" i="15"/>
  <c r="D552" i="15"/>
  <c r="D557" i="15"/>
  <c r="D553" i="15"/>
  <c r="D565" i="15"/>
  <c r="D564" i="15"/>
  <c r="D566" i="15"/>
  <c r="D567" i="15"/>
  <c r="D569" i="15"/>
  <c r="D568" i="15"/>
  <c r="D571" i="15"/>
  <c r="D570" i="15"/>
  <c r="D572" i="15"/>
  <c r="D574" i="15"/>
  <c r="D575" i="15"/>
  <c r="D576" i="15"/>
  <c r="D573" i="15"/>
  <c r="D581" i="15"/>
  <c r="D591" i="15"/>
  <c r="D588" i="15"/>
  <c r="D589" i="15"/>
  <c r="D584" i="15"/>
  <c r="D578" i="15"/>
  <c r="D599" i="15"/>
  <c r="D595" i="15"/>
  <c r="D597" i="15"/>
  <c r="D577" i="15"/>
  <c r="D594" i="15"/>
  <c r="D580" i="15"/>
  <c r="D596" i="15"/>
  <c r="D587" i="15"/>
  <c r="D592" i="15"/>
  <c r="D590" i="15"/>
  <c r="D582" i="15"/>
  <c r="D598" i="15"/>
  <c r="D585" i="15"/>
  <c r="D586" i="15"/>
  <c r="D579" i="15"/>
  <c r="D583" i="15"/>
  <c r="D593" i="15"/>
  <c r="D606" i="15"/>
  <c r="D605" i="15"/>
  <c r="D601" i="15"/>
  <c r="D602" i="15"/>
  <c r="D603" i="15"/>
  <c r="D604" i="15"/>
  <c r="D600" i="15"/>
  <c r="D608" i="15"/>
  <c r="D607" i="15"/>
  <c r="D610" i="15"/>
  <c r="D609" i="15"/>
  <c r="D612" i="15"/>
  <c r="D613" i="15"/>
  <c r="D611" i="15"/>
  <c r="D614" i="15"/>
  <c r="D615" i="15"/>
  <c r="D621" i="15"/>
  <c r="D620" i="15"/>
  <c r="D617" i="15"/>
  <c r="D625" i="15"/>
  <c r="D622" i="15"/>
  <c r="D616" i="15"/>
  <c r="D623" i="15"/>
  <c r="D618" i="15"/>
  <c r="D627" i="15"/>
  <c r="D624" i="15"/>
  <c r="D619" i="15"/>
  <c r="D626" i="15"/>
  <c r="D628" i="15"/>
  <c r="D629" i="15"/>
  <c r="D630" i="15"/>
  <c r="D631" i="15"/>
  <c r="D634" i="15"/>
  <c r="D632" i="15"/>
  <c r="D636" i="15"/>
  <c r="D633" i="15"/>
  <c r="D635" i="15"/>
  <c r="D637" i="15"/>
  <c r="D638" i="15"/>
  <c r="D639" i="15"/>
  <c r="D640" i="15"/>
  <c r="D642" i="15"/>
  <c r="D641" i="15"/>
  <c r="D643" i="15"/>
  <c r="D644" i="15"/>
  <c r="D647" i="15"/>
  <c r="D650" i="15"/>
  <c r="D646" i="15"/>
  <c r="D649" i="15"/>
  <c r="D645" i="15"/>
  <c r="D648" i="15"/>
  <c r="D655" i="15"/>
  <c r="D651" i="15"/>
  <c r="D657" i="15"/>
  <c r="D656" i="15"/>
  <c r="D663" i="15"/>
  <c r="D658" i="15"/>
  <c r="D661" i="15"/>
  <c r="D662" i="15"/>
  <c r="D659" i="15"/>
  <c r="D660" i="15"/>
  <c r="D666" i="15"/>
  <c r="D664" i="15"/>
  <c r="D665" i="15"/>
  <c r="D667" i="15"/>
  <c r="D669" i="15"/>
  <c r="D680" i="15"/>
  <c r="D673" i="15"/>
  <c r="D685" i="15"/>
  <c r="D1067" i="15"/>
  <c r="D682" i="15"/>
  <c r="D681" i="15"/>
  <c r="D675" i="15"/>
  <c r="D670" i="15"/>
  <c r="D683" i="15"/>
  <c r="D677" i="15"/>
  <c r="D679" i="15"/>
  <c r="D668" i="15"/>
  <c r="D674" i="15"/>
  <c r="D684" i="15"/>
  <c r="D671" i="15"/>
  <c r="D676" i="15"/>
  <c r="D672" i="15"/>
  <c r="D678" i="15"/>
  <c r="D687" i="15"/>
  <c r="D688" i="15"/>
  <c r="D689" i="15"/>
  <c r="D690" i="15"/>
  <c r="D686" i="15"/>
  <c r="D692" i="15"/>
  <c r="D693" i="15"/>
  <c r="D695" i="15"/>
  <c r="D694" i="15"/>
  <c r="D698" i="15"/>
  <c r="D697" i="15"/>
  <c r="D696" i="15"/>
  <c r="D700" i="15"/>
  <c r="D702" i="15"/>
  <c r="D703" i="15"/>
  <c r="D704" i="15"/>
  <c r="D701" i="15"/>
  <c r="D708" i="15"/>
  <c r="D718" i="15"/>
  <c r="D715" i="15"/>
  <c r="D716" i="15"/>
  <c r="D711" i="15"/>
  <c r="D706" i="15"/>
  <c r="D729" i="15"/>
  <c r="D728" i="15"/>
  <c r="D726" i="15"/>
  <c r="D705" i="15"/>
  <c r="D724" i="15"/>
  <c r="D707" i="15"/>
  <c r="D725" i="15"/>
  <c r="D714" i="15"/>
  <c r="D719" i="15"/>
  <c r="D717" i="15"/>
  <c r="D709" i="15"/>
  <c r="D727" i="15"/>
  <c r="D712" i="15"/>
  <c r="D713" i="15"/>
  <c r="D710" i="15"/>
  <c r="D720" i="15"/>
  <c r="D735" i="15"/>
  <c r="D734" i="15"/>
  <c r="D730" i="15"/>
  <c r="D731" i="15"/>
  <c r="D732" i="15"/>
  <c r="D733" i="15"/>
  <c r="D736" i="15"/>
  <c r="D739" i="15"/>
  <c r="D740" i="15"/>
  <c r="D738" i="15"/>
  <c r="D741" i="15"/>
  <c r="D742" i="15"/>
  <c r="D749" i="15"/>
  <c r="D745" i="15"/>
  <c r="D754" i="15"/>
  <c r="D751" i="15"/>
  <c r="D744" i="15"/>
  <c r="D752" i="15"/>
  <c r="D746" i="15"/>
  <c r="D755" i="15"/>
  <c r="D753" i="15"/>
  <c r="D747" i="15"/>
  <c r="D756" i="15"/>
  <c r="D757" i="15"/>
  <c r="D759" i="15"/>
  <c r="D758" i="15"/>
  <c r="D760" i="15"/>
  <c r="D762" i="15"/>
  <c r="D775" i="15"/>
  <c r="D776" i="15"/>
  <c r="D781" i="15"/>
  <c r="D783" i="15"/>
  <c r="D780" i="15"/>
  <c r="D782" i="15"/>
  <c r="D777" i="15"/>
  <c r="D779" i="15"/>
  <c r="D786" i="15"/>
  <c r="D788" i="15"/>
  <c r="D787" i="15"/>
  <c r="D789" i="15"/>
  <c r="D791" i="15"/>
  <c r="D803" i="15"/>
  <c r="D796" i="15"/>
  <c r="D808" i="15"/>
  <c r="D1175" i="15"/>
  <c r="D805" i="15"/>
  <c r="D804" i="15"/>
  <c r="D799" i="15"/>
  <c r="D806" i="15"/>
  <c r="D801" i="15"/>
  <c r="D802" i="15"/>
  <c r="D793" i="15"/>
  <c r="D797" i="15"/>
  <c r="D807" i="15"/>
  <c r="D794" i="15"/>
  <c r="D800" i="15"/>
  <c r="D795" i="15"/>
  <c r="D809" i="15"/>
  <c r="D811" i="15"/>
  <c r="D810" i="15"/>
  <c r="D812" i="15"/>
  <c r="D1177" i="15"/>
  <c r="D1176" i="15"/>
  <c r="D813" i="15"/>
  <c r="D815" i="15"/>
  <c r="D819" i="15"/>
  <c r="D816" i="15"/>
  <c r="D834" i="15"/>
  <c r="D831" i="15"/>
  <c r="D827" i="15"/>
  <c r="D822" i="15"/>
  <c r="D842" i="15"/>
  <c r="D833" i="15"/>
  <c r="D1225" i="15"/>
  <c r="D1194" i="15"/>
  <c r="D840" i="15"/>
  <c r="D820" i="15"/>
  <c r="D838" i="15"/>
  <c r="D823" i="15"/>
  <c r="D839" i="15"/>
  <c r="D830" i="15"/>
  <c r="D835" i="15"/>
  <c r="D832" i="15"/>
  <c r="D824" i="15"/>
  <c r="D821" i="15"/>
  <c r="D841" i="15"/>
  <c r="D829" i="15"/>
  <c r="D826" i="15"/>
  <c r="D836" i="15"/>
  <c r="D845" i="15"/>
  <c r="D843" i="15"/>
  <c r="D847" i="15"/>
  <c r="D855" i="15"/>
  <c r="D851" i="15"/>
  <c r="D854" i="15"/>
  <c r="D857" i="15"/>
  <c r="D859" i="15"/>
  <c r="D865" i="15"/>
  <c r="D862" i="15"/>
  <c r="D869" i="15"/>
  <c r="D866" i="15"/>
  <c r="D861" i="15"/>
  <c r="D867" i="15"/>
  <c r="D863" i="15"/>
  <c r="D872" i="15"/>
  <c r="D868" i="15"/>
  <c r="D864" i="15"/>
  <c r="D876" i="15"/>
  <c r="D879" i="15"/>
  <c r="D881" i="15"/>
  <c r="D880" i="15"/>
  <c r="D886" i="15"/>
  <c r="D888" i="15"/>
  <c r="D889" i="15"/>
  <c r="D909" i="15"/>
  <c r="D894" i="15"/>
  <c r="D897" i="15"/>
  <c r="D893" i="15"/>
  <c r="D896" i="15"/>
  <c r="D890" i="15"/>
  <c r="D892" i="15"/>
  <c r="D901" i="15"/>
  <c r="D904" i="15"/>
  <c r="D903" i="15"/>
  <c r="D908" i="15"/>
  <c r="D906" i="15"/>
  <c r="D907" i="15"/>
  <c r="D911" i="15"/>
  <c r="D912" i="15"/>
  <c r="D914" i="15"/>
  <c r="D928" i="15"/>
  <c r="D933" i="15"/>
  <c r="D1286" i="15"/>
  <c r="D930" i="15"/>
  <c r="D925" i="15"/>
  <c r="D929" i="15"/>
  <c r="D919" i="15"/>
  <c r="D931" i="15"/>
  <c r="D924" i="15"/>
  <c r="D927" i="15"/>
  <c r="D913" i="15"/>
  <c r="D917" i="15"/>
  <c r="D932" i="15"/>
  <c r="D915" i="15"/>
  <c r="D920" i="15"/>
  <c r="D916" i="15"/>
  <c r="D934" i="15"/>
  <c r="D937" i="15"/>
  <c r="D936" i="15"/>
  <c r="D939" i="15"/>
  <c r="D1288" i="15"/>
  <c r="D1287" i="15"/>
  <c r="D860" i="15"/>
  <c r="D941" i="15"/>
  <c r="D942" i="15"/>
  <c r="D947" i="15"/>
  <c r="D943" i="15"/>
  <c r="D956" i="15"/>
  <c r="D952" i="15"/>
  <c r="D967" i="15"/>
  <c r="D964" i="15"/>
  <c r="D957" i="15"/>
  <c r="D951" i="15"/>
  <c r="D981" i="15"/>
  <c r="D966" i="15"/>
  <c r="D977" i="15"/>
  <c r="D948" i="15"/>
  <c r="D970" i="15"/>
  <c r="D953" i="15"/>
  <c r="D971" i="15"/>
  <c r="D960" i="15"/>
  <c r="D965" i="15"/>
  <c r="D954" i="15"/>
  <c r="D949" i="15"/>
  <c r="D978" i="15"/>
  <c r="D958" i="15"/>
  <c r="D968" i="15"/>
  <c r="D979" i="15"/>
  <c r="D983" i="15"/>
  <c r="D982" i="15"/>
  <c r="D1213" i="15"/>
  <c r="D990" i="15"/>
  <c r="D989" i="15"/>
  <c r="D991" i="15"/>
  <c r="D993" i="15"/>
  <c r="D999" i="15"/>
  <c r="D996" i="15"/>
  <c r="D1009" i="15"/>
  <c r="D1005" i="15"/>
  <c r="D1002" i="15"/>
  <c r="D995" i="15"/>
  <c r="D1003" i="15"/>
  <c r="D997" i="15"/>
  <c r="D1008" i="15"/>
  <c r="D1004" i="15"/>
  <c r="D998" i="15"/>
  <c r="D1006" i="15"/>
  <c r="D1014" i="15"/>
  <c r="D1015" i="15"/>
  <c r="D1019" i="15"/>
  <c r="D1016" i="15"/>
  <c r="D1021" i="15"/>
  <c r="D1023" i="15"/>
  <c r="D1024" i="15"/>
  <c r="D1040" i="15"/>
  <c r="D1029" i="15"/>
  <c r="D1032" i="15"/>
  <c r="D1028" i="15"/>
  <c r="D1030" i="15"/>
  <c r="D1025" i="15"/>
  <c r="D1027" i="15"/>
  <c r="D1034" i="15"/>
  <c r="D1038" i="15"/>
  <c r="D1037" i="15"/>
  <c r="D1107" i="15"/>
  <c r="D1041" i="15"/>
  <c r="D1055" i="15"/>
  <c r="D1060" i="15"/>
  <c r="D1396" i="15"/>
  <c r="D1057" i="15"/>
  <c r="D1056" i="15"/>
  <c r="D1049" i="15"/>
  <c r="D1042" i="15"/>
  <c r="D1058" i="15"/>
  <c r="D1052" i="15"/>
  <c r="D1054" i="15"/>
  <c r="D1140" i="15"/>
  <c r="D1039" i="15"/>
  <c r="D1046" i="15"/>
  <c r="D1059" i="15"/>
  <c r="D1044" i="15"/>
  <c r="D1050" i="15"/>
  <c r="D1045" i="15"/>
  <c r="D1053" i="15"/>
  <c r="D1062" i="15"/>
  <c r="D1061" i="15"/>
  <c r="D1066" i="15"/>
  <c r="D1398" i="15"/>
  <c r="D1397" i="15"/>
  <c r="D1179" i="15"/>
  <c r="D1069" i="15"/>
  <c r="D1070" i="15"/>
  <c r="D1074" i="15"/>
  <c r="D1071" i="15"/>
  <c r="D1079" i="15"/>
  <c r="D1092" i="15"/>
  <c r="D1089" i="15"/>
  <c r="D1084" i="15"/>
  <c r="D1078" i="15"/>
  <c r="D1100" i="15"/>
  <c r="D1091" i="15"/>
  <c r="D1098" i="15"/>
  <c r="D1075" i="15"/>
  <c r="D1095" i="15"/>
  <c r="D1080" i="15"/>
  <c r="D1097" i="15"/>
  <c r="D1109" i="15"/>
  <c r="D1090" i="15"/>
  <c r="D1081" i="15"/>
  <c r="D1076" i="15"/>
  <c r="D1099" i="15"/>
  <c r="D1086" i="15"/>
  <c r="D1093" i="15"/>
  <c r="D1083" i="15"/>
  <c r="D1102" i="15"/>
  <c r="D1101" i="15"/>
  <c r="D1106" i="15"/>
  <c r="D1108" i="15"/>
  <c r="D1115" i="15"/>
  <c r="D1111" i="15"/>
  <c r="D1123" i="15"/>
  <c r="D1120" i="15"/>
  <c r="D1117" i="15"/>
  <c r="D1110" i="15"/>
  <c r="D1118" i="15"/>
  <c r="D1113" i="15"/>
  <c r="D1122" i="15"/>
  <c r="D1119" i="15"/>
  <c r="D1114" i="15"/>
  <c r="D1127" i="15"/>
  <c r="D1128" i="15"/>
  <c r="D1132" i="15"/>
  <c r="D1129" i="15"/>
  <c r="D1134" i="15"/>
  <c r="D1136" i="15"/>
  <c r="D1137" i="15"/>
  <c r="D1152" i="15"/>
  <c r="D1142" i="15"/>
  <c r="D1144" i="15"/>
  <c r="D1138" i="15"/>
  <c r="D1141" i="15"/>
  <c r="D1146" i="15"/>
  <c r="D1149" i="15"/>
  <c r="D1148" i="15"/>
  <c r="D1261" i="15"/>
  <c r="D1151" i="15"/>
  <c r="D1154" i="15"/>
  <c r="D1168" i="15"/>
  <c r="D1493" i="15"/>
  <c r="D1165" i="15"/>
  <c r="D1164" i="15"/>
  <c r="D1159" i="15"/>
  <c r="D1166" i="15"/>
  <c r="D1162" i="15"/>
  <c r="D1163" i="15"/>
  <c r="D1153" i="15"/>
  <c r="D1157" i="15"/>
  <c r="D1167" i="15"/>
  <c r="D1155" i="15"/>
  <c r="D1160" i="15"/>
  <c r="D1156" i="15"/>
  <c r="D1169" i="15"/>
  <c r="D1171" i="15"/>
  <c r="D1170" i="15"/>
  <c r="D1174" i="15"/>
  <c r="D1495" i="15"/>
  <c r="D1494" i="15"/>
  <c r="D1180" i="15"/>
  <c r="D1178" i="15"/>
  <c r="D1181" i="15"/>
  <c r="D1183" i="15"/>
  <c r="D1182" i="15"/>
  <c r="D1187" i="15"/>
  <c r="D1202" i="15"/>
  <c r="D1199" i="15"/>
  <c r="D1192" i="15"/>
  <c r="D1186" i="15"/>
  <c r="D1210" i="15"/>
  <c r="D1201" i="15"/>
  <c r="D1208" i="15"/>
  <c r="D1184" i="15"/>
  <c r="D1205" i="15"/>
  <c r="D1188" i="15"/>
  <c r="D1207" i="15"/>
  <c r="D1196" i="15"/>
  <c r="D1200" i="15"/>
  <c r="D1189" i="15"/>
  <c r="D1209" i="15"/>
  <c r="D1195" i="15"/>
  <c r="D1203" i="15"/>
  <c r="D1212" i="15"/>
  <c r="D1211" i="15"/>
  <c r="D1216" i="15"/>
  <c r="D1217" i="15"/>
  <c r="D1223" i="15"/>
  <c r="D1219" i="15"/>
  <c r="D1231" i="15"/>
  <c r="D1228" i="15"/>
  <c r="D1193" i="15"/>
  <c r="D1218" i="15"/>
  <c r="D1226" i="15"/>
  <c r="D1221" i="15"/>
  <c r="D1230" i="15"/>
  <c r="D1227" i="15"/>
  <c r="D1222" i="15"/>
  <c r="D1235" i="15"/>
  <c r="D1236" i="15"/>
  <c r="D1240" i="15"/>
  <c r="D1237" i="15"/>
  <c r="D1242" i="15"/>
  <c r="D1244" i="15"/>
  <c r="D1245" i="15"/>
  <c r="D1262" i="15"/>
  <c r="D1250" i="15"/>
  <c r="D1252" i="15"/>
  <c r="D1246" i="15"/>
  <c r="D1249" i="15"/>
  <c r="D1254" i="15"/>
  <c r="D1257" i="15"/>
  <c r="D1256" i="15"/>
  <c r="D1373" i="15"/>
  <c r="D1259" i="15"/>
  <c r="D1260" i="15"/>
  <c r="D1264" i="15"/>
  <c r="D1280" i="15"/>
  <c r="D1277" i="15"/>
  <c r="D1273" i="15"/>
  <c r="D1276" i="15"/>
  <c r="D1270" i="15"/>
  <c r="D1265" i="15"/>
  <c r="D1278" i="15"/>
  <c r="D1272" i="15"/>
  <c r="D1275" i="15"/>
  <c r="D1263" i="15"/>
  <c r="D1268" i="15"/>
  <c r="D1279" i="15"/>
  <c r="D1266" i="15"/>
  <c r="D1267" i="15"/>
  <c r="D1282" i="15"/>
  <c r="D1281" i="15"/>
  <c r="D1285" i="15"/>
  <c r="D1583" i="15"/>
  <c r="D1582" i="15"/>
  <c r="D1290" i="15"/>
  <c r="D1289" i="15"/>
  <c r="D1293" i="15"/>
  <c r="D1294" i="15"/>
  <c r="D1312" i="15"/>
  <c r="D1309" i="15"/>
  <c r="D1304" i="15"/>
  <c r="D1299" i="15"/>
  <c r="D1320" i="15"/>
  <c r="D1311" i="15"/>
  <c r="D1318" i="15"/>
  <c r="D1297" i="15"/>
  <c r="D1315" i="15"/>
  <c r="D1300" i="15"/>
  <c r="D1317" i="15"/>
  <c r="D1306" i="15"/>
  <c r="D1310" i="15"/>
  <c r="D1301" i="15"/>
  <c r="D1319" i="15"/>
  <c r="D1305" i="15"/>
  <c r="D1313" i="15"/>
  <c r="D1323" i="15"/>
  <c r="D1322" i="15"/>
  <c r="D1330" i="15"/>
  <c r="D1332" i="15"/>
  <c r="D1337" i="15"/>
  <c r="D1334" i="15"/>
  <c r="D1345" i="15"/>
  <c r="D1342" i="15"/>
  <c r="D1339" i="15"/>
  <c r="D1333" i="15"/>
  <c r="D1340" i="15"/>
  <c r="D1336" i="15"/>
  <c r="D1344" i="15"/>
  <c r="D1341" i="15"/>
  <c r="D1349" i="15"/>
  <c r="D1350" i="15"/>
  <c r="D1354" i="15"/>
  <c r="D1356" i="15"/>
  <c r="D1358" i="15"/>
  <c r="D1359" i="15"/>
  <c r="D1374" i="15"/>
  <c r="D1365" i="15"/>
  <c r="D1360" i="15"/>
  <c r="D1363" i="15"/>
  <c r="D1367" i="15"/>
  <c r="D1370" i="15"/>
  <c r="D1369" i="15"/>
  <c r="D1372" i="15"/>
  <c r="D1388" i="15"/>
  <c r="D1581" i="15"/>
  <c r="D1385" i="15"/>
  <c r="D1384" i="15"/>
  <c r="D1380" i="15"/>
  <c r="D1386" i="15"/>
  <c r="D1382" i="15"/>
  <c r="D1383" i="15"/>
  <c r="D1375" i="15"/>
  <c r="D1378" i="15"/>
  <c r="D1387" i="15"/>
  <c r="D1376" i="15"/>
  <c r="D1377" i="15"/>
  <c r="D1389" i="15"/>
  <c r="D1392" i="15"/>
  <c r="D1391" i="15"/>
  <c r="D1395" i="15"/>
  <c r="D1671" i="15"/>
  <c r="D1670" i="15"/>
  <c r="D1400" i="15"/>
  <c r="D1399" i="15"/>
  <c r="D1401" i="15"/>
  <c r="D1402" i="15"/>
  <c r="D1418" i="15"/>
  <c r="D1415" i="15"/>
  <c r="D1410" i="15"/>
  <c r="D1405" i="15"/>
  <c r="D1426" i="15"/>
  <c r="D1417" i="15"/>
  <c r="D1424" i="15"/>
  <c r="D1403" i="15"/>
  <c r="D1421" i="15"/>
  <c r="D1406" i="15"/>
  <c r="D1423" i="15"/>
  <c r="D1412" i="15"/>
  <c r="D1416" i="15"/>
  <c r="D1407" i="15"/>
  <c r="D1425" i="15"/>
  <c r="D1411" i="15"/>
  <c r="D1428" i="15"/>
  <c r="D1427" i="15"/>
  <c r="D1431" i="15"/>
  <c r="D1432" i="15"/>
  <c r="D1434" i="15"/>
  <c r="D1444" i="15"/>
  <c r="D1441" i="15"/>
  <c r="D1438" i="15"/>
  <c r="D1433" i="15"/>
  <c r="D1439" i="15"/>
  <c r="D1436" i="15"/>
  <c r="D1443" i="15"/>
  <c r="D1440" i="15"/>
  <c r="D1448" i="15"/>
  <c r="D1451" i="15"/>
  <c r="D1453" i="15"/>
  <c r="D1455" i="15"/>
  <c r="D1456" i="15"/>
  <c r="D1471" i="15"/>
  <c r="D1462" i="15"/>
  <c r="D1457" i="15"/>
  <c r="D1460" i="15"/>
  <c r="D1464" i="15"/>
  <c r="D1467" i="15"/>
  <c r="D1466" i="15"/>
  <c r="D1470" i="15"/>
  <c r="D1469" i="15"/>
  <c r="D1486" i="15"/>
  <c r="D1669" i="15"/>
  <c r="D1483" i="15"/>
  <c r="D1482" i="15"/>
  <c r="D1478" i="15"/>
  <c r="D1473" i="15"/>
  <c r="D1484" i="15"/>
  <c r="D1480" i="15"/>
  <c r="D1472" i="15"/>
  <c r="D1476" i="15"/>
  <c r="D1474" i="15"/>
  <c r="D1485" i="15"/>
  <c r="D1475" i="15"/>
  <c r="D1488" i="15"/>
  <c r="D1487" i="15"/>
  <c r="D1489" i="15"/>
  <c r="D1492" i="15"/>
  <c r="D1750" i="15"/>
  <c r="D1749" i="15"/>
  <c r="D1498" i="15"/>
  <c r="D1497" i="15"/>
  <c r="D1499" i="15"/>
  <c r="D1515" i="15"/>
  <c r="D1512" i="15"/>
  <c r="D1507" i="15"/>
  <c r="D1502" i="15"/>
  <c r="D1514" i="15"/>
  <c r="D1521" i="15"/>
  <c r="D1500" i="15"/>
  <c r="D1518" i="15"/>
  <c r="D1503" i="15"/>
  <c r="D1520" i="15"/>
  <c r="D1509" i="15"/>
  <c r="D1513" i="15"/>
  <c r="D1504" i="15"/>
  <c r="D1522" i="15"/>
  <c r="D1508" i="15"/>
  <c r="D1524" i="15"/>
  <c r="D1523" i="15"/>
  <c r="D1527" i="15"/>
  <c r="D1528" i="15"/>
  <c r="D1530" i="15"/>
  <c r="D1540" i="15"/>
  <c r="D1537" i="15"/>
  <c r="D1534" i="15"/>
  <c r="D1529" i="15"/>
  <c r="D1535" i="15"/>
  <c r="D1532" i="15"/>
  <c r="D1539" i="15"/>
  <c r="D1536" i="15"/>
  <c r="D1544" i="15"/>
  <c r="D1547" i="15"/>
  <c r="D1549" i="15"/>
  <c r="D1551" i="15"/>
  <c r="D1552" i="15"/>
  <c r="D1563" i="15"/>
  <c r="D1555" i="15"/>
  <c r="D1553" i="15"/>
  <c r="D1557" i="15"/>
  <c r="D1559" i="15"/>
  <c r="D1561" i="15"/>
  <c r="D1562" i="15"/>
  <c r="D1796" i="15"/>
  <c r="D1571" i="15"/>
  <c r="D1570" i="15"/>
  <c r="D1568" i="15"/>
  <c r="D1572" i="15"/>
  <c r="D1564" i="15"/>
  <c r="D1566" i="15"/>
  <c r="D1565" i="15"/>
  <c r="D1573" i="15"/>
  <c r="D1576" i="15"/>
  <c r="D1575" i="15"/>
  <c r="D1577" i="15"/>
  <c r="D1580" i="15"/>
  <c r="D1835" i="15"/>
  <c r="D1834" i="15"/>
  <c r="D1586" i="15"/>
  <c r="D1585" i="15"/>
  <c r="D1600" i="15"/>
  <c r="D1597" i="15"/>
  <c r="D1592" i="15"/>
  <c r="D1588" i="15"/>
  <c r="D1599" i="15"/>
  <c r="D1606" i="15"/>
  <c r="D1603" i="15"/>
  <c r="D1589" i="15"/>
  <c r="D1605" i="15"/>
  <c r="D1594" i="15"/>
  <c r="D1598" i="15"/>
  <c r="D1607" i="15"/>
  <c r="D1593" i="15"/>
  <c r="D1609" i="15"/>
  <c r="D1608" i="15"/>
  <c r="D1611" i="15"/>
  <c r="D1612" i="15"/>
  <c r="D1623" i="15"/>
  <c r="D1620" i="15"/>
  <c r="D1617" i="15"/>
  <c r="D1613" i="15"/>
  <c r="D1618" i="15"/>
  <c r="D1615" i="15"/>
  <c r="D1622" i="15"/>
  <c r="D1619" i="15"/>
  <c r="D1627" i="15"/>
  <c r="D1630" i="15"/>
  <c r="D1633" i="15"/>
  <c r="D1644" i="15"/>
  <c r="D1636" i="15"/>
  <c r="D1634" i="15"/>
  <c r="D1638" i="15"/>
  <c r="D1640" i="15"/>
  <c r="D1643" i="15"/>
  <c r="D1642" i="15"/>
  <c r="D1875" i="15"/>
  <c r="D1650" i="15"/>
  <c r="D1649" i="15"/>
  <c r="D1647" i="15"/>
  <c r="D1645" i="15"/>
  <c r="D1651" i="15"/>
  <c r="D2111" i="15"/>
  <c r="D1654" i="15"/>
  <c r="D1666" i="15"/>
  <c r="D1658" i="15"/>
  <c r="D1653" i="15"/>
  <c r="D1665" i="15"/>
  <c r="D1657" i="15"/>
  <c r="D1662" i="15"/>
  <c r="D1656" i="15"/>
  <c r="D1655" i="15"/>
  <c r="D1661" i="15"/>
  <c r="D1663" i="15"/>
  <c r="D1668" i="15"/>
  <c r="D1916" i="15"/>
  <c r="D1915" i="15"/>
  <c r="D1685" i="15"/>
  <c r="D1683" i="15"/>
  <c r="D1678" i="15"/>
  <c r="D1674" i="15"/>
  <c r="D1684" i="15"/>
  <c r="D1691" i="15"/>
  <c r="D1688" i="15"/>
  <c r="D1675" i="15"/>
  <c r="D1690" i="15"/>
  <c r="D1680" i="15"/>
  <c r="D1692" i="15"/>
  <c r="D1679" i="15"/>
  <c r="D1694" i="15"/>
  <c r="D1693" i="15"/>
  <c r="D1701" i="15"/>
  <c r="D1698" i="15"/>
  <c r="D1699" i="15"/>
  <c r="D1705" i="15"/>
  <c r="D1708" i="15"/>
  <c r="D1711" i="15"/>
  <c r="D1719" i="15"/>
  <c r="D1712" i="15"/>
  <c r="D1718" i="15"/>
  <c r="D1717" i="15"/>
  <c r="D1950" i="15"/>
  <c r="D1726" i="15"/>
  <c r="D1725" i="15"/>
  <c r="D1722" i="15"/>
  <c r="D1720" i="15"/>
  <c r="D2183" i="15"/>
  <c r="D1728" i="15"/>
  <c r="D1744" i="15"/>
  <c r="D1733" i="15"/>
  <c r="D1730" i="15"/>
  <c r="D1727" i="15"/>
  <c r="D1745" i="15"/>
  <c r="D1741" i="15"/>
  <c r="D1823" i="15"/>
  <c r="D1732" i="15"/>
  <c r="D1737" i="15"/>
  <c r="D1731" i="15"/>
  <c r="D1740" i="15"/>
  <c r="D1742" i="15"/>
  <c r="D1729" i="15"/>
  <c r="D1736" i="15"/>
  <c r="D1738" i="15"/>
  <c r="D1748" i="15"/>
  <c r="D1995" i="15"/>
  <c r="D1994" i="15"/>
  <c r="D1762" i="15"/>
  <c r="D1760" i="15"/>
  <c r="D1755" i="15"/>
  <c r="D1751" i="15"/>
  <c r="D1761" i="15"/>
  <c r="D1767" i="15"/>
  <c r="D1765" i="15"/>
  <c r="D1752" i="15"/>
  <c r="D1757" i="15"/>
  <c r="D1768" i="15"/>
  <c r="D1756" i="15"/>
  <c r="D1769" i="15"/>
  <c r="D1776" i="15"/>
  <c r="D1773" i="15"/>
  <c r="D1774" i="15"/>
  <c r="D1780" i="15"/>
  <c r="D1783" i="15"/>
  <c r="D1786" i="15"/>
  <c r="D1795" i="15"/>
  <c r="D1787" i="15"/>
  <c r="D1794" i="15"/>
  <c r="D1792" i="15"/>
  <c r="D1793" i="15"/>
  <c r="D1801" i="15"/>
  <c r="D1800" i="15"/>
  <c r="D1798" i="15"/>
  <c r="D2255" i="15"/>
  <c r="D1805" i="15"/>
  <c r="D1824" i="15"/>
  <c r="D1813" i="15"/>
  <c r="D2510" i="15"/>
  <c r="D1807" i="15"/>
  <c r="D1804" i="15"/>
  <c r="D1827" i="15"/>
  <c r="D1821" i="15"/>
  <c r="D1895" i="15"/>
  <c r="D1902" i="15"/>
  <c r="D1831" i="15"/>
  <c r="D1812" i="15"/>
  <c r="D1817" i="15"/>
  <c r="D1810" i="15"/>
  <c r="D1820" i="15"/>
  <c r="D1906" i="15"/>
  <c r="D1822" i="15"/>
  <c r="D1828" i="15"/>
  <c r="D1825" i="15"/>
  <c r="D1806" i="15"/>
  <c r="D1803" i="15"/>
  <c r="D1811" i="15"/>
  <c r="D1809" i="15"/>
  <c r="D1808" i="15"/>
  <c r="D1830" i="15"/>
  <c r="D1802" i="15"/>
  <c r="D1818" i="15"/>
  <c r="D1833" i="15"/>
  <c r="D2073" i="15"/>
  <c r="D2072" i="15"/>
  <c r="D1844" i="15"/>
  <c r="D1842" i="15"/>
  <c r="D1839" i="15"/>
  <c r="D1836" i="15"/>
  <c r="D1843" i="15"/>
  <c r="D1848" i="15"/>
  <c r="D1849" i="15"/>
  <c r="D1850" i="15"/>
  <c r="D1856" i="15"/>
  <c r="D1853" i="15"/>
  <c r="D1854" i="15"/>
  <c r="D1860" i="15"/>
  <c r="D1863" i="15"/>
  <c r="D1866" i="15"/>
  <c r="D1874" i="15"/>
  <c r="D1867" i="15"/>
  <c r="D1873" i="15"/>
  <c r="D1872" i="15"/>
  <c r="D1880" i="15"/>
  <c r="D1879" i="15"/>
  <c r="D1877" i="15"/>
  <c r="D2314" i="15"/>
  <c r="D1884" i="15"/>
  <c r="D1904" i="15"/>
  <c r="D1892" i="15"/>
  <c r="D2547" i="15"/>
  <c r="D1886" i="15"/>
  <c r="D1883" i="15"/>
  <c r="D1908" i="15"/>
  <c r="D1900" i="15"/>
  <c r="D1972" i="15"/>
  <c r="D1980" i="15"/>
  <c r="D1912" i="15"/>
  <c r="D1896" i="15"/>
  <c r="D1889" i="15"/>
  <c r="D1891" i="15"/>
  <c r="D1899" i="15"/>
  <c r="D1984" i="15"/>
  <c r="D1901" i="15"/>
  <c r="D1909" i="15"/>
  <c r="D1905" i="15"/>
  <c r="D1903" i="15"/>
  <c r="D1885" i="15"/>
  <c r="D1907" i="15"/>
  <c r="D1882" i="15"/>
  <c r="D1890" i="15"/>
  <c r="D1888" i="15"/>
  <c r="D1887" i="15"/>
  <c r="D1911" i="15"/>
  <c r="D1881" i="15"/>
  <c r="D1897" i="15"/>
  <c r="D1914" i="15"/>
  <c r="D2147" i="15"/>
  <c r="D2146" i="15"/>
  <c r="D1925" i="15"/>
  <c r="D1923" i="15"/>
  <c r="D1920" i="15"/>
  <c r="D1917" i="15"/>
  <c r="D1924" i="15"/>
  <c r="D1928" i="15"/>
  <c r="D1929" i="15"/>
  <c r="D1274" i="15"/>
  <c r="D748" i="15"/>
  <c r="D1930" i="15"/>
  <c r="D1933" i="15"/>
  <c r="D1938" i="15"/>
  <c r="D1940" i="15"/>
  <c r="D1942" i="15"/>
  <c r="D1943" i="15"/>
  <c r="D1949" i="15"/>
  <c r="D1948" i="15"/>
  <c r="D1955" i="15"/>
  <c r="D1954" i="15"/>
  <c r="D1952" i="15"/>
  <c r="D1659" i="15"/>
  <c r="D1959" i="15"/>
  <c r="D1982" i="15"/>
  <c r="D1969" i="15"/>
  <c r="D2584" i="15"/>
  <c r="D1961" i="15"/>
  <c r="D1958" i="15"/>
  <c r="D1986" i="15"/>
  <c r="D1978" i="15"/>
  <c r="D1989" i="15"/>
  <c r="D2043" i="15"/>
  <c r="D2055" i="15"/>
  <c r="D1992" i="15"/>
  <c r="D1973" i="15"/>
  <c r="D1965" i="15"/>
  <c r="D1968" i="15"/>
  <c r="D1977" i="15"/>
  <c r="D2059" i="15"/>
  <c r="D1979" i="15"/>
  <c r="D1987" i="15"/>
  <c r="D1983" i="15"/>
  <c r="D1981" i="15"/>
  <c r="D1960" i="15"/>
  <c r="D1988" i="15"/>
  <c r="D1985" i="15"/>
  <c r="D1957" i="15"/>
  <c r="D1966" i="15"/>
  <c r="D1964" i="15"/>
  <c r="D1967" i="15"/>
  <c r="D1963" i="15"/>
  <c r="D1991" i="15"/>
  <c r="D1956" i="15"/>
  <c r="D1974" i="15"/>
  <c r="D2221" i="15"/>
  <c r="D2220" i="15"/>
  <c r="D2003" i="15"/>
  <c r="D2001" i="15"/>
  <c r="D1999" i="15"/>
  <c r="D1996" i="15"/>
  <c r="D2002" i="15"/>
  <c r="D2006" i="15"/>
  <c r="D2007" i="15"/>
  <c r="D2009" i="15"/>
  <c r="D2015" i="15"/>
  <c r="D2016" i="15"/>
  <c r="D2022" i="15"/>
  <c r="D2026" i="15"/>
  <c r="D2024" i="15"/>
  <c r="D1734" i="15"/>
  <c r="D2030" i="15"/>
  <c r="D2057" i="15"/>
  <c r="D2040" i="15"/>
  <c r="D2621" i="15"/>
  <c r="D2032" i="15"/>
  <c r="D2029" i="15"/>
  <c r="D2063" i="15"/>
  <c r="D2053" i="15"/>
  <c r="D2067" i="15"/>
  <c r="D2046" i="15"/>
  <c r="D2113" i="15"/>
  <c r="D2125" i="15"/>
  <c r="D2070" i="15"/>
  <c r="D2047" i="15"/>
  <c r="D2036" i="15"/>
  <c r="D2039" i="15"/>
  <c r="D2052" i="15"/>
  <c r="D2129" i="15"/>
  <c r="D2054" i="15"/>
  <c r="D2065" i="15"/>
  <c r="D2058" i="15"/>
  <c r="D2056" i="15"/>
  <c r="D2031" i="15"/>
  <c r="D2066" i="15"/>
  <c r="D2061" i="15"/>
  <c r="D2028" i="15"/>
  <c r="D2044" i="15"/>
  <c r="D2062" i="15"/>
  <c r="D2037" i="15"/>
  <c r="D2060" i="15"/>
  <c r="D2035" i="15"/>
  <c r="D2038" i="15"/>
  <c r="D2048" i="15"/>
  <c r="D2034" i="15"/>
  <c r="D2069" i="15"/>
  <c r="D2027" i="15"/>
  <c r="D2049" i="15"/>
  <c r="D2079" i="15"/>
  <c r="D2077" i="15"/>
  <c r="D2075" i="15"/>
  <c r="D2078" i="15"/>
  <c r="D2082" i="15"/>
  <c r="D2083" i="15"/>
  <c r="D2085" i="15"/>
  <c r="D2091" i="15"/>
  <c r="D2092" i="15"/>
  <c r="D2095" i="15"/>
  <c r="D2099" i="15"/>
  <c r="D2097" i="15"/>
  <c r="D1814" i="15"/>
  <c r="D2137" i="15"/>
  <c r="D2653" i="15"/>
  <c r="D2103" i="15"/>
  <c r="D2101" i="15"/>
  <c r="D2131" i="15"/>
  <c r="D2134" i="15"/>
  <c r="D2122" i="15"/>
  <c r="D2140" i="15"/>
  <c r="D2116" i="15"/>
  <c r="D2185" i="15"/>
  <c r="D2199" i="15"/>
  <c r="D2144" i="15"/>
  <c r="D2135" i="15"/>
  <c r="D2130" i="15"/>
  <c r="D2107" i="15"/>
  <c r="D2110" i="15"/>
  <c r="D2121" i="15"/>
  <c r="D2204" i="15"/>
  <c r="D2123" i="15"/>
  <c r="D2138" i="15"/>
  <c r="D2128" i="15"/>
  <c r="D2126" i="15"/>
  <c r="D2102" i="15"/>
  <c r="D2139" i="15"/>
  <c r="D2132" i="15"/>
  <c r="D2100" i="15"/>
  <c r="D2114" i="15"/>
  <c r="D2133" i="15"/>
  <c r="D2108" i="15"/>
  <c r="D2106" i="15"/>
  <c r="D2124" i="15"/>
  <c r="D2109" i="15"/>
  <c r="D2117" i="15"/>
  <c r="D2127" i="15"/>
  <c r="D2141" i="15"/>
  <c r="D2105" i="15"/>
  <c r="D2143" i="15"/>
  <c r="D2118" i="15"/>
  <c r="D2153" i="15"/>
  <c r="D2151" i="15"/>
  <c r="D2149" i="15"/>
  <c r="D2152" i="15"/>
  <c r="D2156" i="15"/>
  <c r="D2157" i="15"/>
  <c r="D2159" i="15"/>
  <c r="D2165" i="15"/>
  <c r="D2171" i="15"/>
  <c r="D2169" i="15"/>
  <c r="D1893" i="15"/>
  <c r="D2203" i="15"/>
  <c r="D2212" i="15"/>
  <c r="D2681" i="15"/>
  <c r="D2173" i="15"/>
  <c r="D2207" i="15"/>
  <c r="D2193" i="15"/>
  <c r="D2197" i="15"/>
  <c r="D2215" i="15"/>
  <c r="D2188" i="15"/>
  <c r="D1816" i="15"/>
  <c r="D1743" i="15"/>
  <c r="D2219" i="15"/>
  <c r="D2210" i="15"/>
  <c r="D2205" i="15"/>
  <c r="D2178" i="15"/>
  <c r="D2182" i="15"/>
  <c r="D2196" i="15"/>
  <c r="D2271" i="15"/>
  <c r="D2213" i="15"/>
  <c r="D2202" i="15"/>
  <c r="D2200" i="15"/>
  <c r="D2209" i="15"/>
  <c r="D2174" i="15"/>
  <c r="D2214" i="15"/>
  <c r="D2172" i="15"/>
  <c r="D2186" i="15"/>
  <c r="D2208" i="15"/>
  <c r="D2180" i="15"/>
  <c r="D2177" i="15"/>
  <c r="D2198" i="15"/>
  <c r="D2181" i="15"/>
  <c r="D2191" i="15"/>
  <c r="D2201" i="15"/>
  <c r="D2216" i="15"/>
  <c r="D2176" i="15"/>
  <c r="D2218" i="15"/>
  <c r="D2192" i="15"/>
  <c r="D2227" i="15"/>
  <c r="D2225" i="15"/>
  <c r="D2223" i="15"/>
  <c r="D2226" i="15"/>
  <c r="D2229" i="15"/>
  <c r="D2230" i="15"/>
  <c r="D2232" i="15"/>
  <c r="D2243" i="15"/>
  <c r="D2241" i="15"/>
  <c r="D2253" i="15"/>
  <c r="D1970" i="15"/>
  <c r="D2270" i="15"/>
  <c r="D2281" i="15"/>
  <c r="D2704" i="15"/>
  <c r="D2244" i="15"/>
  <c r="D2275" i="15"/>
  <c r="D2262" i="15"/>
  <c r="D2269" i="15"/>
  <c r="D2265" i="15"/>
  <c r="D2284" i="15"/>
  <c r="D2259" i="15"/>
  <c r="D2279" i="15"/>
  <c r="D2273" i="15"/>
  <c r="D2503" i="15"/>
  <c r="D2249" i="15"/>
  <c r="D2254" i="15"/>
  <c r="D1826" i="15"/>
  <c r="D2282" i="15"/>
  <c r="D2267" i="15"/>
  <c r="D2278" i="15"/>
  <c r="D2245" i="15"/>
  <c r="D2283" i="15"/>
  <c r="D2257" i="15"/>
  <c r="D2277" i="15"/>
  <c r="D2251" i="15"/>
  <c r="D2248" i="15"/>
  <c r="D2266" i="15"/>
  <c r="D2252" i="15"/>
  <c r="D2261" i="15"/>
  <c r="D2268" i="15"/>
  <c r="D2285" i="15"/>
  <c r="D2290" i="15"/>
  <c r="D2289" i="15"/>
  <c r="D2291" i="15"/>
  <c r="D2292" i="15"/>
  <c r="D2294" i="15"/>
  <c r="D2302" i="15"/>
  <c r="D2300" i="15"/>
  <c r="D2041" i="15"/>
  <c r="D2329" i="15"/>
  <c r="D2342" i="15"/>
  <c r="D2723" i="15"/>
  <c r="D2325" i="15"/>
  <c r="D2303" i="15"/>
  <c r="D2334" i="15"/>
  <c r="D2321" i="15"/>
  <c r="D2328" i="15"/>
  <c r="D2324" i="15"/>
  <c r="D2345" i="15"/>
  <c r="D2318" i="15"/>
  <c r="D2310" i="15"/>
  <c r="D2339" i="15"/>
  <c r="D2331" i="15"/>
  <c r="D2246" i="15"/>
  <c r="D2332" i="15"/>
  <c r="D2308" i="15"/>
  <c r="D2313" i="15"/>
  <c r="D2335" i="15"/>
  <c r="D2341" i="15"/>
  <c r="D2343" i="15"/>
  <c r="D2338" i="15"/>
  <c r="D2304" i="15"/>
  <c r="D2344" i="15"/>
  <c r="D2316" i="15"/>
  <c r="D2337" i="15"/>
  <c r="D2311" i="15"/>
  <c r="D2307" i="15"/>
  <c r="D2326" i="15"/>
  <c r="D2312" i="15"/>
  <c r="D2320" i="15"/>
  <c r="D2327" i="15"/>
  <c r="D2346" i="15"/>
  <c r="D2351" i="15"/>
  <c r="D2350" i="15"/>
  <c r="D2352" i="15"/>
  <c r="D2360" i="15"/>
  <c r="D2358" i="15"/>
  <c r="D2383" i="15"/>
  <c r="D2396" i="15"/>
  <c r="D2742" i="15"/>
  <c r="D2379" i="15"/>
  <c r="D2361" i="15"/>
  <c r="D2388" i="15"/>
  <c r="D2376" i="15"/>
  <c r="D2382" i="15"/>
  <c r="D2377" i="15"/>
  <c r="D2370" i="15"/>
  <c r="D2372" i="15"/>
  <c r="D2367" i="15"/>
  <c r="D2393" i="15"/>
  <c r="D2385" i="15"/>
  <c r="D2305" i="15"/>
  <c r="D2386" i="15"/>
  <c r="D2368" i="15"/>
  <c r="D2362" i="15"/>
  <c r="D2389" i="15"/>
  <c r="D2378" i="15"/>
  <c r="D2395" i="15"/>
  <c r="D2397" i="15"/>
  <c r="D2392" i="15"/>
  <c r="D2369" i="15"/>
  <c r="D2391" i="15"/>
  <c r="D2365" i="15"/>
  <c r="D2380" i="15"/>
  <c r="D2374" i="15"/>
  <c r="D2381" i="15"/>
  <c r="D2398" i="15"/>
  <c r="D2403" i="15"/>
  <c r="D2402" i="15"/>
  <c r="D2411" i="15"/>
  <c r="D2409" i="15"/>
  <c r="D2432" i="15"/>
  <c r="D2445" i="15"/>
  <c r="D2755" i="15"/>
  <c r="D2427" i="15"/>
  <c r="D2412" i="15"/>
  <c r="D2437" i="15"/>
  <c r="D2423" i="15"/>
  <c r="D2431" i="15"/>
  <c r="D2424" i="15"/>
  <c r="D2420" i="15"/>
  <c r="D2418" i="15"/>
  <c r="D2442" i="15"/>
  <c r="D2434" i="15"/>
  <c r="D2363" i="15"/>
  <c r="D2435" i="15"/>
  <c r="D2419" i="15"/>
  <c r="D2413" i="15"/>
  <c r="D2438" i="15"/>
  <c r="D2426" i="15"/>
  <c r="D2444" i="15"/>
  <c r="D2446" i="15"/>
  <c r="D2441" i="15"/>
  <c r="D2440" i="15"/>
  <c r="D2416" i="15"/>
  <c r="D2428" i="15"/>
  <c r="D2429" i="15"/>
  <c r="D2447" i="15"/>
  <c r="D2430" i="15"/>
  <c r="D2451" i="15"/>
  <c r="D2450" i="15"/>
  <c r="D2458" i="15"/>
  <c r="D2456" i="15"/>
  <c r="D2481" i="15"/>
  <c r="D2478" i="15"/>
  <c r="D2480" i="15"/>
  <c r="D2483" i="15"/>
  <c r="D2469" i="15"/>
  <c r="D2466" i="15"/>
  <c r="D2414" i="15"/>
  <c r="D2484" i="15"/>
  <c r="D2467" i="15"/>
  <c r="D2459" i="15"/>
  <c r="D2486" i="15"/>
  <c r="D2477" i="15"/>
  <c r="D2491" i="15"/>
  <c r="D2489" i="15"/>
  <c r="D2488" i="15"/>
  <c r="D2464" i="15"/>
  <c r="D2492" i="15"/>
  <c r="D2479" i="15"/>
  <c r="D2496" i="15"/>
  <c r="D2495" i="15"/>
  <c r="D2501" i="15"/>
  <c r="D2521" i="15"/>
  <c r="D2523" i="15"/>
  <c r="D2525" i="15"/>
  <c r="D2512" i="15"/>
  <c r="D2509" i="15"/>
  <c r="D2460" i="15"/>
  <c r="D2526" i="15"/>
  <c r="D2502" i="15"/>
  <c r="D2528" i="15"/>
  <c r="D2520" i="15"/>
  <c r="D2531" i="15"/>
  <c r="D2507" i="15"/>
  <c r="D2532" i="15"/>
  <c r="D2522" i="15"/>
  <c r="D2535" i="15"/>
  <c r="D2561" i="15"/>
  <c r="D2551" i="15"/>
  <c r="D2564" i="15"/>
  <c r="D2549" i="15"/>
  <c r="D2546" i="15"/>
  <c r="D2565" i="15"/>
  <c r="D2540" i="15"/>
  <c r="D2567" i="15"/>
  <c r="D2560" i="15"/>
  <c r="D2570" i="15"/>
  <c r="D2544" i="15"/>
  <c r="D2556" i="15"/>
  <c r="D2571" i="15"/>
  <c r="D2562" i="15"/>
  <c r="D2574" i="15"/>
  <c r="D2600" i="15"/>
  <c r="D2590" i="15"/>
  <c r="D2604" i="15"/>
  <c r="D2588" i="15"/>
  <c r="D2587" i="15"/>
  <c r="D2605" i="15"/>
  <c r="D2579" i="15"/>
  <c r="D2599" i="15"/>
  <c r="D2608" i="15"/>
  <c r="D2582" i="15"/>
  <c r="D2595" i="15"/>
  <c r="D2609" i="15"/>
  <c r="D2602" i="15"/>
  <c r="D2601" i="15"/>
  <c r="D2612" i="15"/>
  <c r="D2627" i="15"/>
  <c r="D2639" i="15"/>
  <c r="D2625" i="15"/>
  <c r="D2624" i="15"/>
  <c r="D2640" i="15"/>
  <c r="D2643" i="15"/>
  <c r="D2619" i="15"/>
  <c r="D2632" i="15"/>
  <c r="D2644" i="15"/>
  <c r="D2637" i="15"/>
  <c r="D2636" i="15"/>
  <c r="D2647" i="15"/>
  <c r="D2659" i="15"/>
  <c r="D2669" i="15"/>
  <c r="D2657" i="15"/>
  <c r="D2656" i="15"/>
  <c r="D2670" i="15"/>
  <c r="D2672" i="15"/>
  <c r="D2652" i="15"/>
  <c r="D2663" i="15"/>
  <c r="D2673" i="15"/>
  <c r="D2667" i="15"/>
  <c r="D2687" i="15"/>
  <c r="D2685" i="15"/>
  <c r="D2684" i="15"/>
  <c r="D2696" i="15"/>
  <c r="D2697" i="15"/>
  <c r="D2680" i="15"/>
  <c r="D2692" i="15"/>
  <c r="D2698" i="15"/>
  <c r="D2695" i="15"/>
  <c r="D2710" i="15"/>
  <c r="D2708" i="15"/>
  <c r="D2707" i="15"/>
  <c r="D2703" i="15"/>
  <c r="D2715" i="15"/>
  <c r="D2719" i="15"/>
  <c r="D2718" i="15"/>
  <c r="D2729" i="15"/>
  <c r="D2737" i="15"/>
  <c r="D2726" i="15"/>
  <c r="D2733" i="15"/>
  <c r="D2738" i="15"/>
  <c r="D2736" i="15"/>
  <c r="D2753" i="15"/>
  <c r="D2744" i="15"/>
  <c r="D2750" i="15"/>
  <c r="D2754" i="15"/>
  <c r="D2752" i="15"/>
  <c r="D2762" i="15"/>
  <c r="D2756" i="15"/>
  <c r="D2759" i="15"/>
  <c r="D2761" i="15"/>
  <c r="D2769" i="15"/>
  <c r="D2763" i="15"/>
  <c r="D2766" i="15"/>
  <c r="D2768" i="15"/>
  <c r="D2774" i="15"/>
  <c r="D2770" i="15"/>
  <c r="D2773" i="15"/>
  <c r="D2779" i="15"/>
  <c r="D2778" i="15"/>
  <c r="D2783" i="15"/>
  <c r="D2788" i="15"/>
  <c r="D2793" i="15"/>
  <c r="D2798" i="15"/>
  <c r="D2802" i="15"/>
  <c r="D2806" i="15"/>
  <c r="D2810" i="15"/>
  <c r="D2814" i="15"/>
  <c r="D2818" i="15"/>
  <c r="D2880" i="15"/>
  <c r="D2854" i="15"/>
  <c r="D2855" i="15"/>
  <c r="D2115" i="15"/>
  <c r="D2187" i="15"/>
  <c r="D2258" i="15"/>
  <c r="D2045" i="15"/>
  <c r="D2317" i="15"/>
  <c r="D2371" i="15"/>
  <c r="D2912" i="15"/>
  <c r="D2925" i="15"/>
  <c r="D2822" i="15"/>
  <c r="D2913" i="15"/>
  <c r="D2926" i="15"/>
  <c r="D2823" i="15"/>
  <c r="D82" i="15"/>
  <c r="D2918" i="15"/>
  <c r="D2914" i="15"/>
  <c r="D2824" i="15"/>
  <c r="D2919" i="15"/>
  <c r="D2915" i="15"/>
  <c r="D2825" i="15"/>
  <c r="D191" i="15"/>
  <c r="D2920" i="15"/>
  <c r="D2916" i="15"/>
  <c r="D2826" i="15"/>
  <c r="D2921" i="15"/>
  <c r="D2917" i="15"/>
  <c r="D2827" i="15"/>
  <c r="D2922" i="15"/>
  <c r="D2911" i="15"/>
  <c r="D2923" i="15"/>
  <c r="D2937" i="15"/>
  <c r="D2938" i="15"/>
  <c r="D2939" i="15"/>
  <c r="D2940" i="15"/>
  <c r="D2941" i="15"/>
  <c r="D2942" i="15"/>
  <c r="D2943" i="15"/>
  <c r="D2944" i="15"/>
  <c r="D2945" i="15"/>
  <c r="D2946" i="15"/>
  <c r="D2929" i="15"/>
  <c r="D2930" i="15"/>
  <c r="D2931" i="15"/>
  <c r="D2932" i="15"/>
  <c r="D2933" i="15"/>
  <c r="D2934" i="15"/>
  <c r="D2828" i="15"/>
  <c r="D2829" i="15"/>
  <c r="D2830" i="15"/>
  <c r="D2831" i="15"/>
  <c r="D2832" i="15"/>
  <c r="D2833" i="15"/>
  <c r="D2954" i="15"/>
  <c r="D2955" i="15"/>
  <c r="D2956" i="15"/>
  <c r="D2957" i="15"/>
  <c r="D2958" i="15"/>
  <c r="D2898" i="15"/>
  <c r="D2899" i="15"/>
  <c r="D2900" i="15"/>
  <c r="D2901" i="15"/>
  <c r="D2902" i="15"/>
  <c r="D2903" i="15"/>
  <c r="D2882" i="15"/>
  <c r="D2883" i="15"/>
  <c r="D2884" i="15"/>
  <c r="D2885" i="15"/>
  <c r="D2886" i="15"/>
  <c r="D2887" i="15"/>
  <c r="D2888" i="15"/>
  <c r="D2889" i="15"/>
  <c r="D2890" i="15"/>
  <c r="D2891" i="15"/>
  <c r="D2948" i="15"/>
  <c r="D2949" i="15"/>
  <c r="D2950" i="15"/>
  <c r="D2951" i="15"/>
  <c r="D2952" i="15"/>
  <c r="D2953" i="15"/>
  <c r="D2836" i="15"/>
  <c r="D2837" i="15"/>
  <c r="D2838" i="15"/>
  <c r="D2839" i="15"/>
  <c r="D2840" i="15"/>
  <c r="D2841" i="15"/>
  <c r="D2842" i="15"/>
  <c r="D2843" i="15"/>
  <c r="D2844" i="15"/>
  <c r="D2845" i="15"/>
  <c r="D2895" i="15"/>
  <c r="D2896" i="15"/>
  <c r="D2893" i="15"/>
  <c r="D2894" i="15"/>
  <c r="D2872" i="15"/>
  <c r="D2873" i="15"/>
  <c r="D2874" i="15"/>
  <c r="D2875" i="15"/>
  <c r="D2876" i="15"/>
  <c r="D2862" i="15"/>
  <c r="D2863" i="15"/>
  <c r="D2864" i="15"/>
  <c r="D2865" i="15"/>
  <c r="D2866" i="15"/>
  <c r="D2867" i="15"/>
  <c r="D2924" i="15"/>
  <c r="D2853" i="15"/>
  <c r="D2947" i="15"/>
  <c r="D2881" i="15"/>
  <c r="D2858" i="15"/>
  <c r="D2857" i="15"/>
  <c r="D2869" i="15"/>
  <c r="D2892" i="15"/>
  <c r="D2904" i="15"/>
  <c r="D2850" i="15"/>
  <c r="D2852" i="15"/>
  <c r="D2846" i="15"/>
  <c r="D2935" i="15"/>
  <c r="D2834" i="15"/>
  <c r="D2877" i="15"/>
  <c r="D2936" i="15"/>
  <c r="D2851" i="15"/>
  <c r="B756" i="1"/>
  <c r="I756" i="1"/>
  <c r="J756" i="1"/>
  <c r="O756" i="1"/>
  <c r="B2" i="1"/>
  <c r="B3" i="1"/>
  <c r="B4" i="1"/>
  <c r="B5" i="1"/>
  <c r="B6" i="1"/>
  <c r="B7" i="1"/>
  <c r="B8" i="1"/>
  <c r="B9" i="1"/>
  <c r="B10" i="1"/>
  <c r="B11" i="1"/>
  <c r="B12" i="1"/>
  <c r="B13" i="1"/>
  <c r="B14" i="1"/>
  <c r="B15" i="1"/>
  <c r="B16" i="1"/>
  <c r="B18" i="1"/>
  <c r="B17" i="1"/>
  <c r="B19" i="1"/>
  <c r="B20" i="1"/>
  <c r="B21" i="1"/>
  <c r="B22" i="1"/>
  <c r="B23" i="1"/>
  <c r="B24" i="1"/>
  <c r="B25" i="1"/>
  <c r="B26" i="1"/>
  <c r="B27" i="1"/>
  <c r="B28" i="1"/>
  <c r="B29" i="1"/>
  <c r="B30" i="1"/>
  <c r="B31" i="1"/>
  <c r="B32" i="1"/>
  <c r="B33" i="1"/>
  <c r="B34" i="1"/>
  <c r="B35" i="1"/>
  <c r="B40" i="1"/>
  <c r="B36" i="1"/>
  <c r="B37" i="1"/>
  <c r="B38" i="1"/>
  <c r="B39" i="1"/>
  <c r="B41" i="1"/>
  <c r="B42" i="1"/>
  <c r="B43" i="1"/>
  <c r="B44" i="1"/>
  <c r="B45" i="1"/>
  <c r="B46" i="1"/>
  <c r="B85" i="1"/>
  <c r="B47" i="1"/>
  <c r="B48" i="1"/>
  <c r="B49" i="1"/>
  <c r="B50" i="1"/>
  <c r="B51" i="1"/>
  <c r="B52" i="1"/>
  <c r="B53" i="1"/>
  <c r="B54" i="1"/>
  <c r="B55" i="1"/>
  <c r="B56" i="1"/>
  <c r="B57" i="1"/>
  <c r="B58" i="1"/>
  <c r="B60" i="1"/>
  <c r="B61" i="1"/>
  <c r="B62" i="1"/>
  <c r="B63" i="1"/>
  <c r="B59" i="1"/>
  <c r="B64" i="1"/>
  <c r="B65" i="1"/>
  <c r="B66" i="1"/>
  <c r="B67" i="1"/>
  <c r="B68" i="1"/>
  <c r="B69" i="1"/>
  <c r="B70" i="1"/>
  <c r="B71" i="1"/>
  <c r="B72" i="1"/>
  <c r="B73" i="1"/>
  <c r="B74" i="1"/>
  <c r="B75" i="1"/>
  <c r="B76" i="1"/>
  <c r="B77" i="1"/>
  <c r="B78" i="1"/>
  <c r="B160" i="1"/>
  <c r="B79" i="1"/>
  <c r="B80" i="1"/>
  <c r="B81" i="1"/>
  <c r="B82" i="1"/>
  <c r="B83" i="1"/>
  <c r="B84"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1" i="1"/>
  <c r="B162" i="1"/>
  <c r="B163" i="1"/>
  <c r="B164" i="1"/>
  <c r="B165" i="1"/>
  <c r="B166" i="1"/>
  <c r="B167" i="1"/>
  <c r="B168" i="1"/>
  <c r="B169" i="1"/>
  <c r="B170" i="1"/>
  <c r="B171" i="1"/>
  <c r="B172" i="1"/>
  <c r="B173" i="1"/>
  <c r="B174" i="1"/>
  <c r="B175" i="1"/>
  <c r="B176" i="1"/>
  <c r="B177" i="1"/>
  <c r="B178" i="1"/>
  <c r="B179" i="1"/>
  <c r="B180" i="1"/>
  <c r="B181"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I755" i="1"/>
  <c r="J755" i="1"/>
  <c r="O755" i="1"/>
  <c r="B748" i="15"/>
  <c r="L748" i="15" a="1"/>
  <c r="L748" i="15" s="1"/>
  <c r="B1274" i="15"/>
  <c r="L1274" i="15" a="1"/>
  <c r="L1274" i="15" s="1"/>
  <c r="R38" i="3" s="1"/>
  <c r="I945" i="1"/>
  <c r="I753" i="1"/>
  <c r="J753" i="1"/>
  <c r="I754" i="1"/>
  <c r="J754" i="1"/>
  <c r="O754" i="1"/>
  <c r="G171" i="3"/>
  <c r="P171" i="3"/>
  <c r="S171" i="3"/>
  <c r="V171" i="3"/>
  <c r="I746" i="1"/>
  <c r="I747" i="1"/>
  <c r="I748" i="1"/>
  <c r="I749" i="1"/>
  <c r="I750" i="1"/>
  <c r="I751" i="1"/>
  <c r="I752" i="1"/>
  <c r="J746" i="1"/>
  <c r="J747" i="1"/>
  <c r="J748" i="1"/>
  <c r="J749" i="1"/>
  <c r="J750" i="1"/>
  <c r="J751" i="1"/>
  <c r="N171" i="3" s="1"/>
  <c r="J752" i="1"/>
  <c r="O746" i="1"/>
  <c r="O747" i="1"/>
  <c r="O748" i="1"/>
  <c r="O749" i="1"/>
  <c r="O750" i="1"/>
  <c r="O751" i="1"/>
  <c r="O752" i="1"/>
  <c r="I745" i="1"/>
  <c r="J745" i="1"/>
  <c r="O745" i="1"/>
  <c r="I744" i="1"/>
  <c r="J744" i="1"/>
  <c r="O744" i="1"/>
  <c r="H743" i="1"/>
  <c r="I738" i="1"/>
  <c r="I739" i="1"/>
  <c r="I740" i="1"/>
  <c r="I741" i="1"/>
  <c r="I742" i="1"/>
  <c r="J738" i="1"/>
  <c r="J739" i="1"/>
  <c r="J740" i="1"/>
  <c r="J741" i="1"/>
  <c r="J742" i="1"/>
  <c r="O738" i="1"/>
  <c r="O739" i="1"/>
  <c r="O740" i="1"/>
  <c r="O741" i="1"/>
  <c r="O742" i="1"/>
  <c r="O743" i="1"/>
  <c r="I737" i="1"/>
  <c r="J737" i="1"/>
  <c r="O737" i="1"/>
  <c r="O735" i="1"/>
  <c r="O736" i="1"/>
  <c r="J735" i="1"/>
  <c r="J736" i="1"/>
  <c r="I735" i="1"/>
  <c r="I736" i="1"/>
  <c r="O734" i="1"/>
  <c r="J734" i="1"/>
  <c r="I734" i="1"/>
  <c r="L712" i="15" a="1"/>
  <c r="L712" i="15" s="1"/>
  <c r="M712" i="15" s="1"/>
  <c r="B712" i="15"/>
  <c r="O732" i="1"/>
  <c r="O733" i="1"/>
  <c r="J732" i="1"/>
  <c r="J733" i="1"/>
  <c r="I732" i="1"/>
  <c r="I733" i="1"/>
  <c r="B700" i="15"/>
  <c r="I730" i="1"/>
  <c r="I731" i="1"/>
  <c r="J730" i="1"/>
  <c r="J731" i="1"/>
  <c r="O730" i="1"/>
  <c r="O731" i="1"/>
  <c r="I729" i="1"/>
  <c r="J729" i="1"/>
  <c r="O729" i="1"/>
  <c r="I721" i="1"/>
  <c r="I722" i="1"/>
  <c r="I723" i="1"/>
  <c r="I724" i="1"/>
  <c r="I725" i="1"/>
  <c r="I726" i="1"/>
  <c r="I727" i="1"/>
  <c r="I728" i="1"/>
  <c r="J721" i="1"/>
  <c r="J722" i="1"/>
  <c r="J723" i="1"/>
  <c r="J724" i="1"/>
  <c r="J725" i="1"/>
  <c r="J726" i="1"/>
  <c r="J727" i="1"/>
  <c r="J728" i="1"/>
  <c r="O721" i="1"/>
  <c r="O722" i="1"/>
  <c r="O723" i="1"/>
  <c r="O724" i="1"/>
  <c r="O725" i="1"/>
  <c r="O726" i="1"/>
  <c r="O727" i="1"/>
  <c r="O728" i="1"/>
  <c r="G2253" i="15"/>
  <c r="B815" i="15"/>
  <c r="B942" i="15"/>
  <c r="B1070" i="15"/>
  <c r="B1181" i="15"/>
  <c r="B1293" i="15"/>
  <c r="B1401" i="15"/>
  <c r="B2851" i="15"/>
  <c r="B2253" i="15"/>
  <c r="L700" i="15" a="1"/>
  <c r="L700" i="15" s="1"/>
  <c r="M700" i="15" s="1"/>
  <c r="L815" i="15" a="1"/>
  <c r="L815" i="15" s="1"/>
  <c r="M815" i="15" s="1"/>
  <c r="L942" i="15" a="1"/>
  <c r="L942" i="15" s="1"/>
  <c r="M942" i="15" s="1"/>
  <c r="L1070" i="15" a="1"/>
  <c r="L1070" i="15" s="1"/>
  <c r="M1070" i="15" s="1"/>
  <c r="L1181" i="15" a="1"/>
  <c r="L1181" i="15" s="1"/>
  <c r="M1181" i="15" s="1"/>
  <c r="L1293" i="15" a="1"/>
  <c r="L1293" i="15" s="1"/>
  <c r="M1293" i="15" s="1"/>
  <c r="L1401" i="15" a="1"/>
  <c r="L1401" i="15" s="1"/>
  <c r="M1401" i="15" s="1"/>
  <c r="L2851" i="15" a="1"/>
  <c r="L2851" i="15" s="1"/>
  <c r="M2851" i="15" s="1"/>
  <c r="L2253" i="15" a="1"/>
  <c r="L2253" i="15" s="1"/>
  <c r="M2253" i="15" s="1"/>
  <c r="B693" i="15"/>
  <c r="L693" i="15" a="1"/>
  <c r="L693" i="15" s="1"/>
  <c r="I719" i="1"/>
  <c r="I720" i="1"/>
  <c r="J719" i="1"/>
  <c r="J720" i="1"/>
  <c r="O719" i="1"/>
  <c r="O720" i="1"/>
  <c r="O718" i="1"/>
  <c r="J718" i="1"/>
  <c r="I718" i="1"/>
  <c r="L696" i="15" a="1"/>
  <c r="L696" i="15" s="1"/>
  <c r="B696" i="15"/>
  <c r="G169" i="3"/>
  <c r="G170" i="3"/>
  <c r="R717" i="1" s="1"/>
  <c r="P169" i="3"/>
  <c r="P170" i="3"/>
  <c r="R170" i="3"/>
  <c r="S169" i="3"/>
  <c r="S170" i="3"/>
  <c r="V169" i="3"/>
  <c r="V170" i="3"/>
  <c r="I716" i="1"/>
  <c r="I717" i="1"/>
  <c r="J716" i="1"/>
  <c r="J717" i="1"/>
  <c r="N170" i="3" s="1"/>
  <c r="O716" i="1"/>
  <c r="O717" i="1"/>
  <c r="I715" i="1"/>
  <c r="J715" i="1"/>
  <c r="O715" i="1"/>
  <c r="B730" i="15"/>
  <c r="L730" i="15" a="1"/>
  <c r="L730" i="15" s="1"/>
  <c r="M730" i="15" s="1"/>
  <c r="B731" i="15"/>
  <c r="L731" i="15" a="1"/>
  <c r="L731" i="15" s="1"/>
  <c r="M731" i="15" s="1"/>
  <c r="B732" i="15"/>
  <c r="L732" i="15" a="1"/>
  <c r="L732" i="15" s="1"/>
  <c r="M732" i="15" s="1"/>
  <c r="B979" i="15"/>
  <c r="L979" i="15" a="1"/>
  <c r="L979" i="15" s="1"/>
  <c r="M979" i="15" s="1"/>
  <c r="I713" i="1"/>
  <c r="I714" i="1"/>
  <c r="J713" i="1"/>
  <c r="J714" i="1"/>
  <c r="O713" i="1"/>
  <c r="O714" i="1"/>
  <c r="G2637" i="15"/>
  <c r="G2667" i="15"/>
  <c r="G2695" i="15"/>
  <c r="G2718" i="15"/>
  <c r="G2736" i="15"/>
  <c r="G2752" i="15"/>
  <c r="G2761" i="15"/>
  <c r="G2768" i="15"/>
  <c r="G2773" i="15"/>
  <c r="G2602" i="15"/>
  <c r="B2773" i="15"/>
  <c r="L2773" i="15" a="1"/>
  <c r="L2773" i="15" s="1"/>
  <c r="M2773" i="15" s="1"/>
  <c r="B2718" i="15"/>
  <c r="B2736" i="15"/>
  <c r="B2752" i="15"/>
  <c r="B2761" i="15"/>
  <c r="B2768" i="15"/>
  <c r="L2718" i="15" a="1"/>
  <c r="L2718" i="15" s="1"/>
  <c r="M2718" i="15" s="1"/>
  <c r="L2736" i="15" a="1"/>
  <c r="L2736" i="15" s="1"/>
  <c r="M2736" i="15" s="1"/>
  <c r="L2752" i="15" a="1"/>
  <c r="L2752" i="15" s="1"/>
  <c r="M2752" i="15" s="1"/>
  <c r="L2761" i="15" a="1"/>
  <c r="L2761" i="15" s="1"/>
  <c r="M2761" i="15" s="1"/>
  <c r="L2768" i="15" a="1"/>
  <c r="L2768" i="15" s="1"/>
  <c r="M2768" i="15" s="1"/>
  <c r="B907" i="15"/>
  <c r="B1260" i="15"/>
  <c r="B1562" i="15"/>
  <c r="B1793" i="15"/>
  <c r="B2602" i="15"/>
  <c r="B2637" i="15"/>
  <c r="B2667" i="15"/>
  <c r="B2695" i="15"/>
  <c r="L907" i="15" a="1"/>
  <c r="L907" i="15" s="1"/>
  <c r="M907" i="15" s="1"/>
  <c r="L1260" i="15" a="1"/>
  <c r="L1260" i="15" s="1"/>
  <c r="M1260" i="15" s="1"/>
  <c r="L1562" i="15" a="1"/>
  <c r="L1562" i="15" s="1"/>
  <c r="M1562" i="15" s="1"/>
  <c r="L1793" i="15" a="1"/>
  <c r="L1793" i="15" s="1"/>
  <c r="M1793" i="15" s="1"/>
  <c r="L2602" i="15" a="1"/>
  <c r="L2602" i="15" s="1"/>
  <c r="M2602" i="15" s="1"/>
  <c r="L2637" i="15" a="1"/>
  <c r="L2637" i="15" s="1"/>
  <c r="M2637" i="15" s="1"/>
  <c r="L2667" i="15" a="1"/>
  <c r="L2667" i="15" s="1"/>
  <c r="M2667" i="15" s="1"/>
  <c r="L2695" i="15" a="1"/>
  <c r="L2695" i="15" s="1"/>
  <c r="M2695" i="15" s="1"/>
  <c r="G168" i="3"/>
  <c r="R1103" i="1" s="1"/>
  <c r="P168" i="3"/>
  <c r="S168" i="3"/>
  <c r="V168" i="3"/>
  <c r="I708" i="1"/>
  <c r="I709" i="1"/>
  <c r="I710" i="1"/>
  <c r="I711" i="1"/>
  <c r="I712" i="1"/>
  <c r="J708" i="1"/>
  <c r="J709" i="1"/>
  <c r="J710" i="1"/>
  <c r="J711" i="1"/>
  <c r="J712" i="1"/>
  <c r="O708" i="1"/>
  <c r="O709" i="1"/>
  <c r="O710" i="1"/>
  <c r="O711" i="1"/>
  <c r="O712" i="1"/>
  <c r="I707" i="1"/>
  <c r="J707" i="1"/>
  <c r="O707" i="1"/>
  <c r="B1083" i="15"/>
  <c r="L1083" i="15" a="1"/>
  <c r="L1083" i="15" s="1"/>
  <c r="M1083" i="15" s="1"/>
  <c r="B826" i="15"/>
  <c r="L826" i="15" a="1"/>
  <c r="L826" i="15" s="1"/>
  <c r="M826" i="15" s="1"/>
  <c r="Q706" i="1"/>
  <c r="H706" i="1" s="1"/>
  <c r="B688" i="15"/>
  <c r="L688" i="15" a="1"/>
  <c r="L688" i="15" s="1"/>
  <c r="M688" i="15" s="1"/>
  <c r="B689" i="15"/>
  <c r="L689" i="15" a="1"/>
  <c r="L689" i="15" s="1"/>
  <c r="M689" i="15" s="1"/>
  <c r="B690" i="15"/>
  <c r="L690" i="15" a="1"/>
  <c r="L690" i="15" s="1"/>
  <c r="M690" i="15" s="1"/>
  <c r="O706" i="1"/>
  <c r="B694" i="15"/>
  <c r="I703" i="1"/>
  <c r="I704" i="1"/>
  <c r="I705" i="1"/>
  <c r="J703" i="1"/>
  <c r="J704" i="1"/>
  <c r="J705" i="1"/>
  <c r="O703" i="1"/>
  <c r="O704" i="1"/>
  <c r="O705" i="1"/>
  <c r="R824" i="1" l="1"/>
  <c r="R716" i="1"/>
  <c r="R723" i="1"/>
  <c r="R1091" i="1"/>
  <c r="R970" i="1"/>
  <c r="R1077" i="1"/>
  <c r="R959" i="1"/>
  <c r="R767" i="1"/>
  <c r="R771" i="1"/>
  <c r="R864" i="1"/>
  <c r="R751" i="1"/>
  <c r="R1005" i="1"/>
  <c r="R708" i="1"/>
  <c r="R852" i="1"/>
  <c r="R985" i="1"/>
  <c r="R748" i="1"/>
  <c r="R735" i="1"/>
  <c r="R742" i="1"/>
  <c r="R1044" i="1"/>
  <c r="R761" i="1"/>
  <c r="R851" i="1"/>
  <c r="T168" i="3"/>
  <c r="T170" i="3"/>
  <c r="T169" i="3"/>
  <c r="M693" i="15"/>
  <c r="X169" i="3" s="1"/>
  <c r="E693" i="15" s="1"/>
  <c r="T171" i="3"/>
  <c r="M691" i="15"/>
  <c r="X168" i="3" s="1"/>
  <c r="E2603" i="15" s="1"/>
  <c r="M737" i="15"/>
  <c r="X171" i="3" s="1"/>
  <c r="E849" i="15" s="1"/>
  <c r="T172" i="3"/>
  <c r="T173" i="3"/>
  <c r="G29" i="30"/>
  <c r="U16" i="13"/>
  <c r="I22" i="30"/>
  <c r="I29" i="30"/>
  <c r="H28" i="30"/>
  <c r="H173" i="3"/>
  <c r="H168" i="3"/>
  <c r="K176" i="3"/>
  <c r="K174" i="3"/>
  <c r="K177" i="3"/>
  <c r="H172" i="3"/>
  <c r="H169" i="3"/>
  <c r="H171" i="3"/>
  <c r="I170" i="3"/>
  <c r="H170" i="3"/>
  <c r="K175" i="3"/>
  <c r="N169" i="3"/>
  <c r="I173" i="3"/>
  <c r="I168" i="3"/>
  <c r="I171" i="3"/>
  <c r="I172" i="3"/>
  <c r="I169" i="3"/>
  <c r="N168" i="3"/>
  <c r="P13" i="23"/>
  <c r="L13" i="23"/>
  <c r="C13" i="23"/>
  <c r="F13" i="23"/>
  <c r="D13" i="23"/>
  <c r="G13" i="23"/>
  <c r="B13" i="23"/>
  <c r="M696" i="15"/>
  <c r="X170" i="3" s="1"/>
  <c r="M1274" i="15"/>
  <c r="X38" i="3" s="1"/>
  <c r="E1652" i="15" s="1"/>
  <c r="M748" i="15"/>
  <c r="X37" i="3" s="1"/>
  <c r="E2791" i="15"/>
  <c r="E2786" i="15"/>
  <c r="E784" i="15"/>
  <c r="E2776" i="15"/>
  <c r="E2781" i="15"/>
  <c r="E2771" i="15"/>
  <c r="E2746" i="15"/>
  <c r="E2757" i="15"/>
  <c r="E2764" i="15"/>
  <c r="E2728" i="15"/>
  <c r="E2018" i="15"/>
  <c r="E2238" i="15"/>
  <c r="E2093" i="15"/>
  <c r="E2166" i="15"/>
  <c r="E1463" i="15"/>
  <c r="E1556" i="15"/>
  <c r="E1637" i="15"/>
  <c r="E1714" i="15"/>
  <c r="E1789" i="15"/>
  <c r="E1869" i="15"/>
  <c r="E1945" i="15"/>
  <c r="E785" i="15"/>
  <c r="E900" i="15"/>
  <c r="E1033" i="15"/>
  <c r="E1145" i="15"/>
  <c r="E1253" i="15"/>
  <c r="E1366" i="15"/>
  <c r="E2642" i="15"/>
  <c r="E2607" i="15"/>
  <c r="E2568" i="15"/>
  <c r="E2529" i="15"/>
  <c r="E2390" i="15"/>
  <c r="E2336" i="15"/>
  <c r="E2487" i="15"/>
  <c r="E2439" i="15"/>
  <c r="E1868" i="15"/>
  <c r="E2276" i="15"/>
  <c r="E2927" i="15"/>
  <c r="E1635" i="15"/>
  <c r="E1944" i="15"/>
  <c r="E1788" i="15"/>
  <c r="E2017" i="15"/>
  <c r="E1713" i="15"/>
  <c r="E1364" i="15"/>
  <c r="E1461" i="15"/>
  <c r="E1554" i="15"/>
  <c r="E743" i="15"/>
  <c r="E1251" i="15"/>
  <c r="E1143" i="15"/>
  <c r="E1031" i="15"/>
  <c r="E844" i="15"/>
  <c r="E761" i="15"/>
  <c r="E2315" i="15"/>
  <c r="E1997" i="15"/>
  <c r="E1660" i="15"/>
  <c r="E1735" i="15"/>
  <c r="E1815" i="15"/>
  <c r="E1894" i="15"/>
  <c r="E1971" i="15"/>
  <c r="E2042" i="15"/>
  <c r="E2112" i="15"/>
  <c r="E2184" i="15"/>
  <c r="E1918" i="15"/>
  <c r="E750" i="15"/>
  <c r="E1837" i="15"/>
  <c r="E955" i="15"/>
  <c r="E1190" i="15"/>
  <c r="E1408" i="15"/>
  <c r="E1590" i="15"/>
  <c r="E825" i="15"/>
  <c r="E1082" i="15"/>
  <c r="E1302" i="15"/>
  <c r="E1505" i="15"/>
  <c r="E1676" i="15"/>
  <c r="E1753" i="15"/>
  <c r="R171" i="3"/>
  <c r="R168" i="3"/>
  <c r="I743" i="1"/>
  <c r="J743" i="1"/>
  <c r="R169" i="3"/>
  <c r="G706" i="1"/>
  <c r="D15" i="13" s="1"/>
  <c r="B702" i="15"/>
  <c r="L702" i="15" a="1"/>
  <c r="L702" i="15" s="1"/>
  <c r="M702" i="15" s="1"/>
  <c r="B703" i="15"/>
  <c r="L703" i="15" a="1"/>
  <c r="L703" i="15" s="1"/>
  <c r="M703" i="15" s="1"/>
  <c r="B678" i="15"/>
  <c r="L678" i="15" a="1"/>
  <c r="L678" i="15" s="1"/>
  <c r="M678" i="15" s="1"/>
  <c r="B661" i="15"/>
  <c r="B662" i="15"/>
  <c r="B659" i="15"/>
  <c r="B660" i="15"/>
  <c r="L661" i="15" a="1"/>
  <c r="L661" i="15" s="1"/>
  <c r="M661" i="15" s="1"/>
  <c r="L662" i="15" a="1"/>
  <c r="L662" i="15" s="1"/>
  <c r="M662" i="15" s="1"/>
  <c r="L659" i="15" a="1"/>
  <c r="L659" i="15" s="1"/>
  <c r="M659" i="15" s="1"/>
  <c r="L660" i="15" a="1"/>
  <c r="L660" i="15" s="1"/>
  <c r="M660" i="15" s="1"/>
  <c r="B658" i="15"/>
  <c r="L658" i="15" a="1"/>
  <c r="L658" i="15" s="1"/>
  <c r="B663" i="15"/>
  <c r="L663" i="15" a="1"/>
  <c r="L663" i="15" s="1"/>
  <c r="M663" i="15" s="1"/>
  <c r="J702" i="1"/>
  <c r="I702" i="1"/>
  <c r="I688" i="1"/>
  <c r="J688" i="1"/>
  <c r="O688" i="1"/>
  <c r="B666" i="15"/>
  <c r="L666" i="15" a="1"/>
  <c r="L666" i="15" s="1"/>
  <c r="M666" i="15" s="1"/>
  <c r="O702" i="1"/>
  <c r="I690" i="1"/>
  <c r="I697" i="1"/>
  <c r="I698" i="1"/>
  <c r="I693" i="1"/>
  <c r="I694" i="1"/>
  <c r="I700" i="1"/>
  <c r="I701" i="1"/>
  <c r="J690" i="1"/>
  <c r="J697" i="1"/>
  <c r="J698" i="1"/>
  <c r="J693" i="1"/>
  <c r="J694" i="1"/>
  <c r="J700" i="1"/>
  <c r="J701" i="1"/>
  <c r="O690" i="1"/>
  <c r="O697" i="1"/>
  <c r="O698" i="1"/>
  <c r="O693" i="1"/>
  <c r="O694" i="1"/>
  <c r="O700" i="1"/>
  <c r="O701" i="1"/>
  <c r="E1574" i="15" l="1"/>
  <c r="E1724" i="15"/>
  <c r="E1390" i="15"/>
  <c r="E1481" i="15"/>
  <c r="M658" i="15"/>
  <c r="X165" i="3" s="1"/>
  <c r="K172" i="3"/>
  <c r="K171" i="3"/>
  <c r="K173" i="3"/>
  <c r="E895" i="15"/>
  <c r="K170" i="3"/>
  <c r="K169" i="3"/>
  <c r="K168" i="3"/>
  <c r="E13" i="23"/>
  <c r="J706" i="1"/>
  <c r="AH15" i="13" s="1"/>
  <c r="X167" i="3"/>
  <c r="E2861" i="15"/>
  <c r="E2190" i="15"/>
  <c r="E1931" i="15"/>
  <c r="E1851" i="15"/>
  <c r="E737" i="15"/>
  <c r="E1429" i="15"/>
  <c r="E1214" i="15"/>
  <c r="E1525" i="15"/>
  <c r="E1104" i="15"/>
  <c r="E1695" i="15"/>
  <c r="E1610" i="15"/>
  <c r="E1770" i="15"/>
  <c r="E985" i="15"/>
  <c r="E1327" i="15"/>
  <c r="E721" i="15"/>
  <c r="E2668" i="15"/>
  <c r="E2563" i="15"/>
  <c r="E2638" i="15"/>
  <c r="E1420" i="15"/>
  <c r="E2482" i="15"/>
  <c r="E2272" i="15"/>
  <c r="E2330" i="15"/>
  <c r="E2433" i="15"/>
  <c r="E2384" i="15"/>
  <c r="E2524" i="15"/>
  <c r="E2897" i="15"/>
  <c r="E2005" i="15"/>
  <c r="E1846" i="15"/>
  <c r="E2081" i="15"/>
  <c r="E2155" i="15"/>
  <c r="E1764" i="15"/>
  <c r="E1927" i="15"/>
  <c r="E969" i="15"/>
  <c r="E1687" i="15"/>
  <c r="E723" i="15"/>
  <c r="E1602" i="15"/>
  <c r="E1517" i="15"/>
  <c r="E1314" i="15"/>
  <c r="E1204" i="15"/>
  <c r="E1094" i="15"/>
  <c r="E837" i="15"/>
  <c r="E722" i="15"/>
  <c r="E691" i="15"/>
  <c r="E942" i="15"/>
  <c r="E1070" i="15"/>
  <c r="E1181" i="15"/>
  <c r="E1293" i="15"/>
  <c r="E2851" i="15"/>
  <c r="E2253" i="15"/>
  <c r="E700" i="15"/>
  <c r="E815" i="15"/>
  <c r="E1401" i="15"/>
  <c r="E696" i="15"/>
  <c r="I706" i="1"/>
  <c r="P15" i="13" s="1"/>
  <c r="J14" i="19"/>
  <c r="I692" i="1"/>
  <c r="J692" i="1"/>
  <c r="O692" i="1"/>
  <c r="I695" i="1"/>
  <c r="I699" i="1"/>
  <c r="I691" i="1"/>
  <c r="I696" i="1"/>
  <c r="I689" i="1"/>
  <c r="J695" i="1"/>
  <c r="J699" i="1"/>
  <c r="J691" i="1"/>
  <c r="J696" i="1"/>
  <c r="J689" i="1"/>
  <c r="O695" i="1"/>
  <c r="O699" i="1"/>
  <c r="O691" i="1"/>
  <c r="O696" i="1"/>
  <c r="O689" i="1"/>
  <c r="I684" i="1"/>
  <c r="I681" i="1"/>
  <c r="J684" i="1"/>
  <c r="J681" i="1"/>
  <c r="O684" i="1"/>
  <c r="O681" i="1"/>
  <c r="I685" i="1"/>
  <c r="I686" i="1"/>
  <c r="J685" i="1"/>
  <c r="J686" i="1"/>
  <c r="O685" i="1"/>
  <c r="O686" i="1"/>
  <c r="G2532" i="15"/>
  <c r="G2571" i="15"/>
  <c r="G2609" i="15"/>
  <c r="G2644" i="15"/>
  <c r="G2673" i="15"/>
  <c r="G2698" i="15"/>
  <c r="G2719" i="15"/>
  <c r="G2738" i="15"/>
  <c r="G2754" i="15"/>
  <c r="G2492" i="15"/>
  <c r="B2698" i="15"/>
  <c r="B2719" i="15"/>
  <c r="B2738" i="15"/>
  <c r="B2754" i="15"/>
  <c r="L2698" i="15" a="1"/>
  <c r="L2698" i="15" s="1"/>
  <c r="M2698" i="15" s="1"/>
  <c r="L2719" i="15" a="1"/>
  <c r="L2719" i="15" s="1"/>
  <c r="M2719" i="15" s="1"/>
  <c r="L2738" i="15" a="1"/>
  <c r="L2738" i="15" s="1"/>
  <c r="M2738" i="15" s="1"/>
  <c r="L2754" i="15" a="1"/>
  <c r="L2754" i="15" s="1"/>
  <c r="M2754" i="15" s="1"/>
  <c r="B2936" i="15"/>
  <c r="B2492" i="15"/>
  <c r="B2532" i="15"/>
  <c r="B2571" i="15"/>
  <c r="B2609" i="15"/>
  <c r="B2644" i="15"/>
  <c r="B2673" i="15"/>
  <c r="L2936" i="15" a="1"/>
  <c r="L2936" i="15" s="1"/>
  <c r="M2936" i="15" s="1"/>
  <c r="L2492" i="15" a="1"/>
  <c r="L2492" i="15" s="1"/>
  <c r="M2492" i="15" s="1"/>
  <c r="L2532" i="15" a="1"/>
  <c r="L2532" i="15" s="1"/>
  <c r="M2532" i="15" s="1"/>
  <c r="L2571" i="15" a="1"/>
  <c r="L2571" i="15" s="1"/>
  <c r="M2571" i="15" s="1"/>
  <c r="L2609" i="15" a="1"/>
  <c r="L2609" i="15" s="1"/>
  <c r="M2609" i="15" s="1"/>
  <c r="L2644" i="15" a="1"/>
  <c r="L2644" i="15" s="1"/>
  <c r="M2644" i="15" s="1"/>
  <c r="L2673" i="15" a="1"/>
  <c r="L2673" i="15" s="1"/>
  <c r="M2673" i="15" s="1"/>
  <c r="B665" i="15"/>
  <c r="L665" i="15" a="1"/>
  <c r="L665" i="15" s="1"/>
  <c r="M665" i="15" s="1"/>
  <c r="B629" i="15"/>
  <c r="L629" i="15" a="1"/>
  <c r="L629" i="15" s="1"/>
  <c r="I682" i="1"/>
  <c r="I687" i="1"/>
  <c r="J682" i="1"/>
  <c r="J687" i="1"/>
  <c r="O682" i="1"/>
  <c r="O687" i="1"/>
  <c r="U166" i="3"/>
  <c r="L651" i="15" a="1"/>
  <c r="L651" i="15" s="1"/>
  <c r="B651" i="15"/>
  <c r="V163" i="3"/>
  <c r="V164" i="3"/>
  <c r="V165" i="3"/>
  <c r="V166" i="3"/>
  <c r="V167" i="3"/>
  <c r="U164" i="3"/>
  <c r="U165" i="3"/>
  <c r="G2430" i="15"/>
  <c r="G2479" i="15"/>
  <c r="G2522" i="15"/>
  <c r="G2562" i="15"/>
  <c r="G2601" i="15"/>
  <c r="G2636" i="15"/>
  <c r="L2636" i="15" a="1"/>
  <c r="L2636" i="15" s="1"/>
  <c r="M2636" i="15" s="1"/>
  <c r="B2636" i="15"/>
  <c r="L2601" i="15" a="1"/>
  <c r="L2601" i="15" s="1"/>
  <c r="M2601" i="15" s="1"/>
  <c r="L2562" i="15" a="1"/>
  <c r="L2562" i="15" s="1"/>
  <c r="M2562" i="15" s="1"/>
  <c r="L2522" i="15" a="1"/>
  <c r="L2522" i="15" s="1"/>
  <c r="M2522" i="15" s="1"/>
  <c r="L2479" i="15" a="1"/>
  <c r="L2479" i="15" s="1"/>
  <c r="M2479" i="15" s="1"/>
  <c r="L2430" i="15" a="1"/>
  <c r="L2430" i="15" s="1"/>
  <c r="M2430" i="15" s="1"/>
  <c r="B2430" i="15"/>
  <c r="B2479" i="15"/>
  <c r="B2522" i="15"/>
  <c r="B2562" i="15"/>
  <c r="B2601" i="15"/>
  <c r="L1948" i="15" a="1"/>
  <c r="L1948" i="15" s="1"/>
  <c r="M1948" i="15" s="1"/>
  <c r="B1948" i="15"/>
  <c r="L1872" i="15" a="1"/>
  <c r="L1872" i="15" s="1"/>
  <c r="M1872" i="15" s="1"/>
  <c r="B1872" i="15"/>
  <c r="L1792" i="15" a="1"/>
  <c r="L1792" i="15" s="1"/>
  <c r="M1792" i="15" s="1"/>
  <c r="L1717" i="15" a="1"/>
  <c r="L1717" i="15" s="1"/>
  <c r="M1717" i="15" s="1"/>
  <c r="L1642" i="15" a="1"/>
  <c r="L1642" i="15" s="1"/>
  <c r="M1642" i="15" s="1"/>
  <c r="L1561" i="15" a="1"/>
  <c r="L1561" i="15" s="1"/>
  <c r="M1561" i="15" s="1"/>
  <c r="L1469" i="15" a="1"/>
  <c r="L1469" i="15" s="1"/>
  <c r="M1469" i="15" s="1"/>
  <c r="L1372" i="15" a="1"/>
  <c r="L1372" i="15" s="1"/>
  <c r="M1372" i="15" s="1"/>
  <c r="L1259" i="15" a="1"/>
  <c r="L1259" i="15" s="1"/>
  <c r="M1259" i="15" s="1"/>
  <c r="B1259" i="15"/>
  <c r="B1372" i="15"/>
  <c r="B1469" i="15"/>
  <c r="B1561" i="15"/>
  <c r="B1642" i="15"/>
  <c r="B1717" i="15"/>
  <c r="B1792" i="15"/>
  <c r="L1151" i="15" a="1"/>
  <c r="L1151" i="15" s="1"/>
  <c r="M1151" i="15" s="1"/>
  <c r="L1053" i="15" a="1"/>
  <c r="L1053" i="15" s="1"/>
  <c r="M1053" i="15" s="1"/>
  <c r="L906" i="15" a="1"/>
  <c r="L906" i="15" s="1"/>
  <c r="M906" i="15" s="1"/>
  <c r="L789" i="15" a="1"/>
  <c r="L789" i="15" s="1"/>
  <c r="M789" i="15" s="1"/>
  <c r="L664" i="15" a="1"/>
  <c r="L664" i="15" s="1"/>
  <c r="M664" i="15" s="1"/>
  <c r="B664" i="15"/>
  <c r="B789" i="15"/>
  <c r="B906" i="15"/>
  <c r="B1053" i="15"/>
  <c r="B1151" i="15"/>
  <c r="L648" i="15" a="1"/>
  <c r="L648" i="15" s="1"/>
  <c r="B648" i="15"/>
  <c r="S167" i="3"/>
  <c r="R167" i="3"/>
  <c r="P167" i="3"/>
  <c r="G167" i="3"/>
  <c r="R683" i="1" s="1"/>
  <c r="O679" i="1"/>
  <c r="O683" i="1"/>
  <c r="J679" i="1"/>
  <c r="J683" i="1"/>
  <c r="N167" i="3" s="1"/>
  <c r="I679" i="1"/>
  <c r="I683" i="1"/>
  <c r="S166" i="3"/>
  <c r="P166" i="3"/>
  <c r="G166" i="3"/>
  <c r="R674" i="1" s="1"/>
  <c r="O673" i="1"/>
  <c r="J673" i="1"/>
  <c r="I673" i="1"/>
  <c r="S165" i="3"/>
  <c r="R165" i="3"/>
  <c r="P165" i="3"/>
  <c r="G165" i="3"/>
  <c r="O677" i="1"/>
  <c r="O674" i="1"/>
  <c r="O672" i="1"/>
  <c r="J677" i="1"/>
  <c r="N165" i="3" s="1"/>
  <c r="J674" i="1"/>
  <c r="N166" i="3" s="1"/>
  <c r="J672" i="1"/>
  <c r="I677" i="1"/>
  <c r="I674" i="1"/>
  <c r="I672" i="1"/>
  <c r="I680" i="1"/>
  <c r="J680" i="1"/>
  <c r="O680" i="1"/>
  <c r="G164" i="3"/>
  <c r="P164" i="3"/>
  <c r="S164" i="3"/>
  <c r="I678" i="1"/>
  <c r="I676" i="1"/>
  <c r="I675" i="1"/>
  <c r="J678" i="1"/>
  <c r="J676" i="1"/>
  <c r="J675" i="1"/>
  <c r="O678" i="1"/>
  <c r="O676" i="1"/>
  <c r="O675" i="1"/>
  <c r="O670" i="1"/>
  <c r="J670" i="1"/>
  <c r="I670" i="1"/>
  <c r="O669" i="1"/>
  <c r="J669" i="1"/>
  <c r="I669" i="1"/>
  <c r="V2" i="3"/>
  <c r="V3" i="3"/>
  <c r="V4" i="3"/>
  <c r="V5" i="3"/>
  <c r="V6" i="3"/>
  <c r="V7" i="3"/>
  <c r="V8" i="3"/>
  <c r="V9" i="3"/>
  <c r="V10" i="3"/>
  <c r="V11" i="3"/>
  <c r="V14" i="3"/>
  <c r="V12" i="3"/>
  <c r="V13" i="3"/>
  <c r="V15" i="3"/>
  <c r="V16" i="3"/>
  <c r="V17" i="3"/>
  <c r="V18" i="3"/>
  <c r="V19" i="3"/>
  <c r="V20" i="3"/>
  <c r="V21" i="3"/>
  <c r="V22" i="3"/>
  <c r="V23" i="3"/>
  <c r="V24" i="3"/>
  <c r="V25" i="3"/>
  <c r="V26" i="3"/>
  <c r="V32" i="3"/>
  <c r="V27" i="3"/>
  <c r="V28" i="3"/>
  <c r="V29" i="3"/>
  <c r="V30" i="3"/>
  <c r="V31" i="3"/>
  <c r="V33" i="3"/>
  <c r="V34" i="3"/>
  <c r="V35" i="3"/>
  <c r="V36" i="3"/>
  <c r="V37" i="3"/>
  <c r="V38" i="3"/>
  <c r="V49" i="3"/>
  <c r="V39" i="3"/>
  <c r="V40" i="3"/>
  <c r="V41" i="3"/>
  <c r="V42" i="3"/>
  <c r="V43" i="3"/>
  <c r="V44" i="3"/>
  <c r="V45" i="3"/>
  <c r="V46" i="3"/>
  <c r="V47" i="3"/>
  <c r="V48" i="3"/>
  <c r="V50" i="3"/>
  <c r="V51" i="3"/>
  <c r="V52" i="3"/>
  <c r="V53" i="3"/>
  <c r="V54" i="3"/>
  <c r="V55" i="3"/>
  <c r="V56" i="3"/>
  <c r="V57" i="3"/>
  <c r="V58" i="3"/>
  <c r="V59" i="3"/>
  <c r="V80" i="3"/>
  <c r="V60" i="3"/>
  <c r="V61" i="3"/>
  <c r="V62" i="3"/>
  <c r="V63" i="3"/>
  <c r="V64" i="3"/>
  <c r="V66" i="3"/>
  <c r="V67" i="3"/>
  <c r="V68" i="3"/>
  <c r="V69" i="3"/>
  <c r="V70" i="3"/>
  <c r="V71" i="3"/>
  <c r="V72" i="3"/>
  <c r="V73" i="3"/>
  <c r="V74" i="3"/>
  <c r="V75" i="3"/>
  <c r="V76" i="3"/>
  <c r="V77" i="3"/>
  <c r="V78" i="3"/>
  <c r="V79"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R11" i="3"/>
  <c r="R17" i="3"/>
  <c r="R21" i="3"/>
  <c r="R33" i="3"/>
  <c r="R36" i="3"/>
  <c r="R37" i="3"/>
  <c r="R49" i="3"/>
  <c r="R40" i="3"/>
  <c r="R50" i="3"/>
  <c r="R58" i="3"/>
  <c r="R60" i="3"/>
  <c r="R61" i="3"/>
  <c r="R63" i="3"/>
  <c r="R64" i="3"/>
  <c r="R65" i="3"/>
  <c r="R70" i="3"/>
  <c r="R74" i="3"/>
  <c r="R76" i="3"/>
  <c r="R85" i="3"/>
  <c r="R87" i="3"/>
  <c r="R88" i="3"/>
  <c r="R89" i="3"/>
  <c r="R91" i="3"/>
  <c r="R92" i="3"/>
  <c r="R93" i="3"/>
  <c r="R99" i="3"/>
  <c r="R101" i="3"/>
  <c r="R105" i="3"/>
  <c r="R106" i="3"/>
  <c r="R108" i="3"/>
  <c r="R111" i="3"/>
  <c r="R116" i="3"/>
  <c r="R117" i="3"/>
  <c r="R118" i="3"/>
  <c r="R122" i="3"/>
  <c r="R129" i="3"/>
  <c r="R130" i="3"/>
  <c r="R132" i="3"/>
  <c r="R137" i="3"/>
  <c r="R149" i="3"/>
  <c r="R150" i="3"/>
  <c r="R154" i="3"/>
  <c r="R155" i="3"/>
  <c r="I668" i="1"/>
  <c r="I671" i="1"/>
  <c r="J668" i="1"/>
  <c r="J671" i="1"/>
  <c r="O668" i="1"/>
  <c r="O671" i="1"/>
  <c r="I667" i="1"/>
  <c r="J667" i="1"/>
  <c r="O667" i="1"/>
  <c r="I666" i="1"/>
  <c r="J666" i="1"/>
  <c r="O666" i="1"/>
  <c r="R676" i="1" l="1"/>
  <c r="R813" i="1"/>
  <c r="R940" i="1"/>
  <c r="R691" i="1"/>
  <c r="R677" i="1"/>
  <c r="R693" i="1"/>
  <c r="R929" i="1"/>
  <c r="R703" i="1"/>
  <c r="R694" i="1"/>
  <c r="R700" i="1"/>
  <c r="R701" i="1"/>
  <c r="T164" i="3"/>
  <c r="T165" i="3"/>
  <c r="T166" i="3"/>
  <c r="T167" i="3"/>
  <c r="M648" i="15"/>
  <c r="X164" i="3" s="1"/>
  <c r="E648" i="15" s="1"/>
  <c r="M629" i="15"/>
  <c r="X159" i="3" s="1"/>
  <c r="E629" i="15" s="1"/>
  <c r="H165" i="3"/>
  <c r="H164" i="3"/>
  <c r="I166" i="3"/>
  <c r="H166" i="3"/>
  <c r="I167" i="3"/>
  <c r="H167" i="3"/>
  <c r="N164" i="3"/>
  <c r="Q15" i="13"/>
  <c r="I165" i="3"/>
  <c r="I164" i="3"/>
  <c r="M12" i="23"/>
  <c r="H13" i="23"/>
  <c r="Q13" i="23" s="1"/>
  <c r="M651" i="15"/>
  <c r="X166" i="3" s="1"/>
  <c r="E651" i="15" s="1"/>
  <c r="E2768" i="15"/>
  <c r="E2761" i="15"/>
  <c r="E2752" i="15"/>
  <c r="E2736" i="15"/>
  <c r="E2718" i="15"/>
  <c r="E2773" i="15"/>
  <c r="E2667" i="15"/>
  <c r="E2695" i="15"/>
  <c r="E2637" i="15"/>
  <c r="E1562" i="15"/>
  <c r="E2602" i="15"/>
  <c r="E1793" i="15"/>
  <c r="E1260" i="15"/>
  <c r="E907" i="15"/>
  <c r="E678" i="15"/>
  <c r="E658" i="15"/>
  <c r="E661" i="15"/>
  <c r="E662" i="15"/>
  <c r="E659" i="15"/>
  <c r="E660" i="15"/>
  <c r="R159" i="3"/>
  <c r="R166" i="3"/>
  <c r="R164" i="3"/>
  <c r="S32" i="3"/>
  <c r="U2" i="3"/>
  <c r="S2" i="3"/>
  <c r="U163" i="3"/>
  <c r="U162" i="3"/>
  <c r="U161" i="3"/>
  <c r="U160" i="3"/>
  <c r="U159" i="3"/>
  <c r="U158" i="3"/>
  <c r="U157" i="3"/>
  <c r="U156" i="3"/>
  <c r="U155" i="3"/>
  <c r="U154" i="3"/>
  <c r="U153" i="3"/>
  <c r="U152" i="3"/>
  <c r="U151" i="3"/>
  <c r="U150" i="3"/>
  <c r="U149" i="3"/>
  <c r="U148" i="3"/>
  <c r="U147" i="3"/>
  <c r="U146" i="3"/>
  <c r="U145" i="3"/>
  <c r="U144" i="3"/>
  <c r="U143" i="3"/>
  <c r="U142" i="3"/>
  <c r="U141" i="3"/>
  <c r="U140" i="3"/>
  <c r="U139" i="3"/>
  <c r="U138" i="3"/>
  <c r="U137" i="3"/>
  <c r="U136" i="3"/>
  <c r="U135" i="3"/>
  <c r="U134" i="3"/>
  <c r="U133" i="3"/>
  <c r="U131" i="3"/>
  <c r="U130" i="3"/>
  <c r="U128" i="3"/>
  <c r="U127" i="3"/>
  <c r="U126" i="3"/>
  <c r="U125" i="3"/>
  <c r="U124" i="3"/>
  <c r="U123" i="3"/>
  <c r="U122" i="3"/>
  <c r="U121" i="3"/>
  <c r="U120" i="3"/>
  <c r="U119" i="3"/>
  <c r="U116" i="3"/>
  <c r="U115" i="3"/>
  <c r="U114" i="3"/>
  <c r="U113" i="3"/>
  <c r="U112" i="3"/>
  <c r="U110" i="3"/>
  <c r="U109" i="3"/>
  <c r="U107" i="3"/>
  <c r="U104" i="3"/>
  <c r="U103" i="3"/>
  <c r="U102" i="3"/>
  <c r="U101" i="3"/>
  <c r="U100" i="3"/>
  <c r="U98" i="3"/>
  <c r="U97" i="3"/>
  <c r="U96" i="3"/>
  <c r="U95" i="3"/>
  <c r="U94" i="3"/>
  <c r="U93" i="3"/>
  <c r="U92" i="3"/>
  <c r="U91" i="3"/>
  <c r="U90" i="3"/>
  <c r="U86" i="3"/>
  <c r="U85" i="3"/>
  <c r="U84" i="3"/>
  <c r="U83" i="3"/>
  <c r="U82" i="3"/>
  <c r="U81" i="3"/>
  <c r="U79" i="3"/>
  <c r="U78" i="3"/>
  <c r="U77" i="3"/>
  <c r="U75" i="3"/>
  <c r="U73" i="3"/>
  <c r="U72" i="3"/>
  <c r="U71" i="3"/>
  <c r="U70" i="3"/>
  <c r="U69" i="3"/>
  <c r="U68" i="3"/>
  <c r="U67" i="3"/>
  <c r="U66" i="3"/>
  <c r="U62" i="3"/>
  <c r="U61" i="3"/>
  <c r="U80" i="3"/>
  <c r="U59" i="3"/>
  <c r="U57" i="3"/>
  <c r="U56" i="3"/>
  <c r="U54" i="3"/>
  <c r="U53" i="3"/>
  <c r="U52" i="3"/>
  <c r="U51" i="3"/>
  <c r="U50" i="3"/>
  <c r="U48" i="3"/>
  <c r="U47" i="3"/>
  <c r="U46" i="3"/>
  <c r="U45" i="3"/>
  <c r="U44" i="3"/>
  <c r="U43" i="3"/>
  <c r="U42" i="3"/>
  <c r="U41" i="3"/>
  <c r="U40" i="3"/>
  <c r="U39" i="3"/>
  <c r="U49" i="3"/>
  <c r="U38" i="3"/>
  <c r="U37" i="3"/>
  <c r="U36" i="3"/>
  <c r="U35" i="3"/>
  <c r="U34" i="3"/>
  <c r="U31" i="3"/>
  <c r="U30" i="3"/>
  <c r="U29" i="3"/>
  <c r="U28" i="3"/>
  <c r="U27" i="3"/>
  <c r="U32" i="3"/>
  <c r="U26" i="3"/>
  <c r="U25" i="3"/>
  <c r="U24" i="3"/>
  <c r="U23" i="3"/>
  <c r="U22" i="3"/>
  <c r="U21" i="3"/>
  <c r="U20" i="3"/>
  <c r="U19" i="3"/>
  <c r="U18" i="3"/>
  <c r="U17" i="3"/>
  <c r="U16" i="3"/>
  <c r="U15" i="3"/>
  <c r="U13" i="3"/>
  <c r="U12" i="3"/>
  <c r="U14" i="3"/>
  <c r="U10" i="3"/>
  <c r="U9" i="3"/>
  <c r="U8" i="3"/>
  <c r="U7" i="3"/>
  <c r="U6" i="3"/>
  <c r="U5" i="3"/>
  <c r="U4" i="3"/>
  <c r="U3" i="3"/>
  <c r="S3" i="3"/>
  <c r="S4" i="3"/>
  <c r="S5" i="3"/>
  <c r="S6" i="3"/>
  <c r="S7" i="3"/>
  <c r="S8" i="3"/>
  <c r="S9" i="3"/>
  <c r="S10" i="3"/>
  <c r="S11" i="3"/>
  <c r="S14" i="3"/>
  <c r="S13" i="3"/>
  <c r="S15" i="3"/>
  <c r="S17" i="3"/>
  <c r="S18" i="3"/>
  <c r="S19" i="3"/>
  <c r="S20" i="3"/>
  <c r="S21" i="3"/>
  <c r="S22" i="3"/>
  <c r="S25" i="3"/>
  <c r="S26" i="3"/>
  <c r="S27" i="3"/>
  <c r="S28" i="3"/>
  <c r="S29" i="3"/>
  <c r="S30" i="3"/>
  <c r="S33" i="3"/>
  <c r="S34" i="3"/>
  <c r="S35" i="3"/>
  <c r="S36" i="3"/>
  <c r="S37" i="3"/>
  <c r="S38" i="3"/>
  <c r="S49" i="3"/>
  <c r="S39" i="3"/>
  <c r="S40" i="3"/>
  <c r="S41" i="3"/>
  <c r="S42" i="3"/>
  <c r="S43" i="3"/>
  <c r="S44" i="3"/>
  <c r="S45" i="3"/>
  <c r="S46" i="3"/>
  <c r="S47" i="3"/>
  <c r="S48" i="3"/>
  <c r="S50" i="3"/>
  <c r="S51" i="3"/>
  <c r="S52" i="3"/>
  <c r="S53" i="3"/>
  <c r="S56" i="3"/>
  <c r="S57" i="3"/>
  <c r="S58" i="3"/>
  <c r="S59" i="3"/>
  <c r="S80" i="3"/>
  <c r="S60" i="3"/>
  <c r="S61" i="3"/>
  <c r="S63" i="3"/>
  <c r="S64" i="3"/>
  <c r="S65" i="3"/>
  <c r="S66" i="3"/>
  <c r="S67" i="3"/>
  <c r="S68" i="3"/>
  <c r="S69" i="3"/>
  <c r="S70" i="3"/>
  <c r="S71" i="3"/>
  <c r="S72" i="3"/>
  <c r="S73" i="3"/>
  <c r="S74" i="3"/>
  <c r="S75" i="3"/>
  <c r="S76" i="3"/>
  <c r="S77" i="3"/>
  <c r="S78" i="3"/>
  <c r="S79" i="3"/>
  <c r="S81" i="3"/>
  <c r="S82" i="3"/>
  <c r="S83" i="3"/>
  <c r="S84" i="3"/>
  <c r="S85"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B640" i="15"/>
  <c r="B760" i="15"/>
  <c r="L640" i="15" a="1"/>
  <c r="L640" i="15" s="1"/>
  <c r="M640" i="15" s="1"/>
  <c r="L760" i="15" a="1"/>
  <c r="L760" i="15" s="1"/>
  <c r="M760" i="15" s="1"/>
  <c r="B638" i="15"/>
  <c r="L638" i="15" a="1"/>
  <c r="L638" i="15" s="1"/>
  <c r="M638" i="15" s="1"/>
  <c r="I738" i="15"/>
  <c r="S55" i="3" s="1"/>
  <c r="I741" i="15"/>
  <c r="S54" i="3" s="1"/>
  <c r="G2595" i="15"/>
  <c r="G2632" i="15"/>
  <c r="G2663" i="15"/>
  <c r="G2692" i="15"/>
  <c r="G2715" i="15"/>
  <c r="G2733" i="15"/>
  <c r="G2750" i="15"/>
  <c r="G2759" i="15"/>
  <c r="G2766" i="15"/>
  <c r="G2556" i="15"/>
  <c r="B2750" i="15"/>
  <c r="B2759" i="15"/>
  <c r="B2766" i="15"/>
  <c r="L2750" i="15" a="1"/>
  <c r="L2750" i="15" s="1"/>
  <c r="M2750" i="15" s="1"/>
  <c r="L2759" i="15" a="1"/>
  <c r="L2759" i="15" s="1"/>
  <c r="M2759" i="15" s="1"/>
  <c r="L2766" i="15" a="1"/>
  <c r="L2766" i="15" s="1"/>
  <c r="M2766" i="15" s="1"/>
  <c r="B2556" i="15"/>
  <c r="B2595" i="15"/>
  <c r="B2632" i="15"/>
  <c r="B2663" i="15"/>
  <c r="B2692" i="15"/>
  <c r="B2715" i="15"/>
  <c r="B2733" i="15"/>
  <c r="L2556" i="15" a="1"/>
  <c r="L2556" i="15" s="1"/>
  <c r="M2556" i="15" s="1"/>
  <c r="L2595" i="15" a="1"/>
  <c r="L2595" i="15" s="1"/>
  <c r="M2595" i="15" s="1"/>
  <c r="L2632" i="15" a="1"/>
  <c r="L2632" i="15" s="1"/>
  <c r="M2632" i="15" s="1"/>
  <c r="L2663" i="15" a="1"/>
  <c r="L2663" i="15" s="1"/>
  <c r="M2663" i="15" s="1"/>
  <c r="L2692" i="15" a="1"/>
  <c r="L2692" i="15" s="1"/>
  <c r="M2692" i="15" s="1"/>
  <c r="L2715" i="15" a="1"/>
  <c r="L2715" i="15" s="1"/>
  <c r="M2715" i="15" s="1"/>
  <c r="L2733" i="15" a="1"/>
  <c r="L2733" i="15" s="1"/>
  <c r="M2733" i="15" s="1"/>
  <c r="B2877" i="15"/>
  <c r="L2877" i="15" a="1"/>
  <c r="L2877" i="15" s="1"/>
  <c r="M2877" i="15" s="1"/>
  <c r="B1787" i="15"/>
  <c r="B1867" i="15"/>
  <c r="B1943" i="15"/>
  <c r="B2016" i="15"/>
  <c r="B2092" i="15"/>
  <c r="B2165" i="15"/>
  <c r="L1787" i="15" a="1"/>
  <c r="L1787" i="15" s="1"/>
  <c r="M1787" i="15" s="1"/>
  <c r="L1867" i="15" a="1"/>
  <c r="L1867" i="15" s="1"/>
  <c r="M1867" i="15" s="1"/>
  <c r="L1943" i="15" a="1"/>
  <c r="L1943" i="15" s="1"/>
  <c r="M1943" i="15" s="1"/>
  <c r="L2016" i="15" a="1"/>
  <c r="L2016" i="15" s="1"/>
  <c r="M2016" i="15" s="1"/>
  <c r="L2092" i="15" a="1"/>
  <c r="L2092" i="15" s="1"/>
  <c r="M2092" i="15" s="1"/>
  <c r="L2165" i="15" a="1"/>
  <c r="L2165" i="15" s="1"/>
  <c r="M2165" i="15" s="1"/>
  <c r="B892" i="15"/>
  <c r="B1027" i="15"/>
  <c r="B1141" i="15"/>
  <c r="B1249" i="15"/>
  <c r="B1363" i="15"/>
  <c r="B1460" i="15"/>
  <c r="B1553" i="15"/>
  <c r="B1634" i="15"/>
  <c r="B1712" i="15"/>
  <c r="L892" i="15" a="1"/>
  <c r="L892" i="15" s="1"/>
  <c r="M892" i="15" s="1"/>
  <c r="L1027" i="15" a="1"/>
  <c r="L1027" i="15" s="1"/>
  <c r="M1027" i="15" s="1"/>
  <c r="L1141" i="15" a="1"/>
  <c r="L1141" i="15" s="1"/>
  <c r="M1141" i="15" s="1"/>
  <c r="L1249" i="15" a="1"/>
  <c r="L1249" i="15" s="1"/>
  <c r="M1249" i="15" s="1"/>
  <c r="L1363" i="15" a="1"/>
  <c r="L1363" i="15" s="1"/>
  <c r="M1363" i="15" s="1"/>
  <c r="L1460" i="15" a="1"/>
  <c r="L1460" i="15" s="1"/>
  <c r="M1460" i="15" s="1"/>
  <c r="L1553" i="15" a="1"/>
  <c r="L1553" i="15" s="1"/>
  <c r="M1553" i="15" s="1"/>
  <c r="L1634" i="15" a="1"/>
  <c r="L1634" i="15" s="1"/>
  <c r="M1634" i="15" s="1"/>
  <c r="L1712" i="15" a="1"/>
  <c r="L1712" i="15" s="1"/>
  <c r="M1712" i="15" s="1"/>
  <c r="B779" i="15"/>
  <c r="L779" i="15" a="1"/>
  <c r="L779" i="15" s="1"/>
  <c r="M779" i="15" s="1"/>
  <c r="B621" i="15"/>
  <c r="L621" i="15" a="1"/>
  <c r="L621" i="15" s="1"/>
  <c r="M621" i="15" s="1"/>
  <c r="I663" i="1"/>
  <c r="J663" i="1"/>
  <c r="O663" i="1"/>
  <c r="I664" i="1"/>
  <c r="J664" i="1"/>
  <c r="O664" i="1"/>
  <c r="B642" i="15"/>
  <c r="L642" i="15" a="1"/>
  <c r="L642" i="15" s="1"/>
  <c r="M642" i="15" s="1"/>
  <c r="I665" i="1"/>
  <c r="J665" i="1"/>
  <c r="O665" i="1"/>
  <c r="I659" i="1"/>
  <c r="I660" i="1"/>
  <c r="I662" i="1"/>
  <c r="I661" i="1"/>
  <c r="J659" i="1"/>
  <c r="J660" i="1"/>
  <c r="J662" i="1"/>
  <c r="J661" i="1"/>
  <c r="O659" i="1"/>
  <c r="O660" i="1"/>
  <c r="O662" i="1"/>
  <c r="O661" i="1"/>
  <c r="G163" i="3"/>
  <c r="P163" i="3"/>
  <c r="I657" i="1"/>
  <c r="I658" i="1"/>
  <c r="J657" i="1"/>
  <c r="J658" i="1"/>
  <c r="O657" i="1"/>
  <c r="O658" i="1"/>
  <c r="B639" i="15"/>
  <c r="L639" i="15" a="1"/>
  <c r="L639" i="15" s="1"/>
  <c r="M639" i="15" s="1"/>
  <c r="B637" i="15"/>
  <c r="L637" i="15" a="1"/>
  <c r="L637" i="15" s="1"/>
  <c r="I656" i="1"/>
  <c r="J656" i="1"/>
  <c r="O656" i="1"/>
  <c r="G2143" i="15"/>
  <c r="G1912" i="15"/>
  <c r="G1992" i="15"/>
  <c r="G2070" i="15"/>
  <c r="G2144" i="15"/>
  <c r="G2219" i="15"/>
  <c r="G1830" i="15"/>
  <c r="G1911" i="15"/>
  <c r="G1991" i="15"/>
  <c r="G2069" i="15"/>
  <c r="G2218" i="15"/>
  <c r="G2141" i="15"/>
  <c r="G2216" i="15"/>
  <c r="G2285" i="15"/>
  <c r="G2346" i="15"/>
  <c r="G2398" i="15"/>
  <c r="G2447" i="15"/>
  <c r="G1989" i="15"/>
  <c r="G2067" i="15"/>
  <c r="G2140" i="15"/>
  <c r="G2215" i="15"/>
  <c r="G2284" i="15"/>
  <c r="G2345" i="15"/>
  <c r="G1988" i="15"/>
  <c r="G2066" i="15"/>
  <c r="G2139" i="15"/>
  <c r="G2214" i="15"/>
  <c r="G2283" i="15"/>
  <c r="G2344" i="15"/>
  <c r="G1828" i="15"/>
  <c r="G1909" i="15"/>
  <c r="G1987" i="15"/>
  <c r="G2065" i="15"/>
  <c r="G2138" i="15"/>
  <c r="G2213" i="15"/>
  <c r="G2282" i="15"/>
  <c r="G2343" i="15"/>
  <c r="G2397" i="15"/>
  <c r="G2446" i="15"/>
  <c r="G1745" i="15"/>
  <c r="G1827" i="15"/>
  <c r="G1908" i="15"/>
  <c r="G1986" i="15"/>
  <c r="G2063" i="15"/>
  <c r="G2134" i="15"/>
  <c r="G2209" i="15"/>
  <c r="G2278" i="15"/>
  <c r="G2338" i="15"/>
  <c r="G2392" i="15"/>
  <c r="G2441" i="15"/>
  <c r="G2489" i="15"/>
  <c r="G2062" i="15"/>
  <c r="G2133" i="15"/>
  <c r="G2208" i="15"/>
  <c r="G2277" i="15"/>
  <c r="G2337" i="15"/>
  <c r="G2391" i="15"/>
  <c r="G2440" i="15"/>
  <c r="G2488" i="15"/>
  <c r="G1907" i="15"/>
  <c r="G1985" i="15"/>
  <c r="G2061" i="15"/>
  <c r="G2132" i="15"/>
  <c r="G2335" i="15"/>
  <c r="G2389" i="15"/>
  <c r="G2438" i="15"/>
  <c r="G2486" i="15"/>
  <c r="G2528" i="15"/>
  <c r="G2567" i="15"/>
  <c r="G2131" i="15"/>
  <c r="G2207" i="15"/>
  <c r="G2275" i="15"/>
  <c r="G2334" i="15"/>
  <c r="G2388" i="15"/>
  <c r="G2437" i="15"/>
  <c r="G2737" i="15"/>
  <c r="G2753" i="15"/>
  <c r="G2762" i="15"/>
  <c r="G2769" i="15"/>
  <c r="G2774" i="15"/>
  <c r="G2779" i="15"/>
  <c r="G2130" i="15"/>
  <c r="G2205" i="15"/>
  <c r="G2273" i="15"/>
  <c r="G2331" i="15"/>
  <c r="G2385" i="15"/>
  <c r="G2434" i="15"/>
  <c r="G2060" i="15"/>
  <c r="G1906" i="15"/>
  <c r="G1984" i="15"/>
  <c r="G2059" i="15"/>
  <c r="G2129" i="15"/>
  <c r="G2204" i="15"/>
  <c r="G2271" i="15"/>
  <c r="G1826" i="15"/>
  <c r="G2203" i="15"/>
  <c r="G2270" i="15"/>
  <c r="G2329" i="15"/>
  <c r="G2383" i="15"/>
  <c r="G2432" i="15"/>
  <c r="G2481" i="15"/>
  <c r="G1825" i="15"/>
  <c r="G1905" i="15"/>
  <c r="G1983" i="15"/>
  <c r="G2058" i="15"/>
  <c r="G2128" i="15"/>
  <c r="G2202" i="15"/>
  <c r="G2269" i="15"/>
  <c r="G2328" i="15"/>
  <c r="G2382" i="15"/>
  <c r="G2431" i="15"/>
  <c r="G2480" i="15"/>
  <c r="G2523" i="15"/>
  <c r="G1666" i="15"/>
  <c r="G1744" i="15"/>
  <c r="G1824" i="15"/>
  <c r="G1904" i="15"/>
  <c r="G1982" i="15"/>
  <c r="G2057" i="15"/>
  <c r="G1903" i="15"/>
  <c r="G1981" i="15"/>
  <c r="G2056" i="15"/>
  <c r="G2126" i="15"/>
  <c r="G2200" i="15"/>
  <c r="G2267" i="15"/>
  <c r="G1823" i="15"/>
  <c r="G1902" i="15"/>
  <c r="G1980" i="15"/>
  <c r="G2055" i="15"/>
  <c r="G2125" i="15"/>
  <c r="G2199" i="15"/>
  <c r="G1743" i="15"/>
  <c r="G2124" i="15"/>
  <c r="G2198" i="15"/>
  <c r="G2266" i="15"/>
  <c r="G2326" i="15"/>
  <c r="G2380" i="15"/>
  <c r="G2428" i="15"/>
  <c r="G2325" i="15"/>
  <c r="G2379" i="15"/>
  <c r="G2427" i="15"/>
  <c r="G2478" i="15"/>
  <c r="G2521" i="15"/>
  <c r="G2561" i="15"/>
  <c r="G2600" i="15"/>
  <c r="G2378" i="15"/>
  <c r="G2426" i="15"/>
  <c r="G2477" i="15"/>
  <c r="G2520" i="15"/>
  <c r="G2560" i="15"/>
  <c r="G2599" i="15"/>
  <c r="G1665" i="15"/>
  <c r="G1741" i="15"/>
  <c r="G1821" i="15"/>
  <c r="G1900" i="15"/>
  <c r="G1978" i="15"/>
  <c r="G2053" i="15"/>
  <c r="G2122" i="15"/>
  <c r="G2197" i="15"/>
  <c r="G2265" i="15"/>
  <c r="G2324" i="15"/>
  <c r="G2377" i="15"/>
  <c r="G2424" i="15"/>
  <c r="G1740" i="15"/>
  <c r="G1820" i="15"/>
  <c r="G1899" i="15"/>
  <c r="G1977" i="15"/>
  <c r="G2052" i="15"/>
  <c r="G2121" i="15"/>
  <c r="G2196" i="15"/>
  <c r="G2193" i="15"/>
  <c r="G2262" i="15"/>
  <c r="G2321" i="15"/>
  <c r="G2376" i="15"/>
  <c r="G2423" i="15"/>
  <c r="G2048" i="15"/>
  <c r="G2117" i="15"/>
  <c r="G2191" i="15"/>
  <c r="G2261" i="15"/>
  <c r="G2320" i="15"/>
  <c r="G2374" i="15"/>
  <c r="G1662" i="15"/>
  <c r="G1737" i="15"/>
  <c r="G1817" i="15"/>
  <c r="G1896" i="15"/>
  <c r="G1973" i="15"/>
  <c r="G2047" i="15"/>
  <c r="G2551" i="15"/>
  <c r="G2590" i="15"/>
  <c r="G2627" i="15"/>
  <c r="G2659" i="15"/>
  <c r="G2687" i="15"/>
  <c r="G2710" i="15"/>
  <c r="G2729" i="15"/>
  <c r="G2046" i="15"/>
  <c r="G2116" i="15"/>
  <c r="G2188" i="15"/>
  <c r="G2259" i="15"/>
  <c r="G2318" i="15"/>
  <c r="G2372" i="15"/>
  <c r="G2044" i="15"/>
  <c r="G2114" i="15"/>
  <c r="G2186" i="15"/>
  <c r="G2257" i="15"/>
  <c r="G2316" i="15"/>
  <c r="G2369" i="15"/>
  <c r="G1661" i="15"/>
  <c r="G1736" i="15"/>
  <c r="G1895" i="15"/>
  <c r="G1972" i="15"/>
  <c r="G2043" i="15"/>
  <c r="G2113" i="15"/>
  <c r="G2185" i="15"/>
  <c r="G1816" i="15"/>
  <c r="G2111" i="15"/>
  <c r="G2183" i="15"/>
  <c r="G2255" i="15"/>
  <c r="G2314" i="15"/>
  <c r="G1659" i="15"/>
  <c r="G1734" i="15"/>
  <c r="G1814" i="15"/>
  <c r="G1893" i="15"/>
  <c r="G1970" i="15"/>
  <c r="G2041" i="15"/>
  <c r="G1967" i="15"/>
  <c r="G2038" i="15"/>
  <c r="G2109" i="15"/>
  <c r="G2181" i="15"/>
  <c r="G2252" i="15"/>
  <c r="G2312" i="15"/>
  <c r="G1811" i="15"/>
  <c r="G1890" i="15"/>
  <c r="G1966" i="15"/>
  <c r="G2037" i="15"/>
  <c r="G2108" i="15"/>
  <c r="G2180" i="15"/>
  <c r="G2251" i="15"/>
  <c r="G2311" i="15"/>
  <c r="G2310" i="15"/>
  <c r="G2367" i="15"/>
  <c r="G2418" i="15"/>
  <c r="G2466" i="15"/>
  <c r="G2509" i="15"/>
  <c r="G2546" i="15"/>
  <c r="G1809" i="15"/>
  <c r="G1888" i="15"/>
  <c r="G1964" i="15"/>
  <c r="G2035" i="15"/>
  <c r="G2106" i="15"/>
  <c r="G2177" i="15"/>
  <c r="G2248" i="15"/>
  <c r="G2307" i="15"/>
  <c r="G2365" i="15"/>
  <c r="G2416" i="15"/>
  <c r="G2464" i="15"/>
  <c r="G2507" i="15"/>
  <c r="G2544" i="15"/>
  <c r="G2582" i="15"/>
  <c r="G2619" i="15"/>
  <c r="G2652" i="15"/>
  <c r="G2680" i="15"/>
  <c r="G2703" i="15"/>
  <c r="G1808" i="15"/>
  <c r="G1887" i="15"/>
  <c r="G1963" i="15"/>
  <c r="G2034" i="15"/>
  <c r="G2105" i="15"/>
  <c r="G2176" i="15"/>
  <c r="G1730" i="15"/>
  <c r="G1807" i="15"/>
  <c r="G1886" i="15"/>
  <c r="G1961" i="15"/>
  <c r="G2032" i="15"/>
  <c r="G2103" i="15"/>
  <c r="G2503" i="15"/>
  <c r="G2246" i="15"/>
  <c r="G2305" i="15"/>
  <c r="G2363" i="15"/>
  <c r="G2414" i="15"/>
  <c r="G2460" i="15"/>
  <c r="G2362" i="15"/>
  <c r="G2413" i="15"/>
  <c r="G2459" i="15"/>
  <c r="G2502" i="15"/>
  <c r="G2540" i="15"/>
  <c r="G2579" i="15"/>
  <c r="G1654" i="15"/>
  <c r="G1728" i="15"/>
  <c r="G1805" i="15"/>
  <c r="G1884" i="15"/>
  <c r="G1959" i="15"/>
  <c r="G2030" i="15"/>
  <c r="G1653" i="15"/>
  <c r="G1727" i="15"/>
  <c r="G1804" i="15"/>
  <c r="G1883" i="15"/>
  <c r="G1958" i="15"/>
  <c r="G2029" i="15"/>
  <c r="G2101" i="15"/>
  <c r="G2173" i="15"/>
  <c r="G2244" i="15"/>
  <c r="G2303" i="15"/>
  <c r="G2361" i="15"/>
  <c r="G2412" i="15"/>
  <c r="G1803" i="15"/>
  <c r="G1882" i="15"/>
  <c r="G1957" i="15"/>
  <c r="G2028" i="15"/>
  <c r="G2100" i="15"/>
  <c r="G2172" i="15"/>
  <c r="G1802" i="15"/>
  <c r="G1881" i="15"/>
  <c r="G1956" i="15"/>
  <c r="G2027" i="15"/>
  <c r="G2135" i="15"/>
  <c r="G2210" i="15"/>
  <c r="G2279" i="15"/>
  <c r="G2339" i="15"/>
  <c r="G2393" i="15"/>
  <c r="G2442" i="15"/>
  <c r="G1742" i="15"/>
  <c r="G1822" i="15"/>
  <c r="G1901" i="15"/>
  <c r="G1979" i="15"/>
  <c r="G2054" i="15"/>
  <c r="G2123" i="15"/>
  <c r="G2341" i="15"/>
  <c r="G2395" i="15"/>
  <c r="G2444" i="15"/>
  <c r="G2491" i="15"/>
  <c r="G2531" i="15"/>
  <c r="G2570" i="15"/>
  <c r="G2608" i="15"/>
  <c r="G2643" i="15"/>
  <c r="G2672" i="15"/>
  <c r="G2697" i="15"/>
  <c r="G2127" i="15"/>
  <c r="G2201" i="15"/>
  <c r="G2268" i="15"/>
  <c r="G2327" i="15"/>
  <c r="G2381" i="15"/>
  <c r="G2429" i="15"/>
  <c r="G2137" i="15"/>
  <c r="G2212" i="15"/>
  <c r="G2281" i="15"/>
  <c r="G2342" i="15"/>
  <c r="G2396" i="15"/>
  <c r="G2445" i="15"/>
  <c r="G2332" i="15"/>
  <c r="G2386" i="15"/>
  <c r="G2435" i="15"/>
  <c r="G2484" i="15"/>
  <c r="G2526" i="15"/>
  <c r="G2565" i="15"/>
  <c r="G2605" i="15"/>
  <c r="G2640" i="15"/>
  <c r="G2670" i="15"/>
  <c r="G2696" i="15"/>
  <c r="G2483" i="15"/>
  <c r="G2525" i="15"/>
  <c r="G2564" i="15"/>
  <c r="G2604" i="15"/>
  <c r="G2639" i="15"/>
  <c r="G2669" i="15"/>
  <c r="G2510" i="15"/>
  <c r="G2547" i="15"/>
  <c r="G2584" i="15"/>
  <c r="G2621" i="15"/>
  <c r="G2653" i="15"/>
  <c r="G2681" i="15"/>
  <c r="G2704" i="15"/>
  <c r="G2723" i="15"/>
  <c r="G2742" i="15"/>
  <c r="G2755" i="15"/>
  <c r="G1656" i="15"/>
  <c r="G1731" i="15"/>
  <c r="G1810" i="15"/>
  <c r="G1889" i="15"/>
  <c r="G1965" i="15"/>
  <c r="G2036" i="15"/>
  <c r="G2107" i="15"/>
  <c r="G2178" i="15"/>
  <c r="G2249" i="15"/>
  <c r="G2308" i="15"/>
  <c r="G2588" i="15"/>
  <c r="G2625" i="15"/>
  <c r="G2657" i="15"/>
  <c r="G2685" i="15"/>
  <c r="G2708" i="15"/>
  <c r="G2726" i="15"/>
  <c r="G2744" i="15"/>
  <c r="G2756" i="15"/>
  <c r="G2763" i="15"/>
  <c r="G2770" i="15"/>
  <c r="G2420" i="15"/>
  <c r="G2469" i="15"/>
  <c r="G2512" i="15"/>
  <c r="G2549" i="15"/>
  <c r="G2587" i="15"/>
  <c r="G2624" i="15"/>
  <c r="G2656" i="15"/>
  <c r="G2684" i="15"/>
  <c r="G2707" i="15"/>
  <c r="G1891" i="15"/>
  <c r="G1968" i="15"/>
  <c r="G2039" i="15"/>
  <c r="G2110" i="15"/>
  <c r="G2182" i="15"/>
  <c r="G2254" i="15"/>
  <c r="G2313" i="15"/>
  <c r="G2368" i="15"/>
  <c r="G2419" i="15"/>
  <c r="G2467" i="15"/>
  <c r="G1655" i="15"/>
  <c r="G1729" i="15"/>
  <c r="G1806" i="15"/>
  <c r="G1885" i="15"/>
  <c r="G1960" i="15"/>
  <c r="G2031" i="15"/>
  <c r="G2102" i="15"/>
  <c r="G2174" i="15"/>
  <c r="G2245" i="15"/>
  <c r="G2304" i="15"/>
  <c r="G2778" i="15"/>
  <c r="G2783" i="15"/>
  <c r="G2788" i="15"/>
  <c r="G2793" i="15"/>
  <c r="G2798" i="15"/>
  <c r="G2802" i="15"/>
  <c r="G2806" i="15"/>
  <c r="G2810" i="15"/>
  <c r="G2814" i="15"/>
  <c r="G2818" i="15"/>
  <c r="G1489" i="15"/>
  <c r="G1577" i="15"/>
  <c r="G1663" i="15"/>
  <c r="G1738" i="15"/>
  <c r="G1818" i="15"/>
  <c r="G1897" i="15"/>
  <c r="G1974" i="15"/>
  <c r="G2049" i="15"/>
  <c r="G2118" i="15"/>
  <c r="G2192" i="15"/>
  <c r="G1831" i="15"/>
  <c r="G162" i="3"/>
  <c r="P162" i="3"/>
  <c r="I655" i="1"/>
  <c r="J655" i="1"/>
  <c r="O655" i="1"/>
  <c r="B2118" i="15"/>
  <c r="B2192" i="15"/>
  <c r="L2118" i="15" a="1"/>
  <c r="L2118" i="15" s="1"/>
  <c r="M2118" i="15" s="1"/>
  <c r="L2192" i="15" a="1"/>
  <c r="L2192" i="15" s="1"/>
  <c r="M2192" i="15" s="1"/>
  <c r="B1818" i="15"/>
  <c r="B1897" i="15"/>
  <c r="B1974" i="15"/>
  <c r="B2049" i="15"/>
  <c r="L1818" i="15" a="1"/>
  <c r="L1818" i="15" s="1"/>
  <c r="M1818" i="15" s="1"/>
  <c r="L1897" i="15" a="1"/>
  <c r="L1897" i="15" s="1"/>
  <c r="M1897" i="15" s="1"/>
  <c r="L1974" i="15" a="1"/>
  <c r="L1974" i="15" s="1"/>
  <c r="M1974" i="15" s="1"/>
  <c r="L2049" i="15" a="1"/>
  <c r="L2049" i="15" s="1"/>
  <c r="M2049" i="15" s="1"/>
  <c r="B851" i="15"/>
  <c r="B2869" i="15"/>
  <c r="B1489" i="15"/>
  <c r="B1577" i="15"/>
  <c r="B1663" i="15"/>
  <c r="B1738" i="15"/>
  <c r="L851" i="15" a="1"/>
  <c r="L851" i="15" s="1"/>
  <c r="M851" i="15" s="1"/>
  <c r="L2869" i="15" a="1"/>
  <c r="L2869" i="15" s="1"/>
  <c r="M2869" i="15" s="1"/>
  <c r="L1489" i="15" a="1"/>
  <c r="L1489" i="15" s="1"/>
  <c r="M1489" i="15" s="1"/>
  <c r="L1577" i="15" a="1"/>
  <c r="L1577" i="15" s="1"/>
  <c r="M1577" i="15" s="1"/>
  <c r="L1663" i="15" a="1"/>
  <c r="L1663" i="15" s="1"/>
  <c r="M1663" i="15" s="1"/>
  <c r="L1738" i="15" a="1"/>
  <c r="L1738" i="15" s="1"/>
  <c r="M1738" i="15" s="1"/>
  <c r="B633" i="15"/>
  <c r="L633" i="15" a="1"/>
  <c r="L633" i="15" s="1"/>
  <c r="G161" i="3"/>
  <c r="P161" i="3"/>
  <c r="I654" i="1"/>
  <c r="J654" i="1"/>
  <c r="N161" i="3" s="1"/>
  <c r="O654" i="1"/>
  <c r="I653" i="1"/>
  <c r="J653" i="1"/>
  <c r="O653" i="1"/>
  <c r="B636" i="15"/>
  <c r="L636" i="15" a="1"/>
  <c r="L636" i="15" s="1"/>
  <c r="M636" i="15" s="1"/>
  <c r="G86" i="3"/>
  <c r="S16" i="3"/>
  <c r="B1006" i="15"/>
  <c r="B2814" i="15"/>
  <c r="B2818" i="15"/>
  <c r="L2814" i="15" a="1"/>
  <c r="L2814" i="15" s="1"/>
  <c r="M2814" i="15" s="1"/>
  <c r="L2818" i="15" a="1"/>
  <c r="L2818" i="15" s="1"/>
  <c r="M2818" i="15" s="1"/>
  <c r="B2778" i="15"/>
  <c r="B2783" i="15"/>
  <c r="B2788" i="15"/>
  <c r="B2793" i="15"/>
  <c r="B2798" i="15"/>
  <c r="B2802" i="15"/>
  <c r="B2806" i="15"/>
  <c r="B2810" i="15"/>
  <c r="L2778" i="15" a="1"/>
  <c r="L2778" i="15" s="1"/>
  <c r="M2778" i="15" s="1"/>
  <c r="L2783" i="15" a="1"/>
  <c r="L2783" i="15" s="1"/>
  <c r="M2783" i="15" s="1"/>
  <c r="L2788" i="15" a="1"/>
  <c r="L2788" i="15" s="1"/>
  <c r="M2788" i="15" s="1"/>
  <c r="L2793" i="15" a="1"/>
  <c r="L2793" i="15" s="1"/>
  <c r="M2793" i="15" s="1"/>
  <c r="L2798" i="15" a="1"/>
  <c r="L2798" i="15" s="1"/>
  <c r="M2798" i="15" s="1"/>
  <c r="L2802" i="15" a="1"/>
  <c r="L2802" i="15" s="1"/>
  <c r="M2802" i="15" s="1"/>
  <c r="L2806" i="15" a="1"/>
  <c r="L2806" i="15" s="1"/>
  <c r="M2806" i="15" s="1"/>
  <c r="L2810" i="15" a="1"/>
  <c r="L2810" i="15" s="1"/>
  <c r="M2810" i="15" s="1"/>
  <c r="B2881" i="15"/>
  <c r="L2881" i="15" a="1"/>
  <c r="L2881" i="15" s="1"/>
  <c r="M2881" i="15" s="1"/>
  <c r="B2612" i="15"/>
  <c r="B2647" i="15"/>
  <c r="L2612" i="15" a="1"/>
  <c r="L2612" i="15" s="1"/>
  <c r="M2612" i="15" s="1"/>
  <c r="L2647" i="15" a="1"/>
  <c r="L2647" i="15" s="1"/>
  <c r="M2647" i="15" s="1"/>
  <c r="B2078" i="15"/>
  <c r="B2152" i="15"/>
  <c r="B2226" i="15"/>
  <c r="B2289" i="15"/>
  <c r="B2350" i="15"/>
  <c r="B2402" i="15"/>
  <c r="B2450" i="15"/>
  <c r="B2495" i="15"/>
  <c r="B2535" i="15"/>
  <c r="B2574" i="15"/>
  <c r="L2078" i="15" a="1"/>
  <c r="L2078" i="15" s="1"/>
  <c r="M2078" i="15" s="1"/>
  <c r="L2152" i="15" a="1"/>
  <c r="L2152" i="15" s="1"/>
  <c r="M2152" i="15" s="1"/>
  <c r="L2226" i="15" a="1"/>
  <c r="L2226" i="15" s="1"/>
  <c r="M2226" i="15" s="1"/>
  <c r="L2289" i="15" a="1"/>
  <c r="L2289" i="15" s="1"/>
  <c r="M2289" i="15" s="1"/>
  <c r="L2350" i="15" a="1"/>
  <c r="L2350" i="15" s="1"/>
  <c r="M2350" i="15" s="1"/>
  <c r="L2402" i="15" a="1"/>
  <c r="L2402" i="15" s="1"/>
  <c r="M2402" i="15" s="1"/>
  <c r="L2450" i="15" a="1"/>
  <c r="L2450" i="15" s="1"/>
  <c r="M2450" i="15" s="1"/>
  <c r="L2495" i="15" a="1"/>
  <c r="L2495" i="15" s="1"/>
  <c r="M2495" i="15" s="1"/>
  <c r="L2535" i="15" a="1"/>
  <c r="L2535" i="15" s="1"/>
  <c r="M2535" i="15" s="1"/>
  <c r="L2574" i="15" a="1"/>
  <c r="L2574" i="15" s="1"/>
  <c r="M2574" i="15" s="1"/>
  <c r="B1843" i="15"/>
  <c r="B1924" i="15"/>
  <c r="B2002" i="15"/>
  <c r="L1843" i="15" a="1"/>
  <c r="L1843" i="15" s="1"/>
  <c r="M1843" i="15" s="1"/>
  <c r="L1924" i="15" a="1"/>
  <c r="L1924" i="15" s="1"/>
  <c r="M1924" i="15" s="1"/>
  <c r="L2002" i="15" a="1"/>
  <c r="L2002" i="15" s="1"/>
  <c r="M2002" i="15" s="1"/>
  <c r="B833" i="15"/>
  <c r="B966" i="15"/>
  <c r="B1091" i="15"/>
  <c r="B1201" i="15"/>
  <c r="B1311" i="15"/>
  <c r="B1417" i="15"/>
  <c r="B1514" i="15"/>
  <c r="B1599" i="15"/>
  <c r="B1684" i="15"/>
  <c r="B1761" i="15"/>
  <c r="L833" i="15" a="1"/>
  <c r="L833" i="15" s="1"/>
  <c r="M833" i="15" s="1"/>
  <c r="L966" i="15" a="1"/>
  <c r="L966" i="15" s="1"/>
  <c r="M966" i="15" s="1"/>
  <c r="L1091" i="15" a="1"/>
  <c r="L1091" i="15" s="1"/>
  <c r="M1091" i="15" s="1"/>
  <c r="L1201" i="15" a="1"/>
  <c r="L1201" i="15" s="1"/>
  <c r="M1201" i="15" s="1"/>
  <c r="L1311" i="15" a="1"/>
  <c r="L1311" i="15" s="1"/>
  <c r="M1311" i="15" s="1"/>
  <c r="L1417" i="15" a="1"/>
  <c r="L1417" i="15" s="1"/>
  <c r="M1417" i="15" s="1"/>
  <c r="L1514" i="15" a="1"/>
  <c r="L1514" i="15" s="1"/>
  <c r="M1514" i="15" s="1"/>
  <c r="L1599" i="15" a="1"/>
  <c r="L1599" i="15" s="1"/>
  <c r="M1599" i="15" s="1"/>
  <c r="L1684" i="15" a="1"/>
  <c r="L1684" i="15" s="1"/>
  <c r="M1684" i="15" s="1"/>
  <c r="L1761" i="15" a="1"/>
  <c r="L1761" i="15" s="1"/>
  <c r="M1761" i="15" s="1"/>
  <c r="B628" i="15"/>
  <c r="L628" i="15" a="1"/>
  <c r="L628" i="15" s="1"/>
  <c r="J584" i="1"/>
  <c r="I584" i="1"/>
  <c r="G160" i="3"/>
  <c r="P160" i="3"/>
  <c r="I652" i="1"/>
  <c r="J652" i="1"/>
  <c r="N160" i="3" s="1"/>
  <c r="O652" i="1"/>
  <c r="G159" i="3"/>
  <c r="P159" i="3"/>
  <c r="G158" i="3"/>
  <c r="R645" i="1" s="1"/>
  <c r="P158" i="3"/>
  <c r="I650" i="1"/>
  <c r="J650" i="1"/>
  <c r="O650" i="1"/>
  <c r="I651" i="1"/>
  <c r="J651" i="1"/>
  <c r="N159" i="3" s="1"/>
  <c r="O651" i="1"/>
  <c r="I646" i="1"/>
  <c r="I643" i="1"/>
  <c r="I644" i="1"/>
  <c r="I645" i="1"/>
  <c r="I648" i="1"/>
  <c r="I647" i="1"/>
  <c r="I649" i="1"/>
  <c r="J646" i="1"/>
  <c r="J643" i="1"/>
  <c r="J644" i="1"/>
  <c r="J645" i="1"/>
  <c r="N158" i="3" s="1"/>
  <c r="J648" i="1"/>
  <c r="J647" i="1"/>
  <c r="J649" i="1"/>
  <c r="O646" i="1"/>
  <c r="O643" i="1"/>
  <c r="O644" i="1"/>
  <c r="O645" i="1"/>
  <c r="O648" i="1"/>
  <c r="O647" i="1"/>
  <c r="O649" i="1"/>
  <c r="I641" i="1"/>
  <c r="I640" i="1"/>
  <c r="J641" i="1"/>
  <c r="J640" i="1"/>
  <c r="O641" i="1"/>
  <c r="O640" i="1"/>
  <c r="G84" i="3"/>
  <c r="P84" i="3"/>
  <c r="I642" i="1"/>
  <c r="I639" i="1"/>
  <c r="J642" i="1"/>
  <c r="J639" i="1"/>
  <c r="O642" i="1"/>
  <c r="O639" i="1"/>
  <c r="I638" i="1"/>
  <c r="J638" i="1"/>
  <c r="O638" i="1"/>
  <c r="B2940" i="15"/>
  <c r="B2941" i="15"/>
  <c r="B2942" i="15"/>
  <c r="B2943" i="15"/>
  <c r="B2944" i="15"/>
  <c r="B2945" i="15"/>
  <c r="B2946" i="15"/>
  <c r="L2940" i="15" a="1"/>
  <c r="L2940" i="15" s="1"/>
  <c r="M2940" i="15" s="1"/>
  <c r="L2941" i="15" a="1"/>
  <c r="L2941" i="15" s="1"/>
  <c r="M2941" i="15" s="1"/>
  <c r="L2942" i="15" a="1"/>
  <c r="L2942" i="15" s="1"/>
  <c r="M2942" i="15" s="1"/>
  <c r="L2943" i="15" a="1"/>
  <c r="L2943" i="15" s="1"/>
  <c r="M2943" i="15" s="1"/>
  <c r="L2944" i="15" a="1"/>
  <c r="L2944" i="15" s="1"/>
  <c r="M2944" i="15" s="1"/>
  <c r="L2945" i="15" a="1"/>
  <c r="L2945" i="15" s="1"/>
  <c r="M2945" i="15" s="1"/>
  <c r="L2946" i="15" a="1"/>
  <c r="L2946" i="15" s="1"/>
  <c r="M2946" i="15" s="1"/>
  <c r="B2937" i="15"/>
  <c r="B2938" i="15"/>
  <c r="B2939" i="15"/>
  <c r="L2937" i="15" a="1"/>
  <c r="L2937" i="15" s="1"/>
  <c r="M2937" i="15" s="1"/>
  <c r="L2938" i="15" a="1"/>
  <c r="L2938" i="15" s="1"/>
  <c r="M2938" i="15" s="1"/>
  <c r="L2939" i="15" a="1"/>
  <c r="L2939" i="15" s="1"/>
  <c r="M2939" i="15" s="1"/>
  <c r="B1949" i="15"/>
  <c r="B2947" i="15"/>
  <c r="L1949" i="15" a="1"/>
  <c r="L1949" i="15" s="1"/>
  <c r="M1949" i="15" s="1"/>
  <c r="L2947" i="15" a="1"/>
  <c r="L2947" i="15" s="1"/>
  <c r="M2947" i="15" s="1"/>
  <c r="B908" i="15"/>
  <c r="B1107" i="15"/>
  <c r="B1261" i="15"/>
  <c r="B1373" i="15"/>
  <c r="B1470" i="15"/>
  <c r="B1643" i="15"/>
  <c r="B1718" i="15"/>
  <c r="B1794" i="15"/>
  <c r="B1873" i="15"/>
  <c r="L908" i="15" a="1"/>
  <c r="L908" i="15" s="1"/>
  <c r="M908" i="15" s="1"/>
  <c r="L1107" i="15" a="1"/>
  <c r="L1107" i="15" s="1"/>
  <c r="M1107" i="15" s="1"/>
  <c r="L1261" i="15" a="1"/>
  <c r="L1261" i="15" s="1"/>
  <c r="M1261" i="15" s="1"/>
  <c r="L1373" i="15" a="1"/>
  <c r="L1373" i="15" s="1"/>
  <c r="M1373" i="15" s="1"/>
  <c r="L1470" i="15" a="1"/>
  <c r="L1470" i="15" s="1"/>
  <c r="M1470" i="15" s="1"/>
  <c r="L1643" i="15" a="1"/>
  <c r="L1643" i="15" s="1"/>
  <c r="M1643" i="15" s="1"/>
  <c r="L1718" i="15" a="1"/>
  <c r="L1718" i="15" s="1"/>
  <c r="M1718" i="15" s="1"/>
  <c r="L1794" i="15" a="1"/>
  <c r="L1794" i="15" s="1"/>
  <c r="M1794" i="15" s="1"/>
  <c r="L1873" i="15" a="1"/>
  <c r="L1873" i="15" s="1"/>
  <c r="M1873" i="15" s="1"/>
  <c r="B608" i="15"/>
  <c r="L608" i="15" a="1"/>
  <c r="L608" i="15" s="1"/>
  <c r="B1885" i="15"/>
  <c r="B1960" i="15"/>
  <c r="B2031" i="15"/>
  <c r="B2102" i="15"/>
  <c r="B2174" i="15"/>
  <c r="B2245" i="15"/>
  <c r="B2304" i="15"/>
  <c r="L1885" i="15" a="1"/>
  <c r="L1885" i="15" s="1"/>
  <c r="M1885" i="15" s="1"/>
  <c r="L1960" i="15" a="1"/>
  <c r="L1960" i="15" s="1"/>
  <c r="M1960" i="15" s="1"/>
  <c r="L2031" i="15" a="1"/>
  <c r="L2031" i="15" s="1"/>
  <c r="M2031" i="15" s="1"/>
  <c r="L2102" i="15" a="1"/>
  <c r="L2102" i="15" s="1"/>
  <c r="M2102" i="15" s="1"/>
  <c r="L2174" i="15" a="1"/>
  <c r="L2174" i="15" s="1"/>
  <c r="M2174" i="15" s="1"/>
  <c r="L2245" i="15" a="1"/>
  <c r="L2245" i="15" s="1"/>
  <c r="M2245" i="15" s="1"/>
  <c r="L2304" i="15" a="1"/>
  <c r="L2304" i="15" s="1"/>
  <c r="M2304" i="15" s="1"/>
  <c r="B949" i="15"/>
  <c r="B1076" i="15"/>
  <c r="B2834" i="15"/>
  <c r="B1655" i="15"/>
  <c r="B1729" i="15"/>
  <c r="B1806" i="15"/>
  <c r="L949" i="15" a="1"/>
  <c r="L949" i="15" s="1"/>
  <c r="M949" i="15" s="1"/>
  <c r="L1076" i="15" a="1"/>
  <c r="L1076" i="15" s="1"/>
  <c r="M1076" i="15" s="1"/>
  <c r="L2834" i="15" a="1"/>
  <c r="L2834" i="15" s="1"/>
  <c r="M2834" i="15" s="1"/>
  <c r="L1655" i="15" a="1"/>
  <c r="L1655" i="15" s="1"/>
  <c r="M1655" i="15" s="1"/>
  <c r="L1729" i="15" a="1"/>
  <c r="L1729" i="15" s="1"/>
  <c r="M1729" i="15" s="1"/>
  <c r="L1806" i="15" a="1"/>
  <c r="L1806" i="15" s="1"/>
  <c r="M1806" i="15" s="1"/>
  <c r="B821" i="15"/>
  <c r="L821" i="15" a="1"/>
  <c r="L821" i="15" s="1"/>
  <c r="M821" i="15" s="1"/>
  <c r="I636" i="1"/>
  <c r="J636" i="1"/>
  <c r="O636" i="1"/>
  <c r="I635" i="1"/>
  <c r="I637" i="1"/>
  <c r="J635" i="1"/>
  <c r="J637" i="1"/>
  <c r="O635" i="1"/>
  <c r="O637" i="1"/>
  <c r="I634" i="1"/>
  <c r="J634" i="1"/>
  <c r="O634" i="1"/>
  <c r="H633" i="1"/>
  <c r="G633" i="1"/>
  <c r="O633" i="1"/>
  <c r="B2352" i="15"/>
  <c r="L2352" i="15" a="1"/>
  <c r="L2352" i="15" s="1"/>
  <c r="M2352" i="15" s="1"/>
  <c r="G157" i="3"/>
  <c r="P157" i="3"/>
  <c r="I632" i="1"/>
  <c r="I629" i="1"/>
  <c r="I630" i="1"/>
  <c r="I631" i="1"/>
  <c r="J632" i="1"/>
  <c r="J629" i="1"/>
  <c r="J630" i="1"/>
  <c r="J631" i="1"/>
  <c r="O632" i="1"/>
  <c r="O629" i="1"/>
  <c r="O630" i="1"/>
  <c r="O631" i="1"/>
  <c r="I627" i="1"/>
  <c r="J627" i="1"/>
  <c r="O627" i="1"/>
  <c r="I628" i="1"/>
  <c r="J628" i="1"/>
  <c r="N157" i="3" s="1"/>
  <c r="O628" i="1"/>
  <c r="I620" i="1"/>
  <c r="I625" i="1"/>
  <c r="I626" i="1"/>
  <c r="J620" i="1"/>
  <c r="J625" i="1"/>
  <c r="J626" i="1"/>
  <c r="O620" i="1"/>
  <c r="O625" i="1"/>
  <c r="O626" i="1"/>
  <c r="G622" i="1"/>
  <c r="H622" i="1"/>
  <c r="O623" i="1"/>
  <c r="O621" i="1"/>
  <c r="O624" i="1"/>
  <c r="O622" i="1"/>
  <c r="J623" i="1"/>
  <c r="J621" i="1"/>
  <c r="J624" i="1"/>
  <c r="I623" i="1"/>
  <c r="I621" i="1"/>
  <c r="I624" i="1"/>
  <c r="B609" i="15"/>
  <c r="L609" i="15" a="1"/>
  <c r="L609" i="15" s="1"/>
  <c r="M609" i="15" s="1"/>
  <c r="B600" i="15"/>
  <c r="L600" i="15" a="1"/>
  <c r="L600" i="15" s="1"/>
  <c r="G156" i="3"/>
  <c r="P156" i="3"/>
  <c r="I612" i="1"/>
  <c r="I613" i="1"/>
  <c r="J612" i="1"/>
  <c r="J613" i="1"/>
  <c r="O612" i="1"/>
  <c r="O613" i="1"/>
  <c r="I618" i="1"/>
  <c r="I616" i="1"/>
  <c r="I617" i="1"/>
  <c r="J618" i="1"/>
  <c r="J616" i="1"/>
  <c r="J617" i="1"/>
  <c r="O618" i="1"/>
  <c r="O616" i="1"/>
  <c r="O617" i="1"/>
  <c r="O615" i="1"/>
  <c r="J615" i="1"/>
  <c r="I615" i="1"/>
  <c r="O614" i="1"/>
  <c r="J614" i="1"/>
  <c r="I614" i="1"/>
  <c r="O619" i="1"/>
  <c r="J619" i="1"/>
  <c r="I619" i="1"/>
  <c r="J608" i="1"/>
  <c r="I608" i="1"/>
  <c r="O607" i="1"/>
  <c r="O608" i="1"/>
  <c r="O606" i="1"/>
  <c r="J607" i="1"/>
  <c r="J606" i="1"/>
  <c r="I607" i="1"/>
  <c r="I606" i="1"/>
  <c r="L602" i="15" a="1"/>
  <c r="L602" i="15" s="1"/>
  <c r="M602" i="15" s="1"/>
  <c r="B602" i="15"/>
  <c r="L601" i="15" a="1"/>
  <c r="L601" i="15" s="1"/>
  <c r="M601" i="15" s="1"/>
  <c r="B601" i="15"/>
  <c r="L603" i="15" a="1"/>
  <c r="L603" i="15" s="1"/>
  <c r="M603" i="15" s="1"/>
  <c r="B603" i="15"/>
  <c r="O611" i="1"/>
  <c r="J611" i="1"/>
  <c r="I611" i="1"/>
  <c r="O610" i="1"/>
  <c r="O605" i="1"/>
  <c r="J610" i="1"/>
  <c r="J605" i="1"/>
  <c r="I610" i="1"/>
  <c r="I605" i="1"/>
  <c r="O609" i="1"/>
  <c r="J609" i="1"/>
  <c r="I609" i="1"/>
  <c r="O604" i="1"/>
  <c r="J604" i="1"/>
  <c r="I604" i="1"/>
  <c r="I601" i="1"/>
  <c r="J601" i="1"/>
  <c r="O601" i="1"/>
  <c r="I602" i="1"/>
  <c r="J602" i="1"/>
  <c r="O602" i="1"/>
  <c r="I595" i="1"/>
  <c r="I593" i="1"/>
  <c r="I600" i="1"/>
  <c r="I603" i="1"/>
  <c r="J595" i="1"/>
  <c r="J593" i="1"/>
  <c r="J600" i="1"/>
  <c r="J603" i="1"/>
  <c r="O595" i="1"/>
  <c r="O593" i="1"/>
  <c r="O600" i="1"/>
  <c r="O603" i="1"/>
  <c r="I599" i="15"/>
  <c r="S12" i="3" s="1"/>
  <c r="I594" i="1"/>
  <c r="I598" i="1"/>
  <c r="I599" i="1"/>
  <c r="J594" i="1"/>
  <c r="J598" i="1"/>
  <c r="J599" i="1"/>
  <c r="O594" i="1"/>
  <c r="O598" i="1"/>
  <c r="O599" i="1"/>
  <c r="B585" i="15"/>
  <c r="L585" i="15" a="1"/>
  <c r="L585" i="15" s="1"/>
  <c r="M585" i="15" s="1"/>
  <c r="I592" i="1"/>
  <c r="J592" i="1"/>
  <c r="O592" i="1"/>
  <c r="I596" i="1"/>
  <c r="J596" i="1"/>
  <c r="O596" i="1"/>
  <c r="I597" i="1"/>
  <c r="J597" i="1"/>
  <c r="O597" i="1"/>
  <c r="I591" i="1"/>
  <c r="I590" i="1"/>
  <c r="J591" i="1"/>
  <c r="J590" i="1"/>
  <c r="O591" i="1"/>
  <c r="O590" i="1"/>
  <c r="B574" i="15"/>
  <c r="L574" i="15" a="1"/>
  <c r="L574" i="15" s="1"/>
  <c r="M574" i="15" s="1"/>
  <c r="B575" i="15"/>
  <c r="L575" i="15" a="1"/>
  <c r="L575" i="15" s="1"/>
  <c r="M575" i="15" s="1"/>
  <c r="G155" i="3"/>
  <c r="R589" i="1" s="1"/>
  <c r="P155" i="3"/>
  <c r="G154" i="3"/>
  <c r="R586" i="1" s="1"/>
  <c r="P154" i="3"/>
  <c r="I587" i="1"/>
  <c r="I588" i="1"/>
  <c r="I589" i="1"/>
  <c r="J587" i="1"/>
  <c r="J588" i="1"/>
  <c r="J589" i="1"/>
  <c r="N155" i="3" s="1"/>
  <c r="O587" i="1"/>
  <c r="O588" i="1"/>
  <c r="O589" i="1"/>
  <c r="I586" i="1"/>
  <c r="J586" i="1"/>
  <c r="N154" i="3" s="1"/>
  <c r="O586" i="1"/>
  <c r="H583" i="1"/>
  <c r="G583" i="1"/>
  <c r="I585" i="1"/>
  <c r="I581" i="1"/>
  <c r="J585" i="1"/>
  <c r="J581" i="1"/>
  <c r="O585" i="1"/>
  <c r="O583" i="1"/>
  <c r="O581" i="1"/>
  <c r="I580" i="1"/>
  <c r="I572" i="1"/>
  <c r="I571" i="1"/>
  <c r="I582" i="1"/>
  <c r="J580" i="1"/>
  <c r="J572" i="1"/>
  <c r="J571" i="1"/>
  <c r="J582" i="1"/>
  <c r="O580" i="1"/>
  <c r="O572" i="1"/>
  <c r="O571" i="1"/>
  <c r="O582" i="1"/>
  <c r="I574" i="1"/>
  <c r="I576" i="1"/>
  <c r="I579" i="1"/>
  <c r="J574" i="1"/>
  <c r="J576" i="1"/>
  <c r="J579" i="1"/>
  <c r="O574" i="1"/>
  <c r="O576" i="1"/>
  <c r="O579" i="1"/>
  <c r="I579" i="15"/>
  <c r="S31" i="3" s="1"/>
  <c r="B2419" i="15"/>
  <c r="B2467" i="15"/>
  <c r="L2419" i="15" a="1"/>
  <c r="L2419" i="15" s="1"/>
  <c r="M2419" i="15" s="1"/>
  <c r="L2467" i="15" a="1"/>
  <c r="L2467" i="15" s="1"/>
  <c r="M2467" i="15" s="1"/>
  <c r="B2368" i="15"/>
  <c r="L2368" i="15" a="1"/>
  <c r="L2368" i="15" s="1"/>
  <c r="M2368" i="15" s="1"/>
  <c r="B2852" i="15"/>
  <c r="B1891" i="15"/>
  <c r="B1968" i="15"/>
  <c r="B2039" i="15"/>
  <c r="B2110" i="15"/>
  <c r="B2182" i="15"/>
  <c r="B2254" i="15"/>
  <c r="B2313" i="15"/>
  <c r="L2852" i="15" a="1"/>
  <c r="L2852" i="15" s="1"/>
  <c r="M2852" i="15" s="1"/>
  <c r="L1891" i="15" a="1"/>
  <c r="L1891" i="15" s="1"/>
  <c r="M1891" i="15" s="1"/>
  <c r="L1968" i="15" a="1"/>
  <c r="L1968" i="15" s="1"/>
  <c r="M1968" i="15" s="1"/>
  <c r="L2039" i="15" a="1"/>
  <c r="L2039" i="15" s="1"/>
  <c r="M2039" i="15" s="1"/>
  <c r="L2110" i="15" a="1"/>
  <c r="L2110" i="15" s="1"/>
  <c r="M2110" i="15" s="1"/>
  <c r="L2182" i="15" a="1"/>
  <c r="L2182" i="15" s="1"/>
  <c r="M2182" i="15" s="1"/>
  <c r="L2254" i="15" a="1"/>
  <c r="L2254" i="15" s="1"/>
  <c r="M2254" i="15" s="1"/>
  <c r="L2313" i="15" a="1"/>
  <c r="L2313" i="15" s="1"/>
  <c r="M2313" i="15" s="1"/>
  <c r="B810" i="15"/>
  <c r="B936" i="15"/>
  <c r="B1061" i="15"/>
  <c r="B1170" i="15"/>
  <c r="B1281" i="15"/>
  <c r="B1391" i="15"/>
  <c r="B1487" i="15"/>
  <c r="B1575" i="15"/>
  <c r="B1657" i="15"/>
  <c r="B1732" i="15"/>
  <c r="B1812" i="15"/>
  <c r="L810" i="15" a="1"/>
  <c r="L810" i="15" s="1"/>
  <c r="L936" i="15" a="1"/>
  <c r="L936" i="15" s="1"/>
  <c r="L1061" i="15" a="1"/>
  <c r="L1061" i="15" s="1"/>
  <c r="L1170" i="15" a="1"/>
  <c r="L1170" i="15" s="1"/>
  <c r="L1281" i="15" a="1"/>
  <c r="L1281" i="15" s="1"/>
  <c r="L1391" i="15" a="1"/>
  <c r="L1391" i="15" s="1"/>
  <c r="L1487" i="15" a="1"/>
  <c r="L1487" i="15" s="1"/>
  <c r="L1575" i="15" a="1"/>
  <c r="L1575" i="15" s="1"/>
  <c r="L1657" i="15" a="1"/>
  <c r="L1657" i="15" s="1"/>
  <c r="M1657" i="15" s="1"/>
  <c r="L1732" i="15" a="1"/>
  <c r="L1732" i="15" s="1"/>
  <c r="M1732" i="15" s="1"/>
  <c r="L1812" i="15" a="1"/>
  <c r="L1812" i="15" s="1"/>
  <c r="M1812" i="15" s="1"/>
  <c r="B686" i="15"/>
  <c r="L686" i="15" a="1"/>
  <c r="L686" i="15" s="1"/>
  <c r="B544" i="15"/>
  <c r="L544" i="15" a="1"/>
  <c r="L544" i="15" s="1"/>
  <c r="I575" i="1"/>
  <c r="J575" i="1"/>
  <c r="O575" i="1"/>
  <c r="I578" i="1"/>
  <c r="J578" i="1"/>
  <c r="O578" i="1"/>
  <c r="I573" i="1"/>
  <c r="J573" i="1"/>
  <c r="O573" i="1"/>
  <c r="B1915" i="15"/>
  <c r="B1994" i="15"/>
  <c r="B2072" i="15"/>
  <c r="B2146" i="15"/>
  <c r="B2220" i="15"/>
  <c r="B2857" i="15"/>
  <c r="B2370" i="15"/>
  <c r="B2420" i="15"/>
  <c r="B2469" i="15"/>
  <c r="B2512" i="15"/>
  <c r="B2549" i="15"/>
  <c r="B2587" i="15"/>
  <c r="B2624" i="15"/>
  <c r="B2656" i="15"/>
  <c r="B2684" i="15"/>
  <c r="B2707" i="15"/>
  <c r="L1915" i="15" a="1"/>
  <c r="L1915" i="15" s="1"/>
  <c r="M1915" i="15" s="1"/>
  <c r="L1994" i="15" a="1"/>
  <c r="L1994" i="15" s="1"/>
  <c r="M1994" i="15" s="1"/>
  <c r="L2072" i="15" a="1"/>
  <c r="L2072" i="15" s="1"/>
  <c r="M2072" i="15" s="1"/>
  <c r="L2146" i="15" a="1"/>
  <c r="L2146" i="15" s="1"/>
  <c r="M2146" i="15" s="1"/>
  <c r="L2220" i="15" a="1"/>
  <c r="L2220" i="15" s="1"/>
  <c r="M2220" i="15" s="1"/>
  <c r="L2857" i="15" a="1"/>
  <c r="L2857" i="15" s="1"/>
  <c r="M2857" i="15" s="1"/>
  <c r="L2370" i="15" a="1"/>
  <c r="L2370" i="15" s="1"/>
  <c r="M2370" i="15" s="1"/>
  <c r="L2420" i="15" a="1"/>
  <c r="L2420" i="15" s="1"/>
  <c r="M2420" i="15" s="1"/>
  <c r="L2469" i="15" a="1"/>
  <c r="L2469" i="15" s="1"/>
  <c r="M2469" i="15" s="1"/>
  <c r="L2512" i="15" a="1"/>
  <c r="L2512" i="15" s="1"/>
  <c r="M2512" i="15" s="1"/>
  <c r="L2549" i="15" a="1"/>
  <c r="L2549" i="15" s="1"/>
  <c r="M2549" i="15" s="1"/>
  <c r="L2587" i="15" a="1"/>
  <c r="L2587" i="15" s="1"/>
  <c r="M2587" i="15" s="1"/>
  <c r="L2624" i="15" a="1"/>
  <c r="L2624" i="15" s="1"/>
  <c r="M2624" i="15" s="1"/>
  <c r="L2656" i="15" a="1"/>
  <c r="L2656" i="15" s="1"/>
  <c r="M2656" i="15" s="1"/>
  <c r="L2684" i="15" a="1"/>
  <c r="L2684" i="15" s="1"/>
  <c r="M2684" i="15" s="1"/>
  <c r="L2707" i="15" a="1"/>
  <c r="L2707" i="15" s="1"/>
  <c r="M2707" i="15" s="1"/>
  <c r="B570" i="15"/>
  <c r="B1176" i="15"/>
  <c r="B1287" i="15"/>
  <c r="B1397" i="15"/>
  <c r="B1494" i="15"/>
  <c r="B1582" i="15"/>
  <c r="B1670" i="15"/>
  <c r="B1749" i="15"/>
  <c r="B1834" i="15"/>
  <c r="L570" i="15" a="1"/>
  <c r="L570" i="15" s="1"/>
  <c r="M570" i="15" s="1"/>
  <c r="L694" i="15" a="1"/>
  <c r="L694" i="15" s="1"/>
  <c r="M694" i="15" s="1"/>
  <c r="L1176" i="15" a="1"/>
  <c r="L1176" i="15" s="1"/>
  <c r="M1176" i="15" s="1"/>
  <c r="L1287" i="15" a="1"/>
  <c r="L1287" i="15" s="1"/>
  <c r="M1287" i="15" s="1"/>
  <c r="L1397" i="15" a="1"/>
  <c r="L1397" i="15" s="1"/>
  <c r="M1397" i="15" s="1"/>
  <c r="L1494" i="15" a="1"/>
  <c r="L1494" i="15" s="1"/>
  <c r="M1494" i="15" s="1"/>
  <c r="L1582" i="15" a="1"/>
  <c r="L1582" i="15" s="1"/>
  <c r="M1582" i="15" s="1"/>
  <c r="L1670" i="15" a="1"/>
  <c r="L1670" i="15" s="1"/>
  <c r="M1670" i="15" s="1"/>
  <c r="L1749" i="15" a="1"/>
  <c r="L1749" i="15" s="1"/>
  <c r="M1749" i="15" s="1"/>
  <c r="L1834" i="15" a="1"/>
  <c r="L1834" i="15" s="1"/>
  <c r="M1834" i="15" s="1"/>
  <c r="B546" i="15"/>
  <c r="L546" i="15" a="1"/>
  <c r="L546" i="15" s="1"/>
  <c r="B2763" i="15"/>
  <c r="B2770" i="15"/>
  <c r="L2763" i="15" a="1"/>
  <c r="L2763" i="15" s="1"/>
  <c r="M2763" i="15" s="1"/>
  <c r="L2770" i="15" a="1"/>
  <c r="L2770" i="15" s="1"/>
  <c r="M2770" i="15" s="1"/>
  <c r="B2685" i="15"/>
  <c r="B2708" i="15"/>
  <c r="B2726" i="15"/>
  <c r="B2744" i="15"/>
  <c r="B2756" i="15"/>
  <c r="L2685" i="15" a="1"/>
  <c r="L2685" i="15" s="1"/>
  <c r="M2685" i="15" s="1"/>
  <c r="L2708" i="15" a="1"/>
  <c r="L2708" i="15" s="1"/>
  <c r="M2708" i="15" s="1"/>
  <c r="L2726" i="15" a="1"/>
  <c r="L2726" i="15" s="1"/>
  <c r="M2726" i="15" s="1"/>
  <c r="L2744" i="15" a="1"/>
  <c r="L2744" i="15" s="1"/>
  <c r="M2744" i="15" s="1"/>
  <c r="L2756" i="15" a="1"/>
  <c r="L2756" i="15" s="1"/>
  <c r="M2756" i="15" s="1"/>
  <c r="B2858" i="15"/>
  <c r="B2588" i="15"/>
  <c r="B2625" i="15"/>
  <c r="B2657" i="15"/>
  <c r="L2858" i="15" a="1"/>
  <c r="L2858" i="15" s="1"/>
  <c r="M2858" i="15" s="1"/>
  <c r="L2588" i="15" a="1"/>
  <c r="L2588" i="15" s="1"/>
  <c r="M2588" i="15" s="1"/>
  <c r="L2625" i="15" a="1"/>
  <c r="L2625" i="15" s="1"/>
  <c r="M2625" i="15" s="1"/>
  <c r="L2657" i="15" a="1"/>
  <c r="L2657" i="15" s="1"/>
  <c r="M2657" i="15" s="1"/>
  <c r="B2147" i="15"/>
  <c r="B2221" i="15"/>
  <c r="L2147" i="15" a="1"/>
  <c r="L2147" i="15" s="1"/>
  <c r="M2147" i="15" s="1"/>
  <c r="L2221" i="15" a="1"/>
  <c r="L2221" i="15" s="1"/>
  <c r="M2221" i="15" s="1"/>
  <c r="B571" i="15"/>
  <c r="B695" i="15"/>
  <c r="B1177" i="15"/>
  <c r="B1288" i="15"/>
  <c r="B1398" i="15"/>
  <c r="B1495" i="15"/>
  <c r="B1583" i="15"/>
  <c r="B1671" i="15"/>
  <c r="B1750" i="15"/>
  <c r="B1835" i="15"/>
  <c r="B1916" i="15"/>
  <c r="B1995" i="15"/>
  <c r="B2073" i="15"/>
  <c r="L571" i="15" a="1"/>
  <c r="L571" i="15" s="1"/>
  <c r="M571" i="15" s="1"/>
  <c r="L695" i="15" a="1"/>
  <c r="L695" i="15" s="1"/>
  <c r="M695" i="15" s="1"/>
  <c r="L1177" i="15" a="1"/>
  <c r="L1177" i="15" s="1"/>
  <c r="M1177" i="15" s="1"/>
  <c r="L1288" i="15" a="1"/>
  <c r="L1288" i="15" s="1"/>
  <c r="M1288" i="15" s="1"/>
  <c r="L1398" i="15" a="1"/>
  <c r="L1398" i="15" s="1"/>
  <c r="M1398" i="15" s="1"/>
  <c r="L1495" i="15" a="1"/>
  <c r="L1495" i="15" s="1"/>
  <c r="M1495" i="15" s="1"/>
  <c r="L1583" i="15" a="1"/>
  <c r="L1583" i="15" s="1"/>
  <c r="M1583" i="15" s="1"/>
  <c r="L1671" i="15" a="1"/>
  <c r="L1671" i="15" s="1"/>
  <c r="M1671" i="15" s="1"/>
  <c r="L1750" i="15" a="1"/>
  <c r="L1750" i="15" s="1"/>
  <c r="M1750" i="15" s="1"/>
  <c r="L1835" i="15" a="1"/>
  <c r="L1835" i="15" s="1"/>
  <c r="M1835" i="15" s="1"/>
  <c r="L1916" i="15" a="1"/>
  <c r="L1916" i="15" s="1"/>
  <c r="M1916" i="15" s="1"/>
  <c r="L1995" i="15" a="1"/>
  <c r="L1995" i="15" s="1"/>
  <c r="M1995" i="15" s="1"/>
  <c r="L2073" i="15" a="1"/>
  <c r="L2073" i="15" s="1"/>
  <c r="M2073" i="15" s="1"/>
  <c r="B547" i="15"/>
  <c r="L547" i="15" a="1"/>
  <c r="L547" i="15" s="1"/>
  <c r="I569" i="1"/>
  <c r="I577" i="1"/>
  <c r="J569" i="1"/>
  <c r="J577" i="1"/>
  <c r="O569" i="1"/>
  <c r="O577" i="1"/>
  <c r="O568" i="1"/>
  <c r="O570" i="1"/>
  <c r="J568" i="1"/>
  <c r="J570" i="1"/>
  <c r="I568" i="1"/>
  <c r="I570" i="1"/>
  <c r="O564" i="1"/>
  <c r="J564" i="1"/>
  <c r="I564" i="1"/>
  <c r="O567" i="1"/>
  <c r="J567" i="1"/>
  <c r="I567" i="1"/>
  <c r="L543" i="15" a="1"/>
  <c r="L543" i="15" s="1"/>
  <c r="M543" i="15" s="1"/>
  <c r="B543" i="15"/>
  <c r="G152" i="3"/>
  <c r="G153" i="3"/>
  <c r="P152" i="3"/>
  <c r="P153" i="3"/>
  <c r="I565" i="1"/>
  <c r="J565" i="1"/>
  <c r="O565" i="1"/>
  <c r="I566" i="1"/>
  <c r="J566" i="1"/>
  <c r="O566" i="1"/>
  <c r="G151" i="3"/>
  <c r="P151" i="3"/>
  <c r="I557" i="1"/>
  <c r="J557" i="1"/>
  <c r="N151" i="3" s="1"/>
  <c r="O557" i="1"/>
  <c r="G150" i="3"/>
  <c r="R555" i="1" s="1"/>
  <c r="P150" i="3"/>
  <c r="I555" i="1"/>
  <c r="J555" i="1"/>
  <c r="N150" i="3" s="1"/>
  <c r="O555" i="1"/>
  <c r="O563" i="1"/>
  <c r="O559" i="1"/>
  <c r="O562" i="1"/>
  <c r="O561" i="1"/>
  <c r="O556" i="1"/>
  <c r="J563" i="1"/>
  <c r="J559" i="1"/>
  <c r="J562" i="1"/>
  <c r="J561" i="1"/>
  <c r="J556" i="1"/>
  <c r="I563" i="1"/>
  <c r="I559" i="1"/>
  <c r="I562" i="1"/>
  <c r="I561" i="1"/>
  <c r="I556" i="1"/>
  <c r="O560" i="1"/>
  <c r="J560" i="1"/>
  <c r="I560" i="1"/>
  <c r="O558" i="1"/>
  <c r="J558" i="1"/>
  <c r="I558" i="1"/>
  <c r="O553" i="1"/>
  <c r="O554" i="1"/>
  <c r="J553" i="1"/>
  <c r="J554" i="1"/>
  <c r="I553" i="1"/>
  <c r="I554" i="1"/>
  <c r="R655" i="1" l="1"/>
  <c r="R786" i="1"/>
  <c r="R917" i="1"/>
  <c r="R663" i="1"/>
  <c r="R795" i="1"/>
  <c r="R1042" i="1"/>
  <c r="R662" i="1"/>
  <c r="R654" i="1"/>
  <c r="R876" i="1"/>
  <c r="R861" i="1"/>
  <c r="R657" i="1"/>
  <c r="R658" i="1"/>
  <c r="R687" i="1"/>
  <c r="R651" i="1"/>
  <c r="R367" i="1"/>
  <c r="R248" i="1"/>
  <c r="R186" i="1"/>
  <c r="R705" i="1"/>
  <c r="R949" i="1"/>
  <c r="R827" i="1"/>
  <c r="R557" i="1"/>
  <c r="R1070" i="1"/>
  <c r="R340" i="1"/>
  <c r="R1060" i="1"/>
  <c r="R805" i="1"/>
  <c r="R472" i="1"/>
  <c r="R681" i="1"/>
  <c r="R187" i="1"/>
  <c r="R573" i="1"/>
  <c r="R938" i="1"/>
  <c r="R204" i="1"/>
  <c r="R821" i="1"/>
  <c r="R953" i="1"/>
  <c r="R1072" i="1"/>
  <c r="R652" i="1"/>
  <c r="R628" i="1"/>
  <c r="R921" i="1"/>
  <c r="R704" i="1"/>
  <c r="R596" i="1"/>
  <c r="R565" i="1"/>
  <c r="R720" i="1"/>
  <c r="R597" i="1"/>
  <c r="R566" i="1"/>
  <c r="R613" i="1"/>
  <c r="R989" i="1"/>
  <c r="R620" i="1"/>
  <c r="R854" i="1"/>
  <c r="R1099" i="1"/>
  <c r="T15" i="13"/>
  <c r="AA15" i="13" s="1"/>
  <c r="AC15" i="13" s="1"/>
  <c r="D14" i="40"/>
  <c r="M547" i="15"/>
  <c r="M546" i="15"/>
  <c r="X153" i="3" s="1"/>
  <c r="M544" i="15"/>
  <c r="T12" i="3"/>
  <c r="M600" i="15"/>
  <c r="M608" i="15"/>
  <c r="X157" i="3" s="1"/>
  <c r="M628" i="15"/>
  <c r="T16" i="3"/>
  <c r="M633" i="15"/>
  <c r="M637" i="15"/>
  <c r="X162" i="3" s="1"/>
  <c r="T54" i="3"/>
  <c r="T55" i="3"/>
  <c r="T163" i="3"/>
  <c r="T162" i="3"/>
  <c r="T161" i="3"/>
  <c r="T160" i="3"/>
  <c r="T159" i="3"/>
  <c r="T158" i="3"/>
  <c r="T157" i="3"/>
  <c r="T156" i="3"/>
  <c r="T155" i="3"/>
  <c r="T154" i="3"/>
  <c r="T153" i="3"/>
  <c r="T152" i="3"/>
  <c r="T151" i="3"/>
  <c r="T150" i="3"/>
  <c r="T149" i="3"/>
  <c r="T148" i="3"/>
  <c r="T147" i="3"/>
  <c r="T146" i="3"/>
  <c r="T145" i="3"/>
  <c r="T143" i="3"/>
  <c r="T142" i="3"/>
  <c r="T141" i="3"/>
  <c r="T140" i="3"/>
  <c r="T138" i="3"/>
  <c r="T137" i="3"/>
  <c r="T136" i="3"/>
  <c r="T135" i="3"/>
  <c r="T134" i="3"/>
  <c r="T133" i="3"/>
  <c r="T132" i="3"/>
  <c r="T131" i="3"/>
  <c r="T130" i="3"/>
  <c r="T129" i="3"/>
  <c r="T128" i="3"/>
  <c r="T126" i="3"/>
  <c r="T125" i="3"/>
  <c r="T124" i="3"/>
  <c r="T123" i="3"/>
  <c r="T122" i="3"/>
  <c r="T121" i="3"/>
  <c r="T120" i="3"/>
  <c r="T119" i="3"/>
  <c r="T118" i="3"/>
  <c r="T117" i="3"/>
  <c r="T116" i="3"/>
  <c r="T115" i="3"/>
  <c r="T114" i="3"/>
  <c r="T113" i="3"/>
  <c r="T112" i="3"/>
  <c r="T111" i="3"/>
  <c r="T110" i="3"/>
  <c r="T109" i="3"/>
  <c r="T108" i="3"/>
  <c r="T106" i="3"/>
  <c r="T105" i="3"/>
  <c r="T103" i="3"/>
  <c r="T102" i="3"/>
  <c r="T101" i="3"/>
  <c r="T100" i="3"/>
  <c r="T99" i="3"/>
  <c r="T97" i="3"/>
  <c r="T96" i="3"/>
  <c r="T95" i="3"/>
  <c r="T94" i="3"/>
  <c r="T93" i="3"/>
  <c r="T92" i="3"/>
  <c r="T91" i="3"/>
  <c r="T90" i="3"/>
  <c r="T89" i="3"/>
  <c r="T88" i="3"/>
  <c r="T87" i="3"/>
  <c r="T85" i="3"/>
  <c r="T84" i="3"/>
  <c r="T83" i="3"/>
  <c r="T82" i="3"/>
  <c r="T79" i="3"/>
  <c r="T78" i="3"/>
  <c r="T77" i="3"/>
  <c r="T76" i="3"/>
  <c r="T75" i="3"/>
  <c r="T74" i="3"/>
  <c r="T73" i="3"/>
  <c r="T72" i="3"/>
  <c r="T71" i="3"/>
  <c r="T69" i="3"/>
  <c r="T68" i="3"/>
  <c r="T67" i="3"/>
  <c r="T66" i="3"/>
  <c r="T65" i="3"/>
  <c r="T64" i="3"/>
  <c r="T63" i="3"/>
  <c r="T61" i="3"/>
  <c r="T60" i="3"/>
  <c r="T59" i="3"/>
  <c r="T58" i="3"/>
  <c r="T57" i="3"/>
  <c r="T56" i="3"/>
  <c r="T53" i="3"/>
  <c r="T52" i="3"/>
  <c r="T51" i="3"/>
  <c r="T50" i="3"/>
  <c r="T47" i="3"/>
  <c r="T46" i="3"/>
  <c r="T45" i="3"/>
  <c r="T44" i="3"/>
  <c r="T43" i="3"/>
  <c r="T42" i="3"/>
  <c r="T41" i="3"/>
  <c r="T40" i="3"/>
  <c r="T39" i="3"/>
  <c r="T49" i="3"/>
  <c r="T38" i="3"/>
  <c r="T37" i="3"/>
  <c r="T34" i="3"/>
  <c r="T33" i="3"/>
  <c r="T29" i="3"/>
  <c r="T28" i="3"/>
  <c r="T27" i="3"/>
  <c r="T25" i="3"/>
  <c r="T21" i="3"/>
  <c r="T19" i="3"/>
  <c r="T17" i="3"/>
  <c r="T13" i="3"/>
  <c r="T14" i="3"/>
  <c r="T11" i="3"/>
  <c r="T10" i="3"/>
  <c r="T9" i="3"/>
  <c r="T8" i="3"/>
  <c r="T6" i="3"/>
  <c r="T3" i="3"/>
  <c r="T2" i="3"/>
  <c r="T32" i="3"/>
  <c r="K165" i="3"/>
  <c r="M2" i="13"/>
  <c r="M36" i="13"/>
  <c r="M37" i="13"/>
  <c r="M38" i="13"/>
  <c r="M39" i="13"/>
  <c r="M7" i="13"/>
  <c r="M6" i="13"/>
  <c r="M5" i="13"/>
  <c r="M4" i="13"/>
  <c r="M3" i="13"/>
  <c r="K2" i="13"/>
  <c r="I2" i="13"/>
  <c r="G2" i="13"/>
  <c r="H2" i="13"/>
  <c r="L2" i="13"/>
  <c r="J2" i="13"/>
  <c r="L30" i="23"/>
  <c r="L19" i="23"/>
  <c r="L37" i="23"/>
  <c r="L34" i="23"/>
  <c r="L40" i="23"/>
  <c r="L26" i="23"/>
  <c r="L23" i="23"/>
  <c r="L29" i="23"/>
  <c r="L33" i="23"/>
  <c r="L36" i="23"/>
  <c r="L32" i="23"/>
  <c r="L39" i="23"/>
  <c r="L25" i="23"/>
  <c r="L22" i="23"/>
  <c r="L21" i="23"/>
  <c r="L28" i="23"/>
  <c r="L31" i="23"/>
  <c r="L38" i="23"/>
  <c r="L35" i="23"/>
  <c r="L20" i="23"/>
  <c r="L41" i="23"/>
  <c r="L27" i="23"/>
  <c r="L24" i="23"/>
  <c r="B22" i="23"/>
  <c r="B29" i="23"/>
  <c r="B26" i="23"/>
  <c r="B28" i="23"/>
  <c r="B32" i="23"/>
  <c r="B21" i="23"/>
  <c r="B40" i="23"/>
  <c r="B39" i="23"/>
  <c r="B36" i="23"/>
  <c r="B25" i="23"/>
  <c r="B35" i="23"/>
  <c r="B31" i="23"/>
  <c r="B20" i="23"/>
  <c r="B38" i="23"/>
  <c r="B34" i="23"/>
  <c r="B41" i="23"/>
  <c r="B27" i="23"/>
  <c r="B24" i="23"/>
  <c r="B23" i="23"/>
  <c r="B30" i="23"/>
  <c r="B19" i="23"/>
  <c r="B33" i="23"/>
  <c r="B37" i="23"/>
  <c r="J28" i="23"/>
  <c r="J35" i="23"/>
  <c r="J21" i="23"/>
  <c r="J24" i="23"/>
  <c r="J38" i="23"/>
  <c r="J27" i="23"/>
  <c r="J34" i="23"/>
  <c r="J31" i="23"/>
  <c r="J41" i="23"/>
  <c r="J37" i="23"/>
  <c r="J23" i="23"/>
  <c r="J20" i="23"/>
  <c r="J26" i="23"/>
  <c r="J30" i="23"/>
  <c r="J33" i="23"/>
  <c r="J36" i="23"/>
  <c r="J22" i="23"/>
  <c r="J19" i="23"/>
  <c r="J25" i="23"/>
  <c r="J40" i="23"/>
  <c r="J39" i="23"/>
  <c r="J32" i="23"/>
  <c r="J29" i="23"/>
  <c r="F37" i="23"/>
  <c r="F33" i="23"/>
  <c r="F40" i="23"/>
  <c r="F26" i="23"/>
  <c r="F22" i="23"/>
  <c r="F29" i="23"/>
  <c r="F32" i="23"/>
  <c r="F39" i="23"/>
  <c r="F36" i="23"/>
  <c r="F21" i="23"/>
  <c r="F28" i="23"/>
  <c r="F25" i="23"/>
  <c r="F31" i="23"/>
  <c r="F20" i="23"/>
  <c r="F38" i="23"/>
  <c r="F35" i="23"/>
  <c r="F41" i="23"/>
  <c r="F27" i="23"/>
  <c r="F24" i="23"/>
  <c r="F30" i="23"/>
  <c r="F19" i="23"/>
  <c r="F34" i="23"/>
  <c r="F23" i="23"/>
  <c r="M19" i="23"/>
  <c r="M33" i="23"/>
  <c r="M40" i="23"/>
  <c r="M22" i="23"/>
  <c r="M29" i="23"/>
  <c r="M26" i="23"/>
  <c r="M32" i="23"/>
  <c r="M25" i="23"/>
  <c r="M21" i="23"/>
  <c r="M39" i="23"/>
  <c r="M36" i="23"/>
  <c r="M28" i="23"/>
  <c r="M31" i="23"/>
  <c r="M20" i="23"/>
  <c r="M24" i="23"/>
  <c r="M37" i="23"/>
  <c r="M38" i="23"/>
  <c r="M35" i="23"/>
  <c r="M34" i="23"/>
  <c r="M41" i="23"/>
  <c r="M27" i="23"/>
  <c r="M23" i="23"/>
  <c r="M30" i="23"/>
  <c r="G29" i="23"/>
  <c r="G26" i="23"/>
  <c r="G32" i="23"/>
  <c r="G21" i="23"/>
  <c r="G39" i="23"/>
  <c r="G36" i="23"/>
  <c r="G35" i="23"/>
  <c r="G28" i="23"/>
  <c r="G25" i="23"/>
  <c r="G24" i="23"/>
  <c r="G31" i="23"/>
  <c r="G20" i="23"/>
  <c r="G34" i="23"/>
  <c r="G41" i="23"/>
  <c r="G38" i="23"/>
  <c r="G30" i="23"/>
  <c r="G23" i="23"/>
  <c r="G27" i="23"/>
  <c r="G33" i="23"/>
  <c r="G19" i="23"/>
  <c r="G22" i="23"/>
  <c r="G40" i="23"/>
  <c r="G37" i="23"/>
  <c r="C24" i="23"/>
  <c r="C20" i="23"/>
  <c r="C36" i="23"/>
  <c r="C29" i="23"/>
  <c r="C22" i="23"/>
  <c r="C19" i="23"/>
  <c r="C39" i="23"/>
  <c r="C23" i="23"/>
  <c r="C37" i="23"/>
  <c r="C25" i="23"/>
  <c r="C38" i="23"/>
  <c r="C41" i="23"/>
  <c r="C32" i="23"/>
  <c r="C31" i="23"/>
  <c r="C26" i="23"/>
  <c r="C40" i="23"/>
  <c r="C27" i="23"/>
  <c r="C33" i="23"/>
  <c r="C35" i="23"/>
  <c r="C30" i="23"/>
  <c r="C21" i="23"/>
  <c r="H33" i="23"/>
  <c r="H25" i="23"/>
  <c r="H32" i="23"/>
  <c r="H21" i="23"/>
  <c r="H35" i="23"/>
  <c r="H39" i="23"/>
  <c r="H24" i="23"/>
  <c r="H31" i="23"/>
  <c r="H28" i="23"/>
  <c r="H34" i="23"/>
  <c r="H20" i="23"/>
  <c r="H23" i="23"/>
  <c r="H41" i="23"/>
  <c r="H30" i="23"/>
  <c r="H38" i="23"/>
  <c r="H19" i="23"/>
  <c r="H27" i="23"/>
  <c r="H22" i="23"/>
  <c r="H40" i="23"/>
  <c r="H37" i="23"/>
  <c r="H36" i="23"/>
  <c r="H29" i="23"/>
  <c r="H26" i="23"/>
  <c r="D27" i="23"/>
  <c r="D34" i="23"/>
  <c r="D37" i="23"/>
  <c r="D23" i="23"/>
  <c r="D20" i="23"/>
  <c r="D26" i="23"/>
  <c r="D30" i="23"/>
  <c r="D41" i="23"/>
  <c r="D40" i="23"/>
  <c r="D33" i="23"/>
  <c r="D29" i="23"/>
  <c r="D36" i="23"/>
  <c r="D22" i="23"/>
  <c r="D25" i="23"/>
  <c r="D39" i="23"/>
  <c r="D19" i="23"/>
  <c r="D28" i="23"/>
  <c r="D35" i="23"/>
  <c r="D32" i="23"/>
  <c r="D38" i="23"/>
  <c r="D24" i="23"/>
  <c r="D21" i="23"/>
  <c r="D31" i="23"/>
  <c r="N40" i="23"/>
  <c r="N36" i="23"/>
  <c r="N29" i="23"/>
  <c r="N26" i="23"/>
  <c r="N25" i="23"/>
  <c r="N32" i="23"/>
  <c r="N21" i="23"/>
  <c r="N35" i="23"/>
  <c r="N39" i="23"/>
  <c r="N24" i="23"/>
  <c r="N31" i="23"/>
  <c r="N28" i="23"/>
  <c r="N34" i="23"/>
  <c r="N20" i="23"/>
  <c r="N23" i="23"/>
  <c r="N41" i="23"/>
  <c r="N38" i="23"/>
  <c r="N27" i="23"/>
  <c r="N30" i="23"/>
  <c r="N33" i="23"/>
  <c r="N19" i="23"/>
  <c r="N22" i="23"/>
  <c r="N37" i="23"/>
  <c r="K27" i="23"/>
  <c r="K41" i="23"/>
  <c r="K34" i="23"/>
  <c r="K30" i="23"/>
  <c r="K37" i="23"/>
  <c r="K23" i="23"/>
  <c r="K20" i="23"/>
  <c r="K19" i="23"/>
  <c r="K26" i="23"/>
  <c r="K33" i="23"/>
  <c r="K40" i="23"/>
  <c r="K29" i="23"/>
  <c r="K36" i="23"/>
  <c r="K39" i="23"/>
  <c r="K25" i="23"/>
  <c r="K22" i="23"/>
  <c r="K28" i="23"/>
  <c r="K31" i="23"/>
  <c r="K35" i="23"/>
  <c r="K32" i="23"/>
  <c r="K38" i="23"/>
  <c r="K24" i="23"/>
  <c r="K21" i="23"/>
  <c r="E41" i="23"/>
  <c r="E30" i="23"/>
  <c r="E37" i="23"/>
  <c r="E34" i="23"/>
  <c r="E19" i="23"/>
  <c r="E40" i="23"/>
  <c r="E26" i="23"/>
  <c r="E23" i="23"/>
  <c r="E29" i="23"/>
  <c r="E36" i="23"/>
  <c r="E33" i="23"/>
  <c r="E22" i="23"/>
  <c r="E39" i="23"/>
  <c r="E25" i="23"/>
  <c r="E28" i="23"/>
  <c r="E35" i="23"/>
  <c r="E32" i="23"/>
  <c r="E21" i="23"/>
  <c r="E31" i="23"/>
  <c r="E38" i="23"/>
  <c r="E24" i="23"/>
  <c r="E20" i="23"/>
  <c r="E27" i="23"/>
  <c r="N2" i="13"/>
  <c r="D14" i="13"/>
  <c r="M1575" i="15"/>
  <c r="K167" i="3"/>
  <c r="K166" i="3"/>
  <c r="H152" i="3"/>
  <c r="H159" i="3"/>
  <c r="I158" i="3"/>
  <c r="H158" i="3"/>
  <c r="H161" i="3"/>
  <c r="H153" i="3"/>
  <c r="H157" i="3"/>
  <c r="I163" i="3"/>
  <c r="H163" i="3"/>
  <c r="H162" i="3"/>
  <c r="H156" i="3"/>
  <c r="I150" i="3"/>
  <c r="H150" i="3"/>
  <c r="H160" i="3"/>
  <c r="I154" i="3"/>
  <c r="H154" i="3"/>
  <c r="H151" i="3"/>
  <c r="I155" i="3"/>
  <c r="H155" i="3"/>
  <c r="AG15" i="13"/>
  <c r="K164" i="3"/>
  <c r="M810" i="15"/>
  <c r="M686" i="15"/>
  <c r="M1487" i="15"/>
  <c r="M1391" i="15"/>
  <c r="M1281" i="15"/>
  <c r="M1170" i="15"/>
  <c r="M1061" i="15"/>
  <c r="M936" i="15"/>
  <c r="N163" i="3"/>
  <c r="I84" i="3"/>
  <c r="I162" i="3"/>
  <c r="I161" i="3"/>
  <c r="I157" i="3"/>
  <c r="I153" i="3"/>
  <c r="I152" i="3"/>
  <c r="I156" i="3"/>
  <c r="I159" i="3"/>
  <c r="I86" i="3"/>
  <c r="I151" i="3"/>
  <c r="I160" i="3"/>
  <c r="N162" i="3"/>
  <c r="N153" i="3"/>
  <c r="N156" i="3"/>
  <c r="N152" i="3"/>
  <c r="E12" i="23"/>
  <c r="P12" i="23"/>
  <c r="K11" i="23"/>
  <c r="F12" i="23"/>
  <c r="H12" i="23"/>
  <c r="G12" i="23"/>
  <c r="M11" i="23"/>
  <c r="C12" i="23"/>
  <c r="J12" i="23"/>
  <c r="K12" i="23"/>
  <c r="B12" i="23"/>
  <c r="E663" i="15"/>
  <c r="E2698" i="15"/>
  <c r="E2719" i="15"/>
  <c r="E2738" i="15"/>
  <c r="E2754" i="15"/>
  <c r="E2936" i="15"/>
  <c r="E2492" i="15"/>
  <c r="E2532" i="15"/>
  <c r="E2571" i="15"/>
  <c r="E2609" i="15"/>
  <c r="E2644" i="15"/>
  <c r="E2673" i="15"/>
  <c r="E665" i="15"/>
  <c r="E1561" i="15"/>
  <c r="E2522" i="15"/>
  <c r="E1642" i="15"/>
  <c r="E2562" i="15"/>
  <c r="E2601" i="15"/>
  <c r="E1717" i="15"/>
  <c r="E2636" i="15"/>
  <c r="E1259" i="15"/>
  <c r="E2430" i="15"/>
  <c r="E1792" i="15"/>
  <c r="E1948" i="15"/>
  <c r="E1372" i="15"/>
  <c r="E2479" i="15"/>
  <c r="E1872" i="15"/>
  <c r="E1469" i="15"/>
  <c r="E789" i="15"/>
  <c r="E1053" i="15"/>
  <c r="E664" i="15"/>
  <c r="E906" i="15"/>
  <c r="E1151" i="15"/>
  <c r="R153" i="3"/>
  <c r="R157" i="3"/>
  <c r="R152" i="3"/>
  <c r="R156" i="3"/>
  <c r="R161" i="3"/>
  <c r="R158" i="3"/>
  <c r="R163" i="3"/>
  <c r="R151" i="3"/>
  <c r="R160" i="3"/>
  <c r="R162" i="3"/>
  <c r="X150" i="3"/>
  <c r="I633" i="1"/>
  <c r="J633" i="1"/>
  <c r="I622" i="1"/>
  <c r="J622" i="1"/>
  <c r="J583" i="1"/>
  <c r="I583" i="1"/>
  <c r="B528" i="15"/>
  <c r="I550" i="1"/>
  <c r="J550" i="1"/>
  <c r="O550" i="1"/>
  <c r="I551" i="1"/>
  <c r="J551" i="1"/>
  <c r="O551" i="1"/>
  <c r="I552" i="1"/>
  <c r="J552" i="1"/>
  <c r="O552" i="1"/>
  <c r="B2" i="15"/>
  <c r="L2" i="15" a="1"/>
  <c r="L2" i="15" s="1"/>
  <c r="B3" i="15"/>
  <c r="L3" i="15" a="1"/>
  <c r="L3" i="15" s="1"/>
  <c r="B5" i="15"/>
  <c r="L5" i="15" a="1"/>
  <c r="L5" i="15" s="1"/>
  <c r="B4" i="15"/>
  <c r="L4" i="15" a="1"/>
  <c r="L4" i="15" s="1"/>
  <c r="B6" i="15"/>
  <c r="L6" i="15" a="1"/>
  <c r="L6" i="15" s="1"/>
  <c r="B17" i="15"/>
  <c r="B11" i="15"/>
  <c r="L11" i="15" a="1"/>
  <c r="L11" i="15" s="1"/>
  <c r="B10" i="15"/>
  <c r="L10" i="15" a="1"/>
  <c r="L10" i="15" s="1"/>
  <c r="M10" i="15" s="1"/>
  <c r="B9" i="15"/>
  <c r="L9" i="15" a="1"/>
  <c r="L9" i="15" s="1"/>
  <c r="B8" i="15"/>
  <c r="L8" i="15" a="1"/>
  <c r="L8" i="15" s="1"/>
  <c r="B7" i="15"/>
  <c r="L7" i="15" a="1"/>
  <c r="L7" i="15" s="1"/>
  <c r="B12" i="15"/>
  <c r="L12" i="15" a="1"/>
  <c r="L12" i="15" s="1"/>
  <c r="B13" i="15"/>
  <c r="L13" i="15" a="1"/>
  <c r="L13" i="15" s="1"/>
  <c r="B14" i="15"/>
  <c r="L14" i="15" a="1"/>
  <c r="L14" i="15" s="1"/>
  <c r="B15" i="15"/>
  <c r="L15" i="15" a="1"/>
  <c r="L15" i="15" s="1"/>
  <c r="B16" i="15"/>
  <c r="L16" i="15" a="1"/>
  <c r="L16" i="15" s="1"/>
  <c r="L20" i="15" a="1"/>
  <c r="L20" i="15" s="1"/>
  <c r="B19" i="15"/>
  <c r="L19" i="15" a="1"/>
  <c r="L19" i="15" s="1"/>
  <c r="M19" i="15" s="1"/>
  <c r="B18" i="15"/>
  <c r="B22" i="15"/>
  <c r="L22" i="15" a="1"/>
  <c r="L22" i="15" s="1"/>
  <c r="B23" i="15"/>
  <c r="L23" i="15" a="1"/>
  <c r="L23" i="15" s="1"/>
  <c r="B24" i="15"/>
  <c r="L24" i="15" a="1"/>
  <c r="L24" i="15" s="1"/>
  <c r="B25" i="15"/>
  <c r="L25" i="15" a="1"/>
  <c r="L25" i="15" s="1"/>
  <c r="B26" i="15"/>
  <c r="L26" i="15" a="1"/>
  <c r="L26" i="15" s="1"/>
  <c r="M26" i="15" s="1"/>
  <c r="B30" i="15"/>
  <c r="L30" i="15" a="1"/>
  <c r="L30" i="15" s="1"/>
  <c r="M30" i="15" s="1"/>
  <c r="B29" i="15"/>
  <c r="L29" i="15" a="1"/>
  <c r="L29" i="15" s="1"/>
  <c r="M29" i="15" s="1"/>
  <c r="B28" i="15"/>
  <c r="L28" i="15" a="1"/>
  <c r="L28" i="15" s="1"/>
  <c r="B27" i="15"/>
  <c r="L27" i="15" a="1"/>
  <c r="L27" i="15" s="1"/>
  <c r="M27" i="15" s="1"/>
  <c r="B31" i="15"/>
  <c r="L31" i="15" a="1"/>
  <c r="L31" i="15" s="1"/>
  <c r="M31" i="15" s="1"/>
  <c r="B32" i="15"/>
  <c r="L32" i="15" a="1"/>
  <c r="L32" i="15" s="1"/>
  <c r="B33" i="15"/>
  <c r="L33" i="15" a="1"/>
  <c r="L33" i="15" s="1"/>
  <c r="B43" i="15"/>
  <c r="B34" i="15"/>
  <c r="L34" i="15" a="1"/>
  <c r="L34" i="15" s="1"/>
  <c r="B38" i="15"/>
  <c r="L38" i="15" a="1"/>
  <c r="L38" i="15" s="1"/>
  <c r="M38" i="15" s="1"/>
  <c r="B37" i="15"/>
  <c r="L37" i="15" a="1"/>
  <c r="L37" i="15" s="1"/>
  <c r="B36" i="15"/>
  <c r="L36" i="15" a="1"/>
  <c r="L36" i="15" s="1"/>
  <c r="B35" i="15"/>
  <c r="L35" i="15" a="1"/>
  <c r="L35" i="15" s="1"/>
  <c r="B40" i="15"/>
  <c r="L40" i="15" a="1"/>
  <c r="L40" i="15" s="1"/>
  <c r="B39" i="15"/>
  <c r="L39" i="15" a="1"/>
  <c r="L39" i="15" s="1"/>
  <c r="M39" i="15" s="1"/>
  <c r="B42" i="15"/>
  <c r="L42" i="15" a="1"/>
  <c r="L42" i="15" s="1"/>
  <c r="B41" i="15"/>
  <c r="L41" i="15" a="1"/>
  <c r="L41" i="15" s="1"/>
  <c r="B21" i="15"/>
  <c r="L21" i="15" a="1"/>
  <c r="L21" i="15" s="1"/>
  <c r="B44" i="15"/>
  <c r="L44" i="15" a="1"/>
  <c r="L44" i="15" s="1"/>
  <c r="B46" i="15"/>
  <c r="L46" i="15" a="1"/>
  <c r="L46" i="15" s="1"/>
  <c r="B50" i="15"/>
  <c r="L50" i="15" a="1"/>
  <c r="L50" i="15" s="1"/>
  <c r="M50" i="15" s="1"/>
  <c r="B49" i="15"/>
  <c r="L49" i="15" a="1"/>
  <c r="L49" i="15" s="1"/>
  <c r="B54" i="15"/>
  <c r="L54" i="15" a="1"/>
  <c r="L54" i="15" s="1"/>
  <c r="B53" i="15"/>
  <c r="L53" i="15" a="1"/>
  <c r="L53" i="15" s="1"/>
  <c r="M53" i="15" s="1"/>
  <c r="B52" i="15"/>
  <c r="L52" i="15" a="1"/>
  <c r="L52" i="15" s="1"/>
  <c r="M52" i="15" s="1"/>
  <c r="B51" i="15"/>
  <c r="L51" i="15" a="1"/>
  <c r="L51" i="15" s="1"/>
  <c r="M51" i="15" s="1"/>
  <c r="B56" i="15"/>
  <c r="L56" i="15" a="1"/>
  <c r="L56" i="15" s="1"/>
  <c r="B57" i="15"/>
  <c r="L57" i="15" a="1"/>
  <c r="L57" i="15" s="1"/>
  <c r="B58" i="15"/>
  <c r="L58" i="15" a="1"/>
  <c r="L58" i="15" s="1"/>
  <c r="M58" i="15" s="1"/>
  <c r="B61" i="15"/>
  <c r="L61" i="15" a="1"/>
  <c r="L61" i="15" s="1"/>
  <c r="B59" i="15"/>
  <c r="L59" i="15" a="1"/>
  <c r="L59" i="15" s="1"/>
  <c r="B69" i="15"/>
  <c r="L69" i="15" a="1"/>
  <c r="L69" i="15" s="1"/>
  <c r="B68" i="15"/>
  <c r="L68" i="15" a="1"/>
  <c r="L68" i="15" s="1"/>
  <c r="M68" i="15" s="1"/>
  <c r="B66" i="15"/>
  <c r="L66" i="15" a="1"/>
  <c r="L66" i="15" s="1"/>
  <c r="M66" i="15" s="1"/>
  <c r="B65" i="15"/>
  <c r="L65" i="15" a="1"/>
  <c r="L65" i="15" s="1"/>
  <c r="M65" i="15" s="1"/>
  <c r="B64" i="15"/>
  <c r="L64" i="15" a="1"/>
  <c r="L64" i="15" s="1"/>
  <c r="M64" i="15" s="1"/>
  <c r="B63" i="15"/>
  <c r="L63" i="15" a="1"/>
  <c r="L63" i="15" s="1"/>
  <c r="M63" i="15" s="1"/>
  <c r="B62" i="15"/>
  <c r="L62" i="15" a="1"/>
  <c r="L62" i="15" s="1"/>
  <c r="M62" i="15" s="1"/>
  <c r="B67" i="15"/>
  <c r="L67" i="15" a="1"/>
  <c r="L67" i="15" s="1"/>
  <c r="M67" i="15" s="1"/>
  <c r="B70" i="15"/>
  <c r="L70" i="15" a="1"/>
  <c r="L70" i="15" s="1"/>
  <c r="M70" i="15" s="1"/>
  <c r="B71" i="15"/>
  <c r="L71" i="15" a="1"/>
  <c r="L71" i="15" s="1"/>
  <c r="B73" i="15"/>
  <c r="L73" i="15" a="1"/>
  <c r="L73" i="15" s="1"/>
  <c r="B74" i="15"/>
  <c r="L74" i="15" a="1"/>
  <c r="L74" i="15" s="1"/>
  <c r="B77" i="15"/>
  <c r="L77" i="15" a="1"/>
  <c r="L77" i="15" s="1"/>
  <c r="B75" i="15"/>
  <c r="L75" i="15" a="1"/>
  <c r="L75" i="15" s="1"/>
  <c r="M75" i="15" s="1"/>
  <c r="B78" i="15"/>
  <c r="L78" i="15" a="1"/>
  <c r="L78" i="15" s="1"/>
  <c r="B81" i="15"/>
  <c r="L81" i="15" a="1"/>
  <c r="L81" i="15" s="1"/>
  <c r="B80" i="15"/>
  <c r="L80" i="15" a="1"/>
  <c r="L80" i="15" s="1"/>
  <c r="B79" i="15"/>
  <c r="L79" i="15" a="1"/>
  <c r="L79" i="15" s="1"/>
  <c r="M79" i="15" s="1"/>
  <c r="B86" i="15"/>
  <c r="B83" i="15"/>
  <c r="L83" i="15" a="1"/>
  <c r="L83" i="15" s="1"/>
  <c r="B89" i="15"/>
  <c r="L89" i="15" a="1"/>
  <c r="L89" i="15" s="1"/>
  <c r="B88" i="15"/>
  <c r="L88" i="15" a="1"/>
  <c r="L88" i="15" s="1"/>
  <c r="M88" i="15" s="1"/>
  <c r="B101" i="15"/>
  <c r="L101" i="15" a="1"/>
  <c r="L101" i="15" s="1"/>
  <c r="M101" i="15" s="1"/>
  <c r="B100" i="15"/>
  <c r="L100" i="15" a="1"/>
  <c r="L100" i="15" s="1"/>
  <c r="M100" i="15" s="1"/>
  <c r="B99" i="15"/>
  <c r="L99" i="15" a="1"/>
  <c r="L99" i="15" s="1"/>
  <c r="M99" i="15" s="1"/>
  <c r="B98" i="15"/>
  <c r="L98" i="15" a="1"/>
  <c r="L98" i="15" s="1"/>
  <c r="M98" i="15" s="1"/>
  <c r="B97" i="15"/>
  <c r="L97" i="15" a="1"/>
  <c r="L97" i="15" s="1"/>
  <c r="M97" i="15" s="1"/>
  <c r="B96" i="15"/>
  <c r="L96" i="15" a="1"/>
  <c r="L96" i="15" s="1"/>
  <c r="M96" i="15" s="1"/>
  <c r="B95" i="15"/>
  <c r="L95" i="15" a="1"/>
  <c r="L95" i="15" s="1"/>
  <c r="M95" i="15" s="1"/>
  <c r="B94" i="15"/>
  <c r="B93" i="15"/>
  <c r="L93" i="15" a="1"/>
  <c r="L93" i="15" s="1"/>
  <c r="M93" i="15" s="1"/>
  <c r="B92" i="15"/>
  <c r="L92" i="15" a="1"/>
  <c r="L92" i="15" s="1"/>
  <c r="M92" i="15" s="1"/>
  <c r="B91" i="15"/>
  <c r="L91" i="15" a="1"/>
  <c r="L91" i="15" s="1"/>
  <c r="M91" i="15" s="1"/>
  <c r="B90" i="15"/>
  <c r="L90" i="15" a="1"/>
  <c r="L90" i="15" s="1"/>
  <c r="M90" i="15" s="1"/>
  <c r="B102" i="15"/>
  <c r="L102" i="15" a="1"/>
  <c r="L102" i="15" s="1"/>
  <c r="M102" i="15" s="1"/>
  <c r="B103" i="15"/>
  <c r="L103" i="15" a="1"/>
  <c r="L103" i="15" s="1"/>
  <c r="M103" i="15" s="1"/>
  <c r="B106" i="15"/>
  <c r="L106" i="15" a="1"/>
  <c r="L106" i="15" s="1"/>
  <c r="B105" i="15"/>
  <c r="L105" i="15" a="1"/>
  <c r="L105" i="15" s="1"/>
  <c r="M105" i="15" s="1"/>
  <c r="B104" i="15"/>
  <c r="L104" i="15" a="1"/>
  <c r="L104" i="15" s="1"/>
  <c r="M104" i="15" s="1"/>
  <c r="B171" i="15"/>
  <c r="L171" i="15" a="1"/>
  <c r="L171" i="15" s="1"/>
  <c r="B108" i="15"/>
  <c r="L108" i="15" a="1"/>
  <c r="L108" i="15" s="1"/>
  <c r="B107" i="15"/>
  <c r="L107" i="15" a="1"/>
  <c r="L107" i="15" s="1"/>
  <c r="M107" i="15" s="1"/>
  <c r="B111" i="15"/>
  <c r="L111" i="15" a="1"/>
  <c r="L111" i="15" s="1"/>
  <c r="M111" i="15" s="1"/>
  <c r="B110" i="15"/>
  <c r="L110" i="15" a="1"/>
  <c r="L110" i="15" s="1"/>
  <c r="M110" i="15" s="1"/>
  <c r="B109" i="15"/>
  <c r="L109" i="15" a="1"/>
  <c r="L109" i="15" s="1"/>
  <c r="B113" i="15"/>
  <c r="L113" i="15" a="1"/>
  <c r="L113" i="15" s="1"/>
  <c r="M113" i="15" s="1"/>
  <c r="B112" i="15"/>
  <c r="L112" i="15" a="1"/>
  <c r="L112" i="15" s="1"/>
  <c r="B120" i="15"/>
  <c r="L120" i="15" a="1"/>
  <c r="L120" i="15" s="1"/>
  <c r="M120" i="15" s="1"/>
  <c r="B119" i="15"/>
  <c r="L119" i="15" a="1"/>
  <c r="L119" i="15" s="1"/>
  <c r="M119" i="15" s="1"/>
  <c r="B118" i="15"/>
  <c r="L118" i="15" a="1"/>
  <c r="L118" i="15" s="1"/>
  <c r="M118" i="15" s="1"/>
  <c r="B117" i="15"/>
  <c r="L117" i="15" a="1"/>
  <c r="L117" i="15" s="1"/>
  <c r="M117" i="15" s="1"/>
  <c r="B116" i="15"/>
  <c r="L116" i="15" a="1"/>
  <c r="L116" i="15" s="1"/>
  <c r="M116" i="15" s="1"/>
  <c r="B115" i="15"/>
  <c r="L115" i="15" a="1"/>
  <c r="L115" i="15" s="1"/>
  <c r="M115" i="15" s="1"/>
  <c r="B114" i="15"/>
  <c r="L114" i="15" a="1"/>
  <c r="L114" i="15" s="1"/>
  <c r="M114" i="15" s="1"/>
  <c r="B55" i="15"/>
  <c r="L55" i="15" a="1"/>
  <c r="L55" i="15" s="1"/>
  <c r="M55" i="15" s="1"/>
  <c r="B121" i="15"/>
  <c r="L121" i="15" a="1"/>
  <c r="L121" i="15" s="1"/>
  <c r="B122" i="15"/>
  <c r="L122" i="15" a="1"/>
  <c r="L122" i="15" s="1"/>
  <c r="M122" i="15" s="1"/>
  <c r="B124" i="15"/>
  <c r="L124" i="15" a="1"/>
  <c r="L124" i="15" s="1"/>
  <c r="M124" i="15" s="1"/>
  <c r="B123" i="15"/>
  <c r="L123" i="15" a="1"/>
  <c r="L123" i="15" s="1"/>
  <c r="M123" i="15" s="1"/>
  <c r="B126" i="15"/>
  <c r="L126" i="15" a="1"/>
  <c r="L126" i="15" s="1"/>
  <c r="B125" i="15"/>
  <c r="L125" i="15" a="1"/>
  <c r="L125" i="15" s="1"/>
  <c r="M125" i="15" s="1"/>
  <c r="B127" i="15"/>
  <c r="L127" i="15" a="1"/>
  <c r="L127" i="15" s="1"/>
  <c r="M127" i="15" s="1"/>
  <c r="B129" i="15"/>
  <c r="L129" i="15" a="1"/>
  <c r="L129" i="15" s="1"/>
  <c r="M129" i="15" s="1"/>
  <c r="B130" i="15"/>
  <c r="L130" i="15" a="1"/>
  <c r="L130" i="15" s="1"/>
  <c r="B133" i="15"/>
  <c r="L133" i="15" a="1"/>
  <c r="L133" i="15" s="1"/>
  <c r="M133" i="15" s="1"/>
  <c r="B131" i="15"/>
  <c r="L131" i="15" a="1"/>
  <c r="L131" i="15" s="1"/>
  <c r="M131" i="15" s="1"/>
  <c r="B132" i="15"/>
  <c r="L132" i="15" a="1"/>
  <c r="L132" i="15" s="1"/>
  <c r="M132" i="15" s="1"/>
  <c r="B142" i="15"/>
  <c r="L142" i="15" a="1"/>
  <c r="L142" i="15" s="1"/>
  <c r="M142" i="15" s="1"/>
  <c r="B141" i="15"/>
  <c r="L141" i="15" a="1"/>
  <c r="L141" i="15" s="1"/>
  <c r="M141" i="15" s="1"/>
  <c r="B140" i="15"/>
  <c r="L140" i="15" a="1"/>
  <c r="L140" i="15" s="1"/>
  <c r="M140" i="15" s="1"/>
  <c r="B139" i="15"/>
  <c r="L139" i="15" a="1"/>
  <c r="L139" i="15" s="1"/>
  <c r="M139" i="15" s="1"/>
  <c r="B138" i="15"/>
  <c r="L138" i="15" a="1"/>
  <c r="L138" i="15" s="1"/>
  <c r="M138" i="15" s="1"/>
  <c r="B136" i="15"/>
  <c r="L136" i="15" a="1"/>
  <c r="L136" i="15" s="1"/>
  <c r="B135" i="15"/>
  <c r="L135" i="15" a="1"/>
  <c r="L135" i="15" s="1"/>
  <c r="M135" i="15" s="1"/>
  <c r="B134" i="15"/>
  <c r="L134" i="15" a="1"/>
  <c r="L134" i="15" s="1"/>
  <c r="B145" i="15"/>
  <c r="L145" i="15" a="1"/>
  <c r="L145" i="15" s="1"/>
  <c r="B144" i="15"/>
  <c r="L144" i="15" a="1"/>
  <c r="L144" i="15" s="1"/>
  <c r="M144" i="15" s="1"/>
  <c r="B146" i="15"/>
  <c r="L146" i="15" a="1"/>
  <c r="L146" i="15" s="1"/>
  <c r="M146" i="15" s="1"/>
  <c r="B147" i="15"/>
  <c r="L147" i="15" a="1"/>
  <c r="L147" i="15" s="1"/>
  <c r="B158" i="15"/>
  <c r="L158" i="15" a="1"/>
  <c r="L158" i="15" s="1"/>
  <c r="M158" i="15" s="1"/>
  <c r="B162" i="15"/>
  <c r="L162" i="15" a="1"/>
  <c r="L162" i="15" s="1"/>
  <c r="M162" i="15" s="1"/>
  <c r="B161" i="15"/>
  <c r="L161" i="15" a="1"/>
  <c r="L161" i="15" s="1"/>
  <c r="M161" i="15" s="1"/>
  <c r="B159" i="15"/>
  <c r="L159" i="15" a="1"/>
  <c r="L159" i="15" s="1"/>
  <c r="M159" i="15" s="1"/>
  <c r="B157" i="15"/>
  <c r="L157" i="15" a="1"/>
  <c r="L157" i="15" s="1"/>
  <c r="M157" i="15" s="1"/>
  <c r="B156" i="15"/>
  <c r="L156" i="15" a="1"/>
  <c r="L156" i="15" s="1"/>
  <c r="M156" i="15" s="1"/>
  <c r="B155" i="15"/>
  <c r="L155" i="15" a="1"/>
  <c r="L155" i="15" s="1"/>
  <c r="M155" i="15" s="1"/>
  <c r="B154" i="15"/>
  <c r="L154" i="15" a="1"/>
  <c r="L154" i="15" s="1"/>
  <c r="M154" i="15" s="1"/>
  <c r="B153" i="15"/>
  <c r="L153" i="15" a="1"/>
  <c r="L153" i="15" s="1"/>
  <c r="M153" i="15" s="1"/>
  <c r="B152" i="15"/>
  <c r="L152" i="15" a="1"/>
  <c r="L152" i="15" s="1"/>
  <c r="M152" i="15" s="1"/>
  <c r="B151" i="15"/>
  <c r="L151" i="15" a="1"/>
  <c r="L151" i="15" s="1"/>
  <c r="M151" i="15" s="1"/>
  <c r="B150" i="15"/>
  <c r="L150" i="15" a="1"/>
  <c r="L150" i="15" s="1"/>
  <c r="M150" i="15" s="1"/>
  <c r="B149" i="15"/>
  <c r="L149" i="15" a="1"/>
  <c r="L149" i="15" s="1"/>
  <c r="M149" i="15" s="1"/>
  <c r="B148" i="15"/>
  <c r="L148" i="15" a="1"/>
  <c r="L148" i="15" s="1"/>
  <c r="M148" i="15" s="1"/>
  <c r="B166" i="15"/>
  <c r="L166" i="15" a="1"/>
  <c r="L166" i="15" s="1"/>
  <c r="B165" i="15"/>
  <c r="L165" i="15" a="1"/>
  <c r="L165" i="15" s="1"/>
  <c r="M165" i="15" s="1"/>
  <c r="B164" i="15"/>
  <c r="L164" i="15" a="1"/>
  <c r="L164" i="15" s="1"/>
  <c r="B163" i="15"/>
  <c r="L163" i="15" a="1"/>
  <c r="L163" i="15" s="1"/>
  <c r="M163" i="15" s="1"/>
  <c r="B170" i="15"/>
  <c r="L170" i="15" a="1"/>
  <c r="L170" i="15" s="1"/>
  <c r="M170" i="15" s="1"/>
  <c r="B169" i="15"/>
  <c r="L169" i="15" a="1"/>
  <c r="L169" i="15" s="1"/>
  <c r="B168" i="15"/>
  <c r="L168" i="15" a="1"/>
  <c r="L168" i="15" s="1"/>
  <c r="M168" i="15" s="1"/>
  <c r="B167" i="15"/>
  <c r="L167" i="15" a="1"/>
  <c r="L167" i="15" s="1"/>
  <c r="B172" i="15"/>
  <c r="L172" i="15" a="1"/>
  <c r="L172" i="15" s="1"/>
  <c r="B177" i="15"/>
  <c r="L177" i="15" a="1"/>
  <c r="L177" i="15" s="1"/>
  <c r="M177" i="15" s="1"/>
  <c r="B197" i="15"/>
  <c r="L197" i="15" a="1"/>
  <c r="L197" i="15" s="1"/>
  <c r="M197" i="15" s="1"/>
  <c r="B176" i="15"/>
  <c r="L176" i="15" a="1"/>
  <c r="L176" i="15" s="1"/>
  <c r="M176" i="15" s="1"/>
  <c r="B175" i="15"/>
  <c r="L175" i="15" a="1"/>
  <c r="L175" i="15" s="1"/>
  <c r="B174" i="15"/>
  <c r="L174" i="15" a="1"/>
  <c r="L174" i="15" s="1"/>
  <c r="M174" i="15" s="1"/>
  <c r="B173" i="15"/>
  <c r="L173" i="15" a="1"/>
  <c r="L173" i="15" s="1"/>
  <c r="M173" i="15" s="1"/>
  <c r="B179" i="15"/>
  <c r="L179" i="15" a="1"/>
  <c r="L179" i="15" s="1"/>
  <c r="M179" i="15" s="1"/>
  <c r="B182" i="15"/>
  <c r="L182" i="15" a="1"/>
  <c r="L182" i="15" s="1"/>
  <c r="M182" i="15" s="1"/>
  <c r="B181" i="15"/>
  <c r="L181" i="15" a="1"/>
  <c r="L181" i="15" s="1"/>
  <c r="M181" i="15" s="1"/>
  <c r="B180" i="15"/>
  <c r="L180" i="15" a="1"/>
  <c r="L180" i="15" s="1"/>
  <c r="B187" i="15"/>
  <c r="L187" i="15" a="1"/>
  <c r="L187" i="15" s="1"/>
  <c r="M187" i="15" s="1"/>
  <c r="B186" i="15"/>
  <c r="L186" i="15" a="1"/>
  <c r="L186" i="15" s="1"/>
  <c r="M186" i="15" s="1"/>
  <c r="B185" i="15"/>
  <c r="L185" i="15" a="1"/>
  <c r="L185" i="15" s="1"/>
  <c r="M185" i="15" s="1"/>
  <c r="B184" i="15"/>
  <c r="L184" i="15" a="1"/>
  <c r="L184" i="15" s="1"/>
  <c r="M184" i="15" s="1"/>
  <c r="B183" i="15"/>
  <c r="L183" i="15" a="1"/>
  <c r="L183" i="15" s="1"/>
  <c r="M183" i="15" s="1"/>
  <c r="B188" i="15"/>
  <c r="L188" i="15" a="1"/>
  <c r="L188" i="15" s="1"/>
  <c r="M188" i="15" s="1"/>
  <c r="B190" i="15"/>
  <c r="L190" i="15" a="1"/>
  <c r="L190" i="15" s="1"/>
  <c r="M190" i="15" s="1"/>
  <c r="B193" i="15"/>
  <c r="L193" i="15" a="1"/>
  <c r="L193" i="15" s="1"/>
  <c r="B195" i="15"/>
  <c r="L195" i="15" a="1"/>
  <c r="L195" i="15" s="1"/>
  <c r="M195" i="15" s="1"/>
  <c r="B196" i="15"/>
  <c r="L196" i="15" a="1"/>
  <c r="L196" i="15" s="1"/>
  <c r="M196" i="15" s="1"/>
  <c r="B201" i="15"/>
  <c r="L201" i="15" a="1"/>
  <c r="L201" i="15" s="1"/>
  <c r="M201" i="15" s="1"/>
  <c r="B200" i="15"/>
  <c r="L200" i="15" a="1"/>
  <c r="L200" i="15" s="1"/>
  <c r="M200" i="15" s="1"/>
  <c r="B199" i="15"/>
  <c r="L199" i="15" a="1"/>
  <c r="L199" i="15" s="1"/>
  <c r="M199" i="15" s="1"/>
  <c r="B198" i="15"/>
  <c r="L198" i="15" a="1"/>
  <c r="L198" i="15" s="1"/>
  <c r="M198" i="15" s="1"/>
  <c r="B204" i="15"/>
  <c r="L204" i="15" a="1"/>
  <c r="L204" i="15" s="1"/>
  <c r="M204" i="15" s="1"/>
  <c r="B207" i="15"/>
  <c r="L207" i="15" a="1"/>
  <c r="L207" i="15" s="1"/>
  <c r="M207" i="15" s="1"/>
  <c r="B206" i="15"/>
  <c r="L206" i="15" a="1"/>
  <c r="L206" i="15" s="1"/>
  <c r="M206" i="15" s="1"/>
  <c r="B213" i="15"/>
  <c r="L213" i="15" a="1"/>
  <c r="L213" i="15" s="1"/>
  <c r="B212" i="15"/>
  <c r="L212" i="15" a="1"/>
  <c r="L212" i="15" s="1"/>
  <c r="B211" i="15"/>
  <c r="L211" i="15" a="1"/>
  <c r="L211" i="15" s="1"/>
  <c r="M211" i="15" s="1"/>
  <c r="B210" i="15"/>
  <c r="L210" i="15" a="1"/>
  <c r="L210" i="15" s="1"/>
  <c r="B209" i="15"/>
  <c r="L209" i="15" a="1"/>
  <c r="L209" i="15" s="1"/>
  <c r="B228" i="15"/>
  <c r="L228" i="15" a="1"/>
  <c r="L228" i="15" s="1"/>
  <c r="M228" i="15" s="1"/>
  <c r="B227" i="15"/>
  <c r="L227" i="15" a="1"/>
  <c r="L227" i="15" s="1"/>
  <c r="M227" i="15" s="1"/>
  <c r="B226" i="15"/>
  <c r="L226" i="15" a="1"/>
  <c r="L226" i="15" s="1"/>
  <c r="M226" i="15" s="1"/>
  <c r="B225" i="15"/>
  <c r="L225" i="15" a="1"/>
  <c r="L225" i="15" s="1"/>
  <c r="M225" i="15" s="1"/>
  <c r="B224" i="15"/>
  <c r="L224" i="15" a="1"/>
  <c r="L224" i="15" s="1"/>
  <c r="M224" i="15" s="1"/>
  <c r="B223" i="15"/>
  <c r="L223" i="15" a="1"/>
  <c r="L223" i="15" s="1"/>
  <c r="M223" i="15" s="1"/>
  <c r="B222" i="15"/>
  <c r="L222" i="15" a="1"/>
  <c r="L222" i="15" s="1"/>
  <c r="M222" i="15" s="1"/>
  <c r="B221" i="15"/>
  <c r="L221" i="15" a="1"/>
  <c r="L221" i="15" s="1"/>
  <c r="M221" i="15" s="1"/>
  <c r="B220" i="15"/>
  <c r="L220" i="15" a="1"/>
  <c r="L220" i="15" s="1"/>
  <c r="M220" i="15" s="1"/>
  <c r="B219" i="15"/>
  <c r="L219" i="15" a="1"/>
  <c r="L219" i="15" s="1"/>
  <c r="M219" i="15" s="1"/>
  <c r="B218" i="15"/>
  <c r="L218" i="15" a="1"/>
  <c r="L218" i="15" s="1"/>
  <c r="M218" i="15" s="1"/>
  <c r="B217" i="15"/>
  <c r="L217" i="15" a="1"/>
  <c r="L217" i="15" s="1"/>
  <c r="M217" i="15" s="1"/>
  <c r="B216" i="15"/>
  <c r="L216" i="15" a="1"/>
  <c r="L216" i="15" s="1"/>
  <c r="M216" i="15" s="1"/>
  <c r="B215" i="15"/>
  <c r="L215" i="15" a="1"/>
  <c r="L215" i="15" s="1"/>
  <c r="M215" i="15" s="1"/>
  <c r="B214" i="15"/>
  <c r="L214" i="15" a="1"/>
  <c r="L214" i="15" s="1"/>
  <c r="B238" i="15"/>
  <c r="L238" i="15" a="1"/>
  <c r="L238" i="15" s="1"/>
  <c r="M238" i="15" s="1"/>
  <c r="B237" i="15"/>
  <c r="L237" i="15" a="1"/>
  <c r="L237" i="15" s="1"/>
  <c r="B236" i="15"/>
  <c r="L236" i="15" a="1"/>
  <c r="L236" i="15" s="1"/>
  <c r="B235" i="15"/>
  <c r="L235" i="15" a="1"/>
  <c r="L235" i="15" s="1"/>
  <c r="M235" i="15" s="1"/>
  <c r="B234" i="15"/>
  <c r="L234" i="15" a="1"/>
  <c r="L234" i="15" s="1"/>
  <c r="M234" i="15" s="1"/>
  <c r="B233" i="15"/>
  <c r="L233" i="15" a="1"/>
  <c r="L233" i="15" s="1"/>
  <c r="M233" i="15" s="1"/>
  <c r="B232" i="15"/>
  <c r="L232" i="15" a="1"/>
  <c r="L232" i="15" s="1"/>
  <c r="M232" i="15" s="1"/>
  <c r="B231" i="15"/>
  <c r="L231" i="15" a="1"/>
  <c r="L231" i="15" s="1"/>
  <c r="M231" i="15" s="1"/>
  <c r="B230" i="15"/>
  <c r="L230" i="15" a="1"/>
  <c r="L230" i="15" s="1"/>
  <c r="B229" i="15"/>
  <c r="L229" i="15" a="1"/>
  <c r="L229" i="15" s="1"/>
  <c r="M229" i="15" s="1"/>
  <c r="B240" i="15"/>
  <c r="L240" i="15" a="1"/>
  <c r="L240" i="15" s="1"/>
  <c r="M240" i="15" s="1"/>
  <c r="B239" i="15"/>
  <c r="L239" i="15" a="1"/>
  <c r="L239" i="15" s="1"/>
  <c r="B241" i="15"/>
  <c r="L241" i="15" a="1"/>
  <c r="L241" i="15" s="1"/>
  <c r="M241" i="15" s="1"/>
  <c r="B242" i="15"/>
  <c r="L242" i="15" a="1"/>
  <c r="L242" i="15" s="1"/>
  <c r="M242" i="15" s="1"/>
  <c r="B244" i="15"/>
  <c r="L244" i="15" a="1"/>
  <c r="L244" i="15" s="1"/>
  <c r="M244" i="15" s="1"/>
  <c r="B243" i="15"/>
  <c r="L243" i="15" a="1"/>
  <c r="L243" i="15" s="1"/>
  <c r="M243" i="15" s="1"/>
  <c r="B261" i="15"/>
  <c r="L261" i="15" a="1"/>
  <c r="L261" i="15" s="1"/>
  <c r="M261" i="15" s="1"/>
  <c r="B260" i="15"/>
  <c r="L260" i="15" a="1"/>
  <c r="L260" i="15" s="1"/>
  <c r="M260" i="15" s="1"/>
  <c r="B259" i="15"/>
  <c r="L259" i="15" a="1"/>
  <c r="L259" i="15" s="1"/>
  <c r="M259" i="15" s="1"/>
  <c r="B258" i="15"/>
  <c r="L258" i="15" a="1"/>
  <c r="L258" i="15" s="1"/>
  <c r="M258" i="15" s="1"/>
  <c r="B257" i="15"/>
  <c r="L257" i="15" a="1"/>
  <c r="L257" i="15" s="1"/>
  <c r="M257" i="15" s="1"/>
  <c r="B256" i="15"/>
  <c r="L256" i="15" a="1"/>
  <c r="L256" i="15" s="1"/>
  <c r="M256" i="15" s="1"/>
  <c r="B255" i="15"/>
  <c r="L255" i="15" a="1"/>
  <c r="L255" i="15" s="1"/>
  <c r="M255" i="15" s="1"/>
  <c r="B254" i="15"/>
  <c r="L254" i="15" a="1"/>
  <c r="L254" i="15" s="1"/>
  <c r="M254" i="15" s="1"/>
  <c r="B253" i="15"/>
  <c r="L253" i="15" a="1"/>
  <c r="L253" i="15" s="1"/>
  <c r="M253" i="15" s="1"/>
  <c r="B252" i="15"/>
  <c r="L252" i="15" a="1"/>
  <c r="L252" i="15" s="1"/>
  <c r="M252" i="15" s="1"/>
  <c r="B251" i="15"/>
  <c r="L251" i="15" a="1"/>
  <c r="L251" i="15" s="1"/>
  <c r="M251" i="15" s="1"/>
  <c r="B250" i="15"/>
  <c r="L250" i="15" a="1"/>
  <c r="L250" i="15" s="1"/>
  <c r="M250" i="15" s="1"/>
  <c r="B249" i="15"/>
  <c r="L249" i="15" a="1"/>
  <c r="L249" i="15" s="1"/>
  <c r="M249" i="15" s="1"/>
  <c r="B248" i="15"/>
  <c r="L248" i="15" a="1"/>
  <c r="L248" i="15" s="1"/>
  <c r="M248" i="15" s="1"/>
  <c r="B247" i="15"/>
  <c r="L247" i="15" a="1"/>
  <c r="L247" i="15" s="1"/>
  <c r="M247" i="15" s="1"/>
  <c r="B246" i="15"/>
  <c r="L246" i="15" a="1"/>
  <c r="L246" i="15" s="1"/>
  <c r="M246" i="15" s="1"/>
  <c r="B245" i="15"/>
  <c r="L245" i="15" a="1"/>
  <c r="L245" i="15" s="1"/>
  <c r="M245" i="15" s="1"/>
  <c r="B262" i="15"/>
  <c r="L262" i="15" a="1"/>
  <c r="L262" i="15" s="1"/>
  <c r="B263" i="15"/>
  <c r="L263" i="15" a="1"/>
  <c r="L263" i="15" s="1"/>
  <c r="M263" i="15" s="1"/>
  <c r="B264" i="15"/>
  <c r="L264" i="15" a="1"/>
  <c r="L264" i="15" s="1"/>
  <c r="M264" i="15" s="1"/>
  <c r="B270" i="15"/>
  <c r="L270" i="15" a="1"/>
  <c r="L270" i="15" s="1"/>
  <c r="M270" i="15" s="1"/>
  <c r="B269" i="15"/>
  <c r="L269" i="15" a="1"/>
  <c r="L269" i="15" s="1"/>
  <c r="M269" i="15" s="1"/>
  <c r="B268" i="15"/>
  <c r="L268" i="15" a="1"/>
  <c r="L268" i="15" s="1"/>
  <c r="M268" i="15" s="1"/>
  <c r="B272" i="15"/>
  <c r="L272" i="15" a="1"/>
  <c r="L272" i="15" s="1"/>
  <c r="M272" i="15" s="1"/>
  <c r="B271" i="15"/>
  <c r="L271" i="15" a="1"/>
  <c r="L271" i="15" s="1"/>
  <c r="M271" i="15" s="1"/>
  <c r="B273" i="15"/>
  <c r="L273" i="15" a="1"/>
  <c r="L273" i="15" s="1"/>
  <c r="M273" i="15" s="1"/>
  <c r="B276" i="15"/>
  <c r="L276" i="15" a="1"/>
  <c r="L276" i="15" s="1"/>
  <c r="M276" i="15" s="1"/>
  <c r="B275" i="15"/>
  <c r="L275" i="15" a="1"/>
  <c r="L275" i="15" s="1"/>
  <c r="M275" i="15" s="1"/>
  <c r="B274" i="15"/>
  <c r="L274" i="15" a="1"/>
  <c r="L274" i="15" s="1"/>
  <c r="M274" i="15" s="1"/>
  <c r="B278" i="15"/>
  <c r="L278" i="15" a="1"/>
  <c r="L278" i="15" s="1"/>
  <c r="B277" i="15"/>
  <c r="L277" i="15" a="1"/>
  <c r="L277" i="15" s="1"/>
  <c r="M277" i="15" s="1"/>
  <c r="B288" i="15"/>
  <c r="L288" i="15" a="1"/>
  <c r="L288" i="15" s="1"/>
  <c r="M288" i="15" s="1"/>
  <c r="B287" i="15"/>
  <c r="L287" i="15" a="1"/>
  <c r="L287" i="15" s="1"/>
  <c r="M287" i="15" s="1"/>
  <c r="B286" i="15"/>
  <c r="L286" i="15" a="1"/>
  <c r="L286" i="15" s="1"/>
  <c r="M286" i="15" s="1"/>
  <c r="B282" i="15"/>
  <c r="L282" i="15" a="1"/>
  <c r="L282" i="15" s="1"/>
  <c r="M282" i="15" s="1"/>
  <c r="B283" i="15"/>
  <c r="L283" i="15" a="1"/>
  <c r="L283" i="15" s="1"/>
  <c r="M283" i="15" s="1"/>
  <c r="B284" i="15"/>
  <c r="L284" i="15" a="1"/>
  <c r="L284" i="15" s="1"/>
  <c r="M284" i="15" s="1"/>
  <c r="B285" i="15"/>
  <c r="L285" i="15" a="1"/>
  <c r="L285" i="15" s="1"/>
  <c r="M285" i="15" s="1"/>
  <c r="B281" i="15"/>
  <c r="L281" i="15" a="1"/>
  <c r="L281" i="15" s="1"/>
  <c r="M281" i="15" s="1"/>
  <c r="B280" i="15"/>
  <c r="L280" i="15" a="1"/>
  <c r="L280" i="15" s="1"/>
  <c r="M280" i="15" s="1"/>
  <c r="B279" i="15"/>
  <c r="L279" i="15" a="1"/>
  <c r="L279" i="15" s="1"/>
  <c r="M279" i="15" s="1"/>
  <c r="B291" i="15"/>
  <c r="L291" i="15" a="1"/>
  <c r="L291" i="15" s="1"/>
  <c r="B290" i="15"/>
  <c r="L290" i="15" a="1"/>
  <c r="L290" i="15" s="1"/>
  <c r="M290" i="15" s="1"/>
  <c r="B294" i="15"/>
  <c r="L294" i="15" a="1"/>
  <c r="L294" i="15" s="1"/>
  <c r="B293" i="15"/>
  <c r="L293" i="15" a="1"/>
  <c r="L293" i="15" s="1"/>
  <c r="B292" i="15"/>
  <c r="L292" i="15" a="1"/>
  <c r="L292" i="15" s="1"/>
  <c r="B297" i="15"/>
  <c r="L297" i="15" a="1"/>
  <c r="L297" i="15" s="1"/>
  <c r="M297" i="15" s="1"/>
  <c r="B296" i="15"/>
  <c r="L296" i="15" a="1"/>
  <c r="L296" i="15" s="1"/>
  <c r="B295" i="15"/>
  <c r="L295" i="15" a="1"/>
  <c r="L295" i="15" s="1"/>
  <c r="M295" i="15" s="1"/>
  <c r="B298" i="15"/>
  <c r="L298" i="15" a="1"/>
  <c r="L298" i="15" s="1"/>
  <c r="B299" i="15"/>
  <c r="L299" i="15" a="1"/>
  <c r="L299" i="15" s="1"/>
  <c r="M299" i="15" s="1"/>
  <c r="B301" i="15"/>
  <c r="L301" i="15" a="1"/>
  <c r="L301" i="15" s="1"/>
  <c r="M301" i="15" s="1"/>
  <c r="B300" i="15"/>
  <c r="L300" i="15" a="1"/>
  <c r="L300" i="15" s="1"/>
  <c r="M300" i="15" s="1"/>
  <c r="B305" i="15"/>
  <c r="L305" i="15" a="1"/>
  <c r="L305" i="15" s="1"/>
  <c r="M305" i="15" s="1"/>
  <c r="B304" i="15"/>
  <c r="L304" i="15" a="1"/>
  <c r="L304" i="15" s="1"/>
  <c r="M304" i="15" s="1"/>
  <c r="B303" i="15"/>
  <c r="L303" i="15" a="1"/>
  <c r="L303" i="15" s="1"/>
  <c r="M303" i="15" s="1"/>
  <c r="B302" i="15"/>
  <c r="L302" i="15" a="1"/>
  <c r="L302" i="15" s="1"/>
  <c r="M302" i="15" s="1"/>
  <c r="B307" i="15"/>
  <c r="L307" i="15" a="1"/>
  <c r="L307" i="15" s="1"/>
  <c r="M307" i="15" s="1"/>
  <c r="B306" i="15"/>
  <c r="L306" i="15" a="1"/>
  <c r="L306" i="15" s="1"/>
  <c r="M306" i="15" s="1"/>
  <c r="B311" i="15"/>
  <c r="L311" i="15" a="1"/>
  <c r="L311" i="15" s="1"/>
  <c r="M311" i="15" s="1"/>
  <c r="B310" i="15"/>
  <c r="L310" i="15" a="1"/>
  <c r="L310" i="15" s="1"/>
  <c r="B309" i="15"/>
  <c r="L309" i="15" a="1"/>
  <c r="L309" i="15" s="1"/>
  <c r="M309" i="15" s="1"/>
  <c r="B308" i="15"/>
  <c r="L308" i="15" a="1"/>
  <c r="L308" i="15" s="1"/>
  <c r="B317" i="15"/>
  <c r="L317" i="15" a="1"/>
  <c r="L317" i="15" s="1"/>
  <c r="B316" i="15"/>
  <c r="L316" i="15" a="1"/>
  <c r="L316" i="15" s="1"/>
  <c r="M316" i="15" s="1"/>
  <c r="B315" i="15"/>
  <c r="L315" i="15" a="1"/>
  <c r="L315" i="15" s="1"/>
  <c r="M315" i="15" s="1"/>
  <c r="B313" i="15"/>
  <c r="L313" i="15" a="1"/>
  <c r="L313" i="15" s="1"/>
  <c r="B314" i="15"/>
  <c r="L314" i="15" a="1"/>
  <c r="L314" i="15" s="1"/>
  <c r="M314" i="15" s="1"/>
  <c r="B312" i="15"/>
  <c r="L312" i="15" a="1"/>
  <c r="L312" i="15" s="1"/>
  <c r="M312" i="15" s="1"/>
  <c r="B342" i="15"/>
  <c r="L342" i="15" a="1"/>
  <c r="L342" i="15" s="1"/>
  <c r="M342" i="15" s="1"/>
  <c r="B341" i="15"/>
  <c r="L341" i="15" a="1"/>
  <c r="L341" i="15" s="1"/>
  <c r="M341" i="15" s="1"/>
  <c r="B340" i="15"/>
  <c r="L340" i="15" a="1"/>
  <c r="L340" i="15" s="1"/>
  <c r="M340" i="15" s="1"/>
  <c r="B339" i="15"/>
  <c r="L339" i="15" a="1"/>
  <c r="L339" i="15" s="1"/>
  <c r="M339" i="15" s="1"/>
  <c r="B338" i="15"/>
  <c r="L338" i="15" a="1"/>
  <c r="L338" i="15" s="1"/>
  <c r="M338" i="15" s="1"/>
  <c r="B337" i="15"/>
  <c r="L337" i="15" a="1"/>
  <c r="L337" i="15" s="1"/>
  <c r="M337" i="15" s="1"/>
  <c r="B336" i="15"/>
  <c r="L336" i="15" a="1"/>
  <c r="L336" i="15" s="1"/>
  <c r="M336" i="15" s="1"/>
  <c r="B335" i="15"/>
  <c r="L335" i="15" a="1"/>
  <c r="L335" i="15" s="1"/>
  <c r="M335" i="15" s="1"/>
  <c r="B334" i="15"/>
  <c r="L334" i="15" a="1"/>
  <c r="L334" i="15" s="1"/>
  <c r="M334" i="15" s="1"/>
  <c r="B333" i="15"/>
  <c r="L333" i="15" a="1"/>
  <c r="L333" i="15" s="1"/>
  <c r="B332" i="15"/>
  <c r="L332" i="15" a="1"/>
  <c r="L332" i="15" s="1"/>
  <c r="M332" i="15" s="1"/>
  <c r="B331" i="15"/>
  <c r="L331" i="15" a="1"/>
  <c r="L331" i="15" s="1"/>
  <c r="M331" i="15" s="1"/>
  <c r="B330" i="15"/>
  <c r="L330" i="15" a="1"/>
  <c r="L330" i="15" s="1"/>
  <c r="M330" i="15" s="1"/>
  <c r="B329" i="15"/>
  <c r="L329" i="15" a="1"/>
  <c r="L329" i="15" s="1"/>
  <c r="M329" i="15" s="1"/>
  <c r="B328" i="15"/>
  <c r="L328" i="15" a="1"/>
  <c r="L328" i="15" s="1"/>
  <c r="B327" i="15"/>
  <c r="L327" i="15" a="1"/>
  <c r="L327" i="15" s="1"/>
  <c r="M327" i="15" s="1"/>
  <c r="B326" i="15"/>
  <c r="L326" i="15" a="1"/>
  <c r="L326" i="15" s="1"/>
  <c r="M326" i="15" s="1"/>
  <c r="B325" i="15"/>
  <c r="L325" i="15" a="1"/>
  <c r="L325" i="15" s="1"/>
  <c r="M325" i="15" s="1"/>
  <c r="B324" i="15"/>
  <c r="L324" i="15" a="1"/>
  <c r="L324" i="15" s="1"/>
  <c r="M324" i="15" s="1"/>
  <c r="B323" i="15"/>
  <c r="L323" i="15" a="1"/>
  <c r="L323" i="15" s="1"/>
  <c r="M323" i="15" s="1"/>
  <c r="B322" i="15"/>
  <c r="L322" i="15" a="1"/>
  <c r="L322" i="15" s="1"/>
  <c r="M322" i="15" s="1"/>
  <c r="B321" i="15"/>
  <c r="L321" i="15" a="1"/>
  <c r="L321" i="15" s="1"/>
  <c r="M321" i="15" s="1"/>
  <c r="B320" i="15"/>
  <c r="L320" i="15" a="1"/>
  <c r="L320" i="15" s="1"/>
  <c r="M320" i="15" s="1"/>
  <c r="B319" i="15"/>
  <c r="L319" i="15" a="1"/>
  <c r="L319" i="15" s="1"/>
  <c r="M319" i="15" s="1"/>
  <c r="B318" i="15"/>
  <c r="L318" i="15" a="1"/>
  <c r="L318" i="15" s="1"/>
  <c r="M318" i="15" s="1"/>
  <c r="B343" i="15"/>
  <c r="L343" i="15" a="1"/>
  <c r="L343" i="15" s="1"/>
  <c r="M343" i="15" s="1"/>
  <c r="B352" i="15"/>
  <c r="L352" i="15" a="1"/>
  <c r="L352" i="15" s="1"/>
  <c r="M352" i="15" s="1"/>
  <c r="B351" i="15"/>
  <c r="L351" i="15" a="1"/>
  <c r="L351" i="15" s="1"/>
  <c r="B350" i="15"/>
  <c r="L350" i="15" a="1"/>
  <c r="L350" i="15" s="1"/>
  <c r="B354" i="15"/>
  <c r="L354" i="15" a="1"/>
  <c r="L354" i="15" s="1"/>
  <c r="M354" i="15" s="1"/>
  <c r="B353" i="15"/>
  <c r="L353" i="15" a="1"/>
  <c r="L353" i="15" s="1"/>
  <c r="M353" i="15" s="1"/>
  <c r="B357" i="15"/>
  <c r="L357" i="15" a="1"/>
  <c r="L357" i="15" s="1"/>
  <c r="M357" i="15" s="1"/>
  <c r="B356" i="15"/>
  <c r="L356" i="15" a="1"/>
  <c r="L356" i="15" s="1"/>
  <c r="B355" i="15"/>
  <c r="L355" i="15" a="1"/>
  <c r="L355" i="15" s="1"/>
  <c r="M355" i="15" s="1"/>
  <c r="B361" i="15"/>
  <c r="L361" i="15" a="1"/>
  <c r="L361" i="15" s="1"/>
  <c r="M361" i="15" s="1"/>
  <c r="B359" i="15"/>
  <c r="L359" i="15" a="1"/>
  <c r="L359" i="15" s="1"/>
  <c r="B360" i="15"/>
  <c r="L360" i="15" a="1"/>
  <c r="L360" i="15" s="1"/>
  <c r="M360" i="15" s="1"/>
  <c r="B358" i="15"/>
  <c r="L358" i="15" a="1"/>
  <c r="L358" i="15" s="1"/>
  <c r="M358" i="15" s="1"/>
  <c r="B381" i="15"/>
  <c r="L381" i="15" a="1"/>
  <c r="L381" i="15" s="1"/>
  <c r="M381" i="15" s="1"/>
  <c r="B380" i="15"/>
  <c r="L380" i="15" a="1"/>
  <c r="L380" i="15" s="1"/>
  <c r="M380" i="15" s="1"/>
  <c r="B379" i="15"/>
  <c r="L379" i="15" a="1"/>
  <c r="L379" i="15" s="1"/>
  <c r="M379" i="15" s="1"/>
  <c r="B378" i="15"/>
  <c r="L378" i="15" a="1"/>
  <c r="L378" i="15" s="1"/>
  <c r="M378" i="15" s="1"/>
  <c r="B377" i="15"/>
  <c r="L377" i="15" a="1"/>
  <c r="L377" i="15" s="1"/>
  <c r="M377" i="15" s="1"/>
  <c r="B376" i="15"/>
  <c r="L376" i="15" a="1"/>
  <c r="L376" i="15" s="1"/>
  <c r="M376" i="15" s="1"/>
  <c r="B375" i="15"/>
  <c r="L375" i="15" a="1"/>
  <c r="L375" i="15" s="1"/>
  <c r="M375" i="15" s="1"/>
  <c r="B374" i="15"/>
  <c r="L374" i="15" a="1"/>
  <c r="L374" i="15" s="1"/>
  <c r="M374" i="15" s="1"/>
  <c r="B373" i="15"/>
  <c r="L373" i="15" a="1"/>
  <c r="L373" i="15" s="1"/>
  <c r="M373" i="15" s="1"/>
  <c r="B372" i="15"/>
  <c r="L372" i="15" a="1"/>
  <c r="L372" i="15" s="1"/>
  <c r="M372" i="15" s="1"/>
  <c r="B370" i="15"/>
  <c r="L370" i="15" a="1"/>
  <c r="L370" i="15" s="1"/>
  <c r="M370" i="15" s="1"/>
  <c r="B371" i="15"/>
  <c r="L371" i="15" a="1"/>
  <c r="L371" i="15" s="1"/>
  <c r="M371" i="15" s="1"/>
  <c r="B369" i="15"/>
  <c r="L369" i="15" a="1"/>
  <c r="L369" i="15" s="1"/>
  <c r="M369" i="15" s="1"/>
  <c r="B368" i="15"/>
  <c r="L368" i="15" a="1"/>
  <c r="L368" i="15" s="1"/>
  <c r="M368" i="15" s="1"/>
  <c r="B367" i="15"/>
  <c r="L367" i="15" a="1"/>
  <c r="L367" i="15" s="1"/>
  <c r="M367" i="15" s="1"/>
  <c r="B366" i="15"/>
  <c r="L366" i="15" a="1"/>
  <c r="L366" i="15" s="1"/>
  <c r="M366" i="15" s="1"/>
  <c r="B365" i="15"/>
  <c r="L365" i="15" a="1"/>
  <c r="L365" i="15" s="1"/>
  <c r="M365" i="15" s="1"/>
  <c r="B364" i="15"/>
  <c r="L364" i="15" a="1"/>
  <c r="L364" i="15" s="1"/>
  <c r="M364" i="15" s="1"/>
  <c r="B363" i="15"/>
  <c r="L363" i="15" a="1"/>
  <c r="L363" i="15" s="1"/>
  <c r="M363" i="15" s="1"/>
  <c r="B362" i="15"/>
  <c r="L362" i="15" a="1"/>
  <c r="L362" i="15" s="1"/>
  <c r="M362" i="15" s="1"/>
  <c r="B386" i="15"/>
  <c r="L386" i="15" a="1"/>
  <c r="L386" i="15" s="1"/>
  <c r="B385" i="15"/>
  <c r="L385" i="15" a="1"/>
  <c r="L385" i="15" s="1"/>
  <c r="M385" i="15" s="1"/>
  <c r="B384" i="15"/>
  <c r="L384" i="15" a="1"/>
  <c r="L384" i="15" s="1"/>
  <c r="B383" i="15"/>
  <c r="L383" i="15" a="1"/>
  <c r="L383" i="15" s="1"/>
  <c r="B382" i="15"/>
  <c r="L382" i="15" a="1"/>
  <c r="L382" i="15" s="1"/>
  <c r="B390" i="15"/>
  <c r="L390" i="15" a="1"/>
  <c r="L390" i="15" s="1"/>
  <c r="M390" i="15" s="1"/>
  <c r="B389" i="15"/>
  <c r="L389" i="15" a="1"/>
  <c r="L389" i="15" s="1"/>
  <c r="M389" i="15" s="1"/>
  <c r="B388" i="15"/>
  <c r="L388" i="15" a="1"/>
  <c r="L388" i="15" s="1"/>
  <c r="M388" i="15" s="1"/>
  <c r="B387" i="15"/>
  <c r="L387" i="15" a="1"/>
  <c r="L387" i="15" s="1"/>
  <c r="M387" i="15" s="1"/>
  <c r="B391" i="15"/>
  <c r="L391" i="15" a="1"/>
  <c r="L391" i="15" s="1"/>
  <c r="M391" i="15" s="1"/>
  <c r="B392" i="15"/>
  <c r="L392" i="15" a="1"/>
  <c r="L392" i="15" s="1"/>
  <c r="M392" i="15" s="1"/>
  <c r="B393" i="15"/>
  <c r="L393" i="15" a="1"/>
  <c r="L393" i="15" s="1"/>
  <c r="M393" i="15" s="1"/>
  <c r="B394" i="15"/>
  <c r="L394" i="15" a="1"/>
  <c r="L394" i="15" s="1"/>
  <c r="M394" i="15" s="1"/>
  <c r="B395" i="15"/>
  <c r="L395" i="15" a="1"/>
  <c r="L395" i="15" s="1"/>
  <c r="M395" i="15" s="1"/>
  <c r="B396" i="15"/>
  <c r="L396" i="15" a="1"/>
  <c r="L396" i="15" s="1"/>
  <c r="M396" i="15" s="1"/>
  <c r="B397" i="15"/>
  <c r="L397" i="15" a="1"/>
  <c r="L397" i="15" s="1"/>
  <c r="M397" i="15" s="1"/>
  <c r="B402" i="15"/>
  <c r="L402" i="15" a="1"/>
  <c r="L402" i="15" s="1"/>
  <c r="M402" i="15" s="1"/>
  <c r="B401" i="15"/>
  <c r="L401" i="15" a="1"/>
  <c r="L401" i="15" s="1"/>
  <c r="M401" i="15" s="1"/>
  <c r="B400" i="15"/>
  <c r="L400" i="15" a="1"/>
  <c r="L400" i="15" s="1"/>
  <c r="M400" i="15" s="1"/>
  <c r="B399" i="15"/>
  <c r="L399" i="15" a="1"/>
  <c r="L399" i="15" s="1"/>
  <c r="M399" i="15" s="1"/>
  <c r="B398" i="15"/>
  <c r="L398" i="15" a="1"/>
  <c r="L398" i="15" s="1"/>
  <c r="M398" i="15" s="1"/>
  <c r="B405" i="15"/>
  <c r="L405" i="15" a="1"/>
  <c r="L405" i="15" s="1"/>
  <c r="M405" i="15" s="1"/>
  <c r="B404" i="15"/>
  <c r="L404" i="15" a="1"/>
  <c r="L404" i="15" s="1"/>
  <c r="M404" i="15" s="1"/>
  <c r="B403" i="15"/>
  <c r="L403" i="15" a="1"/>
  <c r="L403" i="15" s="1"/>
  <c r="M403" i="15" s="1"/>
  <c r="B406" i="15"/>
  <c r="L406" i="15" a="1"/>
  <c r="L406" i="15" s="1"/>
  <c r="M406" i="15" s="1"/>
  <c r="B407" i="15"/>
  <c r="L407" i="15" a="1"/>
  <c r="L407" i="15" s="1"/>
  <c r="B408" i="15"/>
  <c r="L408" i="15" a="1"/>
  <c r="L408" i="15" s="1"/>
  <c r="M408" i="15" s="1"/>
  <c r="B422" i="15"/>
  <c r="L422" i="15" a="1"/>
  <c r="L422" i="15" s="1"/>
  <c r="M422" i="15" s="1"/>
  <c r="B420" i="15"/>
  <c r="L420" i="15" a="1"/>
  <c r="L420" i="15" s="1"/>
  <c r="M420" i="15" s="1"/>
  <c r="B419" i="15"/>
  <c r="L419" i="15" a="1"/>
  <c r="L419" i="15" s="1"/>
  <c r="M419" i="15" s="1"/>
  <c r="B418" i="15"/>
  <c r="L418" i="15" a="1"/>
  <c r="L418" i="15" s="1"/>
  <c r="M418" i="15" s="1"/>
  <c r="B417" i="15"/>
  <c r="L417" i="15" a="1"/>
  <c r="L417" i="15" s="1"/>
  <c r="M417" i="15" s="1"/>
  <c r="B414" i="15"/>
  <c r="L414" i="15" a="1"/>
  <c r="L414" i="15" s="1"/>
  <c r="M414" i="15" s="1"/>
  <c r="B415" i="15"/>
  <c r="L415" i="15" a="1"/>
  <c r="L415" i="15" s="1"/>
  <c r="M415" i="15" s="1"/>
  <c r="B416" i="15"/>
  <c r="L416" i="15" a="1"/>
  <c r="L416" i="15" s="1"/>
  <c r="M416" i="15" s="1"/>
  <c r="B412" i="15"/>
  <c r="L412" i="15" a="1"/>
  <c r="L412" i="15" s="1"/>
  <c r="M412" i="15" s="1"/>
  <c r="B411" i="15"/>
  <c r="L411" i="15" a="1"/>
  <c r="L411" i="15" s="1"/>
  <c r="M411" i="15" s="1"/>
  <c r="B410" i="15"/>
  <c r="L410" i="15" a="1"/>
  <c r="L410" i="15" s="1"/>
  <c r="M410" i="15" s="1"/>
  <c r="B409" i="15"/>
  <c r="L409" i="15" a="1"/>
  <c r="L409" i="15" s="1"/>
  <c r="M409" i="15" s="1"/>
  <c r="B421" i="15"/>
  <c r="L421" i="15" a="1"/>
  <c r="L421" i="15" s="1"/>
  <c r="M421" i="15" s="1"/>
  <c r="B413" i="15"/>
  <c r="L413" i="15" a="1"/>
  <c r="L413" i="15" s="1"/>
  <c r="M413" i="15" s="1"/>
  <c r="B423" i="15"/>
  <c r="L423" i="15" a="1"/>
  <c r="L423" i="15" s="1"/>
  <c r="M423" i="15" s="1"/>
  <c r="B424" i="15"/>
  <c r="L424" i="15" a="1"/>
  <c r="L424" i="15" s="1"/>
  <c r="B425" i="15"/>
  <c r="L425" i="15" a="1"/>
  <c r="L425" i="15" s="1"/>
  <c r="M425" i="15" s="1"/>
  <c r="B426" i="15"/>
  <c r="L426" i="15" a="1"/>
  <c r="L426" i="15" s="1"/>
  <c r="M426" i="15" s="1"/>
  <c r="B427" i="15"/>
  <c r="L427" i="15" a="1"/>
  <c r="L427" i="15" s="1"/>
  <c r="B431" i="15"/>
  <c r="L431" i="15" a="1"/>
  <c r="L431" i="15" s="1"/>
  <c r="M431" i="15" s="1"/>
  <c r="B430" i="15"/>
  <c r="L430" i="15" a="1"/>
  <c r="L430" i="15" s="1"/>
  <c r="M430" i="15" s="1"/>
  <c r="B429" i="15"/>
  <c r="L429" i="15" a="1"/>
  <c r="L429" i="15" s="1"/>
  <c r="M429" i="15" s="1"/>
  <c r="B428" i="15"/>
  <c r="L428" i="15" a="1"/>
  <c r="L428" i="15" s="1"/>
  <c r="M428" i="15" s="1"/>
  <c r="B432" i="15"/>
  <c r="L432" i="15" a="1"/>
  <c r="L432" i="15" s="1"/>
  <c r="M432" i="15" s="1"/>
  <c r="B434" i="15"/>
  <c r="L434" i="15" a="1"/>
  <c r="L434" i="15" s="1"/>
  <c r="M434" i="15" s="1"/>
  <c r="B435" i="15"/>
  <c r="L435" i="15" a="1"/>
  <c r="L435" i="15" s="1"/>
  <c r="M435" i="15" s="1"/>
  <c r="B438" i="15"/>
  <c r="L438" i="15" a="1"/>
  <c r="L438" i="15" s="1"/>
  <c r="M438" i="15" s="1"/>
  <c r="B437" i="15"/>
  <c r="L437" i="15" a="1"/>
  <c r="L437" i="15" s="1"/>
  <c r="M437" i="15" s="1"/>
  <c r="B436" i="15"/>
  <c r="L436" i="15" a="1"/>
  <c r="L436" i="15" s="1"/>
  <c r="M436" i="15" s="1"/>
  <c r="B439" i="15"/>
  <c r="L439" i="15" a="1"/>
  <c r="L439" i="15" s="1"/>
  <c r="M439" i="15" s="1"/>
  <c r="B440" i="15"/>
  <c r="L440" i="15" a="1"/>
  <c r="L440" i="15" s="1"/>
  <c r="M440" i="15" s="1"/>
  <c r="B441" i="15"/>
  <c r="L441" i="15" a="1"/>
  <c r="L441" i="15" s="1"/>
  <c r="M441" i="15" s="1"/>
  <c r="B443" i="15"/>
  <c r="L443" i="15" a="1"/>
  <c r="L443" i="15" s="1"/>
  <c r="M443" i="15" s="1"/>
  <c r="B442" i="15"/>
  <c r="L442" i="15" a="1"/>
  <c r="L442" i="15" s="1"/>
  <c r="M442" i="15" s="1"/>
  <c r="B445" i="15"/>
  <c r="L445" i="15" a="1"/>
  <c r="L445" i="15" s="1"/>
  <c r="M445" i="15" s="1"/>
  <c r="B444" i="15"/>
  <c r="L444" i="15" a="1"/>
  <c r="L444" i="15" s="1"/>
  <c r="M444" i="15" s="1"/>
  <c r="B462" i="15"/>
  <c r="L462" i="15" a="1"/>
  <c r="L462" i="15" s="1"/>
  <c r="M462" i="15" s="1"/>
  <c r="B461" i="15"/>
  <c r="L461" i="15" a="1"/>
  <c r="L461" i="15" s="1"/>
  <c r="M461" i="15" s="1"/>
  <c r="B460" i="15"/>
  <c r="L460" i="15" a="1"/>
  <c r="L460" i="15" s="1"/>
  <c r="M460" i="15" s="1"/>
  <c r="B459" i="15"/>
  <c r="L459" i="15" a="1"/>
  <c r="L459" i="15" s="1"/>
  <c r="M459" i="15" s="1"/>
  <c r="B458" i="15"/>
  <c r="L458" i="15" a="1"/>
  <c r="L458" i="15" s="1"/>
  <c r="M458" i="15" s="1"/>
  <c r="B457" i="15"/>
  <c r="L457" i="15" a="1"/>
  <c r="L457" i="15" s="1"/>
  <c r="M457" i="15" s="1"/>
  <c r="B456" i="15"/>
  <c r="B455" i="15"/>
  <c r="L455" i="15" a="1"/>
  <c r="L455" i="15" s="1"/>
  <c r="M455" i="15" s="1"/>
  <c r="B454" i="15"/>
  <c r="L454" i="15" a="1"/>
  <c r="L454" i="15" s="1"/>
  <c r="M454" i="15" s="1"/>
  <c r="B453" i="15"/>
  <c r="L453" i="15" a="1"/>
  <c r="L453" i="15" s="1"/>
  <c r="M453" i="15" s="1"/>
  <c r="B452" i="15"/>
  <c r="L452" i="15" a="1"/>
  <c r="L452" i="15" s="1"/>
  <c r="M452" i="15" s="1"/>
  <c r="B451" i="15"/>
  <c r="L451" i="15" a="1"/>
  <c r="L451" i="15" s="1"/>
  <c r="M451" i="15" s="1"/>
  <c r="B450" i="15"/>
  <c r="L450" i="15" a="1"/>
  <c r="L450" i="15" s="1"/>
  <c r="M450" i="15" s="1"/>
  <c r="B449" i="15"/>
  <c r="L449" i="15" a="1"/>
  <c r="L449" i="15" s="1"/>
  <c r="M449" i="15" s="1"/>
  <c r="B448" i="15"/>
  <c r="L448" i="15" a="1"/>
  <c r="L448" i="15" s="1"/>
  <c r="M448" i="15" s="1"/>
  <c r="B447" i="15"/>
  <c r="L447" i="15" a="1"/>
  <c r="L447" i="15" s="1"/>
  <c r="M447" i="15" s="1"/>
  <c r="B446" i="15"/>
  <c r="L446" i="15" a="1"/>
  <c r="L446" i="15" s="1"/>
  <c r="M446" i="15" s="1"/>
  <c r="B463" i="15"/>
  <c r="L463" i="15" a="1"/>
  <c r="L463" i="15" s="1"/>
  <c r="B465" i="15"/>
  <c r="L465" i="15" a="1"/>
  <c r="L465" i="15" s="1"/>
  <c r="M465" i="15" s="1"/>
  <c r="B464" i="15"/>
  <c r="L464" i="15" a="1"/>
  <c r="L464" i="15" s="1"/>
  <c r="M464" i="15" s="1"/>
  <c r="B467" i="15"/>
  <c r="L467" i="15" a="1"/>
  <c r="L467" i="15" s="1"/>
  <c r="M467" i="15" s="1"/>
  <c r="B468" i="15"/>
  <c r="L468" i="15" a="1"/>
  <c r="L468" i="15" s="1"/>
  <c r="M468" i="15" s="1"/>
  <c r="B469" i="15"/>
  <c r="L469" i="15" a="1"/>
  <c r="L469" i="15" s="1"/>
  <c r="M469" i="15" s="1"/>
  <c r="B470" i="15"/>
  <c r="L470" i="15" a="1"/>
  <c r="L470" i="15" s="1"/>
  <c r="M470" i="15" s="1"/>
  <c r="B472" i="15"/>
  <c r="L472" i="15" a="1"/>
  <c r="L472" i="15" s="1"/>
  <c r="M472" i="15" s="1"/>
  <c r="B471" i="15"/>
  <c r="L471" i="15" a="1"/>
  <c r="L471" i="15" s="1"/>
  <c r="B466" i="15"/>
  <c r="L466" i="15" a="1"/>
  <c r="L466" i="15" s="1"/>
  <c r="M466" i="15" s="1"/>
  <c r="B474" i="15"/>
  <c r="L474" i="15" a="1"/>
  <c r="L474" i="15" s="1"/>
  <c r="M474" i="15" s="1"/>
  <c r="B475" i="15"/>
  <c r="L475" i="15" a="1"/>
  <c r="L475" i="15" s="1"/>
  <c r="M475" i="15" s="1"/>
  <c r="B476" i="15"/>
  <c r="L476" i="15" a="1"/>
  <c r="L476" i="15" s="1"/>
  <c r="M476" i="15" s="1"/>
  <c r="B473" i="15"/>
  <c r="L473" i="15" a="1"/>
  <c r="L473" i="15" s="1"/>
  <c r="M473" i="15" s="1"/>
  <c r="B496" i="15"/>
  <c r="L496" i="15" a="1"/>
  <c r="L496" i="15" s="1"/>
  <c r="M496" i="15" s="1"/>
  <c r="B495" i="15"/>
  <c r="L495" i="15" a="1"/>
  <c r="L495" i="15" s="1"/>
  <c r="M495" i="15" s="1"/>
  <c r="B494" i="15"/>
  <c r="L494" i="15" a="1"/>
  <c r="L494" i="15" s="1"/>
  <c r="M494" i="15" s="1"/>
  <c r="B493" i="15"/>
  <c r="L493" i="15" a="1"/>
  <c r="L493" i="15" s="1"/>
  <c r="M493" i="15" s="1"/>
  <c r="B492" i="15"/>
  <c r="L492" i="15" a="1"/>
  <c r="L492" i="15" s="1"/>
  <c r="M492" i="15" s="1"/>
  <c r="B491" i="15"/>
  <c r="L491" i="15" a="1"/>
  <c r="L491" i="15" s="1"/>
  <c r="M491" i="15" s="1"/>
  <c r="B490" i="15"/>
  <c r="L490" i="15" a="1"/>
  <c r="L490" i="15" s="1"/>
  <c r="M490" i="15" s="1"/>
  <c r="B489" i="15"/>
  <c r="L489" i="15" a="1"/>
  <c r="L489" i="15" s="1"/>
  <c r="M489" i="15" s="1"/>
  <c r="B488" i="15"/>
  <c r="L488" i="15" a="1"/>
  <c r="L488" i="15" s="1"/>
  <c r="M488" i="15" s="1"/>
  <c r="B487" i="15"/>
  <c r="L487" i="15" a="1"/>
  <c r="L487" i="15" s="1"/>
  <c r="M487" i="15" s="1"/>
  <c r="B485" i="15"/>
  <c r="L485" i="15" a="1"/>
  <c r="L485" i="15" s="1"/>
  <c r="M485" i="15" s="1"/>
  <c r="B486" i="15"/>
  <c r="L486" i="15" a="1"/>
  <c r="L486" i="15" s="1"/>
  <c r="M486" i="15" s="1"/>
  <c r="B484" i="15"/>
  <c r="L484" i="15" a="1"/>
  <c r="L484" i="15" s="1"/>
  <c r="M484" i="15" s="1"/>
  <c r="B483" i="15"/>
  <c r="L483" i="15" a="1"/>
  <c r="L483" i="15" s="1"/>
  <c r="M483" i="15" s="1"/>
  <c r="B482" i="15"/>
  <c r="L482" i="15" a="1"/>
  <c r="L482" i="15" s="1"/>
  <c r="M482" i="15" s="1"/>
  <c r="B481" i="15"/>
  <c r="L481" i="15" a="1"/>
  <c r="L481" i="15" s="1"/>
  <c r="M481" i="15" s="1"/>
  <c r="B480" i="15"/>
  <c r="L480" i="15" a="1"/>
  <c r="L480" i="15" s="1"/>
  <c r="M480" i="15" s="1"/>
  <c r="B479" i="15"/>
  <c r="L479" i="15" a="1"/>
  <c r="L479" i="15" s="1"/>
  <c r="M479" i="15" s="1"/>
  <c r="B478" i="15"/>
  <c r="L478" i="15" a="1"/>
  <c r="L478" i="15" s="1"/>
  <c r="M478" i="15" s="1"/>
  <c r="B477" i="15"/>
  <c r="L477" i="15" a="1"/>
  <c r="L477" i="15" s="1"/>
  <c r="M477" i="15" s="1"/>
  <c r="B498" i="15"/>
  <c r="L498" i="15" a="1"/>
  <c r="L498" i="15" s="1"/>
  <c r="M498" i="15" s="1"/>
  <c r="B497" i="15"/>
  <c r="L497" i="15" a="1"/>
  <c r="L497" i="15" s="1"/>
  <c r="M497" i="15" s="1"/>
  <c r="B499" i="15"/>
  <c r="L499" i="15" a="1"/>
  <c r="L499" i="15" s="1"/>
  <c r="M499" i="15" s="1"/>
  <c r="B500" i="15"/>
  <c r="L500" i="15" a="1"/>
  <c r="L500" i="15" s="1"/>
  <c r="M500" i="15" s="1"/>
  <c r="B501" i="15"/>
  <c r="L501" i="15" a="1"/>
  <c r="L501" i="15" s="1"/>
  <c r="B502" i="15"/>
  <c r="L502" i="15" a="1"/>
  <c r="L502" i="15" s="1"/>
  <c r="B506" i="15"/>
  <c r="L506" i="15" a="1"/>
  <c r="L506" i="15" s="1"/>
  <c r="M506" i="15" s="1"/>
  <c r="B507" i="15"/>
  <c r="L507" i="15" a="1"/>
  <c r="L507" i="15" s="1"/>
  <c r="M507" i="15" s="1"/>
  <c r="B505" i="15"/>
  <c r="L505" i="15" a="1"/>
  <c r="L505" i="15" s="1"/>
  <c r="M505" i="15" s="1"/>
  <c r="B504" i="15"/>
  <c r="L504" i="15" a="1"/>
  <c r="L504" i="15" s="1"/>
  <c r="M504" i="15" s="1"/>
  <c r="B503" i="15"/>
  <c r="L503" i="15" a="1"/>
  <c r="L503" i="15" s="1"/>
  <c r="M503" i="15" s="1"/>
  <c r="B508" i="15"/>
  <c r="L508" i="15" a="1"/>
  <c r="L508" i="15" s="1"/>
  <c r="M508" i="15" s="1"/>
  <c r="B189" i="15"/>
  <c r="L189" i="15" a="1"/>
  <c r="L189" i="15" s="1"/>
  <c r="M189" i="15" s="1"/>
  <c r="B510" i="15"/>
  <c r="L510" i="15" a="1"/>
  <c r="L510" i="15" s="1"/>
  <c r="M510" i="15" s="1"/>
  <c r="B523" i="15"/>
  <c r="L523" i="15" a="1"/>
  <c r="L523" i="15" s="1"/>
  <c r="M523" i="15" s="1"/>
  <c r="B522" i="15"/>
  <c r="L522" i="15" a="1"/>
  <c r="L522" i="15" s="1"/>
  <c r="M522" i="15" s="1"/>
  <c r="B520" i="15"/>
  <c r="L520" i="15" a="1"/>
  <c r="L520" i="15" s="1"/>
  <c r="M520" i="15" s="1"/>
  <c r="B519" i="15"/>
  <c r="L519" i="15" a="1"/>
  <c r="L519" i="15" s="1"/>
  <c r="M519" i="15" s="1"/>
  <c r="B518" i="15"/>
  <c r="L518" i="15" a="1"/>
  <c r="L518" i="15" s="1"/>
  <c r="M518" i="15" s="1"/>
  <c r="B517" i="15"/>
  <c r="L517" i="15" a="1"/>
  <c r="L517" i="15" s="1"/>
  <c r="M517" i="15" s="1"/>
  <c r="B516" i="15"/>
  <c r="L516" i="15" a="1"/>
  <c r="L516" i="15" s="1"/>
  <c r="M516" i="15" s="1"/>
  <c r="B515" i="15"/>
  <c r="L515" i="15" a="1"/>
  <c r="L515" i="15" s="1"/>
  <c r="M515" i="15" s="1"/>
  <c r="B512" i="15"/>
  <c r="L512" i="15" a="1"/>
  <c r="L512" i="15" s="1"/>
  <c r="M512" i="15" s="1"/>
  <c r="B511" i="15"/>
  <c r="L511" i="15" a="1"/>
  <c r="L511" i="15" s="1"/>
  <c r="M511" i="15" s="1"/>
  <c r="B509" i="15"/>
  <c r="L509" i="15" a="1"/>
  <c r="L509" i="15" s="1"/>
  <c r="M509" i="15" s="1"/>
  <c r="B514" i="15"/>
  <c r="L514" i="15" a="1"/>
  <c r="L514" i="15" s="1"/>
  <c r="M514" i="15" s="1"/>
  <c r="B521" i="15"/>
  <c r="L521" i="15" a="1"/>
  <c r="L521" i="15" s="1"/>
  <c r="M521" i="15" s="1"/>
  <c r="B513" i="15"/>
  <c r="L513" i="15" a="1"/>
  <c r="L513" i="15" s="1"/>
  <c r="B524" i="15"/>
  <c r="L524" i="15" a="1"/>
  <c r="L524" i="15" s="1"/>
  <c r="B525" i="15"/>
  <c r="L525" i="15" a="1"/>
  <c r="L525" i="15" s="1"/>
  <c r="M525" i="15" s="1"/>
  <c r="B526" i="15"/>
  <c r="L526" i="15" a="1"/>
  <c r="L526" i="15" s="1"/>
  <c r="B527" i="15"/>
  <c r="L527" i="15" a="1"/>
  <c r="L527" i="15" s="1"/>
  <c r="M527" i="15" s="1"/>
  <c r="L528" i="15" a="1"/>
  <c r="L528" i="15" s="1"/>
  <c r="M528" i="15" s="1"/>
  <c r="B530" i="15"/>
  <c r="L530" i="15" a="1"/>
  <c r="L530" i="15" s="1"/>
  <c r="M530" i="15" s="1"/>
  <c r="B529" i="15"/>
  <c r="L529" i="15" a="1"/>
  <c r="L529" i="15" s="1"/>
  <c r="M529" i="15" s="1"/>
  <c r="B531" i="15"/>
  <c r="L531" i="15" a="1"/>
  <c r="L531" i="15" s="1"/>
  <c r="M531" i="15" s="1"/>
  <c r="B532" i="15"/>
  <c r="L532" i="15" a="1"/>
  <c r="L532" i="15" s="1"/>
  <c r="M532" i="15" s="1"/>
  <c r="B534" i="15"/>
  <c r="L534" i="15" a="1"/>
  <c r="L534" i="15" s="1"/>
  <c r="M534" i="15" s="1"/>
  <c r="B533" i="15"/>
  <c r="L533" i="15" a="1"/>
  <c r="L533" i="15" s="1"/>
  <c r="M533" i="15" s="1"/>
  <c r="B909" i="15"/>
  <c r="L909" i="15" a="1"/>
  <c r="L909" i="15" s="1"/>
  <c r="B539" i="15"/>
  <c r="L539" i="15" a="1"/>
  <c r="L539" i="15" s="1"/>
  <c r="M539" i="15" s="1"/>
  <c r="B538" i="15"/>
  <c r="I538" i="15"/>
  <c r="L538" i="15" a="1"/>
  <c r="L538" i="15" s="1"/>
  <c r="M538" i="15" s="1"/>
  <c r="B537" i="15"/>
  <c r="L537" i="15" a="1"/>
  <c r="L537" i="15" s="1"/>
  <c r="M537" i="15" s="1"/>
  <c r="B536" i="15"/>
  <c r="L536" i="15" a="1"/>
  <c r="L536" i="15" s="1"/>
  <c r="M536" i="15" s="1"/>
  <c r="B535" i="15"/>
  <c r="L535" i="15" a="1"/>
  <c r="L535" i="15" s="1"/>
  <c r="M535" i="15" s="1"/>
  <c r="B542" i="15"/>
  <c r="L542" i="15" a="1"/>
  <c r="L542" i="15" s="1"/>
  <c r="M542" i="15" s="1"/>
  <c r="B541" i="15"/>
  <c r="L541" i="15" a="1"/>
  <c r="L541" i="15" s="1"/>
  <c r="M541" i="15" s="1"/>
  <c r="B540" i="15"/>
  <c r="L540" i="15" a="1"/>
  <c r="L540" i="15" s="1"/>
  <c r="M540" i="15" s="1"/>
  <c r="B545" i="15"/>
  <c r="L545" i="15" a="1"/>
  <c r="L545" i="15" s="1"/>
  <c r="M545" i="15" s="1"/>
  <c r="B549" i="15"/>
  <c r="L549" i="15" a="1"/>
  <c r="L549" i="15" s="1"/>
  <c r="M549" i="15" s="1"/>
  <c r="B548" i="15"/>
  <c r="L548" i="15" a="1"/>
  <c r="L548" i="15" s="1"/>
  <c r="M548" i="15" s="1"/>
  <c r="B568" i="15"/>
  <c r="L568" i="15" a="1"/>
  <c r="L568" i="15" s="1"/>
  <c r="M568" i="15" s="1"/>
  <c r="B563" i="15"/>
  <c r="L563" i="15" a="1"/>
  <c r="L563" i="15" s="1"/>
  <c r="M563" i="15" s="1"/>
  <c r="B562" i="15"/>
  <c r="L562" i="15" a="1"/>
  <c r="L562" i="15" s="1"/>
  <c r="M562" i="15" s="1"/>
  <c r="B561" i="15"/>
  <c r="L561" i="15" a="1"/>
  <c r="L561" i="15" s="1"/>
  <c r="M561" i="15" s="1"/>
  <c r="B560" i="15"/>
  <c r="L560" i="15" a="1"/>
  <c r="L560" i="15" s="1"/>
  <c r="M560" i="15" s="1"/>
  <c r="B559" i="15"/>
  <c r="L559" i="15" a="1"/>
  <c r="L559" i="15" s="1"/>
  <c r="M559" i="15" s="1"/>
  <c r="B565" i="15"/>
  <c r="L565" i="15" a="1"/>
  <c r="L565" i="15" s="1"/>
  <c r="M565" i="15" s="1"/>
  <c r="B558" i="15"/>
  <c r="L558" i="15" a="1"/>
  <c r="L558" i="15" s="1"/>
  <c r="M558" i="15" s="1"/>
  <c r="B557" i="15"/>
  <c r="L557" i="15" a="1"/>
  <c r="L557" i="15" s="1"/>
  <c r="M557" i="15" s="1"/>
  <c r="B556" i="15"/>
  <c r="L556" i="15" a="1"/>
  <c r="L556" i="15" s="1"/>
  <c r="M556" i="15" s="1"/>
  <c r="B555" i="15"/>
  <c r="L555" i="15" a="1"/>
  <c r="L555" i="15" s="1"/>
  <c r="M555" i="15" s="1"/>
  <c r="B554" i="15"/>
  <c r="L554" i="15" a="1"/>
  <c r="L554" i="15" s="1"/>
  <c r="M554" i="15" s="1"/>
  <c r="B553" i="15"/>
  <c r="I553" i="15"/>
  <c r="L553" i="15" a="1"/>
  <c r="L553" i="15" s="1"/>
  <c r="M553" i="15" s="1"/>
  <c r="B552" i="15"/>
  <c r="L552" i="15" a="1"/>
  <c r="L552" i="15" s="1"/>
  <c r="M552" i="15" s="1"/>
  <c r="B940" i="15"/>
  <c r="B551" i="15"/>
  <c r="L551" i="15" a="1"/>
  <c r="L551" i="15" s="1"/>
  <c r="M551" i="15" s="1"/>
  <c r="B1040" i="15"/>
  <c r="L1040" i="15" a="1"/>
  <c r="L1040" i="15" s="1"/>
  <c r="M1040" i="15" s="1"/>
  <c r="B550" i="15"/>
  <c r="L550" i="15" a="1"/>
  <c r="L550" i="15" s="1"/>
  <c r="M550" i="15" s="1"/>
  <c r="B564" i="15"/>
  <c r="L564" i="15" a="1"/>
  <c r="L564" i="15" s="1"/>
  <c r="M564" i="15" s="1"/>
  <c r="B567" i="15"/>
  <c r="L567" i="15" a="1"/>
  <c r="L567" i="15" s="1"/>
  <c r="M567" i="15" s="1"/>
  <c r="B566" i="15"/>
  <c r="L566" i="15" a="1"/>
  <c r="L566" i="15" s="1"/>
  <c r="B569" i="15"/>
  <c r="L569" i="15" a="1"/>
  <c r="L569" i="15" s="1"/>
  <c r="M569" i="15" s="1"/>
  <c r="B572" i="15"/>
  <c r="L572" i="15" a="1"/>
  <c r="L572" i="15" s="1"/>
  <c r="M572" i="15" s="1"/>
  <c r="B576" i="15"/>
  <c r="L576" i="15" a="1"/>
  <c r="L576" i="15" s="1"/>
  <c r="M576" i="15" s="1"/>
  <c r="B573" i="15"/>
  <c r="L573" i="15" a="1"/>
  <c r="L573" i="15" s="1"/>
  <c r="M573" i="15" s="1"/>
  <c r="B599" i="15"/>
  <c r="L599" i="15" a="1"/>
  <c r="L599" i="15" s="1"/>
  <c r="M599" i="15" s="1"/>
  <c r="B598" i="15"/>
  <c r="L598" i="15" a="1"/>
  <c r="L598" i="15" s="1"/>
  <c r="M598" i="15" s="1"/>
  <c r="B597" i="15"/>
  <c r="L597" i="15" a="1"/>
  <c r="L597" i="15" s="1"/>
  <c r="M597" i="15" s="1"/>
  <c r="B596" i="15"/>
  <c r="L596" i="15" a="1"/>
  <c r="L596" i="15" s="1"/>
  <c r="M596" i="15" s="1"/>
  <c r="B593" i="15"/>
  <c r="L593" i="15" a="1"/>
  <c r="L593" i="15" s="1"/>
  <c r="M593" i="15" s="1"/>
  <c r="B592" i="15"/>
  <c r="B591" i="15"/>
  <c r="L591" i="15" a="1"/>
  <c r="L591" i="15" s="1"/>
  <c r="M591" i="15" s="1"/>
  <c r="B589" i="15"/>
  <c r="L589" i="15" a="1"/>
  <c r="L589" i="15" s="1"/>
  <c r="M589" i="15" s="1"/>
  <c r="B588" i="15"/>
  <c r="L588" i="15" a="1"/>
  <c r="L588" i="15" s="1"/>
  <c r="M588" i="15" s="1"/>
  <c r="B587" i="15"/>
  <c r="L587" i="15" a="1"/>
  <c r="L587" i="15" s="1"/>
  <c r="M587" i="15" s="1"/>
  <c r="B586" i="15"/>
  <c r="L586" i="15" a="1"/>
  <c r="L586" i="15" s="1"/>
  <c r="M586" i="15" s="1"/>
  <c r="B584" i="15"/>
  <c r="L584" i="15" a="1"/>
  <c r="L584" i="15" s="1"/>
  <c r="M584" i="15" s="1"/>
  <c r="B583" i="15"/>
  <c r="I583" i="15"/>
  <c r="L583" i="15" a="1"/>
  <c r="L583" i="15" s="1"/>
  <c r="M583" i="15" s="1"/>
  <c r="B582" i="15"/>
  <c r="L582" i="15" a="1"/>
  <c r="L582" i="15" s="1"/>
  <c r="M582" i="15" s="1"/>
  <c r="B581" i="15"/>
  <c r="L581" i="15" a="1"/>
  <c r="L581" i="15" s="1"/>
  <c r="M581" i="15" s="1"/>
  <c r="B579" i="15"/>
  <c r="L579" i="15" a="1"/>
  <c r="L579" i="15" s="1"/>
  <c r="M579" i="15" s="1"/>
  <c r="B578" i="15"/>
  <c r="L578" i="15" a="1"/>
  <c r="L578" i="15" s="1"/>
  <c r="M578" i="15" s="1"/>
  <c r="B577" i="15"/>
  <c r="L577" i="15" a="1"/>
  <c r="L577" i="15" s="1"/>
  <c r="M577" i="15" s="1"/>
  <c r="B590" i="15"/>
  <c r="L590" i="15" a="1"/>
  <c r="L590" i="15" s="1"/>
  <c r="M590" i="15" s="1"/>
  <c r="B595" i="15"/>
  <c r="L595" i="15" a="1"/>
  <c r="L595" i="15" s="1"/>
  <c r="M595" i="15" s="1"/>
  <c r="B594" i="15"/>
  <c r="L594" i="15" a="1"/>
  <c r="L594" i="15" s="1"/>
  <c r="M594" i="15" s="1"/>
  <c r="B580" i="15"/>
  <c r="L580" i="15" a="1"/>
  <c r="L580" i="15" s="1"/>
  <c r="M580" i="15" s="1"/>
  <c r="B605" i="15"/>
  <c r="L605" i="15" a="1"/>
  <c r="L605" i="15" s="1"/>
  <c r="M605" i="15" s="1"/>
  <c r="B604" i="15"/>
  <c r="L604" i="15" a="1"/>
  <c r="L604" i="15" s="1"/>
  <c r="M604" i="15" s="1"/>
  <c r="B606" i="15"/>
  <c r="L606" i="15" a="1"/>
  <c r="L606" i="15" s="1"/>
  <c r="M606" i="15" s="1"/>
  <c r="B607" i="15"/>
  <c r="L607" i="15" a="1"/>
  <c r="L607" i="15" s="1"/>
  <c r="M607" i="15" s="1"/>
  <c r="B610" i="15"/>
  <c r="L610" i="15" a="1"/>
  <c r="L610" i="15" s="1"/>
  <c r="M610" i="15" s="1"/>
  <c r="B614" i="15"/>
  <c r="L614" i="15" a="1"/>
  <c r="L614" i="15" s="1"/>
  <c r="M614" i="15" s="1"/>
  <c r="B612" i="15"/>
  <c r="L612" i="15" a="1"/>
  <c r="L612" i="15" s="1"/>
  <c r="M612" i="15" s="1"/>
  <c r="B611" i="15"/>
  <c r="L611" i="15" a="1"/>
  <c r="L611" i="15" s="1"/>
  <c r="M611" i="15" s="1"/>
  <c r="B613" i="15"/>
  <c r="L613" i="15" a="1"/>
  <c r="L613" i="15" s="1"/>
  <c r="M613" i="15" s="1"/>
  <c r="B615" i="15"/>
  <c r="L615" i="15" a="1"/>
  <c r="L615" i="15" s="1"/>
  <c r="M615" i="15" s="1"/>
  <c r="B620" i="15"/>
  <c r="L620" i="15" a="1"/>
  <c r="L620" i="15" s="1"/>
  <c r="M620" i="15" s="1"/>
  <c r="B617" i="15"/>
  <c r="L617" i="15" a="1"/>
  <c r="L617" i="15" s="1"/>
  <c r="M617" i="15" s="1"/>
  <c r="B627" i="15"/>
  <c r="L627" i="15" a="1"/>
  <c r="L627" i="15" s="1"/>
  <c r="M627" i="15" s="1"/>
  <c r="B626" i="15"/>
  <c r="L626" i="15" a="1"/>
  <c r="L626" i="15" s="1"/>
  <c r="M626" i="15" s="1"/>
  <c r="B625" i="15"/>
  <c r="L625" i="15" a="1"/>
  <c r="L625" i="15" s="1"/>
  <c r="M625" i="15" s="1"/>
  <c r="B624" i="15"/>
  <c r="L624" i="15" a="1"/>
  <c r="L624" i="15" s="1"/>
  <c r="M624" i="15" s="1"/>
  <c r="B623" i="15"/>
  <c r="L623" i="15" a="1"/>
  <c r="L623" i="15" s="1"/>
  <c r="M623" i="15" s="1"/>
  <c r="B622" i="15"/>
  <c r="L622" i="15" a="1"/>
  <c r="L622" i="15" s="1"/>
  <c r="M622" i="15" s="1"/>
  <c r="B619" i="15"/>
  <c r="L619" i="15" a="1"/>
  <c r="L619" i="15" s="1"/>
  <c r="M619" i="15" s="1"/>
  <c r="B618" i="15"/>
  <c r="L618" i="15" a="1"/>
  <c r="L618" i="15" s="1"/>
  <c r="M618" i="15" s="1"/>
  <c r="B616" i="15"/>
  <c r="L616" i="15" a="1"/>
  <c r="L616" i="15" s="1"/>
  <c r="M616" i="15" s="1"/>
  <c r="B630" i="15"/>
  <c r="L630" i="15" a="1"/>
  <c r="L630" i="15" s="1"/>
  <c r="M630" i="15" s="1"/>
  <c r="B631" i="15"/>
  <c r="L631" i="15" a="1"/>
  <c r="L631" i="15" s="1"/>
  <c r="M631" i="15" s="1"/>
  <c r="B635" i="15"/>
  <c r="L635" i="15" a="1"/>
  <c r="L635" i="15" s="1"/>
  <c r="M635" i="15" s="1"/>
  <c r="B634" i="15"/>
  <c r="L634" i="15" a="1"/>
  <c r="L634" i="15" s="1"/>
  <c r="M634" i="15" s="1"/>
  <c r="B632" i="15"/>
  <c r="L632" i="15" a="1"/>
  <c r="L632" i="15" s="1"/>
  <c r="M632" i="15" s="1"/>
  <c r="B641" i="15"/>
  <c r="L641" i="15" a="1"/>
  <c r="L641" i="15" s="1"/>
  <c r="M641" i="15" s="1"/>
  <c r="B643" i="15"/>
  <c r="L643" i="15" a="1"/>
  <c r="L643" i="15" s="1"/>
  <c r="M643" i="15" s="1"/>
  <c r="B644" i="15"/>
  <c r="L644" i="15" a="1"/>
  <c r="L644" i="15" s="1"/>
  <c r="M644" i="15" s="1"/>
  <c r="B650" i="15"/>
  <c r="L650" i="15" a="1"/>
  <c r="L650" i="15" s="1"/>
  <c r="M650" i="15" s="1"/>
  <c r="B649" i="15"/>
  <c r="L649" i="15" a="1"/>
  <c r="L649" i="15" s="1"/>
  <c r="M649" i="15" s="1"/>
  <c r="B647" i="15"/>
  <c r="L647" i="15" a="1"/>
  <c r="L647" i="15" s="1"/>
  <c r="M647" i="15" s="1"/>
  <c r="B646" i="15"/>
  <c r="L646" i="15" a="1"/>
  <c r="L646" i="15" s="1"/>
  <c r="M646" i="15" s="1"/>
  <c r="B645" i="15"/>
  <c r="L645" i="15" a="1"/>
  <c r="L645" i="15" s="1"/>
  <c r="M645" i="15" s="1"/>
  <c r="B655" i="15"/>
  <c r="L655" i="15" a="1"/>
  <c r="L655" i="15" s="1"/>
  <c r="M655" i="15" s="1"/>
  <c r="B657" i="15"/>
  <c r="L657" i="15" a="1"/>
  <c r="L657" i="15" s="1"/>
  <c r="M657" i="15" s="1"/>
  <c r="B656" i="15"/>
  <c r="L656" i="15" a="1"/>
  <c r="L656" i="15" s="1"/>
  <c r="M656" i="15" s="1"/>
  <c r="B667" i="15"/>
  <c r="L667" i="15" a="1"/>
  <c r="L667" i="15" s="1"/>
  <c r="M667" i="15" s="1"/>
  <c r="B685" i="15"/>
  <c r="L685" i="15" a="1"/>
  <c r="L685" i="15" s="1"/>
  <c r="M685" i="15" s="1"/>
  <c r="B684" i="15"/>
  <c r="L684" i="15" a="1"/>
  <c r="L684" i="15" s="1"/>
  <c r="M684" i="15" s="1"/>
  <c r="B683" i="15"/>
  <c r="L683" i="15" a="1"/>
  <c r="L683" i="15" s="1"/>
  <c r="M683" i="15" s="1"/>
  <c r="B681" i="15"/>
  <c r="L681" i="15" a="1"/>
  <c r="L681" i="15" s="1"/>
  <c r="M681" i="15" s="1"/>
  <c r="B680" i="15"/>
  <c r="L680" i="15" a="1"/>
  <c r="L680" i="15" s="1"/>
  <c r="B679" i="15"/>
  <c r="L679" i="15" a="1"/>
  <c r="L679" i="15" s="1"/>
  <c r="M679" i="15" s="1"/>
  <c r="B677" i="15"/>
  <c r="L677" i="15" a="1"/>
  <c r="L677" i="15" s="1"/>
  <c r="M677" i="15" s="1"/>
  <c r="B676" i="15"/>
  <c r="L676" i="15" a="1"/>
  <c r="L676" i="15" s="1"/>
  <c r="M676" i="15" s="1"/>
  <c r="B675" i="15"/>
  <c r="L675" i="15" a="1"/>
  <c r="L675" i="15" s="1"/>
  <c r="M675" i="15" s="1"/>
  <c r="B674" i="15"/>
  <c r="L674" i="15" a="1"/>
  <c r="L674" i="15" s="1"/>
  <c r="M674" i="15" s="1"/>
  <c r="B673" i="15"/>
  <c r="L673" i="15" a="1"/>
  <c r="L673" i="15" s="1"/>
  <c r="M673" i="15" s="1"/>
  <c r="B672" i="15"/>
  <c r="L672" i="15" a="1"/>
  <c r="L672" i="15" s="1"/>
  <c r="M672" i="15" s="1"/>
  <c r="B671" i="15"/>
  <c r="L671" i="15" a="1"/>
  <c r="L671" i="15" s="1"/>
  <c r="M671" i="15" s="1"/>
  <c r="B670" i="15"/>
  <c r="L670" i="15" a="1"/>
  <c r="L670" i="15" s="1"/>
  <c r="M670" i="15" s="1"/>
  <c r="B1067" i="15"/>
  <c r="L1067" i="15" a="1"/>
  <c r="L1067" i="15" s="1"/>
  <c r="B669" i="15"/>
  <c r="L669" i="15" a="1"/>
  <c r="L669" i="15" s="1"/>
  <c r="M669" i="15" s="1"/>
  <c r="B1152" i="15"/>
  <c r="L1152" i="15" a="1"/>
  <c r="L1152" i="15" s="1"/>
  <c r="M1152" i="15" s="1"/>
  <c r="B668" i="15"/>
  <c r="L668" i="15" a="1"/>
  <c r="L668" i="15" s="1"/>
  <c r="M668" i="15" s="1"/>
  <c r="B912" i="15"/>
  <c r="L912" i="15" a="1"/>
  <c r="L912" i="15" s="1"/>
  <c r="M912" i="15" s="1"/>
  <c r="B682" i="15"/>
  <c r="L682" i="15" a="1"/>
  <c r="L682" i="15" s="1"/>
  <c r="M682" i="15" s="1"/>
  <c r="B687" i="15"/>
  <c r="L687" i="15" a="1"/>
  <c r="L687" i="15" s="1"/>
  <c r="M687" i="15" s="1"/>
  <c r="B692" i="15"/>
  <c r="L692" i="15" a="1"/>
  <c r="L692" i="15" s="1"/>
  <c r="M692" i="15" s="1"/>
  <c r="B697" i="15"/>
  <c r="L697" i="15" a="1"/>
  <c r="L697" i="15" s="1"/>
  <c r="M697" i="15" s="1"/>
  <c r="B698" i="15"/>
  <c r="L698" i="15" a="1"/>
  <c r="L698" i="15" s="1"/>
  <c r="M698" i="15" s="1"/>
  <c r="B704" i="15"/>
  <c r="L704" i="15" a="1"/>
  <c r="L704" i="15" s="1"/>
  <c r="M704" i="15" s="1"/>
  <c r="B701" i="15"/>
  <c r="L701" i="15" a="1"/>
  <c r="L701" i="15" s="1"/>
  <c r="M701" i="15" s="1"/>
  <c r="B729" i="15"/>
  <c r="L729" i="15" a="1"/>
  <c r="L729" i="15" s="1"/>
  <c r="M729" i="15" s="1"/>
  <c r="B728" i="15"/>
  <c r="L728" i="15" a="1"/>
  <c r="L728" i="15" s="1"/>
  <c r="M728" i="15" s="1"/>
  <c r="B727" i="15"/>
  <c r="L727" i="15" a="1"/>
  <c r="L727" i="15" s="1"/>
  <c r="M727" i="15" s="1"/>
  <c r="B726" i="15"/>
  <c r="L726" i="15" a="1"/>
  <c r="L726" i="15" s="1"/>
  <c r="M726" i="15" s="1"/>
  <c r="B725" i="15"/>
  <c r="L725" i="15" a="1"/>
  <c r="L725" i="15" s="1"/>
  <c r="M725" i="15" s="1"/>
  <c r="B720" i="15"/>
  <c r="L720" i="15" a="1"/>
  <c r="L720" i="15" s="1"/>
  <c r="M720" i="15" s="1"/>
  <c r="B719" i="15"/>
  <c r="L719" i="15" a="1"/>
  <c r="L719" i="15" s="1"/>
  <c r="M719" i="15" s="1"/>
  <c r="B718" i="15"/>
  <c r="L718" i="15" a="1"/>
  <c r="L718" i="15" s="1"/>
  <c r="M718" i="15" s="1"/>
  <c r="B716" i="15"/>
  <c r="L716" i="15" a="1"/>
  <c r="L716" i="15" s="1"/>
  <c r="M716" i="15" s="1"/>
  <c r="B715" i="15"/>
  <c r="L715" i="15" a="1"/>
  <c r="L715" i="15" s="1"/>
  <c r="M715" i="15" s="1"/>
  <c r="B714" i="15"/>
  <c r="L714" i="15" a="1"/>
  <c r="L714" i="15" s="1"/>
  <c r="M714" i="15" s="1"/>
  <c r="B713" i="15"/>
  <c r="L713" i="15" a="1"/>
  <c r="L713" i="15" s="1"/>
  <c r="M713" i="15" s="1"/>
  <c r="B711" i="15"/>
  <c r="L711" i="15" a="1"/>
  <c r="L711" i="15" s="1"/>
  <c r="M711" i="15" s="1"/>
  <c r="B710" i="15"/>
  <c r="L710" i="15" a="1"/>
  <c r="L710" i="15" s="1"/>
  <c r="M710" i="15" s="1"/>
  <c r="B709" i="15"/>
  <c r="L709" i="15" a="1"/>
  <c r="L709" i="15" s="1"/>
  <c r="M709" i="15" s="1"/>
  <c r="B708" i="15"/>
  <c r="L708" i="15" a="1"/>
  <c r="L708" i="15" s="1"/>
  <c r="M708" i="15" s="1"/>
  <c r="B952" i="15"/>
  <c r="L952" i="15" a="1"/>
  <c r="L952" i="15" s="1"/>
  <c r="M952" i="15" s="1"/>
  <c r="B706" i="15"/>
  <c r="L706" i="15" a="1"/>
  <c r="L706" i="15" s="1"/>
  <c r="M706" i="15" s="1"/>
  <c r="B705" i="15"/>
  <c r="L705" i="15" a="1"/>
  <c r="L705" i="15" s="1"/>
  <c r="M705" i="15" s="1"/>
  <c r="B717" i="15"/>
  <c r="L717" i="15" a="1"/>
  <c r="L717" i="15" s="1"/>
  <c r="M717" i="15" s="1"/>
  <c r="B724" i="15"/>
  <c r="L724" i="15" a="1"/>
  <c r="L724" i="15" s="1"/>
  <c r="M724" i="15" s="1"/>
  <c r="B707" i="15"/>
  <c r="L707" i="15" a="1"/>
  <c r="L707" i="15" s="1"/>
  <c r="M707" i="15" s="1"/>
  <c r="B734" i="15"/>
  <c r="L734" i="15" a="1"/>
  <c r="L734" i="15" s="1"/>
  <c r="M734" i="15" s="1"/>
  <c r="B733" i="15"/>
  <c r="L733" i="15" a="1"/>
  <c r="L733" i="15" s="1"/>
  <c r="M733" i="15" s="1"/>
  <c r="B735" i="15"/>
  <c r="L735" i="15" a="1"/>
  <c r="L735" i="15" s="1"/>
  <c r="M735" i="15" s="1"/>
  <c r="B736" i="15"/>
  <c r="L736" i="15" a="1"/>
  <c r="L736" i="15" s="1"/>
  <c r="M736" i="15" s="1"/>
  <c r="B741" i="15"/>
  <c r="L741" i="15" a="1"/>
  <c r="L741" i="15" s="1"/>
  <c r="M741" i="15" s="1"/>
  <c r="B739" i="15"/>
  <c r="L739" i="15" a="1"/>
  <c r="L739" i="15" s="1"/>
  <c r="M739" i="15" s="1"/>
  <c r="B738" i="15"/>
  <c r="L738" i="15" a="1"/>
  <c r="L738" i="15" s="1"/>
  <c r="M738" i="15" s="1"/>
  <c r="B740" i="15"/>
  <c r="L740" i="15" a="1"/>
  <c r="L740" i="15" s="1"/>
  <c r="M740" i="15" s="1"/>
  <c r="B742" i="15"/>
  <c r="L742" i="15" a="1"/>
  <c r="L742" i="15" s="1"/>
  <c r="M742" i="15" s="1"/>
  <c r="B745" i="15"/>
  <c r="L745" i="15" a="1"/>
  <c r="L745" i="15" s="1"/>
  <c r="M745" i="15" s="1"/>
  <c r="B755" i="15"/>
  <c r="L755" i="15" a="1"/>
  <c r="L755" i="15" s="1"/>
  <c r="M755" i="15" s="1"/>
  <c r="B754" i="15"/>
  <c r="L754" i="15" a="1"/>
  <c r="L754" i="15" s="1"/>
  <c r="M754" i="15" s="1"/>
  <c r="B753" i="15"/>
  <c r="L753" i="15" a="1"/>
  <c r="L753" i="15" s="1"/>
  <c r="M753" i="15" s="1"/>
  <c r="B752" i="15"/>
  <c r="L752" i="15" a="1"/>
  <c r="L752" i="15" s="1"/>
  <c r="M752" i="15" s="1"/>
  <c r="B751" i="15"/>
  <c r="L751" i="15" a="1"/>
  <c r="L751" i="15" s="1"/>
  <c r="M751" i="15" s="1"/>
  <c r="B749" i="15"/>
  <c r="L749" i="15" a="1"/>
  <c r="L749" i="15" s="1"/>
  <c r="M749" i="15" s="1"/>
  <c r="B747" i="15"/>
  <c r="L747" i="15" a="1"/>
  <c r="L747" i="15" s="1"/>
  <c r="M747" i="15" s="1"/>
  <c r="B746" i="15"/>
  <c r="L746" i="15" a="1"/>
  <c r="L746" i="15" s="1"/>
  <c r="M746" i="15" s="1"/>
  <c r="B744" i="15"/>
  <c r="L744" i="15" a="1"/>
  <c r="L744" i="15" s="1"/>
  <c r="M744" i="15" s="1"/>
  <c r="B756" i="15"/>
  <c r="L756" i="15" a="1"/>
  <c r="L756" i="15" s="1"/>
  <c r="M756" i="15" s="1"/>
  <c r="B757" i="15"/>
  <c r="L757" i="15" a="1"/>
  <c r="L757" i="15" s="1"/>
  <c r="M757" i="15" s="1"/>
  <c r="B759" i="15"/>
  <c r="L759" i="15" a="1"/>
  <c r="L759" i="15" s="1"/>
  <c r="M759" i="15" s="1"/>
  <c r="B758" i="15"/>
  <c r="L758" i="15" a="1"/>
  <c r="L758" i="15" s="1"/>
  <c r="M758" i="15" s="1"/>
  <c r="B762" i="15"/>
  <c r="L762" i="15" a="1"/>
  <c r="L762" i="15" s="1"/>
  <c r="M762" i="15" s="1"/>
  <c r="B775" i="15"/>
  <c r="L775" i="15" a="1"/>
  <c r="L775" i="15" s="1"/>
  <c r="M775" i="15" s="1"/>
  <c r="B776" i="15"/>
  <c r="L776" i="15" a="1"/>
  <c r="L776" i="15" s="1"/>
  <c r="M776" i="15" s="1"/>
  <c r="B783" i="15"/>
  <c r="L783" i="15" a="1"/>
  <c r="L783" i="15" s="1"/>
  <c r="M783" i="15" s="1"/>
  <c r="B782" i="15"/>
  <c r="L782" i="15" a="1"/>
  <c r="L782" i="15" s="1"/>
  <c r="M782" i="15" s="1"/>
  <c r="B781" i="15"/>
  <c r="L781" i="15" a="1"/>
  <c r="L781" i="15" s="1"/>
  <c r="M781" i="15" s="1"/>
  <c r="B780" i="15"/>
  <c r="L780" i="15" a="1"/>
  <c r="L780" i="15" s="1"/>
  <c r="M780" i="15" s="1"/>
  <c r="B777" i="15"/>
  <c r="L777" i="15" a="1"/>
  <c r="L777" i="15" s="1"/>
  <c r="M777" i="15" s="1"/>
  <c r="B786" i="15"/>
  <c r="L786" i="15" a="1"/>
  <c r="L786" i="15" s="1"/>
  <c r="M786" i="15" s="1"/>
  <c r="B788" i="15"/>
  <c r="L788" i="15" a="1"/>
  <c r="L788" i="15" s="1"/>
  <c r="M788" i="15" s="1"/>
  <c r="B787" i="15"/>
  <c r="L787" i="15" a="1"/>
  <c r="L787" i="15" s="1"/>
  <c r="M787" i="15" s="1"/>
  <c r="B791" i="15"/>
  <c r="L791" i="15" a="1"/>
  <c r="L791" i="15" s="1"/>
  <c r="M791" i="15" s="1"/>
  <c r="B808" i="15"/>
  <c r="L808" i="15" a="1"/>
  <c r="L808" i="15" s="1"/>
  <c r="M808" i="15" s="1"/>
  <c r="B807" i="15"/>
  <c r="L807" i="15" a="1"/>
  <c r="L807" i="15" s="1"/>
  <c r="M807" i="15" s="1"/>
  <c r="B806" i="15"/>
  <c r="L806" i="15" a="1"/>
  <c r="L806" i="15" s="1"/>
  <c r="M806" i="15" s="1"/>
  <c r="B804" i="15"/>
  <c r="L804" i="15" a="1"/>
  <c r="L804" i="15" s="1"/>
  <c r="M804" i="15" s="1"/>
  <c r="B803" i="15"/>
  <c r="L803" i="15" a="1"/>
  <c r="L803" i="15" s="1"/>
  <c r="B802" i="15"/>
  <c r="L802" i="15" a="1"/>
  <c r="L802" i="15" s="1"/>
  <c r="M802" i="15" s="1"/>
  <c r="B801" i="15"/>
  <c r="L801" i="15" a="1"/>
  <c r="L801" i="15" s="1"/>
  <c r="M801" i="15" s="1"/>
  <c r="B800" i="15"/>
  <c r="L800" i="15" a="1"/>
  <c r="L800" i="15" s="1"/>
  <c r="M800" i="15" s="1"/>
  <c r="B799" i="15"/>
  <c r="L799" i="15" a="1"/>
  <c r="L799" i="15" s="1"/>
  <c r="M799" i="15" s="1"/>
  <c r="B797" i="15"/>
  <c r="L797" i="15" a="1"/>
  <c r="L797" i="15" s="1"/>
  <c r="M797" i="15" s="1"/>
  <c r="B796" i="15"/>
  <c r="L796" i="15" a="1"/>
  <c r="L796" i="15" s="1"/>
  <c r="M796" i="15" s="1"/>
  <c r="B795" i="15"/>
  <c r="L795" i="15" a="1"/>
  <c r="L795" i="15" s="1"/>
  <c r="M795" i="15" s="1"/>
  <c r="B794" i="15"/>
  <c r="L794" i="15" a="1"/>
  <c r="L794" i="15" s="1"/>
  <c r="M794" i="15" s="1"/>
  <c r="B1175" i="15"/>
  <c r="L1175" i="15" a="1"/>
  <c r="L1175" i="15" s="1"/>
  <c r="B1262" i="15"/>
  <c r="L1262" i="15" a="1"/>
  <c r="L1262" i="15" s="1"/>
  <c r="M1262" i="15" s="1"/>
  <c r="B793" i="15"/>
  <c r="L793" i="15" a="1"/>
  <c r="L793" i="15" s="1"/>
  <c r="M793" i="15" s="1"/>
  <c r="B805" i="15"/>
  <c r="L805" i="15" a="1"/>
  <c r="L805" i="15" s="1"/>
  <c r="M805" i="15" s="1"/>
  <c r="B809" i="15"/>
  <c r="L809" i="15" a="1"/>
  <c r="L809" i="15" s="1"/>
  <c r="M809" i="15" s="1"/>
  <c r="B811" i="15"/>
  <c r="L811" i="15" a="1"/>
  <c r="L811" i="15" s="1"/>
  <c r="M811" i="15" s="1"/>
  <c r="B812" i="15"/>
  <c r="L812" i="15" a="1"/>
  <c r="L812" i="15" s="1"/>
  <c r="M812" i="15" s="1"/>
  <c r="B813" i="15"/>
  <c r="L813" i="15" a="1"/>
  <c r="L813" i="15" s="1"/>
  <c r="M813" i="15" s="1"/>
  <c r="B819" i="15"/>
  <c r="L819" i="15" a="1"/>
  <c r="L819" i="15" s="1"/>
  <c r="M819" i="15" s="1"/>
  <c r="B816" i="15"/>
  <c r="L816" i="15" a="1"/>
  <c r="L816" i="15" s="1"/>
  <c r="M816" i="15" s="1"/>
  <c r="B842" i="15"/>
  <c r="L842" i="15" a="1"/>
  <c r="L842" i="15" s="1"/>
  <c r="M842" i="15" s="1"/>
  <c r="B841" i="15"/>
  <c r="L841" i="15" a="1"/>
  <c r="L841" i="15" s="1"/>
  <c r="M841" i="15" s="1"/>
  <c r="B840" i="15"/>
  <c r="L840" i="15" a="1"/>
  <c r="L840" i="15" s="1"/>
  <c r="M840" i="15" s="1"/>
  <c r="B839" i="15"/>
  <c r="L839" i="15" a="1"/>
  <c r="L839" i="15" s="1"/>
  <c r="M839" i="15" s="1"/>
  <c r="B836" i="15"/>
  <c r="L836" i="15" a="1"/>
  <c r="L836" i="15" s="1"/>
  <c r="M836" i="15" s="1"/>
  <c r="B835" i="15"/>
  <c r="L835" i="15" a="1"/>
  <c r="L835" i="15" s="1"/>
  <c r="M835" i="15" s="1"/>
  <c r="B834" i="15"/>
  <c r="L834" i="15" a="1"/>
  <c r="L834" i="15" s="1"/>
  <c r="M834" i="15" s="1"/>
  <c r="B831" i="15"/>
  <c r="L831" i="15" a="1"/>
  <c r="L831" i="15" s="1"/>
  <c r="M831" i="15" s="1"/>
  <c r="B830" i="15"/>
  <c r="L830" i="15" a="1"/>
  <c r="L830" i="15" s="1"/>
  <c r="M830" i="15" s="1"/>
  <c r="B829" i="15"/>
  <c r="L829" i="15" a="1"/>
  <c r="L829" i="15" s="1"/>
  <c r="M829" i="15" s="1"/>
  <c r="B827" i="15"/>
  <c r="L827" i="15" a="1"/>
  <c r="L827" i="15" s="1"/>
  <c r="M827" i="15" s="1"/>
  <c r="B956" i="15"/>
  <c r="L956" i="15" a="1"/>
  <c r="L956" i="15" s="1"/>
  <c r="M956" i="15" s="1"/>
  <c r="B824" i="15"/>
  <c r="L824" i="15" a="1"/>
  <c r="L824" i="15" s="1"/>
  <c r="M824" i="15" s="1"/>
  <c r="B1079" i="15"/>
  <c r="L1079" i="15" a="1"/>
  <c r="L1079" i="15" s="1"/>
  <c r="M1079" i="15" s="1"/>
  <c r="B822" i="15"/>
  <c r="L822" i="15" a="1"/>
  <c r="L822" i="15" s="1"/>
  <c r="M822" i="15" s="1"/>
  <c r="B820" i="15"/>
  <c r="L820" i="15" a="1"/>
  <c r="L820" i="15" s="1"/>
  <c r="M820" i="15" s="1"/>
  <c r="B832" i="15"/>
  <c r="L832" i="15" a="1"/>
  <c r="L832" i="15" s="1"/>
  <c r="M832" i="15" s="1"/>
  <c r="B1194" i="15"/>
  <c r="L1194" i="15" a="1"/>
  <c r="L1194" i="15" s="1"/>
  <c r="M1194" i="15" s="1"/>
  <c r="B1225" i="15"/>
  <c r="L1225" i="15" a="1"/>
  <c r="L1225" i="15" s="1"/>
  <c r="M1225" i="15" s="1"/>
  <c r="B838" i="15"/>
  <c r="L838" i="15" a="1"/>
  <c r="L838" i="15" s="1"/>
  <c r="M838" i="15" s="1"/>
  <c r="B823" i="15"/>
  <c r="L823" i="15" a="1"/>
  <c r="L823" i="15" s="1"/>
  <c r="M823" i="15" s="1"/>
  <c r="B843" i="15"/>
  <c r="L843" i="15" a="1"/>
  <c r="L843" i="15" s="1"/>
  <c r="M843" i="15" s="1"/>
  <c r="B845" i="15"/>
  <c r="L845" i="15" a="1"/>
  <c r="L845" i="15" s="1"/>
  <c r="M845" i="15" s="1"/>
  <c r="B847" i="15"/>
  <c r="L847" i="15" a="1"/>
  <c r="L847" i="15" s="1"/>
  <c r="B857" i="15"/>
  <c r="L857" i="15" a="1"/>
  <c r="L857" i="15" s="1"/>
  <c r="M857" i="15" s="1"/>
  <c r="B855" i="15"/>
  <c r="L855" i="15" a="1"/>
  <c r="L855" i="15" s="1"/>
  <c r="M855" i="15" s="1"/>
  <c r="B854" i="15"/>
  <c r="L854" i="15" a="1"/>
  <c r="L854" i="15" s="1"/>
  <c r="M854" i="15" s="1"/>
  <c r="B859" i="15"/>
  <c r="L859" i="15" a="1"/>
  <c r="L859" i="15" s="1"/>
  <c r="M859" i="15" s="1"/>
  <c r="B862" i="15"/>
  <c r="L862" i="15" a="1"/>
  <c r="L862" i="15" s="1"/>
  <c r="M862" i="15" s="1"/>
  <c r="B872" i="15"/>
  <c r="L872" i="15" a="1"/>
  <c r="L872" i="15" s="1"/>
  <c r="M872" i="15" s="1"/>
  <c r="B869" i="15"/>
  <c r="L869" i="15" a="1"/>
  <c r="L869" i="15" s="1"/>
  <c r="M869" i="15" s="1"/>
  <c r="B868" i="15"/>
  <c r="L868" i="15" a="1"/>
  <c r="L868" i="15" s="1"/>
  <c r="M868" i="15" s="1"/>
  <c r="B867" i="15"/>
  <c r="L867" i="15" a="1"/>
  <c r="L867" i="15" s="1"/>
  <c r="M867" i="15" s="1"/>
  <c r="B866" i="15"/>
  <c r="L866" i="15" a="1"/>
  <c r="L866" i="15" s="1"/>
  <c r="M866" i="15" s="1"/>
  <c r="B865" i="15"/>
  <c r="L865" i="15" a="1"/>
  <c r="L865" i="15" s="1"/>
  <c r="M865" i="15" s="1"/>
  <c r="B864" i="15"/>
  <c r="L864" i="15" a="1"/>
  <c r="L864" i="15" s="1"/>
  <c r="M864" i="15" s="1"/>
  <c r="B863" i="15"/>
  <c r="L863" i="15" a="1"/>
  <c r="L863" i="15" s="1"/>
  <c r="M863" i="15" s="1"/>
  <c r="B861" i="15"/>
  <c r="L861" i="15" a="1"/>
  <c r="L861" i="15" s="1"/>
  <c r="M861" i="15" s="1"/>
  <c r="B876" i="15"/>
  <c r="L876" i="15" a="1"/>
  <c r="L876" i="15" s="1"/>
  <c r="M876" i="15" s="1"/>
  <c r="B879" i="15"/>
  <c r="L879" i="15" a="1"/>
  <c r="L879" i="15" s="1"/>
  <c r="M879" i="15" s="1"/>
  <c r="B881" i="15"/>
  <c r="L881" i="15" a="1"/>
  <c r="L881" i="15" s="1"/>
  <c r="M881" i="15" s="1"/>
  <c r="B880" i="15"/>
  <c r="L880" i="15" a="1"/>
  <c r="L880" i="15" s="1"/>
  <c r="M880" i="15" s="1"/>
  <c r="B886" i="15"/>
  <c r="L886" i="15" a="1"/>
  <c r="L886" i="15" s="1"/>
  <c r="M886" i="15" s="1"/>
  <c r="B888" i="15"/>
  <c r="L888" i="15" a="1"/>
  <c r="L888" i="15" s="1"/>
  <c r="M888" i="15" s="1"/>
  <c r="B889" i="15"/>
  <c r="L889" i="15" a="1"/>
  <c r="L889" i="15" s="1"/>
  <c r="M889" i="15" s="1"/>
  <c r="B897" i="15"/>
  <c r="L897" i="15" a="1"/>
  <c r="L897" i="15" s="1"/>
  <c r="M897" i="15" s="1"/>
  <c r="B896" i="15"/>
  <c r="L896" i="15" a="1"/>
  <c r="L896" i="15" s="1"/>
  <c r="M896" i="15" s="1"/>
  <c r="B894" i="15"/>
  <c r="L894" i="15" a="1"/>
  <c r="L894" i="15" s="1"/>
  <c r="M894" i="15" s="1"/>
  <c r="B893" i="15"/>
  <c r="L893" i="15" a="1"/>
  <c r="L893" i="15" s="1"/>
  <c r="M893" i="15" s="1"/>
  <c r="B890" i="15"/>
  <c r="L890" i="15" a="1"/>
  <c r="L890" i="15" s="1"/>
  <c r="M890" i="15" s="1"/>
  <c r="B901" i="15"/>
  <c r="L901" i="15" a="1"/>
  <c r="L901" i="15" s="1"/>
  <c r="M901" i="15" s="1"/>
  <c r="B904" i="15"/>
  <c r="L904" i="15" a="1"/>
  <c r="L904" i="15" s="1"/>
  <c r="M904" i="15" s="1"/>
  <c r="B903" i="15"/>
  <c r="L903" i="15" a="1"/>
  <c r="L903" i="15" s="1"/>
  <c r="M903" i="15" s="1"/>
  <c r="B911" i="15"/>
  <c r="L911" i="15" a="1"/>
  <c r="L911" i="15" s="1"/>
  <c r="M911" i="15" s="1"/>
  <c r="B933" i="15"/>
  <c r="L933" i="15" a="1"/>
  <c r="L933" i="15" s="1"/>
  <c r="M933" i="15" s="1"/>
  <c r="B932" i="15"/>
  <c r="L932" i="15" a="1"/>
  <c r="L932" i="15" s="1"/>
  <c r="M932" i="15" s="1"/>
  <c r="B931" i="15"/>
  <c r="L931" i="15" a="1"/>
  <c r="L931" i="15" s="1"/>
  <c r="M931" i="15" s="1"/>
  <c r="B929" i="15"/>
  <c r="L929" i="15" a="1"/>
  <c r="L929" i="15" s="1"/>
  <c r="M929" i="15" s="1"/>
  <c r="B928" i="15"/>
  <c r="L928" i="15" a="1"/>
  <c r="L928" i="15" s="1"/>
  <c r="M928" i="15" s="1"/>
  <c r="B927" i="15"/>
  <c r="L927" i="15" a="1"/>
  <c r="L927" i="15" s="1"/>
  <c r="M927" i="15" s="1"/>
  <c r="B925" i="15"/>
  <c r="L925" i="15" a="1"/>
  <c r="L925" i="15" s="1"/>
  <c r="M925" i="15" s="1"/>
  <c r="B924" i="15"/>
  <c r="L924" i="15" a="1"/>
  <c r="L924" i="15" s="1"/>
  <c r="M924" i="15" s="1"/>
  <c r="B920" i="15"/>
  <c r="L920" i="15" a="1"/>
  <c r="L920" i="15" s="1"/>
  <c r="M920" i="15" s="1"/>
  <c r="B919" i="15"/>
  <c r="L919" i="15" a="1"/>
  <c r="L919" i="15" s="1"/>
  <c r="M919" i="15" s="1"/>
  <c r="B917" i="15"/>
  <c r="L917" i="15" a="1"/>
  <c r="L917" i="15" s="1"/>
  <c r="M917" i="15" s="1"/>
  <c r="B916" i="15"/>
  <c r="L916" i="15" a="1"/>
  <c r="L916" i="15" s="1"/>
  <c r="M916" i="15" s="1"/>
  <c r="B915" i="15"/>
  <c r="L915" i="15" a="1"/>
  <c r="L915" i="15" s="1"/>
  <c r="M915" i="15" s="1"/>
  <c r="B1286" i="15"/>
  <c r="L1286" i="15" a="1"/>
  <c r="L1286" i="15" s="1"/>
  <c r="B914" i="15"/>
  <c r="L914" i="15" a="1"/>
  <c r="L914" i="15" s="1"/>
  <c r="M914" i="15" s="1"/>
  <c r="B1374" i="15"/>
  <c r="L1374" i="15" a="1"/>
  <c r="L1374" i="15" s="1"/>
  <c r="M1374" i="15" s="1"/>
  <c r="B913" i="15"/>
  <c r="L913" i="15" a="1"/>
  <c r="L913" i="15" s="1"/>
  <c r="M913" i="15" s="1"/>
  <c r="B930" i="15"/>
  <c r="L930" i="15" a="1"/>
  <c r="L930" i="15" s="1"/>
  <c r="M930" i="15" s="1"/>
  <c r="B934" i="15"/>
  <c r="L934" i="15" a="1"/>
  <c r="L934" i="15" s="1"/>
  <c r="M934" i="15" s="1"/>
  <c r="B937" i="15"/>
  <c r="L937" i="15" a="1"/>
  <c r="L937" i="15" s="1"/>
  <c r="M937" i="15" s="1"/>
  <c r="B939" i="15"/>
  <c r="L939" i="15" a="1"/>
  <c r="L939" i="15" s="1"/>
  <c r="M939" i="15" s="1"/>
  <c r="B941" i="15"/>
  <c r="L941" i="15" a="1"/>
  <c r="L941" i="15" s="1"/>
  <c r="M941" i="15" s="1"/>
  <c r="B860" i="15"/>
  <c r="L860" i="15" a="1"/>
  <c r="L860" i="15" s="1"/>
  <c r="M860" i="15" s="1"/>
  <c r="B947" i="15"/>
  <c r="L947" i="15" a="1"/>
  <c r="L947" i="15" s="1"/>
  <c r="M947" i="15" s="1"/>
  <c r="B943" i="15"/>
  <c r="L943" i="15" a="1"/>
  <c r="L943" i="15" s="1"/>
  <c r="M943" i="15" s="1"/>
  <c r="B981" i="15"/>
  <c r="L981" i="15" a="1"/>
  <c r="L981" i="15" s="1"/>
  <c r="M981" i="15" s="1"/>
  <c r="B978" i="15"/>
  <c r="L978" i="15" a="1"/>
  <c r="L978" i="15" s="1"/>
  <c r="M978" i="15" s="1"/>
  <c r="B977" i="15"/>
  <c r="L977" i="15" a="1"/>
  <c r="L977" i="15" s="1"/>
  <c r="M977" i="15" s="1"/>
  <c r="B971" i="15"/>
  <c r="L971" i="15" a="1"/>
  <c r="L971" i="15" s="1"/>
  <c r="M971" i="15" s="1"/>
  <c r="B968" i="15"/>
  <c r="L968" i="15" a="1"/>
  <c r="L968" i="15" s="1"/>
  <c r="M968" i="15" s="1"/>
  <c r="B967" i="15"/>
  <c r="L967" i="15" a="1"/>
  <c r="L967" i="15" s="1"/>
  <c r="M967" i="15" s="1"/>
  <c r="B964" i="15"/>
  <c r="L964" i="15" a="1"/>
  <c r="L964" i="15" s="1"/>
  <c r="M964" i="15" s="1"/>
  <c r="L960" i="15" a="1"/>
  <c r="L960" i="15" s="1"/>
  <c r="M960" i="15" s="1"/>
  <c r="B958" i="15"/>
  <c r="L958" i="15" a="1"/>
  <c r="L958" i="15" s="1"/>
  <c r="M958" i="15" s="1"/>
  <c r="B957" i="15"/>
  <c r="L957" i="15" a="1"/>
  <c r="L957" i="15" s="1"/>
  <c r="M957" i="15" s="1"/>
  <c r="B954" i="15"/>
  <c r="L954" i="15" a="1"/>
  <c r="L954" i="15" s="1"/>
  <c r="M954" i="15" s="1"/>
  <c r="B1187" i="15"/>
  <c r="L1187" i="15" a="1"/>
  <c r="L1187" i="15" s="1"/>
  <c r="M1187" i="15" s="1"/>
  <c r="B951" i="15"/>
  <c r="L951" i="15" a="1"/>
  <c r="L951" i="15" s="1"/>
  <c r="M951" i="15" s="1"/>
  <c r="B948" i="15"/>
  <c r="L948" i="15" a="1"/>
  <c r="L948" i="15" s="1"/>
  <c r="M948" i="15" s="1"/>
  <c r="B965" i="15"/>
  <c r="L965" i="15" a="1"/>
  <c r="L965" i="15" s="1"/>
  <c r="M965" i="15" s="1"/>
  <c r="B970" i="15"/>
  <c r="L970" i="15" a="1"/>
  <c r="L970" i="15" s="1"/>
  <c r="M970" i="15" s="1"/>
  <c r="B953" i="15"/>
  <c r="L953" i="15" a="1"/>
  <c r="L953" i="15" s="1"/>
  <c r="M953" i="15" s="1"/>
  <c r="B982" i="15"/>
  <c r="L982" i="15" a="1"/>
  <c r="L982" i="15" s="1"/>
  <c r="M982" i="15" s="1"/>
  <c r="B983" i="15"/>
  <c r="L983" i="15" a="1"/>
  <c r="L983" i="15" s="1"/>
  <c r="M983" i="15" s="1"/>
  <c r="B1213" i="15"/>
  <c r="L1213" i="15" a="1"/>
  <c r="L1213" i="15" s="1"/>
  <c r="M1213" i="15" s="1"/>
  <c r="B991" i="15"/>
  <c r="L991" i="15" a="1"/>
  <c r="L991" i="15" s="1"/>
  <c r="M991" i="15" s="1"/>
  <c r="B990" i="15"/>
  <c r="L990" i="15" a="1"/>
  <c r="L990" i="15" s="1"/>
  <c r="M990" i="15" s="1"/>
  <c r="B989" i="15"/>
  <c r="L989" i="15" a="1"/>
  <c r="L989" i="15" s="1"/>
  <c r="M989" i="15" s="1"/>
  <c r="B993" i="15"/>
  <c r="L993" i="15" a="1"/>
  <c r="L993" i="15" s="1"/>
  <c r="M993" i="15" s="1"/>
  <c r="B996" i="15"/>
  <c r="L996" i="15" a="1"/>
  <c r="L996" i="15" s="1"/>
  <c r="M996" i="15" s="1"/>
  <c r="B1009" i="15"/>
  <c r="L1009" i="15" a="1"/>
  <c r="L1009" i="15" s="1"/>
  <c r="M1009" i="15" s="1"/>
  <c r="B1008" i="15"/>
  <c r="L1008" i="15" a="1"/>
  <c r="L1008" i="15" s="1"/>
  <c r="M1008" i="15" s="1"/>
  <c r="L1006" i="15" a="1"/>
  <c r="L1006" i="15" s="1"/>
  <c r="M1006" i="15" s="1"/>
  <c r="B1005" i="15"/>
  <c r="L1005" i="15" a="1"/>
  <c r="L1005" i="15" s="1"/>
  <c r="M1005" i="15" s="1"/>
  <c r="L1004" i="15" a="1"/>
  <c r="L1004" i="15" s="1"/>
  <c r="M1004" i="15" s="1"/>
  <c r="B1003" i="15"/>
  <c r="L1003" i="15" a="1"/>
  <c r="L1003" i="15" s="1"/>
  <c r="M1003" i="15" s="1"/>
  <c r="B1002" i="15"/>
  <c r="L1002" i="15" a="1"/>
  <c r="L1002" i="15" s="1"/>
  <c r="M1002" i="15" s="1"/>
  <c r="B999" i="15"/>
  <c r="L999" i="15" a="1"/>
  <c r="L999" i="15" s="1"/>
  <c r="M999" i="15" s="1"/>
  <c r="B998" i="15"/>
  <c r="L998" i="15" a="1"/>
  <c r="L998" i="15" s="1"/>
  <c r="M998" i="15" s="1"/>
  <c r="B997" i="15"/>
  <c r="L997" i="15" a="1"/>
  <c r="L997" i="15" s="1"/>
  <c r="M997" i="15" s="1"/>
  <c r="B995" i="15"/>
  <c r="L995" i="15" a="1"/>
  <c r="L995" i="15" s="1"/>
  <c r="M995" i="15" s="1"/>
  <c r="B1014" i="15"/>
  <c r="L1014" i="15" a="1"/>
  <c r="L1014" i="15" s="1"/>
  <c r="M1014" i="15" s="1"/>
  <c r="B1015" i="15"/>
  <c r="L1015" i="15" a="1"/>
  <c r="L1015" i="15" s="1"/>
  <c r="M1015" i="15" s="1"/>
  <c r="B1019" i="15"/>
  <c r="L1019" i="15" a="1"/>
  <c r="L1019" i="15" s="1"/>
  <c r="M1019" i="15" s="1"/>
  <c r="B1016" i="15"/>
  <c r="L1016" i="15" a="1"/>
  <c r="L1016" i="15" s="1"/>
  <c r="M1016" i="15" s="1"/>
  <c r="B1021" i="15"/>
  <c r="L1021" i="15" a="1"/>
  <c r="L1021" i="15" s="1"/>
  <c r="M1021" i="15" s="1"/>
  <c r="B1023" i="15"/>
  <c r="L1023" i="15" a="1"/>
  <c r="L1023" i="15" s="1"/>
  <c r="M1023" i="15" s="1"/>
  <c r="B1024" i="15"/>
  <c r="L1024" i="15" a="1"/>
  <c r="L1024" i="15" s="1"/>
  <c r="M1024" i="15" s="1"/>
  <c r="B1032" i="15"/>
  <c r="L1032" i="15" a="1"/>
  <c r="L1032" i="15" s="1"/>
  <c r="M1032" i="15" s="1"/>
  <c r="B1030" i="15"/>
  <c r="L1030" i="15" a="1"/>
  <c r="L1030" i="15" s="1"/>
  <c r="M1030" i="15" s="1"/>
  <c r="B1029" i="15"/>
  <c r="L1029" i="15" a="1"/>
  <c r="L1029" i="15" s="1"/>
  <c r="M1029" i="15" s="1"/>
  <c r="B1028" i="15"/>
  <c r="L1028" i="15" a="1"/>
  <c r="L1028" i="15" s="1"/>
  <c r="M1028" i="15" s="1"/>
  <c r="B1025" i="15"/>
  <c r="L1025" i="15" a="1"/>
  <c r="L1025" i="15" s="1"/>
  <c r="M1025" i="15" s="1"/>
  <c r="B1034" i="15"/>
  <c r="L1034" i="15" a="1"/>
  <c r="L1034" i="15" s="1"/>
  <c r="M1034" i="15" s="1"/>
  <c r="B1038" i="15"/>
  <c r="L1038" i="15" a="1"/>
  <c r="L1038" i="15" s="1"/>
  <c r="M1038" i="15" s="1"/>
  <c r="B1037" i="15"/>
  <c r="L1037" i="15" a="1"/>
  <c r="L1037" i="15" s="1"/>
  <c r="M1037" i="15" s="1"/>
  <c r="B1060" i="15"/>
  <c r="L1060" i="15" a="1"/>
  <c r="L1060" i="15" s="1"/>
  <c r="M1060" i="15" s="1"/>
  <c r="B1059" i="15"/>
  <c r="L1059" i="15" a="1"/>
  <c r="L1059" i="15" s="1"/>
  <c r="M1059" i="15" s="1"/>
  <c r="B1058" i="15"/>
  <c r="L1058" i="15" a="1"/>
  <c r="L1058" i="15" s="1"/>
  <c r="M1058" i="15" s="1"/>
  <c r="B1056" i="15"/>
  <c r="L1056" i="15" a="1"/>
  <c r="L1056" i="15" s="1"/>
  <c r="M1056" i="15" s="1"/>
  <c r="B1055" i="15"/>
  <c r="L1055" i="15" a="1"/>
  <c r="L1055" i="15" s="1"/>
  <c r="B1054" i="15"/>
  <c r="L1054" i="15" a="1"/>
  <c r="L1054" i="15" s="1"/>
  <c r="M1054" i="15" s="1"/>
  <c r="B1052" i="15"/>
  <c r="L1052" i="15" a="1"/>
  <c r="L1052" i="15" s="1"/>
  <c r="M1052" i="15" s="1"/>
  <c r="B1050" i="15"/>
  <c r="L1050" i="15" a="1"/>
  <c r="L1050" i="15" s="1"/>
  <c r="M1050" i="15" s="1"/>
  <c r="B1049" i="15"/>
  <c r="L1049" i="15" a="1"/>
  <c r="L1049" i="15" s="1"/>
  <c r="M1049" i="15" s="1"/>
  <c r="B1140" i="15"/>
  <c r="L1140" i="15" a="1"/>
  <c r="L1140" i="15" s="1"/>
  <c r="M1140" i="15" s="1"/>
  <c r="B1046" i="15"/>
  <c r="L1046" i="15" a="1"/>
  <c r="L1046" i="15" s="1"/>
  <c r="M1046" i="15" s="1"/>
  <c r="B1045" i="15"/>
  <c r="L1045" i="15" a="1"/>
  <c r="L1045" i="15" s="1"/>
  <c r="M1045" i="15" s="1"/>
  <c r="B1044" i="15"/>
  <c r="L1044" i="15" a="1"/>
  <c r="L1044" i="15" s="1"/>
  <c r="M1044" i="15" s="1"/>
  <c r="B1042" i="15"/>
  <c r="L1042" i="15" a="1"/>
  <c r="L1042" i="15" s="1"/>
  <c r="M1042" i="15" s="1"/>
  <c r="B1396" i="15"/>
  <c r="L1396" i="15" a="1"/>
  <c r="L1396" i="15" s="1"/>
  <c r="B1041" i="15"/>
  <c r="L1041" i="15" a="1"/>
  <c r="L1041" i="15" s="1"/>
  <c r="M1041" i="15" s="1"/>
  <c r="B1471" i="15"/>
  <c r="L1471" i="15" a="1"/>
  <c r="L1471" i="15" s="1"/>
  <c r="M1471" i="15" s="1"/>
  <c r="B1039" i="15"/>
  <c r="L1039" i="15" a="1"/>
  <c r="L1039" i="15" s="1"/>
  <c r="M1039" i="15" s="1"/>
  <c r="B1057" i="15"/>
  <c r="L1057" i="15" a="1"/>
  <c r="L1057" i="15" s="1"/>
  <c r="M1057" i="15" s="1"/>
  <c r="B1062" i="15"/>
  <c r="L1062" i="15" a="1"/>
  <c r="L1062" i="15" s="1"/>
  <c r="M1062" i="15" s="1"/>
  <c r="B1066" i="15"/>
  <c r="L1066" i="15" a="1"/>
  <c r="L1066" i="15" s="1"/>
  <c r="M1066" i="15" s="1"/>
  <c r="B1069" i="15"/>
  <c r="L1069" i="15" a="1"/>
  <c r="L1069" i="15" s="1"/>
  <c r="M1069" i="15" s="1"/>
  <c r="B1179" i="15"/>
  <c r="L1179" i="15" a="1"/>
  <c r="L1179" i="15" s="1"/>
  <c r="M1179" i="15" s="1"/>
  <c r="B1074" i="15"/>
  <c r="L1074" i="15" a="1"/>
  <c r="L1074" i="15" s="1"/>
  <c r="M1074" i="15" s="1"/>
  <c r="B1071" i="15"/>
  <c r="L1071" i="15" a="1"/>
  <c r="L1071" i="15" s="1"/>
  <c r="M1071" i="15" s="1"/>
  <c r="B1100" i="15"/>
  <c r="L1100" i="15" a="1"/>
  <c r="L1100" i="15" s="1"/>
  <c r="M1100" i="15" s="1"/>
  <c r="B1099" i="15"/>
  <c r="L1099" i="15" a="1"/>
  <c r="L1099" i="15" s="1"/>
  <c r="M1099" i="15" s="1"/>
  <c r="B1098" i="15"/>
  <c r="L1098" i="15" a="1"/>
  <c r="L1098" i="15" s="1"/>
  <c r="M1098" i="15" s="1"/>
  <c r="B1097" i="15"/>
  <c r="L1097" i="15" a="1"/>
  <c r="L1097" i="15" s="1"/>
  <c r="M1097" i="15" s="1"/>
  <c r="B1093" i="15"/>
  <c r="L1093" i="15" a="1"/>
  <c r="L1093" i="15" s="1"/>
  <c r="M1093" i="15" s="1"/>
  <c r="B1092" i="15"/>
  <c r="L1092" i="15" a="1"/>
  <c r="L1092" i="15" s="1"/>
  <c r="M1092" i="15" s="1"/>
  <c r="B1089" i="15"/>
  <c r="L1089" i="15" a="1"/>
  <c r="L1089" i="15" s="1"/>
  <c r="M1089" i="15" s="1"/>
  <c r="B1109" i="15"/>
  <c r="L1109" i="15" a="1"/>
  <c r="L1109" i="15" s="1"/>
  <c r="M1109" i="15" s="1"/>
  <c r="B1086" i="15"/>
  <c r="L1086" i="15" a="1"/>
  <c r="L1086" i="15" s="1"/>
  <c r="M1086" i="15" s="1"/>
  <c r="B1084" i="15"/>
  <c r="L1084" i="15" a="1"/>
  <c r="L1084" i="15" s="1"/>
  <c r="M1084" i="15" s="1"/>
  <c r="B1081" i="15"/>
  <c r="L1081" i="15" a="1"/>
  <c r="L1081" i="15" s="1"/>
  <c r="M1081" i="15" s="1"/>
  <c r="B1078" i="15"/>
  <c r="L1078" i="15" a="1"/>
  <c r="L1078" i="15" s="1"/>
  <c r="M1078" i="15" s="1"/>
  <c r="B1075" i="15"/>
  <c r="L1075" i="15" a="1"/>
  <c r="L1075" i="15" s="1"/>
  <c r="M1075" i="15" s="1"/>
  <c r="B1090" i="15"/>
  <c r="L1090" i="15" a="1"/>
  <c r="L1090" i="15" s="1"/>
  <c r="M1090" i="15" s="1"/>
  <c r="B1095" i="15"/>
  <c r="L1095" i="15" a="1"/>
  <c r="L1095" i="15" s="1"/>
  <c r="M1095" i="15" s="1"/>
  <c r="B1080" i="15"/>
  <c r="L1080" i="15" a="1"/>
  <c r="L1080" i="15" s="1"/>
  <c r="M1080" i="15" s="1"/>
  <c r="B1101" i="15"/>
  <c r="L1101" i="15" a="1"/>
  <c r="L1101" i="15" s="1"/>
  <c r="M1101" i="15" s="1"/>
  <c r="B1102" i="15"/>
  <c r="L1102" i="15" a="1"/>
  <c r="L1102" i="15" s="1"/>
  <c r="M1102" i="15" s="1"/>
  <c r="B1106" i="15"/>
  <c r="L1106" i="15" a="1"/>
  <c r="L1106" i="15" s="1"/>
  <c r="M1106" i="15" s="1"/>
  <c r="B1108" i="15"/>
  <c r="L1108" i="15" a="1"/>
  <c r="L1108" i="15" s="1"/>
  <c r="M1108" i="15" s="1"/>
  <c r="B1111" i="15"/>
  <c r="L1111" i="15" a="1"/>
  <c r="L1111" i="15" s="1"/>
  <c r="M1111" i="15" s="1"/>
  <c r="B1120" i="15"/>
  <c r="L1120" i="15" a="1"/>
  <c r="L1120" i="15" s="1"/>
  <c r="M1120" i="15" s="1"/>
  <c r="B1123" i="15"/>
  <c r="L1123" i="15" a="1"/>
  <c r="L1123" i="15" s="1"/>
  <c r="M1123" i="15" s="1"/>
  <c r="B1122" i="15"/>
  <c r="L1122" i="15" a="1"/>
  <c r="L1122" i="15" s="1"/>
  <c r="M1122" i="15" s="1"/>
  <c r="B1119" i="15"/>
  <c r="L1119" i="15" a="1"/>
  <c r="L1119" i="15" s="1"/>
  <c r="M1119" i="15" s="1"/>
  <c r="B1118" i="15"/>
  <c r="L1118" i="15" a="1"/>
  <c r="L1118" i="15" s="1"/>
  <c r="M1118" i="15" s="1"/>
  <c r="B1117" i="15"/>
  <c r="L1117" i="15" a="1"/>
  <c r="L1117" i="15" s="1"/>
  <c r="M1117" i="15" s="1"/>
  <c r="B1115" i="15"/>
  <c r="L1115" i="15" a="1"/>
  <c r="L1115" i="15" s="1"/>
  <c r="M1115" i="15" s="1"/>
  <c r="B1114" i="15"/>
  <c r="L1114" i="15" a="1"/>
  <c r="L1114" i="15" s="1"/>
  <c r="M1114" i="15" s="1"/>
  <c r="B1113" i="15"/>
  <c r="L1113" i="15" a="1"/>
  <c r="L1113" i="15" s="1"/>
  <c r="M1113" i="15" s="1"/>
  <c r="B1110" i="15"/>
  <c r="L1110" i="15" a="1"/>
  <c r="L1110" i="15" s="1"/>
  <c r="M1110" i="15" s="1"/>
  <c r="B1127" i="15"/>
  <c r="L1127" i="15" a="1"/>
  <c r="L1127" i="15" s="1"/>
  <c r="M1127" i="15" s="1"/>
  <c r="B1128" i="15"/>
  <c r="L1128" i="15" a="1"/>
  <c r="L1128" i="15" s="1"/>
  <c r="M1128" i="15" s="1"/>
  <c r="B1132" i="15"/>
  <c r="L1132" i="15" a="1"/>
  <c r="L1132" i="15" s="1"/>
  <c r="M1132" i="15" s="1"/>
  <c r="B1129" i="15"/>
  <c r="L1129" i="15" a="1"/>
  <c r="L1129" i="15" s="1"/>
  <c r="M1129" i="15" s="1"/>
  <c r="B1134" i="15"/>
  <c r="L1134" i="15" a="1"/>
  <c r="L1134" i="15" s="1"/>
  <c r="M1134" i="15" s="1"/>
  <c r="B1136" i="15"/>
  <c r="L1136" i="15" a="1"/>
  <c r="L1136" i="15" s="1"/>
  <c r="M1136" i="15" s="1"/>
  <c r="B1137" i="15"/>
  <c r="L1137" i="15" a="1"/>
  <c r="L1137" i="15" s="1"/>
  <c r="M1137" i="15" s="1"/>
  <c r="B1144" i="15"/>
  <c r="L1144" i="15" a="1"/>
  <c r="L1144" i="15" s="1"/>
  <c r="M1144" i="15" s="1"/>
  <c r="B1142" i="15"/>
  <c r="L1142" i="15" a="1"/>
  <c r="L1142" i="15" s="1"/>
  <c r="M1142" i="15" s="1"/>
  <c r="B1138" i="15"/>
  <c r="L1138" i="15" a="1"/>
  <c r="L1138" i="15" s="1"/>
  <c r="M1138" i="15" s="1"/>
  <c r="B1146" i="15"/>
  <c r="L1146" i="15" a="1"/>
  <c r="L1146" i="15" s="1"/>
  <c r="M1146" i="15" s="1"/>
  <c r="B1149" i="15"/>
  <c r="L1149" i="15" a="1"/>
  <c r="L1149" i="15" s="1"/>
  <c r="M1149" i="15" s="1"/>
  <c r="B1148" i="15"/>
  <c r="L1148" i="15" a="1"/>
  <c r="L1148" i="15" s="1"/>
  <c r="M1148" i="15" s="1"/>
  <c r="B1168" i="15"/>
  <c r="L1168" i="15" a="1"/>
  <c r="L1168" i="15" s="1"/>
  <c r="M1168" i="15" s="1"/>
  <c r="B1167" i="15"/>
  <c r="L1167" i="15" a="1"/>
  <c r="L1167" i="15" s="1"/>
  <c r="M1167" i="15" s="1"/>
  <c r="B1166" i="15"/>
  <c r="L1166" i="15" a="1"/>
  <c r="L1166" i="15" s="1"/>
  <c r="M1166" i="15" s="1"/>
  <c r="B1164" i="15"/>
  <c r="L1164" i="15" a="1"/>
  <c r="L1164" i="15" s="1"/>
  <c r="M1164" i="15" s="1"/>
  <c r="B1163" i="15"/>
  <c r="L1163" i="15" a="1"/>
  <c r="L1163" i="15" s="1"/>
  <c r="M1163" i="15" s="1"/>
  <c r="B1162" i="15"/>
  <c r="L1162" i="15" a="1"/>
  <c r="L1162" i="15" s="1"/>
  <c r="M1162" i="15" s="1"/>
  <c r="B1160" i="15"/>
  <c r="L1160" i="15" a="1"/>
  <c r="L1160" i="15" s="1"/>
  <c r="M1160" i="15" s="1"/>
  <c r="B1159" i="15"/>
  <c r="L1159" i="15" a="1"/>
  <c r="L1159" i="15" s="1"/>
  <c r="M1159" i="15" s="1"/>
  <c r="B1157" i="15"/>
  <c r="L1157" i="15" a="1"/>
  <c r="L1157" i="15" s="1"/>
  <c r="M1157" i="15" s="1"/>
  <c r="B1156" i="15"/>
  <c r="L1156" i="15" a="1"/>
  <c r="L1156" i="15" s="1"/>
  <c r="M1156" i="15" s="1"/>
  <c r="B1155" i="15"/>
  <c r="L1155" i="15" a="1"/>
  <c r="L1155" i="15" s="1"/>
  <c r="M1155" i="15" s="1"/>
  <c r="B1493" i="15"/>
  <c r="L1493" i="15" a="1"/>
  <c r="L1493" i="15" s="1"/>
  <c r="B1154" i="15"/>
  <c r="L1154" i="15" a="1"/>
  <c r="L1154" i="15" s="1"/>
  <c r="M1154" i="15" s="1"/>
  <c r="B1563" i="15"/>
  <c r="L1563" i="15" a="1"/>
  <c r="L1563" i="15" s="1"/>
  <c r="M1563" i="15" s="1"/>
  <c r="B1153" i="15"/>
  <c r="L1153" i="15" a="1"/>
  <c r="L1153" i="15" s="1"/>
  <c r="M1153" i="15" s="1"/>
  <c r="B1165" i="15"/>
  <c r="L1165" i="15" a="1"/>
  <c r="L1165" i="15" s="1"/>
  <c r="M1165" i="15" s="1"/>
  <c r="B1169" i="15"/>
  <c r="L1169" i="15" a="1"/>
  <c r="L1169" i="15" s="1"/>
  <c r="M1169" i="15" s="1"/>
  <c r="B1171" i="15"/>
  <c r="L1171" i="15" a="1"/>
  <c r="L1171" i="15" s="1"/>
  <c r="M1171" i="15" s="1"/>
  <c r="B1174" i="15"/>
  <c r="L1174" i="15" a="1"/>
  <c r="L1174" i="15" s="1"/>
  <c r="M1174" i="15" s="1"/>
  <c r="B1178" i="15"/>
  <c r="L1178" i="15" a="1"/>
  <c r="L1178" i="15" s="1"/>
  <c r="M1178" i="15" s="1"/>
  <c r="B1180" i="15"/>
  <c r="L1180" i="15" a="1"/>
  <c r="L1180" i="15" s="1"/>
  <c r="M1180" i="15" s="1"/>
  <c r="B1183" i="15"/>
  <c r="L1183" i="15" a="1"/>
  <c r="L1183" i="15" s="1"/>
  <c r="M1183" i="15" s="1"/>
  <c r="B1182" i="15"/>
  <c r="L1182" i="15" a="1"/>
  <c r="L1182" i="15" s="1"/>
  <c r="M1182" i="15" s="1"/>
  <c r="B1210" i="15"/>
  <c r="L1210" i="15" a="1"/>
  <c r="L1210" i="15" s="1"/>
  <c r="M1210" i="15" s="1"/>
  <c r="B1209" i="15"/>
  <c r="L1209" i="15" a="1"/>
  <c r="L1209" i="15" s="1"/>
  <c r="M1209" i="15" s="1"/>
  <c r="B1208" i="15"/>
  <c r="L1208" i="15" a="1"/>
  <c r="L1208" i="15" s="1"/>
  <c r="M1208" i="15" s="1"/>
  <c r="B1207" i="15"/>
  <c r="L1207" i="15" a="1"/>
  <c r="L1207" i="15" s="1"/>
  <c r="M1207" i="15" s="1"/>
  <c r="B1203" i="15"/>
  <c r="L1203" i="15" a="1"/>
  <c r="L1203" i="15" s="1"/>
  <c r="M1203" i="15" s="1"/>
  <c r="B1202" i="15"/>
  <c r="L1202" i="15" a="1"/>
  <c r="L1202" i="15" s="1"/>
  <c r="M1202" i="15" s="1"/>
  <c r="B1199" i="15"/>
  <c r="L1199" i="15" a="1"/>
  <c r="L1199" i="15" s="1"/>
  <c r="M1199" i="15" s="1"/>
  <c r="B1196" i="15"/>
  <c r="L1196" i="15" a="1"/>
  <c r="L1196" i="15" s="1"/>
  <c r="M1196" i="15" s="1"/>
  <c r="B1195" i="15"/>
  <c r="L1195" i="15" a="1"/>
  <c r="L1195" i="15" s="1"/>
  <c r="M1195" i="15" s="1"/>
  <c r="B1192" i="15"/>
  <c r="L1192" i="15" a="1"/>
  <c r="L1192" i="15" s="1"/>
  <c r="M1192" i="15" s="1"/>
  <c r="B1189" i="15"/>
  <c r="L1189" i="15" a="1"/>
  <c r="L1189" i="15" s="1"/>
  <c r="M1189" i="15" s="1"/>
  <c r="B1186" i="15"/>
  <c r="L1186" i="15" a="1"/>
  <c r="L1186" i="15" s="1"/>
  <c r="M1186" i="15" s="1"/>
  <c r="B1184" i="15"/>
  <c r="L1184" i="15" a="1"/>
  <c r="L1184" i="15" s="1"/>
  <c r="M1184" i="15" s="1"/>
  <c r="B1200" i="15"/>
  <c r="L1200" i="15" a="1"/>
  <c r="L1200" i="15" s="1"/>
  <c r="M1200" i="15" s="1"/>
  <c r="B1205" i="15"/>
  <c r="L1205" i="15" a="1"/>
  <c r="L1205" i="15" s="1"/>
  <c r="M1205" i="15" s="1"/>
  <c r="B1188" i="15"/>
  <c r="L1188" i="15" a="1"/>
  <c r="L1188" i="15" s="1"/>
  <c r="M1188" i="15" s="1"/>
  <c r="B1211" i="15"/>
  <c r="L1211" i="15" a="1"/>
  <c r="L1211" i="15" s="1"/>
  <c r="M1211" i="15" s="1"/>
  <c r="B1212" i="15"/>
  <c r="L1212" i="15" a="1"/>
  <c r="L1212" i="15" s="1"/>
  <c r="M1212" i="15" s="1"/>
  <c r="B1216" i="15"/>
  <c r="L1216" i="15" a="1"/>
  <c r="L1216" i="15" s="1"/>
  <c r="M1216" i="15" s="1"/>
  <c r="B1217" i="15"/>
  <c r="L1217" i="15" a="1"/>
  <c r="L1217" i="15" s="1"/>
  <c r="M1217" i="15" s="1"/>
  <c r="B1219" i="15"/>
  <c r="L1219" i="15" a="1"/>
  <c r="L1219" i="15" s="1"/>
  <c r="M1219" i="15" s="1"/>
  <c r="B1228" i="15"/>
  <c r="L1228" i="15" a="1"/>
  <c r="L1228" i="15" s="1"/>
  <c r="M1228" i="15" s="1"/>
  <c r="B1231" i="15"/>
  <c r="L1231" i="15" a="1"/>
  <c r="L1231" i="15" s="1"/>
  <c r="M1231" i="15" s="1"/>
  <c r="B1230" i="15"/>
  <c r="L1230" i="15" a="1"/>
  <c r="L1230" i="15" s="1"/>
  <c r="M1230" i="15" s="1"/>
  <c r="B1227" i="15"/>
  <c r="L1227" i="15" a="1"/>
  <c r="L1227" i="15" s="1"/>
  <c r="M1227" i="15" s="1"/>
  <c r="B1226" i="15"/>
  <c r="L1226" i="15" a="1"/>
  <c r="L1226" i="15" s="1"/>
  <c r="M1226" i="15" s="1"/>
  <c r="B1193" i="15"/>
  <c r="L1193" i="15" a="1"/>
  <c r="L1193" i="15" s="1"/>
  <c r="M1193" i="15" s="1"/>
  <c r="B1223" i="15"/>
  <c r="L1223" i="15" a="1"/>
  <c r="L1223" i="15" s="1"/>
  <c r="M1223" i="15" s="1"/>
  <c r="B1222" i="15"/>
  <c r="L1222" i="15" a="1"/>
  <c r="L1222" i="15" s="1"/>
  <c r="M1222" i="15" s="1"/>
  <c r="B1221" i="15"/>
  <c r="L1221" i="15" a="1"/>
  <c r="L1221" i="15" s="1"/>
  <c r="M1221" i="15" s="1"/>
  <c r="B1218" i="15"/>
  <c r="L1218" i="15" a="1"/>
  <c r="L1218" i="15" s="1"/>
  <c r="M1218" i="15" s="1"/>
  <c r="B1235" i="15"/>
  <c r="L1235" i="15" a="1"/>
  <c r="L1235" i="15" s="1"/>
  <c r="M1235" i="15" s="1"/>
  <c r="B1236" i="15"/>
  <c r="L1236" i="15" a="1"/>
  <c r="L1236" i="15" s="1"/>
  <c r="M1236" i="15" s="1"/>
  <c r="B1240" i="15"/>
  <c r="L1240" i="15" a="1"/>
  <c r="L1240" i="15" s="1"/>
  <c r="M1240" i="15" s="1"/>
  <c r="B1237" i="15"/>
  <c r="L1237" i="15" a="1"/>
  <c r="L1237" i="15" s="1"/>
  <c r="M1237" i="15" s="1"/>
  <c r="B1242" i="15"/>
  <c r="L1242" i="15" a="1"/>
  <c r="L1242" i="15" s="1"/>
  <c r="M1242" i="15" s="1"/>
  <c r="B1244" i="15"/>
  <c r="L1244" i="15" a="1"/>
  <c r="L1244" i="15" s="1"/>
  <c r="M1244" i="15" s="1"/>
  <c r="B1245" i="15"/>
  <c r="L1245" i="15" a="1"/>
  <c r="L1245" i="15" s="1"/>
  <c r="M1245" i="15" s="1"/>
  <c r="B1252" i="15"/>
  <c r="L1252" i="15" a="1"/>
  <c r="L1252" i="15" s="1"/>
  <c r="M1252" i="15" s="1"/>
  <c r="B1250" i="15"/>
  <c r="L1250" i="15" a="1"/>
  <c r="L1250" i="15" s="1"/>
  <c r="M1250" i="15" s="1"/>
  <c r="B1246" i="15"/>
  <c r="L1246" i="15" a="1"/>
  <c r="L1246" i="15" s="1"/>
  <c r="M1246" i="15" s="1"/>
  <c r="B1254" i="15"/>
  <c r="L1254" i="15" a="1"/>
  <c r="L1254" i="15" s="1"/>
  <c r="M1254" i="15" s="1"/>
  <c r="B1257" i="15"/>
  <c r="L1257" i="15" a="1"/>
  <c r="L1257" i="15" s="1"/>
  <c r="M1257" i="15" s="1"/>
  <c r="B1256" i="15"/>
  <c r="L1256" i="15" a="1"/>
  <c r="L1256" i="15" s="1"/>
  <c r="M1256" i="15" s="1"/>
  <c r="B1280" i="15"/>
  <c r="L1280" i="15" a="1"/>
  <c r="L1280" i="15" s="1"/>
  <c r="M1280" i="15" s="1"/>
  <c r="B1279" i="15"/>
  <c r="L1279" i="15" a="1"/>
  <c r="L1279" i="15" s="1"/>
  <c r="M1279" i="15" s="1"/>
  <c r="B1278" i="15"/>
  <c r="L1278" i="15" a="1"/>
  <c r="L1278" i="15" s="1"/>
  <c r="M1278" i="15" s="1"/>
  <c r="B1276" i="15"/>
  <c r="L1276" i="15" a="1"/>
  <c r="L1276" i="15" s="1"/>
  <c r="M1276" i="15" s="1"/>
  <c r="B1275" i="15"/>
  <c r="L1275" i="15" a="1"/>
  <c r="L1275" i="15" s="1"/>
  <c r="M1275" i="15" s="1"/>
  <c r="B1273" i="15"/>
  <c r="L1273" i="15" a="1"/>
  <c r="L1273" i="15" s="1"/>
  <c r="M1273" i="15" s="1"/>
  <c r="B1272" i="15"/>
  <c r="L1272" i="15" a="1"/>
  <c r="L1272" i="15" s="1"/>
  <c r="M1272" i="15" s="1"/>
  <c r="B1270" i="15"/>
  <c r="L1270" i="15" a="1"/>
  <c r="L1270" i="15" s="1"/>
  <c r="M1270" i="15" s="1"/>
  <c r="B1268" i="15"/>
  <c r="L1268" i="15" a="1"/>
  <c r="L1268" i="15" s="1"/>
  <c r="M1268" i="15" s="1"/>
  <c r="B1267" i="15"/>
  <c r="L1267" i="15" a="1"/>
  <c r="L1267" i="15" s="1"/>
  <c r="M1267" i="15" s="1"/>
  <c r="B1266" i="15"/>
  <c r="L1266" i="15" a="1"/>
  <c r="L1266" i="15" s="1"/>
  <c r="M1266" i="15" s="1"/>
  <c r="B1265" i="15"/>
  <c r="L1265" i="15" a="1"/>
  <c r="L1265" i="15" s="1"/>
  <c r="M1265" i="15" s="1"/>
  <c r="B1264" i="15"/>
  <c r="L1264" i="15" a="1"/>
  <c r="L1264" i="15" s="1"/>
  <c r="M1264" i="15" s="1"/>
  <c r="B1644" i="15"/>
  <c r="L1644" i="15" a="1"/>
  <c r="L1644" i="15" s="1"/>
  <c r="M1644" i="15" s="1"/>
  <c r="B1263" i="15"/>
  <c r="L1263" i="15" a="1"/>
  <c r="L1263" i="15" s="1"/>
  <c r="M1263" i="15" s="1"/>
  <c r="B1277" i="15"/>
  <c r="L1277" i="15" a="1"/>
  <c r="L1277" i="15" s="1"/>
  <c r="M1277" i="15" s="1"/>
  <c r="B1282" i="15"/>
  <c r="L1282" i="15" a="1"/>
  <c r="L1282" i="15" s="1"/>
  <c r="M1282" i="15" s="1"/>
  <c r="B1285" i="15"/>
  <c r="L1285" i="15" a="1"/>
  <c r="L1285" i="15" s="1"/>
  <c r="M1285" i="15" s="1"/>
  <c r="B1289" i="15"/>
  <c r="L1289" i="15" a="1"/>
  <c r="L1289" i="15" s="1"/>
  <c r="M1289" i="15" s="1"/>
  <c r="B1290" i="15"/>
  <c r="L1290" i="15" a="1"/>
  <c r="L1290" i="15" s="1"/>
  <c r="M1290" i="15" s="1"/>
  <c r="B1294" i="15"/>
  <c r="L1294" i="15" a="1"/>
  <c r="L1294" i="15" s="1"/>
  <c r="M1294" i="15" s="1"/>
  <c r="B1320" i="15"/>
  <c r="L1320" i="15" a="1"/>
  <c r="L1320" i="15" s="1"/>
  <c r="M1320" i="15" s="1"/>
  <c r="B1319" i="15"/>
  <c r="L1319" i="15" a="1"/>
  <c r="L1319" i="15" s="1"/>
  <c r="M1319" i="15" s="1"/>
  <c r="B1318" i="15"/>
  <c r="L1318" i="15" a="1"/>
  <c r="L1318" i="15" s="1"/>
  <c r="M1318" i="15" s="1"/>
  <c r="B1317" i="15"/>
  <c r="L1317" i="15" a="1"/>
  <c r="L1317" i="15" s="1"/>
  <c r="M1317" i="15" s="1"/>
  <c r="B1313" i="15"/>
  <c r="L1313" i="15" a="1"/>
  <c r="L1313" i="15" s="1"/>
  <c r="M1313" i="15" s="1"/>
  <c r="B1312" i="15"/>
  <c r="L1312" i="15" a="1"/>
  <c r="L1312" i="15" s="1"/>
  <c r="M1312" i="15" s="1"/>
  <c r="B1309" i="15"/>
  <c r="L1309" i="15" a="1"/>
  <c r="L1309" i="15" s="1"/>
  <c r="M1309" i="15" s="1"/>
  <c r="B1306" i="15"/>
  <c r="L1306" i="15" a="1"/>
  <c r="L1306" i="15" s="1"/>
  <c r="M1306" i="15" s="1"/>
  <c r="B1305" i="15"/>
  <c r="L1305" i="15" a="1"/>
  <c r="L1305" i="15" s="1"/>
  <c r="M1305" i="15" s="1"/>
  <c r="B1304" i="15"/>
  <c r="L1304" i="15" a="1"/>
  <c r="L1304" i="15" s="1"/>
  <c r="M1304" i="15" s="1"/>
  <c r="B1301" i="15"/>
  <c r="L1301" i="15" a="1"/>
  <c r="L1301" i="15" s="1"/>
  <c r="M1301" i="15" s="1"/>
  <c r="B1299" i="15"/>
  <c r="L1299" i="15" a="1"/>
  <c r="L1299" i="15" s="1"/>
  <c r="M1299" i="15" s="1"/>
  <c r="B1297" i="15"/>
  <c r="L1297" i="15" a="1"/>
  <c r="L1297" i="15" s="1"/>
  <c r="M1297" i="15" s="1"/>
  <c r="B1310" i="15"/>
  <c r="L1310" i="15" a="1"/>
  <c r="L1310" i="15" s="1"/>
  <c r="M1310" i="15" s="1"/>
  <c r="B1315" i="15"/>
  <c r="L1315" i="15" a="1"/>
  <c r="L1315" i="15" s="1"/>
  <c r="M1315" i="15" s="1"/>
  <c r="B1300" i="15"/>
  <c r="L1300" i="15" a="1"/>
  <c r="L1300" i="15" s="1"/>
  <c r="M1300" i="15" s="1"/>
  <c r="B1322" i="15"/>
  <c r="L1322" i="15" a="1"/>
  <c r="L1322" i="15" s="1"/>
  <c r="M1322" i="15" s="1"/>
  <c r="B1323" i="15"/>
  <c r="L1323" i="15" a="1"/>
  <c r="L1323" i="15" s="1"/>
  <c r="M1323" i="15" s="1"/>
  <c r="B1330" i="15"/>
  <c r="L1330" i="15" a="1"/>
  <c r="L1330" i="15" s="1"/>
  <c r="M1330" i="15" s="1"/>
  <c r="B1332" i="15"/>
  <c r="L1332" i="15" a="1"/>
  <c r="L1332" i="15" s="1"/>
  <c r="M1332" i="15" s="1"/>
  <c r="B1334" i="15"/>
  <c r="L1334" i="15" a="1"/>
  <c r="L1334" i="15" s="1"/>
  <c r="M1334" i="15" s="1"/>
  <c r="B1342" i="15"/>
  <c r="L1342" i="15" a="1"/>
  <c r="L1342" i="15" s="1"/>
  <c r="M1342" i="15" s="1"/>
  <c r="B1345" i="15"/>
  <c r="L1345" i="15" a="1"/>
  <c r="L1345" i="15" s="1"/>
  <c r="M1345" i="15" s="1"/>
  <c r="B1344" i="15"/>
  <c r="L1344" i="15" a="1"/>
  <c r="L1344" i="15" s="1"/>
  <c r="M1344" i="15" s="1"/>
  <c r="B1341" i="15"/>
  <c r="L1341" i="15" a="1"/>
  <c r="L1341" i="15" s="1"/>
  <c r="M1341" i="15" s="1"/>
  <c r="B1340" i="15"/>
  <c r="L1340" i="15" a="1"/>
  <c r="L1340" i="15" s="1"/>
  <c r="M1340" i="15" s="1"/>
  <c r="B1339" i="15"/>
  <c r="L1339" i="15" a="1"/>
  <c r="L1339" i="15" s="1"/>
  <c r="M1339" i="15" s="1"/>
  <c r="B1337" i="15"/>
  <c r="L1337" i="15" a="1"/>
  <c r="L1337" i="15" s="1"/>
  <c r="M1337" i="15" s="1"/>
  <c r="B1336" i="15"/>
  <c r="L1336" i="15" a="1"/>
  <c r="L1336" i="15" s="1"/>
  <c r="M1336" i="15" s="1"/>
  <c r="B1333" i="15"/>
  <c r="L1333" i="15" a="1"/>
  <c r="L1333" i="15" s="1"/>
  <c r="M1333" i="15" s="1"/>
  <c r="B1349" i="15"/>
  <c r="L1349" i="15" a="1"/>
  <c r="L1349" i="15" s="1"/>
  <c r="M1349" i="15" s="1"/>
  <c r="B1350" i="15"/>
  <c r="L1350" i="15" a="1"/>
  <c r="L1350" i="15" s="1"/>
  <c r="M1350" i="15" s="1"/>
  <c r="B1354" i="15"/>
  <c r="L1354" i="15" a="1"/>
  <c r="L1354" i="15" s="1"/>
  <c r="M1354" i="15" s="1"/>
  <c r="B1356" i="15"/>
  <c r="L1356" i="15" a="1"/>
  <c r="L1356" i="15" s="1"/>
  <c r="M1356" i="15" s="1"/>
  <c r="B1358" i="15"/>
  <c r="L1358" i="15" a="1"/>
  <c r="L1358" i="15" s="1"/>
  <c r="M1358" i="15" s="1"/>
  <c r="B1359" i="15"/>
  <c r="L1359" i="15" a="1"/>
  <c r="L1359" i="15" s="1"/>
  <c r="M1359" i="15" s="1"/>
  <c r="B1365" i="15"/>
  <c r="L1365" i="15" a="1"/>
  <c r="L1365" i="15" s="1"/>
  <c r="M1365" i="15" s="1"/>
  <c r="B1360" i="15"/>
  <c r="L1360" i="15" a="1"/>
  <c r="L1360" i="15" s="1"/>
  <c r="M1360" i="15" s="1"/>
  <c r="B1367" i="15"/>
  <c r="L1367" i="15" a="1"/>
  <c r="L1367" i="15" s="1"/>
  <c r="M1367" i="15" s="1"/>
  <c r="B1370" i="15"/>
  <c r="L1370" i="15" a="1"/>
  <c r="L1370" i="15" s="1"/>
  <c r="M1370" i="15" s="1"/>
  <c r="B1369" i="15"/>
  <c r="L1369" i="15" a="1"/>
  <c r="L1369" i="15" s="1"/>
  <c r="M1369" i="15" s="1"/>
  <c r="B1388" i="15"/>
  <c r="L1388" i="15" a="1"/>
  <c r="L1388" i="15" s="1"/>
  <c r="M1388" i="15" s="1"/>
  <c r="B1387" i="15"/>
  <c r="L1387" i="15" a="1"/>
  <c r="L1387" i="15" s="1"/>
  <c r="M1387" i="15" s="1"/>
  <c r="B1386" i="15"/>
  <c r="L1386" i="15" a="1"/>
  <c r="L1386" i="15" s="1"/>
  <c r="M1386" i="15" s="1"/>
  <c r="B1384" i="15"/>
  <c r="L1384" i="15" a="1"/>
  <c r="L1384" i="15" s="1"/>
  <c r="M1384" i="15" s="1"/>
  <c r="B1383" i="15"/>
  <c r="L1383" i="15" a="1"/>
  <c r="L1383" i="15" s="1"/>
  <c r="M1383" i="15" s="1"/>
  <c r="B1382" i="15"/>
  <c r="L1382" i="15" a="1"/>
  <c r="L1382" i="15" s="1"/>
  <c r="M1382" i="15" s="1"/>
  <c r="B1380" i="15"/>
  <c r="L1380" i="15" a="1"/>
  <c r="L1380" i="15" s="1"/>
  <c r="M1380" i="15" s="1"/>
  <c r="B1378" i="15"/>
  <c r="L1378" i="15" a="1"/>
  <c r="L1378" i="15" s="1"/>
  <c r="M1378" i="15" s="1"/>
  <c r="B1377" i="15"/>
  <c r="L1377" i="15" a="1"/>
  <c r="L1377" i="15" s="1"/>
  <c r="M1377" i="15" s="1"/>
  <c r="B1376" i="15"/>
  <c r="L1376" i="15" a="1"/>
  <c r="L1376" i="15" s="1"/>
  <c r="M1376" i="15" s="1"/>
  <c r="B1581" i="15"/>
  <c r="L1581" i="15" a="1"/>
  <c r="L1581" i="15" s="1"/>
  <c r="M1581" i="15" s="1"/>
  <c r="B1719" i="15"/>
  <c r="L1719" i="15" a="1"/>
  <c r="L1719" i="15" s="1"/>
  <c r="M1719" i="15" s="1"/>
  <c r="B1375" i="15"/>
  <c r="L1375" i="15" a="1"/>
  <c r="L1375" i="15" s="1"/>
  <c r="M1375" i="15" s="1"/>
  <c r="B1385" i="15"/>
  <c r="L1385" i="15" a="1"/>
  <c r="L1385" i="15" s="1"/>
  <c r="M1385" i="15" s="1"/>
  <c r="B1389" i="15"/>
  <c r="L1389" i="15" a="1"/>
  <c r="L1389" i="15" s="1"/>
  <c r="M1389" i="15" s="1"/>
  <c r="B1392" i="15"/>
  <c r="L1392" i="15" a="1"/>
  <c r="L1392" i="15" s="1"/>
  <c r="M1392" i="15" s="1"/>
  <c r="B1395" i="15"/>
  <c r="L1395" i="15" a="1"/>
  <c r="L1395" i="15" s="1"/>
  <c r="M1395" i="15" s="1"/>
  <c r="B1399" i="15"/>
  <c r="L1399" i="15" a="1"/>
  <c r="L1399" i="15" s="1"/>
  <c r="M1399" i="15" s="1"/>
  <c r="B1400" i="15"/>
  <c r="L1400" i="15" a="1"/>
  <c r="L1400" i="15" s="1"/>
  <c r="M1400" i="15" s="1"/>
  <c r="B1402" i="15"/>
  <c r="L1402" i="15" a="1"/>
  <c r="L1402" i="15" s="1"/>
  <c r="M1402" i="15" s="1"/>
  <c r="B1426" i="15"/>
  <c r="L1426" i="15" a="1"/>
  <c r="L1426" i="15" s="1"/>
  <c r="M1426" i="15" s="1"/>
  <c r="B1425" i="15"/>
  <c r="L1425" i="15" a="1"/>
  <c r="L1425" i="15" s="1"/>
  <c r="M1425" i="15" s="1"/>
  <c r="B1424" i="15"/>
  <c r="L1424" i="15" a="1"/>
  <c r="L1424" i="15" s="1"/>
  <c r="M1424" i="15" s="1"/>
  <c r="B1423" i="15"/>
  <c r="L1423" i="15" a="1"/>
  <c r="L1423" i="15" s="1"/>
  <c r="M1423" i="15" s="1"/>
  <c r="B1418" i="15"/>
  <c r="L1418" i="15" a="1"/>
  <c r="L1418" i="15" s="1"/>
  <c r="M1418" i="15" s="1"/>
  <c r="B1415" i="15"/>
  <c r="L1415" i="15" a="1"/>
  <c r="L1415" i="15" s="1"/>
  <c r="M1415" i="15" s="1"/>
  <c r="B1412" i="15"/>
  <c r="L1412" i="15" a="1"/>
  <c r="L1412" i="15" s="1"/>
  <c r="M1412" i="15" s="1"/>
  <c r="B1411" i="15"/>
  <c r="L1411" i="15" a="1"/>
  <c r="L1411" i="15" s="1"/>
  <c r="M1411" i="15" s="1"/>
  <c r="B1410" i="15"/>
  <c r="L1410" i="15" a="1"/>
  <c r="L1410" i="15" s="1"/>
  <c r="M1410" i="15" s="1"/>
  <c r="B1407" i="15"/>
  <c r="L1407" i="15" a="1"/>
  <c r="L1407" i="15" s="1"/>
  <c r="M1407" i="15" s="1"/>
  <c r="B1405" i="15"/>
  <c r="L1405" i="15" a="1"/>
  <c r="L1405" i="15" s="1"/>
  <c r="M1405" i="15" s="1"/>
  <c r="B1403" i="15"/>
  <c r="L1403" i="15" a="1"/>
  <c r="L1403" i="15" s="1"/>
  <c r="M1403" i="15" s="1"/>
  <c r="B1416" i="15"/>
  <c r="L1416" i="15" a="1"/>
  <c r="L1416" i="15" s="1"/>
  <c r="M1416" i="15" s="1"/>
  <c r="B1421" i="15"/>
  <c r="L1421" i="15" a="1"/>
  <c r="L1421" i="15" s="1"/>
  <c r="M1421" i="15" s="1"/>
  <c r="B1406" i="15"/>
  <c r="L1406" i="15" a="1"/>
  <c r="L1406" i="15" s="1"/>
  <c r="M1406" i="15" s="1"/>
  <c r="B1427" i="15"/>
  <c r="L1427" i="15" a="1"/>
  <c r="L1427" i="15" s="1"/>
  <c r="M1427" i="15" s="1"/>
  <c r="B1428" i="15"/>
  <c r="L1428" i="15" a="1"/>
  <c r="L1428" i="15" s="1"/>
  <c r="M1428" i="15" s="1"/>
  <c r="B1431" i="15"/>
  <c r="L1431" i="15" a="1"/>
  <c r="L1431" i="15" s="1"/>
  <c r="M1431" i="15" s="1"/>
  <c r="B1432" i="15"/>
  <c r="L1432" i="15" a="1"/>
  <c r="L1432" i="15" s="1"/>
  <c r="M1432" i="15" s="1"/>
  <c r="B1434" i="15"/>
  <c r="L1434" i="15" a="1"/>
  <c r="L1434" i="15" s="1"/>
  <c r="M1434" i="15" s="1"/>
  <c r="B1441" i="15"/>
  <c r="L1441" i="15" a="1"/>
  <c r="L1441" i="15" s="1"/>
  <c r="M1441" i="15" s="1"/>
  <c r="B1444" i="15"/>
  <c r="L1444" i="15" a="1"/>
  <c r="L1444" i="15" s="1"/>
  <c r="M1444" i="15" s="1"/>
  <c r="B1443" i="15"/>
  <c r="L1443" i="15" a="1"/>
  <c r="L1443" i="15" s="1"/>
  <c r="M1443" i="15" s="1"/>
  <c r="B1440" i="15"/>
  <c r="L1440" i="15" a="1"/>
  <c r="L1440" i="15" s="1"/>
  <c r="M1440" i="15" s="1"/>
  <c r="B1439" i="15"/>
  <c r="L1439" i="15" a="1"/>
  <c r="L1439" i="15" s="1"/>
  <c r="M1439" i="15" s="1"/>
  <c r="B1438" i="15"/>
  <c r="L1438" i="15" a="1"/>
  <c r="L1438" i="15" s="1"/>
  <c r="M1438" i="15" s="1"/>
  <c r="B1436" i="15"/>
  <c r="L1436" i="15" a="1"/>
  <c r="L1436" i="15" s="1"/>
  <c r="M1436" i="15" s="1"/>
  <c r="B1433" i="15"/>
  <c r="L1433" i="15" a="1"/>
  <c r="L1433" i="15" s="1"/>
  <c r="M1433" i="15" s="1"/>
  <c r="B1448" i="15"/>
  <c r="L1448" i="15" a="1"/>
  <c r="L1448" i="15" s="1"/>
  <c r="M1448" i="15" s="1"/>
  <c r="B1451" i="15"/>
  <c r="L1451" i="15" a="1"/>
  <c r="L1451" i="15" s="1"/>
  <c r="M1451" i="15" s="1"/>
  <c r="B1453" i="15"/>
  <c r="L1453" i="15" a="1"/>
  <c r="L1453" i="15" s="1"/>
  <c r="M1453" i="15" s="1"/>
  <c r="B1455" i="15"/>
  <c r="L1455" i="15" a="1"/>
  <c r="L1455" i="15" s="1"/>
  <c r="M1455" i="15" s="1"/>
  <c r="B1456" i="15"/>
  <c r="L1456" i="15" a="1"/>
  <c r="L1456" i="15" s="1"/>
  <c r="M1456" i="15" s="1"/>
  <c r="B1462" i="15"/>
  <c r="L1462" i="15" a="1"/>
  <c r="L1462" i="15" s="1"/>
  <c r="M1462" i="15" s="1"/>
  <c r="B1457" i="15"/>
  <c r="L1457" i="15" a="1"/>
  <c r="L1457" i="15" s="1"/>
  <c r="M1457" i="15" s="1"/>
  <c r="B1464" i="15"/>
  <c r="L1464" i="15" a="1"/>
  <c r="L1464" i="15" s="1"/>
  <c r="M1464" i="15" s="1"/>
  <c r="B1467" i="15"/>
  <c r="L1467" i="15" a="1"/>
  <c r="L1467" i="15" s="1"/>
  <c r="M1467" i="15" s="1"/>
  <c r="B1466" i="15"/>
  <c r="L1466" i="15" a="1"/>
  <c r="L1466" i="15" s="1"/>
  <c r="M1466" i="15" s="1"/>
  <c r="B1474" i="15"/>
  <c r="L1474" i="15" a="1"/>
  <c r="L1474" i="15" s="1"/>
  <c r="M1474" i="15" s="1"/>
  <c r="B1485" i="15"/>
  <c r="L1485" i="15" a="1"/>
  <c r="L1485" i="15" s="1"/>
  <c r="M1485" i="15" s="1"/>
  <c r="B1486" i="15"/>
  <c r="L1486" i="15" a="1"/>
  <c r="L1486" i="15" s="1"/>
  <c r="M1486" i="15" s="1"/>
  <c r="B1484" i="15"/>
  <c r="L1484" i="15" a="1"/>
  <c r="L1484" i="15" s="1"/>
  <c r="M1484" i="15" s="1"/>
  <c r="B1482" i="15"/>
  <c r="L1482" i="15" a="1"/>
  <c r="L1482" i="15" s="1"/>
  <c r="M1482" i="15" s="1"/>
  <c r="B1480" i="15"/>
  <c r="L1480" i="15" a="1"/>
  <c r="L1480" i="15" s="1"/>
  <c r="M1480" i="15" s="1"/>
  <c r="B1478" i="15"/>
  <c r="L1478" i="15" a="1"/>
  <c r="L1478" i="15" s="1"/>
  <c r="M1478" i="15" s="1"/>
  <c r="B1476" i="15"/>
  <c r="L1476" i="15" a="1"/>
  <c r="L1476" i="15" s="1"/>
  <c r="M1476" i="15" s="1"/>
  <c r="B1475" i="15"/>
  <c r="L1475" i="15" a="1"/>
  <c r="L1475" i="15" s="1"/>
  <c r="M1475" i="15" s="1"/>
  <c r="B1473" i="15"/>
  <c r="L1473" i="15" a="1"/>
  <c r="L1473" i="15" s="1"/>
  <c r="M1473" i="15" s="1"/>
  <c r="B1669" i="15"/>
  <c r="L1669" i="15" a="1"/>
  <c r="L1669" i="15" s="1"/>
  <c r="M1669" i="15" s="1"/>
  <c r="B1795" i="15"/>
  <c r="L1795" i="15" a="1"/>
  <c r="L1795" i="15" s="1"/>
  <c r="M1795" i="15" s="1"/>
  <c r="B1472" i="15"/>
  <c r="L1472" i="15" a="1"/>
  <c r="L1472" i="15" s="1"/>
  <c r="M1472" i="15" s="1"/>
  <c r="B1483" i="15"/>
  <c r="L1483" i="15" a="1"/>
  <c r="L1483" i="15" s="1"/>
  <c r="M1483" i="15" s="1"/>
  <c r="B1488" i="15"/>
  <c r="L1488" i="15" a="1"/>
  <c r="L1488" i="15" s="1"/>
  <c r="M1488" i="15" s="1"/>
  <c r="B1492" i="15"/>
  <c r="L1492" i="15" a="1"/>
  <c r="L1492" i="15" s="1"/>
  <c r="M1492" i="15" s="1"/>
  <c r="B1497" i="15"/>
  <c r="L1497" i="15" a="1"/>
  <c r="L1497" i="15" s="1"/>
  <c r="M1497" i="15" s="1"/>
  <c r="B1498" i="15"/>
  <c r="L1498" i="15" a="1"/>
  <c r="L1498" i="15" s="1"/>
  <c r="M1498" i="15" s="1"/>
  <c r="B1499" i="15"/>
  <c r="L1499" i="15" a="1"/>
  <c r="L1499" i="15" s="1"/>
  <c r="M1499" i="15" s="1"/>
  <c r="B1522" i="15"/>
  <c r="L1522" i="15" a="1"/>
  <c r="L1522" i="15" s="1"/>
  <c r="M1522" i="15" s="1"/>
  <c r="B1521" i="15"/>
  <c r="L1521" i="15" a="1"/>
  <c r="L1521" i="15" s="1"/>
  <c r="M1521" i="15" s="1"/>
  <c r="B1520" i="15"/>
  <c r="L1520" i="15" a="1"/>
  <c r="L1520" i="15" s="1"/>
  <c r="M1520" i="15" s="1"/>
  <c r="B1515" i="15"/>
  <c r="L1515" i="15" a="1"/>
  <c r="L1515" i="15" s="1"/>
  <c r="M1515" i="15" s="1"/>
  <c r="B1512" i="15"/>
  <c r="L1512" i="15" a="1"/>
  <c r="L1512" i="15" s="1"/>
  <c r="M1512" i="15" s="1"/>
  <c r="B1509" i="15"/>
  <c r="L1509" i="15" a="1"/>
  <c r="L1509" i="15" s="1"/>
  <c r="M1509" i="15" s="1"/>
  <c r="B1508" i="15"/>
  <c r="L1508" i="15" a="1"/>
  <c r="L1508" i="15" s="1"/>
  <c r="M1508" i="15" s="1"/>
  <c r="B1507" i="15"/>
  <c r="L1507" i="15" a="1"/>
  <c r="L1507" i="15" s="1"/>
  <c r="M1507" i="15" s="1"/>
  <c r="B1504" i="15"/>
  <c r="L1504" i="15" a="1"/>
  <c r="L1504" i="15" s="1"/>
  <c r="M1504" i="15" s="1"/>
  <c r="B1502" i="15"/>
  <c r="L1502" i="15" a="1"/>
  <c r="L1502" i="15" s="1"/>
  <c r="M1502" i="15" s="1"/>
  <c r="B1500" i="15"/>
  <c r="L1500" i="15" a="1"/>
  <c r="L1500" i="15" s="1"/>
  <c r="M1500" i="15" s="1"/>
  <c r="B1513" i="15"/>
  <c r="L1513" i="15" a="1"/>
  <c r="L1513" i="15" s="1"/>
  <c r="M1513" i="15" s="1"/>
  <c r="B1518" i="15"/>
  <c r="L1518" i="15" a="1"/>
  <c r="L1518" i="15" s="1"/>
  <c r="M1518" i="15" s="1"/>
  <c r="B1503" i="15"/>
  <c r="L1503" i="15" a="1"/>
  <c r="L1503" i="15" s="1"/>
  <c r="M1503" i="15" s="1"/>
  <c r="B1523" i="15"/>
  <c r="L1523" i="15" a="1"/>
  <c r="L1523" i="15" s="1"/>
  <c r="M1523" i="15" s="1"/>
  <c r="B1524" i="15"/>
  <c r="L1524" i="15" a="1"/>
  <c r="L1524" i="15" s="1"/>
  <c r="M1524" i="15" s="1"/>
  <c r="B1527" i="15"/>
  <c r="L1527" i="15" a="1"/>
  <c r="L1527" i="15" s="1"/>
  <c r="M1527" i="15" s="1"/>
  <c r="B1528" i="15"/>
  <c r="L1528" i="15" a="1"/>
  <c r="L1528" i="15" s="1"/>
  <c r="M1528" i="15" s="1"/>
  <c r="B1530" i="15"/>
  <c r="L1530" i="15" a="1"/>
  <c r="L1530" i="15" s="1"/>
  <c r="M1530" i="15" s="1"/>
  <c r="B1537" i="15"/>
  <c r="L1537" i="15" a="1"/>
  <c r="L1537" i="15" s="1"/>
  <c r="M1537" i="15" s="1"/>
  <c r="B1540" i="15"/>
  <c r="L1540" i="15" a="1"/>
  <c r="L1540" i="15" s="1"/>
  <c r="M1540" i="15" s="1"/>
  <c r="B1539" i="15"/>
  <c r="L1539" i="15" a="1"/>
  <c r="L1539" i="15" s="1"/>
  <c r="M1539" i="15" s="1"/>
  <c r="B1536" i="15"/>
  <c r="L1536" i="15" a="1"/>
  <c r="L1536" i="15" s="1"/>
  <c r="M1536" i="15" s="1"/>
  <c r="B1535" i="15"/>
  <c r="L1535" i="15" a="1"/>
  <c r="L1535" i="15" s="1"/>
  <c r="M1535" i="15" s="1"/>
  <c r="B1534" i="15"/>
  <c r="L1534" i="15" a="1"/>
  <c r="L1534" i="15" s="1"/>
  <c r="M1534" i="15" s="1"/>
  <c r="B1532" i="15"/>
  <c r="L1532" i="15" a="1"/>
  <c r="L1532" i="15" s="1"/>
  <c r="M1532" i="15" s="1"/>
  <c r="B1529" i="15"/>
  <c r="L1529" i="15" a="1"/>
  <c r="L1529" i="15" s="1"/>
  <c r="M1529" i="15" s="1"/>
  <c r="B1544" i="15"/>
  <c r="L1544" i="15" a="1"/>
  <c r="L1544" i="15" s="1"/>
  <c r="M1544" i="15" s="1"/>
  <c r="B1547" i="15"/>
  <c r="L1547" i="15" a="1"/>
  <c r="L1547" i="15" s="1"/>
  <c r="M1547" i="15" s="1"/>
  <c r="B1549" i="15"/>
  <c r="L1549" i="15" a="1"/>
  <c r="L1549" i="15" s="1"/>
  <c r="M1549" i="15" s="1"/>
  <c r="B1551" i="15"/>
  <c r="L1551" i="15" a="1"/>
  <c r="L1551" i="15" s="1"/>
  <c r="M1551" i="15" s="1"/>
  <c r="B1552" i="15"/>
  <c r="L1552" i="15" a="1"/>
  <c r="L1552" i="15" s="1"/>
  <c r="M1552" i="15" s="1"/>
  <c r="B1555" i="15"/>
  <c r="L1555" i="15" a="1"/>
  <c r="L1555" i="15" s="1"/>
  <c r="M1555" i="15" s="1"/>
  <c r="B1557" i="15"/>
  <c r="L1557" i="15" a="1"/>
  <c r="L1557" i="15" s="1"/>
  <c r="M1557" i="15" s="1"/>
  <c r="B1559" i="15"/>
  <c r="L1559" i="15" a="1"/>
  <c r="L1559" i="15" s="1"/>
  <c r="M1559" i="15" s="1"/>
  <c r="B1572" i="15"/>
  <c r="L1572" i="15" a="1"/>
  <c r="L1572" i="15" s="1"/>
  <c r="M1572" i="15" s="1"/>
  <c r="B1570" i="15"/>
  <c r="L1570" i="15" a="1"/>
  <c r="L1570" i="15" s="1"/>
  <c r="M1570" i="15" s="1"/>
  <c r="B1568" i="15"/>
  <c r="L1568" i="15" a="1"/>
  <c r="L1568" i="15" s="1"/>
  <c r="M1568" i="15" s="1"/>
  <c r="B1566" i="15"/>
  <c r="L1566" i="15" a="1"/>
  <c r="L1566" i="15" s="1"/>
  <c r="M1566" i="15" s="1"/>
  <c r="B1565" i="15"/>
  <c r="L1565" i="15" a="1"/>
  <c r="L1565" i="15" s="1"/>
  <c r="M1565" i="15" s="1"/>
  <c r="B1796" i="15"/>
  <c r="L1796" i="15" a="1"/>
  <c r="L1796" i="15" s="1"/>
  <c r="M1796" i="15" s="1"/>
  <c r="B1874" i="15"/>
  <c r="L1874" i="15" a="1"/>
  <c r="L1874" i="15" s="1"/>
  <c r="M1874" i="15" s="1"/>
  <c r="B1564" i="15"/>
  <c r="L1564" i="15" a="1"/>
  <c r="L1564" i="15" s="1"/>
  <c r="M1564" i="15" s="1"/>
  <c r="B1571" i="15"/>
  <c r="L1571" i="15" a="1"/>
  <c r="L1571" i="15" s="1"/>
  <c r="M1571" i="15" s="1"/>
  <c r="B1573" i="15"/>
  <c r="L1573" i="15" a="1"/>
  <c r="L1573" i="15" s="1"/>
  <c r="M1573" i="15" s="1"/>
  <c r="B1576" i="15"/>
  <c r="L1576" i="15" a="1"/>
  <c r="L1576" i="15" s="1"/>
  <c r="M1576" i="15" s="1"/>
  <c r="B1580" i="15"/>
  <c r="L1580" i="15" a="1"/>
  <c r="L1580" i="15" s="1"/>
  <c r="M1580" i="15" s="1"/>
  <c r="B1585" i="15"/>
  <c r="L1585" i="15" a="1"/>
  <c r="L1585" i="15" s="1"/>
  <c r="M1585" i="15" s="1"/>
  <c r="B1586" i="15"/>
  <c r="L1586" i="15" a="1"/>
  <c r="L1586" i="15" s="1"/>
  <c r="M1586" i="15" s="1"/>
  <c r="B1607" i="15"/>
  <c r="L1607" i="15" a="1"/>
  <c r="L1607" i="15" s="1"/>
  <c r="M1607" i="15" s="1"/>
  <c r="B1606" i="15"/>
  <c r="L1606" i="15" a="1"/>
  <c r="L1606" i="15" s="1"/>
  <c r="M1606" i="15" s="1"/>
  <c r="B1605" i="15"/>
  <c r="L1605" i="15" a="1"/>
  <c r="L1605" i="15" s="1"/>
  <c r="M1605" i="15" s="1"/>
  <c r="B1600" i="15"/>
  <c r="L1600" i="15" a="1"/>
  <c r="L1600" i="15" s="1"/>
  <c r="M1600" i="15" s="1"/>
  <c r="B1597" i="15"/>
  <c r="L1597" i="15" a="1"/>
  <c r="L1597" i="15" s="1"/>
  <c r="M1597" i="15" s="1"/>
  <c r="B1594" i="15"/>
  <c r="L1594" i="15" a="1"/>
  <c r="L1594" i="15" s="1"/>
  <c r="M1594" i="15" s="1"/>
  <c r="B1593" i="15"/>
  <c r="L1593" i="15" a="1"/>
  <c r="L1593" i="15" s="1"/>
  <c r="M1593" i="15" s="1"/>
  <c r="B1592" i="15"/>
  <c r="L1592" i="15" a="1"/>
  <c r="L1592" i="15" s="1"/>
  <c r="M1592" i="15" s="1"/>
  <c r="B1588" i="15"/>
  <c r="L1588" i="15" a="1"/>
  <c r="L1588" i="15" s="1"/>
  <c r="M1588" i="15" s="1"/>
  <c r="B1598" i="15"/>
  <c r="L1598" i="15" a="1"/>
  <c r="L1598" i="15" s="1"/>
  <c r="M1598" i="15" s="1"/>
  <c r="B1603" i="15"/>
  <c r="L1603" i="15" a="1"/>
  <c r="L1603" i="15" s="1"/>
  <c r="M1603" i="15" s="1"/>
  <c r="B1589" i="15"/>
  <c r="L1589" i="15" a="1"/>
  <c r="L1589" i="15" s="1"/>
  <c r="M1589" i="15" s="1"/>
  <c r="B1608" i="15"/>
  <c r="L1608" i="15" a="1"/>
  <c r="L1608" i="15" s="1"/>
  <c r="M1608" i="15" s="1"/>
  <c r="B1609" i="15"/>
  <c r="L1609" i="15" a="1"/>
  <c r="L1609" i="15" s="1"/>
  <c r="M1609" i="15" s="1"/>
  <c r="B1611" i="15"/>
  <c r="L1611" i="15" a="1"/>
  <c r="L1611" i="15" s="1"/>
  <c r="M1611" i="15" s="1"/>
  <c r="B1612" i="15"/>
  <c r="L1612" i="15" a="1"/>
  <c r="L1612" i="15" s="1"/>
  <c r="M1612" i="15" s="1"/>
  <c r="B1620" i="15"/>
  <c r="L1620" i="15" a="1"/>
  <c r="L1620" i="15" s="1"/>
  <c r="M1620" i="15" s="1"/>
  <c r="B1623" i="15"/>
  <c r="L1623" i="15" a="1"/>
  <c r="L1623" i="15" s="1"/>
  <c r="M1623" i="15" s="1"/>
  <c r="B1622" i="15"/>
  <c r="L1622" i="15" a="1"/>
  <c r="L1622" i="15" s="1"/>
  <c r="M1622" i="15" s="1"/>
  <c r="B1619" i="15"/>
  <c r="L1619" i="15" a="1"/>
  <c r="L1619" i="15" s="1"/>
  <c r="M1619" i="15" s="1"/>
  <c r="B1618" i="15"/>
  <c r="L1618" i="15" a="1"/>
  <c r="L1618" i="15" s="1"/>
  <c r="M1618" i="15" s="1"/>
  <c r="B1617" i="15"/>
  <c r="L1617" i="15" a="1"/>
  <c r="L1617" i="15" s="1"/>
  <c r="M1617" i="15" s="1"/>
  <c r="B1615" i="15"/>
  <c r="L1615" i="15" a="1"/>
  <c r="L1615" i="15" s="1"/>
  <c r="M1615" i="15" s="1"/>
  <c r="B1613" i="15"/>
  <c r="L1613" i="15" a="1"/>
  <c r="L1613" i="15" s="1"/>
  <c r="M1613" i="15" s="1"/>
  <c r="B1627" i="15"/>
  <c r="L1627" i="15" a="1"/>
  <c r="L1627" i="15" s="1"/>
  <c r="M1627" i="15" s="1"/>
  <c r="B1630" i="15"/>
  <c r="L1630" i="15" a="1"/>
  <c r="L1630" i="15" s="1"/>
  <c r="M1630" i="15" s="1"/>
  <c r="B1633" i="15"/>
  <c r="L1633" i="15" a="1"/>
  <c r="L1633" i="15" s="1"/>
  <c r="M1633" i="15" s="1"/>
  <c r="B1636" i="15"/>
  <c r="L1636" i="15" a="1"/>
  <c r="L1636" i="15" s="1"/>
  <c r="M1636" i="15" s="1"/>
  <c r="B1638" i="15"/>
  <c r="L1638" i="15" a="1"/>
  <c r="L1638" i="15" s="1"/>
  <c r="M1638" i="15" s="1"/>
  <c r="B1640" i="15"/>
  <c r="L1640" i="15" a="1"/>
  <c r="L1640" i="15" s="1"/>
  <c r="M1640" i="15" s="1"/>
  <c r="B1649" i="15"/>
  <c r="L1649" i="15" a="1"/>
  <c r="L1649" i="15" s="1"/>
  <c r="M1649" i="15" s="1"/>
  <c r="B1647" i="15"/>
  <c r="L1647" i="15" a="1"/>
  <c r="L1647" i="15" s="1"/>
  <c r="M1647" i="15" s="1"/>
  <c r="B1875" i="15"/>
  <c r="L1875" i="15" a="1"/>
  <c r="L1875" i="15" s="1"/>
  <c r="M1875" i="15" s="1"/>
  <c r="B1645" i="15"/>
  <c r="L1645" i="15" a="1"/>
  <c r="L1645" i="15" s="1"/>
  <c r="M1645" i="15" s="1"/>
  <c r="B1650" i="15"/>
  <c r="L1650" i="15" a="1"/>
  <c r="L1650" i="15" s="1"/>
  <c r="M1650" i="15" s="1"/>
  <c r="B1651" i="15"/>
  <c r="L1651" i="15" a="1"/>
  <c r="L1651" i="15" s="1"/>
  <c r="M1651" i="15" s="1"/>
  <c r="B1658" i="15"/>
  <c r="L1658" i="15" a="1"/>
  <c r="L1658" i="15" s="1"/>
  <c r="M1658" i="15" s="1"/>
  <c r="B1668" i="15"/>
  <c r="L1668" i="15" a="1"/>
  <c r="L1668" i="15" s="1"/>
  <c r="M1668" i="15" s="1"/>
  <c r="B1692" i="15"/>
  <c r="L1692" i="15" a="1"/>
  <c r="L1692" i="15" s="1"/>
  <c r="M1692" i="15" s="1"/>
  <c r="B1691" i="15"/>
  <c r="L1691" i="15" a="1"/>
  <c r="L1691" i="15" s="1"/>
  <c r="M1691" i="15" s="1"/>
  <c r="B1690" i="15"/>
  <c r="L1690" i="15" a="1"/>
  <c r="L1690" i="15" s="1"/>
  <c r="M1690" i="15" s="1"/>
  <c r="B1685" i="15"/>
  <c r="L1685" i="15" a="1"/>
  <c r="L1685" i="15" s="1"/>
  <c r="M1685" i="15" s="1"/>
  <c r="B1683" i="15"/>
  <c r="L1683" i="15" a="1"/>
  <c r="L1683" i="15" s="1"/>
  <c r="M1683" i="15" s="1"/>
  <c r="B1680" i="15"/>
  <c r="L1680" i="15" a="1"/>
  <c r="L1680" i="15" s="1"/>
  <c r="M1680" i="15" s="1"/>
  <c r="B1679" i="15"/>
  <c r="L1679" i="15" a="1"/>
  <c r="L1679" i="15" s="1"/>
  <c r="M1679" i="15" s="1"/>
  <c r="B1678" i="15"/>
  <c r="L1678" i="15" a="1"/>
  <c r="L1678" i="15" s="1"/>
  <c r="M1678" i="15" s="1"/>
  <c r="B1674" i="15"/>
  <c r="L1674" i="15" a="1"/>
  <c r="L1674" i="15" s="1"/>
  <c r="M1674" i="15" s="1"/>
  <c r="B1688" i="15"/>
  <c r="L1688" i="15" a="1"/>
  <c r="L1688" i="15" s="1"/>
  <c r="M1688" i="15" s="1"/>
  <c r="B1675" i="15"/>
  <c r="L1675" i="15" a="1"/>
  <c r="L1675" i="15" s="1"/>
  <c r="M1675" i="15" s="1"/>
  <c r="B1693" i="15"/>
  <c r="L1693" i="15" a="1"/>
  <c r="L1693" i="15" s="1"/>
  <c r="M1693" i="15" s="1"/>
  <c r="B1694" i="15"/>
  <c r="L1694" i="15" a="1"/>
  <c r="L1694" i="15" s="1"/>
  <c r="M1694" i="15" s="1"/>
  <c r="B1701" i="15"/>
  <c r="L1701" i="15" a="1"/>
  <c r="L1701" i="15" s="1"/>
  <c r="M1701" i="15" s="1"/>
  <c r="B1699" i="15"/>
  <c r="L1699" i="15" a="1"/>
  <c r="L1699" i="15" s="1"/>
  <c r="M1699" i="15" s="1"/>
  <c r="B1698" i="15"/>
  <c r="L1698" i="15" a="1"/>
  <c r="L1698" i="15" s="1"/>
  <c r="M1698" i="15" s="1"/>
  <c r="B1705" i="15"/>
  <c r="L1705" i="15" a="1"/>
  <c r="L1705" i="15" s="1"/>
  <c r="M1705" i="15" s="1"/>
  <c r="B1708" i="15"/>
  <c r="L1708" i="15" a="1"/>
  <c r="L1708" i="15" s="1"/>
  <c r="M1708" i="15" s="1"/>
  <c r="B1711" i="15"/>
  <c r="L1711" i="15" a="1"/>
  <c r="L1711" i="15" s="1"/>
  <c r="M1711" i="15" s="1"/>
  <c r="B1725" i="15"/>
  <c r="L1725" i="15" a="1"/>
  <c r="L1725" i="15" s="1"/>
  <c r="M1725" i="15" s="1"/>
  <c r="B1722" i="15"/>
  <c r="L1722" i="15" a="1"/>
  <c r="L1722" i="15" s="1"/>
  <c r="M1722" i="15" s="1"/>
  <c r="B1950" i="15"/>
  <c r="L1950" i="15" a="1"/>
  <c r="L1950" i="15" s="1"/>
  <c r="M1950" i="15" s="1"/>
  <c r="B1720" i="15"/>
  <c r="L1720" i="15" a="1"/>
  <c r="L1720" i="15" s="1"/>
  <c r="M1720" i="15" s="1"/>
  <c r="B1726" i="15"/>
  <c r="L1726" i="15" a="1"/>
  <c r="L1726" i="15" s="1"/>
  <c r="M1726" i="15" s="1"/>
  <c r="B1733" i="15"/>
  <c r="L1733" i="15" a="1"/>
  <c r="L1733" i="15" s="1"/>
  <c r="M1733" i="15" s="1"/>
  <c r="B1748" i="15"/>
  <c r="L1748" i="15" a="1"/>
  <c r="L1748" i="15" s="1"/>
  <c r="M1748" i="15" s="1"/>
  <c r="B1768" i="15"/>
  <c r="L1768" i="15" a="1"/>
  <c r="L1768" i="15" s="1"/>
  <c r="M1768" i="15" s="1"/>
  <c r="B1767" i="15"/>
  <c r="L1767" i="15" a="1"/>
  <c r="L1767" i="15" s="1"/>
  <c r="M1767" i="15" s="1"/>
  <c r="B1762" i="15"/>
  <c r="L1762" i="15" a="1"/>
  <c r="L1762" i="15" s="1"/>
  <c r="M1762" i="15" s="1"/>
  <c r="B1760" i="15"/>
  <c r="L1760" i="15" a="1"/>
  <c r="L1760" i="15" s="1"/>
  <c r="M1760" i="15" s="1"/>
  <c r="B1757" i="15"/>
  <c r="L1757" i="15" a="1"/>
  <c r="L1757" i="15" s="1"/>
  <c r="M1757" i="15" s="1"/>
  <c r="B1756" i="15"/>
  <c r="L1756" i="15" a="1"/>
  <c r="L1756" i="15" s="1"/>
  <c r="M1756" i="15" s="1"/>
  <c r="B1755" i="15"/>
  <c r="L1755" i="15" a="1"/>
  <c r="L1755" i="15" s="1"/>
  <c r="M1755" i="15" s="1"/>
  <c r="B1751" i="15"/>
  <c r="L1751" i="15" a="1"/>
  <c r="L1751" i="15" s="1"/>
  <c r="M1751" i="15" s="1"/>
  <c r="B1765" i="15"/>
  <c r="L1765" i="15" a="1"/>
  <c r="L1765" i="15" s="1"/>
  <c r="M1765" i="15" s="1"/>
  <c r="B1752" i="15"/>
  <c r="L1752" i="15" a="1"/>
  <c r="L1752" i="15" s="1"/>
  <c r="M1752" i="15" s="1"/>
  <c r="B1769" i="15"/>
  <c r="L1769" i="15" a="1"/>
  <c r="L1769" i="15" s="1"/>
  <c r="M1769" i="15" s="1"/>
  <c r="B1776" i="15"/>
  <c r="L1776" i="15" a="1"/>
  <c r="L1776" i="15" s="1"/>
  <c r="M1776" i="15" s="1"/>
  <c r="B1774" i="15"/>
  <c r="L1774" i="15" a="1"/>
  <c r="L1774" i="15" s="1"/>
  <c r="M1774" i="15" s="1"/>
  <c r="B1773" i="15"/>
  <c r="L1773" i="15" a="1"/>
  <c r="L1773" i="15" s="1"/>
  <c r="M1773" i="15" s="1"/>
  <c r="B1780" i="15"/>
  <c r="L1780" i="15" a="1"/>
  <c r="L1780" i="15" s="1"/>
  <c r="M1780" i="15" s="1"/>
  <c r="B1783" i="15"/>
  <c r="L1783" i="15" a="1"/>
  <c r="L1783" i="15" s="1"/>
  <c r="M1783" i="15" s="1"/>
  <c r="B1786" i="15"/>
  <c r="L1786" i="15" a="1"/>
  <c r="L1786" i="15" s="1"/>
  <c r="M1786" i="15" s="1"/>
  <c r="B1800" i="15"/>
  <c r="L1800" i="15" a="1"/>
  <c r="L1800" i="15" s="1"/>
  <c r="M1800" i="15" s="1"/>
  <c r="B1798" i="15"/>
  <c r="L1798" i="15" a="1"/>
  <c r="L1798" i="15" s="1"/>
  <c r="M1798" i="15" s="1"/>
  <c r="B1801" i="15"/>
  <c r="L1801" i="15" a="1"/>
  <c r="L1801" i="15" s="1"/>
  <c r="M1801" i="15" s="1"/>
  <c r="B1813" i="15"/>
  <c r="L1813" i="15" a="1"/>
  <c r="L1813" i="15" s="1"/>
  <c r="M1813" i="15" s="1"/>
  <c r="B1833" i="15"/>
  <c r="L1833" i="15" a="1"/>
  <c r="L1833" i="15" s="1"/>
  <c r="M1833" i="15" s="1"/>
  <c r="B1849" i="15"/>
  <c r="L1849" i="15" a="1"/>
  <c r="L1849" i="15" s="1"/>
  <c r="M1849" i="15" s="1"/>
  <c r="B1848" i="15"/>
  <c r="L1848" i="15" a="1"/>
  <c r="L1848" i="15" s="1"/>
  <c r="M1848" i="15" s="1"/>
  <c r="B1844" i="15"/>
  <c r="L1844" i="15" a="1"/>
  <c r="L1844" i="15" s="1"/>
  <c r="M1844" i="15" s="1"/>
  <c r="B1842" i="15"/>
  <c r="L1842" i="15" a="1"/>
  <c r="L1842" i="15" s="1"/>
  <c r="M1842" i="15" s="1"/>
  <c r="B1839" i="15"/>
  <c r="L1839" i="15" a="1"/>
  <c r="L1839" i="15" s="1"/>
  <c r="M1839" i="15" s="1"/>
  <c r="B1836" i="15"/>
  <c r="L1836" i="15" a="1"/>
  <c r="L1836" i="15" s="1"/>
  <c r="M1836" i="15" s="1"/>
  <c r="B1850" i="15"/>
  <c r="L1850" i="15" a="1"/>
  <c r="L1850" i="15" s="1"/>
  <c r="M1850" i="15" s="1"/>
  <c r="B1856" i="15"/>
  <c r="L1856" i="15" a="1"/>
  <c r="L1856" i="15" s="1"/>
  <c r="M1856" i="15" s="1"/>
  <c r="B1854" i="15"/>
  <c r="L1854" i="15" a="1"/>
  <c r="L1854" i="15" s="1"/>
  <c r="M1854" i="15" s="1"/>
  <c r="B1853" i="15"/>
  <c r="L1853" i="15" a="1"/>
  <c r="L1853" i="15" s="1"/>
  <c r="M1853" i="15" s="1"/>
  <c r="B1860" i="15"/>
  <c r="L1860" i="15" a="1"/>
  <c r="L1860" i="15" s="1"/>
  <c r="M1860" i="15" s="1"/>
  <c r="B1863" i="15"/>
  <c r="L1863" i="15" a="1"/>
  <c r="L1863" i="15" s="1"/>
  <c r="M1863" i="15" s="1"/>
  <c r="B1866" i="15"/>
  <c r="L1866" i="15" a="1"/>
  <c r="L1866" i="15" s="1"/>
  <c r="M1866" i="15" s="1"/>
  <c r="B1879" i="15"/>
  <c r="L1879" i="15" a="1"/>
  <c r="L1879" i="15" s="1"/>
  <c r="M1879" i="15" s="1"/>
  <c r="B1877" i="15"/>
  <c r="L1877" i="15" a="1"/>
  <c r="L1877" i="15" s="1"/>
  <c r="M1877" i="15" s="1"/>
  <c r="B1880" i="15"/>
  <c r="L1880" i="15" a="1"/>
  <c r="L1880" i="15" s="1"/>
  <c r="M1880" i="15" s="1"/>
  <c r="B1892" i="15"/>
  <c r="L1892" i="15" a="1"/>
  <c r="L1892" i="15" s="1"/>
  <c r="M1892" i="15" s="1"/>
  <c r="B1914" i="15"/>
  <c r="L1914" i="15" a="1"/>
  <c r="L1914" i="15" s="1"/>
  <c r="M1914" i="15" s="1"/>
  <c r="B1929" i="15"/>
  <c r="L1929" i="15" a="1"/>
  <c r="L1929" i="15" s="1"/>
  <c r="M1929" i="15" s="1"/>
  <c r="B1928" i="15"/>
  <c r="L1928" i="15" a="1"/>
  <c r="L1928" i="15" s="1"/>
  <c r="M1928" i="15" s="1"/>
  <c r="B1925" i="15"/>
  <c r="L1925" i="15" a="1"/>
  <c r="L1925" i="15" s="1"/>
  <c r="M1925" i="15" s="1"/>
  <c r="B1923" i="15"/>
  <c r="L1923" i="15" a="1"/>
  <c r="L1923" i="15" s="1"/>
  <c r="M1923" i="15" s="1"/>
  <c r="B1920" i="15"/>
  <c r="L1920" i="15" a="1"/>
  <c r="L1920" i="15" s="1"/>
  <c r="M1920" i="15" s="1"/>
  <c r="B1917" i="15"/>
  <c r="L1917" i="15" a="1"/>
  <c r="L1917" i="15" s="1"/>
  <c r="M1917" i="15" s="1"/>
  <c r="B1930" i="15"/>
  <c r="L1930" i="15" a="1"/>
  <c r="L1930" i="15" s="1"/>
  <c r="M1930" i="15" s="1"/>
  <c r="B1933" i="15"/>
  <c r="L1933" i="15" a="1"/>
  <c r="L1933" i="15" s="1"/>
  <c r="M1933" i="15" s="1"/>
  <c r="B1938" i="15"/>
  <c r="L1938" i="15" a="1"/>
  <c r="L1938" i="15" s="1"/>
  <c r="M1938" i="15" s="1"/>
  <c r="B1940" i="15"/>
  <c r="L1940" i="15" a="1"/>
  <c r="L1940" i="15" s="1"/>
  <c r="M1940" i="15" s="1"/>
  <c r="B1942" i="15"/>
  <c r="L1942" i="15" a="1"/>
  <c r="L1942" i="15" s="1"/>
  <c r="M1942" i="15" s="1"/>
  <c r="B1954" i="15"/>
  <c r="L1954" i="15" a="1"/>
  <c r="L1954" i="15" s="1"/>
  <c r="M1954" i="15" s="1"/>
  <c r="B1952" i="15"/>
  <c r="L1952" i="15" a="1"/>
  <c r="L1952" i="15" s="1"/>
  <c r="M1952" i="15" s="1"/>
  <c r="B1955" i="15"/>
  <c r="L1955" i="15" a="1"/>
  <c r="L1955" i="15" s="1"/>
  <c r="M1955" i="15" s="1"/>
  <c r="B1969" i="15"/>
  <c r="L1969" i="15" a="1"/>
  <c r="L1969" i="15" s="1"/>
  <c r="M1969" i="15" s="1"/>
  <c r="B2006" i="15"/>
  <c r="L2006" i="15" a="1"/>
  <c r="L2006" i="15" s="1"/>
  <c r="M2006" i="15" s="1"/>
  <c r="B2003" i="15"/>
  <c r="L2003" i="15" a="1"/>
  <c r="L2003" i="15" s="1"/>
  <c r="M2003" i="15" s="1"/>
  <c r="B2001" i="15"/>
  <c r="L2001" i="15" a="1"/>
  <c r="L2001" i="15" s="1"/>
  <c r="M2001" i="15" s="1"/>
  <c r="B1999" i="15"/>
  <c r="L1999" i="15" a="1"/>
  <c r="L1999" i="15" s="1"/>
  <c r="M1999" i="15" s="1"/>
  <c r="B1996" i="15"/>
  <c r="L1996" i="15" a="1"/>
  <c r="L1996" i="15" s="1"/>
  <c r="M1996" i="15" s="1"/>
  <c r="B2007" i="15"/>
  <c r="L2007" i="15" a="1"/>
  <c r="L2007" i="15" s="1"/>
  <c r="M2007" i="15" s="1"/>
  <c r="B2009" i="15"/>
  <c r="L2009" i="15" a="1"/>
  <c r="L2009" i="15" s="1"/>
  <c r="M2009" i="15" s="1"/>
  <c r="B2015" i="15"/>
  <c r="L2015" i="15" a="1"/>
  <c r="L2015" i="15" s="1"/>
  <c r="M2015" i="15" s="1"/>
  <c r="B2026" i="15"/>
  <c r="L2026" i="15" a="1"/>
  <c r="L2026" i="15" s="1"/>
  <c r="M2026" i="15" s="1"/>
  <c r="B2024" i="15"/>
  <c r="L2024" i="15" a="1"/>
  <c r="L2024" i="15" s="1"/>
  <c r="M2024" i="15" s="1"/>
  <c r="B2022" i="15"/>
  <c r="L2022" i="15" a="1"/>
  <c r="L2022" i="15" s="1"/>
  <c r="M2022" i="15" s="1"/>
  <c r="B2040" i="15"/>
  <c r="L2040" i="15" a="1"/>
  <c r="L2040" i="15" s="1"/>
  <c r="M2040" i="15" s="1"/>
  <c r="B2082" i="15"/>
  <c r="L2082" i="15" a="1"/>
  <c r="L2082" i="15" s="1"/>
  <c r="M2082" i="15" s="1"/>
  <c r="B2079" i="15"/>
  <c r="L2079" i="15" a="1"/>
  <c r="L2079" i="15" s="1"/>
  <c r="M2079" i="15" s="1"/>
  <c r="B2077" i="15"/>
  <c r="L2077" i="15" a="1"/>
  <c r="L2077" i="15" s="1"/>
  <c r="M2077" i="15" s="1"/>
  <c r="B2075" i="15"/>
  <c r="L2075" i="15" a="1"/>
  <c r="L2075" i="15" s="1"/>
  <c r="M2075" i="15" s="1"/>
  <c r="B2083" i="15"/>
  <c r="L2083" i="15" a="1"/>
  <c r="L2083" i="15" s="1"/>
  <c r="M2083" i="15" s="1"/>
  <c r="B2085" i="15"/>
  <c r="L2085" i="15" a="1"/>
  <c r="L2085" i="15" s="1"/>
  <c r="M2085" i="15" s="1"/>
  <c r="B2091" i="15"/>
  <c r="L2091" i="15" a="1"/>
  <c r="L2091" i="15" s="1"/>
  <c r="M2091" i="15" s="1"/>
  <c r="B2099" i="15"/>
  <c r="L2099" i="15" a="1"/>
  <c r="L2099" i="15" s="1"/>
  <c r="M2099" i="15" s="1"/>
  <c r="B2097" i="15"/>
  <c r="L2097" i="15" a="1"/>
  <c r="L2097" i="15" s="1"/>
  <c r="M2097" i="15" s="1"/>
  <c r="B2095" i="15"/>
  <c r="L2095" i="15" a="1"/>
  <c r="L2095" i="15" s="1"/>
  <c r="M2095" i="15" s="1"/>
  <c r="B2156" i="15"/>
  <c r="L2156" i="15" a="1"/>
  <c r="L2156" i="15" s="1"/>
  <c r="M2156" i="15" s="1"/>
  <c r="B2153" i="15"/>
  <c r="L2153" i="15" a="1"/>
  <c r="L2153" i="15" s="1"/>
  <c r="M2153" i="15" s="1"/>
  <c r="B2151" i="15"/>
  <c r="L2151" i="15" a="1"/>
  <c r="L2151" i="15" s="1"/>
  <c r="M2151" i="15" s="1"/>
  <c r="B2149" i="15"/>
  <c r="L2149" i="15" a="1"/>
  <c r="L2149" i="15" s="1"/>
  <c r="M2149" i="15" s="1"/>
  <c r="B2157" i="15"/>
  <c r="L2157" i="15" a="1"/>
  <c r="L2157" i="15" s="1"/>
  <c r="M2157" i="15" s="1"/>
  <c r="B2159" i="15"/>
  <c r="L2159" i="15" a="1"/>
  <c r="L2159" i="15" s="1"/>
  <c r="M2159" i="15" s="1"/>
  <c r="B2171" i="15"/>
  <c r="L2171" i="15" a="1"/>
  <c r="L2171" i="15" s="1"/>
  <c r="M2171" i="15" s="1"/>
  <c r="B2169" i="15"/>
  <c r="L2169" i="15" a="1"/>
  <c r="L2169" i="15" s="1"/>
  <c r="M2169" i="15" s="1"/>
  <c r="B2229" i="15"/>
  <c r="L2229" i="15" a="1"/>
  <c r="L2229" i="15" s="1"/>
  <c r="M2229" i="15" s="1"/>
  <c r="B2227" i="15"/>
  <c r="L2227" i="15" a="1"/>
  <c r="L2227" i="15" s="1"/>
  <c r="M2227" i="15" s="1"/>
  <c r="B2225" i="15"/>
  <c r="L2225" i="15" a="1"/>
  <c r="L2225" i="15" s="1"/>
  <c r="M2225" i="15" s="1"/>
  <c r="B2223" i="15"/>
  <c r="L2223" i="15" a="1"/>
  <c r="L2223" i="15" s="1"/>
  <c r="M2223" i="15" s="1"/>
  <c r="B2230" i="15"/>
  <c r="L2230" i="15" a="1"/>
  <c r="L2230" i="15" s="1"/>
  <c r="M2230" i="15" s="1"/>
  <c r="B2232" i="15"/>
  <c r="L2232" i="15" a="1"/>
  <c r="L2232" i="15" s="1"/>
  <c r="M2232" i="15" s="1"/>
  <c r="B2243" i="15"/>
  <c r="L2243" i="15" a="1"/>
  <c r="L2243" i="15" s="1"/>
  <c r="M2243" i="15" s="1"/>
  <c r="B2241" i="15"/>
  <c r="L2241" i="15" a="1"/>
  <c r="L2241" i="15" s="1"/>
  <c r="M2241" i="15" s="1"/>
  <c r="B2291" i="15"/>
  <c r="L2291" i="15" a="1"/>
  <c r="L2291" i="15" s="1"/>
  <c r="M2291" i="15" s="1"/>
  <c r="B2290" i="15"/>
  <c r="L2290" i="15" a="1"/>
  <c r="L2290" i="15" s="1"/>
  <c r="M2290" i="15" s="1"/>
  <c r="B2292" i="15"/>
  <c r="L2292" i="15" a="1"/>
  <c r="L2292" i="15" s="1"/>
  <c r="M2292" i="15" s="1"/>
  <c r="B2294" i="15"/>
  <c r="L2294" i="15" a="1"/>
  <c r="L2294" i="15" s="1"/>
  <c r="M2294" i="15" s="1"/>
  <c r="B2302" i="15"/>
  <c r="L2302" i="15" a="1"/>
  <c r="L2302" i="15" s="1"/>
  <c r="M2302" i="15" s="1"/>
  <c r="B2300" i="15"/>
  <c r="L2300" i="15" a="1"/>
  <c r="L2300" i="15" s="1"/>
  <c r="M2300" i="15" s="1"/>
  <c r="B2351" i="15"/>
  <c r="L2351" i="15" a="1"/>
  <c r="L2351" i="15" s="1"/>
  <c r="M2351" i="15" s="1"/>
  <c r="B2360" i="15"/>
  <c r="L2360" i="15" a="1"/>
  <c r="L2360" i="15" s="1"/>
  <c r="M2360" i="15" s="1"/>
  <c r="B2358" i="15"/>
  <c r="L2358" i="15" a="1"/>
  <c r="L2358" i="15" s="1"/>
  <c r="M2358" i="15" s="1"/>
  <c r="B2403" i="15"/>
  <c r="L2403" i="15" a="1"/>
  <c r="L2403" i="15" s="1"/>
  <c r="M2403" i="15" s="1"/>
  <c r="B2411" i="15"/>
  <c r="L2411" i="15" a="1"/>
  <c r="L2411" i="15" s="1"/>
  <c r="M2411" i="15" s="1"/>
  <c r="B2409" i="15"/>
  <c r="L2409" i="15" a="1"/>
  <c r="L2409" i="15" s="1"/>
  <c r="M2409" i="15" s="1"/>
  <c r="B2451" i="15"/>
  <c r="L2451" i="15" a="1"/>
  <c r="L2451" i="15" s="1"/>
  <c r="M2451" i="15" s="1"/>
  <c r="B2458" i="15"/>
  <c r="L2458" i="15" a="1"/>
  <c r="L2458" i="15" s="1"/>
  <c r="M2458" i="15" s="1"/>
  <c r="B2456" i="15"/>
  <c r="L2456" i="15" a="1"/>
  <c r="L2456" i="15" s="1"/>
  <c r="M2456" i="15" s="1"/>
  <c r="B2496" i="15"/>
  <c r="L2496" i="15" a="1"/>
  <c r="L2496" i="15" s="1"/>
  <c r="M2496" i="15" s="1"/>
  <c r="B2501" i="15"/>
  <c r="L2501" i="15" a="1"/>
  <c r="L2501" i="15" s="1"/>
  <c r="M2501" i="15" s="1"/>
  <c r="B1831" i="15"/>
  <c r="L1831" i="15" a="1"/>
  <c r="L1831" i="15" s="1"/>
  <c r="M1831" i="15" s="1"/>
  <c r="B1912" i="15"/>
  <c r="L1912" i="15" a="1"/>
  <c r="L1912" i="15" s="1"/>
  <c r="M1912" i="15" s="1"/>
  <c r="B1992" i="15"/>
  <c r="L1992" i="15" a="1"/>
  <c r="L1992" i="15" s="1"/>
  <c r="M1992" i="15" s="1"/>
  <c r="B2070" i="15"/>
  <c r="L2070" i="15" a="1"/>
  <c r="L2070" i="15" s="1"/>
  <c r="M2070" i="15" s="1"/>
  <c r="B2144" i="15"/>
  <c r="L2144" i="15" a="1"/>
  <c r="L2144" i="15" s="1"/>
  <c r="M2144" i="15" s="1"/>
  <c r="B2219" i="15"/>
  <c r="L2219" i="15" a="1"/>
  <c r="L2219" i="15" s="1"/>
  <c r="M2219" i="15" s="1"/>
  <c r="B2954" i="15"/>
  <c r="L2954" i="15" a="1"/>
  <c r="L2954" i="15" s="1"/>
  <c r="M2954" i="15" s="1"/>
  <c r="B2955" i="15"/>
  <c r="L2955" i="15" a="1"/>
  <c r="L2955" i="15" s="1"/>
  <c r="M2955" i="15" s="1"/>
  <c r="B2956" i="15"/>
  <c r="L2956" i="15" a="1"/>
  <c r="L2956" i="15" s="1"/>
  <c r="M2956" i="15" s="1"/>
  <c r="B2957" i="15"/>
  <c r="L2957" i="15" a="1"/>
  <c r="L2957" i="15" s="1"/>
  <c r="M2957" i="15" s="1"/>
  <c r="B2958" i="15"/>
  <c r="L2958" i="15" a="1"/>
  <c r="L2958" i="15" s="1"/>
  <c r="M2958" i="15" s="1"/>
  <c r="B1830" i="15"/>
  <c r="L1830" i="15" a="1"/>
  <c r="L1830" i="15" s="1"/>
  <c r="M1830" i="15" s="1"/>
  <c r="B1911" i="15"/>
  <c r="L1911" i="15" a="1"/>
  <c r="L1911" i="15" s="1"/>
  <c r="M1911" i="15" s="1"/>
  <c r="B1991" i="15"/>
  <c r="L1991" i="15" a="1"/>
  <c r="L1991" i="15" s="1"/>
  <c r="M1991" i="15" s="1"/>
  <c r="B2069" i="15"/>
  <c r="L2069" i="15" a="1"/>
  <c r="L2069" i="15" s="1"/>
  <c r="M2069" i="15" s="1"/>
  <c r="B2143" i="15"/>
  <c r="L2143" i="15" a="1"/>
  <c r="L2143" i="15" s="1"/>
  <c r="M2143" i="15" s="1"/>
  <c r="B2218" i="15"/>
  <c r="L2218" i="15" a="1"/>
  <c r="L2218" i="15" s="1"/>
  <c r="M2218" i="15" s="1"/>
  <c r="B2141" i="15"/>
  <c r="L2141" i="15" a="1"/>
  <c r="L2141" i="15" s="1"/>
  <c r="M2141" i="15" s="1"/>
  <c r="B2216" i="15"/>
  <c r="L2216" i="15" a="1"/>
  <c r="L2216" i="15" s="1"/>
  <c r="M2216" i="15" s="1"/>
  <c r="B2285" i="15"/>
  <c r="L2285" i="15" a="1"/>
  <c r="L2285" i="15" s="1"/>
  <c r="M2285" i="15" s="1"/>
  <c r="B2346" i="15"/>
  <c r="L2346" i="15" a="1"/>
  <c r="L2346" i="15" s="1"/>
  <c r="M2346" i="15" s="1"/>
  <c r="B2398" i="15"/>
  <c r="L2398" i="15" a="1"/>
  <c r="L2398" i="15" s="1"/>
  <c r="M2398" i="15" s="1"/>
  <c r="B2447" i="15"/>
  <c r="L2447" i="15" a="1"/>
  <c r="L2447" i="15" s="1"/>
  <c r="M2447" i="15" s="1"/>
  <c r="B1989" i="15"/>
  <c r="L1989" i="15" a="1"/>
  <c r="L1989" i="15" s="1"/>
  <c r="M1989" i="15" s="1"/>
  <c r="B2067" i="15"/>
  <c r="L2067" i="15" a="1"/>
  <c r="L2067" i="15" s="1"/>
  <c r="M2067" i="15" s="1"/>
  <c r="B2140" i="15"/>
  <c r="L2140" i="15" a="1"/>
  <c r="L2140" i="15" s="1"/>
  <c r="M2140" i="15" s="1"/>
  <c r="B2215" i="15"/>
  <c r="L2215" i="15" a="1"/>
  <c r="L2215" i="15" s="1"/>
  <c r="M2215" i="15" s="1"/>
  <c r="B2284" i="15"/>
  <c r="L2284" i="15" a="1"/>
  <c r="L2284" i="15" s="1"/>
  <c r="M2284" i="15" s="1"/>
  <c r="B2345" i="15"/>
  <c r="L2345" i="15" a="1"/>
  <c r="L2345" i="15" s="1"/>
  <c r="M2345" i="15" s="1"/>
  <c r="B1988" i="15"/>
  <c r="L1988" i="15" a="1"/>
  <c r="L1988" i="15" s="1"/>
  <c r="M1988" i="15" s="1"/>
  <c r="B2066" i="15"/>
  <c r="L2066" i="15" a="1"/>
  <c r="L2066" i="15" s="1"/>
  <c r="M2066" i="15" s="1"/>
  <c r="B2139" i="15"/>
  <c r="L2139" i="15" a="1"/>
  <c r="L2139" i="15" s="1"/>
  <c r="M2139" i="15" s="1"/>
  <c r="B2214" i="15"/>
  <c r="L2214" i="15" a="1"/>
  <c r="L2214" i="15" s="1"/>
  <c r="M2214" i="15" s="1"/>
  <c r="B2283" i="15"/>
  <c r="L2283" i="15" a="1"/>
  <c r="L2283" i="15" s="1"/>
  <c r="M2283" i="15" s="1"/>
  <c r="B2344" i="15"/>
  <c r="L2344" i="15" a="1"/>
  <c r="L2344" i="15" s="1"/>
  <c r="M2344" i="15" s="1"/>
  <c r="B1828" i="15"/>
  <c r="L1828" i="15" a="1"/>
  <c r="L1828" i="15" s="1"/>
  <c r="M1828" i="15" s="1"/>
  <c r="B1909" i="15"/>
  <c r="L1909" i="15" a="1"/>
  <c r="L1909" i="15" s="1"/>
  <c r="M1909" i="15" s="1"/>
  <c r="B1987" i="15"/>
  <c r="L1987" i="15" a="1"/>
  <c r="L1987" i="15" s="1"/>
  <c r="M1987" i="15" s="1"/>
  <c r="B2065" i="15"/>
  <c r="L2065" i="15" a="1"/>
  <c r="L2065" i="15" s="1"/>
  <c r="M2065" i="15" s="1"/>
  <c r="B2138" i="15"/>
  <c r="L2138" i="15" a="1"/>
  <c r="L2138" i="15" s="1"/>
  <c r="M2138" i="15" s="1"/>
  <c r="B2213" i="15"/>
  <c r="L2213" i="15" a="1"/>
  <c r="L2213" i="15" s="1"/>
  <c r="M2213" i="15" s="1"/>
  <c r="B2282" i="15"/>
  <c r="L2282" i="15" a="1"/>
  <c r="L2282" i="15" s="1"/>
  <c r="M2282" i="15" s="1"/>
  <c r="B2343" i="15"/>
  <c r="L2343" i="15" a="1"/>
  <c r="L2343" i="15" s="1"/>
  <c r="M2343" i="15" s="1"/>
  <c r="B2397" i="15"/>
  <c r="L2397" i="15" a="1"/>
  <c r="L2397" i="15" s="1"/>
  <c r="M2397" i="15" s="1"/>
  <c r="B2446" i="15"/>
  <c r="L2446" i="15" a="1"/>
  <c r="L2446" i="15" s="1"/>
  <c r="M2446" i="15" s="1"/>
  <c r="B2929" i="15"/>
  <c r="L2929" i="15" a="1"/>
  <c r="L2929" i="15" s="1"/>
  <c r="M2929" i="15" s="1"/>
  <c r="B2930" i="15"/>
  <c r="L2930" i="15" a="1"/>
  <c r="L2930" i="15" s="1"/>
  <c r="M2930" i="15" s="1"/>
  <c r="B2931" i="15"/>
  <c r="L2931" i="15" a="1"/>
  <c r="L2931" i="15" s="1"/>
  <c r="M2931" i="15" s="1"/>
  <c r="B2932" i="15"/>
  <c r="L2932" i="15" a="1"/>
  <c r="L2932" i="15" s="1"/>
  <c r="M2932" i="15" s="1"/>
  <c r="B2933" i="15"/>
  <c r="L2933" i="15" a="1"/>
  <c r="L2933" i="15" s="1"/>
  <c r="M2933" i="15" s="1"/>
  <c r="B2934" i="15"/>
  <c r="L2934" i="15" a="1"/>
  <c r="L2934" i="15" s="1"/>
  <c r="M2934" i="15" s="1"/>
  <c r="B1745" i="15"/>
  <c r="L1745" i="15" a="1"/>
  <c r="L1745" i="15" s="1"/>
  <c r="M1745" i="15" s="1"/>
  <c r="B1827" i="15"/>
  <c r="L1827" i="15" a="1"/>
  <c r="L1827" i="15" s="1"/>
  <c r="M1827" i="15" s="1"/>
  <c r="B1908" i="15"/>
  <c r="L1908" i="15" a="1"/>
  <c r="L1908" i="15" s="1"/>
  <c r="M1908" i="15" s="1"/>
  <c r="B1986" i="15"/>
  <c r="L1986" i="15" a="1"/>
  <c r="L1986" i="15" s="1"/>
  <c r="M1986" i="15" s="1"/>
  <c r="B2063" i="15"/>
  <c r="L2063" i="15" a="1"/>
  <c r="L2063" i="15" s="1"/>
  <c r="M2063" i="15" s="1"/>
  <c r="B2134" i="15"/>
  <c r="L2134" i="15" a="1"/>
  <c r="L2134" i="15" s="1"/>
  <c r="M2134" i="15" s="1"/>
  <c r="B2209" i="15"/>
  <c r="L2209" i="15" a="1"/>
  <c r="L2209" i="15" s="1"/>
  <c r="M2209" i="15" s="1"/>
  <c r="B2278" i="15"/>
  <c r="L2278" i="15" a="1"/>
  <c r="L2278" i="15" s="1"/>
  <c r="M2278" i="15" s="1"/>
  <c r="B2338" i="15"/>
  <c r="L2338" i="15" a="1"/>
  <c r="L2338" i="15" s="1"/>
  <c r="M2338" i="15" s="1"/>
  <c r="B2392" i="15"/>
  <c r="L2392" i="15" a="1"/>
  <c r="L2392" i="15" s="1"/>
  <c r="M2392" i="15" s="1"/>
  <c r="B2441" i="15"/>
  <c r="L2441" i="15" a="1"/>
  <c r="L2441" i="15" s="1"/>
  <c r="M2441" i="15" s="1"/>
  <c r="B2489" i="15"/>
  <c r="L2489" i="15" a="1"/>
  <c r="L2489" i="15" s="1"/>
  <c r="M2489" i="15" s="1"/>
  <c r="B2062" i="15"/>
  <c r="L2062" i="15" a="1"/>
  <c r="L2062" i="15" s="1"/>
  <c r="M2062" i="15" s="1"/>
  <c r="B2133" i="15"/>
  <c r="L2133" i="15" a="1"/>
  <c r="L2133" i="15" s="1"/>
  <c r="M2133" i="15" s="1"/>
  <c r="B2208" i="15"/>
  <c r="L2208" i="15" a="1"/>
  <c r="L2208" i="15" s="1"/>
  <c r="M2208" i="15" s="1"/>
  <c r="B2277" i="15"/>
  <c r="L2277" i="15" a="1"/>
  <c r="L2277" i="15" s="1"/>
  <c r="M2277" i="15" s="1"/>
  <c r="B2337" i="15"/>
  <c r="L2337" i="15" a="1"/>
  <c r="L2337" i="15" s="1"/>
  <c r="M2337" i="15" s="1"/>
  <c r="B2391" i="15"/>
  <c r="L2391" i="15" a="1"/>
  <c r="L2391" i="15" s="1"/>
  <c r="M2391" i="15" s="1"/>
  <c r="B2440" i="15"/>
  <c r="L2440" i="15" a="1"/>
  <c r="L2440" i="15" s="1"/>
  <c r="M2440" i="15" s="1"/>
  <c r="B2488" i="15"/>
  <c r="L2488" i="15" a="1"/>
  <c r="L2488" i="15" s="1"/>
  <c r="M2488" i="15" s="1"/>
  <c r="B82" i="15"/>
  <c r="L82" i="15" a="1"/>
  <c r="L82" i="15" s="1"/>
  <c r="M82" i="15" s="1"/>
  <c r="B191" i="15"/>
  <c r="L191" i="15" a="1"/>
  <c r="L191" i="15" s="1"/>
  <c r="M191" i="15" s="1"/>
  <c r="B1907" i="15"/>
  <c r="L1907" i="15" a="1"/>
  <c r="L1907" i="15" s="1"/>
  <c r="M1907" i="15" s="1"/>
  <c r="B1985" i="15"/>
  <c r="L1985" i="15" a="1"/>
  <c r="L1985" i="15" s="1"/>
  <c r="M1985" i="15" s="1"/>
  <c r="B2061" i="15"/>
  <c r="L2061" i="15" a="1"/>
  <c r="L2061" i="15" s="1"/>
  <c r="M2061" i="15" s="1"/>
  <c r="B2132" i="15"/>
  <c r="L2132" i="15" a="1"/>
  <c r="L2132" i="15" s="1"/>
  <c r="M2132" i="15" s="1"/>
  <c r="B2335" i="15"/>
  <c r="L2335" i="15" a="1"/>
  <c r="L2335" i="15" s="1"/>
  <c r="M2335" i="15" s="1"/>
  <c r="B2389" i="15"/>
  <c r="L2389" i="15" a="1"/>
  <c r="L2389" i="15" s="1"/>
  <c r="M2389" i="15" s="1"/>
  <c r="B2438" i="15"/>
  <c r="L2438" i="15" a="1"/>
  <c r="L2438" i="15" s="1"/>
  <c r="M2438" i="15" s="1"/>
  <c r="B2486" i="15"/>
  <c r="L2486" i="15" a="1"/>
  <c r="L2486" i="15" s="1"/>
  <c r="M2486" i="15" s="1"/>
  <c r="B2528" i="15"/>
  <c r="L2528" i="15" a="1"/>
  <c r="L2528" i="15" s="1"/>
  <c r="M2528" i="15" s="1"/>
  <c r="B2567" i="15"/>
  <c r="L2567" i="15" a="1"/>
  <c r="L2567" i="15" s="1"/>
  <c r="M2567" i="15" s="1"/>
  <c r="B2925" i="15"/>
  <c r="L2925" i="15" a="1"/>
  <c r="L2925" i="15" s="1"/>
  <c r="M2925" i="15" s="1"/>
  <c r="B2926" i="15"/>
  <c r="L2926" i="15" a="1"/>
  <c r="L2926" i="15" s="1"/>
  <c r="M2926" i="15" s="1"/>
  <c r="B2918" i="15"/>
  <c r="L2918" i="15" a="1"/>
  <c r="L2918" i="15" s="1"/>
  <c r="M2918" i="15" s="1"/>
  <c r="B2919" i="15"/>
  <c r="L2919" i="15" a="1"/>
  <c r="L2919" i="15" s="1"/>
  <c r="M2919" i="15" s="1"/>
  <c r="B2920" i="15"/>
  <c r="L2920" i="15" a="1"/>
  <c r="L2920" i="15" s="1"/>
  <c r="M2920" i="15" s="1"/>
  <c r="B2921" i="15"/>
  <c r="L2921" i="15" a="1"/>
  <c r="L2921" i="15" s="1"/>
  <c r="M2921" i="15" s="1"/>
  <c r="B2922" i="15"/>
  <c r="L2922" i="15" a="1"/>
  <c r="L2922" i="15" s="1"/>
  <c r="M2922" i="15" s="1"/>
  <c r="B2923" i="15"/>
  <c r="L2923" i="15" a="1"/>
  <c r="L2923" i="15" s="1"/>
  <c r="M2923" i="15" s="1"/>
  <c r="B2912" i="15"/>
  <c r="L2912" i="15" a="1"/>
  <c r="L2912" i="15" s="1"/>
  <c r="M2912" i="15" s="1"/>
  <c r="B2913" i="15"/>
  <c r="L2913" i="15" a="1"/>
  <c r="L2913" i="15" s="1"/>
  <c r="M2913" i="15" s="1"/>
  <c r="B2914" i="15"/>
  <c r="L2914" i="15" a="1"/>
  <c r="L2914" i="15" s="1"/>
  <c r="M2914" i="15" s="1"/>
  <c r="B2915" i="15"/>
  <c r="L2915" i="15" a="1"/>
  <c r="L2915" i="15" s="1"/>
  <c r="M2915" i="15" s="1"/>
  <c r="B2916" i="15"/>
  <c r="L2916" i="15" a="1"/>
  <c r="L2916" i="15" s="1"/>
  <c r="M2916" i="15" s="1"/>
  <c r="B2917" i="15"/>
  <c r="L2917" i="15" a="1"/>
  <c r="L2917" i="15" s="1"/>
  <c r="M2917" i="15" s="1"/>
  <c r="B2911" i="15"/>
  <c r="L2911" i="15" a="1"/>
  <c r="L2911" i="15" s="1"/>
  <c r="M2911" i="15" s="1"/>
  <c r="B2131" i="15"/>
  <c r="L2131" i="15" a="1"/>
  <c r="L2131" i="15" s="1"/>
  <c r="M2131" i="15" s="1"/>
  <c r="B2207" i="15"/>
  <c r="L2207" i="15" a="1"/>
  <c r="L2207" i="15" s="1"/>
  <c r="M2207" i="15" s="1"/>
  <c r="B2275" i="15"/>
  <c r="L2275" i="15" a="1"/>
  <c r="L2275" i="15" s="1"/>
  <c r="M2275" i="15" s="1"/>
  <c r="B2334" i="15"/>
  <c r="L2334" i="15" a="1"/>
  <c r="L2334" i="15" s="1"/>
  <c r="M2334" i="15" s="1"/>
  <c r="B2388" i="15"/>
  <c r="L2388" i="15" a="1"/>
  <c r="L2388" i="15" s="1"/>
  <c r="M2388" i="15" s="1"/>
  <c r="B2437" i="15"/>
  <c r="L2437" i="15" a="1"/>
  <c r="L2437" i="15" s="1"/>
  <c r="M2437" i="15" s="1"/>
  <c r="B2737" i="15"/>
  <c r="L2737" i="15" a="1"/>
  <c r="L2737" i="15" s="1"/>
  <c r="M2737" i="15" s="1"/>
  <c r="B2753" i="15"/>
  <c r="L2753" i="15" a="1"/>
  <c r="L2753" i="15" s="1"/>
  <c r="M2753" i="15" s="1"/>
  <c r="B2762" i="15"/>
  <c r="L2762" i="15" a="1"/>
  <c r="L2762" i="15" s="1"/>
  <c r="M2762" i="15" s="1"/>
  <c r="B2769" i="15"/>
  <c r="L2769" i="15" a="1"/>
  <c r="L2769" i="15" s="1"/>
  <c r="M2769" i="15" s="1"/>
  <c r="B2774" i="15"/>
  <c r="L2774" i="15" a="1"/>
  <c r="L2774" i="15" s="1"/>
  <c r="M2774" i="15" s="1"/>
  <c r="B2779" i="15"/>
  <c r="L2779" i="15" a="1"/>
  <c r="L2779" i="15" s="1"/>
  <c r="M2779" i="15" s="1"/>
  <c r="B2898" i="15"/>
  <c r="L2898" i="15" a="1"/>
  <c r="L2898" i="15" s="1"/>
  <c r="M2898" i="15" s="1"/>
  <c r="B2899" i="15"/>
  <c r="L2899" i="15" a="1"/>
  <c r="L2899" i="15" s="1"/>
  <c r="M2899" i="15" s="1"/>
  <c r="B2900" i="15"/>
  <c r="L2900" i="15" a="1"/>
  <c r="L2900" i="15" s="1"/>
  <c r="M2900" i="15" s="1"/>
  <c r="B2901" i="15"/>
  <c r="L2901" i="15" a="1"/>
  <c r="L2901" i="15" s="1"/>
  <c r="M2901" i="15" s="1"/>
  <c r="B2902" i="15"/>
  <c r="L2902" i="15" a="1"/>
  <c r="L2902" i="15" s="1"/>
  <c r="M2902" i="15" s="1"/>
  <c r="B2903" i="15"/>
  <c r="L2903" i="15" a="1"/>
  <c r="L2903" i="15" s="1"/>
  <c r="M2903" i="15" s="1"/>
  <c r="B2130" i="15"/>
  <c r="L2130" i="15" a="1"/>
  <c r="L2130" i="15" s="1"/>
  <c r="M2130" i="15" s="1"/>
  <c r="B2205" i="15"/>
  <c r="L2205" i="15" a="1"/>
  <c r="L2205" i="15" s="1"/>
  <c r="M2205" i="15" s="1"/>
  <c r="B2273" i="15"/>
  <c r="L2273" i="15" a="1"/>
  <c r="L2273" i="15" s="1"/>
  <c r="M2273" i="15" s="1"/>
  <c r="B2331" i="15"/>
  <c r="L2331" i="15" a="1"/>
  <c r="L2331" i="15" s="1"/>
  <c r="M2331" i="15" s="1"/>
  <c r="B2385" i="15"/>
  <c r="L2385" i="15" a="1"/>
  <c r="L2385" i="15" s="1"/>
  <c r="M2385" i="15" s="1"/>
  <c r="B2434" i="15"/>
  <c r="L2434" i="15" a="1"/>
  <c r="L2434" i="15" s="1"/>
  <c r="M2434" i="15" s="1"/>
  <c r="B2060" i="15"/>
  <c r="L2060" i="15" a="1"/>
  <c r="L2060" i="15" s="1"/>
  <c r="M2060" i="15" s="1"/>
  <c r="B1906" i="15"/>
  <c r="L1906" i="15" a="1"/>
  <c r="L1906" i="15" s="1"/>
  <c r="M1906" i="15" s="1"/>
  <c r="B1984" i="15"/>
  <c r="L1984" i="15" a="1"/>
  <c r="L1984" i="15" s="1"/>
  <c r="M1984" i="15" s="1"/>
  <c r="B2059" i="15"/>
  <c r="L2059" i="15" a="1"/>
  <c r="L2059" i="15" s="1"/>
  <c r="M2059" i="15" s="1"/>
  <c r="B2129" i="15"/>
  <c r="L2129" i="15" a="1"/>
  <c r="L2129" i="15" s="1"/>
  <c r="M2129" i="15" s="1"/>
  <c r="B2204" i="15"/>
  <c r="L2204" i="15" a="1"/>
  <c r="L2204" i="15" s="1"/>
  <c r="M2204" i="15" s="1"/>
  <c r="B2271" i="15"/>
  <c r="L2271" i="15" a="1"/>
  <c r="L2271" i="15" s="1"/>
  <c r="M2271" i="15" s="1"/>
  <c r="B1826" i="15"/>
  <c r="C34" i="23"/>
  <c r="L1826" i="15" a="1"/>
  <c r="L1826" i="15" s="1"/>
  <c r="M1826" i="15" s="1"/>
  <c r="B2895" i="15"/>
  <c r="L2895" i="15" a="1"/>
  <c r="L2895" i="15" s="1"/>
  <c r="M2895" i="15" s="1"/>
  <c r="B2896" i="15"/>
  <c r="L2896" i="15" a="1"/>
  <c r="L2896" i="15" s="1"/>
  <c r="M2896" i="15" s="1"/>
  <c r="B2893" i="15"/>
  <c r="L2893" i="15" a="1"/>
  <c r="L2893" i="15" s="1"/>
  <c r="M2893" i="15" s="1"/>
  <c r="B2894" i="15"/>
  <c r="L2894" i="15" a="1"/>
  <c r="L2894" i="15" s="1"/>
  <c r="M2894" i="15" s="1"/>
  <c r="B2203" i="15"/>
  <c r="L2203" i="15" a="1"/>
  <c r="L2203" i="15" s="1"/>
  <c r="M2203" i="15" s="1"/>
  <c r="B2270" i="15"/>
  <c r="L2270" i="15" a="1"/>
  <c r="L2270" i="15" s="1"/>
  <c r="M2270" i="15" s="1"/>
  <c r="B2329" i="15"/>
  <c r="L2329" i="15" a="1"/>
  <c r="L2329" i="15" s="1"/>
  <c r="M2329" i="15" s="1"/>
  <c r="B2383" i="15"/>
  <c r="L2383" i="15" a="1"/>
  <c r="L2383" i="15" s="1"/>
  <c r="M2383" i="15" s="1"/>
  <c r="B2432" i="15"/>
  <c r="L2432" i="15" a="1"/>
  <c r="L2432" i="15" s="1"/>
  <c r="M2432" i="15" s="1"/>
  <c r="B2481" i="15"/>
  <c r="L2481" i="15" a="1"/>
  <c r="L2481" i="15" s="1"/>
  <c r="M2481" i="15" s="1"/>
  <c r="B1825" i="15"/>
  <c r="L1825" i="15" a="1"/>
  <c r="L1825" i="15" s="1"/>
  <c r="M1825" i="15" s="1"/>
  <c r="B1905" i="15"/>
  <c r="L1905" i="15" a="1"/>
  <c r="L1905" i="15" s="1"/>
  <c r="M1905" i="15" s="1"/>
  <c r="B1983" i="15"/>
  <c r="L1983" i="15" a="1"/>
  <c r="L1983" i="15" s="1"/>
  <c r="M1983" i="15" s="1"/>
  <c r="B2058" i="15"/>
  <c r="L2058" i="15" a="1"/>
  <c r="L2058" i="15" s="1"/>
  <c r="M2058" i="15" s="1"/>
  <c r="B2128" i="15"/>
  <c r="L2128" i="15" a="1"/>
  <c r="L2128" i="15" s="1"/>
  <c r="M2128" i="15" s="1"/>
  <c r="B2202" i="15"/>
  <c r="L2202" i="15" a="1"/>
  <c r="L2202" i="15" s="1"/>
  <c r="M2202" i="15" s="1"/>
  <c r="B2882" i="15"/>
  <c r="L2882" i="15" a="1"/>
  <c r="L2882" i="15" s="1"/>
  <c r="M2882" i="15" s="1"/>
  <c r="B2883" i="15"/>
  <c r="L2883" i="15" a="1"/>
  <c r="L2883" i="15" s="1"/>
  <c r="M2883" i="15" s="1"/>
  <c r="B2884" i="15"/>
  <c r="L2884" i="15" a="1"/>
  <c r="L2884" i="15" s="1"/>
  <c r="M2884" i="15" s="1"/>
  <c r="B2885" i="15"/>
  <c r="L2885" i="15" a="1"/>
  <c r="L2885" i="15" s="1"/>
  <c r="M2885" i="15" s="1"/>
  <c r="B2886" i="15"/>
  <c r="L2886" i="15" a="1"/>
  <c r="L2886" i="15" s="1"/>
  <c r="M2886" i="15" s="1"/>
  <c r="B2887" i="15"/>
  <c r="L2887" i="15" a="1"/>
  <c r="L2887" i="15" s="1"/>
  <c r="M2887" i="15" s="1"/>
  <c r="B2888" i="15"/>
  <c r="L2888" i="15" a="1"/>
  <c r="L2888" i="15" s="1"/>
  <c r="M2888" i="15" s="1"/>
  <c r="B2889" i="15"/>
  <c r="L2889" i="15" a="1"/>
  <c r="L2889" i="15" s="1"/>
  <c r="M2889" i="15" s="1"/>
  <c r="B2890" i="15"/>
  <c r="L2890" i="15" a="1"/>
  <c r="L2890" i="15" s="1"/>
  <c r="M2890" i="15" s="1"/>
  <c r="B2891" i="15"/>
  <c r="L2891" i="15" a="1"/>
  <c r="L2891" i="15" s="1"/>
  <c r="M2891" i="15" s="1"/>
  <c r="B2269" i="15"/>
  <c r="L2269" i="15" a="1"/>
  <c r="L2269" i="15" s="1"/>
  <c r="M2269" i="15" s="1"/>
  <c r="B2328" i="15"/>
  <c r="L2328" i="15" a="1"/>
  <c r="L2328" i="15" s="1"/>
  <c r="M2328" i="15" s="1"/>
  <c r="B2382" i="15"/>
  <c r="L2382" i="15" a="1"/>
  <c r="L2382" i="15" s="1"/>
  <c r="M2382" i="15" s="1"/>
  <c r="B2431" i="15"/>
  <c r="L2431" i="15" a="1"/>
  <c r="L2431" i="15" s="1"/>
  <c r="M2431" i="15" s="1"/>
  <c r="B2480" i="15"/>
  <c r="L2480" i="15" a="1"/>
  <c r="L2480" i="15" s="1"/>
  <c r="M2480" i="15" s="1"/>
  <c r="B2523" i="15"/>
  <c r="L2523" i="15" a="1"/>
  <c r="L2523" i="15" s="1"/>
  <c r="M2523" i="15" s="1"/>
  <c r="B1666" i="15"/>
  <c r="L1666" i="15" a="1"/>
  <c r="L1666" i="15" s="1"/>
  <c r="M1666" i="15" s="1"/>
  <c r="B1744" i="15"/>
  <c r="L1744" i="15" a="1"/>
  <c r="L1744" i="15" s="1"/>
  <c r="M1744" i="15" s="1"/>
  <c r="B1824" i="15"/>
  <c r="L1824" i="15" a="1"/>
  <c r="L1824" i="15" s="1"/>
  <c r="M1824" i="15" s="1"/>
  <c r="B1904" i="15"/>
  <c r="L1904" i="15" a="1"/>
  <c r="L1904" i="15" s="1"/>
  <c r="M1904" i="15" s="1"/>
  <c r="B1982" i="15"/>
  <c r="L1982" i="15" a="1"/>
  <c r="L1982" i="15" s="1"/>
  <c r="M1982" i="15" s="1"/>
  <c r="B2057" i="15"/>
  <c r="L2057" i="15" a="1"/>
  <c r="L2057" i="15" s="1"/>
  <c r="M2057" i="15" s="1"/>
  <c r="B1903" i="15"/>
  <c r="L1903" i="15" a="1"/>
  <c r="L1903" i="15" s="1"/>
  <c r="M1903" i="15" s="1"/>
  <c r="B1981" i="15"/>
  <c r="L1981" i="15" a="1"/>
  <c r="L1981" i="15" s="1"/>
  <c r="M1981" i="15" s="1"/>
  <c r="B2056" i="15"/>
  <c r="L2056" i="15" a="1"/>
  <c r="L2056" i="15" s="1"/>
  <c r="M2056" i="15" s="1"/>
  <c r="B2126" i="15"/>
  <c r="L2126" i="15" a="1"/>
  <c r="L2126" i="15" s="1"/>
  <c r="M2126" i="15" s="1"/>
  <c r="B2200" i="15"/>
  <c r="L2200" i="15" a="1"/>
  <c r="L2200" i="15" s="1"/>
  <c r="M2200" i="15" s="1"/>
  <c r="B2267" i="15"/>
  <c r="L2267" i="15" a="1"/>
  <c r="L2267" i="15" s="1"/>
  <c r="M2267" i="15" s="1"/>
  <c r="B1823" i="15"/>
  <c r="L1823" i="15" a="1"/>
  <c r="L1823" i="15" s="1"/>
  <c r="M1823" i="15" s="1"/>
  <c r="B1902" i="15"/>
  <c r="L1902" i="15" a="1"/>
  <c r="L1902" i="15" s="1"/>
  <c r="M1902" i="15" s="1"/>
  <c r="B1980" i="15"/>
  <c r="L1980" i="15" a="1"/>
  <c r="L1980" i="15" s="1"/>
  <c r="M1980" i="15" s="1"/>
  <c r="B2055" i="15"/>
  <c r="L2055" i="15" a="1"/>
  <c r="L2055" i="15" s="1"/>
  <c r="M2055" i="15" s="1"/>
  <c r="B2125" i="15"/>
  <c r="L2125" i="15" a="1"/>
  <c r="L2125" i="15" s="1"/>
  <c r="M2125" i="15" s="1"/>
  <c r="B2199" i="15"/>
  <c r="L2199" i="15" a="1"/>
  <c r="L2199" i="15" s="1"/>
  <c r="M2199" i="15" s="1"/>
  <c r="B1743" i="15"/>
  <c r="L1743" i="15" a="1"/>
  <c r="L1743" i="15" s="1"/>
  <c r="M1743" i="15" s="1"/>
  <c r="B2124" i="15"/>
  <c r="L2124" i="15" a="1"/>
  <c r="L2124" i="15" s="1"/>
  <c r="M2124" i="15" s="1"/>
  <c r="B2198" i="15"/>
  <c r="L2198" i="15" a="1"/>
  <c r="L2198" i="15" s="1"/>
  <c r="M2198" i="15" s="1"/>
  <c r="B2266" i="15"/>
  <c r="L2266" i="15" a="1"/>
  <c r="L2266" i="15" s="1"/>
  <c r="M2266" i="15" s="1"/>
  <c r="B2326" i="15"/>
  <c r="L2326" i="15" a="1"/>
  <c r="L2326" i="15" s="1"/>
  <c r="M2326" i="15" s="1"/>
  <c r="B2380" i="15"/>
  <c r="L2380" i="15" a="1"/>
  <c r="L2380" i="15" s="1"/>
  <c r="M2380" i="15" s="1"/>
  <c r="B2428" i="15"/>
  <c r="L2428" i="15" a="1"/>
  <c r="L2428" i="15" s="1"/>
  <c r="M2428" i="15" s="1"/>
  <c r="B2880" i="15"/>
  <c r="L2880" i="15" a="1"/>
  <c r="L2880" i="15" s="1"/>
  <c r="M2880" i="15" s="1"/>
  <c r="B2325" i="15"/>
  <c r="L2325" i="15" a="1"/>
  <c r="L2325" i="15" s="1"/>
  <c r="M2325" i="15" s="1"/>
  <c r="B2379" i="15"/>
  <c r="L2379" i="15" a="1"/>
  <c r="L2379" i="15" s="1"/>
  <c r="M2379" i="15" s="1"/>
  <c r="B2427" i="15"/>
  <c r="L2427" i="15" a="1"/>
  <c r="L2427" i="15" s="1"/>
  <c r="M2427" i="15" s="1"/>
  <c r="B2478" i="15"/>
  <c r="L2478" i="15" a="1"/>
  <c r="L2478" i="15" s="1"/>
  <c r="M2478" i="15" s="1"/>
  <c r="B2521" i="15"/>
  <c r="L2521" i="15" a="1"/>
  <c r="L2521" i="15" s="1"/>
  <c r="M2521" i="15" s="1"/>
  <c r="B2561" i="15"/>
  <c r="L2561" i="15" a="1"/>
  <c r="L2561" i="15" s="1"/>
  <c r="M2561" i="15" s="1"/>
  <c r="B2600" i="15"/>
  <c r="L2600" i="15" a="1"/>
  <c r="L2600" i="15" s="1"/>
  <c r="M2600" i="15" s="1"/>
  <c r="B2378" i="15"/>
  <c r="L2378" i="15" a="1"/>
  <c r="L2378" i="15" s="1"/>
  <c r="M2378" i="15" s="1"/>
  <c r="B2426" i="15"/>
  <c r="L2426" i="15" a="1"/>
  <c r="L2426" i="15" s="1"/>
  <c r="M2426" i="15" s="1"/>
  <c r="B2477" i="15"/>
  <c r="L2477" i="15" a="1"/>
  <c r="L2477" i="15" s="1"/>
  <c r="M2477" i="15" s="1"/>
  <c r="B2520" i="15"/>
  <c r="L2520" i="15" a="1"/>
  <c r="L2520" i="15" s="1"/>
  <c r="M2520" i="15" s="1"/>
  <c r="B2560" i="15"/>
  <c r="L2560" i="15" a="1"/>
  <c r="L2560" i="15" s="1"/>
  <c r="M2560" i="15" s="1"/>
  <c r="B2599" i="15"/>
  <c r="L2599" i="15" a="1"/>
  <c r="L2599" i="15" s="1"/>
  <c r="M2599" i="15" s="1"/>
  <c r="B1665" i="15"/>
  <c r="L1665" i="15" a="1"/>
  <c r="L1665" i="15" s="1"/>
  <c r="M1665" i="15" s="1"/>
  <c r="B1741" i="15"/>
  <c r="L1741" i="15" a="1"/>
  <c r="L1741" i="15" s="1"/>
  <c r="M1741" i="15" s="1"/>
  <c r="B1821" i="15"/>
  <c r="L1821" i="15" a="1"/>
  <c r="L1821" i="15" s="1"/>
  <c r="M1821" i="15" s="1"/>
  <c r="B1900" i="15"/>
  <c r="L1900" i="15" a="1"/>
  <c r="L1900" i="15" s="1"/>
  <c r="M1900" i="15" s="1"/>
  <c r="B1978" i="15"/>
  <c r="L1978" i="15" a="1"/>
  <c r="L1978" i="15" s="1"/>
  <c r="M1978" i="15" s="1"/>
  <c r="B2053" i="15"/>
  <c r="L2053" i="15" a="1"/>
  <c r="L2053" i="15" s="1"/>
  <c r="M2053" i="15" s="1"/>
  <c r="B2122" i="15"/>
  <c r="L2122" i="15" a="1"/>
  <c r="L2122" i="15" s="1"/>
  <c r="M2122" i="15" s="1"/>
  <c r="B2197" i="15"/>
  <c r="L2197" i="15" a="1"/>
  <c r="L2197" i="15" s="1"/>
  <c r="M2197" i="15" s="1"/>
  <c r="B2265" i="15"/>
  <c r="L2265" i="15" a="1"/>
  <c r="L2265" i="15" s="1"/>
  <c r="M2265" i="15" s="1"/>
  <c r="B2324" i="15"/>
  <c r="L2324" i="15" a="1"/>
  <c r="L2324" i="15" s="1"/>
  <c r="M2324" i="15" s="1"/>
  <c r="B2377" i="15"/>
  <c r="L2377" i="15" a="1"/>
  <c r="L2377" i="15" s="1"/>
  <c r="M2377" i="15" s="1"/>
  <c r="B2424" i="15"/>
  <c r="L2424" i="15" a="1"/>
  <c r="L2424" i="15" s="1"/>
  <c r="M2424" i="15" s="1"/>
  <c r="B1740" i="15"/>
  <c r="L1740" i="15" a="1"/>
  <c r="L1740" i="15" s="1"/>
  <c r="M1740" i="15" s="1"/>
  <c r="B1820" i="15"/>
  <c r="L1820" i="15" a="1"/>
  <c r="L1820" i="15" s="1"/>
  <c r="M1820" i="15" s="1"/>
  <c r="B1899" i="15"/>
  <c r="L1899" i="15" a="1"/>
  <c r="L1899" i="15" s="1"/>
  <c r="M1899" i="15" s="1"/>
  <c r="B1977" i="15"/>
  <c r="L1977" i="15" a="1"/>
  <c r="L1977" i="15" s="1"/>
  <c r="M1977" i="15" s="1"/>
  <c r="B2052" i="15"/>
  <c r="L2052" i="15" a="1"/>
  <c r="L2052" i="15" s="1"/>
  <c r="M2052" i="15" s="1"/>
  <c r="B2121" i="15"/>
  <c r="L2121" i="15" a="1"/>
  <c r="L2121" i="15" s="1"/>
  <c r="M2121" i="15" s="1"/>
  <c r="B2196" i="15"/>
  <c r="L2196" i="15" a="1"/>
  <c r="L2196" i="15" s="1"/>
  <c r="M2196" i="15" s="1"/>
  <c r="B2872" i="15"/>
  <c r="L2872" i="15" a="1"/>
  <c r="L2872" i="15" s="1"/>
  <c r="M2872" i="15" s="1"/>
  <c r="B2873" i="15"/>
  <c r="L2873" i="15" a="1"/>
  <c r="L2873" i="15" s="1"/>
  <c r="M2873" i="15" s="1"/>
  <c r="B2874" i="15"/>
  <c r="L2874" i="15" a="1"/>
  <c r="L2874" i="15" s="1"/>
  <c r="M2874" i="15" s="1"/>
  <c r="B2875" i="15"/>
  <c r="L2875" i="15" a="1"/>
  <c r="L2875" i="15" s="1"/>
  <c r="M2875" i="15" s="1"/>
  <c r="B2876" i="15"/>
  <c r="L2876" i="15" a="1"/>
  <c r="L2876" i="15" s="1"/>
  <c r="M2876" i="15" s="1"/>
  <c r="B2193" i="15"/>
  <c r="L2193" i="15" a="1"/>
  <c r="L2193" i="15" s="1"/>
  <c r="M2193" i="15" s="1"/>
  <c r="B2262" i="15"/>
  <c r="L2262" i="15" a="1"/>
  <c r="L2262" i="15" s="1"/>
  <c r="M2262" i="15" s="1"/>
  <c r="B2321" i="15"/>
  <c r="L2321" i="15" a="1"/>
  <c r="L2321" i="15" s="1"/>
  <c r="M2321" i="15" s="1"/>
  <c r="B2376" i="15"/>
  <c r="L2376" i="15" a="1"/>
  <c r="L2376" i="15" s="1"/>
  <c r="M2376" i="15" s="1"/>
  <c r="B2423" i="15"/>
  <c r="L2423" i="15" a="1"/>
  <c r="L2423" i="15" s="1"/>
  <c r="M2423" i="15" s="1"/>
  <c r="B2048" i="15"/>
  <c r="L2048" i="15" a="1"/>
  <c r="L2048" i="15" s="1"/>
  <c r="M2048" i="15" s="1"/>
  <c r="B2117" i="15"/>
  <c r="L2117" i="15" a="1"/>
  <c r="L2117" i="15" s="1"/>
  <c r="M2117" i="15" s="1"/>
  <c r="B2191" i="15"/>
  <c r="L2191" i="15" a="1"/>
  <c r="L2191" i="15" s="1"/>
  <c r="M2191" i="15" s="1"/>
  <c r="B2261" i="15"/>
  <c r="L2261" i="15" a="1"/>
  <c r="L2261" i="15" s="1"/>
  <c r="M2261" i="15" s="1"/>
  <c r="B2320" i="15"/>
  <c r="L2320" i="15" a="1"/>
  <c r="L2320" i="15" s="1"/>
  <c r="M2320" i="15" s="1"/>
  <c r="B2374" i="15"/>
  <c r="L2374" i="15" a="1"/>
  <c r="L2374" i="15" s="1"/>
  <c r="M2374" i="15" s="1"/>
  <c r="B2862" i="15"/>
  <c r="L2862" i="15" a="1"/>
  <c r="L2862" i="15" s="1"/>
  <c r="M2862" i="15" s="1"/>
  <c r="B2863" i="15"/>
  <c r="L2863" i="15" a="1"/>
  <c r="L2863" i="15" s="1"/>
  <c r="M2863" i="15" s="1"/>
  <c r="B2864" i="15"/>
  <c r="L2864" i="15" a="1"/>
  <c r="L2864" i="15" s="1"/>
  <c r="M2864" i="15" s="1"/>
  <c r="B2865" i="15"/>
  <c r="L2865" i="15" a="1"/>
  <c r="L2865" i="15" s="1"/>
  <c r="M2865" i="15" s="1"/>
  <c r="B2866" i="15"/>
  <c r="L2866" i="15" a="1"/>
  <c r="L2866" i="15" s="1"/>
  <c r="M2866" i="15" s="1"/>
  <c r="B2867" i="15"/>
  <c r="L2867" i="15" a="1"/>
  <c r="L2867" i="15" s="1"/>
  <c r="M2867" i="15" s="1"/>
  <c r="B1662" i="15"/>
  <c r="L1662" i="15" a="1"/>
  <c r="L1662" i="15" s="1"/>
  <c r="M1662" i="15" s="1"/>
  <c r="B1737" i="15"/>
  <c r="L1737" i="15" a="1"/>
  <c r="L1737" i="15" s="1"/>
  <c r="M1737" i="15" s="1"/>
  <c r="B1817" i="15"/>
  <c r="L1817" i="15" a="1"/>
  <c r="L1817" i="15" s="1"/>
  <c r="M1817" i="15" s="1"/>
  <c r="B1896" i="15"/>
  <c r="L1896" i="15" a="1"/>
  <c r="L1896" i="15" s="1"/>
  <c r="M1896" i="15" s="1"/>
  <c r="B1973" i="15"/>
  <c r="L1973" i="15" a="1"/>
  <c r="L1973" i="15" s="1"/>
  <c r="M1973" i="15" s="1"/>
  <c r="B2047" i="15"/>
  <c r="L2047" i="15" a="1"/>
  <c r="L2047" i="15" s="1"/>
  <c r="M2047" i="15" s="1"/>
  <c r="I549" i="1"/>
  <c r="J549" i="1"/>
  <c r="O549" i="1"/>
  <c r="I547" i="1"/>
  <c r="J547" i="1"/>
  <c r="O547" i="1"/>
  <c r="I548" i="1"/>
  <c r="J548" i="1"/>
  <c r="O548" i="1"/>
  <c r="B2249" i="15"/>
  <c r="B2308" i="15"/>
  <c r="L2249" i="15" a="1"/>
  <c r="L2249" i="15" s="1"/>
  <c r="M2249" i="15" s="1"/>
  <c r="L2308" i="15" a="1"/>
  <c r="L2308" i="15" s="1"/>
  <c r="M2308" i="15" s="1"/>
  <c r="B1889" i="15"/>
  <c r="B1965" i="15"/>
  <c r="B2036" i="15"/>
  <c r="B2107" i="15"/>
  <c r="B2178" i="15"/>
  <c r="L1889" i="15" a="1"/>
  <c r="L1889" i="15" s="1"/>
  <c r="M1889" i="15" s="1"/>
  <c r="L1965" i="15" a="1"/>
  <c r="L1965" i="15" s="1"/>
  <c r="M1965" i="15" s="1"/>
  <c r="L2036" i="15" a="1"/>
  <c r="L2036" i="15" s="1"/>
  <c r="M2036" i="15" s="1"/>
  <c r="L2107" i="15" a="1"/>
  <c r="L2107" i="15" s="1"/>
  <c r="M2107" i="15" s="1"/>
  <c r="L2178" i="15" a="1"/>
  <c r="L2178" i="15" s="1"/>
  <c r="M2178" i="15" s="1"/>
  <c r="B2850" i="15"/>
  <c r="B1656" i="15"/>
  <c r="B1731" i="15"/>
  <c r="B1810" i="15"/>
  <c r="L2850" i="15" a="1"/>
  <c r="L2850" i="15" s="1"/>
  <c r="M2850" i="15" s="1"/>
  <c r="L1656" i="15" a="1"/>
  <c r="L1656" i="15" s="1"/>
  <c r="M1656" i="15" s="1"/>
  <c r="L1731" i="15" a="1"/>
  <c r="L1731" i="15" s="1"/>
  <c r="M1731" i="15" s="1"/>
  <c r="L1810" i="15" a="1"/>
  <c r="L1810" i="15" s="1"/>
  <c r="M1810" i="15" s="1"/>
  <c r="B2742" i="15"/>
  <c r="B2755" i="15"/>
  <c r="L2742" i="15" a="1"/>
  <c r="L2742" i="15" s="1"/>
  <c r="M2742" i="15" s="1"/>
  <c r="L2755" i="15" a="1"/>
  <c r="L2755" i="15" s="1"/>
  <c r="M2755" i="15" s="1"/>
  <c r="B2723" i="15"/>
  <c r="L2723" i="15" a="1"/>
  <c r="L2723" i="15" s="1"/>
  <c r="M2723" i="15" s="1"/>
  <c r="B2704" i="15"/>
  <c r="L2704" i="15" a="1"/>
  <c r="L2704" i="15" s="1"/>
  <c r="M2704" i="15" s="1"/>
  <c r="B2853" i="15"/>
  <c r="B2510" i="15"/>
  <c r="B2547" i="15"/>
  <c r="B2584" i="15"/>
  <c r="B2621" i="15"/>
  <c r="B2653" i="15"/>
  <c r="B2681" i="15"/>
  <c r="L2853" i="15" a="1"/>
  <c r="L2853" i="15" s="1"/>
  <c r="M2853" i="15" s="1"/>
  <c r="L2510" i="15" a="1"/>
  <c r="L2510" i="15" s="1"/>
  <c r="M2510" i="15" s="1"/>
  <c r="L2547" i="15" a="1"/>
  <c r="L2547" i="15" s="1"/>
  <c r="M2547" i="15" s="1"/>
  <c r="L2584" i="15" a="1"/>
  <c r="L2584" i="15" s="1"/>
  <c r="M2584" i="15" s="1"/>
  <c r="L2621" i="15" a="1"/>
  <c r="L2621" i="15" s="1"/>
  <c r="M2621" i="15" s="1"/>
  <c r="L2653" i="15" a="1"/>
  <c r="L2653" i="15" s="1"/>
  <c r="M2653" i="15" s="1"/>
  <c r="L2681" i="15" a="1"/>
  <c r="L2681" i="15" s="1"/>
  <c r="M2681" i="15" s="1"/>
  <c r="G149" i="3"/>
  <c r="P149" i="3"/>
  <c r="I546" i="1"/>
  <c r="J546" i="1"/>
  <c r="O546" i="1"/>
  <c r="I545" i="1"/>
  <c r="J545" i="1"/>
  <c r="O545" i="1"/>
  <c r="I544" i="1"/>
  <c r="J544" i="1"/>
  <c r="O544" i="1"/>
  <c r="L2669" i="15" a="1"/>
  <c r="L2669" i="15" s="1"/>
  <c r="M2669" i="15" s="1"/>
  <c r="L2639" i="15" a="1"/>
  <c r="L2639" i="15" s="1"/>
  <c r="M2639" i="15" s="1"/>
  <c r="L2604" i="15" a="1"/>
  <c r="L2604" i="15" s="1"/>
  <c r="M2604" i="15" s="1"/>
  <c r="L2564" i="15" a="1"/>
  <c r="L2564" i="15" s="1"/>
  <c r="M2564" i="15" s="1"/>
  <c r="L2525" i="15" a="1"/>
  <c r="L2525" i="15" s="1"/>
  <c r="M2525" i="15" s="1"/>
  <c r="L2483" i="15" a="1"/>
  <c r="L2483" i="15" s="1"/>
  <c r="M2483" i="15" s="1"/>
  <c r="B2483" i="15"/>
  <c r="B2525" i="15"/>
  <c r="B2564" i="15"/>
  <c r="B2604" i="15"/>
  <c r="B2639" i="15"/>
  <c r="B2669" i="15"/>
  <c r="I543" i="1"/>
  <c r="J543" i="1"/>
  <c r="O543" i="1"/>
  <c r="O542" i="1"/>
  <c r="J542" i="1"/>
  <c r="I542" i="1"/>
  <c r="O541" i="1"/>
  <c r="J541" i="1"/>
  <c r="I541" i="1"/>
  <c r="O540" i="1"/>
  <c r="J540" i="1"/>
  <c r="I540" i="1"/>
  <c r="P148" i="3"/>
  <c r="G148" i="3"/>
  <c r="O538" i="1"/>
  <c r="J538" i="1"/>
  <c r="I538" i="1"/>
  <c r="O537" i="1"/>
  <c r="J537" i="1"/>
  <c r="I537" i="1"/>
  <c r="I539" i="1"/>
  <c r="J539" i="1"/>
  <c r="O539" i="1"/>
  <c r="I534" i="1"/>
  <c r="I535" i="1"/>
  <c r="J534" i="1"/>
  <c r="J535" i="1"/>
  <c r="O534" i="1"/>
  <c r="O535" i="1"/>
  <c r="E47" i="15"/>
  <c r="P17" i="3"/>
  <c r="P19" i="3"/>
  <c r="I532" i="1"/>
  <c r="I533" i="1"/>
  <c r="J532" i="1"/>
  <c r="J533" i="1"/>
  <c r="O532" i="1"/>
  <c r="O533" i="1"/>
  <c r="I531" i="1"/>
  <c r="J531" i="1"/>
  <c r="O531" i="1"/>
  <c r="G147" i="3"/>
  <c r="P147" i="3"/>
  <c r="I536" i="1"/>
  <c r="J536" i="1"/>
  <c r="O536" i="1"/>
  <c r="O527" i="1"/>
  <c r="J527" i="1"/>
  <c r="I527" i="1"/>
  <c r="P146" i="3"/>
  <c r="G146" i="3"/>
  <c r="O528" i="1"/>
  <c r="J528" i="1"/>
  <c r="N146" i="3" s="1"/>
  <c r="I528" i="1"/>
  <c r="O526" i="1"/>
  <c r="O530" i="1"/>
  <c r="J526" i="1"/>
  <c r="J530" i="1"/>
  <c r="I526" i="1"/>
  <c r="I530" i="1"/>
  <c r="I529" i="1"/>
  <c r="J529" i="1"/>
  <c r="O529" i="1"/>
  <c r="I525" i="1"/>
  <c r="J525" i="1"/>
  <c r="O525" i="1"/>
  <c r="B2696" i="15"/>
  <c r="L2696" i="15" a="1"/>
  <c r="L2696" i="15" s="1"/>
  <c r="M2696" i="15" s="1"/>
  <c r="B2332" i="15"/>
  <c r="B2386" i="15"/>
  <c r="B2435" i="15"/>
  <c r="B2484" i="15"/>
  <c r="B2526" i="15"/>
  <c r="B2565" i="15"/>
  <c r="B2605" i="15"/>
  <c r="B2640" i="15"/>
  <c r="B2670" i="15"/>
  <c r="L2332" i="15" a="1"/>
  <c r="L2332" i="15" s="1"/>
  <c r="M2332" i="15" s="1"/>
  <c r="L2386" i="15" a="1"/>
  <c r="L2386" i="15" s="1"/>
  <c r="M2386" i="15" s="1"/>
  <c r="L2435" i="15" a="1"/>
  <c r="L2435" i="15" s="1"/>
  <c r="M2435" i="15" s="1"/>
  <c r="L2484" i="15" a="1"/>
  <c r="L2484" i="15" s="1"/>
  <c r="M2484" i="15" s="1"/>
  <c r="L2526" i="15" a="1"/>
  <c r="L2526" i="15" s="1"/>
  <c r="M2526" i="15" s="1"/>
  <c r="L2565" i="15" a="1"/>
  <c r="L2565" i="15" s="1"/>
  <c r="M2565" i="15" s="1"/>
  <c r="L2605" i="15" a="1"/>
  <c r="L2605" i="15" s="1"/>
  <c r="M2605" i="15" s="1"/>
  <c r="L2640" i="15" a="1"/>
  <c r="L2640" i="15" s="1"/>
  <c r="M2640" i="15" s="1"/>
  <c r="L2670" i="15" a="1"/>
  <c r="L2670" i="15" s="1"/>
  <c r="M2670" i="15" s="1"/>
  <c r="B2904" i="15"/>
  <c r="L2904" i="15" a="1"/>
  <c r="L2904" i="15" s="1"/>
  <c r="M2904" i="15" s="1"/>
  <c r="I522" i="1"/>
  <c r="J522" i="1"/>
  <c r="O522" i="1"/>
  <c r="I523" i="1"/>
  <c r="J523" i="1"/>
  <c r="O523" i="1"/>
  <c r="I524" i="1"/>
  <c r="J524" i="1"/>
  <c r="O524" i="1"/>
  <c r="I521" i="1"/>
  <c r="J521" i="1"/>
  <c r="O521" i="1"/>
  <c r="I520" i="1"/>
  <c r="J520" i="1"/>
  <c r="O520" i="1"/>
  <c r="I518" i="1"/>
  <c r="I517" i="1"/>
  <c r="J518" i="1"/>
  <c r="J517" i="1"/>
  <c r="O518" i="1"/>
  <c r="O517" i="1"/>
  <c r="I519" i="1"/>
  <c r="J519" i="1"/>
  <c r="O519" i="1"/>
  <c r="G23" i="1"/>
  <c r="H23" i="1"/>
  <c r="H24" i="1"/>
  <c r="G24" i="1"/>
  <c r="O23" i="1"/>
  <c r="O24" i="1"/>
  <c r="G145" i="3"/>
  <c r="R1102" i="1" s="1"/>
  <c r="P145" i="3"/>
  <c r="I516" i="1"/>
  <c r="J516" i="1"/>
  <c r="N145" i="3" s="1"/>
  <c r="O516" i="1"/>
  <c r="O90" i="1"/>
  <c r="O4" i="1"/>
  <c r="G4" i="1" s="1"/>
  <c r="B2212" i="15"/>
  <c r="B2281" i="15"/>
  <c r="B2342" i="15"/>
  <c r="B2396" i="15"/>
  <c r="B2445" i="15"/>
  <c r="L2212" i="15" a="1"/>
  <c r="L2212" i="15" s="1"/>
  <c r="M2212" i="15" s="1"/>
  <c r="L2281" i="15" a="1"/>
  <c r="L2281" i="15" s="1"/>
  <c r="M2281" i="15" s="1"/>
  <c r="L2342" i="15" a="1"/>
  <c r="L2342" i="15" s="1"/>
  <c r="M2342" i="15" s="1"/>
  <c r="L2396" i="15" a="1"/>
  <c r="L2396" i="15" s="1"/>
  <c r="M2396" i="15" s="1"/>
  <c r="L2445" i="15" a="1"/>
  <c r="L2445" i="15" s="1"/>
  <c r="M2445" i="15" s="1"/>
  <c r="B2137" i="15"/>
  <c r="L2137" i="15" a="1"/>
  <c r="L2137" i="15" s="1"/>
  <c r="M2137" i="15" s="1"/>
  <c r="I515" i="1"/>
  <c r="J515" i="1"/>
  <c r="O515" i="1"/>
  <c r="G144" i="3"/>
  <c r="P144" i="3"/>
  <c r="H513" i="1"/>
  <c r="G513" i="1"/>
  <c r="O510" i="1"/>
  <c r="J510" i="1"/>
  <c r="I510" i="1"/>
  <c r="O3" i="1"/>
  <c r="O2" i="1"/>
  <c r="O5" i="1"/>
  <c r="O7" i="1"/>
  <c r="O6" i="1"/>
  <c r="O8" i="1"/>
  <c r="O9" i="1"/>
  <c r="O10" i="1"/>
  <c r="O11" i="1"/>
  <c r="O12" i="1"/>
  <c r="O13" i="1"/>
  <c r="O16" i="1"/>
  <c r="O15" i="1"/>
  <c r="O14" i="1"/>
  <c r="O17" i="1"/>
  <c r="O18" i="1"/>
  <c r="O19" i="1"/>
  <c r="O20" i="1"/>
  <c r="O21" i="1"/>
  <c r="O22" i="1"/>
  <c r="O25" i="1"/>
  <c r="O26" i="1"/>
  <c r="O27" i="1"/>
  <c r="O28" i="1"/>
  <c r="O29" i="1"/>
  <c r="O30" i="1"/>
  <c r="O33" i="1"/>
  <c r="O31" i="1"/>
  <c r="O34" i="1"/>
  <c r="O32" i="1"/>
  <c r="O40" i="1"/>
  <c r="O36" i="1"/>
  <c r="O35" i="1"/>
  <c r="O38" i="1"/>
  <c r="O37" i="1"/>
  <c r="O39" i="1"/>
  <c r="O41" i="1"/>
  <c r="O42" i="1"/>
  <c r="O43" i="1"/>
  <c r="O46" i="1"/>
  <c r="O45" i="1"/>
  <c r="O44" i="1"/>
  <c r="O85" i="1"/>
  <c r="O48" i="1"/>
  <c r="O47" i="1"/>
  <c r="O49" i="1"/>
  <c r="O50" i="1"/>
  <c r="O51" i="1"/>
  <c r="O52" i="1"/>
  <c r="O53" i="1"/>
  <c r="O54" i="1"/>
  <c r="O55" i="1"/>
  <c r="O56" i="1"/>
  <c r="O58" i="1"/>
  <c r="O57" i="1"/>
  <c r="O62" i="1"/>
  <c r="O63" i="1"/>
  <c r="O64" i="1"/>
  <c r="O59" i="1"/>
  <c r="O60" i="1"/>
  <c r="O61" i="1"/>
  <c r="O65" i="1"/>
  <c r="O66" i="1"/>
  <c r="O67" i="1"/>
  <c r="O68" i="1"/>
  <c r="O69" i="1"/>
  <c r="O70" i="1"/>
  <c r="O71" i="1"/>
  <c r="O72" i="1"/>
  <c r="O73" i="1"/>
  <c r="O74" i="1"/>
  <c r="O78" i="1"/>
  <c r="O75" i="1"/>
  <c r="O77" i="1"/>
  <c r="O76" i="1"/>
  <c r="O160" i="1"/>
  <c r="O81" i="1"/>
  <c r="O79" i="1"/>
  <c r="O83" i="1"/>
  <c r="O80" i="1"/>
  <c r="O84" i="1"/>
  <c r="O82" i="1"/>
  <c r="O88" i="1"/>
  <c r="O86" i="1"/>
  <c r="O87" i="1"/>
  <c r="O89" i="1"/>
  <c r="O93" i="1"/>
  <c r="O91" i="1"/>
  <c r="O92" i="1"/>
  <c r="O99" i="1"/>
  <c r="O97" i="1"/>
  <c r="O96" i="1"/>
  <c r="O98" i="1"/>
  <c r="O94" i="1"/>
  <c r="O95" i="1"/>
  <c r="O100" i="1"/>
  <c r="O101" i="1"/>
  <c r="O102" i="1"/>
  <c r="O104" i="1"/>
  <c r="O103" i="1"/>
  <c r="O105" i="1"/>
  <c r="O106" i="1"/>
  <c r="O107" i="1"/>
  <c r="O110" i="1"/>
  <c r="O108" i="1"/>
  <c r="O109" i="1"/>
  <c r="O113" i="1"/>
  <c r="O111" i="1"/>
  <c r="O112" i="1"/>
  <c r="O116" i="1"/>
  <c r="O115" i="1"/>
  <c r="O117" i="1"/>
  <c r="O114" i="1"/>
  <c r="O118" i="1"/>
  <c r="O119" i="1"/>
  <c r="O120" i="1"/>
  <c r="O121" i="1"/>
  <c r="O122" i="1"/>
  <c r="O123" i="1"/>
  <c r="O125" i="1"/>
  <c r="O124" i="1"/>
  <c r="O126" i="1"/>
  <c r="O128" i="1"/>
  <c r="O127" i="1"/>
  <c r="O129" i="1"/>
  <c r="O130" i="1"/>
  <c r="O132" i="1"/>
  <c r="O131" i="1"/>
  <c r="O133" i="1"/>
  <c r="O134" i="1"/>
  <c r="O135" i="1"/>
  <c r="O137" i="1"/>
  <c r="O136" i="1"/>
  <c r="O138" i="1"/>
  <c r="O139" i="1"/>
  <c r="O140" i="1"/>
  <c r="O143" i="1"/>
  <c r="O141" i="1"/>
  <c r="O145" i="1"/>
  <c r="O144" i="1"/>
  <c r="O146" i="1"/>
  <c r="O142" i="1"/>
  <c r="O148" i="1"/>
  <c r="O149" i="1"/>
  <c r="O147" i="1"/>
  <c r="O150" i="1"/>
  <c r="O151" i="1"/>
  <c r="O155" i="1"/>
  <c r="O153" i="1"/>
  <c r="O152" i="1"/>
  <c r="O154" i="1"/>
  <c r="O158" i="1"/>
  <c r="O159" i="1"/>
  <c r="O157" i="1"/>
  <c r="O156" i="1"/>
  <c r="O161" i="1"/>
  <c r="O164" i="1"/>
  <c r="O162" i="1"/>
  <c r="O163" i="1"/>
  <c r="O166" i="1"/>
  <c r="O168" i="1"/>
  <c r="O165" i="1"/>
  <c r="O167" i="1"/>
  <c r="O170" i="1"/>
  <c r="O171" i="1"/>
  <c r="O169" i="1"/>
  <c r="O172" i="1"/>
  <c r="O174" i="1"/>
  <c r="O175" i="1"/>
  <c r="O173" i="1"/>
  <c r="O176" i="1"/>
  <c r="O178" i="1"/>
  <c r="O177" i="1"/>
  <c r="O181" i="1"/>
  <c r="O179" i="1"/>
  <c r="O182" i="1"/>
  <c r="O183" i="1"/>
  <c r="O180" i="1"/>
  <c r="O184" i="1"/>
  <c r="O186" i="1"/>
  <c r="O185" i="1"/>
  <c r="O190" i="1"/>
  <c r="O187" i="1"/>
  <c r="O188" i="1"/>
  <c r="O189" i="1"/>
  <c r="O192" i="1"/>
  <c r="O193" i="1"/>
  <c r="O195" i="1"/>
  <c r="O194" i="1"/>
  <c r="O191" i="1"/>
  <c r="O197" i="1"/>
  <c r="O196" i="1"/>
  <c r="O200" i="1"/>
  <c r="O201" i="1"/>
  <c r="O199" i="1"/>
  <c r="O198" i="1"/>
  <c r="O202" i="1"/>
  <c r="O203" i="1"/>
  <c r="O204" i="1"/>
  <c r="O206" i="1"/>
  <c r="O205" i="1"/>
  <c r="O207" i="1"/>
  <c r="O208" i="1"/>
  <c r="O213" i="1"/>
  <c r="O214" i="1"/>
  <c r="O212" i="1"/>
  <c r="O209" i="1"/>
  <c r="O210" i="1"/>
  <c r="O211" i="1"/>
  <c r="O215" i="1"/>
  <c r="O216" i="1"/>
  <c r="O217" i="1"/>
  <c r="O222" i="1"/>
  <c r="O219" i="1"/>
  <c r="O220" i="1"/>
  <c r="O221" i="1"/>
  <c r="O218" i="1"/>
  <c r="O223" i="1"/>
  <c r="O228" i="1"/>
  <c r="O227" i="1"/>
  <c r="O230" i="1"/>
  <c r="O229" i="1"/>
  <c r="O225" i="1"/>
  <c r="O224" i="1"/>
  <c r="O226" i="1"/>
  <c r="O236" i="1"/>
  <c r="O233" i="1"/>
  <c r="O235" i="1"/>
  <c r="O234" i="1"/>
  <c r="O237" i="1"/>
  <c r="O231" i="1"/>
  <c r="O232" i="1"/>
  <c r="O246" i="1"/>
  <c r="O243" i="1"/>
  <c r="O244" i="1"/>
  <c r="O239" i="1"/>
  <c r="O240" i="1"/>
  <c r="O250" i="1"/>
  <c r="O242" i="1"/>
  <c r="O241" i="1"/>
  <c r="O248" i="1"/>
  <c r="O238" i="1"/>
  <c r="O245" i="1"/>
  <c r="O249" i="1"/>
  <c r="O247" i="1"/>
  <c r="O252" i="1"/>
  <c r="O253" i="1"/>
  <c r="O251" i="1"/>
  <c r="O254" i="1"/>
  <c r="O258" i="1"/>
  <c r="O256" i="1"/>
  <c r="O257" i="1"/>
  <c r="O255" i="1"/>
  <c r="O259" i="1"/>
  <c r="O260" i="1"/>
  <c r="O261" i="1"/>
  <c r="O265" i="1"/>
  <c r="O264" i="1"/>
  <c r="O263" i="1"/>
  <c r="O262" i="1"/>
  <c r="O266" i="1"/>
  <c r="O271" i="1"/>
  <c r="O273" i="1"/>
  <c r="O270" i="1"/>
  <c r="O268" i="1"/>
  <c r="O267" i="1"/>
  <c r="O272" i="1"/>
  <c r="O269" i="1"/>
  <c r="O276" i="1"/>
  <c r="O274" i="1"/>
  <c r="O275" i="1"/>
  <c r="O277" i="1"/>
  <c r="O278" i="1"/>
  <c r="O281" i="1"/>
  <c r="O280" i="1"/>
  <c r="O279" i="1"/>
  <c r="O283" i="1"/>
  <c r="O282" i="1"/>
  <c r="O284" i="1"/>
  <c r="O285" i="1"/>
  <c r="O286" i="1"/>
  <c r="O289" i="1"/>
  <c r="O288" i="1"/>
  <c r="O287" i="1"/>
  <c r="O290" i="1"/>
  <c r="O291" i="1"/>
  <c r="O292" i="1"/>
  <c r="O293" i="1"/>
  <c r="O296" i="1"/>
  <c r="O295" i="1"/>
  <c r="O294" i="1"/>
  <c r="O297" i="1"/>
  <c r="O299" i="1"/>
  <c r="O300" i="1"/>
  <c r="O298" i="1"/>
  <c r="O301" i="1"/>
  <c r="O302" i="1"/>
  <c r="O306" i="1"/>
  <c r="O304" i="1"/>
  <c r="O305" i="1"/>
  <c r="O303" i="1"/>
  <c r="O308" i="1"/>
  <c r="O307" i="1"/>
  <c r="O309" i="1"/>
  <c r="O310" i="1"/>
  <c r="O311" i="1"/>
  <c r="O312" i="1"/>
  <c r="O313" i="1"/>
  <c r="O314" i="1"/>
  <c r="O317" i="1"/>
  <c r="O316" i="1"/>
  <c r="O315" i="1"/>
  <c r="O318" i="1"/>
  <c r="O319" i="1"/>
  <c r="O320" i="1"/>
  <c r="O323" i="1"/>
  <c r="O322" i="1"/>
  <c r="O321" i="1"/>
  <c r="O337" i="1"/>
  <c r="O325" i="1"/>
  <c r="O326" i="1"/>
  <c r="O334" i="1"/>
  <c r="O336" i="1"/>
  <c r="O338" i="1"/>
  <c r="O324" i="1"/>
  <c r="O328" i="1"/>
  <c r="O331" i="1"/>
  <c r="O335" i="1"/>
  <c r="O327" i="1"/>
  <c r="O330" i="1"/>
  <c r="O332" i="1"/>
  <c r="O329" i="1"/>
  <c r="O333" i="1"/>
  <c r="O343" i="1"/>
  <c r="O346" i="1"/>
  <c r="O345" i="1"/>
  <c r="O340" i="1"/>
  <c r="O342" i="1"/>
  <c r="O344" i="1"/>
  <c r="O339" i="1"/>
  <c r="O341" i="1"/>
  <c r="O354" i="1"/>
  <c r="O348" i="1"/>
  <c r="O352" i="1"/>
  <c r="O347" i="1"/>
  <c r="O351" i="1"/>
  <c r="O349" i="1"/>
  <c r="O353" i="1"/>
  <c r="O350" i="1"/>
  <c r="O357" i="1"/>
  <c r="O358" i="1"/>
  <c r="O356" i="1"/>
  <c r="O359" i="1"/>
  <c r="O360" i="1"/>
  <c r="O361" i="1"/>
  <c r="O362" i="1"/>
  <c r="O363" i="1"/>
  <c r="O364" i="1"/>
  <c r="O365" i="1"/>
  <c r="O355" i="1"/>
  <c r="O366" i="1"/>
  <c r="O367" i="1"/>
  <c r="O368" i="1"/>
  <c r="O369" i="1"/>
  <c r="O372" i="1"/>
  <c r="O371" i="1"/>
  <c r="O373" i="1"/>
  <c r="O370" i="1"/>
  <c r="O374" i="1"/>
  <c r="O377" i="1"/>
  <c r="O375" i="1"/>
  <c r="O376" i="1"/>
  <c r="O394" i="1"/>
  <c r="O390" i="1"/>
  <c r="O388" i="1"/>
  <c r="O380" i="1"/>
  <c r="O381" i="1"/>
  <c r="O382" i="1"/>
  <c r="O387" i="1"/>
  <c r="O384" i="1"/>
  <c r="O385" i="1"/>
  <c r="O383" i="1"/>
  <c r="O386" i="1"/>
  <c r="O378" i="1"/>
  <c r="O379" i="1"/>
  <c r="O392" i="1"/>
  <c r="O393" i="1"/>
  <c r="O391" i="1"/>
  <c r="O389" i="1"/>
  <c r="G389" i="1" s="1"/>
  <c r="J389" i="1" s="1"/>
  <c r="O400" i="1"/>
  <c r="O397" i="1"/>
  <c r="O399" i="1"/>
  <c r="O401" i="1"/>
  <c r="O398" i="1"/>
  <c r="O396" i="1"/>
  <c r="O395" i="1"/>
  <c r="O402" i="1"/>
  <c r="O404" i="1"/>
  <c r="O403" i="1"/>
  <c r="O407" i="1"/>
  <c r="O406" i="1"/>
  <c r="O405" i="1"/>
  <c r="O408" i="1"/>
  <c r="O409" i="1"/>
  <c r="O410" i="1"/>
  <c r="O411" i="1"/>
  <c r="O412" i="1"/>
  <c r="O416" i="1"/>
  <c r="O415" i="1"/>
  <c r="O413" i="1"/>
  <c r="O417" i="1"/>
  <c r="O414" i="1"/>
  <c r="O418" i="1"/>
  <c r="O419" i="1"/>
  <c r="O421" i="1"/>
  <c r="O422" i="1"/>
  <c r="O420" i="1"/>
  <c r="O423" i="1"/>
  <c r="O425" i="1"/>
  <c r="O424" i="1"/>
  <c r="O426" i="1"/>
  <c r="O432" i="1"/>
  <c r="O434" i="1"/>
  <c r="O433" i="1"/>
  <c r="O428" i="1"/>
  <c r="O429" i="1"/>
  <c r="O431" i="1"/>
  <c r="O427" i="1"/>
  <c r="O430" i="1"/>
  <c r="O439" i="1"/>
  <c r="O435" i="1"/>
  <c r="O436" i="1"/>
  <c r="O438" i="1"/>
  <c r="O437" i="1"/>
  <c r="O441" i="1"/>
  <c r="O440" i="1"/>
  <c r="O442" i="1"/>
  <c r="O443" i="1"/>
  <c r="O444" i="1"/>
  <c r="O446" i="1"/>
  <c r="O445" i="1"/>
  <c r="O450" i="1"/>
  <c r="O447" i="1"/>
  <c r="O448" i="1"/>
  <c r="O449" i="1"/>
  <c r="O451" i="1"/>
  <c r="O452" i="1"/>
  <c r="O456" i="1"/>
  <c r="O454" i="1"/>
  <c r="O455" i="1"/>
  <c r="O453" i="1"/>
  <c r="O458" i="1"/>
  <c r="O457" i="1"/>
  <c r="O459" i="1"/>
  <c r="O460" i="1"/>
  <c r="O461" i="1"/>
  <c r="O468" i="1"/>
  <c r="O467" i="1"/>
  <c r="O464" i="1"/>
  <c r="O463" i="1"/>
  <c r="O469" i="1"/>
  <c r="O462" i="1"/>
  <c r="O465" i="1"/>
  <c r="O466" i="1"/>
  <c r="O477" i="1"/>
  <c r="O473" i="1"/>
  <c r="O475" i="1"/>
  <c r="O476" i="1"/>
  <c r="O472" i="1"/>
  <c r="O470" i="1"/>
  <c r="O474" i="1"/>
  <c r="O478" i="1"/>
  <c r="O471" i="1"/>
  <c r="O479" i="1"/>
  <c r="O480" i="1"/>
  <c r="O483" i="1"/>
  <c r="O482" i="1"/>
  <c r="O481" i="1"/>
  <c r="O489" i="1"/>
  <c r="O484" i="1"/>
  <c r="O492" i="1"/>
  <c r="O490" i="1"/>
  <c r="O487" i="1"/>
  <c r="O488" i="1"/>
  <c r="O494" i="1"/>
  <c r="O493" i="1"/>
  <c r="O485" i="1"/>
  <c r="O486" i="1"/>
  <c r="O491" i="1"/>
  <c r="O495" i="1"/>
  <c r="O497" i="1"/>
  <c r="O502" i="1"/>
  <c r="O504" i="1"/>
  <c r="O501" i="1"/>
  <c r="O498" i="1"/>
  <c r="O503" i="1"/>
  <c r="O499" i="1"/>
  <c r="O496" i="1"/>
  <c r="O500" i="1"/>
  <c r="O507" i="1"/>
  <c r="O505" i="1"/>
  <c r="O506" i="1"/>
  <c r="O509" i="1"/>
  <c r="O508" i="1"/>
  <c r="O514" i="1"/>
  <c r="O512" i="1"/>
  <c r="O511" i="1"/>
  <c r="I511" i="1"/>
  <c r="J511" i="1"/>
  <c r="I512" i="1"/>
  <c r="J512" i="1"/>
  <c r="G46" i="1"/>
  <c r="G16" i="1"/>
  <c r="J508" i="1"/>
  <c r="J514" i="1"/>
  <c r="I508" i="1"/>
  <c r="I514" i="1"/>
  <c r="L2429" i="15" a="1"/>
  <c r="L2429" i="15" s="1"/>
  <c r="M2429" i="15" s="1"/>
  <c r="L2381" i="15" a="1"/>
  <c r="L2381" i="15" s="1"/>
  <c r="M2381" i="15" s="1"/>
  <c r="L2327" i="15" a="1"/>
  <c r="L2327" i="15" s="1"/>
  <c r="M2327" i="15" s="1"/>
  <c r="L2268" i="15" a="1"/>
  <c r="L2268" i="15" s="1"/>
  <c r="M2268" i="15" s="1"/>
  <c r="L2201" i="15" a="1"/>
  <c r="L2201" i="15" s="1"/>
  <c r="M2201" i="15" s="1"/>
  <c r="L2127" i="15" a="1"/>
  <c r="L2127" i="15" s="1"/>
  <c r="M2127" i="15" s="1"/>
  <c r="B2127" i="15"/>
  <c r="B2201" i="15"/>
  <c r="B2268" i="15"/>
  <c r="B2327" i="15"/>
  <c r="B2381" i="15"/>
  <c r="B2429" i="15"/>
  <c r="J509" i="1"/>
  <c r="I509" i="1"/>
  <c r="G491" i="1"/>
  <c r="J491" i="1" s="1"/>
  <c r="H479" i="1"/>
  <c r="H449" i="1"/>
  <c r="H435" i="1"/>
  <c r="H424" i="1"/>
  <c r="H366" i="1"/>
  <c r="H333" i="1"/>
  <c r="H329" i="1"/>
  <c r="H258" i="1"/>
  <c r="H185" i="1"/>
  <c r="H151" i="1"/>
  <c r="G479" i="1"/>
  <c r="G449" i="1"/>
  <c r="G435" i="1"/>
  <c r="G424" i="1"/>
  <c r="G366" i="1"/>
  <c r="G333" i="1"/>
  <c r="G329" i="1"/>
  <c r="G258" i="1"/>
  <c r="G185" i="1"/>
  <c r="G151" i="1"/>
  <c r="H486" i="1"/>
  <c r="H266" i="1"/>
  <c r="H241" i="1"/>
  <c r="H208" i="1"/>
  <c r="H177" i="1"/>
  <c r="J177" i="1" s="1"/>
  <c r="H178" i="1"/>
  <c r="H136" i="1"/>
  <c r="H89" i="1"/>
  <c r="H43" i="1"/>
  <c r="H38" i="1"/>
  <c r="H36" i="1"/>
  <c r="H30" i="1"/>
  <c r="H26" i="1"/>
  <c r="H20" i="1"/>
  <c r="H17" i="1"/>
  <c r="H16" i="1"/>
  <c r="H5" i="1"/>
  <c r="H505" i="1"/>
  <c r="J505" i="1" s="1"/>
  <c r="G486" i="1"/>
  <c r="G266" i="1"/>
  <c r="G241" i="1"/>
  <c r="G178" i="1"/>
  <c r="G136" i="1"/>
  <c r="G89" i="1"/>
  <c r="G43" i="1"/>
  <c r="G38" i="1"/>
  <c r="G36" i="1"/>
  <c r="G30" i="1"/>
  <c r="G26" i="1"/>
  <c r="G20" i="1"/>
  <c r="G5" i="1"/>
  <c r="I506" i="1"/>
  <c r="I946" i="1"/>
  <c r="P16" i="13" s="1"/>
  <c r="I947" i="1"/>
  <c r="I948" i="1"/>
  <c r="I949" i="1"/>
  <c r="I950" i="1"/>
  <c r="I952" i="1"/>
  <c r="I953" i="1"/>
  <c r="I954" i="1"/>
  <c r="I955" i="1"/>
  <c r="I956" i="1"/>
  <c r="I957" i="1"/>
  <c r="I958" i="1"/>
  <c r="I959" i="1"/>
  <c r="I960" i="1"/>
  <c r="I961" i="1"/>
  <c r="I962" i="1"/>
  <c r="I963" i="1"/>
  <c r="I964" i="1"/>
  <c r="I965" i="1"/>
  <c r="I966" i="1"/>
  <c r="I967" i="1"/>
  <c r="I968" i="1"/>
  <c r="I969" i="1"/>
  <c r="I1114" i="1"/>
  <c r="I1115"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J506" i="1"/>
  <c r="J507" i="1"/>
  <c r="I507" i="1"/>
  <c r="J500" i="1"/>
  <c r="I500" i="1"/>
  <c r="J496" i="1"/>
  <c r="I496" i="1"/>
  <c r="J499" i="1"/>
  <c r="I499" i="1"/>
  <c r="J503" i="1"/>
  <c r="I503" i="1"/>
  <c r="J498" i="1"/>
  <c r="I498" i="1"/>
  <c r="J501" i="1"/>
  <c r="I501" i="1"/>
  <c r="J504" i="1"/>
  <c r="I504" i="1"/>
  <c r="J502" i="1"/>
  <c r="I502" i="1"/>
  <c r="J497" i="1"/>
  <c r="I497" i="1"/>
  <c r="J495" i="1"/>
  <c r="I495" i="1"/>
  <c r="J485" i="1"/>
  <c r="I485" i="1"/>
  <c r="J493" i="1"/>
  <c r="I493" i="1"/>
  <c r="J494" i="1"/>
  <c r="I494" i="1"/>
  <c r="J488" i="1"/>
  <c r="I488" i="1"/>
  <c r="J487" i="1"/>
  <c r="I487" i="1"/>
  <c r="J490" i="1"/>
  <c r="I490" i="1"/>
  <c r="J492" i="1"/>
  <c r="I492" i="1"/>
  <c r="J484" i="1"/>
  <c r="I484" i="1"/>
  <c r="J489" i="1"/>
  <c r="I489" i="1"/>
  <c r="J481" i="1"/>
  <c r="I481" i="1"/>
  <c r="I482" i="1"/>
  <c r="J482" i="1"/>
  <c r="B2697" i="15"/>
  <c r="L2697" i="15" a="1"/>
  <c r="L2697" i="15" s="1"/>
  <c r="M2697" i="15" s="1"/>
  <c r="B2395" i="15"/>
  <c r="B2444" i="15"/>
  <c r="B2491" i="15"/>
  <c r="B2531" i="15"/>
  <c r="B2570" i="15"/>
  <c r="B2608" i="15"/>
  <c r="B2643" i="15"/>
  <c r="B2672" i="15"/>
  <c r="L2395" i="15" a="1"/>
  <c r="L2395" i="15" s="1"/>
  <c r="M2395" i="15" s="1"/>
  <c r="L2444" i="15" a="1"/>
  <c r="L2444" i="15" s="1"/>
  <c r="M2444" i="15" s="1"/>
  <c r="L2491" i="15" a="1"/>
  <c r="L2491" i="15" s="1"/>
  <c r="M2491" i="15" s="1"/>
  <c r="L2531" i="15" a="1"/>
  <c r="L2531" i="15" s="1"/>
  <c r="M2531" i="15" s="1"/>
  <c r="L2570" i="15" a="1"/>
  <c r="L2570" i="15" s="1"/>
  <c r="M2570" i="15" s="1"/>
  <c r="L2608" i="15" a="1"/>
  <c r="L2608" i="15" s="1"/>
  <c r="M2608" i="15" s="1"/>
  <c r="L2643" i="15" a="1"/>
  <c r="L2643" i="15" s="1"/>
  <c r="M2643" i="15" s="1"/>
  <c r="L2672" i="15" a="1"/>
  <c r="L2672" i="15" s="1"/>
  <c r="M2672" i="15" s="1"/>
  <c r="B2341" i="15"/>
  <c r="L2341" i="15" a="1"/>
  <c r="L2341" i="15" s="1"/>
  <c r="M2341" i="15" s="1"/>
  <c r="B2935" i="15"/>
  <c r="L2935" i="15" a="1"/>
  <c r="L2935" i="15" s="1"/>
  <c r="M2935" i="15" s="1"/>
  <c r="I483" i="1"/>
  <c r="J483" i="1"/>
  <c r="I480" i="1"/>
  <c r="J480" i="1"/>
  <c r="I471" i="1"/>
  <c r="J471" i="1"/>
  <c r="I478" i="1"/>
  <c r="J478" i="1"/>
  <c r="I474" i="1"/>
  <c r="J474" i="1"/>
  <c r="I477" i="1"/>
  <c r="J477" i="1"/>
  <c r="I470" i="1"/>
  <c r="J470" i="1"/>
  <c r="I472" i="1"/>
  <c r="J472" i="1"/>
  <c r="I476" i="1"/>
  <c r="J476" i="1"/>
  <c r="I475" i="1"/>
  <c r="J475" i="1"/>
  <c r="I473" i="1"/>
  <c r="J473" i="1"/>
  <c r="J466" i="1"/>
  <c r="I466" i="1"/>
  <c r="I465" i="1"/>
  <c r="J465" i="1"/>
  <c r="I462" i="1"/>
  <c r="J462" i="1"/>
  <c r="I469" i="1"/>
  <c r="J469" i="1"/>
  <c r="I463" i="1"/>
  <c r="J463" i="1"/>
  <c r="B1822" i="15"/>
  <c r="B1901" i="15"/>
  <c r="B1979" i="15"/>
  <c r="B2054" i="15"/>
  <c r="B2123" i="15"/>
  <c r="L1822" i="15" a="1"/>
  <c r="L1822" i="15" s="1"/>
  <c r="M1822" i="15" s="1"/>
  <c r="L1901" i="15" a="1"/>
  <c r="L1901" i="15" s="1"/>
  <c r="M1901" i="15" s="1"/>
  <c r="L1979" i="15" a="1"/>
  <c r="L1979" i="15" s="1"/>
  <c r="M1979" i="15" s="1"/>
  <c r="L2054" i="15" a="1"/>
  <c r="L2054" i="15" s="1"/>
  <c r="M2054" i="15" s="1"/>
  <c r="L2123" i="15" a="1"/>
  <c r="L2123" i="15" s="1"/>
  <c r="M2123" i="15" s="1"/>
  <c r="B1742" i="15"/>
  <c r="L1742" i="15" a="1"/>
  <c r="L1742" i="15" s="1"/>
  <c r="M1742" i="15" s="1"/>
  <c r="I464" i="1"/>
  <c r="J464" i="1"/>
  <c r="I467" i="1"/>
  <c r="J467" i="1"/>
  <c r="I468" i="1"/>
  <c r="J468" i="1"/>
  <c r="I461" i="1"/>
  <c r="J461" i="1"/>
  <c r="I460" i="1"/>
  <c r="J460" i="1"/>
  <c r="I459" i="1"/>
  <c r="J459" i="1"/>
  <c r="I457" i="1"/>
  <c r="J457" i="1"/>
  <c r="I458" i="1"/>
  <c r="J458" i="1"/>
  <c r="J453" i="1"/>
  <c r="I455" i="1"/>
  <c r="J455" i="1"/>
  <c r="I453" i="1"/>
  <c r="I454" i="1"/>
  <c r="J454" i="1"/>
  <c r="D49" i="19"/>
  <c r="D48" i="19"/>
  <c r="D42" i="19"/>
  <c r="D41" i="19"/>
  <c r="D35" i="19"/>
  <c r="D34" i="19"/>
  <c r="D28" i="19"/>
  <c r="D27" i="19"/>
  <c r="D21" i="19"/>
  <c r="D20" i="19"/>
  <c r="D14" i="19"/>
  <c r="D13" i="19"/>
  <c r="D6" i="19"/>
  <c r="J56" i="19"/>
  <c r="J55" i="19"/>
  <c r="J54" i="19"/>
  <c r="J49" i="19"/>
  <c r="J48" i="19"/>
  <c r="J47" i="19"/>
  <c r="J41" i="19"/>
  <c r="J40" i="19"/>
  <c r="J35" i="19"/>
  <c r="J34" i="19"/>
  <c r="J33" i="19"/>
  <c r="J28" i="19"/>
  <c r="J27" i="19"/>
  <c r="J26" i="19"/>
  <c r="J21" i="19"/>
  <c r="J19" i="19"/>
  <c r="J12" i="19"/>
  <c r="J7" i="19"/>
  <c r="J6" i="19"/>
  <c r="J5" i="19"/>
  <c r="D63" i="19"/>
  <c r="D62" i="19"/>
  <c r="D61" i="19"/>
  <c r="D56" i="19"/>
  <c r="D55" i="19"/>
  <c r="D54" i="19"/>
  <c r="D47" i="19"/>
  <c r="D40" i="19"/>
  <c r="D33" i="19"/>
  <c r="D26" i="19"/>
  <c r="D19" i="19"/>
  <c r="D12" i="19"/>
  <c r="D5" i="19"/>
  <c r="J456" i="1"/>
  <c r="I456" i="1"/>
  <c r="I452" i="1"/>
  <c r="J452" i="1"/>
  <c r="I451" i="1"/>
  <c r="J451" i="1"/>
  <c r="B2833" i="15"/>
  <c r="L2833" i="15" a="1"/>
  <c r="L2833" i="15" s="1"/>
  <c r="M2833" i="15" s="1"/>
  <c r="B2832" i="15"/>
  <c r="L2832" i="15" a="1"/>
  <c r="L2832" i="15" s="1"/>
  <c r="M2832" i="15" s="1"/>
  <c r="B2831" i="15"/>
  <c r="L2831" i="15" a="1"/>
  <c r="L2831" i="15" s="1"/>
  <c r="M2831" i="15" s="1"/>
  <c r="B2830" i="15"/>
  <c r="L2830" i="15" a="1"/>
  <c r="L2830" i="15" s="1"/>
  <c r="M2830" i="15" s="1"/>
  <c r="B2829" i="15"/>
  <c r="L2829" i="15" a="1"/>
  <c r="L2829" i="15" s="1"/>
  <c r="M2829" i="15" s="1"/>
  <c r="B2828" i="15"/>
  <c r="L2828" i="15" a="1"/>
  <c r="L2828" i="15" s="1"/>
  <c r="M2828" i="15" s="1"/>
  <c r="J448" i="1"/>
  <c r="I448" i="1"/>
  <c r="J447" i="1"/>
  <c r="I447" i="1"/>
  <c r="J450" i="1"/>
  <c r="I450" i="1"/>
  <c r="J445" i="1"/>
  <c r="I445" i="1"/>
  <c r="J446" i="1"/>
  <c r="I446" i="1"/>
  <c r="G143" i="3"/>
  <c r="P143" i="3"/>
  <c r="I444" i="1"/>
  <c r="J444" i="1"/>
  <c r="N143" i="3" s="1"/>
  <c r="I443" i="1"/>
  <c r="J443" i="1"/>
  <c r="I442" i="1"/>
  <c r="J442" i="1"/>
  <c r="I440" i="1"/>
  <c r="J440" i="1"/>
  <c r="I441" i="1"/>
  <c r="J441" i="1"/>
  <c r="I437" i="1"/>
  <c r="J437" i="1"/>
  <c r="I438" i="1"/>
  <c r="J438" i="1"/>
  <c r="G142" i="3"/>
  <c r="P142" i="3"/>
  <c r="I436" i="1"/>
  <c r="J436" i="1"/>
  <c r="I439" i="1"/>
  <c r="J439" i="1"/>
  <c r="G141" i="3"/>
  <c r="P141" i="3"/>
  <c r="I430" i="1"/>
  <c r="J430" i="1"/>
  <c r="I427" i="1"/>
  <c r="J427" i="1"/>
  <c r="I431" i="1"/>
  <c r="J431" i="1"/>
  <c r="I429" i="1"/>
  <c r="J429" i="1"/>
  <c r="I428" i="1"/>
  <c r="J428" i="1"/>
  <c r="G140" i="3"/>
  <c r="P140" i="3"/>
  <c r="G139" i="3"/>
  <c r="P139" i="3"/>
  <c r="I433" i="1"/>
  <c r="J433" i="1"/>
  <c r="I434" i="1"/>
  <c r="J434" i="1"/>
  <c r="I432" i="1"/>
  <c r="J432" i="1"/>
  <c r="I426" i="1"/>
  <c r="J426" i="1"/>
  <c r="I425" i="1"/>
  <c r="J425" i="1"/>
  <c r="G138" i="3"/>
  <c r="P138" i="3"/>
  <c r="I423" i="1"/>
  <c r="J423" i="1"/>
  <c r="I420" i="1"/>
  <c r="J420" i="1"/>
  <c r="I422" i="1"/>
  <c r="J422" i="1"/>
  <c r="I421" i="1"/>
  <c r="J421" i="1"/>
  <c r="B2442" i="15"/>
  <c r="L2442" i="15" a="1"/>
  <c r="L2442" i="15" s="1"/>
  <c r="M2442" i="15" s="1"/>
  <c r="B2393" i="15"/>
  <c r="L2393" i="15" a="1"/>
  <c r="L2393" i="15" s="1"/>
  <c r="M2393" i="15" s="1"/>
  <c r="B2339" i="15"/>
  <c r="L2339" i="15" a="1"/>
  <c r="L2339" i="15" s="1"/>
  <c r="M2339" i="15" s="1"/>
  <c r="B2279" i="15"/>
  <c r="L2279" i="15" a="1"/>
  <c r="L2279" i="15" s="1"/>
  <c r="M2279" i="15" s="1"/>
  <c r="B2210" i="15"/>
  <c r="L2210" i="15" a="1"/>
  <c r="L2210" i="15" s="1"/>
  <c r="M2210" i="15" s="1"/>
  <c r="B2135" i="15"/>
  <c r="L2135" i="15" a="1"/>
  <c r="L2135" i="15" s="1"/>
  <c r="M2135" i="15" s="1"/>
  <c r="L2953" i="15" a="1"/>
  <c r="L2953" i="15" s="1"/>
  <c r="M2953" i="15" s="1"/>
  <c r="B2949" i="15"/>
  <c r="B2950" i="15"/>
  <c r="B2951" i="15"/>
  <c r="B2952" i="15"/>
  <c r="L2949" i="15" a="1"/>
  <c r="L2949" i="15" s="1"/>
  <c r="M2949" i="15" s="1"/>
  <c r="L2950" i="15" a="1"/>
  <c r="L2950" i="15" s="1"/>
  <c r="M2950" i="15" s="1"/>
  <c r="L2951" i="15" a="1"/>
  <c r="L2951" i="15" s="1"/>
  <c r="M2951" i="15" s="1"/>
  <c r="L2952" i="15" a="1"/>
  <c r="L2952" i="15" s="1"/>
  <c r="M2952" i="15" s="1"/>
  <c r="B2948" i="15"/>
  <c r="L2948" i="15" a="1"/>
  <c r="L2948" i="15" s="1"/>
  <c r="M2948" i="15" s="1"/>
  <c r="I419" i="1"/>
  <c r="J419" i="1"/>
  <c r="B2892" i="15"/>
  <c r="L2892" i="15" a="1"/>
  <c r="L2892" i="15" s="1"/>
  <c r="M2892" i="15" s="1"/>
  <c r="I418" i="1"/>
  <c r="J418" i="1"/>
  <c r="I414" i="1"/>
  <c r="J414" i="1"/>
  <c r="I417" i="1"/>
  <c r="J417" i="1"/>
  <c r="B2845" i="15"/>
  <c r="L2845" i="15" a="1"/>
  <c r="L2845" i="15" s="1"/>
  <c r="M2845" i="15" s="1"/>
  <c r="B2844" i="15"/>
  <c r="L2844" i="15" a="1"/>
  <c r="L2844" i="15" s="1"/>
  <c r="M2844" i="15" s="1"/>
  <c r="B2843" i="15"/>
  <c r="L2843" i="15" a="1"/>
  <c r="L2843" i="15" s="1"/>
  <c r="M2843" i="15" s="1"/>
  <c r="B2842" i="15"/>
  <c r="L2842" i="15" a="1"/>
  <c r="L2842" i="15" s="1"/>
  <c r="M2842" i="15" s="1"/>
  <c r="B2841" i="15"/>
  <c r="L2841" i="15" a="1"/>
  <c r="L2841" i="15" s="1"/>
  <c r="M2841" i="15" s="1"/>
  <c r="B2840" i="15"/>
  <c r="L2840" i="15" a="1"/>
  <c r="L2840" i="15" s="1"/>
  <c r="M2840" i="15" s="1"/>
  <c r="B2839" i="15"/>
  <c r="L2839" i="15" a="1"/>
  <c r="L2839" i="15" s="1"/>
  <c r="M2839" i="15" s="1"/>
  <c r="B2838" i="15"/>
  <c r="L2838" i="15" a="1"/>
  <c r="L2838" i="15" s="1"/>
  <c r="M2838" i="15" s="1"/>
  <c r="B2837" i="15"/>
  <c r="L2837" i="15" a="1"/>
  <c r="L2837" i="15" s="1"/>
  <c r="M2837" i="15" s="1"/>
  <c r="B2836" i="15"/>
  <c r="L2836" i="15" a="1"/>
  <c r="L2836" i="15" s="1"/>
  <c r="M2836" i="15" s="1"/>
  <c r="B2846" i="15"/>
  <c r="L2846" i="15" a="1"/>
  <c r="L2846" i="15" s="1"/>
  <c r="M2846" i="15" s="1"/>
  <c r="G137" i="3"/>
  <c r="P137" i="3"/>
  <c r="I413" i="1"/>
  <c r="J413" i="1"/>
  <c r="I415" i="1"/>
  <c r="J415" i="1"/>
  <c r="I416" i="1"/>
  <c r="J416" i="1"/>
  <c r="N137" i="3" s="1"/>
  <c r="I412" i="1"/>
  <c r="J412" i="1"/>
  <c r="I409" i="1"/>
  <c r="I410" i="1"/>
  <c r="I411" i="1"/>
  <c r="J409" i="1"/>
  <c r="J410" i="1"/>
  <c r="J411" i="1"/>
  <c r="I408" i="1"/>
  <c r="J408" i="1"/>
  <c r="B2176" i="15"/>
  <c r="L2176" i="15" a="1"/>
  <c r="L2176" i="15" s="1"/>
  <c r="M2176" i="15" s="1"/>
  <c r="B2105" i="15"/>
  <c r="L2105" i="15" a="1"/>
  <c r="L2105" i="15" s="1"/>
  <c r="M2105" i="15" s="1"/>
  <c r="B2034" i="15"/>
  <c r="L2034" i="15" a="1"/>
  <c r="L2034" i="15" s="1"/>
  <c r="M2034" i="15" s="1"/>
  <c r="I405" i="1"/>
  <c r="J405" i="1"/>
  <c r="G136" i="3"/>
  <c r="P136" i="3"/>
  <c r="G135" i="3"/>
  <c r="P135" i="3"/>
  <c r="G134" i="3"/>
  <c r="R1108" i="1" s="1"/>
  <c r="P134" i="3"/>
  <c r="G133" i="3"/>
  <c r="P133" i="3"/>
  <c r="G132" i="3"/>
  <c r="R386" i="1" s="1"/>
  <c r="P132" i="3"/>
  <c r="B2924" i="15"/>
  <c r="L2924" i="15" a="1"/>
  <c r="L2924" i="15" s="1"/>
  <c r="M2924" i="15" s="1"/>
  <c r="I406" i="1"/>
  <c r="J406" i="1"/>
  <c r="I407" i="1"/>
  <c r="J407" i="1"/>
  <c r="I403" i="1"/>
  <c r="J403" i="1"/>
  <c r="I404" i="1"/>
  <c r="J404" i="1"/>
  <c r="I402" i="1"/>
  <c r="J402" i="1"/>
  <c r="I395" i="1"/>
  <c r="J395" i="1"/>
  <c r="I396" i="1"/>
  <c r="J396" i="1"/>
  <c r="I398" i="1"/>
  <c r="J398" i="1"/>
  <c r="I401" i="1"/>
  <c r="J401" i="1"/>
  <c r="I399" i="1"/>
  <c r="J399" i="1"/>
  <c r="I397" i="1"/>
  <c r="J397" i="1"/>
  <c r="I400" i="1"/>
  <c r="J400" i="1"/>
  <c r="I391" i="1"/>
  <c r="J391" i="1"/>
  <c r="I393" i="1"/>
  <c r="J393" i="1"/>
  <c r="I392" i="1"/>
  <c r="J392" i="1"/>
  <c r="I379" i="1"/>
  <c r="J379" i="1"/>
  <c r="I378" i="1"/>
  <c r="J378" i="1"/>
  <c r="I386" i="1"/>
  <c r="J386" i="1"/>
  <c r="N132" i="3" s="1"/>
  <c r="I383" i="1"/>
  <c r="J383" i="1"/>
  <c r="I385" i="1"/>
  <c r="J385" i="1"/>
  <c r="I384" i="1"/>
  <c r="J384" i="1"/>
  <c r="I387" i="1"/>
  <c r="J387" i="1"/>
  <c r="I382" i="1"/>
  <c r="J382" i="1"/>
  <c r="I381" i="1"/>
  <c r="J381" i="1"/>
  <c r="I380" i="1"/>
  <c r="J380" i="1"/>
  <c r="I388" i="1"/>
  <c r="J388" i="1"/>
  <c r="I390" i="1"/>
  <c r="J390" i="1"/>
  <c r="G131" i="3"/>
  <c r="P131" i="3"/>
  <c r="I394" i="1"/>
  <c r="J394" i="1"/>
  <c r="I376" i="1"/>
  <c r="J376" i="1"/>
  <c r="I375" i="1"/>
  <c r="J375" i="1"/>
  <c r="I377" i="1"/>
  <c r="J377" i="1"/>
  <c r="G130" i="3"/>
  <c r="P130" i="3"/>
  <c r="I374" i="1"/>
  <c r="J374" i="1"/>
  <c r="I370" i="1"/>
  <c r="J370" i="1"/>
  <c r="I373" i="1"/>
  <c r="J373" i="1"/>
  <c r="I371" i="1"/>
  <c r="J371" i="1"/>
  <c r="I372" i="1"/>
  <c r="J372" i="1"/>
  <c r="J70" i="19"/>
  <c r="J69" i="19"/>
  <c r="J62" i="19"/>
  <c r="J63" i="19"/>
  <c r="J68" i="19"/>
  <c r="J61" i="19"/>
  <c r="I369" i="1"/>
  <c r="J369" i="1"/>
  <c r="I368" i="1"/>
  <c r="I367" i="1"/>
  <c r="J367" i="1"/>
  <c r="B2413" i="15"/>
  <c r="B2459" i="15"/>
  <c r="B2502" i="15"/>
  <c r="B2540" i="15"/>
  <c r="B2579" i="15"/>
  <c r="L2413" i="15" a="1"/>
  <c r="L2413" i="15" s="1"/>
  <c r="M2413" i="15" s="1"/>
  <c r="L2459" i="15" a="1"/>
  <c r="L2459" i="15" s="1"/>
  <c r="L2502" i="15" a="1"/>
  <c r="L2502" i="15" s="1"/>
  <c r="L2540" i="15" a="1"/>
  <c r="L2540" i="15" s="1"/>
  <c r="L2579" i="15" a="1"/>
  <c r="L2579" i="15" s="1"/>
  <c r="B2362" i="15"/>
  <c r="L2362" i="15" a="1"/>
  <c r="L2362" i="15" s="1"/>
  <c r="M2362" i="15" s="1"/>
  <c r="I350" i="1"/>
  <c r="J350" i="1"/>
  <c r="I355" i="1"/>
  <c r="J355" i="1"/>
  <c r="G125" i="3"/>
  <c r="G126" i="3"/>
  <c r="G129" i="3"/>
  <c r="R356" i="1" s="1"/>
  <c r="G119" i="3"/>
  <c r="P125" i="3"/>
  <c r="P126" i="3"/>
  <c r="P129" i="3"/>
  <c r="P119" i="3"/>
  <c r="G124" i="3"/>
  <c r="P124" i="3"/>
  <c r="I365" i="1"/>
  <c r="J365" i="1"/>
  <c r="I364" i="1"/>
  <c r="J364" i="1"/>
  <c r="I363" i="1"/>
  <c r="J363" i="1"/>
  <c r="I362" i="1"/>
  <c r="J362" i="1"/>
  <c r="I361" i="1"/>
  <c r="J361" i="1"/>
  <c r="I360" i="1"/>
  <c r="J360" i="1"/>
  <c r="I359" i="1"/>
  <c r="J359" i="1"/>
  <c r="I356" i="1"/>
  <c r="J356" i="1"/>
  <c r="N129" i="3" s="1"/>
  <c r="I358" i="1"/>
  <c r="J358" i="1"/>
  <c r="I357" i="1"/>
  <c r="J357" i="1"/>
  <c r="I353" i="1"/>
  <c r="J353" i="1"/>
  <c r="I349" i="1"/>
  <c r="J349" i="1"/>
  <c r="N126" i="3" s="1"/>
  <c r="I351" i="1"/>
  <c r="J351" i="1"/>
  <c r="N125" i="3" s="1"/>
  <c r="I347" i="1"/>
  <c r="J347" i="1"/>
  <c r="I352" i="1"/>
  <c r="J352" i="1"/>
  <c r="G122" i="3"/>
  <c r="P122" i="3"/>
  <c r="I348" i="1"/>
  <c r="J348" i="1"/>
  <c r="I339" i="1"/>
  <c r="I341" i="1"/>
  <c r="I354" i="1"/>
  <c r="J339" i="1"/>
  <c r="J341" i="1"/>
  <c r="J354" i="1"/>
  <c r="J342" i="1"/>
  <c r="J344" i="1"/>
  <c r="I342" i="1"/>
  <c r="I344" i="1"/>
  <c r="B2546" i="15"/>
  <c r="L2546" i="15" a="1"/>
  <c r="L2546" i="15" s="1"/>
  <c r="M2546" i="15" s="1"/>
  <c r="B2367" i="15"/>
  <c r="B2418" i="15"/>
  <c r="B2466" i="15"/>
  <c r="B2509" i="15"/>
  <c r="L2367" i="15" a="1"/>
  <c r="L2367" i="15" s="1"/>
  <c r="M2367" i="15" s="1"/>
  <c r="L2418" i="15" a="1"/>
  <c r="L2418" i="15" s="1"/>
  <c r="M2418" i="15" s="1"/>
  <c r="L2466" i="15" a="1"/>
  <c r="L2466" i="15" s="1"/>
  <c r="M2466" i="15" s="1"/>
  <c r="L2509" i="15" a="1"/>
  <c r="L2509" i="15" s="1"/>
  <c r="M2509" i="15" s="1"/>
  <c r="B2310" i="15"/>
  <c r="L2310" i="15" a="1"/>
  <c r="L2310" i="15" s="1"/>
  <c r="M2310" i="15" s="1"/>
  <c r="G121" i="3"/>
  <c r="P121" i="3"/>
  <c r="G123" i="3"/>
  <c r="P123" i="3"/>
  <c r="P120" i="3"/>
  <c r="G120" i="3"/>
  <c r="B2551" i="15"/>
  <c r="B2590" i="15"/>
  <c r="B2627" i="15"/>
  <c r="B2659" i="15"/>
  <c r="B2687" i="15"/>
  <c r="B2710" i="15"/>
  <c r="B2729" i="15"/>
  <c r="P128" i="3"/>
  <c r="G128" i="3"/>
  <c r="P118" i="3"/>
  <c r="G118" i="3"/>
  <c r="R321" i="1" s="1"/>
  <c r="P127" i="3"/>
  <c r="G127" i="3"/>
  <c r="R1106" i="1" s="1"/>
  <c r="G117" i="3"/>
  <c r="R322" i="1" s="1"/>
  <c r="P117" i="3"/>
  <c r="G116" i="3"/>
  <c r="R318" i="1" s="1"/>
  <c r="P116" i="3"/>
  <c r="J368" i="1"/>
  <c r="L2729" i="15" a="1"/>
  <c r="L2729" i="15" s="1"/>
  <c r="M2729" i="15" s="1"/>
  <c r="L2710" i="15" a="1"/>
  <c r="L2710" i="15" s="1"/>
  <c r="M2710" i="15" s="1"/>
  <c r="L2687" i="15" a="1"/>
  <c r="L2687" i="15" s="1"/>
  <c r="M2687" i="15" s="1"/>
  <c r="L2659" i="15" a="1"/>
  <c r="L2659" i="15" s="1"/>
  <c r="M2659" i="15" s="1"/>
  <c r="L2627" i="15" a="1"/>
  <c r="L2627" i="15" s="1"/>
  <c r="M2627" i="15" s="1"/>
  <c r="L2590" i="15" a="1"/>
  <c r="L2590" i="15" s="1"/>
  <c r="M2590" i="15" s="1"/>
  <c r="L2551" i="15" a="1"/>
  <c r="L2551" i="15" s="1"/>
  <c r="M2551" i="15" s="1"/>
  <c r="P115" i="3"/>
  <c r="G115" i="3"/>
  <c r="G114" i="3"/>
  <c r="P114" i="3"/>
  <c r="G113" i="3"/>
  <c r="P113" i="3"/>
  <c r="B2041" i="15"/>
  <c r="L2041" i="15" a="1"/>
  <c r="L2041" i="15" s="1"/>
  <c r="M2041" i="15" s="1"/>
  <c r="B1970" i="15"/>
  <c r="L1970" i="15" a="1"/>
  <c r="L1970" i="15" s="1"/>
  <c r="M1970" i="15" s="1"/>
  <c r="B1893" i="15"/>
  <c r="L1893" i="15" a="1"/>
  <c r="L1893" i="15" s="1"/>
  <c r="M1893" i="15" s="1"/>
  <c r="B1814" i="15"/>
  <c r="L1814" i="15" a="1"/>
  <c r="L1814" i="15" s="1"/>
  <c r="M1814" i="15" s="1"/>
  <c r="B1734" i="15"/>
  <c r="L1734" i="15" a="1"/>
  <c r="L1734" i="15" s="1"/>
  <c r="M1734" i="15" s="1"/>
  <c r="B1659" i="15"/>
  <c r="L1659" i="15" a="1"/>
  <c r="L1659" i="15" s="1"/>
  <c r="M1659" i="15" s="1"/>
  <c r="B2314" i="15"/>
  <c r="L2314" i="15" a="1"/>
  <c r="L2314" i="15" s="1"/>
  <c r="M2314" i="15" s="1"/>
  <c r="B2255" i="15"/>
  <c r="L2255" i="15" a="1"/>
  <c r="L2255" i="15" s="1"/>
  <c r="M2255" i="15" s="1"/>
  <c r="B2183" i="15"/>
  <c r="L2183" i="15" a="1"/>
  <c r="L2183" i="15" s="1"/>
  <c r="M2183" i="15" s="1"/>
  <c r="B2111" i="15"/>
  <c r="L2111" i="15" a="1"/>
  <c r="L2111" i="15" s="1"/>
  <c r="M2111" i="15" s="1"/>
  <c r="G112" i="3"/>
  <c r="P112" i="3"/>
  <c r="G109" i="3"/>
  <c r="P109" i="3"/>
  <c r="G111" i="3"/>
  <c r="R299" i="1" s="1"/>
  <c r="P111" i="3"/>
  <c r="J294" i="1"/>
  <c r="I294" i="1"/>
  <c r="J295" i="1"/>
  <c r="I295" i="1"/>
  <c r="G108" i="3"/>
  <c r="R292" i="1" s="1"/>
  <c r="P108" i="3"/>
  <c r="G110" i="3"/>
  <c r="P110" i="3"/>
  <c r="B2103" i="15"/>
  <c r="L2103" i="15" a="1"/>
  <c r="L2103" i="15" s="1"/>
  <c r="M2103" i="15" s="1"/>
  <c r="B2032" i="15"/>
  <c r="L2032" i="15" a="1"/>
  <c r="L2032" i="15" s="1"/>
  <c r="M2032" i="15" s="1"/>
  <c r="B1961" i="15"/>
  <c r="L1961" i="15" a="1"/>
  <c r="L1961" i="15" s="1"/>
  <c r="M1961" i="15" s="1"/>
  <c r="B1886" i="15"/>
  <c r="L1886" i="15" a="1"/>
  <c r="L1886" i="15" s="1"/>
  <c r="M1886" i="15" s="1"/>
  <c r="B1807" i="15"/>
  <c r="L1807" i="15" a="1"/>
  <c r="L1807" i="15" s="1"/>
  <c r="M1807" i="15" s="1"/>
  <c r="B1730" i="15"/>
  <c r="L1730" i="15" a="1"/>
  <c r="L1730" i="15" s="1"/>
  <c r="M1730" i="15" s="1"/>
  <c r="B1802" i="15"/>
  <c r="B1881" i="15"/>
  <c r="B1956" i="15"/>
  <c r="B2027" i="15"/>
  <c r="L1802" i="15" a="1"/>
  <c r="L1802" i="15" s="1"/>
  <c r="L1881" i="15" a="1"/>
  <c r="L1881" i="15" s="1"/>
  <c r="L1956" i="15" a="1"/>
  <c r="L1956" i="15" s="1"/>
  <c r="L2027" i="15" a="1"/>
  <c r="L2027" i="15" s="1"/>
  <c r="B2412" i="15"/>
  <c r="L2412" i="15" a="1"/>
  <c r="L2412" i="15" s="1"/>
  <c r="B2361" i="15"/>
  <c r="L2361" i="15" a="1"/>
  <c r="L2361" i="15" s="1"/>
  <c r="B2303" i="15"/>
  <c r="L2303" i="15" a="1"/>
  <c r="L2303" i="15" s="1"/>
  <c r="B2244" i="15"/>
  <c r="L2244" i="15" a="1"/>
  <c r="L2244" i="15" s="1"/>
  <c r="B2173" i="15"/>
  <c r="L2173" i="15" a="1"/>
  <c r="L2173" i="15" s="1"/>
  <c r="M2173" i="15" s="1"/>
  <c r="B2101" i="15"/>
  <c r="L2101" i="15" a="1"/>
  <c r="L2101" i="15" s="1"/>
  <c r="M2101" i="15" s="1"/>
  <c r="B2029" i="15"/>
  <c r="L2029" i="15" a="1"/>
  <c r="L2029" i="15" s="1"/>
  <c r="M2029" i="15" s="1"/>
  <c r="B1958" i="15"/>
  <c r="L1958" i="15" a="1"/>
  <c r="L1958" i="15" s="1"/>
  <c r="M1958" i="15" s="1"/>
  <c r="B1883" i="15"/>
  <c r="L1883" i="15" a="1"/>
  <c r="L1883" i="15" s="1"/>
  <c r="M1883" i="15" s="1"/>
  <c r="B1804" i="15"/>
  <c r="L1804" i="15" a="1"/>
  <c r="L1804" i="15" s="1"/>
  <c r="M1804" i="15" s="1"/>
  <c r="B1727" i="15"/>
  <c r="L1727" i="15" a="1"/>
  <c r="L1727" i="15" s="1"/>
  <c r="B1653" i="15"/>
  <c r="L1653" i="15" a="1"/>
  <c r="L1653" i="15" s="1"/>
  <c r="G107" i="3"/>
  <c r="P107" i="3"/>
  <c r="G98" i="3"/>
  <c r="P98" i="3"/>
  <c r="G33" i="3"/>
  <c r="R41" i="1" s="1"/>
  <c r="P33" i="3"/>
  <c r="G2" i="3"/>
  <c r="G35" i="3"/>
  <c r="G28" i="3"/>
  <c r="G64" i="3"/>
  <c r="G69" i="3"/>
  <c r="G55" i="3"/>
  <c r="G41" i="3"/>
  <c r="G39" i="3"/>
  <c r="G31" i="3"/>
  <c r="G61" i="3"/>
  <c r="G26" i="3"/>
  <c r="G5" i="3"/>
  <c r="G42" i="3"/>
  <c r="G29" i="3"/>
  <c r="G16" i="3"/>
  <c r="G37" i="3"/>
  <c r="G14" i="3"/>
  <c r="G21" i="3"/>
  <c r="R22" i="1" s="1"/>
  <c r="G46" i="3"/>
  <c r="G34" i="3"/>
  <c r="G24" i="3"/>
  <c r="G45" i="3"/>
  <c r="G60" i="3"/>
  <c r="R112" i="1" s="1"/>
  <c r="G19" i="3"/>
  <c r="G54" i="3"/>
  <c r="G72" i="3"/>
  <c r="G63" i="3"/>
  <c r="R117" i="1" s="1"/>
  <c r="G6" i="3"/>
  <c r="G7" i="3"/>
  <c r="G44" i="3"/>
  <c r="G65" i="3"/>
  <c r="R118" i="1" s="1"/>
  <c r="G27" i="3"/>
  <c r="G13" i="3"/>
  <c r="G10" i="3"/>
  <c r="G68" i="3"/>
  <c r="G50" i="3"/>
  <c r="R80" i="1" s="1"/>
  <c r="G20" i="3"/>
  <c r="R1113" i="1" s="1"/>
  <c r="G66" i="3"/>
  <c r="G18" i="3"/>
  <c r="G32" i="3"/>
  <c r="G52" i="3"/>
  <c r="G71" i="3"/>
  <c r="G9" i="3"/>
  <c r="G57" i="3"/>
  <c r="G38" i="3"/>
  <c r="G73" i="3"/>
  <c r="G53" i="3"/>
  <c r="G3" i="3"/>
  <c r="G62" i="3"/>
  <c r="G75" i="3"/>
  <c r="G36" i="3"/>
  <c r="G23" i="3"/>
  <c r="G4" i="3"/>
  <c r="G59" i="3"/>
  <c r="G48" i="3"/>
  <c r="G51" i="3"/>
  <c r="G15" i="3"/>
  <c r="R1107" i="1" s="1"/>
  <c r="G47" i="3"/>
  <c r="G43" i="3"/>
  <c r="G49" i="3"/>
  <c r="G58" i="3"/>
  <c r="R106" i="1" s="1"/>
  <c r="G67" i="3"/>
  <c r="G8" i="3"/>
  <c r="G25" i="3"/>
  <c r="G17" i="3"/>
  <c r="G56" i="3"/>
  <c r="G30" i="3"/>
  <c r="G40" i="3"/>
  <c r="G12" i="3"/>
  <c r="G22" i="3"/>
  <c r="G78" i="3"/>
  <c r="G77" i="3"/>
  <c r="R1111" i="1" s="1"/>
  <c r="G76" i="3"/>
  <c r="G79" i="3"/>
  <c r="G81" i="3"/>
  <c r="G83" i="3"/>
  <c r="G82" i="3"/>
  <c r="G80" i="3"/>
  <c r="G87" i="3"/>
  <c r="R192" i="1" s="1"/>
  <c r="G88" i="3"/>
  <c r="R193" i="1" s="1"/>
  <c r="G85" i="3"/>
  <c r="G70" i="3"/>
  <c r="G89" i="3"/>
  <c r="R194" i="1" s="1"/>
  <c r="G90" i="3"/>
  <c r="G96" i="3"/>
  <c r="G91" i="3"/>
  <c r="R215" i="1" s="1"/>
  <c r="G92" i="3"/>
  <c r="G93" i="3"/>
  <c r="G94" i="3"/>
  <c r="G97" i="3"/>
  <c r="G95" i="3"/>
  <c r="G99" i="3"/>
  <c r="R235" i="1" s="1"/>
  <c r="G100" i="3"/>
  <c r="G103" i="3"/>
  <c r="G101" i="3"/>
  <c r="R240" i="1" s="1"/>
  <c r="G102" i="3"/>
  <c r="G104" i="3"/>
  <c r="G105" i="3"/>
  <c r="R253" i="1" s="1"/>
  <c r="G74" i="3"/>
  <c r="R152" i="1" s="1"/>
  <c r="G106" i="3"/>
  <c r="R274" i="1" s="1"/>
  <c r="P11" i="3"/>
  <c r="P106" i="3"/>
  <c r="B2115" i="15"/>
  <c r="B2187" i="15"/>
  <c r="B2258" i="15"/>
  <c r="B2045" i="15"/>
  <c r="B2317" i="15"/>
  <c r="B2371" i="15"/>
  <c r="L2115" i="15" a="1"/>
  <c r="L2115" i="15" s="1"/>
  <c r="M2115" i="15" s="1"/>
  <c r="L2187" i="15" a="1"/>
  <c r="L2187" i="15" s="1"/>
  <c r="M2187" i="15" s="1"/>
  <c r="L2258" i="15" a="1"/>
  <c r="L2258" i="15" s="1"/>
  <c r="M2258" i="15" s="1"/>
  <c r="L2045" i="15" a="1"/>
  <c r="L2045" i="15" s="1"/>
  <c r="M2045" i="15" s="1"/>
  <c r="L2317" i="15" a="1"/>
  <c r="L2317" i="15" s="1"/>
  <c r="M2317" i="15" s="1"/>
  <c r="L2371" i="15" a="1"/>
  <c r="L2371" i="15" s="1"/>
  <c r="M2371" i="15" s="1"/>
  <c r="L1808" i="15" a="1"/>
  <c r="L1808" i="15" s="1"/>
  <c r="M1808" i="15" s="1"/>
  <c r="L1887" i="15" a="1"/>
  <c r="L1887" i="15" s="1"/>
  <c r="M1887" i="15" s="1"/>
  <c r="L1963" i="15" a="1"/>
  <c r="L1963" i="15" s="1"/>
  <c r="M1963" i="15" s="1"/>
  <c r="L1654" i="15" a="1"/>
  <c r="L1654" i="15" s="1"/>
  <c r="M1654" i="15" s="1"/>
  <c r="L1728" i="15" a="1"/>
  <c r="L1728" i="15" s="1"/>
  <c r="M1728" i="15" s="1"/>
  <c r="L1805" i="15" a="1"/>
  <c r="L1805" i="15" s="1"/>
  <c r="M1805" i="15" s="1"/>
  <c r="L1884" i="15" a="1"/>
  <c r="L1884" i="15" s="1"/>
  <c r="M1884" i="15" s="1"/>
  <c r="L1959" i="15" a="1"/>
  <c r="L1959" i="15" s="1"/>
  <c r="M1959" i="15" s="1"/>
  <c r="L2030" i="15" a="1"/>
  <c r="L2030" i="15" s="1"/>
  <c r="M2030" i="15" s="1"/>
  <c r="L1809" i="15" a="1"/>
  <c r="L1809" i="15" s="1"/>
  <c r="M1809" i="15" s="1"/>
  <c r="L1888" i="15" a="1"/>
  <c r="L1888" i="15" s="1"/>
  <c r="M1888" i="15" s="1"/>
  <c r="L1964" i="15" a="1"/>
  <c r="L1964" i="15" s="1"/>
  <c r="M1964" i="15" s="1"/>
  <c r="L2035" i="15" a="1"/>
  <c r="L2035" i="15" s="1"/>
  <c r="M2035" i="15" s="1"/>
  <c r="L2106" i="15" a="1"/>
  <c r="L2106" i="15" s="1"/>
  <c r="M2106" i="15" s="1"/>
  <c r="L2177" i="15" a="1"/>
  <c r="L2177" i="15" s="1"/>
  <c r="M2177" i="15" s="1"/>
  <c r="L2248" i="15" a="1"/>
  <c r="L2248" i="15" s="1"/>
  <c r="M2248" i="15" s="1"/>
  <c r="L2307" i="15" a="1"/>
  <c r="L2307" i="15" s="1"/>
  <c r="M2307" i="15" s="1"/>
  <c r="L2365" i="15" a="1"/>
  <c r="L2365" i="15" s="1"/>
  <c r="M2365" i="15" s="1"/>
  <c r="L2416" i="15" a="1"/>
  <c r="L2416" i="15" s="1"/>
  <c r="M2416" i="15" s="1"/>
  <c r="L2464" i="15" a="1"/>
  <c r="L2464" i="15" s="1"/>
  <c r="M2464" i="15" s="1"/>
  <c r="L2507" i="15" a="1"/>
  <c r="L2507" i="15" s="1"/>
  <c r="M2507" i="15" s="1"/>
  <c r="L2544" i="15" a="1"/>
  <c r="L2544" i="15" s="1"/>
  <c r="M2544" i="15" s="1"/>
  <c r="L2582" i="15" a="1"/>
  <c r="L2582" i="15" s="1"/>
  <c r="M2582" i="15" s="1"/>
  <c r="L2619" i="15" a="1"/>
  <c r="L2619" i="15" s="1"/>
  <c r="M2619" i="15" s="1"/>
  <c r="L2652" i="15" a="1"/>
  <c r="L2652" i="15" s="1"/>
  <c r="M2652" i="15" s="1"/>
  <c r="L2680" i="15" a="1"/>
  <c r="L2680" i="15" s="1"/>
  <c r="M2680" i="15" s="1"/>
  <c r="L2703" i="15" a="1"/>
  <c r="L2703" i="15" s="1"/>
  <c r="M2703" i="15" s="1"/>
  <c r="L1811" i="15" a="1"/>
  <c r="L1811" i="15" s="1"/>
  <c r="M1811" i="15" s="1"/>
  <c r="L1890" i="15" a="1"/>
  <c r="L1890" i="15" s="1"/>
  <c r="M1890" i="15" s="1"/>
  <c r="L1966" i="15" a="1"/>
  <c r="L1966" i="15" s="1"/>
  <c r="M1966" i="15" s="1"/>
  <c r="L2037" i="15" a="1"/>
  <c r="L2037" i="15" s="1"/>
  <c r="M2037" i="15" s="1"/>
  <c r="L2108" i="15" a="1"/>
  <c r="L2108" i="15" s="1"/>
  <c r="M2108" i="15" s="1"/>
  <c r="L2180" i="15" a="1"/>
  <c r="L2180" i="15" s="1"/>
  <c r="M2180" i="15" s="1"/>
  <c r="L2251" i="15" a="1"/>
  <c r="L2251" i="15" s="1"/>
  <c r="M2251" i="15" s="1"/>
  <c r="L2311" i="15" a="1"/>
  <c r="L2311" i="15" s="1"/>
  <c r="M2311" i="15" s="1"/>
  <c r="L2854" i="15" a="1"/>
  <c r="L2854" i="15" s="1"/>
  <c r="L1895" i="15" a="1"/>
  <c r="L1895" i="15" s="1"/>
  <c r="M1895" i="15" s="1"/>
  <c r="L1972" i="15" a="1"/>
  <c r="L1972" i="15" s="1"/>
  <c r="M1972" i="15" s="1"/>
  <c r="L2043" i="15" a="1"/>
  <c r="L2043" i="15" s="1"/>
  <c r="M2043" i="15" s="1"/>
  <c r="L2113" i="15" a="1"/>
  <c r="L2113" i="15" s="1"/>
  <c r="M2113" i="15" s="1"/>
  <c r="L2185" i="15" a="1"/>
  <c r="L2185" i="15" s="1"/>
  <c r="M2185" i="15" s="1"/>
  <c r="L1816" i="15" a="1"/>
  <c r="L1816" i="15" s="1"/>
  <c r="M1816" i="15" s="1"/>
  <c r="L1661" i="15" a="1"/>
  <c r="L1661" i="15" s="1"/>
  <c r="M1661" i="15" s="1"/>
  <c r="L1736" i="15" a="1"/>
  <c r="L1736" i="15" s="1"/>
  <c r="M1736" i="15" s="1"/>
  <c r="L2044" i="15" a="1"/>
  <c r="L2044" i="15" s="1"/>
  <c r="M2044" i="15" s="1"/>
  <c r="L2114" i="15" a="1"/>
  <c r="L2114" i="15" s="1"/>
  <c r="M2114" i="15" s="1"/>
  <c r="L2186" i="15" a="1"/>
  <c r="L2186" i="15" s="1"/>
  <c r="M2186" i="15" s="1"/>
  <c r="L2257" i="15" a="1"/>
  <c r="L2257" i="15" s="1"/>
  <c r="M2257" i="15" s="1"/>
  <c r="L2316" i="15" a="1"/>
  <c r="L2316" i="15" s="1"/>
  <c r="M2316" i="15" s="1"/>
  <c r="L2369" i="15" a="1"/>
  <c r="L2369" i="15" s="1"/>
  <c r="M2369" i="15" s="1"/>
  <c r="L2855" i="15" a="1"/>
  <c r="L2855" i="15" s="1"/>
  <c r="M2855" i="15" s="1"/>
  <c r="L2046" i="15" a="1"/>
  <c r="L2046" i="15" s="1"/>
  <c r="M2046" i="15" s="1"/>
  <c r="L2116" i="15" a="1"/>
  <c r="L2116" i="15" s="1"/>
  <c r="M2116" i="15" s="1"/>
  <c r="L2188" i="15" a="1"/>
  <c r="L2188" i="15" s="1"/>
  <c r="M2188" i="15" s="1"/>
  <c r="L2259" i="15" a="1"/>
  <c r="L2259" i="15" s="1"/>
  <c r="M2259" i="15" s="1"/>
  <c r="L2318" i="15" a="1"/>
  <c r="L2318" i="15" s="1"/>
  <c r="M2318" i="15" s="1"/>
  <c r="L2372" i="15" a="1"/>
  <c r="L2372" i="15" s="1"/>
  <c r="M2372" i="15" s="1"/>
  <c r="L1967" i="15" a="1"/>
  <c r="L1967" i="15" s="1"/>
  <c r="M1967" i="15" s="1"/>
  <c r="L2038" i="15" a="1"/>
  <c r="L2038" i="15" s="1"/>
  <c r="M2038" i="15" s="1"/>
  <c r="L2109" i="15" a="1"/>
  <c r="L2109" i="15" s="1"/>
  <c r="M2109" i="15" s="1"/>
  <c r="L2181" i="15" a="1"/>
  <c r="L2181" i="15" s="1"/>
  <c r="M2181" i="15" s="1"/>
  <c r="L2252" i="15" a="1"/>
  <c r="L2252" i="15" s="1"/>
  <c r="M2252" i="15" s="1"/>
  <c r="L2312" i="15" a="1"/>
  <c r="L2312" i="15" s="1"/>
  <c r="M2312" i="15" s="1"/>
  <c r="L2822" i="15" a="1"/>
  <c r="L2822" i="15" s="1"/>
  <c r="M2822" i="15" s="1"/>
  <c r="L2823" i="15" a="1"/>
  <c r="L2823" i="15" s="1"/>
  <c r="M2823" i="15" s="1"/>
  <c r="L2824" i="15" a="1"/>
  <c r="L2824" i="15" s="1"/>
  <c r="M2824" i="15" s="1"/>
  <c r="L2825" i="15" a="1"/>
  <c r="L2825" i="15" s="1"/>
  <c r="M2825" i="15" s="1"/>
  <c r="L2826" i="15" a="1"/>
  <c r="L2826" i="15" s="1"/>
  <c r="M2826" i="15" s="1"/>
  <c r="L2827" i="15" a="1"/>
  <c r="L2827" i="15" s="1"/>
  <c r="M2827" i="15" s="1"/>
  <c r="L1803" i="15" a="1"/>
  <c r="L1803" i="15" s="1"/>
  <c r="M1803" i="15" s="1"/>
  <c r="L1882" i="15" a="1"/>
  <c r="L1882" i="15" s="1"/>
  <c r="M1882" i="15" s="1"/>
  <c r="L1957" i="15" a="1"/>
  <c r="L1957" i="15" s="1"/>
  <c r="M1957" i="15" s="1"/>
  <c r="L2028" i="15" a="1"/>
  <c r="L2028" i="15" s="1"/>
  <c r="M2028" i="15" s="1"/>
  <c r="L2100" i="15" a="1"/>
  <c r="L2100" i="15" s="1"/>
  <c r="L2172" i="15" a="1"/>
  <c r="L2172" i="15" s="1"/>
  <c r="L2503" i="15" a="1"/>
  <c r="L2503" i="15" s="1"/>
  <c r="M2503" i="15" s="1"/>
  <c r="L2246" i="15" a="1"/>
  <c r="L2246" i="15" s="1"/>
  <c r="M2246" i="15" s="1"/>
  <c r="L2305" i="15" a="1"/>
  <c r="L2305" i="15" s="1"/>
  <c r="M2305" i="15" s="1"/>
  <c r="L2363" i="15" a="1"/>
  <c r="L2363" i="15" s="1"/>
  <c r="M2363" i="15" s="1"/>
  <c r="L2414" i="15" a="1"/>
  <c r="L2414" i="15" s="1"/>
  <c r="M2414" i="15" s="1"/>
  <c r="L2460" i="15" a="1"/>
  <c r="L2460" i="15" s="1"/>
  <c r="M2460" i="15" s="1"/>
  <c r="B2503" i="15"/>
  <c r="B2246" i="15"/>
  <c r="B2305" i="15"/>
  <c r="B2363" i="15"/>
  <c r="B2414" i="15"/>
  <c r="B2460" i="15"/>
  <c r="B1803" i="15"/>
  <c r="B1882" i="15"/>
  <c r="B1957" i="15"/>
  <c r="B2028" i="15"/>
  <c r="B2100" i="15"/>
  <c r="B2172" i="15"/>
  <c r="B2822" i="15"/>
  <c r="B2823" i="15"/>
  <c r="B2824" i="15"/>
  <c r="B2825" i="15"/>
  <c r="B2826" i="15"/>
  <c r="B2827" i="15"/>
  <c r="B1967" i="15"/>
  <c r="B2038" i="15"/>
  <c r="B2109" i="15"/>
  <c r="B2181" i="15"/>
  <c r="B2252" i="15"/>
  <c r="B2312" i="15"/>
  <c r="B2372" i="15"/>
  <c r="B2188" i="15"/>
  <c r="B2259" i="15"/>
  <c r="B2318" i="15"/>
  <c r="B2116" i="15"/>
  <c r="B2046" i="15"/>
  <c r="P74" i="3"/>
  <c r="P2" i="3"/>
  <c r="P35" i="3"/>
  <c r="P28" i="3"/>
  <c r="P64" i="3"/>
  <c r="P69" i="3"/>
  <c r="P41" i="3"/>
  <c r="P39" i="3"/>
  <c r="P31" i="3"/>
  <c r="P61" i="3"/>
  <c r="P26" i="3"/>
  <c r="P5" i="3"/>
  <c r="P42" i="3"/>
  <c r="P29" i="3"/>
  <c r="P16" i="3"/>
  <c r="P37" i="3"/>
  <c r="P14" i="3"/>
  <c r="P21" i="3"/>
  <c r="P46" i="3"/>
  <c r="P34" i="3"/>
  <c r="P45" i="3"/>
  <c r="P60" i="3"/>
  <c r="P54" i="3"/>
  <c r="P72" i="3"/>
  <c r="P63" i="3"/>
  <c r="P6" i="3"/>
  <c r="P7" i="3"/>
  <c r="P44" i="3"/>
  <c r="P65" i="3"/>
  <c r="P27" i="3"/>
  <c r="P13" i="3"/>
  <c r="P10" i="3"/>
  <c r="P68" i="3"/>
  <c r="P50" i="3"/>
  <c r="P20" i="3"/>
  <c r="P66" i="3"/>
  <c r="P18" i="3"/>
  <c r="P32" i="3"/>
  <c r="P52" i="3"/>
  <c r="P71" i="3"/>
  <c r="P9" i="3"/>
  <c r="P57" i="3"/>
  <c r="P38" i="3"/>
  <c r="P73" i="3"/>
  <c r="P53" i="3"/>
  <c r="P3" i="3"/>
  <c r="P75" i="3"/>
  <c r="P36" i="3"/>
  <c r="P4" i="3"/>
  <c r="P59" i="3"/>
  <c r="P48" i="3"/>
  <c r="P51" i="3"/>
  <c r="P15" i="3"/>
  <c r="P47" i="3"/>
  <c r="P43" i="3"/>
  <c r="P49" i="3"/>
  <c r="P58" i="3"/>
  <c r="P67" i="3"/>
  <c r="P8" i="3"/>
  <c r="P25" i="3"/>
  <c r="P56" i="3"/>
  <c r="P30" i="3"/>
  <c r="P40" i="3"/>
  <c r="P12" i="3"/>
  <c r="P22" i="3"/>
  <c r="P78" i="3"/>
  <c r="P77" i="3"/>
  <c r="P76" i="3"/>
  <c r="P79" i="3"/>
  <c r="P81" i="3"/>
  <c r="P83" i="3"/>
  <c r="P82" i="3"/>
  <c r="P80" i="3"/>
  <c r="P87" i="3"/>
  <c r="P88" i="3"/>
  <c r="P85" i="3"/>
  <c r="P70" i="3"/>
  <c r="P89" i="3"/>
  <c r="P90" i="3"/>
  <c r="P96" i="3"/>
  <c r="P91" i="3"/>
  <c r="P92" i="3"/>
  <c r="P93" i="3"/>
  <c r="P94" i="3"/>
  <c r="P97" i="3"/>
  <c r="P95" i="3"/>
  <c r="P99" i="3"/>
  <c r="P100" i="3"/>
  <c r="P103" i="3"/>
  <c r="P101" i="3"/>
  <c r="P102" i="3"/>
  <c r="P104" i="3"/>
  <c r="P105" i="3"/>
  <c r="B2855" i="15"/>
  <c r="B2114" i="15"/>
  <c r="B2186" i="15"/>
  <c r="B2257" i="15"/>
  <c r="B2316" i="15"/>
  <c r="B2369" i="15"/>
  <c r="B2044" i="15"/>
  <c r="B1736" i="15"/>
  <c r="B1661" i="15"/>
  <c r="B1816" i="15"/>
  <c r="B1972" i="15"/>
  <c r="B2043" i="15"/>
  <c r="B2113" i="15"/>
  <c r="B2185" i="15"/>
  <c r="B1895" i="15"/>
  <c r="B2854" i="15"/>
  <c r="J44" i="1"/>
  <c r="B1890" i="15"/>
  <c r="B1966" i="15"/>
  <c r="B2037" i="15"/>
  <c r="B2108" i="15"/>
  <c r="B2180" i="15"/>
  <c r="B2251" i="15"/>
  <c r="B2311" i="15"/>
  <c r="B1811" i="15"/>
  <c r="B1808" i="15"/>
  <c r="B1887" i="15"/>
  <c r="B1963" i="15"/>
  <c r="B2619" i="15"/>
  <c r="B2652" i="15"/>
  <c r="B2680" i="15"/>
  <c r="B2703" i="15"/>
  <c r="B2248" i="15"/>
  <c r="B2307" i="15"/>
  <c r="B2365" i="15"/>
  <c r="B2416" i="15"/>
  <c r="B2464" i="15"/>
  <c r="B2507" i="15"/>
  <c r="B2544" i="15"/>
  <c r="B2582" i="15"/>
  <c r="B2106" i="15"/>
  <c r="B2177" i="15"/>
  <c r="B1888" i="15"/>
  <c r="B1964" i="15"/>
  <c r="B2035" i="15"/>
  <c r="B1809" i="15"/>
  <c r="B1654" i="15"/>
  <c r="B1728" i="15"/>
  <c r="B1805" i="15"/>
  <c r="B1884" i="15"/>
  <c r="B1959" i="15"/>
  <c r="B2030" i="15"/>
  <c r="J21" i="1"/>
  <c r="J195" i="1"/>
  <c r="J194" i="1"/>
  <c r="N89" i="3" s="1"/>
  <c r="J191" i="1"/>
  <c r="J197" i="1"/>
  <c r="J196" i="1"/>
  <c r="J200" i="1"/>
  <c r="J201" i="1"/>
  <c r="J3" i="1"/>
  <c r="J2" i="1"/>
  <c r="J199" i="1"/>
  <c r="J202" i="1"/>
  <c r="J203" i="1"/>
  <c r="J198" i="1"/>
  <c r="J204" i="1"/>
  <c r="J206" i="1"/>
  <c r="J205" i="1"/>
  <c r="J207" i="1"/>
  <c r="J213" i="1"/>
  <c r="J214" i="1"/>
  <c r="J212" i="1"/>
  <c r="J209" i="1"/>
  <c r="J210" i="1"/>
  <c r="J211" i="1"/>
  <c r="J215" i="1"/>
  <c r="N91" i="3" s="1"/>
  <c r="J216" i="1"/>
  <c r="N92" i="3" s="1"/>
  <c r="J217" i="1"/>
  <c r="J222" i="1"/>
  <c r="J219" i="1"/>
  <c r="J220" i="1"/>
  <c r="J221" i="1"/>
  <c r="J228" i="1"/>
  <c r="J218" i="1"/>
  <c r="J223" i="1"/>
  <c r="J227" i="1"/>
  <c r="J230" i="1"/>
  <c r="J229" i="1"/>
  <c r="J225" i="1"/>
  <c r="J224" i="1"/>
  <c r="J226" i="1"/>
  <c r="J236" i="1"/>
  <c r="J233" i="1"/>
  <c r="J235" i="1"/>
  <c r="N99" i="3" s="1"/>
  <c r="J234" i="1"/>
  <c r="J237" i="1"/>
  <c r="J231" i="1"/>
  <c r="J232" i="1"/>
  <c r="J246" i="1"/>
  <c r="J243" i="1"/>
  <c r="J244" i="1"/>
  <c r="J239" i="1"/>
  <c r="J240" i="1"/>
  <c r="N101" i="3" s="1"/>
  <c r="J250" i="1"/>
  <c r="J242" i="1"/>
  <c r="J248" i="1"/>
  <c r="J238" i="1"/>
  <c r="J245" i="1"/>
  <c r="J249" i="1"/>
  <c r="J247" i="1"/>
  <c r="J252" i="1"/>
  <c r="J253" i="1"/>
  <c r="N105" i="3" s="1"/>
  <c r="J251" i="1"/>
  <c r="J254" i="1"/>
  <c r="J256" i="1"/>
  <c r="J257" i="1"/>
  <c r="J255" i="1"/>
  <c r="J259" i="1"/>
  <c r="J260" i="1"/>
  <c r="J261" i="1"/>
  <c r="J265" i="1"/>
  <c r="J264" i="1"/>
  <c r="J263" i="1"/>
  <c r="J262" i="1"/>
  <c r="J271" i="1"/>
  <c r="J273" i="1"/>
  <c r="J270" i="1"/>
  <c r="J274" i="1"/>
  <c r="N106" i="3" s="1"/>
  <c r="J275" i="1"/>
  <c r="J277" i="1"/>
  <c r="J278" i="1"/>
  <c r="J281" i="1"/>
  <c r="J280" i="1"/>
  <c r="J279" i="1"/>
  <c r="J283" i="1"/>
  <c r="J282" i="1"/>
  <c r="J284" i="1"/>
  <c r="J269" i="1"/>
  <c r="J285" i="1"/>
  <c r="J286" i="1"/>
  <c r="J289" i="1"/>
  <c r="J288" i="1"/>
  <c r="J287" i="1"/>
  <c r="J290" i="1"/>
  <c r="J291" i="1"/>
  <c r="N110" i="3" s="1"/>
  <c r="J292" i="1"/>
  <c r="N108" i="3" s="1"/>
  <c r="J293" i="1"/>
  <c r="J296" i="1"/>
  <c r="J299" i="1"/>
  <c r="N111" i="3" s="1"/>
  <c r="J300" i="1"/>
  <c r="J298" i="1"/>
  <c r="J301" i="1"/>
  <c r="J302" i="1"/>
  <c r="J306" i="1"/>
  <c r="J297" i="1"/>
  <c r="J304" i="1"/>
  <c r="J305" i="1"/>
  <c r="J303" i="1"/>
  <c r="J308" i="1"/>
  <c r="J309" i="1"/>
  <c r="J310" i="1"/>
  <c r="J311" i="1"/>
  <c r="J312" i="1"/>
  <c r="J313" i="1"/>
  <c r="J314" i="1"/>
  <c r="J317" i="1"/>
  <c r="J316" i="1"/>
  <c r="J307" i="1"/>
  <c r="J315" i="1"/>
  <c r="J318" i="1"/>
  <c r="N116" i="3" s="1"/>
  <c r="J319" i="1"/>
  <c r="J320" i="1"/>
  <c r="J323" i="1"/>
  <c r="J322" i="1"/>
  <c r="N117" i="3" s="1"/>
  <c r="J321" i="1"/>
  <c r="N118" i="3" s="1"/>
  <c r="J337" i="1"/>
  <c r="J325" i="1"/>
  <c r="J326" i="1"/>
  <c r="J334" i="1"/>
  <c r="J336" i="1"/>
  <c r="J338" i="1"/>
  <c r="J324" i="1"/>
  <c r="J328" i="1"/>
  <c r="J331" i="1"/>
  <c r="J335" i="1"/>
  <c r="J327" i="1"/>
  <c r="J330" i="1"/>
  <c r="J332" i="1"/>
  <c r="J343" i="1"/>
  <c r="J346" i="1"/>
  <c r="J345" i="1"/>
  <c r="I195" i="1"/>
  <c r="I194" i="1"/>
  <c r="I191" i="1"/>
  <c r="I197" i="1"/>
  <c r="I196" i="1"/>
  <c r="I200" i="1"/>
  <c r="I201" i="1"/>
  <c r="I3" i="1"/>
  <c r="I2" i="1"/>
  <c r="I199" i="1"/>
  <c r="I202" i="1"/>
  <c r="I203" i="1"/>
  <c r="I198" i="1"/>
  <c r="I204" i="1"/>
  <c r="I206" i="1"/>
  <c r="I205" i="1"/>
  <c r="I207" i="1"/>
  <c r="I213" i="1"/>
  <c r="I214" i="1"/>
  <c r="I212" i="1"/>
  <c r="I209" i="1"/>
  <c r="I210" i="1"/>
  <c r="I211" i="1"/>
  <c r="I215" i="1"/>
  <c r="I216" i="1"/>
  <c r="I217" i="1"/>
  <c r="I222" i="1"/>
  <c r="I219" i="1"/>
  <c r="I220" i="1"/>
  <c r="I221" i="1"/>
  <c r="I228" i="1"/>
  <c r="I218" i="1"/>
  <c r="I223" i="1"/>
  <c r="I227" i="1"/>
  <c r="I230" i="1"/>
  <c r="I229" i="1"/>
  <c r="I225" i="1"/>
  <c r="I224" i="1"/>
  <c r="I226" i="1"/>
  <c r="I236" i="1"/>
  <c r="I233" i="1"/>
  <c r="I235" i="1"/>
  <c r="I234" i="1"/>
  <c r="I237" i="1"/>
  <c r="I231" i="1"/>
  <c r="I232" i="1"/>
  <c r="I246" i="1"/>
  <c r="I243" i="1"/>
  <c r="I244" i="1"/>
  <c r="I239" i="1"/>
  <c r="I240" i="1"/>
  <c r="I250" i="1"/>
  <c r="I242" i="1"/>
  <c r="I248" i="1"/>
  <c r="I238" i="1"/>
  <c r="I245" i="1"/>
  <c r="I249" i="1"/>
  <c r="I247" i="1"/>
  <c r="I252" i="1"/>
  <c r="I253" i="1"/>
  <c r="I251" i="1"/>
  <c r="I254" i="1"/>
  <c r="I256" i="1"/>
  <c r="I257" i="1"/>
  <c r="I255" i="1"/>
  <c r="I259" i="1"/>
  <c r="I260" i="1"/>
  <c r="I261" i="1"/>
  <c r="I265" i="1"/>
  <c r="I264" i="1"/>
  <c r="I263" i="1"/>
  <c r="I262" i="1"/>
  <c r="I271" i="1"/>
  <c r="I273" i="1"/>
  <c r="I270" i="1"/>
  <c r="I274" i="1"/>
  <c r="I275" i="1"/>
  <c r="I277" i="1"/>
  <c r="I278" i="1"/>
  <c r="I281" i="1"/>
  <c r="I280" i="1"/>
  <c r="I279" i="1"/>
  <c r="I283" i="1"/>
  <c r="I282" i="1"/>
  <c r="I284" i="1"/>
  <c r="I269" i="1"/>
  <c r="I285" i="1"/>
  <c r="I286" i="1"/>
  <c r="I289" i="1"/>
  <c r="I288" i="1"/>
  <c r="I287" i="1"/>
  <c r="I290" i="1"/>
  <c r="I291" i="1"/>
  <c r="I292" i="1"/>
  <c r="I293" i="1"/>
  <c r="I296" i="1"/>
  <c r="I299" i="1"/>
  <c r="I300" i="1"/>
  <c r="I298" i="1"/>
  <c r="I301" i="1"/>
  <c r="I302" i="1"/>
  <c r="I306" i="1"/>
  <c r="I297" i="1"/>
  <c r="I304" i="1"/>
  <c r="I305" i="1"/>
  <c r="I303" i="1"/>
  <c r="I308" i="1"/>
  <c r="I309" i="1"/>
  <c r="I310" i="1"/>
  <c r="I311" i="1"/>
  <c r="I312" i="1"/>
  <c r="I313" i="1"/>
  <c r="I314" i="1"/>
  <c r="I317" i="1"/>
  <c r="I316" i="1"/>
  <c r="I307" i="1"/>
  <c r="I315" i="1"/>
  <c r="I318" i="1"/>
  <c r="I319" i="1"/>
  <c r="I320" i="1"/>
  <c r="I323" i="1"/>
  <c r="I322" i="1"/>
  <c r="I321" i="1"/>
  <c r="I337" i="1"/>
  <c r="I325" i="1"/>
  <c r="I326" i="1"/>
  <c r="I334" i="1"/>
  <c r="I336" i="1"/>
  <c r="I338" i="1"/>
  <c r="I324" i="1"/>
  <c r="I328" i="1"/>
  <c r="I331" i="1"/>
  <c r="I335" i="1"/>
  <c r="I327" i="1"/>
  <c r="I330" i="1"/>
  <c r="I332" i="1"/>
  <c r="I343" i="1"/>
  <c r="I346" i="1"/>
  <c r="I345" i="1"/>
  <c r="I189" i="1"/>
  <c r="J189" i="1"/>
  <c r="I186" i="1"/>
  <c r="J186" i="1"/>
  <c r="I193" i="1"/>
  <c r="J193" i="1"/>
  <c r="N88" i="3" s="1"/>
  <c r="I192" i="1"/>
  <c r="J192" i="1"/>
  <c r="N87" i="3" s="1"/>
  <c r="I188" i="1"/>
  <c r="J188" i="1"/>
  <c r="I187" i="1"/>
  <c r="J187" i="1"/>
  <c r="I190" i="1"/>
  <c r="J190" i="1"/>
  <c r="I44" i="1"/>
  <c r="I45" i="1"/>
  <c r="J45" i="1"/>
  <c r="N38" i="3" s="1"/>
  <c r="I57" i="1"/>
  <c r="J57" i="1"/>
  <c r="I58" i="1"/>
  <c r="J58" i="1"/>
  <c r="I82" i="1"/>
  <c r="J82" i="1"/>
  <c r="I184" i="1"/>
  <c r="J184" i="1"/>
  <c r="I180" i="1"/>
  <c r="J180" i="1"/>
  <c r="I183" i="1"/>
  <c r="J183" i="1"/>
  <c r="I182" i="1"/>
  <c r="J182" i="1"/>
  <c r="J181" i="1"/>
  <c r="I179" i="1"/>
  <c r="J179" i="1"/>
  <c r="I181" i="1"/>
  <c r="I67" i="1"/>
  <c r="I68" i="1"/>
  <c r="J67" i="1"/>
  <c r="J68" i="1"/>
  <c r="I42" i="1"/>
  <c r="J42" i="1"/>
  <c r="I176" i="1"/>
  <c r="J176" i="1"/>
  <c r="I174" i="1"/>
  <c r="I175" i="1"/>
  <c r="I173" i="1"/>
  <c r="J174" i="1"/>
  <c r="J175" i="1"/>
  <c r="J173" i="1"/>
  <c r="I172" i="1"/>
  <c r="J172" i="1"/>
  <c r="J169" i="1"/>
  <c r="I169" i="1"/>
  <c r="I170" i="1"/>
  <c r="J170" i="1"/>
  <c r="I171" i="1"/>
  <c r="J171" i="1"/>
  <c r="I167" i="1"/>
  <c r="J167" i="1"/>
  <c r="I165" i="1"/>
  <c r="J165" i="1"/>
  <c r="I166" i="1"/>
  <c r="J166" i="1"/>
  <c r="I168" i="1"/>
  <c r="J168" i="1"/>
  <c r="I163" i="1"/>
  <c r="J163" i="1"/>
  <c r="I162" i="1"/>
  <c r="J162" i="1"/>
  <c r="I164" i="1"/>
  <c r="J164" i="1"/>
  <c r="I161" i="1"/>
  <c r="J161" i="1"/>
  <c r="I156" i="1"/>
  <c r="J156" i="1"/>
  <c r="I157" i="1"/>
  <c r="J157" i="1"/>
  <c r="I159" i="1"/>
  <c r="J159" i="1"/>
  <c r="I158" i="1"/>
  <c r="J158" i="1"/>
  <c r="J101" i="1"/>
  <c r="I131" i="1"/>
  <c r="J131" i="1"/>
  <c r="J149" i="1"/>
  <c r="J147" i="1"/>
  <c r="J150" i="1"/>
  <c r="I149" i="1"/>
  <c r="I147" i="1"/>
  <c r="I150" i="1"/>
  <c r="I152" i="1"/>
  <c r="J152" i="1"/>
  <c r="N74" i="3" s="1"/>
  <c r="I154" i="1"/>
  <c r="J154" i="1"/>
  <c r="I153" i="1"/>
  <c r="J153" i="1"/>
  <c r="I155" i="1"/>
  <c r="J155" i="1"/>
  <c r="I142" i="1"/>
  <c r="J142" i="1"/>
  <c r="I148" i="1"/>
  <c r="J148" i="1"/>
  <c r="N73" i="3" s="1"/>
  <c r="I146" i="1"/>
  <c r="J146" i="1"/>
  <c r="I143" i="1"/>
  <c r="J143" i="1"/>
  <c r="I144" i="1"/>
  <c r="J144" i="1"/>
  <c r="I145" i="1"/>
  <c r="J145" i="1"/>
  <c r="I141" i="1"/>
  <c r="J141" i="1"/>
  <c r="I140" i="1"/>
  <c r="J140" i="1"/>
  <c r="I139" i="1"/>
  <c r="J139" i="1"/>
  <c r="I133" i="1"/>
  <c r="J133" i="1"/>
  <c r="I138" i="1"/>
  <c r="J138" i="1"/>
  <c r="I137" i="1"/>
  <c r="J137" i="1"/>
  <c r="I135" i="1"/>
  <c r="J135" i="1"/>
  <c r="I134" i="1"/>
  <c r="J134" i="1"/>
  <c r="I132" i="1"/>
  <c r="J132" i="1"/>
  <c r="J130" i="1"/>
  <c r="I130" i="1"/>
  <c r="J129" i="1"/>
  <c r="I129" i="1"/>
  <c r="J127" i="1"/>
  <c r="I127" i="1"/>
  <c r="J128" i="1"/>
  <c r="I128" i="1"/>
  <c r="J126" i="1"/>
  <c r="I126" i="1"/>
  <c r="J124" i="1"/>
  <c r="I124" i="1"/>
  <c r="J125" i="1"/>
  <c r="I125" i="1"/>
  <c r="J121" i="1"/>
  <c r="I121" i="1"/>
  <c r="J123" i="1"/>
  <c r="I123" i="1"/>
  <c r="J122" i="1"/>
  <c r="I122" i="1"/>
  <c r="J120" i="1"/>
  <c r="I120" i="1"/>
  <c r="J118" i="1"/>
  <c r="N65" i="3" s="1"/>
  <c r="I118" i="1"/>
  <c r="J119" i="1"/>
  <c r="I119" i="1"/>
  <c r="J114" i="1"/>
  <c r="I114" i="1"/>
  <c r="J117" i="1"/>
  <c r="N63" i="3" s="1"/>
  <c r="I117" i="1"/>
  <c r="J115" i="1"/>
  <c r="I115" i="1"/>
  <c r="J116" i="1"/>
  <c r="I116" i="1"/>
  <c r="J112" i="1"/>
  <c r="N60" i="3" s="1"/>
  <c r="I112" i="1"/>
  <c r="J111" i="1"/>
  <c r="I111" i="1"/>
  <c r="J113" i="1"/>
  <c r="I113" i="1"/>
  <c r="J109" i="1"/>
  <c r="I109" i="1"/>
  <c r="J108" i="1"/>
  <c r="I108" i="1"/>
  <c r="J110" i="1"/>
  <c r="I110" i="1"/>
  <c r="J106" i="1"/>
  <c r="I106" i="1"/>
  <c r="J107" i="1"/>
  <c r="I107" i="1"/>
  <c r="J105" i="1"/>
  <c r="I105" i="1"/>
  <c r="J102" i="1"/>
  <c r="I102" i="1"/>
  <c r="J103" i="1"/>
  <c r="I103" i="1"/>
  <c r="J104" i="1"/>
  <c r="I104" i="1"/>
  <c r="I101" i="1"/>
  <c r="J100" i="1"/>
  <c r="I100" i="1"/>
  <c r="J94" i="1"/>
  <c r="I94" i="1"/>
  <c r="J98" i="1"/>
  <c r="I98" i="1"/>
  <c r="J96" i="1"/>
  <c r="I96" i="1"/>
  <c r="J97" i="1"/>
  <c r="I97" i="1"/>
  <c r="J99" i="1"/>
  <c r="I99" i="1"/>
  <c r="J92" i="1"/>
  <c r="I92" i="1"/>
  <c r="J91" i="1"/>
  <c r="I91" i="1"/>
  <c r="J93" i="1"/>
  <c r="I93" i="1"/>
  <c r="J86" i="1"/>
  <c r="I86" i="1"/>
  <c r="J88" i="1"/>
  <c r="I88" i="1"/>
  <c r="J87" i="1"/>
  <c r="I87" i="1"/>
  <c r="J84" i="1"/>
  <c r="I84" i="1"/>
  <c r="J80" i="1"/>
  <c r="N50" i="3" s="1"/>
  <c r="I80" i="1"/>
  <c r="J83" i="1"/>
  <c r="I83" i="1"/>
  <c r="J79" i="1"/>
  <c r="I79" i="1"/>
  <c r="J81" i="1"/>
  <c r="I81" i="1"/>
  <c r="J160" i="1"/>
  <c r="I160" i="1"/>
  <c r="J76" i="1"/>
  <c r="I76" i="1"/>
  <c r="J77" i="1"/>
  <c r="I77" i="1"/>
  <c r="J75" i="1"/>
  <c r="I75" i="1"/>
  <c r="J78" i="1"/>
  <c r="I78" i="1"/>
  <c r="J74" i="1"/>
  <c r="I74" i="1"/>
  <c r="J73" i="1"/>
  <c r="I73" i="1"/>
  <c r="J71" i="1"/>
  <c r="I71" i="1"/>
  <c r="J72" i="1"/>
  <c r="I72" i="1"/>
  <c r="J70" i="1"/>
  <c r="I70" i="1"/>
  <c r="J69" i="1"/>
  <c r="I69" i="1"/>
  <c r="J66" i="1"/>
  <c r="I66" i="1"/>
  <c r="J65" i="1"/>
  <c r="I65" i="1"/>
  <c r="J63" i="1"/>
  <c r="I63" i="1"/>
  <c r="J61" i="1"/>
  <c r="I61" i="1"/>
  <c r="J62" i="1"/>
  <c r="I62" i="1"/>
  <c r="J60" i="1"/>
  <c r="I60" i="1"/>
  <c r="J59" i="1"/>
  <c r="I59" i="1"/>
  <c r="J64" i="1"/>
  <c r="I64" i="1"/>
  <c r="J56" i="1"/>
  <c r="I56" i="1"/>
  <c r="J55" i="1"/>
  <c r="I55" i="1"/>
  <c r="J54" i="1"/>
  <c r="I54" i="1"/>
  <c r="J53" i="1"/>
  <c r="I53" i="1"/>
  <c r="J52" i="1"/>
  <c r="I52" i="1"/>
  <c r="J51" i="1"/>
  <c r="I51" i="1"/>
  <c r="J50" i="1"/>
  <c r="I50" i="1"/>
  <c r="J49" i="1"/>
  <c r="I49" i="1"/>
  <c r="J47" i="1"/>
  <c r="I47" i="1"/>
  <c r="J48" i="1"/>
  <c r="I48" i="1"/>
  <c r="J85" i="1"/>
  <c r="I85" i="1"/>
  <c r="J41" i="1"/>
  <c r="I41" i="1"/>
  <c r="J39" i="1"/>
  <c r="I39" i="1"/>
  <c r="J37" i="1"/>
  <c r="I37" i="1"/>
  <c r="J35" i="1"/>
  <c r="I35" i="1"/>
  <c r="J40" i="1"/>
  <c r="I40" i="1"/>
  <c r="J32" i="1"/>
  <c r="I32" i="1"/>
  <c r="J34" i="1"/>
  <c r="I34" i="1"/>
  <c r="J31" i="1"/>
  <c r="I31" i="1"/>
  <c r="J33" i="1"/>
  <c r="I33" i="1"/>
  <c r="J29" i="1"/>
  <c r="I29" i="1"/>
  <c r="J28" i="1"/>
  <c r="I28" i="1"/>
  <c r="J27" i="1"/>
  <c r="I27" i="1"/>
  <c r="J25" i="1"/>
  <c r="I25" i="1"/>
  <c r="J22" i="1"/>
  <c r="I22" i="1"/>
  <c r="I21" i="1"/>
  <c r="J19" i="1"/>
  <c r="I19" i="1"/>
  <c r="J18" i="1"/>
  <c r="I18" i="1"/>
  <c r="J14" i="1"/>
  <c r="I14" i="1"/>
  <c r="J15" i="1"/>
  <c r="I15" i="1"/>
  <c r="J13" i="1"/>
  <c r="I13" i="1"/>
  <c r="J12" i="1"/>
  <c r="I12" i="1"/>
  <c r="J11" i="1"/>
  <c r="I11" i="1"/>
  <c r="J10" i="1"/>
  <c r="I10" i="1"/>
  <c r="J9" i="1"/>
  <c r="I9" i="1"/>
  <c r="J8" i="1"/>
  <c r="I8" i="1"/>
  <c r="J6" i="1"/>
  <c r="I6" i="1"/>
  <c r="J7" i="1"/>
  <c r="I7" i="1"/>
  <c r="R1109" i="1" l="1"/>
  <c r="R1110" i="1"/>
  <c r="R816" i="1"/>
  <c r="R673" i="1"/>
  <c r="R466" i="1"/>
  <c r="R327" i="1"/>
  <c r="R72" i="1"/>
  <c r="R569" i="1"/>
  <c r="R234" i="1"/>
  <c r="R13" i="1"/>
  <c r="R243" i="1"/>
  <c r="R244" i="1"/>
  <c r="R182" i="1"/>
  <c r="R588" i="1"/>
  <c r="R945" i="1"/>
  <c r="R946" i="1"/>
  <c r="R512" i="1"/>
  <c r="R98" i="1"/>
  <c r="R642" i="1"/>
  <c r="R419" i="1"/>
  <c r="R102" i="1"/>
  <c r="R166" i="1"/>
  <c r="R103" i="1"/>
  <c r="R109" i="1"/>
  <c r="R284" i="1"/>
  <c r="R500" i="1"/>
  <c r="R631" i="1"/>
  <c r="R202" i="1"/>
  <c r="R298" i="1"/>
  <c r="R397" i="1"/>
  <c r="R438" i="1"/>
  <c r="R269" i="1"/>
  <c r="R189" i="1"/>
  <c r="R15" i="1"/>
  <c r="R560" i="1"/>
  <c r="R784" i="1"/>
  <c r="R353" i="1"/>
  <c r="R210" i="1"/>
  <c r="R3" i="1"/>
  <c r="R132" i="1"/>
  <c r="R39" i="1"/>
  <c r="R927" i="1"/>
  <c r="R668" i="1"/>
  <c r="R1069" i="1"/>
  <c r="R461" i="1"/>
  <c r="R45" i="1"/>
  <c r="R913" i="1"/>
  <c r="R223" i="1"/>
  <c r="R160" i="1"/>
  <c r="R84" i="1"/>
  <c r="R85" i="1"/>
  <c r="R197" i="1"/>
  <c r="R213" i="1"/>
  <c r="R277" i="1"/>
  <c r="R359" i="1"/>
  <c r="R200" i="1"/>
  <c r="R360" i="1"/>
  <c r="R201" i="1"/>
  <c r="R281" i="1"/>
  <c r="R361" i="1"/>
  <c r="R362" i="1"/>
  <c r="R363" i="1"/>
  <c r="R206" i="1"/>
  <c r="R214" i="1"/>
  <c r="R278" i="1"/>
  <c r="R364" i="1"/>
  <c r="R127" i="1"/>
  <c r="R640" i="1"/>
  <c r="R532" i="1"/>
  <c r="R1012" i="1"/>
  <c r="R6" i="1"/>
  <c r="R879" i="1"/>
  <c r="R60" i="1"/>
  <c r="R781" i="1"/>
  <c r="R255" i="1"/>
  <c r="R495" i="1"/>
  <c r="R593" i="1"/>
  <c r="R5" i="1"/>
  <c r="R405" i="1"/>
  <c r="R55" i="1"/>
  <c r="R56" i="1"/>
  <c r="R747" i="1"/>
  <c r="R92" i="1"/>
  <c r="R172" i="1"/>
  <c r="R515" i="1"/>
  <c r="R836" i="1"/>
  <c r="R1092" i="1"/>
  <c r="R424" i="1"/>
  <c r="R731" i="1"/>
  <c r="R606" i="1"/>
  <c r="R986" i="1"/>
  <c r="R537" i="1"/>
  <c r="R718" i="1"/>
  <c r="R844" i="1"/>
  <c r="R604" i="1"/>
  <c r="R967" i="1"/>
  <c r="R1075" i="1"/>
  <c r="R550" i="1"/>
  <c r="R226" i="1"/>
  <c r="R792" i="1"/>
  <c r="R473" i="1"/>
  <c r="R682" i="1"/>
  <c r="R574" i="1"/>
  <c r="R342" i="1"/>
  <c r="R1050" i="1"/>
  <c r="R922" i="1"/>
  <c r="R688" i="1"/>
  <c r="R178" i="1"/>
  <c r="R648" i="1"/>
  <c r="R297" i="1"/>
  <c r="R146" i="1"/>
  <c r="R1061" i="1"/>
  <c r="R469" i="1"/>
  <c r="R567" i="1"/>
  <c r="R936" i="1"/>
  <c r="R58" i="1"/>
  <c r="R810" i="1"/>
  <c r="R334" i="1"/>
  <c r="R237" i="1"/>
  <c r="R697" i="1"/>
  <c r="R576" i="1"/>
  <c r="R692" i="1"/>
  <c r="R804" i="1"/>
  <c r="R328" i="1"/>
  <c r="R9" i="1"/>
  <c r="R251" i="1"/>
  <c r="R1053" i="1"/>
  <c r="R460" i="1"/>
  <c r="R925" i="1"/>
  <c r="R547" i="1"/>
  <c r="R661" i="1"/>
  <c r="R775" i="1"/>
  <c r="R30" i="1"/>
  <c r="R126" i="1"/>
  <c r="R903" i="1"/>
  <c r="R445" i="1"/>
  <c r="R1034" i="1"/>
  <c r="R561" i="1"/>
  <c r="R785" i="1"/>
  <c r="R280" i="1"/>
  <c r="R584" i="1"/>
  <c r="R457" i="1"/>
  <c r="R910" i="1"/>
  <c r="R333" i="1"/>
  <c r="R961" i="1"/>
  <c r="R752" i="1"/>
  <c r="R309" i="1"/>
  <c r="R330" i="1"/>
  <c r="R1101" i="1"/>
  <c r="R982" i="1"/>
  <c r="R509" i="1"/>
  <c r="R845" i="1"/>
  <c r="R637" i="1"/>
  <c r="R513" i="1"/>
  <c r="R753" i="1"/>
  <c r="R633" i="1"/>
  <c r="R862" i="1"/>
  <c r="R1004" i="1"/>
  <c r="R329" i="1"/>
  <c r="R252" i="1"/>
  <c r="R1073" i="1"/>
  <c r="R64" i="1"/>
  <c r="R432" i="1"/>
  <c r="R529" i="1"/>
  <c r="R34" i="1"/>
  <c r="R195" i="1"/>
  <c r="R293" i="1"/>
  <c r="R8" i="1"/>
  <c r="R762" i="1"/>
  <c r="R123" i="1"/>
  <c r="R1003" i="1"/>
  <c r="R646" i="1"/>
  <c r="R883" i="1"/>
  <c r="R399" i="1"/>
  <c r="R229" i="1"/>
  <c r="R143" i="1"/>
  <c r="R464" i="1"/>
  <c r="R672" i="1"/>
  <c r="R227" i="1"/>
  <c r="R343" i="1"/>
  <c r="R568" i="1"/>
  <c r="R930" i="1"/>
  <c r="R1051" i="1"/>
  <c r="R790" i="1"/>
  <c r="R43" i="1"/>
  <c r="R939" i="1"/>
  <c r="R271" i="1"/>
  <c r="R591" i="1"/>
  <c r="R1076" i="1"/>
  <c r="R853" i="1"/>
  <c r="R168" i="1"/>
  <c r="R392" i="1"/>
  <c r="R712" i="1"/>
  <c r="R507" i="1"/>
  <c r="R957" i="1"/>
  <c r="R29" i="1"/>
  <c r="R369" i="1"/>
  <c r="R183" i="1"/>
  <c r="R254" i="1"/>
  <c r="R493" i="1"/>
  <c r="R225" i="1"/>
  <c r="R241" i="1"/>
  <c r="R350" i="1"/>
  <c r="R486" i="1"/>
  <c r="R335" i="1"/>
  <c r="R368" i="1"/>
  <c r="R482" i="1"/>
  <c r="R709" i="1"/>
  <c r="R711" i="1"/>
  <c r="R602" i="1"/>
  <c r="R707" i="1"/>
  <c r="R319" i="1"/>
  <c r="R551" i="1"/>
  <c r="R920" i="1"/>
  <c r="R138" i="1"/>
  <c r="R459" i="1"/>
  <c r="R667" i="1"/>
  <c r="R222" i="1"/>
  <c r="R1046" i="1"/>
  <c r="R777" i="1"/>
  <c r="R111" i="1"/>
  <c r="R115" i="1"/>
  <c r="R180" i="1"/>
  <c r="R449" i="1"/>
  <c r="R505" i="1"/>
  <c r="R843" i="1"/>
  <c r="R622" i="1"/>
  <c r="R734" i="1"/>
  <c r="R973" i="1"/>
  <c r="R422" i="1"/>
  <c r="R358" i="1"/>
  <c r="R592" i="1"/>
  <c r="R481" i="1"/>
  <c r="R259" i="1"/>
  <c r="R38" i="1"/>
  <c r="R87" i="1"/>
  <c r="R942" i="1"/>
  <c r="R1078" i="1"/>
  <c r="R156" i="1"/>
  <c r="R374" i="1"/>
  <c r="R880" i="1"/>
  <c r="R401" i="1"/>
  <c r="R404" i="1"/>
  <c r="R680" i="1"/>
  <c r="R826" i="1"/>
  <c r="R971" i="1"/>
  <c r="R799" i="1"/>
  <c r="R1040" i="1"/>
  <c r="R113" i="1"/>
  <c r="R211" i="1"/>
  <c r="R456" i="1"/>
  <c r="R552" i="1"/>
  <c r="R137" i="1"/>
  <c r="R782" i="1"/>
  <c r="R926" i="1"/>
  <c r="R317" i="1"/>
  <c r="R678" i="1"/>
  <c r="R256" i="1"/>
  <c r="R384" i="1"/>
  <c r="R832" i="1"/>
  <c r="R33" i="1"/>
  <c r="R257" i="1"/>
  <c r="R385" i="1"/>
  <c r="R487" i="1"/>
  <c r="R599" i="1"/>
  <c r="R488" i="1"/>
  <c r="R139" i="1"/>
  <c r="R219" i="1"/>
  <c r="R831" i="1"/>
  <c r="R1085" i="1"/>
  <c r="R1086" i="1"/>
  <c r="R220" i="1"/>
  <c r="R140" i="1"/>
  <c r="R598" i="1"/>
  <c r="R974" i="1"/>
  <c r="R732" i="1"/>
  <c r="R733" i="1"/>
  <c r="R76" i="1"/>
  <c r="R221" i="1"/>
  <c r="R975" i="1"/>
  <c r="R128" i="1"/>
  <c r="R768" i="1"/>
  <c r="R641" i="1"/>
  <c r="R435" i="1"/>
  <c r="R533" i="1"/>
  <c r="R7" i="1"/>
  <c r="R878" i="1"/>
  <c r="R1009" i="1"/>
  <c r="R61" i="1"/>
  <c r="R207" i="1"/>
  <c r="R308" i="1"/>
  <c r="R756" i="1"/>
  <c r="R519" i="1"/>
  <c r="R632" i="1"/>
  <c r="R1000" i="1"/>
  <c r="R412" i="1"/>
  <c r="R173" i="1"/>
  <c r="R860" i="1"/>
  <c r="R232" i="1"/>
  <c r="R169" i="1"/>
  <c r="R801" i="1"/>
  <c r="R451" i="1"/>
  <c r="R554" i="1"/>
  <c r="R923" i="1"/>
  <c r="R675" i="1"/>
  <c r="R1036" i="1"/>
  <c r="R310" i="1"/>
  <c r="R416" i="1"/>
  <c r="R587" i="1"/>
  <c r="R217" i="1"/>
  <c r="R331" i="1"/>
  <c r="R175" i="1"/>
  <c r="R848" i="1"/>
  <c r="R609" i="1"/>
  <c r="R610" i="1"/>
  <c r="R850" i="1"/>
  <c r="R483" i="1"/>
  <c r="R611" i="1"/>
  <c r="R261" i="1"/>
  <c r="R504" i="1"/>
  <c r="R744" i="1"/>
  <c r="R394" i="1"/>
  <c r="R746" i="1"/>
  <c r="R171" i="1"/>
  <c r="R955" i="1"/>
  <c r="R494" i="1"/>
  <c r="R954" i="1"/>
  <c r="R956" i="1"/>
  <c r="R849" i="1"/>
  <c r="R745" i="1"/>
  <c r="R562" i="1"/>
  <c r="R83" i="1"/>
  <c r="R212" i="1"/>
  <c r="R276" i="1"/>
  <c r="R452" i="1"/>
  <c r="R664" i="1"/>
  <c r="R907" i="1"/>
  <c r="R787" i="1"/>
  <c r="R1038" i="1"/>
  <c r="R144" i="1"/>
  <c r="R65" i="1"/>
  <c r="R97" i="1"/>
  <c r="R51" i="1"/>
  <c r="R70" i="1"/>
  <c r="R40" i="1"/>
  <c r="R59" i="1"/>
  <c r="R77" i="1"/>
  <c r="R79" i="1"/>
  <c r="R948" i="1"/>
  <c r="R21" i="1"/>
  <c r="R150" i="1"/>
  <c r="R233" i="1"/>
  <c r="R1065" i="1"/>
  <c r="R326" i="1"/>
  <c r="R47" i="1"/>
  <c r="R737" i="1"/>
  <c r="R163" i="1"/>
  <c r="R267" i="1"/>
  <c r="R379" i="1"/>
  <c r="R510" i="1"/>
  <c r="R979" i="1"/>
  <c r="R838" i="1"/>
  <c r="R621" i="1"/>
  <c r="R1100" i="1"/>
  <c r="R671" i="1"/>
  <c r="R320" i="1"/>
  <c r="R337" i="1"/>
  <c r="R563" i="1"/>
  <c r="R1045" i="1"/>
  <c r="R313" i="1"/>
  <c r="R458" i="1"/>
  <c r="R908" i="1"/>
  <c r="R780" i="1"/>
  <c r="R882" i="1"/>
  <c r="R339" i="1"/>
  <c r="R643" i="1"/>
  <c r="R763" i="1"/>
  <c r="R526" i="1"/>
  <c r="R428" i="1"/>
  <c r="R348" i="1"/>
  <c r="R1011" i="1"/>
  <c r="R465" i="1"/>
  <c r="R581" i="1"/>
  <c r="R423" i="1"/>
  <c r="R798" i="1"/>
  <c r="R684" i="1"/>
  <c r="R548" i="1"/>
  <c r="R660" i="1"/>
  <c r="R772" i="1"/>
  <c r="R1029" i="1"/>
  <c r="R439" i="1"/>
  <c r="R904" i="1"/>
  <c r="R441" i="1"/>
  <c r="R575" i="1"/>
  <c r="R773" i="1"/>
  <c r="R891" i="1"/>
  <c r="R582" i="1"/>
  <c r="R444" i="1"/>
  <c r="R1018" i="1"/>
  <c r="R944" i="1"/>
  <c r="R536" i="1"/>
  <c r="R539" i="1"/>
  <c r="R699" i="1"/>
  <c r="R815" i="1"/>
  <c r="R1056" i="1"/>
  <c r="R544" i="1"/>
  <c r="R545" i="1"/>
  <c r="R99" i="1"/>
  <c r="R260" i="1"/>
  <c r="R377" i="1"/>
  <c r="R603" i="1"/>
  <c r="R710" i="1"/>
  <c r="R502" i="1"/>
  <c r="R1095" i="1"/>
  <c r="R972" i="1"/>
  <c r="R833" i="1"/>
  <c r="R95" i="1"/>
  <c r="R17" i="1"/>
  <c r="R81" i="1"/>
  <c r="R242" i="1"/>
  <c r="R467" i="1"/>
  <c r="R134" i="1"/>
  <c r="R344" i="1"/>
  <c r="R570" i="1"/>
  <c r="R1068" i="1"/>
  <c r="R806" i="1"/>
  <c r="R685" i="1"/>
  <c r="R951" i="1"/>
  <c r="R817" i="1"/>
  <c r="R323" i="1"/>
  <c r="R952" i="1"/>
  <c r="R585" i="1"/>
  <c r="R478" i="1"/>
  <c r="R702" i="1"/>
  <c r="R1067" i="1"/>
  <c r="R365" i="1"/>
  <c r="R578" i="1"/>
  <c r="R468" i="1"/>
  <c r="R933" i="1"/>
  <c r="R696" i="1"/>
  <c r="R808" i="1"/>
  <c r="R345" i="1"/>
  <c r="R170" i="1"/>
  <c r="R236" i="1"/>
  <c r="R1055" i="1"/>
  <c r="R63" i="1"/>
  <c r="R287" i="1"/>
  <c r="R20" i="1"/>
  <c r="R421" i="1"/>
  <c r="R520" i="1"/>
  <c r="R122" i="1"/>
  <c r="R188" i="1"/>
  <c r="R147" i="1"/>
  <c r="R53" i="1"/>
  <c r="R275" i="1"/>
  <c r="R373" i="1"/>
  <c r="R600" i="1"/>
  <c r="R968" i="1"/>
  <c r="R490" i="1"/>
  <c r="R158" i="1"/>
  <c r="R835" i="1"/>
  <c r="R1087" i="1"/>
  <c r="R719" i="1"/>
  <c r="R559" i="1"/>
  <c r="R656" i="1"/>
  <c r="R245" i="1"/>
  <c r="R455" i="1"/>
  <c r="R312" i="1"/>
  <c r="R814" i="1"/>
  <c r="R895" i="1"/>
  <c r="R1037" i="1"/>
  <c r="R191" i="1"/>
  <c r="R527" i="1"/>
  <c r="R1008" i="1"/>
  <c r="R18" i="1"/>
  <c r="R66" i="1"/>
  <c r="R644" i="1"/>
  <c r="R440" i="1"/>
  <c r="R121" i="1"/>
  <c r="R75" i="1"/>
  <c r="R765" i="1"/>
  <c r="R886" i="1"/>
  <c r="R294" i="1"/>
  <c r="R463" i="1"/>
  <c r="R690" i="1"/>
  <c r="R564" i="1"/>
  <c r="R325" i="1"/>
  <c r="R231" i="1"/>
  <c r="R57" i="1"/>
  <c r="R142" i="1"/>
  <c r="R803" i="1"/>
  <c r="R934" i="1"/>
  <c r="R1057" i="1"/>
  <c r="R900" i="1"/>
  <c r="R1028" i="1"/>
  <c r="R549" i="1"/>
  <c r="R135" i="1"/>
  <c r="R776" i="1"/>
  <c r="R665" i="1"/>
  <c r="R74" i="1"/>
  <c r="R314" i="1"/>
  <c r="R446" i="1"/>
  <c r="R205" i="1"/>
  <c r="R431" i="1"/>
  <c r="R623" i="1"/>
  <c r="R535" i="1"/>
  <c r="R426" i="1"/>
  <c r="R159" i="1"/>
  <c r="R16" i="1"/>
  <c r="R48" i="1"/>
  <c r="R608" i="1"/>
  <c r="R992" i="1"/>
  <c r="R837" i="1"/>
  <c r="R104" i="1"/>
  <c r="R728" i="1"/>
  <c r="R270" i="1"/>
  <c r="R492" i="1"/>
  <c r="R390" i="1"/>
  <c r="R216" i="1"/>
  <c r="R1054" i="1"/>
  <c r="R893" i="1"/>
  <c r="R403" i="1"/>
  <c r="R743" i="1"/>
  <c r="R506" i="1"/>
  <c r="R619" i="1"/>
  <c r="R398" i="1"/>
  <c r="R846" i="1"/>
  <c r="R983" i="1"/>
  <c r="R434" i="1"/>
  <c r="R54" i="1"/>
  <c r="R759" i="1"/>
  <c r="R521" i="1"/>
  <c r="R26" i="1"/>
  <c r="R634" i="1"/>
  <c r="R190" i="1"/>
  <c r="R870" i="1"/>
  <c r="R1002" i="1"/>
  <c r="R125" i="1"/>
  <c r="R300" i="1"/>
  <c r="R145" i="1"/>
  <c r="R579" i="1"/>
  <c r="R932" i="1"/>
  <c r="R247" i="1"/>
  <c r="R679" i="1"/>
  <c r="R475" i="1"/>
  <c r="R110" i="1"/>
  <c r="R332" i="1"/>
  <c r="R809" i="1"/>
  <c r="R1062" i="1"/>
  <c r="R209" i="1"/>
  <c r="R119" i="1"/>
  <c r="R553" i="1"/>
  <c r="R666" i="1"/>
  <c r="R779" i="1"/>
  <c r="R316" i="1"/>
  <c r="R1043" i="1"/>
  <c r="R909" i="1"/>
  <c r="R454" i="1"/>
  <c r="R531" i="1"/>
  <c r="R116" i="1"/>
  <c r="R196" i="1"/>
  <c r="R71" i="1"/>
  <c r="R295" i="1"/>
  <c r="R443" i="1"/>
  <c r="R1017" i="1"/>
  <c r="R179" i="1"/>
  <c r="R86" i="1"/>
  <c r="R517" i="1"/>
  <c r="R629" i="1"/>
  <c r="R282" i="1"/>
  <c r="R755" i="1"/>
  <c r="R413" i="1"/>
  <c r="R998" i="1"/>
  <c r="R865" i="1"/>
  <c r="R448" i="1"/>
  <c r="R420" i="1"/>
  <c r="R357" i="1"/>
  <c r="R741" i="1"/>
  <c r="R618" i="1"/>
  <c r="R842" i="1"/>
  <c r="R508" i="1"/>
  <c r="R1090" i="1"/>
  <c r="R966" i="1"/>
  <c r="R351" i="1"/>
  <c r="R558" i="1"/>
  <c r="R354" i="1"/>
  <c r="R19" i="1"/>
  <c r="R477" i="1"/>
  <c r="R82" i="1"/>
  <c r="R228" i="1"/>
  <c r="R352" i="1"/>
  <c r="R577" i="1"/>
  <c r="R916" i="1"/>
  <c r="R695" i="1"/>
  <c r="R474" i="1"/>
  <c r="R246" i="1"/>
  <c r="R1052" i="1"/>
  <c r="R783" i="1"/>
  <c r="R291" i="1"/>
  <c r="R1013" i="1"/>
  <c r="R635" i="1"/>
  <c r="R433" i="1"/>
  <c r="R530" i="1"/>
  <c r="R647" i="1"/>
  <c r="R346" i="1"/>
  <c r="R764" i="1"/>
  <c r="R881" i="1"/>
  <c r="R1015" i="1"/>
  <c r="R289" i="1"/>
  <c r="R286" i="1"/>
  <c r="R230" i="1"/>
  <c r="R285" i="1"/>
  <c r="R415" i="1"/>
  <c r="R754" i="1"/>
  <c r="R866" i="1"/>
  <c r="R627" i="1"/>
  <c r="R181" i="1"/>
  <c r="R88" i="1"/>
  <c r="R283" i="1"/>
  <c r="R518" i="1"/>
  <c r="R999" i="1"/>
  <c r="R479" i="1"/>
  <c r="R258" i="1"/>
  <c r="R706" i="1"/>
  <c r="R151" i="1"/>
  <c r="R583" i="1"/>
  <c r="R120" i="1"/>
  <c r="R78" i="1"/>
  <c r="R366" i="1"/>
  <c r="R958" i="1"/>
  <c r="R1059" i="1"/>
  <c r="R819" i="1"/>
  <c r="R556" i="1"/>
  <c r="R349" i="1"/>
  <c r="R224" i="1"/>
  <c r="R689" i="1"/>
  <c r="R802" i="1"/>
  <c r="R324" i="1"/>
  <c r="R471" i="1"/>
  <c r="R572" i="1"/>
  <c r="R1058" i="1"/>
  <c r="R935" i="1"/>
  <c r="R624" i="1"/>
  <c r="R273" i="1"/>
  <c r="R503" i="1"/>
  <c r="R840" i="1"/>
  <c r="R393" i="1"/>
  <c r="R107" i="1"/>
  <c r="R174" i="1"/>
  <c r="R750" i="1"/>
  <c r="R12" i="1"/>
  <c r="R995" i="1"/>
  <c r="R1097" i="1"/>
  <c r="R722" i="1"/>
  <c r="R4" i="1"/>
  <c r="R820" i="1"/>
  <c r="R389" i="1"/>
  <c r="R965" i="1"/>
  <c r="R601" i="1"/>
  <c r="R90" i="1"/>
  <c r="R266" i="1"/>
  <c r="R491" i="1"/>
  <c r="R1094" i="1"/>
  <c r="R738" i="1"/>
  <c r="R387" i="1"/>
  <c r="R499" i="1"/>
  <c r="R165" i="1"/>
  <c r="R23" i="1"/>
  <c r="R24" i="1"/>
  <c r="R984" i="1"/>
  <c r="R105" i="1"/>
  <c r="R62" i="1"/>
  <c r="R899" i="1"/>
  <c r="R268" i="1"/>
  <c r="R630" i="1"/>
  <c r="R976" i="1"/>
  <c r="R49" i="1"/>
  <c r="R595" i="1"/>
  <c r="R100" i="1"/>
  <c r="R485" i="1"/>
  <c r="R264" i="1"/>
  <c r="R27" i="1"/>
  <c r="R715" i="1"/>
  <c r="R382" i="1"/>
  <c r="R1083" i="1"/>
  <c r="R157" i="1"/>
  <c r="R829" i="1"/>
  <c r="R303" i="1"/>
  <c r="R639" i="1"/>
  <c r="R770" i="1"/>
  <c r="R131" i="1"/>
  <c r="R885" i="1"/>
  <c r="R198" i="1"/>
  <c r="R427" i="1"/>
  <c r="R525" i="1"/>
  <c r="R1033" i="1"/>
  <c r="R400" i="1"/>
  <c r="R514" i="1"/>
  <c r="R834" i="1"/>
  <c r="R788" i="1"/>
  <c r="R375" i="1"/>
  <c r="R391" i="1"/>
  <c r="R823" i="1"/>
  <c r="R871" i="1"/>
  <c r="R376" i="1"/>
  <c r="R856" i="1"/>
  <c r="R872" i="1"/>
  <c r="R638" i="1"/>
  <c r="R797" i="1"/>
  <c r="R758" i="1"/>
  <c r="R873" i="1"/>
  <c r="R874" i="1"/>
  <c r="R812" i="1"/>
  <c r="R847" i="1"/>
  <c r="R858" i="1"/>
  <c r="R402" i="1"/>
  <c r="R498" i="1"/>
  <c r="R724" i="1"/>
  <c r="R725" i="1"/>
  <c r="R407" i="1"/>
  <c r="R615" i="1"/>
  <c r="R727" i="1"/>
  <c r="R408" i="1"/>
  <c r="R616" i="1"/>
  <c r="R409" i="1"/>
  <c r="R617" i="1"/>
  <c r="R410" i="1"/>
  <c r="R411" i="1"/>
  <c r="R726" i="1"/>
  <c r="R614" i="1"/>
  <c r="R396" i="1"/>
  <c r="R607" i="1"/>
  <c r="R516" i="1"/>
  <c r="R855" i="1"/>
  <c r="R991" i="1"/>
  <c r="R739" i="1"/>
  <c r="R136" i="1"/>
  <c r="R962" i="1"/>
  <c r="R305" i="1"/>
  <c r="R417" i="1"/>
  <c r="R418" i="1"/>
  <c r="R436" i="1"/>
  <c r="R315" i="1"/>
  <c r="R528" i="1"/>
  <c r="R818" i="1"/>
  <c r="R950" i="1"/>
  <c r="R713" i="1"/>
  <c r="R605" i="1"/>
  <c r="R1081" i="1"/>
  <c r="R288" i="1"/>
  <c r="R868" i="1"/>
  <c r="R757" i="1"/>
  <c r="R425" i="1"/>
  <c r="R203" i="1"/>
  <c r="R523" i="1"/>
  <c r="R1001" i="1"/>
  <c r="R636" i="1"/>
  <c r="R480" i="1"/>
  <c r="R338" i="1"/>
  <c r="R52" i="1"/>
  <c r="R149" i="1"/>
  <c r="R250" i="1"/>
  <c r="R50" i="1"/>
  <c r="R388" i="1"/>
  <c r="R501" i="1"/>
  <c r="R167" i="1"/>
  <c r="R265" i="1"/>
  <c r="R830" i="1"/>
  <c r="R93" i="1"/>
  <c r="R28" i="1"/>
  <c r="R769" i="1"/>
  <c r="R67" i="1"/>
  <c r="R68" i="1"/>
  <c r="R184" i="1"/>
  <c r="R1016" i="1"/>
  <c r="R649" i="1"/>
  <c r="R42" i="1"/>
  <c r="R894" i="1"/>
  <c r="R429" i="1"/>
  <c r="R114" i="1"/>
  <c r="R218" i="1"/>
  <c r="R141" i="1"/>
  <c r="R272" i="1"/>
  <c r="R36" i="1"/>
  <c r="R740" i="1"/>
  <c r="R101" i="1"/>
  <c r="R524" i="1"/>
  <c r="R993" i="1"/>
  <c r="R450" i="1"/>
  <c r="R898" i="1"/>
  <c r="R307" i="1"/>
  <c r="R89" i="1"/>
  <c r="R185" i="1"/>
  <c r="R46" i="1"/>
  <c r="R670" i="1"/>
  <c r="R669" i="1"/>
  <c r="R1039" i="1"/>
  <c r="R828" i="1"/>
  <c r="R130" i="1"/>
  <c r="R306" i="1"/>
  <c r="R437" i="1"/>
  <c r="R296" i="1"/>
  <c r="R153" i="1"/>
  <c r="R154" i="1"/>
  <c r="R302" i="1"/>
  <c r="R653" i="1"/>
  <c r="R877" i="1"/>
  <c r="R534" i="1"/>
  <c r="R301" i="1"/>
  <c r="R1014" i="1"/>
  <c r="R793" i="1"/>
  <c r="R511" i="1"/>
  <c r="R176" i="1"/>
  <c r="R625" i="1"/>
  <c r="R996" i="1"/>
  <c r="R279" i="1"/>
  <c r="R73" i="1"/>
  <c r="R859" i="1"/>
  <c r="R406" i="1"/>
  <c r="R1088" i="1"/>
  <c r="R108" i="1"/>
  <c r="R749" i="1"/>
  <c r="R31" i="1"/>
  <c r="R496" i="1"/>
  <c r="R736" i="1"/>
  <c r="R162" i="1"/>
  <c r="R612" i="1"/>
  <c r="R839" i="1"/>
  <c r="R378" i="1"/>
  <c r="R91" i="1"/>
  <c r="R978" i="1"/>
  <c r="R262" i="1"/>
  <c r="R1098" i="1"/>
  <c r="R290" i="1"/>
  <c r="R370" i="1"/>
  <c r="R484" i="1"/>
  <c r="R964" i="1"/>
  <c r="R714" i="1"/>
  <c r="R590" i="1"/>
  <c r="R1066" i="1"/>
  <c r="R825" i="1"/>
  <c r="R453" i="1"/>
  <c r="R395" i="1"/>
  <c r="R462" i="1"/>
  <c r="R96" i="1"/>
  <c r="R626" i="1"/>
  <c r="R164" i="1"/>
  <c r="R372" i="1"/>
  <c r="R980" i="1"/>
  <c r="R25" i="1"/>
  <c r="R489" i="1"/>
  <c r="R10" i="1"/>
  <c r="R730" i="1"/>
  <c r="R841" i="1"/>
  <c r="R721" i="1"/>
  <c r="R2" i="1"/>
  <c r="R355" i="1"/>
  <c r="R37" i="1"/>
  <c r="R133" i="1"/>
  <c r="R571" i="1"/>
  <c r="R14" i="1"/>
  <c r="R238" i="1"/>
  <c r="R1063" i="1"/>
  <c r="R911" i="1"/>
  <c r="R470" i="1"/>
  <c r="R912" i="1"/>
  <c r="R760" i="1"/>
  <c r="R1047" i="1"/>
  <c r="R44" i="1"/>
  <c r="R383" i="1"/>
  <c r="R371" i="1"/>
  <c r="R239" i="1"/>
  <c r="R447" i="1"/>
  <c r="R896" i="1"/>
  <c r="R546" i="1"/>
  <c r="R311" i="1"/>
  <c r="R1032" i="1"/>
  <c r="R778" i="1"/>
  <c r="R659" i="1"/>
  <c r="R208" i="1"/>
  <c r="R177" i="1"/>
  <c r="R336" i="1"/>
  <c r="R129" i="1"/>
  <c r="R580" i="1"/>
  <c r="R249" i="1"/>
  <c r="R698" i="1"/>
  <c r="R155" i="1"/>
  <c r="R811" i="1"/>
  <c r="R937" i="1"/>
  <c r="R476" i="1"/>
  <c r="R1071" i="1"/>
  <c r="R148" i="1"/>
  <c r="R794" i="1"/>
  <c r="R686" i="1"/>
  <c r="R304" i="1"/>
  <c r="R69" i="1"/>
  <c r="R199" i="1"/>
  <c r="R442" i="1"/>
  <c r="R538" i="1"/>
  <c r="R650" i="1"/>
  <c r="R766" i="1"/>
  <c r="R1021" i="1"/>
  <c r="R124" i="1"/>
  <c r="R890" i="1"/>
  <c r="R32" i="1"/>
  <c r="R161" i="1"/>
  <c r="R497" i="1"/>
  <c r="R594" i="1"/>
  <c r="R35" i="1"/>
  <c r="R263" i="1"/>
  <c r="R94" i="1"/>
  <c r="R977" i="1"/>
  <c r="R381" i="1"/>
  <c r="R729" i="1"/>
  <c r="R822" i="1"/>
  <c r="R1074" i="1"/>
  <c r="R341" i="1"/>
  <c r="R522" i="1"/>
  <c r="R414" i="1"/>
  <c r="R347" i="1"/>
  <c r="R380" i="1"/>
  <c r="R543" i="1"/>
  <c r="R430" i="1"/>
  <c r="R542" i="1"/>
  <c r="R540" i="1"/>
  <c r="R541" i="1"/>
  <c r="U15" i="13"/>
  <c r="C28" i="23"/>
  <c r="Q28" i="23" s="1"/>
  <c r="I389" i="1"/>
  <c r="C42" i="30"/>
  <c r="G51" i="30"/>
  <c r="I51" i="30" s="1"/>
  <c r="F17" i="13"/>
  <c r="G111" i="30"/>
  <c r="C108" i="30"/>
  <c r="G107" i="30"/>
  <c r="G110" i="30" s="1"/>
  <c r="C111" i="30"/>
  <c r="F108" i="30"/>
  <c r="E108" i="30"/>
  <c r="D108" i="30"/>
  <c r="C107" i="30"/>
  <c r="G108" i="30"/>
  <c r="F110" i="30"/>
  <c r="D110" i="30"/>
  <c r="E110" i="30"/>
  <c r="C97" i="30"/>
  <c r="D99" i="30"/>
  <c r="F97" i="30"/>
  <c r="E99" i="30"/>
  <c r="C99" i="30"/>
  <c r="G99" i="30"/>
  <c r="E97" i="30"/>
  <c r="D97" i="30"/>
  <c r="G97" i="30"/>
  <c r="I97" i="30" s="1"/>
  <c r="F99" i="30"/>
  <c r="G100" i="30"/>
  <c r="F100" i="30"/>
  <c r="E100" i="30"/>
  <c r="D100" i="30"/>
  <c r="C100" i="30"/>
  <c r="J18" i="21"/>
  <c r="D18" i="21"/>
  <c r="C18" i="21"/>
  <c r="G54" i="30"/>
  <c r="B9" i="26"/>
  <c r="I30" i="13"/>
  <c r="I25" i="13"/>
  <c r="H38" i="13"/>
  <c r="X49" i="3"/>
  <c r="I24" i="13"/>
  <c r="Q26" i="3"/>
  <c r="Q35" i="3"/>
  <c r="Q144" i="3"/>
  <c r="Q70" i="3"/>
  <c r="Q81" i="3"/>
  <c r="Q107" i="3"/>
  <c r="D4" i="13"/>
  <c r="D5" i="13"/>
  <c r="Q18" i="3"/>
  <c r="Q139" i="3"/>
  <c r="Q22" i="3"/>
  <c r="Q7" i="3"/>
  <c r="Q15" i="3"/>
  <c r="Q30" i="3"/>
  <c r="Q31" i="3"/>
  <c r="M54" i="15"/>
  <c r="X23" i="3" s="1"/>
  <c r="M2854" i="15"/>
  <c r="X14" i="3" s="1"/>
  <c r="E790" i="15" s="1"/>
  <c r="M526" i="15"/>
  <c r="X148" i="3" s="1"/>
  <c r="M524" i="15"/>
  <c r="X147" i="3" s="1"/>
  <c r="M513" i="15"/>
  <c r="M502" i="15"/>
  <c r="X145" i="3" s="1"/>
  <c r="M501" i="15"/>
  <c r="M427" i="15"/>
  <c r="X143" i="3" s="1"/>
  <c r="M424" i="15"/>
  <c r="X142" i="3" s="1"/>
  <c r="M407" i="15"/>
  <c r="X139" i="3" s="1"/>
  <c r="M382" i="15"/>
  <c r="X136" i="3" s="1"/>
  <c r="M383" i="15"/>
  <c r="X135" i="3" s="1"/>
  <c r="I16" i="26" s="1"/>
  <c r="M384" i="15"/>
  <c r="X134" i="3" s="1"/>
  <c r="M386" i="15"/>
  <c r="M359" i="15"/>
  <c r="M328" i="15"/>
  <c r="X128" i="3" s="1"/>
  <c r="M333" i="15"/>
  <c r="X127" i="3" s="1"/>
  <c r="M313" i="15"/>
  <c r="X121" i="3" s="1"/>
  <c r="M317" i="15"/>
  <c r="X123" i="3" s="1"/>
  <c r="M308" i="15"/>
  <c r="X119" i="3" s="1"/>
  <c r="M310" i="15"/>
  <c r="M298" i="15"/>
  <c r="X115" i="3" s="1"/>
  <c r="M296" i="15"/>
  <c r="X114" i="3" s="1"/>
  <c r="M292" i="15"/>
  <c r="X112" i="3" s="1"/>
  <c r="M293" i="15"/>
  <c r="X113" i="3" s="1"/>
  <c r="M294" i="15"/>
  <c r="X107" i="3" s="1"/>
  <c r="M291" i="15"/>
  <c r="M278" i="15"/>
  <c r="X110" i="3" s="1"/>
  <c r="M230" i="15"/>
  <c r="X103" i="3" s="1"/>
  <c r="E1351" i="15" s="1"/>
  <c r="M236" i="15"/>
  <c r="X102" i="3" s="1"/>
  <c r="M237" i="15"/>
  <c r="X100" i="3" s="1"/>
  <c r="M214" i="15"/>
  <c r="M209" i="15"/>
  <c r="M210" i="15"/>
  <c r="X98" i="3" s="1"/>
  <c r="M212" i="15"/>
  <c r="M213" i="15"/>
  <c r="X94" i="3" s="1"/>
  <c r="M193" i="15"/>
  <c r="X90" i="3" s="1"/>
  <c r="M180" i="15"/>
  <c r="X86" i="3" s="1"/>
  <c r="M175" i="15"/>
  <c r="X83" i="3" s="1"/>
  <c r="E926" i="15" s="1"/>
  <c r="M172" i="15"/>
  <c r="M169" i="15"/>
  <c r="X79" i="3" s="1"/>
  <c r="M164" i="15"/>
  <c r="X78" i="3" s="1"/>
  <c r="M166" i="15"/>
  <c r="X77" i="3" s="1"/>
  <c r="E1072" i="15" s="1"/>
  <c r="M147" i="15"/>
  <c r="X75" i="3" s="1"/>
  <c r="M136" i="15"/>
  <c r="X72" i="3" s="1"/>
  <c r="M130" i="15"/>
  <c r="X71" i="3" s="1"/>
  <c r="M126" i="15"/>
  <c r="M121" i="15"/>
  <c r="X67" i="3" s="1"/>
  <c r="M112" i="15"/>
  <c r="X66" i="3" s="1"/>
  <c r="M109" i="15"/>
  <c r="X69" i="3" s="1"/>
  <c r="M108" i="15"/>
  <c r="X62" i="3" s="1"/>
  <c r="M171" i="15"/>
  <c r="X80" i="3" s="1"/>
  <c r="M106" i="15"/>
  <c r="X59" i="3" s="1"/>
  <c r="M89" i="15"/>
  <c r="M86" i="15"/>
  <c r="X54" i="3" s="1"/>
  <c r="M80" i="15"/>
  <c r="X52" i="3" s="1"/>
  <c r="M81" i="15"/>
  <c r="X53" i="3" s="1"/>
  <c r="M78" i="15"/>
  <c r="X51" i="3" s="1"/>
  <c r="M77" i="15"/>
  <c r="X48" i="3" s="1"/>
  <c r="M74" i="15"/>
  <c r="M73" i="15"/>
  <c r="X47" i="3" s="1"/>
  <c r="M71" i="15"/>
  <c r="X44" i="3" s="1"/>
  <c r="M69" i="15"/>
  <c r="X45" i="3" s="1"/>
  <c r="M59" i="15"/>
  <c r="X42" i="3" s="1"/>
  <c r="M61" i="15"/>
  <c r="X43" i="3" s="1"/>
  <c r="M46" i="15"/>
  <c r="X24" i="3" s="1"/>
  <c r="M44" i="15"/>
  <c r="M21" i="15"/>
  <c r="X16" i="3" s="1"/>
  <c r="E994" i="15" s="1"/>
  <c r="M41" i="15"/>
  <c r="X31" i="3" s="1"/>
  <c r="M42" i="15"/>
  <c r="X32" i="3" s="1"/>
  <c r="E72" i="15" s="1"/>
  <c r="M40" i="15"/>
  <c r="M35" i="15"/>
  <c r="X28" i="3" s="1"/>
  <c r="M36" i="15"/>
  <c r="X29" i="3" s="1"/>
  <c r="M37" i="15"/>
  <c r="M34" i="15"/>
  <c r="X26" i="3" s="1"/>
  <c r="M33" i="15"/>
  <c r="X25" i="3" s="1"/>
  <c r="M32" i="15"/>
  <c r="X22" i="3" s="1"/>
  <c r="M6" i="15"/>
  <c r="X34" i="3" s="1"/>
  <c r="K151" i="3"/>
  <c r="K160" i="3"/>
  <c r="K159" i="3"/>
  <c r="K157" i="3"/>
  <c r="K161" i="3"/>
  <c r="I26" i="13"/>
  <c r="I31" i="13"/>
  <c r="I33" i="13"/>
  <c r="M17" i="13"/>
  <c r="L39" i="13"/>
  <c r="L37" i="13"/>
  <c r="L17" i="13"/>
  <c r="M680" i="15"/>
  <c r="M14" i="13"/>
  <c r="M31" i="13"/>
  <c r="M1493" i="15"/>
  <c r="M22" i="13"/>
  <c r="M30" i="13"/>
  <c r="M29" i="13"/>
  <c r="M262" i="15"/>
  <c r="M11" i="13"/>
  <c r="M28" i="13"/>
  <c r="M27" i="13"/>
  <c r="M26" i="13"/>
  <c r="M25" i="13"/>
  <c r="M1396" i="15"/>
  <c r="M21" i="13"/>
  <c r="M10" i="13"/>
  <c r="M24" i="13"/>
  <c r="M1175" i="15"/>
  <c r="M19" i="13"/>
  <c r="M57" i="15"/>
  <c r="M8" i="13"/>
  <c r="M23" i="13"/>
  <c r="M803" i="15"/>
  <c r="M15" i="13"/>
  <c r="M1055" i="15"/>
  <c r="M909" i="15"/>
  <c r="M16" i="13"/>
  <c r="M134" i="15"/>
  <c r="M9" i="13"/>
  <c r="M1067" i="15"/>
  <c r="M18" i="13"/>
  <c r="M471" i="15"/>
  <c r="M13" i="13"/>
  <c r="M35" i="13"/>
  <c r="M1286" i="15"/>
  <c r="M20" i="13"/>
  <c r="M33" i="13"/>
  <c r="M34" i="13"/>
  <c r="M356" i="15"/>
  <c r="M12" i="13"/>
  <c r="M32" i="13"/>
  <c r="L36" i="13"/>
  <c r="K32" i="13"/>
  <c r="K34" i="13"/>
  <c r="L38" i="13"/>
  <c r="K35" i="13"/>
  <c r="K29" i="13"/>
  <c r="K28" i="13"/>
  <c r="I32" i="13"/>
  <c r="K27" i="13"/>
  <c r="I13" i="13"/>
  <c r="K13" i="13"/>
  <c r="K3" i="13"/>
  <c r="I3" i="13"/>
  <c r="I20" i="13"/>
  <c r="I36" i="13"/>
  <c r="K36" i="13"/>
  <c r="K20" i="13"/>
  <c r="K26" i="13"/>
  <c r="I29" i="13"/>
  <c r="I27" i="13"/>
  <c r="I35" i="13"/>
  <c r="K11" i="13"/>
  <c r="I11" i="13"/>
  <c r="K33" i="13"/>
  <c r="K25" i="13"/>
  <c r="I28" i="13"/>
  <c r="I34" i="13"/>
  <c r="K24" i="13"/>
  <c r="I21" i="13"/>
  <c r="K7" i="13"/>
  <c r="I7" i="13"/>
  <c r="K31" i="13"/>
  <c r="K21" i="13"/>
  <c r="K30" i="13"/>
  <c r="K39" i="13"/>
  <c r="I22" i="13"/>
  <c r="I39" i="13"/>
  <c r="K23" i="13"/>
  <c r="K22" i="13"/>
  <c r="I8" i="13"/>
  <c r="K8" i="13"/>
  <c r="K5" i="13"/>
  <c r="I5" i="13"/>
  <c r="I23" i="13"/>
  <c r="K15" i="13"/>
  <c r="I15" i="13"/>
  <c r="K9" i="13"/>
  <c r="I9" i="13"/>
  <c r="I18" i="13"/>
  <c r="I38" i="13"/>
  <c r="K38" i="13"/>
  <c r="K16" i="13"/>
  <c r="I12" i="13"/>
  <c r="K12" i="13"/>
  <c r="I10" i="13"/>
  <c r="K10" i="13"/>
  <c r="K6" i="13"/>
  <c r="I6" i="13"/>
  <c r="K18" i="13"/>
  <c r="I16" i="13"/>
  <c r="K14" i="13"/>
  <c r="I14" i="13"/>
  <c r="K4" i="13"/>
  <c r="I4" i="13"/>
  <c r="I19" i="13"/>
  <c r="I37" i="13"/>
  <c r="K37" i="13"/>
  <c r="K17" i="13"/>
  <c r="K19" i="13"/>
  <c r="I17" i="13"/>
  <c r="M351" i="15"/>
  <c r="J25" i="13"/>
  <c r="G34" i="13"/>
  <c r="B34" i="13" s="1"/>
  <c r="J35" i="13"/>
  <c r="G27" i="13"/>
  <c r="J39" i="13"/>
  <c r="H33" i="13"/>
  <c r="J37" i="13"/>
  <c r="J30" i="13"/>
  <c r="G36" i="13"/>
  <c r="B36" i="13" s="1"/>
  <c r="H31" i="13"/>
  <c r="J32" i="13"/>
  <c r="N17" i="13"/>
  <c r="H29" i="13"/>
  <c r="H24" i="13"/>
  <c r="L35" i="13"/>
  <c r="J27" i="13"/>
  <c r="L22" i="13"/>
  <c r="H16" i="13"/>
  <c r="J34" i="13"/>
  <c r="H35" i="13"/>
  <c r="L28" i="13"/>
  <c r="H22" i="13"/>
  <c r="G16" i="13"/>
  <c r="J7" i="13"/>
  <c r="G7" i="13"/>
  <c r="H7" i="13"/>
  <c r="L7" i="13"/>
  <c r="L26" i="13"/>
  <c r="G24" i="13"/>
  <c r="L30" i="13"/>
  <c r="G22" i="13"/>
  <c r="J18" i="13"/>
  <c r="H26" i="13"/>
  <c r="J29" i="13"/>
  <c r="G33" i="13"/>
  <c r="B33" i="13" s="1"/>
  <c r="L18" i="13"/>
  <c r="G31" i="13"/>
  <c r="B31" i="13" s="1"/>
  <c r="G29" i="13"/>
  <c r="B29" i="13" s="1"/>
  <c r="H37" i="13"/>
  <c r="L32" i="13"/>
  <c r="G38" i="13"/>
  <c r="B38" i="13" s="1"/>
  <c r="J38" i="13"/>
  <c r="G17" i="13"/>
  <c r="B17" i="13" s="1"/>
  <c r="J8" i="13"/>
  <c r="G8" i="13"/>
  <c r="H8" i="13"/>
  <c r="L8" i="13"/>
  <c r="G5" i="13"/>
  <c r="H5" i="13"/>
  <c r="L5" i="13"/>
  <c r="J5" i="13"/>
  <c r="H18" i="13"/>
  <c r="J36" i="13"/>
  <c r="G26" i="13"/>
  <c r="G35" i="13"/>
  <c r="B35" i="13" s="1"/>
  <c r="H30" i="13"/>
  <c r="J22" i="13"/>
  <c r="J17" i="13"/>
  <c r="L12" i="13"/>
  <c r="N12" i="13"/>
  <c r="J12" i="13"/>
  <c r="G12" i="13"/>
  <c r="H12" i="13"/>
  <c r="G18" i="13"/>
  <c r="H28" i="13"/>
  <c r="L23" i="13"/>
  <c r="J31" i="13"/>
  <c r="L34" i="13"/>
  <c r="G15" i="13"/>
  <c r="J9" i="13"/>
  <c r="G9" i="13"/>
  <c r="H9" i="13"/>
  <c r="L9" i="13"/>
  <c r="H39" i="13"/>
  <c r="G37" i="13"/>
  <c r="B37" i="13" s="1"/>
  <c r="J24" i="13"/>
  <c r="L27" i="13"/>
  <c r="J10" i="13"/>
  <c r="G10" i="13"/>
  <c r="H10" i="13"/>
  <c r="L10" i="13"/>
  <c r="J6" i="13"/>
  <c r="G6" i="13"/>
  <c r="H6" i="13"/>
  <c r="L6" i="13"/>
  <c r="G28" i="13"/>
  <c r="B28" i="13" s="1"/>
  <c r="H23" i="13"/>
  <c r="J26" i="13"/>
  <c r="H32" i="13"/>
  <c r="H14" i="13"/>
  <c r="L14" i="13"/>
  <c r="J14" i="13"/>
  <c r="G14" i="13"/>
  <c r="B14" i="13" s="1"/>
  <c r="G4" i="13"/>
  <c r="H4" i="13"/>
  <c r="L4" i="13"/>
  <c r="J4" i="13"/>
  <c r="J19" i="13"/>
  <c r="L25" i="13"/>
  <c r="J33" i="13"/>
  <c r="G39" i="13"/>
  <c r="B39" i="13" s="1"/>
  <c r="H34" i="13"/>
  <c r="J15" i="13"/>
  <c r="H17" i="13"/>
  <c r="L19" i="13"/>
  <c r="H25" i="13"/>
  <c r="G23" i="13"/>
  <c r="L29" i="13"/>
  <c r="H21" i="13"/>
  <c r="L15" i="13"/>
  <c r="J20" i="13"/>
  <c r="H13" i="13"/>
  <c r="L13" i="13"/>
  <c r="J13" i="13"/>
  <c r="G13" i="13"/>
  <c r="G3" i="13"/>
  <c r="H3" i="13"/>
  <c r="L3" i="13"/>
  <c r="J3" i="13"/>
  <c r="H19" i="13"/>
  <c r="G30" i="13"/>
  <c r="B30" i="13" s="1"/>
  <c r="J28" i="13"/>
  <c r="L31" i="13"/>
  <c r="G21" i="13"/>
  <c r="H15" i="13"/>
  <c r="L20" i="13"/>
  <c r="G19" i="13"/>
  <c r="G25" i="13"/>
  <c r="H36" i="13"/>
  <c r="H20" i="13"/>
  <c r="H27" i="13"/>
  <c r="G20" i="13"/>
  <c r="L11" i="13"/>
  <c r="J11" i="13"/>
  <c r="G11" i="13"/>
  <c r="H11" i="13"/>
  <c r="G32" i="13"/>
  <c r="B32" i="13" s="1"/>
  <c r="L33" i="13"/>
  <c r="J23" i="13"/>
  <c r="J21" i="13"/>
  <c r="J16" i="13"/>
  <c r="L24" i="13"/>
  <c r="L21" i="13"/>
  <c r="L16" i="13"/>
  <c r="F61" i="30"/>
  <c r="F63" i="30" s="1"/>
  <c r="F65" i="30"/>
  <c r="G53" i="30"/>
  <c r="E51" i="30"/>
  <c r="F53" i="30"/>
  <c r="E53" i="30"/>
  <c r="D53" i="30"/>
  <c r="C53" i="30"/>
  <c r="M56" i="15"/>
  <c r="X40" i="3" s="1"/>
  <c r="F54" i="30"/>
  <c r="E54" i="30"/>
  <c r="D54" i="30"/>
  <c r="C54" i="30"/>
  <c r="B9" i="23"/>
  <c r="B42" i="23"/>
  <c r="J42" i="23"/>
  <c r="N42" i="23"/>
  <c r="K42" i="23"/>
  <c r="E42" i="23"/>
  <c r="M42" i="23"/>
  <c r="G42" i="23"/>
  <c r="D42" i="23"/>
  <c r="F42" i="23"/>
  <c r="L42" i="23"/>
  <c r="H42" i="23"/>
  <c r="Q19" i="23"/>
  <c r="Q40" i="23"/>
  <c r="Q30" i="23"/>
  <c r="Q23" i="23"/>
  <c r="Q31" i="23"/>
  <c r="Q21" i="23"/>
  <c r="Q24" i="23"/>
  <c r="Q32" i="23"/>
  <c r="Q27" i="23"/>
  <c r="Q35" i="23"/>
  <c r="Q41" i="23"/>
  <c r="Q25" i="23"/>
  <c r="Q26" i="23"/>
  <c r="Q37" i="23"/>
  <c r="Q34" i="23"/>
  <c r="Q29" i="23"/>
  <c r="Q38" i="23"/>
  <c r="Q36" i="23"/>
  <c r="Q22" i="23"/>
  <c r="Q33" i="23"/>
  <c r="Q39" i="23"/>
  <c r="Q20" i="23"/>
  <c r="B8" i="23"/>
  <c r="N36" i="13"/>
  <c r="N24" i="13"/>
  <c r="N39" i="13"/>
  <c r="N33" i="13"/>
  <c r="N35" i="13"/>
  <c r="N38" i="13"/>
  <c r="N25" i="13"/>
  <c r="N29" i="13"/>
  <c r="N37" i="13"/>
  <c r="N31" i="13"/>
  <c r="N28" i="13"/>
  <c r="N20" i="13"/>
  <c r="N30" i="13"/>
  <c r="N32" i="13"/>
  <c r="N26" i="13"/>
  <c r="N21" i="13"/>
  <c r="N22" i="13"/>
  <c r="N34" i="13"/>
  <c r="N23" i="13"/>
  <c r="N27" i="13"/>
  <c r="N18" i="13"/>
  <c r="N19" i="13"/>
  <c r="N11" i="13"/>
  <c r="N3" i="13"/>
  <c r="N8" i="13"/>
  <c r="N7" i="13"/>
  <c r="N6" i="13"/>
  <c r="N16" i="13"/>
  <c r="N14" i="13"/>
  <c r="N13" i="13"/>
  <c r="N10" i="13"/>
  <c r="N5" i="13"/>
  <c r="N9" i="13"/>
  <c r="N15" i="13"/>
  <c r="F4" i="13"/>
  <c r="N4" i="13"/>
  <c r="E61" i="30"/>
  <c r="E63" i="30" s="1"/>
  <c r="E65" i="30"/>
  <c r="D12" i="13"/>
  <c r="D9" i="13"/>
  <c r="D13" i="13"/>
  <c r="D10" i="13"/>
  <c r="D6" i="13"/>
  <c r="D11" i="13"/>
  <c r="D7" i="13"/>
  <c r="M2100" i="15"/>
  <c r="F30" i="13"/>
  <c r="M1881" i="15"/>
  <c r="F27" i="13"/>
  <c r="F9" i="13"/>
  <c r="M2244" i="15"/>
  <c r="F32" i="13"/>
  <c r="M1802" i="15"/>
  <c r="F26" i="13"/>
  <c r="F15" i="13"/>
  <c r="M2303" i="15"/>
  <c r="F33" i="13"/>
  <c r="F18" i="13"/>
  <c r="F19" i="13"/>
  <c r="M2361" i="15"/>
  <c r="F34" i="13"/>
  <c r="F11" i="13"/>
  <c r="F3" i="13"/>
  <c r="F20" i="13"/>
  <c r="F21" i="13"/>
  <c r="M1653" i="15"/>
  <c r="F24" i="13"/>
  <c r="M2412" i="15"/>
  <c r="F35" i="13"/>
  <c r="M2579" i="15"/>
  <c r="F39" i="13"/>
  <c r="F8" i="13"/>
  <c r="F22" i="13"/>
  <c r="M2540" i="15"/>
  <c r="F38" i="13"/>
  <c r="F7" i="13"/>
  <c r="F6" i="13"/>
  <c r="F23" i="13"/>
  <c r="M1727" i="15"/>
  <c r="F25" i="13"/>
  <c r="M2027" i="15"/>
  <c r="F29" i="13"/>
  <c r="M2502" i="15"/>
  <c r="F37" i="13"/>
  <c r="F14" i="13"/>
  <c r="F12" i="13"/>
  <c r="M2172" i="15"/>
  <c r="F31" i="13"/>
  <c r="M1956" i="15"/>
  <c r="F28" i="13"/>
  <c r="M2459" i="15"/>
  <c r="F36" i="13"/>
  <c r="F13" i="13"/>
  <c r="F10" i="13"/>
  <c r="F5" i="13"/>
  <c r="F16" i="13"/>
  <c r="D51" i="30"/>
  <c r="C51" i="30"/>
  <c r="F51" i="30"/>
  <c r="C65" i="30"/>
  <c r="G61" i="30"/>
  <c r="G64" i="30" s="1"/>
  <c r="D65" i="30"/>
  <c r="G65" i="30"/>
  <c r="C61" i="30"/>
  <c r="P14" i="13"/>
  <c r="G62" i="30"/>
  <c r="H62" i="30" s="1"/>
  <c r="F62" i="30"/>
  <c r="E62" i="30"/>
  <c r="D62" i="30"/>
  <c r="C62" i="30"/>
  <c r="D61" i="30"/>
  <c r="C17" i="30"/>
  <c r="F13" i="30"/>
  <c r="F16" i="30" s="1"/>
  <c r="E13" i="30"/>
  <c r="E15" i="30" s="1"/>
  <c r="D13" i="30"/>
  <c r="D15" i="30" s="1"/>
  <c r="G17" i="30"/>
  <c r="F17" i="30"/>
  <c r="C13" i="30"/>
  <c r="D17" i="30"/>
  <c r="E17" i="30"/>
  <c r="P17" i="13"/>
  <c r="C141" i="30" s="1"/>
  <c r="P8" i="13"/>
  <c r="F42" i="30"/>
  <c r="E42" i="30"/>
  <c r="D42" i="30"/>
  <c r="C5" i="30"/>
  <c r="C14" i="30"/>
  <c r="G14" i="30"/>
  <c r="N148" i="3"/>
  <c r="C17" i="21"/>
  <c r="D17" i="21"/>
  <c r="J17" i="21"/>
  <c r="L17" i="21" s="1"/>
  <c r="M847" i="15"/>
  <c r="R19" i="3"/>
  <c r="F14" i="30"/>
  <c r="E14" i="30"/>
  <c r="D14" i="30"/>
  <c r="G5" i="30"/>
  <c r="I5" i="30" s="1"/>
  <c r="F5" i="30"/>
  <c r="E5" i="30"/>
  <c r="D5" i="30"/>
  <c r="B13" i="26"/>
  <c r="B6" i="26"/>
  <c r="B15" i="26"/>
  <c r="C4" i="21"/>
  <c r="C16" i="21"/>
  <c r="C5" i="21"/>
  <c r="C4" i="40" s="1"/>
  <c r="J4" i="40" s="1"/>
  <c r="C6" i="21"/>
  <c r="C5" i="40" s="1"/>
  <c r="J5" i="40" s="1"/>
  <c r="C8" i="21"/>
  <c r="C7" i="40" s="1"/>
  <c r="J7" i="40" s="1"/>
  <c r="C9" i="21"/>
  <c r="C8" i="40" s="1"/>
  <c r="J8" i="40" s="1"/>
  <c r="C10" i="21"/>
  <c r="C9" i="40" s="1"/>
  <c r="J9" i="40" s="1"/>
  <c r="C11" i="21"/>
  <c r="C10" i="40" s="1"/>
  <c r="J10" i="40" s="1"/>
  <c r="C12" i="21"/>
  <c r="C11" i="40" s="1"/>
  <c r="J11" i="40" s="1"/>
  <c r="C7" i="21"/>
  <c r="C6" i="40" s="1"/>
  <c r="J6" i="40" s="1"/>
  <c r="C13" i="21"/>
  <c r="C12" i="40" s="1"/>
  <c r="J12" i="40" s="1"/>
  <c r="C2" i="21"/>
  <c r="C14" i="21"/>
  <c r="C13" i="40" s="1"/>
  <c r="J13" i="40" s="1"/>
  <c r="C3" i="21"/>
  <c r="AE3" i="13" s="1"/>
  <c r="C15" i="21"/>
  <c r="C14" i="40" s="1"/>
  <c r="J14" i="40" s="1"/>
  <c r="B16" i="26"/>
  <c r="B10" i="26"/>
  <c r="H11" i="3"/>
  <c r="B7" i="26"/>
  <c r="B5" i="26"/>
  <c r="B2" i="26"/>
  <c r="H102" i="3"/>
  <c r="H3" i="3"/>
  <c r="H27" i="3"/>
  <c r="H37" i="3"/>
  <c r="R20" i="3"/>
  <c r="K163" i="3"/>
  <c r="K155" i="3"/>
  <c r="H25" i="3"/>
  <c r="H141" i="3"/>
  <c r="H140" i="3"/>
  <c r="H97" i="3"/>
  <c r="H72" i="3"/>
  <c r="H86" i="3"/>
  <c r="H40" i="3"/>
  <c r="H42" i="3"/>
  <c r="H90" i="3"/>
  <c r="K158" i="3"/>
  <c r="K150" i="3"/>
  <c r="K154" i="3"/>
  <c r="H122" i="3"/>
  <c r="H94" i="3"/>
  <c r="H52" i="3"/>
  <c r="H10" i="3"/>
  <c r="H84" i="3"/>
  <c r="H82" i="3"/>
  <c r="H120" i="3"/>
  <c r="H43" i="3"/>
  <c r="H9" i="3"/>
  <c r="H142" i="3"/>
  <c r="H126" i="3"/>
  <c r="H96" i="3"/>
  <c r="H12" i="3"/>
  <c r="H109" i="3"/>
  <c r="H75" i="3"/>
  <c r="H147" i="3"/>
  <c r="H85" i="3"/>
  <c r="H17" i="3"/>
  <c r="H62" i="3"/>
  <c r="H13" i="3"/>
  <c r="H2" i="3"/>
  <c r="H112" i="3"/>
  <c r="H136" i="3"/>
  <c r="I104" i="3"/>
  <c r="H110" i="3"/>
  <c r="H6" i="3"/>
  <c r="H95" i="3"/>
  <c r="I81" i="3"/>
  <c r="I63" i="3"/>
  <c r="H63" i="3"/>
  <c r="I26" i="3"/>
  <c r="I107" i="3"/>
  <c r="I108" i="3"/>
  <c r="H108" i="3"/>
  <c r="H113" i="3"/>
  <c r="I117" i="3"/>
  <c r="H117" i="3"/>
  <c r="H137" i="3"/>
  <c r="H146" i="3"/>
  <c r="I98" i="3"/>
  <c r="H57" i="3"/>
  <c r="H79" i="3"/>
  <c r="I61" i="3"/>
  <c r="H61" i="3"/>
  <c r="H138" i="3"/>
  <c r="H143" i="3"/>
  <c r="I58" i="3"/>
  <c r="H58" i="3"/>
  <c r="H47" i="3"/>
  <c r="H114" i="3"/>
  <c r="H83" i="3"/>
  <c r="I5" i="3"/>
  <c r="H123" i="3"/>
  <c r="I15" i="3"/>
  <c r="H51" i="3"/>
  <c r="H39" i="3"/>
  <c r="H121" i="3"/>
  <c r="I88" i="3"/>
  <c r="H88" i="3"/>
  <c r="I99" i="3"/>
  <c r="H99" i="3"/>
  <c r="I127" i="3"/>
  <c r="H127" i="3"/>
  <c r="I76" i="3"/>
  <c r="H76" i="3"/>
  <c r="I31" i="3"/>
  <c r="H119" i="3"/>
  <c r="H77" i="3"/>
  <c r="H32" i="3"/>
  <c r="H115" i="3"/>
  <c r="I129" i="3"/>
  <c r="H129" i="3"/>
  <c r="H78" i="3"/>
  <c r="I48" i="3"/>
  <c r="H48" i="3"/>
  <c r="H41" i="3"/>
  <c r="I7" i="3"/>
  <c r="H7" i="3"/>
  <c r="I116" i="3"/>
  <c r="H116" i="3"/>
  <c r="H49" i="3"/>
  <c r="H71" i="3"/>
  <c r="H54" i="3"/>
  <c r="I132" i="3"/>
  <c r="H132" i="3"/>
  <c r="H93" i="3"/>
  <c r="H19" i="3"/>
  <c r="I118" i="3"/>
  <c r="H118" i="3"/>
  <c r="H92" i="3"/>
  <c r="I60" i="3"/>
  <c r="H60" i="3"/>
  <c r="H133" i="3"/>
  <c r="I144" i="3"/>
  <c r="I91" i="3"/>
  <c r="H91" i="3"/>
  <c r="I22" i="3"/>
  <c r="H59" i="3"/>
  <c r="H66" i="3"/>
  <c r="H45" i="3"/>
  <c r="H55" i="3"/>
  <c r="H128" i="3"/>
  <c r="H125" i="3"/>
  <c r="H148" i="3"/>
  <c r="I38" i="3"/>
  <c r="H38" i="3"/>
  <c r="I4" i="3"/>
  <c r="I20" i="3"/>
  <c r="I24" i="3"/>
  <c r="H24" i="3"/>
  <c r="H69" i="3"/>
  <c r="I111" i="3"/>
  <c r="H111" i="3"/>
  <c r="H131" i="3"/>
  <c r="H134" i="3"/>
  <c r="H100" i="3"/>
  <c r="I106" i="3"/>
  <c r="H106" i="3"/>
  <c r="I50" i="3"/>
  <c r="H50" i="3"/>
  <c r="H64" i="3"/>
  <c r="I23" i="3"/>
  <c r="H23" i="3"/>
  <c r="H34" i="3"/>
  <c r="I74" i="3"/>
  <c r="H74" i="3"/>
  <c r="I89" i="3"/>
  <c r="H89" i="3"/>
  <c r="I30" i="3"/>
  <c r="I36" i="3"/>
  <c r="H68" i="3"/>
  <c r="H46" i="3"/>
  <c r="H28" i="3"/>
  <c r="H135" i="3"/>
  <c r="I105" i="3"/>
  <c r="H105" i="3"/>
  <c r="I70" i="3"/>
  <c r="H56" i="3"/>
  <c r="I21" i="3"/>
  <c r="H21" i="3"/>
  <c r="I35" i="3"/>
  <c r="I149" i="3"/>
  <c r="H149" i="3"/>
  <c r="I101" i="3"/>
  <c r="H101" i="3"/>
  <c r="I87" i="3"/>
  <c r="H87" i="3"/>
  <c r="H8" i="3"/>
  <c r="H53" i="3"/>
  <c r="I65" i="3"/>
  <c r="H65" i="3"/>
  <c r="H16" i="3"/>
  <c r="I33" i="3"/>
  <c r="H33" i="3"/>
  <c r="I130" i="3"/>
  <c r="H130" i="3"/>
  <c r="H145" i="3"/>
  <c r="H103" i="3"/>
  <c r="I80" i="3"/>
  <c r="H67" i="3"/>
  <c r="H73" i="3"/>
  <c r="H44" i="3"/>
  <c r="I29" i="3"/>
  <c r="H29" i="3"/>
  <c r="I124" i="3"/>
  <c r="H124" i="3"/>
  <c r="I139" i="3"/>
  <c r="D10" i="26"/>
  <c r="D2" i="26"/>
  <c r="D16" i="26"/>
  <c r="D9" i="26"/>
  <c r="D7" i="26"/>
  <c r="D15" i="26"/>
  <c r="D5" i="26"/>
  <c r="D6" i="26"/>
  <c r="D13" i="26"/>
  <c r="K156" i="3"/>
  <c r="K152" i="3"/>
  <c r="K153" i="3"/>
  <c r="K162" i="3"/>
  <c r="D6" i="21"/>
  <c r="D4" i="21"/>
  <c r="D15" i="21"/>
  <c r="J14" i="21"/>
  <c r="L14" i="21" s="1"/>
  <c r="AH14" i="13"/>
  <c r="AH8" i="13"/>
  <c r="N21" i="3"/>
  <c r="M167" i="15"/>
  <c r="R84" i="3"/>
  <c r="M239" i="15"/>
  <c r="X104" i="3" s="1"/>
  <c r="M49" i="15"/>
  <c r="X39" i="3" s="1"/>
  <c r="M350" i="15"/>
  <c r="M83" i="15"/>
  <c r="X55" i="3" s="1"/>
  <c r="M145" i="15"/>
  <c r="M7" i="15"/>
  <c r="M566" i="15"/>
  <c r="M463" i="15"/>
  <c r="M2" i="15"/>
  <c r="N97" i="3"/>
  <c r="I43" i="3"/>
  <c r="I113" i="3"/>
  <c r="I94" i="3"/>
  <c r="I52" i="3"/>
  <c r="I54" i="3"/>
  <c r="I114" i="3"/>
  <c r="I119" i="3"/>
  <c r="I138" i="3"/>
  <c r="I142" i="3"/>
  <c r="I143" i="3"/>
  <c r="I49" i="3"/>
  <c r="I32" i="3"/>
  <c r="I57" i="3"/>
  <c r="I93" i="3"/>
  <c r="I19" i="3"/>
  <c r="I121" i="3"/>
  <c r="I92" i="3"/>
  <c r="I78" i="3"/>
  <c r="I18" i="3"/>
  <c r="I41" i="3"/>
  <c r="I126" i="3"/>
  <c r="I133" i="3"/>
  <c r="I72" i="3"/>
  <c r="I51" i="3"/>
  <c r="I115" i="3"/>
  <c r="I66" i="3"/>
  <c r="I128" i="3"/>
  <c r="I77" i="3"/>
  <c r="I39" i="3"/>
  <c r="I59" i="3"/>
  <c r="I45" i="3"/>
  <c r="I55" i="3"/>
  <c r="I125" i="3"/>
  <c r="I96" i="3"/>
  <c r="I12" i="3"/>
  <c r="I69" i="3"/>
  <c r="I131" i="3"/>
  <c r="I134" i="3"/>
  <c r="I148" i="3"/>
  <c r="I97" i="3"/>
  <c r="I34" i="3"/>
  <c r="I95" i="3"/>
  <c r="I71" i="3"/>
  <c r="I123" i="3"/>
  <c r="I90" i="3"/>
  <c r="I40" i="3"/>
  <c r="I64" i="3"/>
  <c r="I68" i="3"/>
  <c r="I46" i="3"/>
  <c r="I28" i="3"/>
  <c r="I109" i="3"/>
  <c r="I135" i="3"/>
  <c r="I140" i="3"/>
  <c r="I79" i="3"/>
  <c r="I56" i="3"/>
  <c r="I85" i="3"/>
  <c r="I17" i="3"/>
  <c r="I62" i="3"/>
  <c r="I13" i="3"/>
  <c r="I14" i="3"/>
  <c r="I2" i="3"/>
  <c r="J15" i="21"/>
  <c r="I112" i="3"/>
  <c r="I136" i="3"/>
  <c r="I147" i="3"/>
  <c r="I6" i="3"/>
  <c r="I137" i="3"/>
  <c r="I146" i="3"/>
  <c r="I10" i="3"/>
  <c r="I102" i="3"/>
  <c r="I3" i="3"/>
  <c r="I37" i="3"/>
  <c r="I47" i="3"/>
  <c r="I75" i="3"/>
  <c r="I25" i="3"/>
  <c r="I27" i="3"/>
  <c r="I8" i="3"/>
  <c r="I53" i="3"/>
  <c r="I16" i="3"/>
  <c r="I141" i="3"/>
  <c r="I9" i="3"/>
  <c r="I73" i="3"/>
  <c r="I145" i="3"/>
  <c r="I83" i="3"/>
  <c r="I103" i="3"/>
  <c r="I67" i="3"/>
  <c r="I44" i="3"/>
  <c r="I122" i="3"/>
  <c r="I100" i="3"/>
  <c r="I82" i="3"/>
  <c r="I42" i="3"/>
  <c r="I110" i="3"/>
  <c r="I120" i="3"/>
  <c r="N53" i="3"/>
  <c r="N33" i="3"/>
  <c r="N37" i="3"/>
  <c r="N11" i="3"/>
  <c r="N58" i="3"/>
  <c r="D2" i="21"/>
  <c r="X58" i="3"/>
  <c r="Q48" i="3"/>
  <c r="N96" i="3"/>
  <c r="Q104" i="3"/>
  <c r="Q127" i="3"/>
  <c r="N141" i="3"/>
  <c r="N123" i="3"/>
  <c r="N102" i="3"/>
  <c r="N136" i="3"/>
  <c r="N40" i="3"/>
  <c r="N72" i="3"/>
  <c r="N46" i="3"/>
  <c r="N25" i="3"/>
  <c r="N29" i="3"/>
  <c r="N45" i="3"/>
  <c r="N57" i="3"/>
  <c r="N86" i="3"/>
  <c r="K86" i="3" s="1"/>
  <c r="Q5" i="3"/>
  <c r="N147" i="3"/>
  <c r="N149" i="3"/>
  <c r="N44" i="3"/>
  <c r="N140" i="3"/>
  <c r="N76" i="3"/>
  <c r="N41" i="3"/>
  <c r="N52" i="3"/>
  <c r="N2" i="3"/>
  <c r="Q98" i="3"/>
  <c r="N56" i="3"/>
  <c r="N61" i="3"/>
  <c r="N55" i="3"/>
  <c r="N122" i="3"/>
  <c r="N124" i="3"/>
  <c r="Q4" i="3"/>
  <c r="N71" i="3"/>
  <c r="N103" i="3"/>
  <c r="N130" i="3"/>
  <c r="Q80" i="3"/>
  <c r="Q20" i="3"/>
  <c r="R2" i="3"/>
  <c r="I46" i="1"/>
  <c r="Q36" i="3"/>
  <c r="N16" i="3"/>
  <c r="N68" i="3"/>
  <c r="N9" i="3"/>
  <c r="N17" i="3"/>
  <c r="N75" i="3"/>
  <c r="N43" i="3"/>
  <c r="N84" i="3"/>
  <c r="K84" i="3" s="1"/>
  <c r="N93" i="3"/>
  <c r="N134" i="3"/>
  <c r="N142" i="3"/>
  <c r="N10" i="3"/>
  <c r="N42" i="3"/>
  <c r="N119" i="3"/>
  <c r="N112" i="3"/>
  <c r="N49" i="3"/>
  <c r="N54" i="3"/>
  <c r="N85" i="3"/>
  <c r="N131" i="3"/>
  <c r="N135" i="3"/>
  <c r="N28" i="3"/>
  <c r="N3" i="3"/>
  <c r="N138" i="3"/>
  <c r="N79" i="3"/>
  <c r="N95" i="3"/>
  <c r="N12" i="3"/>
  <c r="N59" i="3"/>
  <c r="N83" i="3"/>
  <c r="N120" i="3"/>
  <c r="N13" i="3"/>
  <c r="N64" i="3"/>
  <c r="N67" i="3"/>
  <c r="N82" i="3"/>
  <c r="N94" i="3"/>
  <c r="N24" i="3"/>
  <c r="N66" i="3"/>
  <c r="N121" i="3"/>
  <c r="N51" i="3"/>
  <c r="N6" i="3"/>
  <c r="N62" i="3"/>
  <c r="N77" i="3"/>
  <c r="N34" i="3"/>
  <c r="N100" i="3"/>
  <c r="N128" i="3"/>
  <c r="N115" i="3"/>
  <c r="N32" i="3"/>
  <c r="N69" i="3"/>
  <c r="N47" i="3"/>
  <c r="N23" i="3"/>
  <c r="N19" i="3"/>
  <c r="N8" i="3"/>
  <c r="N78" i="3"/>
  <c r="N114" i="3"/>
  <c r="N27" i="3"/>
  <c r="N39" i="3"/>
  <c r="N113" i="3"/>
  <c r="N109" i="3"/>
  <c r="N90" i="3"/>
  <c r="N133" i="3"/>
  <c r="Q14" i="13"/>
  <c r="Q8" i="13"/>
  <c r="B5" i="23"/>
  <c r="J10" i="23"/>
  <c r="F6" i="23"/>
  <c r="J6" i="23"/>
  <c r="F5" i="23"/>
  <c r="B6" i="23"/>
  <c r="D8" i="23"/>
  <c r="B2" i="23"/>
  <c r="G11" i="23"/>
  <c r="D4" i="23"/>
  <c r="B4" i="23"/>
  <c r="J8" i="23"/>
  <c r="H5" i="23"/>
  <c r="E4" i="23"/>
  <c r="E7" i="23"/>
  <c r="L8" i="23"/>
  <c r="B11" i="23"/>
  <c r="E5" i="23"/>
  <c r="H6" i="23"/>
  <c r="E8" i="23"/>
  <c r="L9" i="23"/>
  <c r="G7" i="23"/>
  <c r="M8" i="23"/>
  <c r="O9" i="23"/>
  <c r="G9" i="23"/>
  <c r="F10" i="23"/>
  <c r="D6" i="23"/>
  <c r="M9" i="23"/>
  <c r="M7" i="23"/>
  <c r="O10" i="23"/>
  <c r="F8" i="23"/>
  <c r="G8" i="23"/>
  <c r="J5" i="23"/>
  <c r="P11" i="23"/>
  <c r="M10" i="23"/>
  <c r="L7" i="23"/>
  <c r="J9" i="23"/>
  <c r="K9" i="23"/>
  <c r="E10" i="23"/>
  <c r="P10" i="23"/>
  <c r="C11" i="23"/>
  <c r="E6" i="23"/>
  <c r="D12" i="23"/>
  <c r="C6" i="23"/>
  <c r="E9" i="23"/>
  <c r="I5" i="23"/>
  <c r="H7" i="23"/>
  <c r="F9" i="23"/>
  <c r="F4" i="23"/>
  <c r="I9" i="23"/>
  <c r="I15" i="23" s="1"/>
  <c r="C10" i="23"/>
  <c r="E11" i="23"/>
  <c r="L11" i="23"/>
  <c r="J11" i="23"/>
  <c r="G10" i="23"/>
  <c r="F11" i="23"/>
  <c r="N10" i="23"/>
  <c r="K10" i="23"/>
  <c r="D5" i="23"/>
  <c r="K6" i="23"/>
  <c r="F7" i="23"/>
  <c r="B7" i="23"/>
  <c r="G4" i="23"/>
  <c r="N9" i="23"/>
  <c r="B10" i="23"/>
  <c r="L12" i="23"/>
  <c r="D7" i="23"/>
  <c r="X152" i="3"/>
  <c r="E547" i="15" s="1"/>
  <c r="X158" i="3"/>
  <c r="E621" i="15" s="1"/>
  <c r="X160" i="3"/>
  <c r="E2818" i="15" s="1"/>
  <c r="X151" i="3"/>
  <c r="E2368" i="15" s="1"/>
  <c r="X156" i="3"/>
  <c r="E600" i="15" s="1"/>
  <c r="X5" i="3"/>
  <c r="X163" i="3"/>
  <c r="X161" i="3"/>
  <c r="E2165" i="15"/>
  <c r="E778" i="15"/>
  <c r="E1274" i="15"/>
  <c r="E45" i="15"/>
  <c r="E1361" i="15"/>
  <c r="E1247" i="15"/>
  <c r="E1458" i="15"/>
  <c r="E1026" i="15"/>
  <c r="E1139" i="15"/>
  <c r="E748" i="15"/>
  <c r="E891" i="15"/>
  <c r="R141" i="3"/>
  <c r="R80" i="3"/>
  <c r="R124" i="3"/>
  <c r="R131" i="3"/>
  <c r="R121" i="3"/>
  <c r="R113" i="3"/>
  <c r="R98" i="3"/>
  <c r="R75" i="3"/>
  <c r="R30" i="3"/>
  <c r="R13" i="3"/>
  <c r="R147" i="3"/>
  <c r="R140" i="3"/>
  <c r="R136" i="3"/>
  <c r="R120" i="3"/>
  <c r="R115" i="3"/>
  <c r="R96" i="3"/>
  <c r="R77" i="3"/>
  <c r="R72" i="3"/>
  <c r="R41" i="3"/>
  <c r="R35" i="3"/>
  <c r="R23" i="3"/>
  <c r="R18" i="3"/>
  <c r="R142" i="3"/>
  <c r="R107" i="3"/>
  <c r="R79" i="3"/>
  <c r="R67" i="3"/>
  <c r="R69" i="3"/>
  <c r="R48" i="3"/>
  <c r="R28" i="3"/>
  <c r="R12" i="3"/>
  <c r="R34" i="3"/>
  <c r="R146" i="3"/>
  <c r="R145" i="3"/>
  <c r="R139" i="3"/>
  <c r="R135" i="3"/>
  <c r="R126" i="3"/>
  <c r="R52" i="3"/>
  <c r="R16" i="3"/>
  <c r="R25" i="3"/>
  <c r="R5" i="3"/>
  <c r="R97" i="3"/>
  <c r="R90" i="3"/>
  <c r="R57" i="3"/>
  <c r="R46" i="3"/>
  <c r="R45" i="3"/>
  <c r="R39" i="3"/>
  <c r="R29" i="3"/>
  <c r="R7" i="3"/>
  <c r="R3" i="3"/>
  <c r="R144" i="3"/>
  <c r="R138" i="3"/>
  <c r="R134" i="3"/>
  <c r="R125" i="3"/>
  <c r="R114" i="3"/>
  <c r="R103" i="3"/>
  <c r="R73" i="3"/>
  <c r="R68" i="3"/>
  <c r="R31" i="3"/>
  <c r="R22" i="3"/>
  <c r="R10" i="3"/>
  <c r="R123" i="3"/>
  <c r="R109" i="3"/>
  <c r="R102" i="3"/>
  <c r="R94" i="3"/>
  <c r="R56" i="3"/>
  <c r="R47" i="3"/>
  <c r="R42" i="3"/>
  <c r="R27" i="3"/>
  <c r="R6" i="3"/>
  <c r="R4" i="3"/>
  <c r="R14" i="3"/>
  <c r="R143" i="3"/>
  <c r="R81" i="3"/>
  <c r="R59" i="3"/>
  <c r="R53" i="3"/>
  <c r="R32" i="3"/>
  <c r="R9" i="3"/>
  <c r="R148" i="3"/>
  <c r="R127" i="3"/>
  <c r="R119" i="3"/>
  <c r="R110" i="3"/>
  <c r="R100" i="3"/>
  <c r="R82" i="3"/>
  <c r="R78" i="3"/>
  <c r="R71" i="3"/>
  <c r="R55" i="3"/>
  <c r="R44" i="3"/>
  <c r="R43" i="3"/>
  <c r="R24" i="3"/>
  <c r="R133" i="3"/>
  <c r="R128" i="3"/>
  <c r="R112" i="3"/>
  <c r="R95" i="3"/>
  <c r="R86" i="3"/>
  <c r="R66" i="3"/>
  <c r="R51" i="3"/>
  <c r="R15" i="3"/>
  <c r="R8" i="3"/>
  <c r="R104" i="3"/>
  <c r="R83" i="3"/>
  <c r="R62" i="3"/>
  <c r="R54" i="3"/>
  <c r="R26" i="3"/>
  <c r="X61" i="3"/>
  <c r="M22" i="15"/>
  <c r="X17" i="3" s="1"/>
  <c r="M13" i="15"/>
  <c r="X93" i="3"/>
  <c r="M12" i="15"/>
  <c r="X8" i="3" s="1"/>
  <c r="X122" i="3"/>
  <c r="X76" i="3"/>
  <c r="M20" i="15"/>
  <c r="M4" i="15"/>
  <c r="X132" i="3"/>
  <c r="X140" i="3"/>
  <c r="X57" i="3"/>
  <c r="M16" i="15"/>
  <c r="X13" i="3" s="1"/>
  <c r="M8" i="15"/>
  <c r="X7" i="3" s="1"/>
  <c r="M15" i="15"/>
  <c r="X12" i="3" s="1"/>
  <c r="M9" i="15"/>
  <c r="X6" i="3" s="1"/>
  <c r="X141" i="3"/>
  <c r="X138" i="3"/>
  <c r="X82" i="3"/>
  <c r="M24" i="15"/>
  <c r="X19" i="3" s="1"/>
  <c r="E143" i="15" s="1"/>
  <c r="X137" i="3"/>
  <c r="X130" i="3"/>
  <c r="X126" i="3"/>
  <c r="X64" i="3"/>
  <c r="M23" i="15"/>
  <c r="X18" i="3" s="1"/>
  <c r="M14" i="15"/>
  <c r="X10" i="3" s="1"/>
  <c r="P24" i="3"/>
  <c r="S24" i="3"/>
  <c r="P62" i="3"/>
  <c r="S62" i="3"/>
  <c r="P55" i="3"/>
  <c r="U55" i="3"/>
  <c r="P86" i="3"/>
  <c r="S86" i="3"/>
  <c r="U118" i="3"/>
  <c r="U58" i="3"/>
  <c r="U74" i="3"/>
  <c r="U105" i="3"/>
  <c r="P23" i="3"/>
  <c r="S23" i="3"/>
  <c r="U60" i="3"/>
  <c r="U129" i="3"/>
  <c r="U63" i="3"/>
  <c r="U132" i="3"/>
  <c r="U64" i="3"/>
  <c r="U65" i="3"/>
  <c r="U76" i="3"/>
  <c r="U87" i="3"/>
  <c r="U88" i="3"/>
  <c r="U89" i="3"/>
  <c r="U99" i="3"/>
  <c r="U106" i="3"/>
  <c r="U108" i="3"/>
  <c r="U11" i="3"/>
  <c r="U111" i="3"/>
  <c r="U33" i="3"/>
  <c r="U117" i="3"/>
  <c r="E2750" i="15"/>
  <c r="E2759" i="15"/>
  <c r="E2766" i="15"/>
  <c r="E2556" i="15"/>
  <c r="E2595" i="15"/>
  <c r="E2632" i="15"/>
  <c r="E2663" i="15"/>
  <c r="E2692" i="15"/>
  <c r="E2715" i="15"/>
  <c r="E2733" i="15"/>
  <c r="E2877" i="15"/>
  <c r="E1943" i="15"/>
  <c r="E1787" i="15"/>
  <c r="E1867" i="15"/>
  <c r="E2016" i="15"/>
  <c r="E2092" i="15"/>
  <c r="E639" i="15"/>
  <c r="E1634" i="15"/>
  <c r="E1553" i="15"/>
  <c r="E892" i="15"/>
  <c r="E1027" i="15"/>
  <c r="E1141" i="15"/>
  <c r="E1249" i="15"/>
  <c r="E1363" i="15"/>
  <c r="E1460" i="15"/>
  <c r="E1712" i="15"/>
  <c r="E779" i="15"/>
  <c r="E642" i="15"/>
  <c r="E637" i="15"/>
  <c r="E2941" i="15"/>
  <c r="E2942" i="15"/>
  <c r="E2945" i="15"/>
  <c r="E2946" i="15"/>
  <c r="E2943" i="15"/>
  <c r="E2944" i="15"/>
  <c r="E2940" i="15"/>
  <c r="E2947" i="15"/>
  <c r="E2937" i="15"/>
  <c r="E2939" i="15"/>
  <c r="E2938" i="15"/>
  <c r="E1949" i="15"/>
  <c r="E608" i="15"/>
  <c r="E1470" i="15"/>
  <c r="E1643" i="15"/>
  <c r="E1718" i="15"/>
  <c r="E1794" i="15"/>
  <c r="E1261" i="15"/>
  <c r="E1373" i="15"/>
  <c r="E1107" i="15"/>
  <c r="E908" i="15"/>
  <c r="E1873" i="15"/>
  <c r="M5" i="15"/>
  <c r="X3" i="3" s="1"/>
  <c r="M11" i="15"/>
  <c r="I90" i="1"/>
  <c r="D14" i="21"/>
  <c r="J16" i="21"/>
  <c r="D8" i="21"/>
  <c r="D16" i="21"/>
  <c r="D7" i="21"/>
  <c r="D5" i="21"/>
  <c r="D13" i="21"/>
  <c r="D9" i="21"/>
  <c r="D12" i="21"/>
  <c r="J3" i="21"/>
  <c r="D3" i="21"/>
  <c r="D11" i="21"/>
  <c r="J2" i="21"/>
  <c r="D10" i="21"/>
  <c r="E546" i="15"/>
  <c r="E1915" i="15"/>
  <c r="E1994" i="15"/>
  <c r="E2072" i="15"/>
  <c r="E2146" i="15"/>
  <c r="E2220" i="15"/>
  <c r="E2857" i="15"/>
  <c r="E2370" i="15"/>
  <c r="E2420" i="15"/>
  <c r="E2469" i="15"/>
  <c r="E2512" i="15"/>
  <c r="E2549" i="15"/>
  <c r="E2587" i="15"/>
  <c r="E2624" i="15"/>
  <c r="E2656" i="15"/>
  <c r="E2684" i="15"/>
  <c r="E2707" i="15"/>
  <c r="E1582" i="15"/>
  <c r="E1670" i="15"/>
  <c r="E1494" i="15"/>
  <c r="E570" i="15"/>
  <c r="E694" i="15"/>
  <c r="E1176" i="15"/>
  <c r="E1287" i="15"/>
  <c r="E1397" i="15"/>
  <c r="E1834" i="15"/>
  <c r="E1749" i="15"/>
  <c r="M3" i="15"/>
  <c r="E543" i="15"/>
  <c r="J513" i="1"/>
  <c r="N144" i="3" s="1"/>
  <c r="M25" i="15"/>
  <c r="X20" i="3" s="1"/>
  <c r="E1921" i="15" s="1"/>
  <c r="J178" i="1"/>
  <c r="N81" i="3" s="1"/>
  <c r="J266" i="1"/>
  <c r="I89" i="1"/>
  <c r="J17" i="1"/>
  <c r="H14" i="3" s="1"/>
  <c r="I20" i="1"/>
  <c r="J333" i="1"/>
  <c r="N107" i="3" s="1"/>
  <c r="I38" i="1"/>
  <c r="I17" i="1"/>
  <c r="J89" i="1"/>
  <c r="I43" i="1"/>
  <c r="J136" i="1"/>
  <c r="N70" i="3" s="1"/>
  <c r="I5" i="1"/>
  <c r="P5" i="13" s="1"/>
  <c r="I177" i="1"/>
  <c r="J26" i="1"/>
  <c r="N22" i="3" s="1"/>
  <c r="J30" i="1"/>
  <c r="N26" i="3" s="1"/>
  <c r="J241" i="1"/>
  <c r="H98" i="3" s="1"/>
  <c r="J36" i="1"/>
  <c r="N30" i="3" s="1"/>
  <c r="I266" i="1"/>
  <c r="I185" i="1"/>
  <c r="J38" i="1"/>
  <c r="N31" i="3" s="1"/>
  <c r="I258" i="1"/>
  <c r="J43" i="1"/>
  <c r="N35" i="3" s="1"/>
  <c r="I36" i="1"/>
  <c r="I151" i="1"/>
  <c r="I26" i="1"/>
  <c r="I30" i="1"/>
  <c r="J185" i="1"/>
  <c r="I491" i="1"/>
  <c r="J20" i="1"/>
  <c r="N18" i="3" s="1"/>
  <c r="I178" i="1"/>
  <c r="I208" i="1"/>
  <c r="J329" i="1"/>
  <c r="N104" i="3" s="1"/>
  <c r="I329" i="1"/>
  <c r="I136" i="1"/>
  <c r="J151" i="1"/>
  <c r="J208" i="1"/>
  <c r="J258" i="1"/>
  <c r="J5" i="1"/>
  <c r="AH5" i="13" s="1"/>
  <c r="J95" i="1"/>
  <c r="I333" i="1"/>
  <c r="I95" i="1"/>
  <c r="J424" i="1"/>
  <c r="N139" i="3" s="1"/>
  <c r="I505" i="1"/>
  <c r="J90" i="1"/>
  <c r="J24" i="1"/>
  <c r="I424" i="1"/>
  <c r="I241" i="1"/>
  <c r="J486" i="1"/>
  <c r="I513" i="1"/>
  <c r="I479" i="1"/>
  <c r="J23" i="1"/>
  <c r="I486" i="1"/>
  <c r="I366" i="1"/>
  <c r="J46" i="1"/>
  <c r="J16" i="1"/>
  <c r="N15" i="3" s="1"/>
  <c r="J435" i="1"/>
  <c r="N7" i="3" s="1"/>
  <c r="I435" i="1"/>
  <c r="I24" i="1"/>
  <c r="J4" i="1"/>
  <c r="I4" i="1"/>
  <c r="P4" i="13" s="1"/>
  <c r="I449" i="1"/>
  <c r="J449" i="1"/>
  <c r="N127" i="3" s="1"/>
  <c r="I16" i="1"/>
  <c r="I23" i="1"/>
  <c r="J479" i="1"/>
  <c r="J366" i="1"/>
  <c r="G55" i="30" l="1"/>
  <c r="I55" i="30" s="1"/>
  <c r="D7" i="40"/>
  <c r="D13" i="40"/>
  <c r="C42" i="23"/>
  <c r="E1362" i="15"/>
  <c r="E1248" i="15"/>
  <c r="E1047" i="15"/>
  <c r="E1459" i="15"/>
  <c r="C101" i="30"/>
  <c r="G101" i="30"/>
  <c r="H101" i="30" s="1"/>
  <c r="D101" i="30"/>
  <c r="AE16" i="13"/>
  <c r="C15" i="40"/>
  <c r="J15" i="40" s="1"/>
  <c r="AE17" i="13"/>
  <c r="C16" i="40"/>
  <c r="J16" i="40" s="1"/>
  <c r="AE4" i="13"/>
  <c r="C3" i="40"/>
  <c r="F140" i="30"/>
  <c r="F141" i="30" s="1"/>
  <c r="E140" i="30"/>
  <c r="E141" i="30" s="1"/>
  <c r="D140" i="30"/>
  <c r="D141" i="30" s="1"/>
  <c r="E135" i="30"/>
  <c r="F135" i="30"/>
  <c r="D135" i="30"/>
  <c r="I108" i="30"/>
  <c r="H108" i="30"/>
  <c r="C110" i="30"/>
  <c r="C109" i="30"/>
  <c r="H110" i="30"/>
  <c r="I110" i="30"/>
  <c r="I107" i="30"/>
  <c r="G109" i="30"/>
  <c r="I109" i="30" s="1"/>
  <c r="H111" i="30"/>
  <c r="I111" i="30"/>
  <c r="F103" i="30"/>
  <c r="D103" i="30"/>
  <c r="C102" i="30"/>
  <c r="E103" i="30"/>
  <c r="C103" i="30"/>
  <c r="G102" i="30"/>
  <c r="I102" i="30" s="1"/>
  <c r="F102" i="30"/>
  <c r="E102" i="30"/>
  <c r="D102" i="30"/>
  <c r="G103" i="30"/>
  <c r="I103" i="30" s="1"/>
  <c r="F18" i="21"/>
  <c r="AE18" i="13"/>
  <c r="AF18" i="13"/>
  <c r="M18" i="21"/>
  <c r="L18" i="21"/>
  <c r="K18" i="21"/>
  <c r="E18" i="21"/>
  <c r="I18" i="21" s="1" a="1"/>
  <c r="I18" i="21" s="1"/>
  <c r="E1295" i="15"/>
  <c r="E1073" i="15"/>
  <c r="E85" i="15"/>
  <c r="E160" i="15"/>
  <c r="E344" i="15"/>
  <c r="E345" i="15"/>
  <c r="E346" i="15"/>
  <c r="E347" i="15"/>
  <c r="E348" i="15"/>
  <c r="E349" i="15"/>
  <c r="E265" i="15"/>
  <c r="E267" i="15"/>
  <c r="E208" i="15"/>
  <c r="E266" i="15"/>
  <c r="E202" i="15"/>
  <c r="E203" i="15"/>
  <c r="E192" i="15"/>
  <c r="E194" i="15"/>
  <c r="F55" i="30"/>
  <c r="E137" i="15"/>
  <c r="E60" i="15"/>
  <c r="E87" i="15"/>
  <c r="E76" i="15"/>
  <c r="X46" i="3"/>
  <c r="E1816" i="15" s="1"/>
  <c r="T5" i="3"/>
  <c r="T48" i="3"/>
  <c r="T31" i="3"/>
  <c r="T4" i="3"/>
  <c r="T30" i="3"/>
  <c r="T107" i="3"/>
  <c r="T15" i="3"/>
  <c r="T7" i="3"/>
  <c r="T81" i="3"/>
  <c r="T98" i="3"/>
  <c r="T22" i="3"/>
  <c r="T70" i="3"/>
  <c r="T36" i="3"/>
  <c r="T139" i="3"/>
  <c r="T144" i="3"/>
  <c r="T20" i="3"/>
  <c r="T35" i="3"/>
  <c r="T80" i="3"/>
  <c r="T127" i="3"/>
  <c r="T18" i="3"/>
  <c r="T104" i="3"/>
  <c r="T26" i="3"/>
  <c r="T23" i="3"/>
  <c r="T86" i="3"/>
  <c r="T62" i="3"/>
  <c r="T24" i="3"/>
  <c r="K38" i="3"/>
  <c r="K92" i="3"/>
  <c r="K137" i="3"/>
  <c r="K125" i="3"/>
  <c r="K110" i="3"/>
  <c r="K73" i="3"/>
  <c r="K126" i="3"/>
  <c r="K145" i="3"/>
  <c r="K143" i="3"/>
  <c r="K146" i="3"/>
  <c r="X41" i="3"/>
  <c r="E940" i="15" s="1"/>
  <c r="X73" i="3"/>
  <c r="X85" i="3"/>
  <c r="E276" i="15" s="1"/>
  <c r="X84" i="3"/>
  <c r="E1719" i="15" s="1"/>
  <c r="O17" i="13"/>
  <c r="O32" i="13"/>
  <c r="O37" i="13"/>
  <c r="O31" i="13"/>
  <c r="O29" i="13"/>
  <c r="O38" i="13"/>
  <c r="O35" i="13"/>
  <c r="O33" i="13"/>
  <c r="O39" i="13"/>
  <c r="O34" i="13"/>
  <c r="O36" i="13"/>
  <c r="O30" i="13"/>
  <c r="O14" i="13"/>
  <c r="O28" i="13"/>
  <c r="G88" i="30"/>
  <c r="F64" i="30"/>
  <c r="C55" i="30"/>
  <c r="C5" i="23"/>
  <c r="B15" i="23"/>
  <c r="Q42" i="23"/>
  <c r="O15" i="23"/>
  <c r="D56" i="30"/>
  <c r="P15" i="23"/>
  <c r="M15" i="23"/>
  <c r="E15" i="23"/>
  <c r="K15" i="23"/>
  <c r="F15" i="23"/>
  <c r="J15" i="23"/>
  <c r="G15" i="23"/>
  <c r="E55" i="30"/>
  <c r="E64" i="30"/>
  <c r="X35" i="3"/>
  <c r="E1956" i="15" s="1"/>
  <c r="X96" i="3"/>
  <c r="E1564" i="15" s="1"/>
  <c r="D55" i="30"/>
  <c r="X95" i="3"/>
  <c r="E670" i="15" s="1"/>
  <c r="K148" i="3"/>
  <c r="C8" i="30"/>
  <c r="G57" i="30"/>
  <c r="I57" i="30" s="1"/>
  <c r="C9" i="30"/>
  <c r="C7" i="30"/>
  <c r="G56" i="30"/>
  <c r="I56" i="30" s="1"/>
  <c r="C56" i="30"/>
  <c r="C57" i="30"/>
  <c r="F57" i="30"/>
  <c r="E57" i="30"/>
  <c r="D57" i="30"/>
  <c r="E56" i="30"/>
  <c r="F56" i="30"/>
  <c r="I14" i="30"/>
  <c r="H14" i="30"/>
  <c r="P12" i="13"/>
  <c r="H64" i="30"/>
  <c r="G63" i="30"/>
  <c r="I63" i="30" s="1"/>
  <c r="D16" i="30"/>
  <c r="D63" i="30"/>
  <c r="D64" i="30"/>
  <c r="C63" i="30"/>
  <c r="C64" i="30"/>
  <c r="H65" i="30"/>
  <c r="I65" i="30"/>
  <c r="H17" i="30"/>
  <c r="I17" i="30"/>
  <c r="F8" i="21"/>
  <c r="G13" i="30"/>
  <c r="G16" i="30" s="1"/>
  <c r="F15" i="30"/>
  <c r="E16" i="30"/>
  <c r="I61" i="30"/>
  <c r="C16" i="30"/>
  <c r="C15" i="30"/>
  <c r="I62" i="30"/>
  <c r="G8" i="30"/>
  <c r="P11" i="13"/>
  <c r="P7" i="13"/>
  <c r="P10" i="13"/>
  <c r="P9" i="13"/>
  <c r="G42" i="30"/>
  <c r="H43" i="30" s="1"/>
  <c r="P6" i="13"/>
  <c r="P13" i="13"/>
  <c r="F8" i="30"/>
  <c r="E8" i="30"/>
  <c r="D8" i="30"/>
  <c r="T14" i="13"/>
  <c r="T8" i="13"/>
  <c r="F9" i="30"/>
  <c r="D9" i="30"/>
  <c r="E9" i="30"/>
  <c r="AE2" i="13"/>
  <c r="E17" i="21"/>
  <c r="M17" i="21"/>
  <c r="K17" i="21"/>
  <c r="F17" i="21"/>
  <c r="AF17" i="13"/>
  <c r="G7" i="30"/>
  <c r="H7" i="30" s="1"/>
  <c r="E946" i="15"/>
  <c r="E945" i="15"/>
  <c r="E2758" i="15"/>
  <c r="E2765" i="15"/>
  <c r="E2711" i="15"/>
  <c r="E2730" i="15"/>
  <c r="E2747" i="15"/>
  <c r="E2688" i="15"/>
  <c r="E2410" i="15"/>
  <c r="E2457" i="15"/>
  <c r="E2578" i="15"/>
  <c r="E2616" i="15"/>
  <c r="E2500" i="15"/>
  <c r="E2539" i="15"/>
  <c r="E2301" i="15"/>
  <c r="E2359" i="15"/>
  <c r="E1953" i="15"/>
  <c r="E1878" i="15"/>
  <c r="E1723" i="15"/>
  <c r="E1799" i="15"/>
  <c r="E1051" i="15"/>
  <c r="E1161" i="15"/>
  <c r="E1271" i="15"/>
  <c r="E1381" i="15"/>
  <c r="E1479" i="15"/>
  <c r="E921" i="15"/>
  <c r="E1569" i="15"/>
  <c r="E1648" i="15"/>
  <c r="E2025" i="15"/>
  <c r="E2098" i="15"/>
  <c r="E2170" i="15"/>
  <c r="E2242" i="15"/>
  <c r="D7" i="30"/>
  <c r="E7" i="30"/>
  <c r="F7" i="30"/>
  <c r="G9" i="30"/>
  <c r="I9" i="30" s="1"/>
  <c r="K11" i="3"/>
  <c r="B8" i="26"/>
  <c r="H4" i="3"/>
  <c r="J4" i="21" s="1"/>
  <c r="M4" i="21" s="1"/>
  <c r="B3" i="26"/>
  <c r="B14" i="26"/>
  <c r="B4" i="26"/>
  <c r="H36" i="3"/>
  <c r="B11" i="26"/>
  <c r="B12" i="26"/>
  <c r="K127" i="3"/>
  <c r="K144" i="3"/>
  <c r="K15" i="3"/>
  <c r="K111" i="3"/>
  <c r="E2323" i="15"/>
  <c r="E2195" i="15"/>
  <c r="E2264" i="15"/>
  <c r="E2051" i="15"/>
  <c r="E2120" i="15"/>
  <c r="E1840" i="15"/>
  <c r="E1976" i="15"/>
  <c r="E1681" i="15"/>
  <c r="E1758" i="15"/>
  <c r="E1510" i="15"/>
  <c r="E1595" i="15"/>
  <c r="E1307" i="15"/>
  <c r="E1413" i="15"/>
  <c r="K26" i="3"/>
  <c r="E1087" i="15"/>
  <c r="E1197" i="15"/>
  <c r="E885" i="15"/>
  <c r="E961" i="15"/>
  <c r="K107" i="3"/>
  <c r="K22" i="3"/>
  <c r="K81" i="3"/>
  <c r="K30" i="3"/>
  <c r="K124" i="3"/>
  <c r="J15" i="26" s="1"/>
  <c r="K87" i="3"/>
  <c r="K29" i="3"/>
  <c r="K104" i="3"/>
  <c r="K70" i="3"/>
  <c r="K139" i="3"/>
  <c r="K117" i="3"/>
  <c r="K132" i="3"/>
  <c r="K99" i="3"/>
  <c r="K35" i="3"/>
  <c r="K24" i="3"/>
  <c r="K7" i="3"/>
  <c r="K74" i="3"/>
  <c r="K63" i="3"/>
  <c r="K23" i="3"/>
  <c r="K89" i="3"/>
  <c r="K91" i="3"/>
  <c r="K88" i="3"/>
  <c r="K65" i="3"/>
  <c r="K105" i="3"/>
  <c r="K50" i="3"/>
  <c r="K129" i="3"/>
  <c r="H30" i="3"/>
  <c r="K108" i="3"/>
  <c r="K101" i="3"/>
  <c r="H20" i="3"/>
  <c r="K116" i="3"/>
  <c r="K60" i="3"/>
  <c r="K118" i="3"/>
  <c r="H104" i="3"/>
  <c r="H80" i="3"/>
  <c r="K106" i="3"/>
  <c r="L2" i="21"/>
  <c r="K2" i="21"/>
  <c r="L15" i="21"/>
  <c r="K15" i="21"/>
  <c r="H18" i="3"/>
  <c r="H107" i="3"/>
  <c r="L3" i="21"/>
  <c r="K3" i="21"/>
  <c r="H26" i="3"/>
  <c r="H35" i="3"/>
  <c r="H81" i="3"/>
  <c r="H22" i="3"/>
  <c r="H15" i="3"/>
  <c r="L16" i="21"/>
  <c r="K16" i="21"/>
  <c r="H139" i="3"/>
  <c r="J12" i="21" s="1"/>
  <c r="M12" i="21" s="1"/>
  <c r="H70" i="3"/>
  <c r="H31" i="3"/>
  <c r="H5" i="3"/>
  <c r="J5" i="21" s="1"/>
  <c r="M5" i="21" s="1"/>
  <c r="H144" i="3"/>
  <c r="J13" i="21" s="1"/>
  <c r="M13" i="21" s="1"/>
  <c r="K31" i="3"/>
  <c r="AG14" i="13"/>
  <c r="K14" i="21"/>
  <c r="D8" i="26"/>
  <c r="D14" i="26"/>
  <c r="D11" i="26"/>
  <c r="D3" i="26"/>
  <c r="D12" i="26"/>
  <c r="K71" i="3"/>
  <c r="D4" i="26"/>
  <c r="K53" i="3"/>
  <c r="K40" i="3"/>
  <c r="K59" i="3"/>
  <c r="K57" i="3"/>
  <c r="K62" i="3"/>
  <c r="I7" i="26"/>
  <c r="K8" i="3"/>
  <c r="K76" i="3"/>
  <c r="K66" i="3"/>
  <c r="K56" i="3"/>
  <c r="K120" i="3"/>
  <c r="K90" i="3"/>
  <c r="K61" i="3"/>
  <c r="K109" i="3"/>
  <c r="K12" i="3"/>
  <c r="K94" i="3"/>
  <c r="K33" i="3"/>
  <c r="K21" i="3"/>
  <c r="K141" i="3"/>
  <c r="K68" i="3"/>
  <c r="K55" i="3"/>
  <c r="K58" i="3"/>
  <c r="K16" i="3"/>
  <c r="K112" i="3"/>
  <c r="K64" i="3"/>
  <c r="K45" i="3"/>
  <c r="K19" i="3"/>
  <c r="K93" i="3"/>
  <c r="K130" i="3"/>
  <c r="K149" i="3"/>
  <c r="K44" i="3"/>
  <c r="K18" i="3"/>
  <c r="K6" i="3"/>
  <c r="K28" i="3"/>
  <c r="K96" i="3"/>
  <c r="K78" i="3"/>
  <c r="K113" i="3"/>
  <c r="K9" i="3"/>
  <c r="K147" i="3"/>
  <c r="K46" i="3"/>
  <c r="K43" i="3"/>
  <c r="K136" i="3"/>
  <c r="K121" i="3"/>
  <c r="K2" i="3"/>
  <c r="K39" i="3"/>
  <c r="K27" i="3"/>
  <c r="K123" i="3"/>
  <c r="K77" i="3"/>
  <c r="K42" i="3"/>
  <c r="K25" i="3"/>
  <c r="K13" i="3"/>
  <c r="K128" i="3"/>
  <c r="K49" i="3"/>
  <c r="K82" i="3"/>
  <c r="K75" i="3"/>
  <c r="K95" i="3"/>
  <c r="K100" i="3"/>
  <c r="K47" i="3"/>
  <c r="K17" i="3"/>
  <c r="K115" i="3"/>
  <c r="K142" i="3"/>
  <c r="AH4" i="13"/>
  <c r="K122" i="3"/>
  <c r="K37" i="3"/>
  <c r="K85" i="3"/>
  <c r="K97" i="3"/>
  <c r="K51" i="3"/>
  <c r="K138" i="3"/>
  <c r="K3" i="3"/>
  <c r="K119" i="3"/>
  <c r="K67" i="3"/>
  <c r="K102" i="3"/>
  <c r="K79" i="3"/>
  <c r="K134" i="3"/>
  <c r="K133" i="3"/>
  <c r="K114" i="3"/>
  <c r="K103" i="3"/>
  <c r="K10" i="3"/>
  <c r="K140" i="3"/>
  <c r="K131" i="3"/>
  <c r="K54" i="3"/>
  <c r="K83" i="3"/>
  <c r="K69" i="3"/>
  <c r="K41" i="3"/>
  <c r="K52" i="3"/>
  <c r="K72" i="3"/>
  <c r="K135" i="3"/>
  <c r="J16" i="26" s="1"/>
  <c r="K34" i="3"/>
  <c r="K32" i="3"/>
  <c r="F6" i="21"/>
  <c r="X2" i="3"/>
  <c r="I2" i="26" s="1"/>
  <c r="AH11" i="13"/>
  <c r="AH10" i="13"/>
  <c r="AH7" i="13"/>
  <c r="AH9" i="13"/>
  <c r="AH6" i="13"/>
  <c r="Q6" i="13"/>
  <c r="AH12" i="13"/>
  <c r="AH13" i="13"/>
  <c r="E2" i="21"/>
  <c r="E3" i="21"/>
  <c r="E4" i="21"/>
  <c r="B3" i="40" s="1"/>
  <c r="F3" i="40" s="1" a="1"/>
  <c r="F3" i="40" s="1"/>
  <c r="E5" i="21"/>
  <c r="B4" i="40" s="1"/>
  <c r="F4" i="40" s="1" a="1"/>
  <c r="F4" i="40" s="1"/>
  <c r="E6" i="21"/>
  <c r="B5" i="40" s="1"/>
  <c r="F5" i="40" s="1" a="1"/>
  <c r="F5" i="40" s="1"/>
  <c r="E7" i="21"/>
  <c r="B6" i="40" s="1"/>
  <c r="F6" i="40" s="1" a="1"/>
  <c r="F6" i="40" s="1"/>
  <c r="E8" i="21"/>
  <c r="B7" i="40" s="1"/>
  <c r="F7" i="40" s="1" a="1"/>
  <c r="F7" i="40" s="1"/>
  <c r="E9" i="21"/>
  <c r="E10" i="21"/>
  <c r="E11" i="21"/>
  <c r="B10" i="40" s="1"/>
  <c r="F10" i="40" s="1" a="1"/>
  <c r="F10" i="40" s="1"/>
  <c r="E12" i="21"/>
  <c r="B11" i="40" s="1"/>
  <c r="F11" i="40" s="1" a="1"/>
  <c r="F11" i="40" s="1"/>
  <c r="E13" i="21"/>
  <c r="E14" i="21"/>
  <c r="B13" i="40" s="1"/>
  <c r="F13" i="40" s="1" a="1"/>
  <c r="F13" i="40" s="1"/>
  <c r="E15" i="21"/>
  <c r="B14" i="40" s="1"/>
  <c r="F14" i="40" s="1" a="1"/>
  <c r="F14" i="40" s="1"/>
  <c r="E16" i="21"/>
  <c r="I13" i="26"/>
  <c r="I10" i="26"/>
  <c r="F2" i="21"/>
  <c r="F14" i="21"/>
  <c r="F15" i="21"/>
  <c r="F12" i="21"/>
  <c r="F11" i="21"/>
  <c r="F10" i="21"/>
  <c r="F13" i="21"/>
  <c r="F9" i="21"/>
  <c r="F7" i="21"/>
  <c r="F5" i="21"/>
  <c r="F4" i="21"/>
  <c r="F3" i="21"/>
  <c r="F16" i="21"/>
  <c r="N48" i="3"/>
  <c r="K48" i="3" s="1"/>
  <c r="N80" i="3"/>
  <c r="K80" i="3" s="1"/>
  <c r="N98" i="3"/>
  <c r="K98" i="3" s="1"/>
  <c r="J14" i="26" s="1"/>
  <c r="C2" i="23"/>
  <c r="N4" i="3"/>
  <c r="K4" i="3" s="1"/>
  <c r="N14" i="3"/>
  <c r="K14" i="3" s="1"/>
  <c r="N36" i="3"/>
  <c r="K36" i="3" s="1"/>
  <c r="Q5" i="13"/>
  <c r="N5" i="3"/>
  <c r="K5" i="3" s="1"/>
  <c r="N20" i="3"/>
  <c r="K20" i="3" s="1"/>
  <c r="AF6" i="13"/>
  <c r="AE6" i="13"/>
  <c r="AF10" i="13"/>
  <c r="AE10" i="13"/>
  <c r="AF9" i="13"/>
  <c r="AE9" i="13"/>
  <c r="AF5" i="13"/>
  <c r="AE5" i="13"/>
  <c r="AF4" i="13"/>
  <c r="AF3" i="13"/>
  <c r="AF16" i="13"/>
  <c r="AF7" i="13"/>
  <c r="AE7" i="13"/>
  <c r="AF15" i="13"/>
  <c r="AE15" i="13"/>
  <c r="AF8" i="13"/>
  <c r="AE8" i="13"/>
  <c r="AF2" i="13"/>
  <c r="AF14" i="13"/>
  <c r="AE14" i="13"/>
  <c r="AF13" i="13"/>
  <c r="AE13" i="13"/>
  <c r="AF12" i="13"/>
  <c r="AE12" i="13"/>
  <c r="AF11" i="13"/>
  <c r="AE11" i="13"/>
  <c r="Q9" i="13"/>
  <c r="Q11" i="13"/>
  <c r="Q7" i="13"/>
  <c r="Q10" i="13"/>
  <c r="AG8" i="13"/>
  <c r="P7" i="40" s="1"/>
  <c r="Q13" i="13"/>
  <c r="Q12" i="13"/>
  <c r="Q4" i="13"/>
  <c r="J8" i="21"/>
  <c r="K8" i="21" s="1"/>
  <c r="K8" i="23"/>
  <c r="C7" i="23"/>
  <c r="C8" i="23"/>
  <c r="H10" i="23"/>
  <c r="D9" i="23"/>
  <c r="Q6" i="23"/>
  <c r="Q12" i="23"/>
  <c r="D11" i="23"/>
  <c r="N11" i="23"/>
  <c r="N15" i="23" s="1"/>
  <c r="C4" i="23"/>
  <c r="Q4" i="23" s="1"/>
  <c r="N8" i="23"/>
  <c r="H11" i="23"/>
  <c r="C9" i="23"/>
  <c r="C15" i="23" s="1"/>
  <c r="H9" i="23"/>
  <c r="K5" i="23"/>
  <c r="K7" i="23"/>
  <c r="C3" i="23"/>
  <c r="Q3" i="23" s="1"/>
  <c r="L10" i="23"/>
  <c r="L15" i="23" s="1"/>
  <c r="H8" i="23"/>
  <c r="D10" i="23"/>
  <c r="E1738" i="15"/>
  <c r="E852" i="15"/>
  <c r="E2869" i="15"/>
  <c r="E1495" i="15"/>
  <c r="E1288" i="15"/>
  <c r="E2147" i="15"/>
  <c r="E1671" i="15"/>
  <c r="E2770" i="15"/>
  <c r="E1583" i="15"/>
  <c r="E2763" i="15"/>
  <c r="E1398" i="15"/>
  <c r="E2221" i="15"/>
  <c r="E2657" i="15"/>
  <c r="E1750" i="15"/>
  <c r="E2625" i="15"/>
  <c r="E2073" i="15"/>
  <c r="E2858" i="15"/>
  <c r="E1916" i="15"/>
  <c r="E2726" i="15"/>
  <c r="E1974" i="15"/>
  <c r="E571" i="15"/>
  <c r="E851" i="15"/>
  <c r="E1995" i="15"/>
  <c r="E633" i="15"/>
  <c r="E1835" i="15"/>
  <c r="E2708" i="15"/>
  <c r="E1897" i="15"/>
  <c r="E2588" i="15"/>
  <c r="E695" i="15"/>
  <c r="E2756" i="15"/>
  <c r="E2744" i="15"/>
  <c r="E1177" i="15"/>
  <c r="E2685" i="15"/>
  <c r="E1514" i="15"/>
  <c r="E1417" i="15"/>
  <c r="E1311" i="15"/>
  <c r="E2806" i="15"/>
  <c r="E1599" i="15"/>
  <c r="E2574" i="15"/>
  <c r="E833" i="15"/>
  <c r="E1843" i="15"/>
  <c r="E2350" i="15"/>
  <c r="E1968" i="15"/>
  <c r="E2612" i="15"/>
  <c r="E2881" i="15"/>
  <c r="E2289" i="15"/>
  <c r="E2226" i="15"/>
  <c r="E2798" i="15"/>
  <c r="E2793" i="15"/>
  <c r="E2152" i="15"/>
  <c r="E2078" i="15"/>
  <c r="E2039" i="15"/>
  <c r="E1201" i="15"/>
  <c r="E2810" i="15"/>
  <c r="E1091" i="15"/>
  <c r="E1657" i="15"/>
  <c r="E2182" i="15"/>
  <c r="E966" i="15"/>
  <c r="E2802" i="15"/>
  <c r="E2535" i="15"/>
  <c r="E628" i="15"/>
  <c r="E2495" i="15"/>
  <c r="E2814" i="15"/>
  <c r="E2002" i="15"/>
  <c r="E1577" i="15"/>
  <c r="E544" i="15"/>
  <c r="E1489" i="15"/>
  <c r="X133" i="3"/>
  <c r="E944" i="15" s="1"/>
  <c r="C39" i="13"/>
  <c r="C31" i="13"/>
  <c r="C38" i="13"/>
  <c r="C36" i="13"/>
  <c r="C29" i="13"/>
  <c r="C37" i="13"/>
  <c r="C35" i="13"/>
  <c r="C33" i="13"/>
  <c r="C34" i="13"/>
  <c r="C32" i="13"/>
  <c r="C30" i="13"/>
  <c r="E2419" i="15"/>
  <c r="E1812" i="15"/>
  <c r="E1732" i="15"/>
  <c r="E936" i="15"/>
  <c r="E810" i="15"/>
  <c r="E1729" i="15"/>
  <c r="E686" i="15"/>
  <c r="E1960" i="15"/>
  <c r="E2852" i="15"/>
  <c r="E2110" i="15"/>
  <c r="E1891" i="15"/>
  <c r="E2254" i="15"/>
  <c r="E949" i="15"/>
  <c r="E1885" i="15"/>
  <c r="E821" i="15"/>
  <c r="E1806" i="15"/>
  <c r="E1575" i="15"/>
  <c r="E2313" i="15"/>
  <c r="E1761" i="15"/>
  <c r="E2647" i="15"/>
  <c r="E1391" i="15"/>
  <c r="E2467" i="15"/>
  <c r="E1170" i="15"/>
  <c r="E1061" i="15"/>
  <c r="E2450" i="15"/>
  <c r="E2788" i="15"/>
  <c r="E1487" i="15"/>
  <c r="E1924" i="15"/>
  <c r="E2783" i="15"/>
  <c r="E1281" i="15"/>
  <c r="E1684" i="15"/>
  <c r="E2402" i="15"/>
  <c r="E2778" i="15"/>
  <c r="E2049" i="15"/>
  <c r="E1818" i="15"/>
  <c r="E2192" i="15"/>
  <c r="E2118" i="15"/>
  <c r="E1663" i="15"/>
  <c r="E1655" i="15"/>
  <c r="E609" i="15"/>
  <c r="E2834" i="15"/>
  <c r="E1076" i="15"/>
  <c r="E2304" i="15"/>
  <c r="E2245" i="15"/>
  <c r="E2174" i="15"/>
  <c r="E2102" i="15"/>
  <c r="E2031" i="15"/>
  <c r="E640" i="15"/>
  <c r="E760" i="15"/>
  <c r="E638" i="15"/>
  <c r="X30" i="3"/>
  <c r="E979" i="15" s="1"/>
  <c r="X56" i="3"/>
  <c r="E727" i="15" s="1"/>
  <c r="X36" i="3"/>
  <c r="X4" i="3"/>
  <c r="E2228" i="15" s="1"/>
  <c r="X116" i="3"/>
  <c r="E303" i="15" s="1"/>
  <c r="X91" i="3"/>
  <c r="E204" i="15" s="1"/>
  <c r="X68" i="3"/>
  <c r="E869" i="15" s="1"/>
  <c r="X108" i="3"/>
  <c r="E277" i="15" s="1"/>
  <c r="X81" i="3"/>
  <c r="E666" i="15" s="1"/>
  <c r="X109" i="3"/>
  <c r="E1833" i="15" s="1"/>
  <c r="X131" i="3"/>
  <c r="E769" i="15" s="1"/>
  <c r="X124" i="3"/>
  <c r="X120" i="3"/>
  <c r="E688" i="15" s="1"/>
  <c r="X97" i="3"/>
  <c r="E352" i="15" s="1"/>
  <c r="X118" i="3"/>
  <c r="E307" i="15" s="1"/>
  <c r="X125" i="3"/>
  <c r="E652" i="15" s="1"/>
  <c r="E732" i="15"/>
  <c r="X144" i="3"/>
  <c r="E2352" i="15" s="1"/>
  <c r="X146" i="3"/>
  <c r="X15" i="3"/>
  <c r="E971" i="15" s="1"/>
  <c r="X9" i="3"/>
  <c r="X27" i="3"/>
  <c r="E1085" i="15" s="1"/>
  <c r="E818" i="15"/>
  <c r="E817" i="15"/>
  <c r="E826" i="15"/>
  <c r="E1083" i="15"/>
  <c r="E703" i="15"/>
  <c r="E702" i="15"/>
  <c r="E29" i="15"/>
  <c r="B2" i="13"/>
  <c r="O2" i="13" s="1"/>
  <c r="B7" i="13"/>
  <c r="O7" i="13" s="1"/>
  <c r="B18" i="13"/>
  <c r="O18" i="13" s="1"/>
  <c r="B12" i="13"/>
  <c r="O12" i="13" s="1"/>
  <c r="B19" i="13"/>
  <c r="O19" i="13" s="1"/>
  <c r="B13" i="13"/>
  <c r="C14" i="13" s="1"/>
  <c r="B8" i="13"/>
  <c r="O8" i="13" s="1"/>
  <c r="B16" i="13"/>
  <c r="O16" i="13" s="1"/>
  <c r="B24" i="13"/>
  <c r="O24" i="13" s="1"/>
  <c r="B9" i="13"/>
  <c r="O9" i="13" s="1"/>
  <c r="B25" i="13"/>
  <c r="O25" i="13" s="1"/>
  <c r="B21" i="13"/>
  <c r="O21" i="13" s="1"/>
  <c r="B3" i="13"/>
  <c r="O3" i="13" s="1"/>
  <c r="B20" i="13"/>
  <c r="O20" i="13" s="1"/>
  <c r="B22" i="13"/>
  <c r="O22" i="13" s="1"/>
  <c r="B23" i="13"/>
  <c r="O23" i="13" s="1"/>
  <c r="B6" i="13"/>
  <c r="O6" i="13" s="1"/>
  <c r="B27" i="13"/>
  <c r="O27" i="13" s="1"/>
  <c r="B10" i="13"/>
  <c r="O10" i="13" s="1"/>
  <c r="B26" i="13"/>
  <c r="O26" i="13" s="1"/>
  <c r="B4" i="13"/>
  <c r="O4" i="13" s="1"/>
  <c r="M2" i="21"/>
  <c r="M15" i="21"/>
  <c r="M3" i="21"/>
  <c r="M16" i="21"/>
  <c r="M14" i="21"/>
  <c r="E575" i="15"/>
  <c r="E574" i="15"/>
  <c r="E32" i="15"/>
  <c r="E63" i="15"/>
  <c r="E411" i="15"/>
  <c r="E184" i="15"/>
  <c r="E115" i="15"/>
  <c r="E512" i="15"/>
  <c r="E280" i="15"/>
  <c r="E864" i="15"/>
  <c r="E619" i="15"/>
  <c r="E747" i="15"/>
  <c r="E1114" i="15"/>
  <c r="E1222" i="15"/>
  <c r="E998" i="15"/>
  <c r="E408" i="15"/>
  <c r="E421" i="15"/>
  <c r="E595" i="15"/>
  <c r="E521" i="15"/>
  <c r="E705" i="15"/>
  <c r="E820" i="15"/>
  <c r="E148" i="15"/>
  <c r="E245" i="15"/>
  <c r="E35" i="15"/>
  <c r="E90" i="15"/>
  <c r="E577" i="15"/>
  <c r="E362" i="15"/>
  <c r="E1500" i="15"/>
  <c r="E477" i="15"/>
  <c r="E948" i="15"/>
  <c r="E1184" i="15"/>
  <c r="E1403" i="15"/>
  <c r="E1297" i="15"/>
  <c r="E1075" i="15"/>
  <c r="E427" i="15"/>
  <c r="E631" i="15"/>
  <c r="E757" i="15"/>
  <c r="E1128" i="15"/>
  <c r="E528" i="15"/>
  <c r="E1938" i="15"/>
  <c r="E879" i="15"/>
  <c r="E1627" i="15"/>
  <c r="E1015" i="15"/>
  <c r="E1705" i="15"/>
  <c r="E1780" i="15"/>
  <c r="E2127" i="15"/>
  <c r="E2201" i="15"/>
  <c r="E2268" i="15"/>
  <c r="E1544" i="15"/>
  <c r="E2327" i="15"/>
  <c r="E1236" i="15"/>
  <c r="E2381" i="15"/>
  <c r="E1860" i="15"/>
  <c r="E2429" i="15"/>
  <c r="E1448" i="15"/>
  <c r="E1350" i="15"/>
  <c r="E1074" i="15"/>
  <c r="E166" i="15"/>
  <c r="E474" i="15"/>
  <c r="E170" i="15"/>
  <c r="E244" i="15"/>
  <c r="E361" i="15"/>
  <c r="E475" i="15"/>
  <c r="E819" i="15"/>
  <c r="E476" i="15"/>
  <c r="E576" i="15"/>
  <c r="E1992" i="15"/>
  <c r="E704" i="15"/>
  <c r="E2070" i="15"/>
  <c r="E1183" i="15"/>
  <c r="E2144" i="15"/>
  <c r="E2219" i="15"/>
  <c r="E947" i="15"/>
  <c r="E1831" i="15"/>
  <c r="E1912" i="15"/>
  <c r="E716" i="15"/>
  <c r="E430" i="15"/>
  <c r="E489" i="15"/>
  <c r="E333" i="15"/>
  <c r="E399" i="15"/>
  <c r="E1309" i="15"/>
  <c r="E964" i="15"/>
  <c r="E1199" i="15"/>
  <c r="E1415" i="15"/>
  <c r="E1760" i="15"/>
  <c r="E2077" i="15"/>
  <c r="E1597" i="15"/>
  <c r="E589" i="15"/>
  <c r="E831" i="15"/>
  <c r="E2379" i="15"/>
  <c r="E2225" i="15"/>
  <c r="E2427" i="15"/>
  <c r="E2478" i="15"/>
  <c r="E1512" i="15"/>
  <c r="E2521" i="15"/>
  <c r="E2561" i="15"/>
  <c r="E2151" i="15"/>
  <c r="E2600" i="15"/>
  <c r="E1683" i="15"/>
  <c r="E1923" i="15"/>
  <c r="E1089" i="15"/>
  <c r="E2001" i="15"/>
  <c r="E1842" i="15"/>
  <c r="E2325" i="15"/>
  <c r="E120" i="15"/>
  <c r="E187" i="15"/>
  <c r="E69" i="15"/>
  <c r="E288" i="15"/>
  <c r="E522" i="15"/>
  <c r="E1231" i="15"/>
  <c r="E1444" i="15"/>
  <c r="E422" i="15"/>
  <c r="E1345" i="15"/>
  <c r="E1009" i="15"/>
  <c r="E1623" i="15"/>
  <c r="E1540" i="15"/>
  <c r="E1123" i="15"/>
  <c r="E1701" i="15"/>
  <c r="E1856" i="15"/>
  <c r="E1776" i="15"/>
  <c r="E207" i="15"/>
  <c r="E339" i="15"/>
  <c r="E97" i="15"/>
  <c r="E25" i="15"/>
  <c r="E156" i="15"/>
  <c r="E26" i="15"/>
  <c r="E253" i="15"/>
  <c r="E588" i="15"/>
  <c r="E374" i="15"/>
  <c r="E53" i="15"/>
  <c r="E715" i="15"/>
  <c r="E488" i="15"/>
  <c r="E440" i="15"/>
  <c r="E305" i="15"/>
  <c r="E294" i="15"/>
  <c r="E1464" i="15"/>
  <c r="E1991" i="15"/>
  <c r="E901" i="15"/>
  <c r="E655" i="15"/>
  <c r="E542" i="15"/>
  <c r="E1254" i="15"/>
  <c r="E1146" i="15"/>
  <c r="E1638" i="15"/>
  <c r="E786" i="15"/>
  <c r="E1034" i="15"/>
  <c r="E2218" i="15"/>
  <c r="E1367" i="15"/>
  <c r="E1557" i="15"/>
  <c r="E1830" i="15"/>
  <c r="E1911" i="15"/>
  <c r="E2069" i="15"/>
  <c r="E2143" i="15"/>
  <c r="E105" i="15"/>
  <c r="E607" i="15"/>
  <c r="E263" i="15"/>
  <c r="E163" i="15"/>
  <c r="E388" i="15"/>
  <c r="E88" i="15"/>
  <c r="E499" i="15"/>
  <c r="E102" i="15"/>
  <c r="E103" i="15"/>
  <c r="E189" i="15"/>
  <c r="E191" i="15"/>
  <c r="E82" i="15"/>
  <c r="E903" i="15"/>
  <c r="E296" i="15"/>
  <c r="E787" i="15"/>
  <c r="E442" i="15"/>
  <c r="E1148" i="15"/>
  <c r="E1559" i="15"/>
  <c r="E656" i="15"/>
  <c r="E548" i="15"/>
  <c r="E1037" i="15"/>
  <c r="E1466" i="15"/>
  <c r="E1369" i="15"/>
  <c r="E2124" i="15"/>
  <c r="E2198" i="15"/>
  <c r="E2266" i="15"/>
  <c r="E2326" i="15"/>
  <c r="E2380" i="15"/>
  <c r="E2428" i="15"/>
  <c r="E1256" i="15"/>
  <c r="E1640" i="15"/>
  <c r="E81" i="15"/>
  <c r="E225" i="15"/>
  <c r="E369" i="15"/>
  <c r="E355" i="15"/>
  <c r="E64" i="15"/>
  <c r="E751" i="15"/>
  <c r="E866" i="15"/>
  <c r="E8" i="15"/>
  <c r="E412" i="15"/>
  <c r="E116" i="15"/>
  <c r="E1534" i="15"/>
  <c r="E622" i="15"/>
  <c r="E1002" i="15"/>
  <c r="E1193" i="15"/>
  <c r="E1438" i="15"/>
  <c r="E1773" i="15"/>
  <c r="E1853" i="15"/>
  <c r="E1117" i="15"/>
  <c r="E515" i="15"/>
  <c r="E1225" i="15"/>
  <c r="E1698" i="15"/>
  <c r="E1617" i="15"/>
  <c r="E1339" i="15"/>
  <c r="E31" i="15"/>
  <c r="E96" i="15"/>
  <c r="E14" i="15"/>
  <c r="E155" i="15"/>
  <c r="E372" i="15"/>
  <c r="E714" i="15"/>
  <c r="E960" i="15"/>
  <c r="E1509" i="15"/>
  <c r="E1196" i="15"/>
  <c r="E1412" i="15"/>
  <c r="E1757" i="15"/>
  <c r="E487" i="15"/>
  <c r="E1109" i="15"/>
  <c r="E587" i="15"/>
  <c r="E830" i="15"/>
  <c r="E1594" i="15"/>
  <c r="E1680" i="15"/>
  <c r="E1306" i="15"/>
  <c r="E108" i="15"/>
  <c r="E129" i="15"/>
  <c r="E301" i="15"/>
  <c r="E201" i="15"/>
  <c r="E896" i="15"/>
  <c r="E649" i="15"/>
  <c r="E1030" i="15"/>
  <c r="E538" i="15"/>
  <c r="E782" i="15"/>
  <c r="E437" i="15"/>
  <c r="E2914" i="15"/>
  <c r="E2915" i="15"/>
  <c r="E2916" i="15"/>
  <c r="E2917" i="15"/>
  <c r="E2911" i="15"/>
  <c r="E2912" i="15"/>
  <c r="E2913" i="15"/>
  <c r="E326" i="15"/>
  <c r="E554" i="15"/>
  <c r="E58" i="15"/>
  <c r="E16" i="15"/>
  <c r="E219" i="15"/>
  <c r="E796" i="15"/>
  <c r="E673" i="15"/>
  <c r="E451" i="15"/>
  <c r="E2855" i="15"/>
  <c r="E545" i="15"/>
  <c r="E315" i="15"/>
  <c r="E482" i="15"/>
  <c r="E367" i="15"/>
  <c r="E520" i="15"/>
  <c r="E627" i="15"/>
  <c r="E420" i="15"/>
  <c r="E317" i="15"/>
  <c r="E1539" i="15"/>
  <c r="E755" i="15"/>
  <c r="E1122" i="15"/>
  <c r="E872" i="15"/>
  <c r="E1344" i="15"/>
  <c r="E1008" i="15"/>
  <c r="E2903" i="15"/>
  <c r="E1230" i="15"/>
  <c r="E1622" i="15"/>
  <c r="E1443" i="15"/>
  <c r="E2898" i="15"/>
  <c r="E2899" i="15"/>
  <c r="E2900" i="15"/>
  <c r="E2901" i="15"/>
  <c r="E2902" i="15"/>
  <c r="E229" i="15"/>
  <c r="E466" i="15"/>
  <c r="E321" i="15"/>
  <c r="E210" i="15"/>
  <c r="E2503" i="15"/>
  <c r="E2246" i="15"/>
  <c r="E2305" i="15"/>
  <c r="E2363" i="15"/>
  <c r="E2414" i="15"/>
  <c r="E2460" i="15"/>
  <c r="E107" i="15"/>
  <c r="E173" i="15"/>
  <c r="E110" i="15"/>
  <c r="E524" i="15"/>
  <c r="E1385" i="15"/>
  <c r="E930" i="15"/>
  <c r="E1057" i="15"/>
  <c r="E1571" i="15"/>
  <c r="E805" i="15"/>
  <c r="E1277" i="15"/>
  <c r="E1650" i="15"/>
  <c r="E1726" i="15"/>
  <c r="E1165" i="15"/>
  <c r="E525" i="15"/>
  <c r="E682" i="15"/>
  <c r="E2483" i="15"/>
  <c r="E2525" i="15"/>
  <c r="E1880" i="15"/>
  <c r="E2564" i="15"/>
  <c r="E2604" i="15"/>
  <c r="E2639" i="15"/>
  <c r="E1955" i="15"/>
  <c r="E2669" i="15"/>
  <c r="E1801" i="15"/>
  <c r="E1483" i="15"/>
  <c r="E118" i="15"/>
  <c r="E185" i="15"/>
  <c r="E281" i="15"/>
  <c r="E517" i="15"/>
  <c r="E624" i="15"/>
  <c r="E12" i="15"/>
  <c r="E38" i="15"/>
  <c r="E66" i="15"/>
  <c r="E1619" i="15"/>
  <c r="E1004" i="15"/>
  <c r="E1227" i="15"/>
  <c r="E417" i="15"/>
  <c r="E1119" i="15"/>
  <c r="E1774" i="15"/>
  <c r="E1854" i="15"/>
  <c r="E2232" i="15"/>
  <c r="E753" i="15"/>
  <c r="E868" i="15"/>
  <c r="E1933" i="15"/>
  <c r="E2009" i="15"/>
  <c r="E1536" i="15"/>
  <c r="E1699" i="15"/>
  <c r="E1440" i="15"/>
  <c r="E1341" i="15"/>
  <c r="E2159" i="15"/>
  <c r="E2294" i="15"/>
  <c r="E2085" i="15"/>
  <c r="E275" i="15"/>
  <c r="E508" i="15"/>
  <c r="E193" i="15"/>
  <c r="E404" i="15"/>
  <c r="E615" i="15"/>
  <c r="E1332" i="15"/>
  <c r="E859" i="15"/>
  <c r="E993" i="15"/>
  <c r="E1108" i="15"/>
  <c r="E742" i="15"/>
  <c r="E2269" i="15"/>
  <c r="E1612" i="15"/>
  <c r="E2328" i="15"/>
  <c r="E1432" i="15"/>
  <c r="E2382" i="15"/>
  <c r="E2431" i="15"/>
  <c r="E2480" i="15"/>
  <c r="E2523" i="15"/>
  <c r="E1528" i="15"/>
  <c r="E1217" i="15"/>
  <c r="E149" i="15"/>
  <c r="E645" i="15"/>
  <c r="E34" i="15"/>
  <c r="E436" i="15"/>
  <c r="E890" i="15"/>
  <c r="E1025" i="15"/>
  <c r="E535" i="15"/>
  <c r="E1138" i="15"/>
  <c r="E777" i="15"/>
  <c r="E1360" i="15"/>
  <c r="E1808" i="15"/>
  <c r="E1887" i="15"/>
  <c r="E1246" i="15"/>
  <c r="E1963" i="15"/>
  <c r="E2034" i="15"/>
  <c r="E2105" i="15"/>
  <c r="E1457" i="15"/>
  <c r="E2176" i="15"/>
  <c r="E56" i="15"/>
  <c r="E138" i="15"/>
  <c r="E335" i="15"/>
  <c r="E457" i="15"/>
  <c r="E223" i="15"/>
  <c r="E416" i="15"/>
  <c r="E292" i="15"/>
  <c r="E302" i="15"/>
  <c r="E415" i="15"/>
  <c r="E414" i="15"/>
  <c r="E2261" i="15"/>
  <c r="E2320" i="15"/>
  <c r="E2374" i="15"/>
  <c r="E2048" i="15"/>
  <c r="E2117" i="15"/>
  <c r="E2191" i="15"/>
  <c r="E119" i="15"/>
  <c r="E186" i="15"/>
  <c r="E519" i="15"/>
  <c r="E23" i="15"/>
  <c r="E419" i="15"/>
  <c r="E68" i="15"/>
  <c r="E286" i="15"/>
  <c r="E2880" i="15"/>
  <c r="E311" i="15"/>
  <c r="E298" i="15"/>
  <c r="E539" i="15"/>
  <c r="E304" i="15"/>
  <c r="E1365" i="15"/>
  <c r="E1555" i="15"/>
  <c r="E650" i="15"/>
  <c r="E1032" i="15"/>
  <c r="E2067" i="15"/>
  <c r="E783" i="15"/>
  <c r="E1252" i="15"/>
  <c r="E1636" i="15"/>
  <c r="E438" i="15"/>
  <c r="E897" i="15"/>
  <c r="E2345" i="15"/>
  <c r="E1144" i="15"/>
  <c r="E1989" i="15"/>
  <c r="E2140" i="15"/>
  <c r="E1462" i="15"/>
  <c r="E2215" i="15"/>
  <c r="E2284" i="15"/>
  <c r="E413" i="15"/>
  <c r="E467" i="15"/>
  <c r="E470" i="15"/>
  <c r="E469" i="15"/>
  <c r="E468" i="15"/>
  <c r="E9" i="15"/>
  <c r="E117" i="15"/>
  <c r="E65" i="15"/>
  <c r="E867" i="15"/>
  <c r="E1340" i="15"/>
  <c r="E623" i="15"/>
  <c r="E1003" i="15"/>
  <c r="E1226" i="15"/>
  <c r="E1439" i="15"/>
  <c r="E1118" i="15"/>
  <c r="E752" i="15"/>
  <c r="E516" i="15"/>
  <c r="E1194" i="15"/>
  <c r="E1535" i="15"/>
  <c r="E1618" i="15"/>
  <c r="E19" i="15"/>
  <c r="E749" i="15"/>
  <c r="E865" i="15"/>
  <c r="E70" i="15"/>
  <c r="E6" i="15"/>
  <c r="E423" i="15"/>
  <c r="E181" i="15"/>
  <c r="E620" i="15"/>
  <c r="E999" i="15"/>
  <c r="E1223" i="15"/>
  <c r="E2183" i="15"/>
  <c r="E2255" i="15"/>
  <c r="E1115" i="15"/>
  <c r="E2314" i="15"/>
  <c r="E1659" i="15"/>
  <c r="E1734" i="15"/>
  <c r="E1814" i="15"/>
  <c r="E1893" i="15"/>
  <c r="E1970" i="15"/>
  <c r="E1337" i="15"/>
  <c r="E2041" i="15"/>
  <c r="E2111" i="15"/>
  <c r="E373" i="15"/>
  <c r="E42" i="15"/>
  <c r="E67" i="15"/>
  <c r="E55" i="15"/>
  <c r="E597" i="15"/>
  <c r="E258" i="15"/>
  <c r="E33" i="15"/>
  <c r="E161" i="15"/>
  <c r="E379" i="15"/>
  <c r="E494" i="15"/>
  <c r="E840" i="15"/>
  <c r="E726" i="15"/>
  <c r="E1208" i="15"/>
  <c r="E1521" i="15"/>
  <c r="E977" i="15"/>
  <c r="E1767" i="15"/>
  <c r="E1424" i="15"/>
  <c r="E1928" i="15"/>
  <c r="E1606" i="15"/>
  <c r="E1691" i="15"/>
  <c r="E1098" i="15"/>
  <c r="E1318" i="15"/>
  <c r="E1848" i="15"/>
  <c r="E200" i="15"/>
  <c r="E534" i="15"/>
  <c r="E889" i="15"/>
  <c r="E256" i="15"/>
  <c r="E435" i="15"/>
  <c r="E78" i="15"/>
  <c r="E1456" i="15"/>
  <c r="E644" i="15"/>
  <c r="E1024" i="15"/>
  <c r="E776" i="15"/>
  <c r="E1245" i="15"/>
  <c r="E1137" i="15"/>
  <c r="E1359" i="15"/>
  <c r="E1552" i="15"/>
  <c r="E2131" i="15"/>
  <c r="E2207" i="15"/>
  <c r="E2275" i="15"/>
  <c r="E2334" i="15"/>
  <c r="E2388" i="15"/>
  <c r="E2437" i="15"/>
  <c r="E41" i="15"/>
  <c r="E247" i="15"/>
  <c r="E479" i="15"/>
  <c r="E91" i="15"/>
  <c r="E364" i="15"/>
  <c r="E151" i="15"/>
  <c r="E579" i="15"/>
  <c r="E1079" i="15"/>
  <c r="E1187" i="15"/>
  <c r="E952" i="15"/>
  <c r="E1964" i="15"/>
  <c r="E2582" i="15"/>
  <c r="E2035" i="15"/>
  <c r="E2619" i="15"/>
  <c r="E2106" i="15"/>
  <c r="E2652" i="15"/>
  <c r="E2177" i="15"/>
  <c r="E2680" i="15"/>
  <c r="E2248" i="15"/>
  <c r="E2703" i="15"/>
  <c r="E2307" i="15"/>
  <c r="E2365" i="15"/>
  <c r="E2416" i="15"/>
  <c r="E2464" i="15"/>
  <c r="E1809" i="15"/>
  <c r="E2507" i="15"/>
  <c r="E1888" i="15"/>
  <c r="E2544" i="15"/>
  <c r="E52" i="15"/>
  <c r="E95" i="15"/>
  <c r="E368" i="15"/>
  <c r="E46" i="15"/>
  <c r="E154" i="15"/>
  <c r="E250" i="15"/>
  <c r="E583" i="15"/>
  <c r="E956" i="15"/>
  <c r="E710" i="15"/>
  <c r="E483" i="15"/>
  <c r="E1661" i="15"/>
  <c r="E1736" i="15"/>
  <c r="E717" i="15"/>
  <c r="E407" i="15"/>
  <c r="E1090" i="15"/>
  <c r="E503" i="15"/>
  <c r="E590" i="15"/>
  <c r="E832" i="15"/>
  <c r="E1513" i="15"/>
  <c r="E965" i="15"/>
  <c r="E2054" i="15"/>
  <c r="E1310" i="15"/>
  <c r="E2123" i="15"/>
  <c r="E1200" i="15"/>
  <c r="E1742" i="15"/>
  <c r="E1822" i="15"/>
  <c r="E1416" i="15"/>
  <c r="E1598" i="15"/>
  <c r="E1901" i="15"/>
  <c r="E1979" i="15"/>
  <c r="E22" i="15"/>
  <c r="E456" i="15"/>
  <c r="E334" i="15"/>
  <c r="E533" i="15"/>
  <c r="E526" i="15"/>
  <c r="E953" i="15"/>
  <c r="E707" i="15"/>
  <c r="E1188" i="15"/>
  <c r="E1080" i="15"/>
  <c r="E580" i="15"/>
  <c r="E823" i="15"/>
  <c r="E1406" i="15"/>
  <c r="E1589" i="15"/>
  <c r="E1675" i="15"/>
  <c r="E2107" i="15"/>
  <c r="E2178" i="15"/>
  <c r="E1300" i="15"/>
  <c r="E2249" i="15"/>
  <c r="E2850" i="15"/>
  <c r="E2308" i="15"/>
  <c r="E1656" i="15"/>
  <c r="E1731" i="15"/>
  <c r="E1503" i="15"/>
  <c r="E1752" i="15"/>
  <c r="E1810" i="15"/>
  <c r="E1889" i="15"/>
  <c r="E1965" i="15"/>
  <c r="E2036" i="15"/>
  <c r="E481" i="15"/>
  <c r="E582" i="15"/>
  <c r="E93" i="15"/>
  <c r="E366" i="15"/>
  <c r="E36" i="15"/>
  <c r="E153" i="15"/>
  <c r="E39" i="15"/>
  <c r="E249" i="15"/>
  <c r="E824" i="15"/>
  <c r="E1301" i="15"/>
  <c r="E709" i="15"/>
  <c r="E1189" i="15"/>
  <c r="E1081" i="15"/>
  <c r="E1504" i="15"/>
  <c r="E954" i="15"/>
  <c r="E1407" i="15"/>
  <c r="E98" i="15"/>
  <c r="E491" i="15"/>
  <c r="E835" i="15"/>
  <c r="E43" i="15"/>
  <c r="E592" i="15"/>
  <c r="E157" i="15"/>
  <c r="E254" i="15"/>
  <c r="E375" i="15"/>
  <c r="E54" i="15"/>
  <c r="E719" i="15"/>
  <c r="E2895" i="15"/>
  <c r="E2896" i="15"/>
  <c r="E2893" i="15"/>
  <c r="E2894" i="15"/>
  <c r="E125" i="15"/>
  <c r="E432" i="15"/>
  <c r="E73" i="15"/>
  <c r="E196" i="15"/>
  <c r="E641" i="15"/>
  <c r="E1021" i="15"/>
  <c r="E299" i="15"/>
  <c r="E1242" i="15"/>
  <c r="E531" i="15"/>
  <c r="E762" i="15"/>
  <c r="E1134" i="15"/>
  <c r="E1356" i="15"/>
  <c r="E1549" i="15"/>
  <c r="E886" i="15"/>
  <c r="E1453" i="15"/>
  <c r="E2046" i="15"/>
  <c r="E2116" i="15"/>
  <c r="E2188" i="15"/>
  <c r="E2259" i="15"/>
  <c r="E2318" i="15"/>
  <c r="E2372" i="15"/>
  <c r="E197" i="15"/>
  <c r="E171" i="15"/>
  <c r="E472" i="15"/>
  <c r="E357" i="15"/>
  <c r="E242" i="15"/>
  <c r="E77" i="15"/>
  <c r="E146" i="15"/>
  <c r="E113" i="15"/>
  <c r="E697" i="15"/>
  <c r="E572" i="15"/>
  <c r="E1178" i="15"/>
  <c r="E941" i="15"/>
  <c r="E1399" i="15"/>
  <c r="E1497" i="15"/>
  <c r="E1069" i="15"/>
  <c r="E1585" i="15"/>
  <c r="E813" i="15"/>
  <c r="E1289" i="15"/>
  <c r="E2060" i="15"/>
  <c r="E336" i="15"/>
  <c r="E458" i="15"/>
  <c r="E224" i="15"/>
  <c r="E164" i="15"/>
  <c r="E679" i="15"/>
  <c r="E927" i="15"/>
  <c r="E559" i="15"/>
  <c r="E1054" i="15"/>
  <c r="E802" i="15"/>
  <c r="E1275" i="15"/>
  <c r="E1163" i="15"/>
  <c r="E1825" i="15"/>
  <c r="E1905" i="15"/>
  <c r="E1983" i="15"/>
  <c r="E2058" i="15"/>
  <c r="E2128" i="15"/>
  <c r="E2202" i="15"/>
  <c r="E1383" i="15"/>
  <c r="E80" i="15"/>
  <c r="E127" i="15"/>
  <c r="E677" i="15"/>
  <c r="E222" i="15"/>
  <c r="E332" i="15"/>
  <c r="E558" i="15"/>
  <c r="E1382" i="15"/>
  <c r="E924" i="15"/>
  <c r="E1052" i="15"/>
  <c r="E1480" i="15"/>
  <c r="E455" i="15"/>
  <c r="E801" i="15"/>
  <c r="E2599" i="15"/>
  <c r="E1272" i="15"/>
  <c r="E2378" i="15"/>
  <c r="E2426" i="15"/>
  <c r="E2477" i="15"/>
  <c r="E1162" i="15"/>
  <c r="E2520" i="15"/>
  <c r="E2560" i="15"/>
  <c r="E738" i="15"/>
  <c r="E176" i="15"/>
  <c r="E504" i="15"/>
  <c r="E83" i="15"/>
  <c r="E400" i="15"/>
  <c r="E268" i="15"/>
  <c r="E854" i="15"/>
  <c r="E989" i="15"/>
  <c r="E611" i="15"/>
  <c r="E1826" i="15"/>
  <c r="E1906" i="15"/>
  <c r="E1984" i="15"/>
  <c r="E2059" i="15"/>
  <c r="E2129" i="15"/>
  <c r="E2204" i="15"/>
  <c r="E2271" i="15"/>
  <c r="E162" i="15"/>
  <c r="E381" i="15"/>
  <c r="E496" i="15"/>
  <c r="E15" i="15"/>
  <c r="E101" i="15"/>
  <c r="E261" i="15"/>
  <c r="E842" i="15"/>
  <c r="E1320" i="15"/>
  <c r="E599" i="15"/>
  <c r="E729" i="15"/>
  <c r="E1210" i="15"/>
  <c r="E981" i="15"/>
  <c r="E1426" i="15"/>
  <c r="E1100" i="15"/>
  <c r="E230" i="15"/>
  <c r="E295" i="15"/>
  <c r="E529" i="15"/>
  <c r="E758" i="15"/>
  <c r="E1129" i="15"/>
  <c r="E428" i="15"/>
  <c r="E880" i="15"/>
  <c r="E632" i="15"/>
  <c r="E1016" i="15"/>
  <c r="E1730" i="15"/>
  <c r="E1807" i="15"/>
  <c r="E1886" i="15"/>
  <c r="E1961" i="15"/>
  <c r="E2032" i="15"/>
  <c r="E1237" i="15"/>
  <c r="E2103" i="15"/>
  <c r="E358" i="15"/>
  <c r="E1071" i="15"/>
  <c r="E473" i="15"/>
  <c r="E243" i="15"/>
  <c r="E147" i="15"/>
  <c r="E816" i="15"/>
  <c r="E1294" i="15"/>
  <c r="E573" i="15"/>
  <c r="E701" i="15"/>
  <c r="E943" i="15"/>
  <c r="E1499" i="15"/>
  <c r="E1182" i="15"/>
  <c r="E1402" i="15"/>
  <c r="E2918" i="15"/>
  <c r="E2919" i="15"/>
  <c r="E2920" i="15"/>
  <c r="E2921" i="15"/>
  <c r="E2922" i="15"/>
  <c r="E2923" i="15"/>
  <c r="E106" i="15"/>
  <c r="E140" i="15"/>
  <c r="E238" i="15"/>
  <c r="E561" i="15"/>
  <c r="E460" i="15"/>
  <c r="E683" i="15"/>
  <c r="E1058" i="15"/>
  <c r="E806" i="15"/>
  <c r="E1278" i="15"/>
  <c r="E340" i="15"/>
  <c r="E931" i="15"/>
  <c r="E2567" i="15"/>
  <c r="E1484" i="15"/>
  <c r="E1386" i="15"/>
  <c r="E2335" i="15"/>
  <c r="E2389" i="15"/>
  <c r="E1166" i="15"/>
  <c r="E1572" i="15"/>
  <c r="E2438" i="15"/>
  <c r="E2486" i="15"/>
  <c r="E2528" i="15"/>
  <c r="E174" i="15"/>
  <c r="E241" i="15"/>
  <c r="E464" i="15"/>
  <c r="E353" i="15"/>
  <c r="E71" i="15"/>
  <c r="E190" i="15"/>
  <c r="E290" i="15"/>
  <c r="E122" i="15"/>
  <c r="E426" i="15"/>
  <c r="E630" i="15"/>
  <c r="E527" i="15"/>
  <c r="E876" i="15"/>
  <c r="E1349" i="15"/>
  <c r="E1014" i="15"/>
  <c r="E1235" i="15"/>
  <c r="E756" i="15"/>
  <c r="E1907" i="15"/>
  <c r="E1127" i="15"/>
  <c r="E1985" i="15"/>
  <c r="E2061" i="15"/>
  <c r="E2132" i="15"/>
  <c r="E403" i="15"/>
  <c r="E996" i="15"/>
  <c r="E179" i="15"/>
  <c r="E109" i="15"/>
  <c r="E617" i="15"/>
  <c r="E274" i="15"/>
  <c r="E745" i="15"/>
  <c r="E510" i="15"/>
  <c r="E862" i="15"/>
  <c r="E1530" i="15"/>
  <c r="E1219" i="15"/>
  <c r="E1434" i="15"/>
  <c r="E1111" i="15"/>
  <c r="E2030" i="15"/>
  <c r="E1334" i="15"/>
  <c r="E1654" i="15"/>
  <c r="E1728" i="15"/>
  <c r="E1805" i="15"/>
  <c r="E1884" i="15"/>
  <c r="E1959" i="15"/>
  <c r="E324" i="15"/>
  <c r="E180" i="15"/>
  <c r="E218" i="15"/>
  <c r="E450" i="15"/>
  <c r="E1565" i="15"/>
  <c r="E795" i="15"/>
  <c r="E1267" i="15"/>
  <c r="E1156" i="15"/>
  <c r="E553" i="15"/>
  <c r="E672" i="15"/>
  <c r="E1045" i="15"/>
  <c r="E1967" i="15"/>
  <c r="E2038" i="15"/>
  <c r="E2109" i="15"/>
  <c r="E916" i="15"/>
  <c r="E2181" i="15"/>
  <c r="E2252" i="15"/>
  <c r="E2312" i="15"/>
  <c r="E1475" i="15"/>
  <c r="E1377" i="15"/>
  <c r="E406" i="15"/>
  <c r="E911" i="15"/>
  <c r="E568" i="15"/>
  <c r="E445" i="15"/>
  <c r="E791" i="15"/>
  <c r="E667" i="15"/>
  <c r="E739" i="15"/>
  <c r="E505" i="15"/>
  <c r="E401" i="15"/>
  <c r="E169" i="15"/>
  <c r="E195" i="15"/>
  <c r="E269" i="15"/>
  <c r="E855" i="15"/>
  <c r="E1330" i="15"/>
  <c r="E1527" i="15"/>
  <c r="E1611" i="15"/>
  <c r="E1106" i="15"/>
  <c r="E612" i="15"/>
  <c r="E1431" i="15"/>
  <c r="E1745" i="15"/>
  <c r="E1827" i="15"/>
  <c r="E1908" i="15"/>
  <c r="E1986" i="15"/>
  <c r="E2063" i="15"/>
  <c r="E2134" i="15"/>
  <c r="E990" i="15"/>
  <c r="E1216" i="15"/>
  <c r="E111" i="15"/>
  <c r="E133" i="15"/>
  <c r="E211" i="15"/>
  <c r="E788" i="15"/>
  <c r="E306" i="15"/>
  <c r="E549" i="15"/>
  <c r="E443" i="15"/>
  <c r="E130" i="15"/>
  <c r="E206" i="15"/>
  <c r="E1257" i="15"/>
  <c r="E1370" i="15"/>
  <c r="E657" i="15"/>
  <c r="E904" i="15"/>
  <c r="E1038" i="15"/>
  <c r="E1467" i="15"/>
  <c r="E1903" i="15"/>
  <c r="E1981" i="15"/>
  <c r="E2056" i="15"/>
  <c r="E2126" i="15"/>
  <c r="E2200" i="15"/>
  <c r="E2267" i="15"/>
  <c r="E1149" i="15"/>
  <c r="E228" i="15"/>
  <c r="E342" i="15"/>
  <c r="E121" i="15"/>
  <c r="E142" i="15"/>
  <c r="E563" i="15"/>
  <c r="E1060" i="15"/>
  <c r="E1486" i="15"/>
  <c r="E462" i="15"/>
  <c r="E808" i="15"/>
  <c r="E1280" i="15"/>
  <c r="E1168" i="15"/>
  <c r="E933" i="15"/>
  <c r="E1388" i="15"/>
  <c r="E685" i="15"/>
  <c r="E2934" i="15"/>
  <c r="E2929" i="15"/>
  <c r="E2930" i="15"/>
  <c r="E2931" i="15"/>
  <c r="E2932" i="15"/>
  <c r="E2933" i="15"/>
  <c r="E397" i="15"/>
  <c r="E514" i="15"/>
  <c r="E327" i="15"/>
  <c r="E797" i="15"/>
  <c r="E917" i="15"/>
  <c r="E136" i="15"/>
  <c r="E220" i="15"/>
  <c r="E1157" i="15"/>
  <c r="E674" i="15"/>
  <c r="E555" i="15"/>
  <c r="E1378" i="15"/>
  <c r="E452" i="15"/>
  <c r="E1046" i="15"/>
  <c r="E2369" i="15"/>
  <c r="E1268" i="15"/>
  <c r="E1476" i="15"/>
  <c r="E2044" i="15"/>
  <c r="E2114" i="15"/>
  <c r="E2186" i="15"/>
  <c r="E2257" i="15"/>
  <c r="E1566" i="15"/>
  <c r="E2316" i="15"/>
  <c r="E970" i="15"/>
  <c r="E502" i="15"/>
  <c r="E724" i="15"/>
  <c r="E1518" i="15"/>
  <c r="E1095" i="15"/>
  <c r="E594" i="15"/>
  <c r="E838" i="15"/>
  <c r="E1315" i="15"/>
  <c r="E1765" i="15"/>
  <c r="E2904" i="15"/>
  <c r="E2332" i="15"/>
  <c r="E2386" i="15"/>
  <c r="E2435" i="15"/>
  <c r="E2484" i="15"/>
  <c r="E2526" i="15"/>
  <c r="E2565" i="15"/>
  <c r="E2605" i="15"/>
  <c r="E1205" i="15"/>
  <c r="E2640" i="15"/>
  <c r="E2670" i="15"/>
  <c r="E1421" i="15"/>
  <c r="E1603" i="15"/>
  <c r="E1688" i="15"/>
  <c r="E2696" i="15"/>
  <c r="E718" i="15"/>
  <c r="E967" i="15"/>
  <c r="E490" i="15"/>
  <c r="E293" i="15"/>
  <c r="E1515" i="15"/>
  <c r="E1600" i="15"/>
  <c r="E309" i="15"/>
  <c r="E1092" i="15"/>
  <c r="E1685" i="15"/>
  <c r="E2403" i="15"/>
  <c r="E591" i="15"/>
  <c r="E834" i="15"/>
  <c r="E1312" i="15"/>
  <c r="E2227" i="15"/>
  <c r="E2351" i="15"/>
  <c r="E1762" i="15"/>
  <c r="E2153" i="15"/>
  <c r="E2451" i="15"/>
  <c r="E1202" i="15"/>
  <c r="E1418" i="15"/>
  <c r="E1925" i="15"/>
  <c r="E2203" i="15"/>
  <c r="E2290" i="15"/>
  <c r="E2270" i="15"/>
  <c r="E2079" i="15"/>
  <c r="E2496" i="15"/>
  <c r="E2329" i="15"/>
  <c r="E2003" i="15"/>
  <c r="E2383" i="15"/>
  <c r="E1844" i="15"/>
  <c r="E2432" i="15"/>
  <c r="E2481" i="15"/>
  <c r="E888" i="15"/>
  <c r="E775" i="15"/>
  <c r="E532" i="15"/>
  <c r="E643" i="15"/>
  <c r="E1244" i="15"/>
  <c r="E1136" i="15"/>
  <c r="E424" i="15"/>
  <c r="E425" i="15"/>
  <c r="E1358" i="15"/>
  <c r="E1551" i="15"/>
  <c r="E1942" i="15"/>
  <c r="E2341" i="15"/>
  <c r="E1786" i="15"/>
  <c r="E2395" i="15"/>
  <c r="E2444" i="15"/>
  <c r="E2491" i="15"/>
  <c r="E1711" i="15"/>
  <c r="E2531" i="15"/>
  <c r="E2570" i="15"/>
  <c r="E1633" i="15"/>
  <c r="E1866" i="15"/>
  <c r="E2608" i="15"/>
  <c r="E1455" i="15"/>
  <c r="E2643" i="15"/>
  <c r="E2672" i="15"/>
  <c r="E1023" i="15"/>
  <c r="E2697" i="15"/>
  <c r="E2935" i="15"/>
  <c r="E175" i="15"/>
  <c r="E235" i="15"/>
  <c r="E234" i="15"/>
  <c r="E925" i="15"/>
  <c r="E565" i="15"/>
  <c r="E1273" i="15"/>
  <c r="E2125" i="15"/>
  <c r="E2199" i="15"/>
  <c r="E1743" i="15"/>
  <c r="E1823" i="15"/>
  <c r="E1902" i="15"/>
  <c r="E1980" i="15"/>
  <c r="E2055" i="15"/>
  <c r="E325" i="15"/>
  <c r="E540" i="15"/>
  <c r="E248" i="15"/>
  <c r="E51" i="15"/>
  <c r="E480" i="15"/>
  <c r="E581" i="15"/>
  <c r="E92" i="15"/>
  <c r="E365" i="15"/>
  <c r="E17" i="15"/>
  <c r="E28" i="15"/>
  <c r="E152" i="15"/>
  <c r="E708" i="15"/>
  <c r="E626" i="15"/>
  <c r="E278" i="15"/>
  <c r="E1006" i="15"/>
  <c r="E2874" i="15"/>
  <c r="E2875" i="15"/>
  <c r="E2876" i="15"/>
  <c r="E2872" i="15"/>
  <c r="E2873" i="15"/>
  <c r="E338" i="15"/>
  <c r="E681" i="15"/>
  <c r="E1056" i="15"/>
  <c r="E459" i="15"/>
  <c r="E237" i="15"/>
  <c r="E929" i="15"/>
  <c r="E1384" i="15"/>
  <c r="E560" i="15"/>
  <c r="E1649" i="15"/>
  <c r="E1725" i="15"/>
  <c r="E2243" i="15"/>
  <c r="E804" i="15"/>
  <c r="E1164" i="15"/>
  <c r="E2099" i="15"/>
  <c r="E2360" i="15"/>
  <c r="E2130" i="15"/>
  <c r="E1954" i="15"/>
  <c r="E2026" i="15"/>
  <c r="E2411" i="15"/>
  <c r="E2205" i="15"/>
  <c r="E1800" i="15"/>
  <c r="E2273" i="15"/>
  <c r="E1482" i="15"/>
  <c r="E2331" i="15"/>
  <c r="E2458" i="15"/>
  <c r="E2385" i="15"/>
  <c r="E2434" i="15"/>
  <c r="E2171" i="15"/>
  <c r="E2501" i="15"/>
  <c r="E1570" i="15"/>
  <c r="E2302" i="15"/>
  <c r="E1276" i="15"/>
  <c r="E1879" i="15"/>
  <c r="E799" i="15"/>
  <c r="E919" i="15"/>
  <c r="E556" i="15"/>
  <c r="E308" i="15"/>
  <c r="E453" i="15"/>
  <c r="E343" i="15"/>
  <c r="E1270" i="15"/>
  <c r="E675" i="15"/>
  <c r="E2358" i="15"/>
  <c r="E1380" i="15"/>
  <c r="E1478" i="15"/>
  <c r="E1647" i="15"/>
  <c r="E1568" i="15"/>
  <c r="E1877" i="15"/>
  <c r="E1817" i="15"/>
  <c r="E2097" i="15"/>
  <c r="E1896" i="15"/>
  <c r="E1049" i="15"/>
  <c r="E1973" i="15"/>
  <c r="E1952" i="15"/>
  <c r="E2024" i="15"/>
  <c r="E2409" i="15"/>
  <c r="E2047" i="15"/>
  <c r="E1798" i="15"/>
  <c r="E2241" i="15"/>
  <c r="E2456" i="15"/>
  <c r="E1722" i="15"/>
  <c r="E2169" i="15"/>
  <c r="E1662" i="15"/>
  <c r="E1159" i="15"/>
  <c r="E2300" i="15"/>
  <c r="E1737" i="15"/>
  <c r="E239" i="15"/>
  <c r="E316" i="15"/>
  <c r="E1140" i="15"/>
  <c r="E2115" i="15"/>
  <c r="E2187" i="15"/>
  <c r="E2258" i="15"/>
  <c r="E2045" i="15"/>
  <c r="E2317" i="15"/>
  <c r="E2371" i="15"/>
  <c r="E382" i="15"/>
  <c r="E434" i="15"/>
  <c r="E444" i="15"/>
  <c r="E2828" i="15"/>
  <c r="E2829" i="15"/>
  <c r="E2830" i="15"/>
  <c r="E2831" i="15"/>
  <c r="E2832" i="15"/>
  <c r="E2833" i="15"/>
  <c r="E997" i="15"/>
  <c r="E410" i="15"/>
  <c r="E511" i="15"/>
  <c r="E314" i="15"/>
  <c r="E863" i="15"/>
  <c r="E1336" i="15"/>
  <c r="E1615" i="15"/>
  <c r="E1532" i="15"/>
  <c r="E313" i="15"/>
  <c r="E1436" i="15"/>
  <c r="E618" i="15"/>
  <c r="E746" i="15"/>
  <c r="E1113" i="15"/>
  <c r="E1221" i="15"/>
  <c r="E2310" i="15"/>
  <c r="E2367" i="15"/>
  <c r="E2418" i="15"/>
  <c r="E2466" i="15"/>
  <c r="E2509" i="15"/>
  <c r="E2546" i="15"/>
  <c r="E227" i="15"/>
  <c r="E341" i="15"/>
  <c r="E61" i="15"/>
  <c r="E141" i="15"/>
  <c r="E684" i="15"/>
  <c r="E562" i="15"/>
  <c r="E461" i="15"/>
  <c r="E807" i="15"/>
  <c r="E1279" i="15"/>
  <c r="E1167" i="15"/>
  <c r="E932" i="15"/>
  <c r="E1387" i="15"/>
  <c r="E1059" i="15"/>
  <c r="E1485" i="15"/>
  <c r="E2062" i="15"/>
  <c r="E2133" i="15"/>
  <c r="E2208" i="15"/>
  <c r="E2277" i="15"/>
  <c r="E2337" i="15"/>
  <c r="E2391" i="15"/>
  <c r="E2440" i="15"/>
  <c r="E2488" i="15"/>
  <c r="E217" i="15"/>
  <c r="E449" i="15"/>
  <c r="E135" i="15"/>
  <c r="E59" i="15"/>
  <c r="E794" i="15"/>
  <c r="E1266" i="15"/>
  <c r="E1155" i="15"/>
  <c r="E552" i="15"/>
  <c r="E671" i="15"/>
  <c r="E915" i="15"/>
  <c r="E1474" i="15"/>
  <c r="E323" i="15"/>
  <c r="E1044" i="15"/>
  <c r="E2180" i="15"/>
  <c r="E2251" i="15"/>
  <c r="E2311" i="15"/>
  <c r="E1811" i="15"/>
  <c r="E1890" i="15"/>
  <c r="E1966" i="15"/>
  <c r="E1376" i="15"/>
  <c r="E2037" i="15"/>
  <c r="E2108" i="15"/>
  <c r="E79" i="15"/>
  <c r="E24" i="15"/>
  <c r="E221" i="15"/>
  <c r="E330" i="15"/>
  <c r="E431" i="15"/>
  <c r="E634" i="15"/>
  <c r="E236" i="15"/>
  <c r="E530" i="15"/>
  <c r="E287" i="15"/>
  <c r="E1240" i="15"/>
  <c r="E759" i="15"/>
  <c r="E1940" i="15"/>
  <c r="E881" i="15"/>
  <c r="E1451" i="15"/>
  <c r="E1019" i="15"/>
  <c r="E2057" i="15"/>
  <c r="E1783" i="15"/>
  <c r="E2015" i="15"/>
  <c r="E1132" i="15"/>
  <c r="E1547" i="15"/>
  <c r="E1708" i="15"/>
  <c r="E1630" i="15"/>
  <c r="E1863" i="15"/>
  <c r="E1666" i="15"/>
  <c r="E1744" i="15"/>
  <c r="E1824" i="15"/>
  <c r="E1904" i="15"/>
  <c r="E1354" i="15"/>
  <c r="E2091" i="15"/>
  <c r="E1982" i="15"/>
  <c r="E226" i="15"/>
  <c r="E165" i="15"/>
  <c r="E384" i="15"/>
  <c r="E389" i="15"/>
  <c r="E843" i="15"/>
  <c r="E1322" i="15"/>
  <c r="E734" i="15"/>
  <c r="E1211" i="15"/>
  <c r="E1427" i="15"/>
  <c r="E1608" i="15"/>
  <c r="E1693" i="15"/>
  <c r="E1101" i="15"/>
  <c r="E605" i="15"/>
  <c r="E498" i="15"/>
  <c r="E2887" i="15"/>
  <c r="E2888" i="15"/>
  <c r="E2889" i="15"/>
  <c r="E2890" i="15"/>
  <c r="E2891" i="15"/>
  <c r="E2892" i="15"/>
  <c r="E982" i="15"/>
  <c r="E2882" i="15"/>
  <c r="E2883" i="15"/>
  <c r="E1523" i="15"/>
  <c r="E2884" i="15"/>
  <c r="E2885" i="15"/>
  <c r="E2886" i="15"/>
  <c r="E1084" i="15"/>
  <c r="E429" i="15"/>
  <c r="E328" i="15"/>
  <c r="E398" i="15"/>
  <c r="E584" i="15"/>
  <c r="E827" i="15"/>
  <c r="E1304" i="15"/>
  <c r="E1999" i="15"/>
  <c r="E2149" i="15"/>
  <c r="E711" i="15"/>
  <c r="E2075" i="15"/>
  <c r="E957" i="15"/>
  <c r="E1507" i="15"/>
  <c r="E484" i="15"/>
  <c r="E1592" i="15"/>
  <c r="E1678" i="15"/>
  <c r="E1839" i="15"/>
  <c r="E2627" i="15"/>
  <c r="E2659" i="15"/>
  <c r="E2223" i="15"/>
  <c r="E2687" i="15"/>
  <c r="E2710" i="15"/>
  <c r="E2729" i="15"/>
  <c r="E1755" i="15"/>
  <c r="E1192" i="15"/>
  <c r="E1410" i="15"/>
  <c r="E1920" i="15"/>
  <c r="E2551" i="15"/>
  <c r="E2590" i="15"/>
  <c r="E18" i="15"/>
  <c r="E94" i="15"/>
  <c r="E2854" i="15"/>
  <c r="E150" i="15"/>
  <c r="E822" i="15"/>
  <c r="E246" i="15"/>
  <c r="E478" i="15"/>
  <c r="E578" i="15"/>
  <c r="E49" i="15"/>
  <c r="E363" i="15"/>
  <c r="E1996" i="15"/>
  <c r="E1299" i="15"/>
  <c r="E951" i="15"/>
  <c r="E1186" i="15"/>
  <c r="E1405" i="15"/>
  <c r="E706" i="15"/>
  <c r="E1078" i="15"/>
  <c r="E1588" i="15"/>
  <c r="E1836" i="15"/>
  <c r="E1502" i="15"/>
  <c r="E1751" i="15"/>
  <c r="E1674" i="15"/>
  <c r="E1917" i="15"/>
  <c r="E439" i="15"/>
  <c r="E646" i="15"/>
  <c r="E1028" i="15"/>
  <c r="E198" i="15"/>
  <c r="E300" i="15"/>
  <c r="E536" i="15"/>
  <c r="E112" i="15"/>
  <c r="E893" i="15"/>
  <c r="E780" i="15"/>
  <c r="E1740" i="15"/>
  <c r="E1820" i="15"/>
  <c r="E1899" i="15"/>
  <c r="E1977" i="15"/>
  <c r="E2052" i="15"/>
  <c r="E2121" i="15"/>
  <c r="E2196" i="15"/>
  <c r="E995" i="15"/>
  <c r="E21" i="15"/>
  <c r="E62" i="15"/>
  <c r="E183" i="15"/>
  <c r="E279" i="15"/>
  <c r="E114" i="15"/>
  <c r="E861" i="15"/>
  <c r="E1333" i="15"/>
  <c r="E1613" i="15"/>
  <c r="E409" i="15"/>
  <c r="E1529" i="15"/>
  <c r="E616" i="15"/>
  <c r="E509" i="15"/>
  <c r="E744" i="15"/>
  <c r="E1218" i="15"/>
  <c r="E1110" i="15"/>
  <c r="E1433" i="15"/>
  <c r="E177" i="15"/>
  <c r="E507" i="15"/>
  <c r="E857" i="15"/>
  <c r="E614" i="15"/>
  <c r="E86" i="15"/>
  <c r="E270" i="15"/>
  <c r="E991" i="15"/>
  <c r="E741" i="15"/>
  <c r="E402" i="15"/>
  <c r="E2138" i="15"/>
  <c r="E2213" i="15"/>
  <c r="E2282" i="15"/>
  <c r="E2343" i="15"/>
  <c r="E2397" i="15"/>
  <c r="E2446" i="15"/>
  <c r="E1828" i="15"/>
  <c r="E1909" i="15"/>
  <c r="E1987" i="15"/>
  <c r="E2065" i="15"/>
  <c r="E271" i="15"/>
  <c r="E273" i="15"/>
  <c r="E213" i="15"/>
  <c r="E272" i="15"/>
  <c r="E2954" i="15"/>
  <c r="E2955" i="15"/>
  <c r="E2956" i="15"/>
  <c r="E2957" i="15"/>
  <c r="E2958" i="15"/>
  <c r="P13" i="40" l="1"/>
  <c r="P14" i="40"/>
  <c r="I3" i="40"/>
  <c r="D5" i="40"/>
  <c r="E5" i="40" s="1"/>
  <c r="D4" i="40"/>
  <c r="E4" i="40" s="1"/>
  <c r="D8" i="40"/>
  <c r="D9" i="40"/>
  <c r="D11" i="40"/>
  <c r="E11" i="40" s="1"/>
  <c r="D12" i="40"/>
  <c r="D6" i="40"/>
  <c r="E6" i="40" s="1"/>
  <c r="D10" i="40"/>
  <c r="E10" i="40" s="1"/>
  <c r="I101" i="30"/>
  <c r="G14" i="40" a="1"/>
  <c r="G14" i="40" s="1"/>
  <c r="M14" i="40"/>
  <c r="I14" i="40"/>
  <c r="K14" i="40"/>
  <c r="L14" i="40"/>
  <c r="E14" i="40"/>
  <c r="G13" i="40" a="1"/>
  <c r="G13" i="40" s="1"/>
  <c r="I13" i="40"/>
  <c r="K13" i="40"/>
  <c r="L13" i="40"/>
  <c r="M13" i="40"/>
  <c r="I13" i="21" a="1"/>
  <c r="I13" i="21" s="1"/>
  <c r="B12" i="40"/>
  <c r="F12" i="40" s="1" a="1"/>
  <c r="F12" i="40" s="1"/>
  <c r="G11" i="40" a="1"/>
  <c r="G11" i="40" s="1"/>
  <c r="M11" i="40"/>
  <c r="I11" i="40"/>
  <c r="K11" i="40"/>
  <c r="L11" i="40"/>
  <c r="I10" i="21" a="1"/>
  <c r="I10" i="21" s="1"/>
  <c r="B9" i="40"/>
  <c r="F9" i="40" s="1" a="1"/>
  <c r="F9" i="40" s="1"/>
  <c r="G10" i="40" a="1"/>
  <c r="G10" i="40" s="1"/>
  <c r="K10" i="40"/>
  <c r="L10" i="40"/>
  <c r="I10" i="40"/>
  <c r="M10" i="40"/>
  <c r="I9" i="21" a="1"/>
  <c r="I9" i="21" s="1"/>
  <c r="B8" i="40"/>
  <c r="F8" i="40" s="1" a="1"/>
  <c r="F8" i="40" s="1"/>
  <c r="G7" i="40" a="1"/>
  <c r="G7" i="40" s="1"/>
  <c r="K7" i="40"/>
  <c r="M7" i="40"/>
  <c r="I7" i="40"/>
  <c r="L7" i="40"/>
  <c r="G6" i="40" a="1"/>
  <c r="G6" i="40" s="1"/>
  <c r="K6" i="40"/>
  <c r="I6" i="40"/>
  <c r="L6" i="40"/>
  <c r="M6" i="40"/>
  <c r="E7" i="40"/>
  <c r="G5" i="40" a="1"/>
  <c r="G5" i="40" s="1"/>
  <c r="L5" i="40"/>
  <c r="K5" i="40"/>
  <c r="I5" i="40"/>
  <c r="M5" i="40"/>
  <c r="C17" i="40"/>
  <c r="J3" i="40"/>
  <c r="J17" i="40" s="1"/>
  <c r="G4" i="40" a="1"/>
  <c r="G4" i="40" s="1"/>
  <c r="I4" i="40"/>
  <c r="L4" i="40"/>
  <c r="M4" i="40"/>
  <c r="K4" i="40"/>
  <c r="L3" i="40"/>
  <c r="G3" i="40" a="1"/>
  <c r="G3" i="40" s="1"/>
  <c r="K3" i="40"/>
  <c r="M3" i="40"/>
  <c r="B18" i="21"/>
  <c r="B16" i="40"/>
  <c r="B17" i="21"/>
  <c r="B15" i="40"/>
  <c r="F15" i="40" s="1" a="1"/>
  <c r="F15" i="40" s="1"/>
  <c r="E13" i="40"/>
  <c r="D3" i="40"/>
  <c r="G141" i="30"/>
  <c r="D136" i="30"/>
  <c r="C136" i="30"/>
  <c r="F136" i="30"/>
  <c r="E136" i="30"/>
  <c r="G140" i="30"/>
  <c r="G135" i="30"/>
  <c r="E1972" i="15"/>
  <c r="E1895" i="15"/>
  <c r="E2185" i="15"/>
  <c r="E2113" i="15"/>
  <c r="E2043" i="15"/>
  <c r="E610" i="15"/>
  <c r="E847" i="15"/>
  <c r="E215" i="15"/>
  <c r="E1040" i="15"/>
  <c r="E1563" i="15"/>
  <c r="E2827" i="15"/>
  <c r="E2825" i="15"/>
  <c r="E1262" i="15"/>
  <c r="E909" i="15"/>
  <c r="E405" i="15"/>
  <c r="E182" i="15"/>
  <c r="E356" i="15"/>
  <c r="E471" i="15"/>
  <c r="J10" i="21"/>
  <c r="L10" i="21" s="1"/>
  <c r="E736" i="15"/>
  <c r="E1213" i="15"/>
  <c r="E500" i="15"/>
  <c r="E168" i="15"/>
  <c r="E74" i="15"/>
  <c r="E264" i="15"/>
  <c r="E396" i="15"/>
  <c r="E104" i="15"/>
  <c r="E1103" i="15"/>
  <c r="E984" i="15"/>
  <c r="E1152" i="15"/>
  <c r="E1795" i="15"/>
  <c r="E167" i="15"/>
  <c r="E2826" i="15"/>
  <c r="E319" i="15"/>
  <c r="E2824" i="15"/>
  <c r="I14" i="26"/>
  <c r="E2823" i="15"/>
  <c r="E1644" i="15"/>
  <c r="E1471" i="15"/>
  <c r="E2822" i="15"/>
  <c r="E1874" i="15"/>
  <c r="E1374" i="15"/>
  <c r="E188" i="15"/>
  <c r="E262" i="15"/>
  <c r="E1153" i="15"/>
  <c r="E1472" i="15"/>
  <c r="E2028" i="15"/>
  <c r="E550" i="15"/>
  <c r="E1039" i="15"/>
  <c r="E318" i="15"/>
  <c r="E668" i="15"/>
  <c r="E913" i="15"/>
  <c r="E446" i="15"/>
  <c r="E1957" i="15"/>
  <c r="E214" i="15"/>
  <c r="E1882" i="15"/>
  <c r="E1803" i="15"/>
  <c r="E1263" i="15"/>
  <c r="E2100" i="15"/>
  <c r="E2172" i="15"/>
  <c r="E1645" i="15"/>
  <c r="E2579" i="15"/>
  <c r="E2502" i="15"/>
  <c r="E2413" i="15"/>
  <c r="E1651" i="15"/>
  <c r="E1169" i="15"/>
  <c r="E1265" i="15"/>
  <c r="E448" i="15"/>
  <c r="E564" i="15"/>
  <c r="E2022" i="15"/>
  <c r="E134" i="15"/>
  <c r="E57" i="15"/>
  <c r="E1396" i="15"/>
  <c r="E1067" i="15"/>
  <c r="E1950" i="15"/>
  <c r="E2095" i="15"/>
  <c r="E1875" i="15"/>
  <c r="E1796" i="15"/>
  <c r="E1669" i="15"/>
  <c r="E1581" i="15"/>
  <c r="E1286" i="15"/>
  <c r="E1493" i="15"/>
  <c r="E1175" i="15"/>
  <c r="E803" i="15"/>
  <c r="E928" i="15"/>
  <c r="E1055" i="15"/>
  <c r="E680" i="15"/>
  <c r="E139" i="15"/>
  <c r="O13" i="13"/>
  <c r="E1720" i="15"/>
  <c r="E793" i="15"/>
  <c r="E1375" i="15"/>
  <c r="E2540" i="15"/>
  <c r="E209" i="15"/>
  <c r="E2459" i="15"/>
  <c r="E312" i="15"/>
  <c r="E2362" i="15"/>
  <c r="E1389" i="15"/>
  <c r="E1473" i="15"/>
  <c r="E809" i="15"/>
  <c r="E1573" i="15"/>
  <c r="E934" i="15"/>
  <c r="E1042" i="15"/>
  <c r="E2027" i="15"/>
  <c r="E1881" i="15"/>
  <c r="E912" i="15"/>
  <c r="E44" i="15"/>
  <c r="E1802" i="15"/>
  <c r="D15" i="23"/>
  <c r="H15" i="23"/>
  <c r="I64" i="30"/>
  <c r="H55" i="30"/>
  <c r="G15" i="30"/>
  <c r="I15" i="30" s="1"/>
  <c r="I13" i="30"/>
  <c r="I16" i="30"/>
  <c r="H16" i="30"/>
  <c r="U8" i="13"/>
  <c r="AA8" i="13"/>
  <c r="U14" i="13"/>
  <c r="AA14" i="13"/>
  <c r="T11" i="13"/>
  <c r="I8" i="30"/>
  <c r="T12" i="13"/>
  <c r="AA12" i="13" s="1"/>
  <c r="T4" i="13"/>
  <c r="AA4" i="13" s="1"/>
  <c r="T13" i="13"/>
  <c r="AA13" i="13" s="1"/>
  <c r="T5" i="13"/>
  <c r="T10" i="13"/>
  <c r="T7" i="13"/>
  <c r="T6" i="13"/>
  <c r="T9" i="13"/>
  <c r="I17" i="21" a="1"/>
  <c r="I17" i="21" s="1"/>
  <c r="E2080" i="15"/>
  <c r="E2154" i="15"/>
  <c r="E1926" i="15"/>
  <c r="E2004" i="15"/>
  <c r="E1763" i="15"/>
  <c r="E1845" i="15"/>
  <c r="E1601" i="15"/>
  <c r="E1686" i="15"/>
  <c r="E1419" i="15"/>
  <c r="E1516" i="15"/>
  <c r="E828" i="15"/>
  <c r="E959" i="15"/>
  <c r="I16" i="21" a="1"/>
  <c r="I16" i="21" s="1"/>
  <c r="I15" i="21" a="1"/>
  <c r="I15" i="21" s="1"/>
  <c r="I7" i="30"/>
  <c r="C10" i="13"/>
  <c r="J9" i="21"/>
  <c r="L9" i="21" s="1"/>
  <c r="J9" i="26"/>
  <c r="J11" i="21"/>
  <c r="L11" i="21" s="1"/>
  <c r="J6" i="21"/>
  <c r="M6" i="21" s="1"/>
  <c r="J7" i="21"/>
  <c r="M7" i="21" s="1"/>
  <c r="K4" i="21"/>
  <c r="K12" i="21"/>
  <c r="L5" i="21"/>
  <c r="K13" i="21"/>
  <c r="AG11" i="13"/>
  <c r="P10" i="40" s="1"/>
  <c r="AG5" i="13"/>
  <c r="P4" i="40" s="1"/>
  <c r="K5" i="21"/>
  <c r="AG9" i="13"/>
  <c r="AG7" i="13"/>
  <c r="P6" i="40" s="1"/>
  <c r="AG10" i="13"/>
  <c r="J13" i="26"/>
  <c r="J7" i="26"/>
  <c r="J12" i="26"/>
  <c r="J10" i="26"/>
  <c r="J11" i="26"/>
  <c r="J2" i="26"/>
  <c r="J4" i="26"/>
  <c r="J6" i="26"/>
  <c r="J8" i="26"/>
  <c r="J5" i="26"/>
  <c r="J3" i="26"/>
  <c r="E1958" i="15"/>
  <c r="E27" i="15"/>
  <c r="I6" i="21" a="1"/>
  <c r="I6" i="21" s="1"/>
  <c r="B7" i="21"/>
  <c r="I5" i="21" a="1"/>
  <c r="I5" i="21" s="1"/>
  <c r="B6" i="21"/>
  <c r="I4" i="21" a="1"/>
  <c r="I4" i="21" s="1"/>
  <c r="B5" i="21"/>
  <c r="I3" i="21" a="1"/>
  <c r="I3" i="21" s="1"/>
  <c r="B4" i="21"/>
  <c r="I2" i="21" a="1"/>
  <c r="I2" i="21" s="1"/>
  <c r="B3" i="21"/>
  <c r="B16" i="21"/>
  <c r="I14" i="21" a="1"/>
  <c r="I14" i="21" s="1"/>
  <c r="B15" i="21"/>
  <c r="B14" i="21"/>
  <c r="I12" i="21" a="1"/>
  <c r="I12" i="21" s="1"/>
  <c r="B13" i="21"/>
  <c r="I11" i="21" a="1"/>
  <c r="I11" i="21" s="1"/>
  <c r="B12" i="21"/>
  <c r="B11" i="21"/>
  <c r="B10" i="21"/>
  <c r="I8" i="21" a="1"/>
  <c r="I8" i="21" s="1"/>
  <c r="B9" i="21"/>
  <c r="I7" i="21" a="1"/>
  <c r="I7" i="21" s="1"/>
  <c r="B8" i="21"/>
  <c r="E1883" i="15"/>
  <c r="E320" i="15"/>
  <c r="E1727" i="15"/>
  <c r="E7" i="15"/>
  <c r="E1804" i="15"/>
  <c r="E4" i="15"/>
  <c r="E2412" i="15"/>
  <c r="E447" i="15"/>
  <c r="E2303" i="15"/>
  <c r="E2361" i="15"/>
  <c r="E669" i="15"/>
  <c r="E1653" i="15"/>
  <c r="E1041" i="15"/>
  <c r="E2244" i="15"/>
  <c r="E1154" i="15"/>
  <c r="E216" i="15"/>
  <c r="E123" i="15"/>
  <c r="E2173" i="15"/>
  <c r="E914" i="15"/>
  <c r="E2101" i="15"/>
  <c r="E551" i="15"/>
  <c r="E2029" i="15"/>
  <c r="E1264" i="15"/>
  <c r="M8" i="21"/>
  <c r="L8" i="21"/>
  <c r="L4" i="21"/>
  <c r="L13" i="21"/>
  <c r="L12" i="21"/>
  <c r="Q2" i="23"/>
  <c r="E2862" i="15"/>
  <c r="I6" i="26"/>
  <c r="E11" i="15"/>
  <c r="I3" i="26"/>
  <c r="I11" i="26"/>
  <c r="I8" i="26"/>
  <c r="I15" i="26"/>
  <c r="I12" i="26"/>
  <c r="I5" i="26"/>
  <c r="I4" i="26"/>
  <c r="E2909" i="15"/>
  <c r="E2905" i="15"/>
  <c r="E2906" i="15"/>
  <c r="E2907" i="15"/>
  <c r="E2908" i="15"/>
  <c r="E2910" i="15"/>
  <c r="E1864" i="15"/>
  <c r="E1941" i="15"/>
  <c r="E1709" i="15"/>
  <c r="E1784" i="15"/>
  <c r="E1631" i="15"/>
  <c r="E1548" i="15"/>
  <c r="E1452" i="15"/>
  <c r="E48" i="15"/>
  <c r="E84" i="15"/>
  <c r="E178" i="15"/>
  <c r="E289" i="15"/>
  <c r="E433" i="15"/>
  <c r="E653" i="15"/>
  <c r="E654" i="15"/>
  <c r="E814" i="15"/>
  <c r="E882" i="15"/>
  <c r="E1355" i="15"/>
  <c r="E1020" i="15"/>
  <c r="E1133" i="15"/>
  <c r="E1241" i="15"/>
  <c r="Q7" i="23"/>
  <c r="AG6" i="13"/>
  <c r="P5" i="40" s="1"/>
  <c r="AG4" i="13"/>
  <c r="P3" i="40" s="1"/>
  <c r="AG12" i="13"/>
  <c r="P11" i="40" s="1"/>
  <c r="AG13" i="13"/>
  <c r="Q8" i="23"/>
  <c r="Q9" i="23"/>
  <c r="Q11" i="23"/>
  <c r="Q10" i="23"/>
  <c r="Q5" i="23"/>
  <c r="C4" i="13"/>
  <c r="C22" i="13"/>
  <c r="C26" i="13"/>
  <c r="C25" i="13"/>
  <c r="C9" i="13"/>
  <c r="C27" i="13"/>
  <c r="C20" i="13"/>
  <c r="C13" i="13"/>
  <c r="C19" i="13"/>
  <c r="C24" i="13"/>
  <c r="C8" i="13"/>
  <c r="C18" i="13"/>
  <c r="C2" i="13"/>
  <c r="C3" i="13"/>
  <c r="C17" i="13"/>
  <c r="C28" i="13"/>
  <c r="C7" i="13"/>
  <c r="C23" i="13"/>
  <c r="C21" i="13"/>
  <c r="E251" i="15"/>
  <c r="E2281" i="15"/>
  <c r="E1102" i="15"/>
  <c r="E1694" i="15"/>
  <c r="E1428" i="15"/>
  <c r="E1609" i="15"/>
  <c r="E1212" i="15"/>
  <c r="E2396" i="15"/>
  <c r="E2007" i="15"/>
  <c r="E2342" i="15"/>
  <c r="E735" i="15"/>
  <c r="E1930" i="15"/>
  <c r="E2844" i="15"/>
  <c r="E2845" i="15"/>
  <c r="E2842" i="15"/>
  <c r="E523" i="15"/>
  <c r="E2841" i="15"/>
  <c r="E392" i="15"/>
  <c r="E100" i="15"/>
  <c r="E391" i="15"/>
  <c r="E40" i="15"/>
  <c r="E733" i="15"/>
  <c r="E604" i="15"/>
  <c r="E260" i="15"/>
  <c r="E393" i="15"/>
  <c r="E2843" i="15"/>
  <c r="E728" i="15"/>
  <c r="E2840" i="15"/>
  <c r="E387" i="15"/>
  <c r="E2839" i="15"/>
  <c r="E497" i="15"/>
  <c r="E602" i="15"/>
  <c r="E2838" i="15"/>
  <c r="E383" i="15"/>
  <c r="E601" i="15"/>
  <c r="E2837" i="15"/>
  <c r="E395" i="15"/>
  <c r="E603" i="15"/>
  <c r="E2846" i="15"/>
  <c r="E394" i="15"/>
  <c r="E2836" i="15"/>
  <c r="E2083" i="15"/>
  <c r="E1524" i="15"/>
  <c r="E231" i="15"/>
  <c r="E1086" i="15"/>
  <c r="E1769" i="15"/>
  <c r="E983" i="15"/>
  <c r="E2212" i="15"/>
  <c r="E845" i="15"/>
  <c r="E370" i="15"/>
  <c r="E2292" i="15"/>
  <c r="E501" i="15"/>
  <c r="E1679" i="15"/>
  <c r="E2137" i="15"/>
  <c r="E606" i="15"/>
  <c r="E1195" i="15"/>
  <c r="E371" i="15"/>
  <c r="E2230" i="15"/>
  <c r="E1508" i="15"/>
  <c r="E731" i="15"/>
  <c r="E1323" i="15"/>
  <c r="E958" i="15"/>
  <c r="E1850" i="15"/>
  <c r="E713" i="15"/>
  <c r="E485" i="15"/>
  <c r="E2445" i="15"/>
  <c r="E1305" i="15"/>
  <c r="E829" i="15"/>
  <c r="E2157" i="15"/>
  <c r="E75" i="15"/>
  <c r="E773" i="15"/>
  <c r="E774" i="15"/>
  <c r="E771" i="15"/>
  <c r="E359" i="15"/>
  <c r="E360" i="15"/>
  <c r="E613" i="15"/>
  <c r="E506" i="15"/>
  <c r="E385" i="15"/>
  <c r="E730" i="15"/>
  <c r="E2141" i="15"/>
  <c r="E1411" i="15"/>
  <c r="E37" i="15"/>
  <c r="E635" i="15"/>
  <c r="E297" i="15"/>
  <c r="E172" i="15"/>
  <c r="E232" i="15"/>
  <c r="E772" i="15"/>
  <c r="E233" i="15"/>
  <c r="E764" i="15"/>
  <c r="E132" i="15"/>
  <c r="E1593" i="15"/>
  <c r="E486" i="15"/>
  <c r="E1756" i="15"/>
  <c r="E252" i="15"/>
  <c r="E586" i="15"/>
  <c r="E131" i="15"/>
  <c r="E2442" i="15"/>
  <c r="E2393" i="15"/>
  <c r="E2447" i="15"/>
  <c r="E763" i="15"/>
  <c r="E770" i="15"/>
  <c r="E766" i="15"/>
  <c r="E765" i="15"/>
  <c r="E767" i="15"/>
  <c r="E2339" i="15"/>
  <c r="E2210" i="15"/>
  <c r="E2398" i="15"/>
  <c r="E768" i="15"/>
  <c r="E2135" i="15"/>
  <c r="E2346" i="15"/>
  <c r="E350" i="15"/>
  <c r="E2279" i="15"/>
  <c r="E740" i="15"/>
  <c r="E2285" i="15"/>
  <c r="E322" i="15"/>
  <c r="E378" i="15"/>
  <c r="E2216" i="15"/>
  <c r="E541" i="15"/>
  <c r="E337" i="15"/>
  <c r="E712" i="15"/>
  <c r="E585" i="15"/>
  <c r="E636" i="15"/>
  <c r="E699" i="15"/>
  <c r="B15" i="13"/>
  <c r="O15" i="13" s="1"/>
  <c r="E1099" i="15"/>
  <c r="E978" i="15"/>
  <c r="E1607" i="15"/>
  <c r="E1929" i="15"/>
  <c r="E2156" i="15"/>
  <c r="E690" i="15"/>
  <c r="E689" i="15"/>
  <c r="E2762" i="15"/>
  <c r="E1690" i="15"/>
  <c r="E1097" i="15"/>
  <c r="E493" i="15"/>
  <c r="E99" i="15"/>
  <c r="E1180" i="15"/>
  <c r="E1290" i="15"/>
  <c r="E386" i="15"/>
  <c r="E2948" i="15"/>
  <c r="E1498" i="15"/>
  <c r="E2949" i="15"/>
  <c r="E860" i="15"/>
  <c r="E2951" i="15"/>
  <c r="E2950" i="15"/>
  <c r="E354" i="15"/>
  <c r="E291" i="15"/>
  <c r="E212" i="15"/>
  <c r="E2006" i="15"/>
  <c r="E1768" i="15"/>
  <c r="E380" i="15"/>
  <c r="E1849" i="15"/>
  <c r="E1425" i="15"/>
  <c r="E259" i="15"/>
  <c r="E2082" i="15"/>
  <c r="E1522" i="15"/>
  <c r="E2344" i="15"/>
  <c r="E2283" i="15"/>
  <c r="E1319" i="15"/>
  <c r="E2291" i="15"/>
  <c r="E841" i="15"/>
  <c r="E2139" i="15"/>
  <c r="E495" i="15"/>
  <c r="E2066" i="15"/>
  <c r="E598" i="15"/>
  <c r="E2229" i="15"/>
  <c r="E1988" i="15"/>
  <c r="E89" i="15"/>
  <c r="E698" i="15"/>
  <c r="E1400" i="15"/>
  <c r="E1586" i="15"/>
  <c r="E2952" i="15"/>
  <c r="E2953" i="15"/>
  <c r="E1179" i="15"/>
  <c r="E390" i="15"/>
  <c r="E781" i="15"/>
  <c r="E50" i="15"/>
  <c r="E2214" i="15"/>
  <c r="E1209" i="15"/>
  <c r="E1692" i="15"/>
  <c r="E692" i="15"/>
  <c r="E1395" i="15"/>
  <c r="E2924" i="15"/>
  <c r="E569" i="15"/>
  <c r="E1665" i="15"/>
  <c r="E1978" i="15"/>
  <c r="E199" i="15"/>
  <c r="E1029" i="15"/>
  <c r="E2122" i="15"/>
  <c r="E2424" i="15"/>
  <c r="E2926" i="15"/>
  <c r="E2377" i="15"/>
  <c r="E2925" i="15"/>
  <c r="E1142" i="15"/>
  <c r="E329" i="15"/>
  <c r="E441" i="15"/>
  <c r="E2053" i="15"/>
  <c r="E537" i="15"/>
  <c r="E2324" i="15"/>
  <c r="E124" i="15"/>
  <c r="E2197" i="15"/>
  <c r="E5" i="15"/>
  <c r="E2265" i="15"/>
  <c r="E894" i="15"/>
  <c r="E1250" i="15"/>
  <c r="E647" i="15"/>
  <c r="E1900" i="15"/>
  <c r="E10" i="15"/>
  <c r="E1821" i="15"/>
  <c r="E331" i="15"/>
  <c r="E2864" i="15"/>
  <c r="E2863" i="15"/>
  <c r="E1741" i="15"/>
  <c r="E800" i="15"/>
  <c r="E20" i="15"/>
  <c r="E13" i="15"/>
  <c r="E2867" i="15"/>
  <c r="E557" i="15"/>
  <c r="E2866" i="15"/>
  <c r="E1050" i="15"/>
  <c r="E920" i="15"/>
  <c r="E676" i="15"/>
  <c r="E1160" i="15"/>
  <c r="E2865" i="15"/>
  <c r="E240" i="15"/>
  <c r="E454" i="15"/>
  <c r="E812" i="15"/>
  <c r="E2392" i="15"/>
  <c r="E939" i="15"/>
  <c r="E2338" i="15"/>
  <c r="E2278" i="15"/>
  <c r="E2209" i="15"/>
  <c r="E1066" i="15"/>
  <c r="E1668" i="15"/>
  <c r="E1285" i="15"/>
  <c r="E1914" i="15"/>
  <c r="E1174" i="15"/>
  <c r="E1492" i="15"/>
  <c r="E1207" i="15"/>
  <c r="E377" i="15"/>
  <c r="E159" i="15"/>
  <c r="E1520" i="15"/>
  <c r="E725" i="15"/>
  <c r="E839" i="15"/>
  <c r="E1317" i="15"/>
  <c r="E257" i="15"/>
  <c r="E1605" i="15"/>
  <c r="E596" i="15"/>
  <c r="E1423" i="15"/>
  <c r="E1580" i="15"/>
  <c r="E2489" i="15"/>
  <c r="E2441" i="15"/>
  <c r="E1748" i="15"/>
  <c r="E465" i="15"/>
  <c r="B11" i="13"/>
  <c r="O11" i="13" s="1"/>
  <c r="B5" i="13"/>
  <c r="O5" i="13" s="1"/>
  <c r="E754" i="15"/>
  <c r="E625" i="15"/>
  <c r="E1120" i="15"/>
  <c r="E282" i="15"/>
  <c r="E1620" i="15"/>
  <c r="E418" i="15"/>
  <c r="E1005" i="15"/>
  <c r="E144" i="15"/>
  <c r="E2423" i="15"/>
  <c r="E2321" i="15"/>
  <c r="E518" i="15"/>
  <c r="E145" i="15"/>
  <c r="E1342" i="15"/>
  <c r="E285" i="15"/>
  <c r="E2262" i="15"/>
  <c r="E284" i="15"/>
  <c r="E2193" i="15"/>
  <c r="E126" i="15"/>
  <c r="E1441" i="15"/>
  <c r="E283" i="15"/>
  <c r="E1228" i="15"/>
  <c r="E2376" i="15"/>
  <c r="E1537" i="15"/>
  <c r="E2779" i="15"/>
  <c r="E351" i="15"/>
  <c r="E567" i="15"/>
  <c r="E310" i="15"/>
  <c r="E2774" i="15"/>
  <c r="E2753" i="15"/>
  <c r="E2737" i="15"/>
  <c r="E463" i="15"/>
  <c r="E2769" i="15"/>
  <c r="E30" i="15"/>
  <c r="E376" i="15"/>
  <c r="E255" i="15"/>
  <c r="E492" i="15"/>
  <c r="E836" i="15"/>
  <c r="E2" i="15"/>
  <c r="E3" i="15"/>
  <c r="E1313" i="15"/>
  <c r="E593" i="15"/>
  <c r="E1093" i="15"/>
  <c r="E968" i="15"/>
  <c r="E1203" i="15"/>
  <c r="E720" i="15"/>
  <c r="E158" i="15"/>
  <c r="E513" i="15"/>
  <c r="E811" i="15"/>
  <c r="E566" i="15"/>
  <c r="E1171" i="15"/>
  <c r="E687" i="15"/>
  <c r="E937" i="15"/>
  <c r="E1813" i="15"/>
  <c r="E1892" i="15"/>
  <c r="E1062" i="15"/>
  <c r="E1282" i="15"/>
  <c r="E1733" i="15"/>
  <c r="E2681" i="15"/>
  <c r="E1392" i="15"/>
  <c r="E2704" i="15"/>
  <c r="E2853" i="15"/>
  <c r="E1576" i="15"/>
  <c r="E1658" i="15"/>
  <c r="E2723" i="15"/>
  <c r="E2742" i="15"/>
  <c r="E2755" i="15"/>
  <c r="E2040" i="15"/>
  <c r="E1969" i="15"/>
  <c r="E2510" i="15"/>
  <c r="E2547" i="15"/>
  <c r="E2584" i="15"/>
  <c r="E1488" i="15"/>
  <c r="E2621" i="15"/>
  <c r="E2653" i="15"/>
  <c r="P12" i="40" l="1"/>
  <c r="P8" i="40"/>
  <c r="P9" i="40"/>
  <c r="P16" i="40"/>
  <c r="F16" i="40" a="1"/>
  <c r="F16" i="40" s="1"/>
  <c r="P15" i="40"/>
  <c r="H3" i="40"/>
  <c r="E12" i="40"/>
  <c r="H13" i="40"/>
  <c r="H4" i="40"/>
  <c r="B17" i="40"/>
  <c r="E8" i="40"/>
  <c r="G12" i="40" a="1"/>
  <c r="G12" i="40" s="1"/>
  <c r="I12" i="40"/>
  <c r="L12" i="40"/>
  <c r="K12" i="40"/>
  <c r="M12" i="40"/>
  <c r="G8" i="40" a="1"/>
  <c r="G8" i="40" s="1"/>
  <c r="L8" i="40"/>
  <c r="M8" i="40"/>
  <c r="K8" i="40"/>
  <c r="I8" i="40"/>
  <c r="N4" i="40"/>
  <c r="H6" i="40"/>
  <c r="N6" i="40"/>
  <c r="O6" i="40" s="1"/>
  <c r="H10" i="40"/>
  <c r="N10" i="40"/>
  <c r="O10" i="40" s="1"/>
  <c r="G15" i="40" a="1"/>
  <c r="G15" i="40" s="1"/>
  <c r="K15" i="40"/>
  <c r="M15" i="40"/>
  <c r="L15" i="40"/>
  <c r="I15" i="40"/>
  <c r="E15" i="40"/>
  <c r="K16" i="40"/>
  <c r="I16" i="40"/>
  <c r="E16" i="40"/>
  <c r="L16" i="40"/>
  <c r="M16" i="40"/>
  <c r="G16" i="40" a="1"/>
  <c r="G16" i="40" s="1"/>
  <c r="N13" i="40"/>
  <c r="O13" i="40" s="1"/>
  <c r="G9" i="40" a="1"/>
  <c r="G9" i="40" s="1"/>
  <c r="L9" i="40"/>
  <c r="K9" i="40"/>
  <c r="I9" i="40"/>
  <c r="M9" i="40"/>
  <c r="N3" i="40"/>
  <c r="E9" i="40"/>
  <c r="H5" i="40"/>
  <c r="N5" i="40"/>
  <c r="O5" i="40" s="1"/>
  <c r="H7" i="40"/>
  <c r="N7" i="40"/>
  <c r="O7" i="40" s="1"/>
  <c r="H11" i="40"/>
  <c r="N11" i="40"/>
  <c r="O11" i="40" s="1"/>
  <c r="N14" i="40"/>
  <c r="O14" i="40" s="1"/>
  <c r="H14" i="40"/>
  <c r="E3" i="40"/>
  <c r="D17" i="40"/>
  <c r="C142" i="30"/>
  <c r="G136" i="30"/>
  <c r="C137" i="30"/>
  <c r="D137" i="30" s="1"/>
  <c r="E137" i="30" s="1"/>
  <c r="F137" i="30" s="1"/>
  <c r="M10" i="21"/>
  <c r="K10" i="21"/>
  <c r="U12" i="13"/>
  <c r="U4" i="13"/>
  <c r="AC13" i="13"/>
  <c r="AC12" i="13"/>
  <c r="AC4" i="13"/>
  <c r="AD4" i="13" s="1"/>
  <c r="AC14" i="13"/>
  <c r="AC8" i="13"/>
  <c r="U13" i="13"/>
  <c r="U5" i="13"/>
  <c r="AA5" i="13"/>
  <c r="U10" i="13"/>
  <c r="AA10" i="13"/>
  <c r="U11" i="13"/>
  <c r="AA11" i="13"/>
  <c r="U9" i="13"/>
  <c r="AA9" i="13"/>
  <c r="U7" i="13"/>
  <c r="AA7" i="13"/>
  <c r="U6" i="13"/>
  <c r="AA6" i="13"/>
  <c r="M9" i="21"/>
  <c r="M11" i="21"/>
  <c r="L6" i="21"/>
  <c r="K9" i="21"/>
  <c r="K7" i="21"/>
  <c r="K11" i="21"/>
  <c r="K6" i="21"/>
  <c r="L7" i="21"/>
  <c r="C5" i="13"/>
  <c r="C11" i="13"/>
  <c r="C16" i="13"/>
  <c r="C15" i="13"/>
  <c r="C6" i="13"/>
  <c r="C12" i="13"/>
  <c r="P17" i="40" l="1"/>
  <c r="O4" i="40"/>
  <c r="O3" i="40"/>
  <c r="L17" i="40"/>
  <c r="K17" i="40"/>
  <c r="M17" i="40"/>
  <c r="I17" i="40"/>
  <c r="G17" i="40"/>
  <c r="F17" i="40"/>
  <c r="H16" i="40"/>
  <c r="H8" i="40"/>
  <c r="N8" i="40"/>
  <c r="O8" i="40" s="1"/>
  <c r="H9" i="40"/>
  <c r="N9" i="40"/>
  <c r="O9" i="40" s="1"/>
  <c r="H15" i="40"/>
  <c r="N15" i="40"/>
  <c r="O15" i="40" s="1"/>
  <c r="H12" i="40"/>
  <c r="N12" i="40"/>
  <c r="O12" i="40" s="1"/>
  <c r="N16" i="40"/>
  <c r="O16" i="40" s="1"/>
  <c r="E17" i="40"/>
  <c r="G137" i="30"/>
  <c r="D142" i="30"/>
  <c r="E142" i="30" s="1"/>
  <c r="F142" i="30" s="1"/>
  <c r="G142" i="30" s="1"/>
  <c r="AC10" i="13"/>
  <c r="AC5" i="13"/>
  <c r="AD5" i="13" s="1"/>
  <c r="AC6" i="13"/>
  <c r="AC7" i="13"/>
  <c r="AC9" i="13"/>
  <c r="AC11" i="13"/>
  <c r="I44" i="30"/>
  <c r="O17" i="40" l="1"/>
  <c r="N17" i="40"/>
  <c r="H17" i="40"/>
  <c r="AD6" i="13"/>
  <c r="AD7" i="13" s="1"/>
  <c r="AD8" i="13" s="1"/>
  <c r="AD9" i="13" s="1"/>
  <c r="AD10" i="13" s="1"/>
  <c r="AD11" i="13" s="1"/>
  <c r="AD12" i="13" s="1"/>
  <c r="AD13" i="13" s="1"/>
  <c r="AD14" i="13" s="1"/>
  <c r="AD15" i="13" s="1"/>
  <c r="AD16" i="13" l="1"/>
  <c r="AD17"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tc={5766D236-2C24-4649-B0A8-AFDB7E7A357A}</author>
    <author>tc={0F1B1879-CDBA-A04C-A856-3223968B67DD}</author>
    <author>tc={4B1F2032-F1DD-1A45-8C4D-AE19638DAE0D}</author>
    <author>tc={9AE98AC0-26A5-3D4D-9746-D8215E273EDE}</author>
    <author>tc={FE6F95E2-99A3-6A41-82E3-8E527AC77082}</author>
    <author>tc={655D1CB8-6428-B24E-A8FA-160FC8361EF1}</author>
    <author>tc={BA934570-96E8-914A-89B0-A53CCEA1171C}</author>
    <author>tc={1C8F32F4-DF9B-CA45-91B0-98BAE28FE4AA}</author>
    <author>tc={A7327DF9-F35F-414C-88FD-77D396AAC707}</author>
    <author>tc={F21291F7-21DF-3C4E-B1F1-CC61E56C29B9}</author>
    <author>tc={7A6408CE-2E8F-904A-8069-C63F9B2D102B}</author>
    <author>tc={D52C7017-9A0D-2A41-B430-BF4A24067BD3}</author>
    <author>tc={7DD087C8-C82A-C048-B727-D78C3377C4E7}</author>
    <author>tc={25832025-6B23-5644-9074-E24B323B83E2}</author>
    <author>tc={7A346300-F5D4-4391-9915-FC92C287EAB0}</author>
  </authors>
  <commentList>
    <comment ref="B2" authorId="0" shapeId="0" xr:uid="{5766D236-2C24-4649-B0A8-AFDB7E7A357A}">
      <text>
        <t>[Threaded comment]
Your version of Excel allows you to read this threaded comment; however, any edits to it will get removed if the file is opened in a newer version of Excel. Learn more: https://go.microsoft.com/fwlink/?linkid=870924
Comment:
    Cantidad de doctores con contrato vigente y en proceso durante el mes. Fuente: CLIENTES X MES.</t>
      </text>
    </comment>
    <comment ref="C2" authorId="1" shapeId="0" xr:uid="{0F1B1879-CDBA-A04C-A856-3223968B67DD}">
      <text>
        <t>[Threaded comment]
Your version of Excel allows you to read this threaded comment; however, any edits to it will get removed if the file is opened in a newer version of Excel. Learn more: https://go.microsoft.com/fwlink/?linkid=870924
Comment:
    Doctores que firmaron contrato por primera vez en el mes. Fuente: CLIENTES X MES.</t>
      </text>
    </comment>
    <comment ref="D2" authorId="2" shapeId="0" xr:uid="{4B1F2032-F1DD-1A45-8C4D-AE19638DAE0D}">
      <text>
        <t>[Threaded comment]
Your version of Excel allows you to read this threaded comment; however, any edits to it will get removed if the file is opened in a newer version of Excel. Learn more: https://go.microsoft.com/fwlink/?linkid=870924
Comment:
    Ingresos del mes después de descontar cargos bancarios y comisiones de pasarela de pago (Stripe). Fuente: EERR.</t>
      </text>
    </comment>
    <comment ref="E2" authorId="3" shapeId="0" xr:uid="{9AE98AC0-26A5-3D4D-9746-D8215E273EDE}">
      <text>
        <t>[Threaded comment]
Your version of Excel allows you to read this threaded comment; however, any edits to it will get removed if the file is opened in a newer version of Excel. Learn more: https://go.microsoft.com/fwlink/?linkid=870924
Comment:
     Ingreso neto del mes dividido por doctores activos. Indica cuánto genera en promedio cada doctor activo al mes.</t>
      </text>
    </comment>
    <comment ref="F2" authorId="4" shapeId="0" xr:uid="{FE6F95E2-99A3-6A41-82E3-8E527AC77082}">
      <text>
        <t>[Threaded comment]
Your version of Excel allows you to read this threaded comment; however, any edits to it will get removed if the file is opened in a newer version of Excel. Learn more: https://go.microsoft.com/fwlink/?linkid=870924
Comment:
    Pagos a Lingoda + Lingoking + Prof. Michael (clases de alemán y traducción) clasificados como COR, dividido por doctores activos.</t>
      </text>
    </comment>
    <comment ref="G2" authorId="5" shapeId="0" xr:uid="{655D1CB8-6428-B24E-A8FA-160FC8361EF1}">
      <text>
        <t>[Threaded comment]
Your version of Excel allows you to read this threaded comment; however, any edits to it will get removed if the file is opened in a newer version of Excel. Learn more: https://go.microsoft.com/fwlink/?linkid=870924
Comment:
    Pagos a Lecturio (plataforma e-learning médica) clasificados como COR, dividido por doctores activos.</t>
      </text>
    </comment>
    <comment ref="H2" authorId="6" shapeId="0" xr:uid="{BA934570-96E8-914A-89B0-A53CCEA1171C}">
      <text>
        <t>[Threaded comment]
Your version of Excel allows you to read this threaded comment; however, any edits to it will get removed if the file is opened in a newer version of Excel. Learn more: https://go.microsoft.com/fwlink/?linkid=870924
Comment:
    Resto del COR no atribuido a idioma ni formación médica (apoyo legal, honorarios, notaría, envíos, Aircall, Circle), dividido por doctores activos.</t>
      </text>
    </comment>
    <comment ref="I2" authorId="7" shapeId="0" xr:uid="{1C8F32F4-DF9B-CA45-91B0-98BAE28FE4AA}">
      <text>
        <t>[Threaded comment]
Your version of Excel allows you to read this threaded comment; however, any edits to it will get removed if the file is opened in a newer version of Excel. Learn more: https://go.microsoft.com/fwlink/?linkid=870924
Comment:
    Suma de Idioma + Form. Médica + Legal-Otros por doctor. Representa el costo directo del servicio por cada doctor activo.</t>
      </text>
    </comment>
    <comment ref="J2" authorId="8" shapeId="0" xr:uid="{A7327DF9-F35F-414C-88FD-77D396AAC707}">
      <text>
        <t>[Threaded comment]
Your version of Excel allows you to read this threaded comment; however, any edits to it will get removed if the file is opened in a newer version of Excel. Learn more: https://go.microsoft.com/fwlink/?linkid=870924
Comment:
    Customer Acquisition Cost. Total de Sales &amp; Marketing del mes dividido por doctores nuevos del mes. Mide cuánto cuesta adquirir cada doctor nuevo.</t>
      </text>
    </comment>
    <comment ref="K2" authorId="9" shapeId="0" xr:uid="{F21291F7-21DF-3C4E-B1F1-CC61E56C29B9}">
      <text>
        <t>[Threaded comment]
Your version of Excel allows you to read this threaded comment; however, any edits to it will get removed if the file is opened in a newer version of Excel. Learn more: https://go.microsoft.com/fwlink/?linkid=870924
Comment:
    Gastos General &amp; Administrative (oficina, sueldos admin, contabilidad, legal corporativo) dividido por doctores activos. Overhead administrativo por doctor.</t>
      </text>
    </comment>
    <comment ref="L2" authorId="10" shapeId="0" xr:uid="{7A6408CE-2E8F-904A-8069-C63F9B2D102B}">
      <text>
        <t>[Threaded comment]
Your version of Excel allows you to read this threaded comment; however, any edits to it will get removed if the file is opened in a newer version of Excel. Learn more: https://go.microsoft.com/fwlink/?linkid=870924
Comment:
    Gastos de Customer Success (soporte, onboarding, acompañamiento) dividido por doctores activos.</t>
      </text>
    </comment>
    <comment ref="M2" authorId="11" shapeId="0" xr:uid="{D52C7017-9A0D-2A41-B430-BF4A24067BD3}">
      <text>
        <t>[Threaded comment]
Your version of Excel allows you to read this threaded comment; however, any edits to it will get removed if the file is opened in a newer version of Excel. Learn more: https://go.microsoft.com/fwlink/?linkid=870924
Comment:
    Gastos de Research &amp; Development (herramientas tech, desarrollo) dividido por doctores activos.</t>
      </text>
    </comment>
    <comment ref="N2" authorId="12" shapeId="0" xr:uid="{7DD087C8-C82A-C048-B727-D78C3377C4E7}">
      <text>
        <t>[Threaded comment]
Your version of Excel allows you to read this threaded comment; however, any edits to it will get removed if the file is opened in a newer version of Excel. Learn more: https://go.microsoft.com/fwlink/?linkid=870924
Comment:
    COR/Dr + G&amp;A/Dr + CS/Dr + R&amp;D/Dr. Costo total mensual que representa cada doctor activo. No incluye CAC porque se mide sobre base distinta (nuevos vs activos).</t>
      </text>
    </comment>
    <comment ref="O2" authorId="13" shapeId="0" xr:uid="{25832025-6B23-5644-9074-E24B323B83E2}">
      <text>
        <t>[Threaded comment]
Your version of Excel allows you to read this threaded comment; however, any edits to it will get removed if the file is opened in a newer version of Excel. Learn more: https://go.microsoft.com/fwlink/?linkid=870924
Comment:
    Ingreso/Dr - Costo Total/Dr. Si es positivo, cada doctor genera valor neto. Si CAC &gt; Margen Contribución, el crecimiento no es rentable.</t>
      </text>
    </comment>
    <comment ref="P2" authorId="14" shapeId="0" xr:uid="{7A346300-F5D4-4391-9915-FC92C287EAB0}">
      <text>
        <t>[Threaded comment]
Your version of Excel allows you to read this threaded comment; however, any edits to it will get removed if the file is opened in a newer version of Excel. Learn more: https://go.microsoft.com/fwlink/?linkid=870924
Comment:
    Ingreso/Dr - Costo Total/Dr. Si es positivo, cada doctor genera valor neto. Si CAC &gt; Margen Contribución, el crecimiento no es rentable.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tc={5CFBD8E6-9896-487C-9168-155C81A53533}</author>
    <author>tc={1CD179CC-67BB-8547-85B5-05F684C94EEF}</author>
    <author>tc={3453BBC1-5653-1544-9897-3630E09FDCA1}</author>
    <author>tc={F11620EC-3160-4857-BCF8-53AD8B732D2B}</author>
    <author>tc={EDBDE67E-95C7-4D34-80F6-C4667C601D34}</author>
    <author>tc={73A584AC-D7D6-F94D-8587-5FA7A70E2273}</author>
    <author>tc={BE8167EB-5DEC-3D43-B5E9-0453A6CD818F}</author>
    <author>tc={75E2E4CD-6AA3-3446-8FD4-DB4400A8CF8B}</author>
    <author>tc={3F1BA9D5-6DF0-0648-AE9B-3729CC034A34}</author>
    <author>tc={9AFC532A-FD1A-A541-B380-FABBDF8B466D}</author>
    <author>tc={F1F203B0-01CD-B048-9A55-10BF8D38C6E3}</author>
    <author>tc={A7CAC1E3-C387-F643-A66B-90F554FE12BB}</author>
    <author>tc={462D4D19-630B-CF4D-BAF5-335E58FBAAFD}</author>
    <author>tc={CEFDA991-92CD-450B-81BA-7DD4E723556F}</author>
    <author>tc={A6AD872F-A2C6-CB41-B68D-274D877B2424}</author>
    <author>tc={41880D7D-0B2E-1E48-89B6-D63BBA869E11}</author>
    <author>tc={6F77ACE3-BA10-F74E-9469-DB9C8DA03C08}</author>
    <author>tc={37492EAF-D6AB-B942-8B46-6C655F1C2AB6}</author>
    <author>tc={C9C1F02E-5D4B-F049-96EF-164AD2A3DFAA}</author>
    <author>tc={4D9CC64C-428A-7345-BE91-B3F4D916C291}</author>
    <author>tc={F87DE023-2D1E-0744-B3A7-1B7AB1617C11}</author>
    <author>tc={E916642A-FA2E-4354-9E62-28B381B3ADB6}</author>
    <author>tc={CB41E931-9D62-4BCC-90B6-F6E554886085}</author>
    <author>tc={F9B80CC2-15F3-45F5-8014-16A4F2D6CA5F}</author>
    <author>tc={8E111E33-39A7-43D1-9F34-1A071C0AFDCF}</author>
    <author>tc={1CDDC7E4-C545-44EF-B9E6-CFC091039DD4}</author>
    <author>tc={A67D9F86-4CD2-48C0-9287-2FB83FB1E7F9}</author>
    <author>tc={91B056E5-DAA4-47BE-8B68-6DA84A4262B8}</author>
    <author>tc={B330A539-A021-4EF4-BB07-4AB5F9C30FCE}</author>
    <author>tc={665DF8FA-1A5E-440E-8A28-33D69A6CE586}</author>
    <author>tc={EEEA79D3-8C67-4CA5-BC18-7246B70A4C71}</author>
    <author>tc={27007253-E0C6-4149-8C25-1EB17DD315D6}</author>
    <author>tc={5A99F9C6-0CF7-4AE2-9C86-A88B48E648F5}</author>
    <author>tc={E0BC000F-7E4A-47E3-BB8D-2920E3C5DEA5}</author>
    <author>tc={BADE6685-DC2D-4F84-8DA5-5DA9E997F8F1}</author>
    <author>tc={05826755-AECA-419A-B225-A98C51623792}</author>
    <author>tc={11747B69-1651-468C-90B2-6499BD87F28E}</author>
    <author>tc={FFDB8ED5-1384-4797-9A7F-53EC0F4D3CC0}</author>
    <author>tc={D5ED8C93-9F41-4012-B536-4701A67228F9}</author>
    <author>tc={66592CFF-22DE-4C5F-86DD-77B7DA07EB6C}</author>
    <author>tc={50B71BF2-D898-4D9C-AE95-B3CD455AB23B}</author>
    <author>tc={1606CD42-2E0F-473A-9780-5F2401D21CE6}</author>
    <author>tc={E4A5E78D-0B3E-46C7-80FB-BE90ED656812}</author>
    <author>tc={630E3A46-91B0-4341-8B5D-C31C8F150B1C}</author>
    <author>tc={FA30736C-48F8-4F8B-A915-9DD1B40CB7CE}</author>
    <author>tc={6A5A8330-88F1-407B-AEDD-5E09AAD21317}</author>
    <author>tc={BB31251B-48B5-4161-BACD-C310BF866983}</author>
    <author>tc={32D28F35-B88C-432B-978E-4458EEEF800A}</author>
    <author>tc={D5A70F0C-00BC-4858-BA89-30C77A6B0645}</author>
    <author>tc={A57C3B59-9558-4184-A4A1-9BF0373858C8}</author>
    <author>tc={26812D43-7421-44C3-BCA9-C305B451B3E2}</author>
    <author>tc={270C22CD-4B74-49F8-9C2B-CDF2E0DCE257}</author>
    <author>tc={C84234BF-8011-4A3D-BD02-6426DB60AA31}</author>
    <author>tc={0A6FA8A3-B05A-4609-B41F-EA1ACD6C2379}</author>
    <author>tc={DB2BFF9E-DC63-4147-88BC-C991D1E4DC2A}</author>
    <author>tc={6422FCB3-7C79-4547-AF37-7F759F3F202B}</author>
    <author>tc={911D0CE6-4AC4-4E96-867B-87AC3BCDC134}</author>
    <author>tc={90216CD9-8890-41E3-9C93-38999B3A21DC}</author>
    <author>tc={40C28BAC-FA40-4F46-9642-825674AC1210}</author>
  </authors>
  <commentList>
    <comment ref="A5" authorId="0" shapeId="0" xr:uid="{5CFBD8E6-9896-487C-9168-155C81A53533}">
      <text>
        <t xml:space="preserve">[Threaded comment]
Your version of Excel allows you to read this threaded comment; however, any edits to it will get removed if the file is opened in a newer version of Excel. Learn more: https://go.microsoft.com/fwlink/?linkid=870924
Comment:
    % facturación semanal cobrada con éxito
</t>
      </text>
    </comment>
    <comment ref="A6" authorId="1" shapeId="0" xr:uid="{1CD179CC-67BB-8547-85B5-05F684C94EEF}">
      <text>
        <t>[Threaded comment]
Your version of Excel allows you to read this threaded comment; however, any edits to it will get removed if the file is opened in a newer version of Excel. Learn more: https://go.microsoft.com/fwlink/?linkid=870924
Comment:
    Dinero real que entró a la cuenta sin el descuento de Stripe.</t>
      </text>
    </comment>
    <comment ref="A7" authorId="2" shapeId="0" xr:uid="{3453BBC1-5653-1544-9897-3630E09FDCA1}">
      <text>
        <t>[Threaded comment]
Your version of Excel allows you to read this threaded comment; however, any edits to it will get removed if the file is opened in a newer version of Excel. Learn more: https://go.microsoft.com/fwlink/?linkid=870924
Comment:
    % de facturas pagadas sin retraso.</t>
      </text>
    </comment>
    <comment ref="A8" authorId="3" shapeId="0" xr:uid="{F11620EC-3160-4857-BCF8-53AD8B732D2B}">
      <text>
        <t>[Threaded comment]
Your version of Excel allows you to read this threaded comment; however, any edits to it will get removed if the file is opened in a newer version of Excel. Learn more: https://go.microsoft.com/fwlink/?linkid=870924
Comment:
    Promedio de días de retraso de pagos, sobre el total de clientes atrasados del periodo (o podría dejarse solo el total de días de atraso de cada periodo)</t>
      </text>
    </comment>
    <comment ref="A9" authorId="4" shapeId="0" xr:uid="{EDBDE67E-95C7-4D34-80F6-C4667C601D34}">
      <text>
        <t>[Threaded comment]
Your version of Excel allows you to read this threaded comment; however, any edits to it will get removed if the file is opened in a newer version of Excel. Learn more: https://go.microsoft.com/fwlink/?linkid=870924
Comment:
    Facturas que llevan más de 15 días sin pagarse desde su fecha de vencimiento.</t>
      </text>
    </comment>
    <comment ref="A13" authorId="5" shapeId="0" xr:uid="{73A584AC-D7D6-F94D-8587-5FA7A70E2273}">
      <text>
        <t>[Threaded comment]
Your version of Excel allows you to read this threaded comment; however, any edits to it will get removed if the file is opened in a newer version of Excel. Learn more: https://go.microsoft.com/fwlink/?linkid=870924
Comment:
    Número de clientes con estado "OK" en el sistema (no incluye eliminados, suspendidos o en pausa).</t>
      </text>
    </comment>
    <comment ref="A14" authorId="6" shapeId="0" xr:uid="{BE8167EB-5DEC-3D43-B5E9-0453A6CD818F}">
      <text>
        <t>[Threaded comment]
Your version of Excel allows you to read this threaded comment; however, any edits to it will get removed if the file is opened in a newer version of Excel. Learn more: https://go.microsoft.com/fwlink/?linkid=870924
Comment:
    Clientes que ingresaron durante el mes (fecha de ingreso dentro del período).</t>
      </text>
    </comment>
    <comment ref="A15" authorId="7" shapeId="0" xr:uid="{75E2E4CD-6AA3-3446-8FD4-DB4400A8CF8B}">
      <text>
        <t>[Threaded comment]
Your version of Excel allows you to read this threaded comment; however, any edits to it will get removed if the file is opened in a newer version of Excel. Learn more: https://go.microsoft.com/fwlink/?linkid=870924
Comment:
    Clientes que cesaron actividad de pago durante el período, sin considerar la fecha de oficialización de la baja.</t>
      </text>
    </comment>
    <comment ref="A16" authorId="8" shapeId="0" xr:uid="{3F1BA9D5-6DF0-0648-AE9B-3729CC034A34}">
      <text>
        <t>[Threaded comment]
Your version of Excel allows you to read this threaded comment; however, any edits to it will get removed if the file is opened in a newer version of Excel. Learn more: https://go.microsoft.com/fwlink/?linkid=870924
Comment:
    Porcentaje de clientes al día con sus pagos (estado "OK") sobre el total de clientes no eliminados.</t>
      </text>
    </comment>
    <comment ref="A17" authorId="9" shapeId="0" xr:uid="{9AFC532A-FD1A-A541-B380-FABBDF8B466D}">
      <text>
        <t>[Threaded comment]
Your version of Excel allows you to read this threaded comment; however, any edits to it will get removed if the file is opened in a newer version of Excel. Learn more: https://go.microsoft.com/fwlink/?linkid=870924
Comment:
    Porcentaje de clientes OK que tienen suscripción activa con pago automático (SUSCRITO=1).</t>
      </text>
    </comment>
    <comment ref="A21" authorId="10" shapeId="0" xr:uid="{F1F203B0-01CD-B048-9A55-10BF8D38C6E3}">
      <text>
        <t>[Threaded comment]
Your version of Excel allows you to read this threaded comment; however, any edits to it will get removed if the file is opened in a newer version of Excel. Learn more: https://go.microsoft.com/fwlink/?linkid=870924
Comment:
    Suma de todos los pagos recibidos de clientes en el período, descontando comisiones bancarias (Ingreso Neto).</t>
      </text>
    </comment>
    <comment ref="A22" authorId="11" shapeId="0" xr:uid="{A7CAC1E3-C387-F643-A66B-90F554FE12BB}">
      <text>
        <t>[Threaded comment]
Your version of Excel allows you to read this threaded comment; however, any edits to it will get removed if the file is opened in a newer version of Excel. Learn more: https://go.microsoft.com/fwlink/?linkid=870924
Comment:
    Beneficio operativo antes de intereses, impuestos, depreciación y amortización. Indica la rentabilidad operativa del negocio.</t>
      </text>
    </comment>
    <comment ref="A23" authorId="12" shapeId="0" xr:uid="{462D4D19-630B-CF4D-BAF5-335E58FBAAFD}">
      <text>
        <t>[Threaded comment]
Your version of Excel allows you to read this threaded comment; however, any edits to it will get removed if the file is opened in a newer version of Excel. Learn more: https://go.microsoft.com/fwlink/?linkid=870924
Comment:
    Gastos operativos: sueldos, marketing, administración, desarrollo, customer success. Son los costos de operar el negocio.</t>
      </text>
    </comment>
    <comment ref="A28" authorId="13" shapeId="0" xr:uid="{CEFDA991-92CD-450B-81BA-7DD4E723556F}">
      <text>
        <t>[Threaded comment]
Your version of Excel allows you to read this threaded comment; however, any edits to it will get removed if the file is opened in a newer version of Excel. Learn more: https://go.microsoft.com/fwlink/?linkid=870924
Comment:
    Ingresos menos el costo directo de prestar el servicio: COR + Customer Success (OPEX). Muestra cuánto queda después de cubrir costos directos.</t>
      </text>
    </comment>
    <comment ref="E29" authorId="14" shapeId="0" xr:uid="{A6AD872F-A2C6-CB41-B68D-274D877B2424}">
      <text>
        <t>[Threaded comment]
Your version of Excel allows you to read this threaded comment; however, any edits to it will get removed if the file is opened in a newer version of Excel. Learn more: https://go.microsoft.com/fwlink/?linkid=870924
Comment:
    La Semana 3 del Margen Bruto Corregido muestra 4.5%, muy por debajo del 65%. Esto se debe a que hubo gastos significativos de Customer Success esa semana (€10,412) contra ingresos bajos (€14,351).</t>
      </text>
    </comment>
    <comment ref="A33" authorId="15" shapeId="0" xr:uid="{41880D7D-0B2E-1E48-89B6-D63BBA869E11}">
      <text>
        <t>[Threaded comment]
Your version of Excel allows you to read this threaded comment; however, any edits to it will get removed if the file is opened in a newer version of Excel. Learn more: https://go.microsoft.com/fwlink/?linkid=870924
Comment:
    Suma de todas las salidas de dinero del período (OPEX + COR). Incluye sueldos, proveedores, servicios, etc.</t>
      </text>
    </comment>
    <comment ref="A34" authorId="16" shapeId="0" xr:uid="{6F77ACE3-BA10-F74E-9469-DB9C8DA03C08}">
      <text>
        <t>[Threaded comment]
Your version of Excel allows you to read this threaded comment; however, any edits to it will get removed if the file is opened in a newer version of Excel. Learn more: https://go.microsoft.com/fwlink/?linkid=870924
Comment:
    Costo total de suscripciones a herramientas de software activas con fecha de inicio en el mes.</t>
      </text>
    </comment>
    <comment ref="A35" authorId="17" shapeId="0" xr:uid="{37492EAF-D6AB-B942-8B46-6C655F1C2AB6}">
      <text>
        <t>[Threaded comment]
Your version of Excel allows you to read this threaded comment; however, any edits to it will get removed if the file is opened in a newer version of Excel. Learn more: https://go.microsoft.com/fwlink/?linkid=870924
Comment:
    Porcentaje de uso real de cada herramienta SaaS contratada. Mide si estamos aprovechando lo que pagamos.</t>
      </text>
    </comment>
    <comment ref="A36" authorId="18" shapeId="0" xr:uid="{C9C1F02E-5D4B-F049-96EF-164AD2A3DFAA}">
      <text>
        <t>[Threaded comment]
Your version of Excel allows you to read this threaded comment; however, any edits to it will get removed if the file is opened in a newer version of Excel. Learn more: https://go.microsoft.com/fwlink/?linkid=870924
Comment:
    Dinero ahorrado por cancelar o renegociar suscripciones SaaS (herramientas dadas de baja = Status "Suspended").</t>
      </text>
    </comment>
    <comment ref="A37" authorId="19" shapeId="0" xr:uid="{4D9CC64C-428A-7345-BE91-B3F4D916C291}">
      <text>
        <t>[Threaded comment]
Your version of Excel allows you to read this threaded comment; however, any edits to it will get removed if the file is opened in a newer version of Excel. Learn more: https://go.microsoft.com/fwlink/?linkid=870924
Comment:
    Porcentaje de facturas a proveedores pagadas dentro del plazo acordado.</t>
      </text>
    </comment>
    <comment ref="A38" authorId="20" shapeId="0" xr:uid="{F87DE023-2D1E-0744-B3A7-1B7AB1617C11}">
      <text>
        <t>[Threaded comment]
Your version of Excel allows you to read this threaded comment; however, any edits to it will get removed if the file is opened in a newer version of Excel. Learn more: https://go.microsoft.com/fwlink/?linkid=870924
Comment:
    Porcentaje de pagos con errores (duplicados, montos incorrectos, destinatario equivocado).</t>
      </text>
    </comment>
    <comment ref="G44" authorId="21" shapeId="0" xr:uid="{E916642A-FA2E-4354-9E62-28B381B3ADB6}">
      <text>
        <t>[Threaded comment]
Your version of Excel allows you to read this threaded comment; however, any edits to it will get removed if the file is opened in a newer version of Excel. Learn more: https://go.microsoft.com/fwlink/?linkid=870924
Comment:
    Contabilizando saldo Flujo Caja Neto Diciembre 2025</t>
      </text>
    </comment>
    <comment ref="A51" authorId="22" shapeId="0" xr:uid="{CB41E931-9D62-4BCC-90B6-F6E554886085}">
      <text>
        <t xml:space="preserve">[Threaded comment]
Your version of Excel allows you to read this threaded comment; however, any edits to it will get removed if the file is opened in a newer version of Excel. Learn more: https://go.microsoft.com/fwlink/?linkid=870924
Comment:
    % facturación semanal cobrada con éxito
</t>
      </text>
    </comment>
    <comment ref="A52" authorId="23" shapeId="0" xr:uid="{F9B80CC2-15F3-45F5-8014-16A4F2D6CA5F}">
      <text>
        <t>[Threaded comment]
Your version of Excel allows you to read this threaded comment; however, any edits to it will get removed if the file is opened in a newer version of Excel. Learn more: https://go.microsoft.com/fwlink/?linkid=870924
Comment:
    Importes brutos cobrados efectivamente a clientes, en concepto de cuota.</t>
      </text>
    </comment>
    <comment ref="A55" authorId="24" shapeId="0" xr:uid="{8E111E33-39A7-43D1-9F34-1A071C0AFDCF}">
      <text>
        <t>[Threaded comment]
Your version of Excel allows you to read this threaded comment; however, any edits to it will get removed if the file is opened in a newer version of Excel. Learn more: https://go.microsoft.com/fwlink/?linkid=870924
Comment:
    % de facturas pagadas sin retraso.</t>
      </text>
    </comment>
    <comment ref="A56" authorId="25" shapeId="0" xr:uid="{1CDDC7E4-C545-44EF-B9E6-CFC091039DD4}">
      <text>
        <t>[Threaded comment]
Your version of Excel allows you to read this threaded comment; however, any edits to it will get removed if the file is opened in a newer version of Excel. Learn more: https://go.microsoft.com/fwlink/?linkid=870924
Comment:
    Promedio de días de retraso de pagos, sobre el total de clientes atrasados del periodo (o podría dejarse solo el total de días de atraso de cada periodo)</t>
      </text>
    </comment>
    <comment ref="A57" authorId="26" shapeId="0" xr:uid="{A67D9F86-4CD2-48C0-9287-2FB83FB1E7F9}">
      <text>
        <t>[Threaded comment]
Your version of Excel allows you to read this threaded comment; however, any edits to it will get removed if the file is opened in a newer version of Excel. Learn more: https://go.microsoft.com/fwlink/?linkid=870924
Comment:
    Facturas que llevan más de 15 días sin pagarse desde su fecha de vencimiento.</t>
      </text>
    </comment>
    <comment ref="A61" authorId="27" shapeId="0" xr:uid="{91B056E5-DAA4-47BE-8B68-6DA84A4262B8}">
      <text>
        <t>[Threaded comment]
Your version of Excel allows you to read this threaded comment; however, any edits to it will get removed if the file is opened in a newer version of Excel. Learn more: https://go.microsoft.com/fwlink/?linkid=870924
Comment:
    Número de clientes con estado "OK" en el sistema (no incluye eliminados, suspendidos o en pausa).</t>
      </text>
    </comment>
    <comment ref="A62" authorId="28" shapeId="0" xr:uid="{B330A539-A021-4EF4-BB07-4AB5F9C30FCE}">
      <text>
        <t>[Threaded comment]
Your version of Excel allows you to read this threaded comment; however, any edits to it will get removed if the file is opened in a newer version of Excel. Learn more: https://go.microsoft.com/fwlink/?linkid=870924
Comment:
    Clientes que ingresaron durante el mes (fecha de ingreso dentro del período).</t>
      </text>
    </comment>
    <comment ref="A63" authorId="29" shapeId="0" xr:uid="{665DF8FA-1A5E-440E-8A28-33D69A6CE586}">
      <text>
        <t>[Threaded comment]
Your version of Excel allows you to read this threaded comment; however, any edits to it will get removed if the file is opened in a newer version of Excel. Learn more: https://go.microsoft.com/fwlink/?linkid=870924
Comment:
    Clientes que cesaron actividad de pago durante el período, sin considerar la fecha de oficialización de la baja.</t>
      </text>
    </comment>
    <comment ref="A64" authorId="30" shapeId="0" xr:uid="{EEEA79D3-8C67-4CA5-BC18-7246B70A4C71}">
      <text>
        <t>[Threaded comment]
Your version of Excel allows you to read this threaded comment; however, any edits to it will get removed if the file is opened in a newer version of Excel. Learn more: https://go.microsoft.com/fwlink/?linkid=870924
Comment:
    Porcentaje de clientes al día con sus pagos (estado "OK") sobre el total de clientes no eliminados.</t>
      </text>
    </comment>
    <comment ref="A65" authorId="31" shapeId="0" xr:uid="{27007253-E0C6-4149-8C25-1EB17DD315D6}">
      <text>
        <t>[Threaded comment]
Your version of Excel allows you to read this threaded comment; however, any edits to it will get removed if the file is opened in a newer version of Excel. Learn more: https://go.microsoft.com/fwlink/?linkid=870924
Comment:
    Porcentaje de clientes OK que tienen suscripción activa con pago automático (SUSCRITO=1).</t>
      </text>
    </comment>
    <comment ref="A69" authorId="32" shapeId="0" xr:uid="{5A99F9C6-0CF7-4AE2-9C86-A88B48E648F5}">
      <text>
        <t>[Threaded comment]
Your version of Excel allows you to read this threaded comment; however, any edits to it will get removed if the file is opened in a newer version of Excel. Learn more: https://go.microsoft.com/fwlink/?linkid=870924
Comment:
    Suma de todos los pagos recibidos de clientes en el período, descontando comisiones bancarias (Ingreso Neto).</t>
      </text>
    </comment>
    <comment ref="A71" authorId="33" shapeId="0" xr:uid="{E0BC000F-7E4A-47E3-BB8D-2920E3C5DEA5}">
      <text>
        <t>[Threaded comment]
Your version of Excel allows you to read this threaded comment; however, any edits to it will get removed if the file is opened in a newer version of Excel. Learn more: https://go.microsoft.com/fwlink/?linkid=870924
Comment:
    Ingresos menos el costo directo de prestar el servicio: COR + Customer Success (OPEX). Muestra cuánto queda después de cubrir costos directos.</t>
      </text>
    </comment>
    <comment ref="A73" authorId="34" shapeId="0" xr:uid="{BADE6685-DC2D-4F84-8DA5-5DA9E997F8F1}">
      <text>
        <t>[Threaded comment]
Your version of Excel allows you to read this threaded comment; however, any edits to it will get removed if the file is opened in a newer version of Excel. Learn more: https://go.microsoft.com/fwlink/?linkid=870924
Comment:
    Beneficio operativo antes de intereses, impuestos, depreciación y amortización. Indica la rentabilidad operativa del negocio.</t>
      </text>
    </comment>
    <comment ref="A74" authorId="35" shapeId="0" xr:uid="{05826755-AECA-419A-B225-A98C51623792}">
      <text>
        <t>[Threaded comment]
Your version of Excel allows you to read this threaded comment; however, any edits to it will get removed if the file is opened in a newer version of Excel. Learn more: https://go.microsoft.com/fwlink/?linkid=870924
Comment:
    Gastos operativos: sueldos, marketing, administración, desarrollo, customer success. Son los costos de operar el negocio.</t>
      </text>
    </comment>
    <comment ref="A82" authorId="36" shapeId="0" xr:uid="{11747B69-1651-468C-90B2-6499BD87F28E}">
      <text>
        <t>[Threaded comment]
Your version of Excel allows you to read this threaded comment; however, any edits to it will get removed if the file is opened in a newer version of Excel. Learn more: https://go.microsoft.com/fwlink/?linkid=870924
Comment:
    Suma de todas las salidas de dinero del período (OPEX + COR). Incluye sueldos, proveedores, servicios, etc.</t>
      </text>
    </comment>
    <comment ref="A83" authorId="37" shapeId="0" xr:uid="{FFDB8ED5-1384-4797-9A7F-53EC0F4D3CC0}">
      <text>
        <t>[Threaded comment]
Your version of Excel allows you to read this threaded comment; however, any edits to it will get removed if the file is opened in a newer version of Excel. Learn more: https://go.microsoft.com/fwlink/?linkid=870924
Comment:
    Costo total de suscripciones a herramientas de software activas con fecha de inicio en el mes.</t>
      </text>
    </comment>
    <comment ref="A84" authorId="38" shapeId="0" xr:uid="{D5ED8C93-9F41-4012-B536-4701A67228F9}">
      <text>
        <t>[Threaded comment]
Your version of Excel allows you to read this threaded comment; however, any edits to it will get removed if the file is opened in a newer version of Excel. Learn more: https://go.microsoft.com/fwlink/?linkid=870924
Comment:
    Porcentaje de uso real de cada herramienta SaaS contratada. Mide si estamos aprovechando lo que pagamos.</t>
      </text>
    </comment>
    <comment ref="G90" authorId="39" shapeId="0" xr:uid="{66592CFF-22DE-4C5F-86DD-77B7DA07EB6C}">
      <text>
        <t>[Threaded comment]
Your version of Excel allows you to read this threaded comment; however, any edits to it will get removed if the file is opened in a newer version of Excel. Learn more: https://go.microsoft.com/fwlink/?linkid=870924
Comment:
    Contabilizando saldo Flujo Caja Neto ENERO 2026</t>
      </text>
    </comment>
    <comment ref="A97" authorId="40" shapeId="0" xr:uid="{50B71BF2-D898-4D9C-AE95-B3CD455AB23B}">
      <text>
        <t xml:space="preserve">[Threaded comment]
Your version of Excel allows you to read this threaded comment; however, any edits to it will get removed if the file is opened in a newer version of Excel. Learn more: https://go.microsoft.com/fwlink/?linkid=870924
Comment:
    % facturación semanal cobrada con éxito
</t>
      </text>
    </comment>
    <comment ref="A98" authorId="41" shapeId="0" xr:uid="{1606CD42-2E0F-473A-9780-5F2401D21CE6}">
      <text>
        <t>[Threaded comment]
Your version of Excel allows you to read this threaded comment; however, any edits to it will get removed if the file is opened in a newer version of Excel. Learn more: https://go.microsoft.com/fwlink/?linkid=870924
Comment:
    Importes brutos cobrados efectivamente a clientes, en concepto de cuota.</t>
      </text>
    </comment>
    <comment ref="A101" authorId="42" shapeId="0" xr:uid="{E4A5E78D-0B3E-46C7-80FB-BE90ED656812}">
      <text>
        <t>[Threaded comment]
Your version of Excel allows you to read this threaded comment; however, any edits to it will get removed if the file is opened in a newer version of Excel. Learn more: https://go.microsoft.com/fwlink/?linkid=870924
Comment:
    % de facturas pagadas sin retraso.</t>
      </text>
    </comment>
    <comment ref="A102" authorId="43" shapeId="0" xr:uid="{630E3A46-91B0-4341-8B5D-C31C8F150B1C}">
      <text>
        <t>[Threaded comment]
Your version of Excel allows you to read this threaded comment; however, any edits to it will get removed if the file is opened in a newer version of Excel. Learn more: https://go.microsoft.com/fwlink/?linkid=870924
Comment:
    Promedio de días de retraso de pagos, sobre el total de clientes atrasados del periodo (o podría dejarse solo el total de días de atraso de cada periodo)</t>
      </text>
    </comment>
    <comment ref="A103" authorId="44" shapeId="0" xr:uid="{FA30736C-48F8-4F8B-A915-9DD1B40CB7CE}">
      <text>
        <t>[Threaded comment]
Your version of Excel allows you to read this threaded comment; however, any edits to it will get removed if the file is opened in a newer version of Excel. Learn more: https://go.microsoft.com/fwlink/?linkid=870924
Comment:
    Facturas que llevan más de 15 días sin pagarse desde su fecha de vencimiento.</t>
      </text>
    </comment>
    <comment ref="A107" authorId="45" shapeId="0" xr:uid="{6A5A8330-88F1-407B-AEDD-5E09AAD21317}">
      <text>
        <t>[Threaded comment]
Your version of Excel allows you to read this threaded comment; however, any edits to it will get removed if the file is opened in a newer version of Excel. Learn more: https://go.microsoft.com/fwlink/?linkid=870924
Comment:
    Número de clientes con estado "OK" en el sistema (no incluye eliminados, suspendidos o en pausa).</t>
      </text>
    </comment>
    <comment ref="A108" authorId="46" shapeId="0" xr:uid="{BB31251B-48B5-4161-BACD-C310BF866983}">
      <text>
        <t>[Threaded comment]
Your version of Excel allows you to read this threaded comment; however, any edits to it will get removed if the file is opened in a newer version of Excel. Learn more: https://go.microsoft.com/fwlink/?linkid=870924
Comment:
    Clientes que ingresaron durante el mes (fecha de ingreso dentro del período).</t>
      </text>
    </comment>
    <comment ref="A109" authorId="47" shapeId="0" xr:uid="{32D28F35-B88C-432B-978E-4458EEEF800A}">
      <text>
        <t>[Threaded comment]
Your version of Excel allows you to read this threaded comment; however, any edits to it will get removed if the file is opened in a newer version of Excel. Learn more: https://go.microsoft.com/fwlink/?linkid=870924
Comment:
    Clientes que cesaron actividad de pago durante el período, sin considerar la fecha de oficialización de la baja.</t>
      </text>
    </comment>
    <comment ref="A110" authorId="48" shapeId="0" xr:uid="{D5A70F0C-00BC-4858-BA89-30C77A6B0645}">
      <text>
        <t>[Threaded comment]
Your version of Excel allows you to read this threaded comment; however, any edits to it will get removed if the file is opened in a newer version of Excel. Learn more: https://go.microsoft.com/fwlink/?linkid=870924
Comment:
    Porcentaje de clientes al día con sus pagos (estado "OK") sobre el total de clientes no eliminados.</t>
      </text>
    </comment>
    <comment ref="A111" authorId="49" shapeId="0" xr:uid="{A57C3B59-9558-4184-A4A1-9BF0373858C8}">
      <text>
        <t>[Threaded comment]
Your version of Excel allows you to read this threaded comment; however, any edits to it will get removed if the file is opened in a newer version of Excel. Learn more: https://go.microsoft.com/fwlink/?linkid=870924
Comment:
    Porcentaje de clientes OK que tienen suscripción activa con pago automático (SUSCRITO=1).</t>
      </text>
    </comment>
    <comment ref="A115" authorId="50" shapeId="0" xr:uid="{26812D43-7421-44C3-BCA9-C305B451B3E2}">
      <text>
        <t>[Threaded comment]
Your version of Excel allows you to read this threaded comment; however, any edits to it will get removed if the file is opened in a newer version of Excel. Learn more: https://go.microsoft.com/fwlink/?linkid=870924
Comment:
    Suma de todos los pagos recibidos de clientes en el período, descontando comisiones bancarias (Ingreso Neto).</t>
      </text>
    </comment>
    <comment ref="A117" authorId="51" shapeId="0" xr:uid="{270C22CD-4B74-49F8-9C2B-CDF2E0DCE257}">
      <text>
        <t>[Threaded comment]
Your version of Excel allows you to read this threaded comment; however, any edits to it will get removed if the file is opened in a newer version of Excel. Learn more: https://go.microsoft.com/fwlink/?linkid=870924
Comment:
    Ingresos menos el costo directo de prestar el servicio: COR + Customer Success (OPEX). Muestra cuánto queda después de cubrir costos directos.</t>
      </text>
    </comment>
    <comment ref="A119" authorId="52" shapeId="0" xr:uid="{C84234BF-8011-4A3D-BD02-6426DB60AA31}">
      <text>
        <t>[Threaded comment]
Your version of Excel allows you to read this threaded comment; however, any edits to it will get removed if the file is opened in a newer version of Excel. Learn more: https://go.microsoft.com/fwlink/?linkid=870924
Comment:
    Beneficio operativo antes de intereses, impuestos, depreciación y amortización. Indica la rentabilidad operativa del negocio.</t>
      </text>
    </comment>
    <comment ref="A120" authorId="53" shapeId="0" xr:uid="{0A6FA8A3-B05A-4609-B41F-EA1ACD6C2379}">
      <text>
        <t>[Threaded comment]
Your version of Excel allows you to read this threaded comment; however, any edits to it will get removed if the file is opened in a newer version of Excel. Learn more: https://go.microsoft.com/fwlink/?linkid=870924
Comment:
    Gastos operativos: sueldos, marketing, administración, desarrollo, customer success. Son los costos de operar el negocio.</t>
      </text>
    </comment>
    <comment ref="A128" authorId="54" shapeId="0" xr:uid="{DB2BFF9E-DC63-4147-88BC-C991D1E4DC2A}">
      <text>
        <t>[Threaded comment]
Your version of Excel allows you to read this threaded comment; however, any edits to it will get removed if the file is opened in a newer version of Excel. Learn more: https://go.microsoft.com/fwlink/?linkid=870924
Comment:
    Suma de todas las salidas de dinero del período (OPEX + COR). Incluye sueldos, proveedores, servicios, etc.</t>
      </text>
    </comment>
    <comment ref="A129" authorId="55" shapeId="0" xr:uid="{6422FCB3-7C79-4547-AF37-7F759F3F202B}">
      <text>
        <t>[Threaded comment]
Your version of Excel allows you to read this threaded comment; however, any edits to it will get removed if the file is opened in a newer version of Excel. Learn more: https://go.microsoft.com/fwlink/?linkid=870924
Comment:
    Costo total de suscripciones a herramientas de software activas con fecha de inicio en el mes.</t>
      </text>
    </comment>
    <comment ref="A130" authorId="56" shapeId="0" xr:uid="{911D0CE6-4AC4-4E96-867B-87AC3BCDC134}">
      <text>
        <t>[Threaded comment]
Your version of Excel allows you to read this threaded comment; however, any edits to it will get removed if the file is opened in a newer version of Excel. Learn more: https://go.microsoft.com/fwlink/?linkid=870924
Comment:
    Porcentaje de uso real de cada herramienta SaaS contratada. Mide si estamos aprovechando lo que pagamos.</t>
      </text>
    </comment>
    <comment ref="G137" authorId="57" shapeId="0" xr:uid="{90216CD9-8890-41E3-9C93-38999B3A21DC}">
      <text>
        <t>[Threaded comment]
Your version of Excel allows you to read this threaded comment; however, any edits to it will get removed if the file is opened in a newer version of Excel. Learn more: https://go.microsoft.com/fwlink/?linkid=870924
Comment:
    Contabilizando saldo Flujo Caja Neto FEBRERO 2026</t>
      </text>
    </comment>
    <comment ref="G142" authorId="58" shapeId="0" xr:uid="{40C28BAC-FA40-4F46-9642-825674AC1210}">
      <text>
        <t>[Threaded comment]
Your version of Excel allows you to read this threaded comment; however, any edits to it will get removed if the file is opened in a newer version of Excel. Learn more: https://go.microsoft.com/fwlink/?linkid=870924
Comment:
    Contabilizando saldo Flujo Caja Neto FEBRERO 2026</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tc={44F67816-119C-4289-AEA1-D01408820206}</author>
    <author>tc={F986841F-41FB-8141-BAE5-F4A662824F71}</author>
    <author>tc={7118A718-81A5-FD48-A75E-F4EF4E494C98}</author>
    <author>tc={5B037F89-4D99-384F-B62A-B5CCC754381A}</author>
    <author>tc={F08972B6-BF80-CB42-BD0A-D176C7635DF3}</author>
    <author>tc={4143A2F5-3CC2-674F-B737-24EC13B090EF}</author>
    <author>tc={DBAC1C04-55C7-5040-B9FC-A1840EEFFBE5}</author>
    <author>tc={E8E35EB6-F473-AF4F-B83B-466A72631A12}</author>
    <author>tc={AD1E5237-0143-D84E-9364-A5D4178315ED}</author>
  </authors>
  <commentList>
    <comment ref="E11" authorId="0" shapeId="0" xr:uid="{44F67816-119C-4289-AEA1-D01408820206}">
      <text>
        <t>[Threaded comment]
Your version of Excel allows you to read this threaded comment; however, any edits to it will get removed if the file is opened in a newer version of Excel. Learn more: https://go.microsoft.com/fwlink/?linkid=870924
Comment:
    No figura factura por ese monto/fecha</t>
      </text>
    </comment>
    <comment ref="E17" authorId="1" shapeId="0" xr:uid="{F986841F-41FB-8141-BAE5-F4A662824F71}">
      <text>
        <t>[Threaded comment]
Your version of Excel allows you to read this threaded comment; however, any edits to it will get removed if the file is opened in a newer version of Excel. Learn more: https://go.microsoft.com/fwlink/?linkid=870924
Comment:
    No figuran facturas para ese correo</t>
      </text>
    </comment>
    <comment ref="E28" authorId="2" shapeId="0" xr:uid="{7118A718-81A5-FD48-A75E-F4EF4E494C98}">
      <text>
        <t>[Threaded comment]
Your version of Excel allows you to read this threaded comment; however, any edits to it will get removed if the file is opened in a newer version of Excel. Learn more: https://go.microsoft.com/fwlink/?linkid=870924
Comment:
    No figura factura por ese monto/fecha</t>
      </text>
    </comment>
    <comment ref="E36" authorId="3" shapeId="0" xr:uid="{5B037F89-4D99-384F-B62A-B5CCC754381A}">
      <text>
        <t>[Threaded comment]
Your version of Excel allows you to read this threaded comment; however, any edits to it will get removed if the file is opened in a newer version of Excel. Learn more: https://go.microsoft.com/fwlink/?linkid=870924
Comment:
    No figura factura por ese monto/fecha</t>
      </text>
    </comment>
    <comment ref="E38" authorId="4" shapeId="0" xr:uid="{F08972B6-BF80-CB42-BD0A-D176C7635DF3}">
      <text>
        <t>[Threaded comment]
Your version of Excel allows you to read this threaded comment; however, any edits to it will get removed if the file is opened in a newer version of Excel. Learn more: https://go.microsoft.com/fwlink/?linkid=870924
Comment:
    No figura factura por ese monto/fecha</t>
      </text>
    </comment>
    <comment ref="E43" authorId="5" shapeId="0" xr:uid="{4143A2F5-3CC2-674F-B737-24EC13B090EF}">
      <text>
        <t>[Threaded comment]
Your version of Excel allows you to read this threaded comment; however, any edits to it will get removed if the file is opened in a newer version of Excel. Learn more: https://go.microsoft.com/fwlink/?linkid=870924
Comment:
    No figuran facturas para ese correo</t>
      </text>
    </comment>
    <comment ref="E95" authorId="6" shapeId="0" xr:uid="{DBAC1C04-55C7-5040-B9FC-A1840EEFFBE5}">
      <text>
        <t>[Threaded comment]
Your version of Excel allows you to read this threaded comment; however, any edits to it will get removed if the file is opened in a newer version of Excel. Learn more: https://go.microsoft.com/fwlink/?linkid=870924
Comment:
    No figuran facturas para ese correo</t>
      </text>
    </comment>
    <comment ref="E106" authorId="7" shapeId="0" xr:uid="{E8E35EB6-F473-AF4F-B83B-466A72631A12}">
      <text>
        <t>[Threaded comment]
Your version of Excel allows you to read this threaded comment; however, any edits to it will get removed if the file is opened in a newer version of Excel. Learn more: https://go.microsoft.com/fwlink/?linkid=870924
Comment:
    No figura factura por ese monto/fecha</t>
      </text>
    </comment>
    <comment ref="E136" authorId="8" shapeId="0" xr:uid="{AD1E5237-0143-D84E-9364-A5D4178315ED}">
      <text>
        <t>[Threaded comment]
Your version of Excel allows you to read this threaded comment; however, any edits to it will get removed if the file is opened in a newer version of Excel. Learn more: https://go.microsoft.com/fwlink/?linkid=870924
Comment:
    No figuran facturas para ese correo</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tc={C40B6A7B-4F9B-8D42-BD1C-4AFC418E54B1}</author>
  </authors>
  <commentList>
    <comment ref="A81" authorId="0" shapeId="0" xr:uid="{C40B6A7B-4F9B-8D42-BD1C-4AFC418E54B1}">
      <text>
        <t xml:space="preserve">[Threaded comment]
Your version of Excel allows you to read this threaded comment; however, any edits to it will get removed if the file is opened in a newer version of Excel. Learn more: https://go.microsoft.com/fwlink/?linkid=870924
Comment:
    Figura otro ID Cliente en Facturas Stripe por otro monto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tc={A79F0CC6-1A0B-524C-A4ED-75A919DA56CF}</author>
    <author>tc={A812EE32-C730-B841-A8A3-DA8666B3BBC8}</author>
    <author>tc={5C41C1C4-B10C-2942-A1E3-8845BD4A6E77}</author>
    <author>tc={690F558B-45E3-0644-BB8A-05D2FC959C96}</author>
    <author>tc={3CBEEF57-E3E2-3B49-876E-F9FA6C613326}</author>
    <author>tc={21DE52A0-D918-2545-990B-59DFBA866974}</author>
    <author>tc={DE36CFDC-8781-8348-AEFD-8A34E76C4B3E}</author>
    <author>tc={CAAECC4A-1856-2447-A998-C8B023E88236}</author>
    <author>tc={8FD3E08F-D370-D548-8219-E00D6EFB8D65}</author>
    <author>tc={F4B3BE9F-E9A8-8641-905F-0A840A9F8BC6}</author>
    <author>tc={D122F954-E6C2-4249-B728-D6A8B858FDA0}</author>
    <author>tc={6012DA39-EE2E-3B45-B41D-41488B409E18}</author>
    <author>tc={025DCF0B-906D-9E4F-A88D-3CCCEE7ED7C4}</author>
    <author>tc={B252ECCC-FA1B-8F40-BBFF-517B30B1087F}</author>
    <author>tc={5AA690D3-3657-344B-9919-0212DC932AED}</author>
    <author>tc={84311EC1-E00B-9E47-8E0A-4F970ECCA189}</author>
    <author>tc={F8D92C12-E37D-594D-BF7F-2A352752E93E}</author>
    <author>tc={1BBBCD82-1334-AD45-9061-433C6AC844E2}</author>
    <author>tc={D5CC9058-45FD-C64A-9E6C-2E0E5E5C6779}</author>
    <author>tc={FE08E249-7E8A-0546-A068-161B3C6314BB}</author>
    <author>tc={17B4451E-CF5F-A947-8806-7D3EAF53C045}</author>
  </authors>
  <commentList>
    <comment ref="D10" authorId="0" shapeId="0" xr:uid="{A79F0CC6-1A0B-524C-A4ED-75A919DA56CF}">
      <text>
        <t>[Threaded comment]
Your version of Excel allows you to read this threaded comment; however, any edits to it will get removed if the file is opened in a newer version of Excel. Learn more: https://go.microsoft.com/fwlink/?linkid=870924
Comment:
    Global</t>
      </text>
    </comment>
    <comment ref="D39" authorId="1" shapeId="0" xr:uid="{A812EE32-C730-B841-A8A3-DA8666B3BBC8}">
      <text>
        <t>[Threaded comment]
Your version of Excel allows you to read this threaded comment; however, any edits to it will get removed if the file is opened in a newer version of Excel. Learn more: https://go.microsoft.com/fwlink/?linkid=870924
Comment:
    Mercado Pago</t>
      </text>
    </comment>
    <comment ref="D284" authorId="2" shapeId="0" xr:uid="{5C41C1C4-B10C-2942-A1E3-8845BD4A6E77}">
      <text>
        <t>[Threaded comment]
Your version of Excel allows you to read this threaded comment; however, any edits to it will get removed if the file is opened in a newer version of Excel. Learn more: https://go.microsoft.com/fwlink/?linkid=870924
Comment:
    Scotiabank</t>
      </text>
    </comment>
    <comment ref="D299" authorId="3" shapeId="0" xr:uid="{690F558B-45E3-0644-BB8A-05D2FC959C96}">
      <text>
        <t>[Threaded comment]
Your version of Excel allows you to read this threaded comment; however, any edits to it will get removed if the file is opened in a newer version of Excel. Learn more: https://go.microsoft.com/fwlink/?linkid=870924
Comment:
    MercadoPago</t>
      </text>
    </comment>
    <comment ref="D373" authorId="4" shapeId="0" xr:uid="{3CBEEF57-E3E2-3B49-876E-F9FA6C613326}">
      <text>
        <t>[Threaded comment]
Your version of Excel allows you to read this threaded comment; however, any edits to it will get removed if the file is opened in a newer version of Excel. Learn more: https://go.microsoft.com/fwlink/?linkid=870924
Comment:
    MercadoPago</t>
      </text>
    </comment>
    <comment ref="D439" authorId="5" shapeId="0" xr:uid="{21DE52A0-D918-2545-990B-59DFBA866974}">
      <text>
        <t>[Threaded comment]
Your version of Excel allows you to read this threaded comment; however, any edits to it will get removed if the file is opened in a newer version of Excel. Learn more: https://go.microsoft.com/fwlink/?linkid=870924
Comment:
    JOF</t>
      </text>
    </comment>
    <comment ref="D624" authorId="6" shapeId="0" xr:uid="{DE36CFDC-8781-8348-AEFD-8A34E76C4B3E}">
      <text>
        <t>[Threaded comment]
Your version of Excel allows you to read this threaded comment; however, any edits to it will get removed if the file is opened in a newer version of Excel. Learn more: https://go.microsoft.com/fwlink/?linkid=870924
Comment:
    Scotiabank</t>
      </text>
    </comment>
    <comment ref="D631" authorId="7" shapeId="0" xr:uid="{CAAECC4A-1856-2447-A998-C8B023E88236}">
      <text>
        <t>[Threaded comment]
Your version of Excel allows you to read this threaded comment; however, any edits to it will get removed if the file is opened in a newer version of Excel. Learn more: https://go.microsoft.com/fwlink/?linkid=870924
Comment:
    Scotiabank</t>
      </text>
    </comment>
    <comment ref="D733" authorId="8" shapeId="0" xr:uid="{8FD3E08F-D370-D548-8219-E00D6EFB8D65}">
      <text>
        <t>[Threaded comment]
Your version of Excel allows you to read this threaded comment; however, any edits to it will get removed if the file is opened in a newer version of Excel. Learn more: https://go.microsoft.com/fwlink/?linkid=870924
Comment:
    Scotiabank</t>
      </text>
    </comment>
    <comment ref="D746" authorId="9" shapeId="0" xr:uid="{F4B3BE9F-E9A8-8641-905F-0A840A9F8BC6}">
      <text>
        <t>[Threaded comment]
Your version of Excel allows you to read this threaded comment; however, any edits to it will get removed if the file is opened in a newer version of Excel. Learn more: https://go.microsoft.com/fwlink/?linkid=870924
Comment:
    Scotiabank</t>
      </text>
    </comment>
    <comment ref="D754" authorId="10" shapeId="0" xr:uid="{D122F954-E6C2-4249-B728-D6A8B858FDA0}">
      <text>
        <t>[Threaded comment]
Your version of Excel allows you to read this threaded comment; however, any edits to it will get removed if the file is opened in a newer version of Excel. Learn more: https://go.microsoft.com/fwlink/?linkid=870924
Comment:
    JOF</t>
      </text>
    </comment>
    <comment ref="D848" authorId="11" shapeId="0" xr:uid="{6012DA39-EE2E-3B45-B41D-41488B409E18}">
      <text>
        <t>[Threaded comment]
Your version of Excel allows you to read this threaded comment; however, any edits to it will get removed if the file is opened in a newer version of Excel. Learn more: https://go.microsoft.com/fwlink/?linkid=870924
Comment:
    Scotiabank</t>
      </text>
    </comment>
    <comment ref="D856" authorId="12" shapeId="0" xr:uid="{025DCF0B-906D-9E4F-A88D-3CCCEE7ED7C4}">
      <text>
        <t>[Threaded comment]
Your version of Excel allows you to read this threaded comment; however, any edits to it will get removed if the file is opened in a newer version of Excel. Learn more: https://go.microsoft.com/fwlink/?linkid=870924
Comment:
    Scotiabank</t>
      </text>
    </comment>
    <comment ref="D857" authorId="13" shapeId="0" xr:uid="{B252ECCC-FA1B-8F40-BBFF-517B30B1087F}">
      <text>
        <t>[Threaded comment]
Your version of Excel allows you to read this threaded comment; however, any edits to it will get removed if the file is opened in a newer version of Excel. Learn more: https://go.microsoft.com/fwlink/?linkid=870924
Comment:
    Scotiabank</t>
      </text>
    </comment>
    <comment ref="D878" authorId="14" shapeId="0" xr:uid="{5AA690D3-3657-344B-9919-0212DC932AED}">
      <text>
        <t>[Threaded comment]
Your version of Excel allows you to read this threaded comment; however, any edits to it will get removed if the file is opened in a newer version of Excel. Learn more: https://go.microsoft.com/fwlink/?linkid=870924
Comment:
    Scotiabank</t>
      </text>
    </comment>
    <comment ref="D939" authorId="15" shapeId="0" xr:uid="{84311EC1-E00B-9E47-8E0A-4F970ECCA189}">
      <text>
        <t>[Threaded comment]
Your version of Excel allows you to read this threaded comment; however, any edits to it will get removed if the file is opened in a newer version of Excel. Learn more: https://go.microsoft.com/fwlink/?linkid=870924
Comment:
    Scotiabank</t>
      </text>
    </comment>
    <comment ref="D956" authorId="16" shapeId="0" xr:uid="{F8D92C12-E37D-594D-BF7F-2A352752E93E}">
      <text>
        <t>[Threaded comment]
Your version of Excel allows you to read this threaded comment; however, any edits to it will get removed if the file is opened in a newer version of Excel. Learn more: https://go.microsoft.com/fwlink/?linkid=870924
Comment:
    JOF</t>
      </text>
    </comment>
    <comment ref="D1019" authorId="17" shapeId="0" xr:uid="{1BBBCD82-1334-AD45-9061-433C6AC844E2}">
      <text>
        <t>[Threaded comment]
Your version of Excel allows you to read this threaded comment; however, any edits to it will get removed if the file is opened in a newer version of Excel. Learn more: https://go.microsoft.com/fwlink/?linkid=870924
Comment:
    -4043,46 EUR / No se registra a pedido de Nico</t>
      </text>
    </comment>
    <comment ref="D1037" authorId="18" shapeId="0" xr:uid="{D5CC9058-45FD-C64A-9E6C-2E0E5E5C6779}">
      <text>
        <t>[Threaded comment]
Your version of Excel allows you to read this threaded comment; however, any edits to it will get removed if the file is opened in a newer version of Excel. Learn more: https://go.microsoft.com/fwlink/?linkid=870924
Comment:
    Scotiabank</t>
      </text>
    </comment>
    <comment ref="D1075" authorId="19" shapeId="0" xr:uid="{FE08E249-7E8A-0546-A068-161B3C6314BB}">
      <text>
        <t>[Threaded comment]
Your version of Excel allows you to read this threaded comment; however, any edits to it will get removed if the file is opened in a newer version of Excel. Learn more: https://go.microsoft.com/fwlink/?linkid=870924
Comment:
    Scotiabank</t>
      </text>
    </comment>
    <comment ref="D1243" authorId="20" shapeId="0" xr:uid="{17B4451E-CF5F-A947-8806-7D3EAF53C045}">
      <text>
        <t>[Threaded comment]
Your version of Excel allows you to read this threaded comment; however, any edits to it will get removed if the file is opened in a newer version of Excel. Learn more: https://go.microsoft.com/fwlink/?linkid=870924
Comment:
    Positivo porque es un reembolso</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6D3A08-46BC-40F8-9913-B81982CC11BF}" keepAlive="1" name="Consulta - invoices" description="Conexión a la consulta 'invoices' en el libro." type="5" refreshedVersion="0" background="1" saveData="1">
    <dbPr connection="Provider=Microsoft.Mashup.OleDb.1;Data Source=$Workbook$;Location=invoices;Extended Properties=&quot;&quot;" command="SELECT * FROM [invoices]"/>
  </connection>
  <connection id="2" xr16:uid="{72C1B272-1B5B-49C1-921A-832CCBCF42A3}" keepAlive="1" name="Consulta - invoices (1)" description="Conexión a la consulta 'invoices (1)' en el libro." type="5" refreshedVersion="0" background="1" saveData="1">
    <dbPr connection="Provider=Microsoft.Mashup.OleDb.1;Data Source=$Workbook$;Location=&quot;invoices (1)&quot;;Extended Properties=&quot;&quot;" command="SELECT * FROM [invoices (1)]"/>
  </connection>
  <connection id="3" xr16:uid="{2D0CA956-DBE5-4100-975B-D69802A9FFB7}" keepAlive="1" name="Consulta - invoices (2)" description="Conexión a la consulta 'invoices (2)' en el libro." type="5" refreshedVersion="0" background="1" saveData="1">
    <dbPr connection="Provider=Microsoft.Mashup.OleDb.1;Data Source=$Workbook$;Location=&quot;invoices (2)&quot;;Extended Properties=&quot;&quot;" command="SELECT * FROM [invoices (2)]"/>
  </connection>
  <connection id="4" xr16:uid="{F1F68E72-9267-4F8F-9C02-6BB5DB4245A7}" keepAlive="1" name="Consulta - invoices (3)" description="Conexión a la consulta 'invoices (3)' en el libro." type="5" refreshedVersion="8" background="1" saveData="1">
    <dbPr connection="Provider=Microsoft.Mashup.OleDb.1;Data Source=$Workbook$;Location=&quot;invoices (3)&quot;;Extended Properties=&quot;&quot;" command="SELECT * FROM [invoices (3)]"/>
  </connection>
  <connection id="5" xr16:uid="{BA722A34-5DC8-453D-8B3A-AD2306E1BCD3}" keepAlive="1" name="Consulta - transaction-statement_01-Feb-2026_28-Feb-2026" description="Conexión a la consulta 'transaction-statement_01-Feb-2026_28-Feb-2026' en el libro." type="5" refreshedVersion="0" background="1" saveData="1">
    <dbPr connection="Provider=Microsoft.Mashup.OleDb.1;Data Source=$Workbook$;Location=transaction-statement_01-Feb-2026_28-Feb-2026;Extended Properties=&quot;&quot;" command="SELECT * FROM [transaction-statement_01-Feb-2026_28-Feb-2026]"/>
  </connection>
  <connection id="6" xr16:uid="{4CF1957F-FC77-4D82-8E45-D5E5F2ED1468}" keepAlive="1" name="Consulta - transaction-statement_01-Jan-2026_28-Feb-2026" description="Conexión a la consulta 'transaction-statement_01-Jan-2026_28-Feb-2026' en el libro." type="5" refreshedVersion="0" background="1" saveData="1">
    <dbPr connection="Provider=Microsoft.Mashup.OleDb.1;Data Source=$Workbook$;Location=transaction-statement_01-Jan-2026_28-Feb-2026;Extended Properties=&quot;&quot;" command="SELECT * FROM [transaction-statement_01-Jan-2026_28-Feb-2026]"/>
  </connection>
  <connection id="7" xr16:uid="{948E9E5E-326F-41AC-A755-45AE6A5F92F2}" keepAlive="1" name="Consulta - transaction-statement_01-Jan-2026_31-Jan-2026" description="Conexión a la consulta 'transaction-statement_01-Jan-2026_31-Jan-2026' en el libro." type="5" refreshedVersion="0" background="1" saveData="1">
    <dbPr connection="Provider=Microsoft.Mashup.OleDb.1;Data Source=$Workbook$;Location=transaction-statement_01-Jan-2026_31-Jan-2026;Extended Properties=&quot;&quot;" command="SELECT * FROM [transaction-statement_01-Jan-2026_31-Jan-2026]"/>
  </connection>
  <connection id="8" xr16:uid="{298938EE-D3BE-478A-A1E8-7D998329B53F}" keepAlive="1" name="Consulta - unified_payments" description="Conexión a la consulta 'unified_payments' en el libro." type="5" refreshedVersion="0" background="1" saveData="1">
    <dbPr connection="Provider=Microsoft.Mashup.OleDb.1;Data Source=$Workbook$;Location=unified_payments;Extended Properties=&quot;&quot;" command="SELECT * FROM [unified_payments]"/>
  </connection>
  <connection id="9" xr16:uid="{2F03488B-2373-424F-A34F-11867B131720}" keepAlive="1" name="Consulta - unified_payments (1)" description="Conexión a la consulta 'unified_payments (1)' en el libro." type="5" refreshedVersion="0" background="1" saveData="1">
    <dbPr connection="Provider=Microsoft.Mashup.OleDb.1;Data Source=$Workbook$;Location=&quot;unified_payments (1)&quot;;Extended Properties=&quot;&quot;" command="SELECT * FROM [unified_payments (1)]"/>
  </connection>
  <connection id="10" xr16:uid="{62A4EA7B-685B-4B9E-ADF3-BC29466074FF}" keepAlive="1" name="Consulta - unified_payments (2)" description="Conexión a la consulta 'unified_payments (2)' en el libro." type="5" refreshedVersion="8" background="1" saveData="1">
    <dbPr connection="Provider=Microsoft.Mashup.OleDb.1;Data Source=$Workbook$;Location=&quot;unified_payments (2)&quot;;Extended Properties=&quot;&quot;" command="SELECT * FROM [unified_payments (2)]"/>
  </connection>
  <connection id="11" xr16:uid="{A21CCF82-0420-40C6-A72A-52ABD4892AC0}" keepAlive="1" name="Consulta - unified_payments (7)" description="Conexión a la consulta 'unified_payments (7)' en el libro." type="5" refreshedVersion="8" background="1" saveData="1">
    <dbPr connection="Provider=Microsoft.Mashup.OleDb.1;Data Source=$Workbook$;Location=&quot;unified_payments (7)&quot;;Extended Properties=&quot;&quot;" command="SELECT * FROM [unified_payments (7)]"/>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<sst xmlns="http://schemas.openxmlformats.org/spreadsheetml/2006/main" count="55668" uniqueCount="6728">
  <si>
    <t>PAIS</t>
  </si>
  <si>
    <t>ABONO NETO PAIS</t>
  </si>
  <si>
    <t>TOTAL CLIENTES</t>
  </si>
  <si>
    <t>ABONO NETO PAIS CLIENTES VIGENTES</t>
  </si>
  <si>
    <t>TOTAL CLIENTES VIGENTES</t>
  </si>
  <si>
    <t>CLIENTES OK</t>
  </si>
  <si>
    <t>CLIENTES PROBLEMATICOS</t>
  </si>
  <si>
    <t>ELIMINADOS</t>
  </si>
  <si>
    <t>RATING PAIS</t>
  </si>
  <si>
    <t>TICKET PROM PAIS</t>
  </si>
  <si>
    <t>El Salvador</t>
  </si>
  <si>
    <t>Chile</t>
  </si>
  <si>
    <t>Ecuador</t>
  </si>
  <si>
    <t>México</t>
  </si>
  <si>
    <t>Colombia</t>
  </si>
  <si>
    <t>República Dominicana</t>
  </si>
  <si>
    <t>Perú</t>
  </si>
  <si>
    <t>Paraguay</t>
  </si>
  <si>
    <t>Honduras</t>
  </si>
  <si>
    <t>Bolivia</t>
  </si>
  <si>
    <t>Argentina</t>
  </si>
  <si>
    <t>Guatemala</t>
  </si>
  <si>
    <t>Venezuela</t>
  </si>
  <si>
    <t>Uruguay</t>
  </si>
  <si>
    <t>Nicaragua</t>
  </si>
  <si>
    <t>MES</t>
  </si>
  <si>
    <t>CLIENTES ANTIGUOS</t>
  </si>
  <si>
    <t>NUEVOS CLIENTES TOTAL</t>
  </si>
  <si>
    <t>NUEVOS CLIENTES VIGENTES</t>
  </si>
  <si>
    <t>CANTIDAD CLIENTES ACTIVOS X MES</t>
  </si>
  <si>
    <t>TASA ABANDONO COHORTE</t>
  </si>
  <si>
    <t>ELIMINADOS X MES</t>
  </si>
  <si>
    <t>PAUSA/SUSP X MES</t>
  </si>
  <si>
    <t>TASA ABANDONO MES</t>
  </si>
  <si>
    <t>INGRESO NUEVOS CLIENTES</t>
  </si>
  <si>
    <t>INGRESO CLIENTES ANTIGUOS</t>
  </si>
  <si>
    <t>% NUEVOS CLIENTES/TOTAL MES</t>
  </si>
  <si>
    <t>TICKET PROMEDIO PRIMER MES</t>
  </si>
  <si>
    <t>TOTAL MES</t>
  </si>
  <si>
    <t>CASH IN PROM PAIS</t>
  </si>
  <si>
    <t xml:space="preserve"> </t>
  </si>
  <si>
    <t>INGRESO TOTAL MES</t>
  </si>
  <si>
    <t>CRECIMIENTO</t>
  </si>
  <si>
    <t>INGRESO MES RECIBIDO</t>
  </si>
  <si>
    <t>Q TRANSACCIONES</t>
  </si>
  <si>
    <t>INGRESO PROGRAMADO PEND.</t>
  </si>
  <si>
    <t>MONTO PEND AL DIA</t>
  </si>
  <si>
    <t>Q PEND AL DIA</t>
  </si>
  <si>
    <t>% NO PAGO</t>
  </si>
  <si>
    <t>INGRESO MES RECIBIDO NETO</t>
  </si>
  <si>
    <t>TOTAL SALIDAS MES</t>
  </si>
  <si>
    <t>COR</t>
  </si>
  <si>
    <t>MARGEN BRUTO</t>
  </si>
  <si>
    <t>%MARGEN BRUTO</t>
  </si>
  <si>
    <t>Sales &amp; Marketing</t>
  </si>
  <si>
    <t>Research &amp; Development</t>
  </si>
  <si>
    <t>General &amp; Administrative</t>
  </si>
  <si>
    <t>Customer Success</t>
  </si>
  <si>
    <t>TOTAL OPEX</t>
  </si>
  <si>
    <t>EBITDA</t>
  </si>
  <si>
    <t>TOTAL CAPEX</t>
  </si>
  <si>
    <t>FCF</t>
  </si>
  <si>
    <t>CAC</t>
  </si>
  <si>
    <t>COSTO SERVICIO UNIT.</t>
  </si>
  <si>
    <t>MARGEN CONTRIBUCION</t>
  </si>
  <si>
    <t>CASH IN NETO PROM MES</t>
  </si>
  <si>
    <t>ID CLIENTE</t>
  </si>
  <si>
    <t>NOMBRE</t>
  </si>
  <si>
    <t>ESTADO</t>
  </si>
  <si>
    <t>AUX PROM</t>
  </si>
  <si>
    <t>SUSCR</t>
  </si>
  <si>
    <t>FECHA</t>
  </si>
  <si>
    <t>FASE</t>
  </si>
  <si>
    <t>MONTO</t>
  </si>
  <si>
    <t>ID FACTURA</t>
  </si>
  <si>
    <t>N° FACTURA</t>
  </si>
  <si>
    <t>ESTADO FACTURA</t>
  </si>
  <si>
    <t>RETRASO</t>
  </si>
  <si>
    <t>DCTO DOC</t>
  </si>
  <si>
    <t>NOTA</t>
  </si>
  <si>
    <t>cus_SEwojwtQMUdol8</t>
  </si>
  <si>
    <t>LATAM</t>
  </si>
  <si>
    <t>in_1SGNHXRoJmuqrcvmuSD7IeYA</t>
  </si>
  <si>
    <t>609F8A13-1090</t>
  </si>
  <si>
    <t>cus_RfCpfB966ZIVjL</t>
  </si>
  <si>
    <t>in_1RHibmRoJmuqrcvmkm9JtyqE</t>
  </si>
  <si>
    <t>609F8A13-0050</t>
  </si>
  <si>
    <t>cus_RfCloMGjIFD87w</t>
  </si>
  <si>
    <t>in_1RHiVHRoJmuqrcvmGkfE7hvM</t>
  </si>
  <si>
    <t>609F8A13-0049</t>
  </si>
  <si>
    <t>cus_S09CiW4aZ1H2QO</t>
  </si>
  <si>
    <t>in_1RHigcRoJmuqrcvm5bYWvBk7</t>
  </si>
  <si>
    <t>609F8A13-0051</t>
  </si>
  <si>
    <t>in_1R68olRoJmuqrcvmFd2zGYL8</t>
  </si>
  <si>
    <t>609F8A13-0022</t>
  </si>
  <si>
    <t>cus_Rt31uo1E7258hU</t>
  </si>
  <si>
    <t>in_1QzGwPRoJmuqrcvml4qJk6pI</t>
  </si>
  <si>
    <t>609F8A13-0003</t>
  </si>
  <si>
    <t>cus_Rt33zzlM7iMdJh</t>
  </si>
  <si>
    <t>in_1QzGyqRoJmuqrcvmL9OcjD3p</t>
  </si>
  <si>
    <t>609F8A13-0005</t>
  </si>
  <si>
    <t>in_1R68n7RoJmuqrcvmZBV6CZP9</t>
  </si>
  <si>
    <t>609F8A13-0021</t>
  </si>
  <si>
    <t>cus_RuhMhEf6VE8nZ2</t>
  </si>
  <si>
    <t>in_1R0rybRoJmuqrcvmF3Mj9eFh</t>
  </si>
  <si>
    <t>609F8A13-0006</t>
  </si>
  <si>
    <t>cus_RukX5kSs2L8EQm</t>
  </si>
  <si>
    <t>in_1R0v3XRoJmuqrcvmZouAPmZX</t>
  </si>
  <si>
    <t>609F8A13-0007</t>
  </si>
  <si>
    <t>cus_Rvc3VbPcCQNtAF</t>
  </si>
  <si>
    <t>in_1R1kpcRoJmuqrcvmMHIIMLPO</t>
  </si>
  <si>
    <t>609F8A13-0009</t>
  </si>
  <si>
    <t>cus_RvoadI7xCd6WaD</t>
  </si>
  <si>
    <t>in_1R3ycuRoJmuqrcvmCAsD74th</t>
  </si>
  <si>
    <t>609F8A13-0014</t>
  </si>
  <si>
    <t>cus_RyByEIbXMCtU5u</t>
  </si>
  <si>
    <t>in_1R4FaaRoJmuqrcvmhLI6i71S</t>
  </si>
  <si>
    <t>609F8A13-0015</t>
  </si>
  <si>
    <t>cus_SFP2BV1Ajg9xGu</t>
  </si>
  <si>
    <t>in_1SGMhkRoJmuqrcvm0NMKwLXw</t>
  </si>
  <si>
    <t>609F8A13-1088</t>
  </si>
  <si>
    <t>PAGADA</t>
  </si>
  <si>
    <t>cus_SQUiSKKPuDXVaE</t>
  </si>
  <si>
    <t>FACTURA ELECTRONICA N°2</t>
  </si>
  <si>
    <t>Nº2</t>
  </si>
  <si>
    <t>-</t>
  </si>
  <si>
    <t>SPA</t>
  </si>
  <si>
    <t>in_1R6RuiRoJmuqrcvm9s1RGEFg</t>
  </si>
  <si>
    <t>609F8A13-0024</t>
  </si>
  <si>
    <t>cus_SEu8WZUSfkZIQ0</t>
  </si>
  <si>
    <t>in_1SFyyORoJmuqrcvmVutzXe3M</t>
  </si>
  <si>
    <t>609F8A13-1081</t>
  </si>
  <si>
    <t>cus_RxsP42PbFQtO1m</t>
  </si>
  <si>
    <t>in_1R6SjMRoJmuqrcvmkZSx0AA1</t>
  </si>
  <si>
    <t>609F8A13-0028</t>
  </si>
  <si>
    <t>PAGADA, VER FACTURA</t>
  </si>
  <si>
    <t>cus_SIdVxm83QDfX8s</t>
  </si>
  <si>
    <t>in_1SFxJBRoJmuqrcvmGnmUBlkE</t>
  </si>
  <si>
    <t>609F8A13-1079</t>
  </si>
  <si>
    <t>cus_S2aqqaBMjTVSW4</t>
  </si>
  <si>
    <t>in_1R8VfNRoJmuqrcvmzUvAeSJ2</t>
  </si>
  <si>
    <t>609F8A13-0033</t>
  </si>
  <si>
    <t>cus_SGMdyqc5dg4tXE</t>
  </si>
  <si>
    <t>in_1SGQR1RoJmuqrcvmlR2G9KwB</t>
  </si>
  <si>
    <t>609F8A13-1096</t>
  </si>
  <si>
    <t>REFACTURADO</t>
  </si>
  <si>
    <t>in_1SGQKNRoJmuqrcvmwzNflcIB</t>
  </si>
  <si>
    <t>609F8A13-1095</t>
  </si>
  <si>
    <t>in_1RH6PnRoJmuqrcvmzfAs2kTK</t>
  </si>
  <si>
    <t>609F8A13-0047</t>
  </si>
  <si>
    <t>in_1RNzSsRoJmuqrcvmsy8o8GnP</t>
  </si>
  <si>
    <t>609F8A13-0095</t>
  </si>
  <si>
    <t>in_1RH6G8RoJmuqrcvmUwNhqUkw</t>
  </si>
  <si>
    <t>609F8A13-0046</t>
  </si>
  <si>
    <t>in_1R6dn8RoJmuqrcvmkwrIbnS6</t>
  </si>
  <si>
    <t>609F8A13-0029</t>
  </si>
  <si>
    <t>cus_SIZ1NC7UxSyRYC</t>
  </si>
  <si>
    <t>in_1SFxg6RoJmuqrcvmJbu0jXdX</t>
  </si>
  <si>
    <t>609F8A13-1080</t>
  </si>
  <si>
    <t>cus_S6Ke0lnMSAKumi</t>
  </si>
  <si>
    <t>in_1RC7zbRoJmuqrcvmJLP5s2dy</t>
  </si>
  <si>
    <t>609F8A13-0037</t>
  </si>
  <si>
    <t>cus_STtRtYpO9OjxTb</t>
  </si>
  <si>
    <t>in_1SFjQURoJmuqrcvmfLq04bgo</t>
  </si>
  <si>
    <t>609F8A13-1074</t>
  </si>
  <si>
    <t>cus_S84kelNd0xIdfv</t>
  </si>
  <si>
    <t>in_1RHj3xRoJmuqrcvmwYygCKUF</t>
  </si>
  <si>
    <t>609F8A13-0053</t>
  </si>
  <si>
    <t>cus_S7bTrO1dAvlJHL</t>
  </si>
  <si>
    <t>in_1RDMIXRoJmuqrcvmj0bJ4big</t>
  </si>
  <si>
    <t>609F8A13-0038</t>
  </si>
  <si>
    <t>cus_S7cVvjVUrI1zmW</t>
  </si>
  <si>
    <t>in_1RDNHBRoJmuqrcvm31qYfl5J</t>
  </si>
  <si>
    <t>609F8A13-0040</t>
  </si>
  <si>
    <t>in_1RECyDRoJmuqrcvm6hyyWFiP</t>
  </si>
  <si>
    <t>609F8A13-0045</t>
  </si>
  <si>
    <t>in_1RDMLFRoJmuqrcvmat59oL3L</t>
  </si>
  <si>
    <t>609F8A13-0039</t>
  </si>
  <si>
    <t>cus_SQVmR5zc268rQn</t>
  </si>
  <si>
    <t>FACTURA ELECTRONICA (SPA)</t>
  </si>
  <si>
    <t xml:space="preserve">Nº7 </t>
  </si>
  <si>
    <t>cus_SC7e6hiAvxPmVb</t>
  </si>
  <si>
    <t>in_1RHjRBRoJmuqrcvmKj6xgdm5</t>
  </si>
  <si>
    <t>609F8A13-0056</t>
  </si>
  <si>
    <t>cus_SQW1jxUivpNG6T</t>
  </si>
  <si>
    <t>in_1SFjY4RoJmuqrcvm3xgfGVWZ</t>
  </si>
  <si>
    <t>609F8A13-1075</t>
  </si>
  <si>
    <t>cus_S08BzOQbEjUp1e</t>
  </si>
  <si>
    <t>cus_S5r38TxnRU2Y2b</t>
  </si>
  <si>
    <t>in_1RDNIkRoJmuqrcvmuXJdQRae</t>
  </si>
  <si>
    <t>609F8A13-0041</t>
  </si>
  <si>
    <t>cus_SDME8ooz4HevMT</t>
  </si>
  <si>
    <t>in_1RJdV8RoJmuqrcvmzeaxuh1V</t>
  </si>
  <si>
    <t>609F8A13-0066</t>
  </si>
  <si>
    <t>cus_S5ntUyayMeDxcz</t>
  </si>
  <si>
    <t>in_1RDNJPRoJmuqrcvmmkYEqGYt</t>
  </si>
  <si>
    <t>609F8A13-0042</t>
  </si>
  <si>
    <t>cus_SDMJjb5I8lxNaY</t>
  </si>
  <si>
    <t>in_1RJU62RoJmuqrcvmxguTdGJQ</t>
  </si>
  <si>
    <t>609F8A13-0065</t>
  </si>
  <si>
    <t>cus_SOZkSI8LBLaPYp</t>
  </si>
  <si>
    <t>in_1SFzYMRoJmuqrcvm4ztEvP8H</t>
  </si>
  <si>
    <t>609F8A13-1082</t>
  </si>
  <si>
    <t>cus_SCdzNvMlDd20hV</t>
  </si>
  <si>
    <t>in_1RK5aZRoJmuqrcvm5E3g9ghi</t>
  </si>
  <si>
    <t>609F8A13-0067</t>
  </si>
  <si>
    <t>in_1RKQKXRoJmuqrcvmu3g6VMcs</t>
  </si>
  <si>
    <t>609F8A13-0068</t>
  </si>
  <si>
    <t>in_1RNzUBRoJmuqrcvmUwwNMkSg</t>
  </si>
  <si>
    <t>609F8A13-0096</t>
  </si>
  <si>
    <t>in_1RKSjLRoJmuqrcvm9QDIbysz</t>
  </si>
  <si>
    <t>609F8A13-0073</t>
  </si>
  <si>
    <t>in_1ROSYhRoJmuqrcvmtSUhctNQ</t>
  </si>
  <si>
    <t>609F8A13-0111</t>
  </si>
  <si>
    <t>in_1RLjTuRoJmuqrcvmbPVpO8mJ</t>
  </si>
  <si>
    <t>609F8A13-0080</t>
  </si>
  <si>
    <t>in_1RKSlSRoJmuqrcvmFZuQOFRQ</t>
  </si>
  <si>
    <t>609F8A13-0075</t>
  </si>
  <si>
    <t>cus_SGmLBnW2c56rpO</t>
  </si>
  <si>
    <t>in_1RMEmbRoJmuqrcvmASWL5NGy</t>
  </si>
  <si>
    <t>609F8A13-0085</t>
  </si>
  <si>
    <t>cus_SFOITbctSJFhyH</t>
  </si>
  <si>
    <t>in_1RMWMvRoJmuqrcvmmVM4hqPl</t>
  </si>
  <si>
    <t>609F8A13-0086</t>
  </si>
  <si>
    <t>in_1RRFkDRoJmuqrcvmJobUAjcf</t>
  </si>
  <si>
    <t>609F8A13-0121</t>
  </si>
  <si>
    <t>cus_SHCVHxygLifYWs</t>
  </si>
  <si>
    <t>in_1RORcIRoJmuqrcvmzXeHIG9U</t>
  </si>
  <si>
    <t>609F8A13-0108</t>
  </si>
  <si>
    <t>cus_SHCavHHwuDiTus</t>
  </si>
  <si>
    <t>in_1RORcsRoJmuqrcvmFKC5n8yH</t>
  </si>
  <si>
    <t>609F8A13-0109</t>
  </si>
  <si>
    <t>in_1RNxt0RoJmuqrcvm0RDGf7eS</t>
  </si>
  <si>
    <t>609F8A13-0093</t>
  </si>
  <si>
    <t>in_1ROFnfRoJmuqrcvmmFjk02lh</t>
  </si>
  <si>
    <t>609F8A13-0102</t>
  </si>
  <si>
    <t>in_1ROebbRoJmuqrcvmjluQ0lBu</t>
  </si>
  <si>
    <t>609F8A13-0112</t>
  </si>
  <si>
    <t>in_1ROGB6RoJmuqrcvmBOiugxGB</t>
  </si>
  <si>
    <t>609F8A13-0104</t>
  </si>
  <si>
    <t>in_1RORw3RoJmuqrcvmtdtpG6DE</t>
  </si>
  <si>
    <t>609F8A13-0110</t>
  </si>
  <si>
    <t>cus_SJN5J6mrMLzSKH</t>
  </si>
  <si>
    <t>in_1ROkLURoJmuqrcvmCIrqgDod</t>
  </si>
  <si>
    <t>609F8A13-0114</t>
  </si>
  <si>
    <t>in_1RNykzRoJmuqrcvmLLm11FRZ</t>
  </si>
  <si>
    <t>609F8A13-0094</t>
  </si>
  <si>
    <t>cus_SKQPf6AWvDTvTr</t>
  </si>
  <si>
    <t>in_1RPlcvRoJmuqrcvmVHdw4jjn</t>
  </si>
  <si>
    <t>609F8A13-0119</t>
  </si>
  <si>
    <t>cus_SMMvPTEiKu6OHd</t>
  </si>
  <si>
    <t>in_1RT3ZfRoJmuqrcvm0WIeDlve</t>
  </si>
  <si>
    <t>609F8A13-0123</t>
  </si>
  <si>
    <t>cus_SNrvqtT2bSUDF9</t>
  </si>
  <si>
    <t>in_1RT6BbRoJmuqrcvm519Pwm8c</t>
  </si>
  <si>
    <t>609F8A13-0124</t>
  </si>
  <si>
    <t>in_1RTaIYRoJmuqrcvm7RQH22Pf</t>
  </si>
  <si>
    <t>609F8A13-0126</t>
  </si>
  <si>
    <t>cus_SOEygzDGajBK9v</t>
  </si>
  <si>
    <t>in_1RTSVYRoJmuqrcvmV2wk5I9i</t>
  </si>
  <si>
    <t>609F8A13-0125</t>
  </si>
  <si>
    <t>cus_SP2B1r0TgtPz1w</t>
  </si>
  <si>
    <t>in_1RUE6xRoJmuqrcvmhlvAe0QR</t>
  </si>
  <si>
    <t>609F8A13-0137</t>
  </si>
  <si>
    <t>in_1RTmj1RoJmuqrcvmzp4K5Y73</t>
  </si>
  <si>
    <t>609F8A13-0130</t>
  </si>
  <si>
    <t>cus_SOsRZ0Ak9uzqpy</t>
  </si>
  <si>
    <t>in_1RUEFIRoJmuqrcvm8X5kDJ68</t>
  </si>
  <si>
    <t>609F8A13-0138</t>
  </si>
  <si>
    <t>in_1RTmvDRoJmuqrcvmK84mIvYD</t>
  </si>
  <si>
    <t>609F8A13-0131</t>
  </si>
  <si>
    <t>cus_SPL703WE0PAL1e</t>
  </si>
  <si>
    <t>in_1RUWRmRoJmuqrcvmBdOczzS0</t>
  </si>
  <si>
    <t>609F8A13-0140</t>
  </si>
  <si>
    <t>cus_SQMpVCvFPUlaiP</t>
  </si>
  <si>
    <t>cus_SePa4CmhfuM7x7</t>
  </si>
  <si>
    <t>in_1RvKNhRoJmuqrcvmM3ZVXBZi</t>
  </si>
  <si>
    <t>609F8A13-0597</t>
  </si>
  <si>
    <t>cus_SQstrNXt0fBsLY</t>
  </si>
  <si>
    <t>in_1RWJhWRoJmuqrcvmuTCVxZSc</t>
  </si>
  <si>
    <t>609F8A13-0164</t>
  </si>
  <si>
    <t>cus_SRBo1EaBdSQkmt</t>
  </si>
  <si>
    <t>in_1RWJRKRoJmuqrcvmyAhrbefV</t>
  </si>
  <si>
    <t>609F8A13-0162</t>
  </si>
  <si>
    <t>in_1RVcOQRoJmuqrcvmHAmEx63d</t>
  </si>
  <si>
    <t>609F8A13-0142</t>
  </si>
  <si>
    <t>in_1RVez1RoJmuqrcvmR7XuQceX</t>
  </si>
  <si>
    <t>609F8A13-0155</t>
  </si>
  <si>
    <t>in_1RVeSwRoJmuqrcvmBeNrq3Zg</t>
  </si>
  <si>
    <t>609F8A13-0151</t>
  </si>
  <si>
    <t>in_1RVcTuRoJmuqrcvmPcOaIbe8</t>
  </si>
  <si>
    <t>609F8A13-0143</t>
  </si>
  <si>
    <t>FACTURA ELECTRONICA Nº15</t>
  </si>
  <si>
    <t>Nº15</t>
  </si>
  <si>
    <t>in_1RVd5ERoJmuqrcvm5v7qZ8Qz</t>
  </si>
  <si>
    <t>609F8A13-0144</t>
  </si>
  <si>
    <t>in_1RVe80RoJmuqrcvmKDbgrylP</t>
  </si>
  <si>
    <t>609F8A13-0149</t>
  </si>
  <si>
    <t>in_1RVdMfRoJmuqrcvmL4Snd6fF</t>
  </si>
  <si>
    <t>609F8A13-0146</t>
  </si>
  <si>
    <t>in_1RVd89RoJmuqrcvmVJGG5WjW</t>
  </si>
  <si>
    <t>609F8A13-0145</t>
  </si>
  <si>
    <t>in_1RVeFSRoJmuqrcvmllq8DinA</t>
  </si>
  <si>
    <t>609F8A13-0150</t>
  </si>
  <si>
    <t>in_1RVelDRoJmuqrcvmRLNQ7qV8</t>
  </si>
  <si>
    <t>609F8A13-0154</t>
  </si>
  <si>
    <t>in_1RVeXZRoJmuqrcvmpVwdTgfm</t>
  </si>
  <si>
    <t>609F8A13-0152</t>
  </si>
  <si>
    <t>in_1RX1RvRoJmuqrcvmP4Ozt7X9</t>
  </si>
  <si>
    <t>609F8A13-0167</t>
  </si>
  <si>
    <t>in_1RXm4TRoJmuqrcvmRMN11hOG</t>
  </si>
  <si>
    <t>609F8A13-0173</t>
  </si>
  <si>
    <t>in_1RXMugRoJmuqrcvmsa7iorhu</t>
  </si>
  <si>
    <t>609F8A13-0170</t>
  </si>
  <si>
    <t>cus_SSL3otIjaRUHIq</t>
  </si>
  <si>
    <t>in_1RXQOBRoJmuqrcvmvgEJBNsa</t>
  </si>
  <si>
    <t>609F8A13-0171</t>
  </si>
  <si>
    <t>cus_SK1fMA9TeuQRNX</t>
  </si>
  <si>
    <t>PAGADO EN DIFERENTES TRANSF CLP</t>
  </si>
  <si>
    <t>cus_STXoz7uQm7LW0W</t>
  </si>
  <si>
    <t>in_1RYo0ERoJmuqrcvmEy66srEP</t>
  </si>
  <si>
    <t>609F8A13-0181</t>
  </si>
  <si>
    <t>cus_STXkUZI4ngRiE7</t>
  </si>
  <si>
    <t>in_1RYafRRoJmuqrcvmBaufvjSc</t>
  </si>
  <si>
    <t>609F8A13-0178</t>
  </si>
  <si>
    <t>cus_SUBAkUGnum0a3v</t>
  </si>
  <si>
    <t>in_1RdAffRoJmuqrcvmjoooz3JT</t>
  </si>
  <si>
    <t>609F8A13-0238</t>
  </si>
  <si>
    <t>in_1RYsz3RoJmuqrcvmOrqbUhKv</t>
  </si>
  <si>
    <t>609F8A13-0183</t>
  </si>
  <si>
    <t>cus_SU9nLlZ4YRmIjC</t>
  </si>
  <si>
    <t>in_1RZBTeRoJmuqrcvm9OctvHUD</t>
  </si>
  <si>
    <t>609F8A13-0190</t>
  </si>
  <si>
    <t>cus_SUIMaeoWdC6nnd</t>
  </si>
  <si>
    <t>in_1RZJm5RoJmuqrcvmjR3UpPmb</t>
  </si>
  <si>
    <t>609F8A13-0197</t>
  </si>
  <si>
    <t>in_1RZf6aRoJmuqrcvmzzVHx7PE</t>
  </si>
  <si>
    <t>609F8A13-0202</t>
  </si>
  <si>
    <t>in_1RaL9wRoJmuqrcvmEx5yfu7I</t>
  </si>
  <si>
    <t>609F8A13-0206</t>
  </si>
  <si>
    <t>in_1RaLP9RoJmuqrcvmQNHxPBhZ</t>
  </si>
  <si>
    <t>609F8A13-0211</t>
  </si>
  <si>
    <t>in_1RaLIzRoJmuqrcvmonHIlTBW</t>
  </si>
  <si>
    <t>609F8A13-0208</t>
  </si>
  <si>
    <t>in_1RaLRQRoJmuqrcvmOL1Lg2fK</t>
  </si>
  <si>
    <t>609F8A13-0212</t>
  </si>
  <si>
    <t>in_1RaLNNRoJmuqrcvmipVWXAuV</t>
  </si>
  <si>
    <t>609F8A13-0210</t>
  </si>
  <si>
    <t>in_1RaLEmRoJmuqrcvmY7G3pZGJ</t>
  </si>
  <si>
    <t>609F8A13-0207</t>
  </si>
  <si>
    <t>cus_SVoXmIxT9fDw6u</t>
  </si>
  <si>
    <t>in_1RamuMRoJmuqrcvmjp70Cbm5</t>
  </si>
  <si>
    <t>609F8A13-0220</t>
  </si>
  <si>
    <t>in_1RaLTaRoJmuqrcvmx5ocwi24</t>
  </si>
  <si>
    <t>609F8A13-0213</t>
  </si>
  <si>
    <t>in_1Rd2c5RoJmuqrcvmqS0NBU9e</t>
  </si>
  <si>
    <t>609F8A13-0237</t>
  </si>
  <si>
    <t>in_1Rd2aSRoJmuqrcvmAwsrWYaO</t>
  </si>
  <si>
    <t>609F8A13-0236</t>
  </si>
  <si>
    <t>CUOTAS AJUSTADAS A MES DE NO PAGO Y ENVIO DOCS</t>
  </si>
  <si>
    <t>in_1RdDnhRoJmuqrcvmyI75AhW0</t>
  </si>
  <si>
    <t>609F8A13-0240</t>
  </si>
  <si>
    <t>cus_SXPnDIuHFs46uk</t>
  </si>
  <si>
    <t>in_1RcKyGRoJmuqrcvmjIMsNeFW</t>
  </si>
  <si>
    <t>609F8A13-0235</t>
  </si>
  <si>
    <t>in_1RdDeURoJmuqrcvmgvI7peQ8</t>
  </si>
  <si>
    <t>609F8A13-0239</t>
  </si>
  <si>
    <t>cus_SP88Nga0DImq1I</t>
  </si>
  <si>
    <t>in_1RdhASRoJmuqrcvmRxPqOyq1</t>
  </si>
  <si>
    <t>609F8A13-0242</t>
  </si>
  <si>
    <t>in_1RdhM1RoJmuqrcvmaQBylVQO</t>
  </si>
  <si>
    <t>609F8A13-0243</t>
  </si>
  <si>
    <t>cus_SZY8kvYOP3La0z</t>
  </si>
  <si>
    <t>in_1ReP4pRoJmuqrcvm3pNSo19x</t>
  </si>
  <si>
    <t>609F8A13-0255</t>
  </si>
  <si>
    <t>in_1Rf4CHRoJmuqrcvmi5zqEZGq</t>
  </si>
  <si>
    <t>609F8A13-0261</t>
  </si>
  <si>
    <t>in_1Rf4E3RoJmuqrcvmmp4eMKmV</t>
  </si>
  <si>
    <t>609F8A13-0262</t>
  </si>
  <si>
    <t>in_1RdkQLRoJmuqrcvmWw3auqBD</t>
  </si>
  <si>
    <t>609F8A13-0245</t>
  </si>
  <si>
    <t>in_1Rfw3xRoJmuqrcvmfxDnM7Gb</t>
  </si>
  <si>
    <t>609F8A13-0267</t>
  </si>
  <si>
    <t>in_1RdknvRoJmuqrcvmsIG2BqmJ</t>
  </si>
  <si>
    <t>609F8A13-0250</t>
  </si>
  <si>
    <t>cus_SZsKen0VaeQo3Z</t>
  </si>
  <si>
    <t>in_1Reia2RoJmuqrcvmy9ZuYzNr</t>
  </si>
  <si>
    <t>609F8A13-0260</t>
  </si>
  <si>
    <t>in_1RfoDGRoJmuqrcvmQkRUQg6D</t>
  </si>
  <si>
    <t>609F8A13-0266</t>
  </si>
  <si>
    <t>cus_SYrv2qp5pZQONb</t>
  </si>
  <si>
    <t>in_1RdkC2RoJmuqrcvmX2kjQ2om</t>
  </si>
  <si>
    <t>609F8A13-0244</t>
  </si>
  <si>
    <t>in_1RdkXXRoJmuqrcvmjgBkcHZ7</t>
  </si>
  <si>
    <t>609F8A13-0246</t>
  </si>
  <si>
    <t>in_1RdkmKRoJmuqrcvmlYqCQSiv</t>
  </si>
  <si>
    <t>609F8A13-0249</t>
  </si>
  <si>
    <t>in_1Rfw50RoJmuqrcvmNlHBpmvn</t>
  </si>
  <si>
    <t>609F8A13-0269</t>
  </si>
  <si>
    <t>in_1RgbV5RoJmuqrcvmT9mPNThj</t>
  </si>
  <si>
    <t>609F8A13-0281</t>
  </si>
  <si>
    <t>in_1RgbW8RoJmuqrcvmCRGBKT5B</t>
  </si>
  <si>
    <t>609F8A13-0282</t>
  </si>
  <si>
    <t>in_1Rg9JsRoJmuqrcvmlenkXVuV</t>
  </si>
  <si>
    <t>609F8A13-0273</t>
  </si>
  <si>
    <t>in_1RgFs6RoJmuqrcvmJVKLN3JY</t>
  </si>
  <si>
    <t>609F8A13-0275</t>
  </si>
  <si>
    <t>cus_Sc8teOUm0JlUJX</t>
  </si>
  <si>
    <t>in_1RguboRoJmuqrcvmuztg4y0A</t>
  </si>
  <si>
    <t>609F8A13-0286</t>
  </si>
  <si>
    <t>in_1Rh2wWRoJmuqrcvmUjehfRmp</t>
  </si>
  <si>
    <t>609F8A13-0290</t>
  </si>
  <si>
    <t>in_1RaiD6RoJmuqrcvmhbhZyh8V</t>
  </si>
  <si>
    <t>609F8A13-0218</t>
  </si>
  <si>
    <t>in_1Rh2ofRoJmuqrcvm6IgxD4RX</t>
  </si>
  <si>
    <t>609F8A13-0287</t>
  </si>
  <si>
    <t>in_1RhAQkRoJmuqrcvmVmmrX78z</t>
  </si>
  <si>
    <t>609F8A13-0302</t>
  </si>
  <si>
    <t>in_1RhsVmRoJmuqrcvmotCYjjpt</t>
  </si>
  <si>
    <t>609F8A13-0310</t>
  </si>
  <si>
    <t>in_1Rh2uCRoJmuqrcvm3RMfnPD3</t>
  </si>
  <si>
    <t>609F8A13-0289</t>
  </si>
  <si>
    <t>in_1Rh3DdRoJmuqrcvmEoAoDjI0</t>
  </si>
  <si>
    <t>609F8A13-0296</t>
  </si>
  <si>
    <t>in_1Rh2rjRoJmuqrcvmaNrPFrmh</t>
  </si>
  <si>
    <t>609F8A13-0288</t>
  </si>
  <si>
    <t>in_1Rh3KxRoJmuqrcvm8WAMgSF4</t>
  </si>
  <si>
    <t>609F8A13-0300</t>
  </si>
  <si>
    <t>in_1RhsUZRoJmuqrcvm4AE5qV5D</t>
  </si>
  <si>
    <t>609F8A13-0308</t>
  </si>
  <si>
    <t>in_1SGNnzRoJmuqrcvmdAYJGOEz</t>
  </si>
  <si>
    <t>609F8A13-1092</t>
  </si>
  <si>
    <t>CUOTA JUNIO Y JULIO</t>
  </si>
  <si>
    <t>in_1Rh36ORoJmuqrcvmMJShkeDa</t>
  </si>
  <si>
    <t>609F8A13-0294</t>
  </si>
  <si>
    <t>in_1Rh3HORoJmuqrcvmeDuZPdT4</t>
  </si>
  <si>
    <t>609F8A13-0298</t>
  </si>
  <si>
    <t>in_1RhsVARoJmuqrcvmR5lIk8gY</t>
  </si>
  <si>
    <t>609F8A13-0309</t>
  </si>
  <si>
    <t>in_1RgGeSRoJmuqrcvmXe0iz77f</t>
  </si>
  <si>
    <t>609F8A13-0277</t>
  </si>
  <si>
    <t>cus_Sbo3TFW6CYLWZN</t>
  </si>
  <si>
    <t>in_1RhounRoJmuqrcvmofudZEiB</t>
  </si>
  <si>
    <t>609F8A13-0305</t>
  </si>
  <si>
    <t>cus_SdcX2ZFekZQO1p</t>
  </si>
  <si>
    <t>in_1RiLI6RoJmuqrcvmIuxtnjWL</t>
  </si>
  <si>
    <t>609F8A13-0319</t>
  </si>
  <si>
    <t>cus_SdZ8tnlcLrCzDp</t>
  </si>
  <si>
    <t>in_1RiI1URoJmuqrcvmRhArBi63</t>
  </si>
  <si>
    <t>609F8A13-0316</t>
  </si>
  <si>
    <t>cus_SdeHjb9th4MwFi</t>
  </si>
  <si>
    <t>in_1Rj6aLRoJmuqrcvmKhueJvsa</t>
  </si>
  <si>
    <t>609F8A13-0329</t>
  </si>
  <si>
    <t>in_1RiFqQRoJmuqrcvmZPrloC2R</t>
  </si>
  <si>
    <t>609F8A13-0315</t>
  </si>
  <si>
    <t>cus_SdbrmAR2AbOPL6</t>
  </si>
  <si>
    <t>in_1RiKeDRoJmuqrcvmpb2Nkt2j</t>
  </si>
  <si>
    <t>609F8A13-0318</t>
  </si>
  <si>
    <t>in_1RiJ7sRoJmuqrcvmst58capV</t>
  </si>
  <si>
    <t>609F8A13-0317</t>
  </si>
  <si>
    <t>cus_SbItg91w8mwn9o</t>
  </si>
  <si>
    <t>in_1RiRaBRoJmuqrcvm6YEmAKoO</t>
  </si>
  <si>
    <t>609F8A13-0321</t>
  </si>
  <si>
    <t>in_1Rj6fZRoJmuqrcvmFyhTv2Ec</t>
  </si>
  <si>
    <t>609F8A13-0330</t>
  </si>
  <si>
    <t>cus_Seg3NFjBvXti8w</t>
  </si>
  <si>
    <t>in_1RjMhmRoJmuqrcvmbV24w3uj</t>
  </si>
  <si>
    <t>609F8A13-0336</t>
  </si>
  <si>
    <t>cus_Sdz4UtUgv8iDbw</t>
  </si>
  <si>
    <t>in_1Rih6FRoJmuqrcvmFukytGpu</t>
  </si>
  <si>
    <t>609F8A13-0326</t>
  </si>
  <si>
    <t>in_1Rj7YFRoJmuqrcvmbFFwwP6C</t>
  </si>
  <si>
    <t>609F8A13-0333</t>
  </si>
  <si>
    <t>in_1Rj6lJRoJmuqrcvmKWB1Mvaq</t>
  </si>
  <si>
    <t>609F8A13-0331</t>
  </si>
  <si>
    <t>in_1RkLRNRoJmuqrcvm9Mz6ECud</t>
  </si>
  <si>
    <t>609F8A13-0341</t>
  </si>
  <si>
    <t>in_1RlEwVRoJmuqrcvmOqAkSK8j</t>
  </si>
  <si>
    <t>609F8A13-0362</t>
  </si>
  <si>
    <t>cus_SgFC3AI1VvZpOS</t>
  </si>
  <si>
    <t>in_1Rksi0RoJmuqrcvmPwxk4jnL</t>
  </si>
  <si>
    <t>609F8A13-0354</t>
  </si>
  <si>
    <t>in_1RjQr3RoJmuqrcvmoLpZHocR</t>
  </si>
  <si>
    <t>609F8A13-0339</t>
  </si>
  <si>
    <t>cus_SdUsSLIDfkjwn5</t>
  </si>
  <si>
    <t>in_1RkrKFRoJmuqrcvm9zTth3FZ</t>
  </si>
  <si>
    <t>609F8A13-0352</t>
  </si>
  <si>
    <t>in_1RkdpeRoJmuqrcvmuE9fQLRY</t>
  </si>
  <si>
    <t>609F8A13-0345</t>
  </si>
  <si>
    <t>in_1RkdwjRoJmuqrcvmuCKsqpxZ</t>
  </si>
  <si>
    <t>609F8A13-0347</t>
  </si>
  <si>
    <t>in_1RkdzxRoJmuqrcvmAC96GZo5</t>
  </si>
  <si>
    <t>609F8A13-0348</t>
  </si>
  <si>
    <t>in_1Rke7oRoJmuqrcvmKU5PfLOC</t>
  </si>
  <si>
    <t>609F8A13-0350</t>
  </si>
  <si>
    <t>in_1RlDQqRoJmuqrcvmasA1DNyI</t>
  </si>
  <si>
    <t>609F8A13-0360</t>
  </si>
  <si>
    <t>in_1Rlw0yRoJmuqrcvm3no41BtK</t>
  </si>
  <si>
    <t>609F8A13-0368</t>
  </si>
  <si>
    <t>in_1Rm6I8RoJmuqrcvmKlmSm0a9</t>
  </si>
  <si>
    <t>609F8A13-0374</t>
  </si>
  <si>
    <t>cus_Shk3Ja2K1WNBXG</t>
  </si>
  <si>
    <t>in_1RmMabRoJmuqrcvmlME9M6B0</t>
  </si>
  <si>
    <t>609F8A13-0377</t>
  </si>
  <si>
    <t>in_1RnoMqRoJmuqrcvm4DrtcEhG</t>
  </si>
  <si>
    <t>609F8A13-0407</t>
  </si>
  <si>
    <t>in_1RnXRQRoJmuqrcvmXn6QOZfH</t>
  </si>
  <si>
    <t>609F8A13-0401</t>
  </si>
  <si>
    <t>in_1RoYLyRoJmuqrcvmNP9dV9iK</t>
  </si>
  <si>
    <t>609F8A13-0429</t>
  </si>
  <si>
    <t>in_1RoZmvRoJmuqrcvmQw5on0DT</t>
  </si>
  <si>
    <t>609F8A13-0433</t>
  </si>
  <si>
    <t>in_1RoYFARoJmuqrcvmVQnzP8cc</t>
  </si>
  <si>
    <t>609F8A13-0427</t>
  </si>
  <si>
    <t>in_1RoYimRoJmuqrcvm8i54UUGW</t>
  </si>
  <si>
    <t>609F8A13-0430</t>
  </si>
  <si>
    <t>cus_SkHXAiyZUOrs3K</t>
  </si>
  <si>
    <t>in_1RomyIRoJmuqrcvmDesC6J2x</t>
  </si>
  <si>
    <t>609F8A13-0436</t>
  </si>
  <si>
    <t>cus_SjemITuTvZFovs</t>
  </si>
  <si>
    <t>in_1Rp18PRoJmuqrcvmwEJKNVXk</t>
  </si>
  <si>
    <t>609F8A13-0445</t>
  </si>
  <si>
    <t>in_1RoZGMRoJmuqrcvm2vnOAHYa</t>
  </si>
  <si>
    <t>609F8A13-0432</t>
  </si>
  <si>
    <t>cus_SkIrEOnKgaa4X8</t>
  </si>
  <si>
    <t>in_1RooFhRoJmuqrcvmZvWgC1aW</t>
  </si>
  <si>
    <t>609F8A13-0438</t>
  </si>
  <si>
    <t>cus_Slo3lvyPZLUFdz</t>
  </si>
  <si>
    <t>in_1RqGRJRoJmuqrcvmL0w4m4Dt</t>
  </si>
  <si>
    <t>609F8A13-0479</t>
  </si>
  <si>
    <t>cus_SlQ0EQUIMXMfUL</t>
  </si>
  <si>
    <t>in_1RqFe1RoJmuqrcvmnR7XkTqL</t>
  </si>
  <si>
    <t>609F8A13-0478</t>
  </si>
  <si>
    <t>in_1RpkCtRoJmuqrcvmV7uRvIsf</t>
  </si>
  <si>
    <t>609F8A13-0465</t>
  </si>
  <si>
    <t>cus_SlTIHNMBz39ONU</t>
  </si>
  <si>
    <t>in_1RpwLtRoJmuqrcvmGvLF1COw</t>
  </si>
  <si>
    <t>609F8A13-0470</t>
  </si>
  <si>
    <t>cus_SlQ8HxJrKOlZo8</t>
  </si>
  <si>
    <t>in_1RptHnRoJmuqrcvmgNRYgJd3</t>
  </si>
  <si>
    <t>609F8A13-0469</t>
  </si>
  <si>
    <t>cus_SgyrtL3mCbisZ2</t>
  </si>
  <si>
    <t>in_1RqHnpRoJmuqrcvmEzWZ1pUj</t>
  </si>
  <si>
    <t>609F8A13-0480</t>
  </si>
  <si>
    <t>in_1RqyeRRoJmuqrcvmq4Ygt59T</t>
  </si>
  <si>
    <t>609F8A13-0504</t>
  </si>
  <si>
    <t>in_1RqyonRoJmuqrcvmrWo3Ondi</t>
  </si>
  <si>
    <t>609F8A13-0505</t>
  </si>
  <si>
    <t>in_1RqZnuRoJmuqrcvmPfeSRIKt</t>
  </si>
  <si>
    <t>609F8A13-0488</t>
  </si>
  <si>
    <t>in_1RnM5TRoJmuqrcvm1Sy8J3aJ</t>
  </si>
  <si>
    <t>609F8A13-0394</t>
  </si>
  <si>
    <t>in_1RqaUDRoJmuqrcvmR1lv773G</t>
  </si>
  <si>
    <t>609F8A13-0490</t>
  </si>
  <si>
    <t>in_1RpjihRoJmuqrcvmGVDdUtZp</t>
  </si>
  <si>
    <t>609F8A13-0453</t>
  </si>
  <si>
    <t>in_1RpjrARoJmuqrcvms0Q3F77M</t>
  </si>
  <si>
    <t>609F8A13-0459</t>
  </si>
  <si>
    <t>in_1RqcLgRoJmuqrcvmikTrmpbf</t>
  </si>
  <si>
    <t>609F8A13-0493</t>
  </si>
  <si>
    <t>in_1RqyMRRoJmuqrcvmUgNTjmSP</t>
  </si>
  <si>
    <t>609F8A13-0503</t>
  </si>
  <si>
    <t>in_1RpjqQRoJmuqrcvmKqWyxbRo</t>
  </si>
  <si>
    <t>609F8A13-0458</t>
  </si>
  <si>
    <t>in_1RpjghRoJmuqrcvm8qFac6Ga</t>
  </si>
  <si>
    <t>609F8A13-0452</t>
  </si>
  <si>
    <t>in_1RqcHVRoJmuqrcvm3zdgHZRX</t>
  </si>
  <si>
    <t>609F8A13-0492</t>
  </si>
  <si>
    <t>in_1RpjdgRoJmuqrcvmHmm7C1dM</t>
  </si>
  <si>
    <t>609F8A13-0449</t>
  </si>
  <si>
    <t>in_1RqjipRoJmuqrcvmIK6uoZAq</t>
  </si>
  <si>
    <t>609F8A13-0494</t>
  </si>
  <si>
    <t>in_1RqkRORoJmuqrcvmnxABRftE</t>
  </si>
  <si>
    <t>609F8A13-0498</t>
  </si>
  <si>
    <t>cus_SmIlmwOgZQNERU</t>
  </si>
  <si>
    <t>in_1RqkANRoJmuqrcvmiBPtZxR5</t>
  </si>
  <si>
    <t>609F8A13-0497</t>
  </si>
  <si>
    <t>in_1Rpjt6RoJmuqrcvmk1Tn0AIq</t>
  </si>
  <si>
    <t>609F8A13-0460</t>
  </si>
  <si>
    <t>in_1RpjwERoJmuqrcvmMVYR48ad</t>
  </si>
  <si>
    <t>609F8A13-0461</t>
  </si>
  <si>
    <t>in_1RpjxIRoJmuqrcvmObZrHBLu</t>
  </si>
  <si>
    <t>609F8A13-0462</t>
  </si>
  <si>
    <t>in_1RqZ6DRoJmuqrcvmc4t67YP8</t>
  </si>
  <si>
    <t>609F8A13-0486</t>
  </si>
  <si>
    <t>in_1RqZ82RoJmuqrcvmHPySCtJy</t>
  </si>
  <si>
    <t>609F8A13-0487</t>
  </si>
  <si>
    <t>cus_SlPu9um7xVteeA</t>
  </si>
  <si>
    <t>in_1RqwH7RoJmuqrcvmajcL7SdR</t>
  </si>
  <si>
    <t>609F8A13-0502</t>
  </si>
  <si>
    <t>cus_SkHQMSC0M81uyU</t>
  </si>
  <si>
    <t>in_1Rqk08RoJmuqrcvmIB5QFslc</t>
  </si>
  <si>
    <t>609F8A13-0496</t>
  </si>
  <si>
    <t>in_1RpjzgRoJmuqrcvmIXD57GRc</t>
  </si>
  <si>
    <t>609F8A13-0463</t>
  </si>
  <si>
    <t>cus_SlVYyoy14GSXat</t>
  </si>
  <si>
    <t>in_1Rr4PmRoJmuqrcvm0RuHui6v</t>
  </si>
  <si>
    <t>609F8A13-0507</t>
  </si>
  <si>
    <t>in_1Rr1ZaRoJmuqrcvmoM82AkuS</t>
  </si>
  <si>
    <t>609F8A13-0506</t>
  </si>
  <si>
    <t>in_1Rr8EoRoJmuqrcvmSBCxuj5w</t>
  </si>
  <si>
    <t>609F8A13-0509</t>
  </si>
  <si>
    <t>in_1RrpY9RoJmuqrcvmjYgThJ99</t>
  </si>
  <si>
    <t>609F8A13-0516</t>
  </si>
  <si>
    <t>in_1RtOTARoJmuqrcvmqATJPRaG</t>
  </si>
  <si>
    <t>609F8A13-0569</t>
  </si>
  <si>
    <t>in_1RrpqaRoJmuqrcvmw9ZqmvBs</t>
  </si>
  <si>
    <t>609F8A13-0518</t>
  </si>
  <si>
    <t>in_1Rs8hARoJmuqrcvmXeFCS5rb</t>
  </si>
  <si>
    <t>609F8A13-0526</t>
  </si>
  <si>
    <t>in_1RssZoRoJmuqrcvmrSnsuSRc</t>
  </si>
  <si>
    <t>609F8A13-0551</t>
  </si>
  <si>
    <t>in_1Rs93eRoJmuqrcvm1rkq07tB</t>
  </si>
  <si>
    <t>609F8A13-0532</t>
  </si>
  <si>
    <t>in_1Rs8mSRoJmuqrcvm2goxvVaY</t>
  </si>
  <si>
    <t>609F8A13-0529</t>
  </si>
  <si>
    <t>in_1Rs8fPRoJmuqrcvmphefDVIU</t>
  </si>
  <si>
    <t>609F8A13-0525</t>
  </si>
  <si>
    <t>in_1RsgYNRoJmuqrcvmysvwcrFH</t>
  </si>
  <si>
    <t>609F8A13-0547</t>
  </si>
  <si>
    <t>in_1RrqXdRoJmuqrcvmq42GP7xq</t>
  </si>
  <si>
    <t>609F8A13-0520</t>
  </si>
  <si>
    <t>in_1RrqZNRoJmuqrcvmtcS8PsY7</t>
  </si>
  <si>
    <t>609F8A13-0521</t>
  </si>
  <si>
    <t>in_1RstR9RoJmuqrcvmaTG7Uf07</t>
  </si>
  <si>
    <t>609F8A13-0556</t>
  </si>
  <si>
    <t>in_1Rs8j8RoJmuqrcvmAlqhzQPz</t>
  </si>
  <si>
    <t>609F8A13-0527</t>
  </si>
  <si>
    <t>in_1RussRRoJmuqrcvm5NCyrSa1</t>
  </si>
  <si>
    <t>609F8A13-0584</t>
  </si>
  <si>
    <t>in_1RstgARoJmuqrcvmw4TTAf4G</t>
  </si>
  <si>
    <t>609F8A13-0559</t>
  </si>
  <si>
    <t>in_1RstKIRoJmuqrcvmJvGBi30K</t>
  </si>
  <si>
    <t>609F8A13-0555</t>
  </si>
  <si>
    <t>in_1RstDsRoJmuqrcvm44JbaG49</t>
  </si>
  <si>
    <t>609F8A13-0554</t>
  </si>
  <si>
    <t>in_1Rs97GRoJmuqrcvmFaNSgXFW</t>
  </si>
  <si>
    <t>609F8A13-0534</t>
  </si>
  <si>
    <t>in_1RssMzRoJmuqrcvmWDJrJKFj</t>
  </si>
  <si>
    <t>609F8A13-0550</t>
  </si>
  <si>
    <t>in_1Rssq3RoJmuqrcvmRvJZo7JZ</t>
  </si>
  <si>
    <t>609F8A13-0553</t>
  </si>
  <si>
    <t>in_1RvEpURoJmuqrcvmsLGqhJWL</t>
  </si>
  <si>
    <t>609F8A13-0594</t>
  </si>
  <si>
    <t>TRANSFERENCIA 06/08/2025</t>
  </si>
  <si>
    <t>in_1RstxdRoJmuqrcvmE1lsqL3i</t>
  </si>
  <si>
    <t>609F8A13-0561</t>
  </si>
  <si>
    <t>in_1RtVYsRoJmuqrcvmk7kkJzyA</t>
  </si>
  <si>
    <t>609F8A13-0572</t>
  </si>
  <si>
    <t>in_1RuYU2RoJmuqrcvmocChP7Qp</t>
  </si>
  <si>
    <t>609F8A13-0575</t>
  </si>
  <si>
    <t>in_1RxPXxRoJmuqrcvmITgeAnhu</t>
  </si>
  <si>
    <t>609F8A13-0634</t>
  </si>
  <si>
    <t>in_1RuYWlRoJmuqrcvmKX1WyY5P</t>
  </si>
  <si>
    <t>609F8A13-0577</t>
  </si>
  <si>
    <t>in_1Rv0RqRoJmuqrcvm3WxTa3EB</t>
  </si>
  <si>
    <t>609F8A13-0587</t>
  </si>
  <si>
    <t>in_1Rv0n8RoJmuqrcvmLTNDRES0</t>
  </si>
  <si>
    <t>609F8A13-0589</t>
  </si>
  <si>
    <t>in_1RvJXSRoJmuqrcvmYdoDURah</t>
  </si>
  <si>
    <t>609F8A13-0596</t>
  </si>
  <si>
    <t>in_1RxNT6RoJmuqrcvmvQhSlRrF</t>
  </si>
  <si>
    <t>609F8A13-0629</t>
  </si>
  <si>
    <t>in_1Rurs3RoJmuqrcvmJlZQm8sm</t>
  </si>
  <si>
    <t>609F8A13-0583</t>
  </si>
  <si>
    <t>in_1Ruz83RoJmuqrcvmXjvCalsy</t>
  </si>
  <si>
    <t>609F8A13-0586</t>
  </si>
  <si>
    <t>cus_Sp9ylw7NCNvElt</t>
  </si>
  <si>
    <t>in_1Rvfv7RoJmuqrcvmrkh6O2AX</t>
  </si>
  <si>
    <t>609F8A13-0619</t>
  </si>
  <si>
    <t>cus_SrMtOKBtgvQuer</t>
  </si>
  <si>
    <t>in_1Rve9JRoJmuqrcvmBMDiFNla</t>
  </si>
  <si>
    <t>609F8A13-0612</t>
  </si>
  <si>
    <t>in_1RvMQORoJmuqrcvmACvTlYVx</t>
  </si>
  <si>
    <t>609F8A13-0601</t>
  </si>
  <si>
    <t>in_1RvMX1RoJmuqrcvmDD1iWIdX</t>
  </si>
  <si>
    <t>609F8A13-0605</t>
  </si>
  <si>
    <t>in_1RvMVkRoJmuqrcvmCTJW4l5j</t>
  </si>
  <si>
    <t>609F8A13-0604</t>
  </si>
  <si>
    <t>in_1RvfWdRoJmuqrcvmiunxUjbL</t>
  </si>
  <si>
    <t>609F8A13-0615</t>
  </si>
  <si>
    <t>in_1RwmpMRoJmuqrcvmAym8QXhF</t>
  </si>
  <si>
    <t>609F8A13-0627</t>
  </si>
  <si>
    <t>in_1RvfY0RoJmuqrcvmJqaDRGgI</t>
  </si>
  <si>
    <t>609F8A13-0617</t>
  </si>
  <si>
    <t>in_1RxPk3RoJmuqrcvmGIRkbQ0F</t>
  </si>
  <si>
    <t>609F8A13-0635</t>
  </si>
  <si>
    <t>in_1RvKmZRoJmuqrcvmdiWjYZvl</t>
  </si>
  <si>
    <t>609F8A13-0599</t>
  </si>
  <si>
    <t>in_1Ry8hURoJmuqrcvmHcwuWzyx</t>
  </si>
  <si>
    <t>609F8A13-0645</t>
  </si>
  <si>
    <t>in_1RvMSIRoJmuqrcvm7YQOalnU</t>
  </si>
  <si>
    <t>609F8A13-0602</t>
  </si>
  <si>
    <t>in_1RxQUqRoJmuqrcvm3HE6kHao</t>
  </si>
  <si>
    <t>609F8A13-0636</t>
  </si>
  <si>
    <t>cus_SrLrEqFDY6velr</t>
  </si>
  <si>
    <t>in_1Rvd9pRoJmuqrcvmMBy7oiI9</t>
  </si>
  <si>
    <t>609F8A13-0611</t>
  </si>
  <si>
    <t>in_1RxW4aRoJmuqrcvmb6idJR36</t>
  </si>
  <si>
    <t>609F8A13-0640</t>
  </si>
  <si>
    <t>cus_StBQvUAYkrNkFV</t>
  </si>
  <si>
    <t>in_1RxP3XRoJmuqrcvmIansE54t</t>
  </si>
  <si>
    <t>609F8A13-0631</t>
  </si>
  <si>
    <t>cus_StZoixpcWOEHF6</t>
  </si>
  <si>
    <t>in_1Rxmf1RoJmuqrcvm9RAROOZ2</t>
  </si>
  <si>
    <t>609F8A13-0641</t>
  </si>
  <si>
    <t>cus_SmtfZUUdn3hF1D</t>
  </si>
  <si>
    <t>in_1RtN0rRoJmuqrcvmzBXifVkY</t>
  </si>
  <si>
    <t>609F8A13-0567</t>
  </si>
  <si>
    <t>in_1RxQeyRoJmuqrcvmH2HfJBOU</t>
  </si>
  <si>
    <t>609F8A13-0639</t>
  </si>
  <si>
    <t>cus_SqvdgbK10wNoBs</t>
  </si>
  <si>
    <t>in_1RxQa2RoJmuqrcvmhvA7us1k</t>
  </si>
  <si>
    <t>609F8A13-0637</t>
  </si>
  <si>
    <t>in_1RxQcwRoJmuqrcvmhhI6dtU4</t>
  </si>
  <si>
    <t>609F8A13-0638</t>
  </si>
  <si>
    <t>cus_SuKUDB1EOpzno5</t>
  </si>
  <si>
    <t>in_1RycdgRoJmuqrcvmqCreQVjg</t>
  </si>
  <si>
    <t>609F8A13-0653</t>
  </si>
  <si>
    <t>in_1Ryb2zRoJmuqrcvmA6vnRlan</t>
  </si>
  <si>
    <t>609F8A13-0652</t>
  </si>
  <si>
    <t>in_1Rzd4uRoJmuqrcvmzxZAo21X</t>
  </si>
  <si>
    <t>609F8A13-0667</t>
  </si>
  <si>
    <t>in_1Rzd6wRoJmuqrcvmmfw2eAYp</t>
  </si>
  <si>
    <t>609F8A13-0669</t>
  </si>
  <si>
    <t>in_1S00q3RoJmuqrcvmPeeOP6YB</t>
  </si>
  <si>
    <t>609F8A13-0674</t>
  </si>
  <si>
    <t>cus_SugiVwISX0Z2js</t>
  </si>
  <si>
    <t>in_1RyrLHRoJmuqrcvm71ZeyygD</t>
  </si>
  <si>
    <t>609F8A13-0661</t>
  </si>
  <si>
    <t>in_1S0PBXRoJmuqrcvmINEqMwPR</t>
  </si>
  <si>
    <t>609F8A13-0681</t>
  </si>
  <si>
    <t>in_1S1CezRoJmuqrcvm3ptwGIx8</t>
  </si>
  <si>
    <t>609F8A13-0733</t>
  </si>
  <si>
    <t>in_1RzmRCRoJmuqrcvmFEPw7BUb</t>
  </si>
  <si>
    <t>609F8A13-0671</t>
  </si>
  <si>
    <t>cus_Suh1u789FMrzBV</t>
  </si>
  <si>
    <t>in_1S0TcuRoJmuqrcvmAVYERUbX</t>
  </si>
  <si>
    <t>609F8A13-0707</t>
  </si>
  <si>
    <t>cus_SwB46CtN4Xjl8p</t>
  </si>
  <si>
    <t>in_1S0Ii9RoJmuqrcvmTk5VQjZE</t>
  </si>
  <si>
    <t>609F8A13-0680</t>
  </si>
  <si>
    <t>in_1S1DBJRoJmuqrcvmwGfxTBc9</t>
  </si>
  <si>
    <t>609F8A13-0734</t>
  </si>
  <si>
    <t>cus_SwtELfu1fZXS8V</t>
  </si>
  <si>
    <t>in_1S0zSFRoJmuqrcvmHK6YQsNu</t>
  </si>
  <si>
    <t>609F8A13-0724</t>
  </si>
  <si>
    <t>in_1S0PD4RoJmuqrcvmqhwHd6XZ</t>
  </si>
  <si>
    <t>609F8A13-0682</t>
  </si>
  <si>
    <t>in_1S0mdxRoJmuqrcvmL6Oo9jEq</t>
  </si>
  <si>
    <t>609F8A13-0717</t>
  </si>
  <si>
    <t>cus_SwergMGwtkKoOk</t>
  </si>
  <si>
    <t>in_1S1XOSRoJmuqrcvmq7A0J07m</t>
  </si>
  <si>
    <t>609F8A13-0756</t>
  </si>
  <si>
    <t>in_1S1XQYRoJmuqrcvmkpOqzZBl</t>
  </si>
  <si>
    <t>609F8A13-0757</t>
  </si>
  <si>
    <t>cus_Sr4GG0vgfUwRLU</t>
  </si>
  <si>
    <t>in_1S1ZXzRoJmuqrcvmryELwOrN</t>
  </si>
  <si>
    <t>609F8A13-0761</t>
  </si>
  <si>
    <t>in_1S1DZBRoJmuqrcvmrnQ3Uolf</t>
  </si>
  <si>
    <t>609F8A13-0735</t>
  </si>
  <si>
    <t>PAGO EN USD</t>
  </si>
  <si>
    <t>cus_SwewmuTB8IFqb0</t>
  </si>
  <si>
    <t>in_1S1E1HRoJmuqrcvmPypxjGQ4</t>
  </si>
  <si>
    <t>609F8A13-0736</t>
  </si>
  <si>
    <t>in_1S0Q10RoJmuqrcvmqwFQkY1c</t>
  </si>
  <si>
    <t>609F8A13-0700</t>
  </si>
  <si>
    <t>in_1S2L4VRoJmuqrcvmR9cUXnkX</t>
  </si>
  <si>
    <t>609F8A13-0781</t>
  </si>
  <si>
    <t>in_1S2H0lRoJmuqrcvmZPjJWIBD</t>
  </si>
  <si>
    <t>609F8A13-0779</t>
  </si>
  <si>
    <t>in_1S1mv0RoJmuqrcvmWVclEJEy</t>
  </si>
  <si>
    <t>609F8A13-0762</t>
  </si>
  <si>
    <t>cus_SxOfao6q48NbgQ</t>
  </si>
  <si>
    <t>in_1S1pSDRoJmuqrcvmQKkTiOBv</t>
  </si>
  <si>
    <t>609F8A13-0765</t>
  </si>
  <si>
    <t>in_1S0PeyRoJmuqrcvmvKQ22sy7</t>
  </si>
  <si>
    <t>609F8A13-0686</t>
  </si>
  <si>
    <t>in_1S0PxwRoJmuqrcvmxCHZ7wPP</t>
  </si>
  <si>
    <t>609F8A13-0698</t>
  </si>
  <si>
    <t>cus_SxOABSHR4kwLVW</t>
  </si>
  <si>
    <t>in_1S1sXkRoJmuqrcvmarh1lvRU</t>
  </si>
  <si>
    <t>609F8A13-0767</t>
  </si>
  <si>
    <t>in_1S0PjYRoJmuqrcvmBWcsW4DF</t>
  </si>
  <si>
    <t>609F8A13-0690</t>
  </si>
  <si>
    <t>in_1S0jYRRoJmuqrcvmeviv92NG</t>
  </si>
  <si>
    <t>609F8A13-0710</t>
  </si>
  <si>
    <t>cus_SwhJ68QFMaIZFA</t>
  </si>
  <si>
    <t>in_1S0nuPRoJmuqrcvmqnlRWVkc</t>
  </si>
  <si>
    <t>609F8A13-0722</t>
  </si>
  <si>
    <t>in_1S0Q3JRoJmuqrcvm3IsaD2zc</t>
  </si>
  <si>
    <t>609F8A13-0702</t>
  </si>
  <si>
    <t>in_1S0PhRRoJmuqrcvmT8vYFreY</t>
  </si>
  <si>
    <t>609F8A13-0688</t>
  </si>
  <si>
    <t>in_1S0Pa8RoJmuqrcvmn1v7XZte</t>
  </si>
  <si>
    <t>609F8A13-0683</t>
  </si>
  <si>
    <t>in_1S1EvXRoJmuqrcvmxiDjaCjj</t>
  </si>
  <si>
    <t>609F8A13-0741</t>
  </si>
  <si>
    <t>cus_Stx6cAVQR3tun2</t>
  </si>
  <si>
    <t>in_1S0nJPRoJmuqrcvm4A4pNqgR</t>
  </si>
  <si>
    <t>609F8A13-0721</t>
  </si>
  <si>
    <t>in_1S1EwcRoJmuqrcvmoEo67j1U</t>
  </si>
  <si>
    <t>609F8A13-0742</t>
  </si>
  <si>
    <t>in_1S0PthRoJmuqrcvmDwwvF6Wp</t>
  </si>
  <si>
    <t>609F8A13-0695</t>
  </si>
  <si>
    <t>in_1S1EnZRoJmuqrcvmcupKp3BE</t>
  </si>
  <si>
    <t>609F8A13-0738</t>
  </si>
  <si>
    <t>cus_SxO0apmGhBsmzG</t>
  </si>
  <si>
    <t>in_1S1sPURoJmuqrcvmklASCeYY</t>
  </si>
  <si>
    <t>609F8A13-0766</t>
  </si>
  <si>
    <t>in_1S0Q8MRoJmuqrcvm2JIc9lFn</t>
  </si>
  <si>
    <t>609F8A13-0705</t>
  </si>
  <si>
    <t>in_1S0Q6ERoJmuqrcvm4n4N7GcP</t>
  </si>
  <si>
    <t>609F8A13-0704</t>
  </si>
  <si>
    <t>in_1S0Po7RoJmuqrcvmWj9gmuFk</t>
  </si>
  <si>
    <t>609F8A13-0692</t>
  </si>
  <si>
    <t>cus_SDlxNXMBoWGHF4</t>
  </si>
  <si>
    <t>in_1S2CKaRoJmuqrcvmyKzqjxjf</t>
  </si>
  <si>
    <t>609F8A13-0771</t>
  </si>
  <si>
    <t>in_1S2CJERoJmuqrcvmD7frnGvt</t>
  </si>
  <si>
    <t>609F8A13-0770</t>
  </si>
  <si>
    <t>in_1S2DanRoJmuqrcvmgbmGa0Vf</t>
  </si>
  <si>
    <t>609F8A13-0775</t>
  </si>
  <si>
    <t>in_1S2DWPRoJmuqrcvmoIyjJqjx</t>
  </si>
  <si>
    <t>609F8A13-0774</t>
  </si>
  <si>
    <t>in_1S2E4zRoJmuqrcvm9NZfSJDP</t>
  </si>
  <si>
    <t>609F8A13-0776</t>
  </si>
  <si>
    <t>in_1S2E6ERoJmuqrcvmhkA97qGl</t>
  </si>
  <si>
    <t>609F8A13-0777</t>
  </si>
  <si>
    <t>in_1S0PpSRoJmuqrcvm4FxXoNCo</t>
  </si>
  <si>
    <t>609F8A13-0693</t>
  </si>
  <si>
    <t>in_1S0PrcRoJmuqrcvmHPOonYTk</t>
  </si>
  <si>
    <t>609F8A13-0694</t>
  </si>
  <si>
    <t>in_1S1A0XRoJmuqrcvmrZM0izOr</t>
  </si>
  <si>
    <t>609F8A13-0728</t>
  </si>
  <si>
    <t>in_1S444ORoJmuqrcvmj3YOpoXO</t>
  </si>
  <si>
    <t>609F8A13-0849</t>
  </si>
  <si>
    <t>CUOTA ORIGINAL DE 1,750 EUR</t>
  </si>
  <si>
    <t>in_1S2LOPRoJmuqrcvmvjlCQ8qS</t>
  </si>
  <si>
    <t>609F8A13-0787</t>
  </si>
  <si>
    <t>in_1S40B6RoJmuqrcvmn5toOgq1</t>
  </si>
  <si>
    <t>609F8A13-0847</t>
  </si>
  <si>
    <t>in_1S2LAoRoJmuqrcvmwosnCF1e</t>
  </si>
  <si>
    <t>609F8A13-0784</t>
  </si>
  <si>
    <t>in_1S3E3CRoJmuqrcvmBQ5TKQfD</t>
  </si>
  <si>
    <t>609F8A13-0812</t>
  </si>
  <si>
    <t>cus_SzB84NghxTLOQA</t>
  </si>
  <si>
    <t>in_1S3LeYRoJmuqrcvm3mSbhkcw</t>
  </si>
  <si>
    <t>609F8A13-0827</t>
  </si>
  <si>
    <t>in_1S2LGFRoJmuqrcvmB1Pv0QIl</t>
  </si>
  <si>
    <t>609F8A13-0785</t>
  </si>
  <si>
    <t>in_1S2LM4RoJmuqrcvmt1zSDYBr</t>
  </si>
  <si>
    <t>609F8A13-0786</t>
  </si>
  <si>
    <t>in_1S2db7RoJmuqrcvm8ME6iLE2</t>
  </si>
  <si>
    <t>609F8A13-0792</t>
  </si>
  <si>
    <t>cus_SzaQ1gnJDohOXt</t>
  </si>
  <si>
    <t>in_1S3iqVRoJmuqrcvm6jhIWVcz</t>
  </si>
  <si>
    <t>609F8A13-0838</t>
  </si>
  <si>
    <t>in_1S3kqDRoJmuqrcvmkgdxJgXb</t>
  </si>
  <si>
    <t>609F8A13-0839</t>
  </si>
  <si>
    <t>in_1S3DWPRoJmuqrcvm5M2OGGnm</t>
  </si>
  <si>
    <t>609F8A13-0807</t>
  </si>
  <si>
    <t>in_1S3DzvRoJmuqrcvmci1t2PkW</t>
  </si>
  <si>
    <t>609F8A13-0810</t>
  </si>
  <si>
    <t>in_1S3E19RoJmuqrcvmLREvJymd</t>
  </si>
  <si>
    <t>609F8A13-0811</t>
  </si>
  <si>
    <t>in_1S4YTIRoJmuqrcvmMYN8mu9U</t>
  </si>
  <si>
    <t>609F8A13-0868</t>
  </si>
  <si>
    <t>in_1S3E8ERoJmuqrcvm63X4hKv7</t>
  </si>
  <si>
    <t>609F8A13-0814</t>
  </si>
  <si>
    <t>in_1S5UaqRoJmuqrcvm1HbWLLwB</t>
  </si>
  <si>
    <t>609F8A13-0893</t>
  </si>
  <si>
    <t>in_1S3EAsRoJmuqrcvmCPmsvQa3</t>
  </si>
  <si>
    <t>609F8A13-0815</t>
  </si>
  <si>
    <t>in_1S3Q3RRoJmuqrcvm1Wz4ZJcH</t>
  </si>
  <si>
    <t>609F8A13-0829</t>
  </si>
  <si>
    <t>in_1S45ogRoJmuqrcvm6N22pTuV</t>
  </si>
  <si>
    <t>609F8A13-0851</t>
  </si>
  <si>
    <t>in_1S45nIRoJmuqrcvmQSpkPnOI</t>
  </si>
  <si>
    <t>609F8A13-0850</t>
  </si>
  <si>
    <t>in_1S3DxaRoJmuqrcvmOIEXuKga</t>
  </si>
  <si>
    <t>609F8A13-0809</t>
  </si>
  <si>
    <t>cus_Szw6MrlRynfMGQ</t>
  </si>
  <si>
    <t>in_1S42alRoJmuqrcvmMBJJr11j</t>
  </si>
  <si>
    <t>609F8A13-0848</t>
  </si>
  <si>
    <t>in_1S3EDWRoJmuqrcvm3jn5hOiS</t>
  </si>
  <si>
    <t>609F8A13-0817</t>
  </si>
  <si>
    <t>in_1S3EFXRoJmuqrcvmjcCJew7K</t>
  </si>
  <si>
    <t>609F8A13-0818</t>
  </si>
  <si>
    <t>in_1S3EHgRoJmuqrcvmjLEc4cML</t>
  </si>
  <si>
    <t>609F8A13-0819</t>
  </si>
  <si>
    <t>in_1S3EJcRoJmuqrcvm2WtTvTg9</t>
  </si>
  <si>
    <t>609F8A13-0820</t>
  </si>
  <si>
    <t>in_1S3kuiRoJmuqrcvmtgh3i4Zy</t>
  </si>
  <si>
    <t>609F8A13-0840</t>
  </si>
  <si>
    <t>in_1S3ELFRoJmuqrcvmOApbw2wF</t>
  </si>
  <si>
    <t>609F8A13-0821</t>
  </si>
  <si>
    <t>in_1S3EM6RoJmuqrcvmaVA4lQYI</t>
  </si>
  <si>
    <t>609F8A13-0822</t>
  </si>
  <si>
    <t>in_1S3EN2RoJmuqrcvmbdN5mN7n</t>
  </si>
  <si>
    <t>609F8A13-0823</t>
  </si>
  <si>
    <t>cus_T07LgyTNTHWMLA</t>
  </si>
  <si>
    <t>in_1S476bRoJmuqrcvm9MRpUiRw</t>
  </si>
  <si>
    <t>609F8A13-0854</t>
  </si>
  <si>
    <t>cus_T0QF4tr1SOyGaE</t>
  </si>
  <si>
    <t>in_1S4R9ARoJmuqrcvmlM5nUbEJ</t>
  </si>
  <si>
    <t>609F8A13-0862</t>
  </si>
  <si>
    <t>cus_T0Q19dWBkWIwBz</t>
  </si>
  <si>
    <t>in_1S4QHqRoJmuqrcvmZtYXaE1Y</t>
  </si>
  <si>
    <t>609F8A13-0861</t>
  </si>
  <si>
    <t>in_1S3xSSRoJmuqrcvmpebmN6qW</t>
  </si>
  <si>
    <t>609F8A13-0844</t>
  </si>
  <si>
    <t>cus_SzapuSgGRh5Vla</t>
  </si>
  <si>
    <t>in_1S4M08RoJmuqrcvmbEL13QYY</t>
  </si>
  <si>
    <t>609F8A13-0856</t>
  </si>
  <si>
    <t>in_1S4WW2RoJmuqrcvmgRYxB9n0</t>
  </si>
  <si>
    <t>609F8A13-0863</t>
  </si>
  <si>
    <t>in_1S5rjkRoJmuqrcvmzbk2A8aP</t>
  </si>
  <si>
    <t>609F8A13-0895</t>
  </si>
  <si>
    <t>in_1S4ig0RoJmuqrcvmdHHVvnVZ</t>
  </si>
  <si>
    <t>609F8A13-0871</t>
  </si>
  <si>
    <t>in_1S4WZ4RoJmuqrcvmR523Xq23</t>
  </si>
  <si>
    <t>609F8A13-0864</t>
  </si>
  <si>
    <t>in_1S4qn5RoJmuqrcvmUlFBZxbT</t>
  </si>
  <si>
    <t>609F8A13-0873</t>
  </si>
  <si>
    <t>in_1S4qtyRoJmuqrcvmgBEKmwN2</t>
  </si>
  <si>
    <t>609F8A13-0875</t>
  </si>
  <si>
    <t>in_1S4rD9RoJmuqrcvmRduZD1EZ</t>
  </si>
  <si>
    <t>609F8A13-0876</t>
  </si>
  <si>
    <t>in_1S4rEURoJmuqrcvmV70owlbr</t>
  </si>
  <si>
    <t>609F8A13-0877</t>
  </si>
  <si>
    <t>in_1S4rFORoJmuqrcvmJS3oNm0d</t>
  </si>
  <si>
    <t>609F8A13-0878</t>
  </si>
  <si>
    <t>cus_SzabRSFXZGlFRG</t>
  </si>
  <si>
    <t>in_1S5AYuRoJmuqrcvmcIDBE1N1</t>
  </si>
  <si>
    <t>609F8A13-0884</t>
  </si>
  <si>
    <t>in_1S57OMRoJmuqrcvm32E9PxyX</t>
  </si>
  <si>
    <t>609F8A13-0882</t>
  </si>
  <si>
    <t>in_1S57MTRoJmuqrcvmJS3aeTr7</t>
  </si>
  <si>
    <t>609F8A13-0881</t>
  </si>
  <si>
    <t>in_1S4W2FRoJmuqrcvmU75HBEDn</t>
  </si>
  <si>
    <t>609F8A13-0866</t>
  </si>
  <si>
    <t>in_1S4W1mRoJmuqrcvmxx1ShWd1</t>
  </si>
  <si>
    <t>609F8A13-0865</t>
  </si>
  <si>
    <t>in_1S4W1oRoJmuqrcvmU38yzgXe</t>
  </si>
  <si>
    <t>609F8A13-0867</t>
  </si>
  <si>
    <t>in_1S5Ez2RoJmuqrcvmJfv0e2Ga</t>
  </si>
  <si>
    <t>609F8A13-0890</t>
  </si>
  <si>
    <t>in_1S5Ez3RoJmuqrcvm3lGVX6a7</t>
  </si>
  <si>
    <t>609F8A13-0889</t>
  </si>
  <si>
    <t>in_1S5TUBRoJmuqrcvm0oGP5XXb</t>
  </si>
  <si>
    <t>609F8A13-0892</t>
  </si>
  <si>
    <t>cus_T25WsTYIKU24bg</t>
  </si>
  <si>
    <t>in_1S6j4HRoJmuqrcvmS5cXWAxn</t>
  </si>
  <si>
    <t>609F8A13-0917</t>
  </si>
  <si>
    <t>cus_T1ssl3fGaMyeEi</t>
  </si>
  <si>
    <t>in_1S6kbqRoJmuqrcvmcG0wsXcv</t>
  </si>
  <si>
    <t>609F8A13-0920</t>
  </si>
  <si>
    <t>cus_T25hjfdbq3fr6T</t>
  </si>
  <si>
    <t>in_1S6wNiRoJmuqrcvmyPpD6Ejd</t>
  </si>
  <si>
    <t>609F8A13-0921</t>
  </si>
  <si>
    <t>in_1S6KQERoJmuqrcvm9AvHHICV</t>
  </si>
  <si>
    <t>609F8A13-0909</t>
  </si>
  <si>
    <t>in_1S6KQERoJmuqrcvmW2iMHl0G</t>
  </si>
  <si>
    <t>609F8A13-0911</t>
  </si>
  <si>
    <t>in_1S6KQ1RoJmuqrcvmdD1N2PDA</t>
  </si>
  <si>
    <t>609F8A13-0905</t>
  </si>
  <si>
    <t>in_1S7sw6RoJmuqrcvmHjWRkyG0</t>
  </si>
  <si>
    <t>609F8A13-0945</t>
  </si>
  <si>
    <t>FALTAN 140 EUR - EN PAUSA</t>
  </si>
  <si>
    <t>cus_T2oKMnSn7JS2dd</t>
  </si>
  <si>
    <t>in_1S7kJ1RoJmuqrcvmsQy7dIVf</t>
  </si>
  <si>
    <t>609F8A13-0939</t>
  </si>
  <si>
    <t>in_1S5Dt1RoJmuqrcvmILsgdkFS</t>
  </si>
  <si>
    <t>609F8A13-0886</t>
  </si>
  <si>
    <t>in_1S5DuSRoJmuqrcvm9JRorhVO</t>
  </si>
  <si>
    <t>609F8A13-0888</t>
  </si>
  <si>
    <t>in_1S7ssQRoJmuqrcvm1p4DJEL6</t>
  </si>
  <si>
    <t>609F8A13-0944</t>
  </si>
  <si>
    <t>CONVERSION SE COMIO 138 EUR</t>
  </si>
  <si>
    <t>in_1S6KPxRoJmuqrcvmL55ksMOd</t>
  </si>
  <si>
    <t>609F8A13-0907</t>
  </si>
  <si>
    <t>in_1S7gF1RoJmuqrcvmjobvkmx7</t>
  </si>
  <si>
    <t>609F8A13-0932</t>
  </si>
  <si>
    <t>in_1S6KQERoJmuqrcvmilEXbjyx</t>
  </si>
  <si>
    <t>609F8A13-0913</t>
  </si>
  <si>
    <t>in_1S6KQARoJmuqrcvmJvab0oyN</t>
  </si>
  <si>
    <t>609F8A13-0912</t>
  </si>
  <si>
    <t>in_1S7hw5RoJmuqrcvm5sjm9hoG</t>
  </si>
  <si>
    <t>609F8A13-0935</t>
  </si>
  <si>
    <t>in_1S6OPZRoJmuqrcvmGUQywZRg</t>
  </si>
  <si>
    <t>609F8A13-0915</t>
  </si>
  <si>
    <t>in_1S6k8gRoJmuqrcvmpImCQNkT</t>
  </si>
  <si>
    <t>609F8A13-0918</t>
  </si>
  <si>
    <t>cus_T3jsuJoZZgjmN6</t>
  </si>
  <si>
    <t>in_1S7kbNRoJmuqrcvmytL6qKHX</t>
  </si>
  <si>
    <t>609F8A13-0940</t>
  </si>
  <si>
    <t>in_1S7syuRoJmuqrcvm2tvonNaE</t>
  </si>
  <si>
    <t>609F8A13-0946</t>
  </si>
  <si>
    <t>in_1S7PqGRoJmuqrcvmOH6S03Ep</t>
  </si>
  <si>
    <t>609F8A13-0926</t>
  </si>
  <si>
    <t>cus_T0ONZddpko2hFC</t>
  </si>
  <si>
    <t>in_1S97fZRoJmuqrcvmyn6SQGE8</t>
  </si>
  <si>
    <t>609F8A13-0957</t>
  </si>
  <si>
    <t>in_1S88nQRoJmuqrcvmDuKVmZQ2</t>
  </si>
  <si>
    <t>609F8A13-0951</t>
  </si>
  <si>
    <t>in_1S86vlRoJmuqrcvmekdXg9a1</t>
  </si>
  <si>
    <t>609F8A13-0948</t>
  </si>
  <si>
    <t>in_1SAdz1RoJmuqrcvmq8gdtLTz</t>
  </si>
  <si>
    <t>609F8A13-0975</t>
  </si>
  <si>
    <t>in_1SBElgRoJmuqrcvm5nWN4EOe</t>
  </si>
  <si>
    <t>609F8A13-0985</t>
  </si>
  <si>
    <t>in_1S9EE5RoJmuqrcvmeeexRfKI</t>
  </si>
  <si>
    <t>609F8A13-0959</t>
  </si>
  <si>
    <t>in_1SAC6LRoJmuqrcvmv1vMzLhB</t>
  </si>
  <si>
    <t>609F8A13-0970</t>
  </si>
  <si>
    <t>in_1SBL72RoJmuqrcvmva4HUGNb</t>
  </si>
  <si>
    <t>609F8A13-0988</t>
  </si>
  <si>
    <t>in_1S9bddRoJmuqrcvmzwqq3IUJ</t>
  </si>
  <si>
    <t>609F8A13-0960</t>
  </si>
  <si>
    <t>in_1S9vJcRoJmuqrcvmwvlhef0N</t>
  </si>
  <si>
    <t>609F8A13-0961</t>
  </si>
  <si>
    <t>in_1S9xAqRoJmuqrcvmKQC4BBRH</t>
  </si>
  <si>
    <t>609F8A13-0962</t>
  </si>
  <si>
    <t>in_1S9xBBRoJmuqrcvmloqlaRHh</t>
  </si>
  <si>
    <t>609F8A13-0963</t>
  </si>
  <si>
    <t>in_1S9y7YRoJmuqrcvmBpdPMMl3</t>
  </si>
  <si>
    <t>609F8A13-0965</t>
  </si>
  <si>
    <t>in_1SANTTRoJmuqrcvmoMJad4Sb</t>
  </si>
  <si>
    <t>609F8A13-0972</t>
  </si>
  <si>
    <t>SALDO FALTANTE INSCRIPCION AGREGADO</t>
  </si>
  <si>
    <t>in_1SBPe0RoJmuqrcvmoX90x8et</t>
  </si>
  <si>
    <t>609F8A13-1008</t>
  </si>
  <si>
    <t>in_1SAg8SRoJmuqrcvmwh5PLhsP</t>
  </si>
  <si>
    <t>609F8A13-0977</t>
  </si>
  <si>
    <t>in_1SAg8dRoJmuqrcvm8J8bYwFl</t>
  </si>
  <si>
    <t>609F8A13-0976</t>
  </si>
  <si>
    <t>in_1SBeDkRoJmuqrcvmTI3IyWUp</t>
  </si>
  <si>
    <t>609F8A13-1010</t>
  </si>
  <si>
    <t>in_1SAyG9RoJmuqrcvmMMxit26Q</t>
  </si>
  <si>
    <t>609F8A13-0981</t>
  </si>
  <si>
    <t>in_1SBOXoRoJmuqrcvma0eoHIz1</t>
  </si>
  <si>
    <t>609F8A13-1007</t>
  </si>
  <si>
    <t>in_1SBOHXRoJmuqrcvmSOC4xpLA</t>
  </si>
  <si>
    <t>609F8A13-0996</t>
  </si>
  <si>
    <t>SALDO FALTANTE AÑADIDO</t>
  </si>
  <si>
    <t>in_1SBOFdRoJmuqrcvm21BBxVbI</t>
  </si>
  <si>
    <t>609F8A13-1005</t>
  </si>
  <si>
    <t>in_1SBOENRoJmuqrcvmGkNZwmOq</t>
  </si>
  <si>
    <t>609F8A13-1004</t>
  </si>
  <si>
    <t>in_1SBODCRoJmuqrcvmDEcmVbFn</t>
  </si>
  <si>
    <t>609F8A13-1003</t>
  </si>
  <si>
    <t>in_1SBO2ORoJmuqrcvmNfCWhphQ</t>
  </si>
  <si>
    <t>609F8A13-1002</t>
  </si>
  <si>
    <t>in_1SBO11RoJmuqrcvmHYsygqcR</t>
  </si>
  <si>
    <t>609F8A13-1001</t>
  </si>
  <si>
    <t>in_1SBNzjRoJmuqrcvmzKxEOBbM</t>
  </si>
  <si>
    <t>609F8A13-1000</t>
  </si>
  <si>
    <t>in_1SBNydRoJmuqrcvmsm12Xv1J</t>
  </si>
  <si>
    <t>609F8A13-0999</t>
  </si>
  <si>
    <t>in_1SBNwlRoJmuqrcvmvf6erYmU</t>
  </si>
  <si>
    <t>609F8A13-0998</t>
  </si>
  <si>
    <t>in_1SBNfCRoJmuqrcvmdttRqzbf</t>
  </si>
  <si>
    <t>609F8A13-0997</t>
  </si>
  <si>
    <t>in_1SBMNWRoJmuqrcvmYSLp62qX</t>
  </si>
  <si>
    <t>609F8A13-0995</t>
  </si>
  <si>
    <t>in_1SBLSpRoJmuqrcvmSnn2k9fB</t>
  </si>
  <si>
    <t>609F8A13-0994</t>
  </si>
  <si>
    <t>in_1SBLOaRoJmuqrcvmRTelARil</t>
  </si>
  <si>
    <t>609F8A13-0993</t>
  </si>
  <si>
    <t>in_1SBLGSRoJmuqrcvmuxWmWAGa</t>
  </si>
  <si>
    <t>609F8A13-0991</t>
  </si>
  <si>
    <t>in_1SBIoKRoJmuqrcvm6KqyrEva</t>
  </si>
  <si>
    <t>609F8A13-0987</t>
  </si>
  <si>
    <t>in_1SBIljRoJmuqrcvmvoOk8c0z</t>
  </si>
  <si>
    <t>609F8A13-0986</t>
  </si>
  <si>
    <t>in_1SC82ARoJmuqrcvmiQ4NAml3</t>
  </si>
  <si>
    <t>609F8A13-1011</t>
  </si>
  <si>
    <t>in_1SDBbGRoJmuqrcvmDikW5IRJ</t>
  </si>
  <si>
    <t>609F8A13-1017</t>
  </si>
  <si>
    <t>in_1SCSdqRoJmuqrcvmWiUyNYHd</t>
  </si>
  <si>
    <t>609F8A13-1012</t>
  </si>
  <si>
    <t>in_1SFFcmRoJmuqrcvmTuh69vMe</t>
  </si>
  <si>
    <t>609F8A13-1063</t>
  </si>
  <si>
    <t>in_1SJzkKRoJmuqrcvmlVO39w8o</t>
  </si>
  <si>
    <t>609F8A13-1150</t>
  </si>
  <si>
    <t>in_1SJxzURoJmuqrcvmFfXoBmdD</t>
  </si>
  <si>
    <t>609F8A13-1148</t>
  </si>
  <si>
    <t>in_1SJbevRoJmuqrcvmACB2VxKG</t>
  </si>
  <si>
    <t>609F8A13-1145</t>
  </si>
  <si>
    <t>in_1SJRlRRoJmuqrcvm4PLs7WSl</t>
  </si>
  <si>
    <t>609F8A13-1143</t>
  </si>
  <si>
    <t>in_1SDRz4RoJmuqrcvmwbVQbIDL</t>
  </si>
  <si>
    <t>609F8A13-1021</t>
  </si>
  <si>
    <t>in_1SDBafRoJmuqrcvmLmNsYHeN</t>
  </si>
  <si>
    <t>609F8A13-1016</t>
  </si>
  <si>
    <t>in_1SDDToRoJmuqrcvmWpWiEEWr</t>
  </si>
  <si>
    <t>609F8A13-1019</t>
  </si>
  <si>
    <t>in_1SDWJbRoJmuqrcvmQwTSf4Ey</t>
  </si>
  <si>
    <t>609F8A13-1025</t>
  </si>
  <si>
    <t>in_1SDWJERoJmuqrcvmXNHlQ9nS</t>
  </si>
  <si>
    <t>609F8A13-1024</t>
  </si>
  <si>
    <t>in_1SDWIVRoJmuqrcvmuf4wlXWS</t>
  </si>
  <si>
    <t>609F8A13-1023</t>
  </si>
  <si>
    <t>in_1SDZwpRoJmuqrcvm0Iru0Z7i</t>
  </si>
  <si>
    <t>609F8A13-1044</t>
  </si>
  <si>
    <t>in_1SDZwpRoJmuqrcvmaEe4Recd</t>
  </si>
  <si>
    <t>609F8A13-1039</t>
  </si>
  <si>
    <t>in_1SDZwtRoJmuqrcvmV7vwT35e</t>
  </si>
  <si>
    <t>609F8A13-1036</t>
  </si>
  <si>
    <t>in_1SDp4nRoJmuqrcvmw8smZmdh</t>
  </si>
  <si>
    <t>609F8A13-1049</t>
  </si>
  <si>
    <t>in_1SDZwtRoJmuqrcvmFnCUVPoE</t>
  </si>
  <si>
    <t>609F8A13-1043</t>
  </si>
  <si>
    <t>in_1SICXdRoJmuqrcvmB4bQS3ps</t>
  </si>
  <si>
    <t>609F8A13-1125</t>
  </si>
  <si>
    <t>in_1SDZwpRoJmuqrcvmldzS0MDk</t>
  </si>
  <si>
    <t>609F8A13-1035</t>
  </si>
  <si>
    <t>in_1SFiD2RoJmuqrcvmQc50jkxQ</t>
  </si>
  <si>
    <t>609F8A13-1073</t>
  </si>
  <si>
    <t>in_1SDmAARoJmuqrcvmMdwFXlEA</t>
  </si>
  <si>
    <t>609F8A13-1047</t>
  </si>
  <si>
    <t>in_1SDm8GRoJmuqrcvmMEuvJSow</t>
  </si>
  <si>
    <t>609F8A13-1046</t>
  </si>
  <si>
    <t>in_1SDZwtRoJmuqrcvmkWMpShp2</t>
  </si>
  <si>
    <t>609F8A13-1037</t>
  </si>
  <si>
    <t>in_1SDZwpRoJmuqrcvmSSye1OlH</t>
  </si>
  <si>
    <t>609F8A13-1033</t>
  </si>
  <si>
    <t>in_1SDY4wRoJmuqrcvmC10MrEZS</t>
  </si>
  <si>
    <t>609F8A13-1027</t>
  </si>
  <si>
    <t>in_1SDZwMRoJmuqrcvmHzvBiwAQ</t>
  </si>
  <si>
    <t>609F8A13-1030</t>
  </si>
  <si>
    <t>in_1SDZwpRoJmuqrcvmpk5eGE8Q</t>
  </si>
  <si>
    <t>609F8A13-1031</t>
  </si>
  <si>
    <t>in_1SFSHpRoJmuqrcvmg0gAAdl8</t>
  </si>
  <si>
    <t>609F8A13-1070</t>
  </si>
  <si>
    <t>in_1SDZwQRoJmuqrcvmebVuu2lK</t>
  </si>
  <si>
    <t>609F8A13-1040</t>
  </si>
  <si>
    <t>in_1SDZwpRoJmuqrcvmmoHxCFyD</t>
  </si>
  <si>
    <t>609F8A13-1042</t>
  </si>
  <si>
    <t>in_1SDZwpRoJmuqrcvmlgmls7yk</t>
  </si>
  <si>
    <t>609F8A13-1032</t>
  </si>
  <si>
    <t>in_1SDZwtRoJmuqrcvmH4RpVeaX</t>
  </si>
  <si>
    <t>609F8A13-1034</t>
  </si>
  <si>
    <t>in_1SDuXvRoJmuqrcvmsAiVMpMo</t>
  </si>
  <si>
    <t>609F8A13-1053</t>
  </si>
  <si>
    <t>in_1SDuXnRoJmuqrcvmqDXYcU0b</t>
  </si>
  <si>
    <t>609F8A13-1054</t>
  </si>
  <si>
    <t>in_1SEIuSRoJmuqrcvmPQJzysE3</t>
  </si>
  <si>
    <t>609F8A13-1059</t>
  </si>
  <si>
    <t>in_1SEgJlRoJmuqrcvmFmWoRoFY</t>
  </si>
  <si>
    <t>609F8A13-1062</t>
  </si>
  <si>
    <t>cus_SjaBzsoVmWJieE</t>
  </si>
  <si>
    <t>in_1SDG4bRoJmuqrcvmBmA0s6nC</t>
  </si>
  <si>
    <t>609F8A13-1020</t>
  </si>
  <si>
    <t>cus_TA9yDgDWGbbrCp</t>
  </si>
  <si>
    <t>in_1SEaCxRoJmuqrcvmwfZSgDIr</t>
  </si>
  <si>
    <t>609F8A13-1078</t>
  </si>
  <si>
    <t>in_1SFe7JRoJmuqrcvmzfE8lt6p</t>
  </si>
  <si>
    <t>609F8A13-1072</t>
  </si>
  <si>
    <t>in_1SFON3RoJmuqrcvmsXSIKGxJ</t>
  </si>
  <si>
    <t>609F8A13-1066</t>
  </si>
  <si>
    <t>in_1SFOKfRoJmuqrcvmn81lTgnJ</t>
  </si>
  <si>
    <t>609F8A13-1065</t>
  </si>
  <si>
    <t>in_1SFdveRoJmuqrcvmc0FPPcEw</t>
  </si>
  <si>
    <t>609F8A13-1071</t>
  </si>
  <si>
    <t>in_1SFOKURoJmuqrcvmlQaSBJjS</t>
  </si>
  <si>
    <t>609F8A13-1067</t>
  </si>
  <si>
    <t>in_1SG5PQRoJmuqrcvmkAoVUcLN</t>
  </si>
  <si>
    <t>609F8A13-1084</t>
  </si>
  <si>
    <t>in_1SHCnORoJmuqrcvmOkYdgdQ7</t>
  </si>
  <si>
    <t>609F8A13-1118</t>
  </si>
  <si>
    <t>in_1SHAq8RoJmuqrcvmL7jVbxDT</t>
  </si>
  <si>
    <t>609F8A13-1108</t>
  </si>
  <si>
    <t>in_1SHCi8RoJmuqrcvm7VLBtR1p</t>
  </si>
  <si>
    <t>609F8A13-1113</t>
  </si>
  <si>
    <t>in_1SHClJRoJmuqrcvmYkCeiCs3</t>
  </si>
  <si>
    <t>609F8A13-1115</t>
  </si>
  <si>
    <t>cus_TCatYgGnDcfBYl</t>
  </si>
  <si>
    <t>in_1SGPbtRoJmuqrcvmPMGgPs5q</t>
  </si>
  <si>
    <t>609F8A13-1093</t>
  </si>
  <si>
    <t>in_1SHAqORoJmuqrcvm4fwKqGRq</t>
  </si>
  <si>
    <t>609F8A13-1109</t>
  </si>
  <si>
    <t>in_1SI02MRoJmuqrcvmCt0DVbqF</t>
  </si>
  <si>
    <t>609F8A13-1122</t>
  </si>
  <si>
    <t>in_1SI1R7RoJmuqrcvm6se6d2sM</t>
  </si>
  <si>
    <t>609F8A13-1123</t>
  </si>
  <si>
    <t>in_1SHCi8RoJmuqrcvmBM0txEFu</t>
  </si>
  <si>
    <t>609F8A13-1114</t>
  </si>
  <si>
    <t>in_1SHAqKRoJmuqrcvmTVyusCgS</t>
  </si>
  <si>
    <t>609F8A13-1106</t>
  </si>
  <si>
    <t>in_1SHCnORoJmuqrcvm0CUw7JPe</t>
  </si>
  <si>
    <t>609F8A13-1117</t>
  </si>
  <si>
    <t>in_1SHChtRoJmuqrcvmappU2679</t>
  </si>
  <si>
    <t>609F8A13-1110</t>
  </si>
  <si>
    <t>in_1SHzawRoJmuqrcvmR97buGXE</t>
  </si>
  <si>
    <t>609F8A13-1121</t>
  </si>
  <si>
    <t>in_1SHGipRoJmuqrcvmr6TMVSgZ</t>
  </si>
  <si>
    <t>609F8A13-1119</t>
  </si>
  <si>
    <t>in_1SHAqPRoJmuqrcvmwi14P10x</t>
  </si>
  <si>
    <t>609F8A13-1107</t>
  </si>
  <si>
    <t>cus_SzAePw67hF94x6</t>
  </si>
  <si>
    <t>in_1SIcm6RoJmuqrcvmXEz2XCig</t>
  </si>
  <si>
    <t>609F8A13-1130</t>
  </si>
  <si>
    <t>in_1SIkRfRoJmuqrcvmWwwslQGs</t>
  </si>
  <si>
    <t>609F8A13-1132</t>
  </si>
  <si>
    <t>cus_TFaWzF6msGP6RU</t>
  </si>
  <si>
    <t>in_1SJGgrRoJmuqrcvm3MAmG4bM</t>
  </si>
  <si>
    <t>609F8A13-1141</t>
  </si>
  <si>
    <t>in_1SIICcRoJmuqrcvmnrB6UgHb</t>
  </si>
  <si>
    <t>609F8A13-1127</t>
  </si>
  <si>
    <t>in_1SO1E7RoJmuqrcvmLEElFTz8</t>
  </si>
  <si>
    <t>609F8A13-1218</t>
  </si>
  <si>
    <t>in_1SJ19aRoJmuqrcvmDc8civGn</t>
  </si>
  <si>
    <t>609F8A13-1135</t>
  </si>
  <si>
    <t>in_1SJ18kRoJmuqrcvmkOTqvtKE</t>
  </si>
  <si>
    <t>609F8A13-1134</t>
  </si>
  <si>
    <t>in_1SK6ZbRoJmuqrcvmrmNgZZLg</t>
  </si>
  <si>
    <t>609F8A13-1152</t>
  </si>
  <si>
    <t>in_1SK4eZRoJmuqrcvm7PVBUiWI</t>
  </si>
  <si>
    <t>609F8A13-1151</t>
  </si>
  <si>
    <t>in_1SL8cfRoJmuqrcvmu5Yilznz</t>
  </si>
  <si>
    <t>609F8A13-1170</t>
  </si>
  <si>
    <t>in_1SKTw2RoJmuqrcvmaBaVQ7Hp</t>
  </si>
  <si>
    <t>609F8A13-1156</t>
  </si>
  <si>
    <t>in_1SKncHRoJmuqrcvm5AJ1j7zG</t>
  </si>
  <si>
    <t>609F8A13-1159</t>
  </si>
  <si>
    <t>in_1SKqQ5RoJmuqrcvmbELAwBa6</t>
  </si>
  <si>
    <t>609F8A13-1163</t>
  </si>
  <si>
    <t>in_1SKpWfRoJmuqrcvmJhyy7e2Y</t>
  </si>
  <si>
    <t>609F8A13-1160</t>
  </si>
  <si>
    <t>in_1SL42rRoJmuqrcvmCeBsUDAY</t>
  </si>
  <si>
    <t>609F8A13-1168</t>
  </si>
  <si>
    <t>DESCUENTO GASTO DOCUMENTAL</t>
  </si>
  <si>
    <t>in_1SKpUURoJmuqrcvmQSiSjvIm</t>
  </si>
  <si>
    <t>609F8A13-1162</t>
  </si>
  <si>
    <t>in_1SLBxIRoJmuqrcvm3lgioCtr</t>
  </si>
  <si>
    <t>609F8A13-1173</t>
  </si>
  <si>
    <t>in_1SLBwlRoJmuqrcvmDEAbsuvS</t>
  </si>
  <si>
    <t>609F8A13-1172</t>
  </si>
  <si>
    <t>in_1SLC0lRoJmuqrcvma06ScbLu</t>
  </si>
  <si>
    <t>609F8A13-1174</t>
  </si>
  <si>
    <t>cus_THS1yOgoqXWFgl</t>
  </si>
  <si>
    <t>in_1SMvNTRoJmuqrcvmmizalWRY</t>
  </si>
  <si>
    <t>609F8A13-1204</t>
  </si>
  <si>
    <t>cus_THnfrjTRLDPwg9</t>
  </si>
  <si>
    <t>in_1SMw9MRoJmuqrcvm8riKb963</t>
  </si>
  <si>
    <t>609F8A13-1205</t>
  </si>
  <si>
    <t>cus_TJUFqxYSOMyjuT</t>
  </si>
  <si>
    <t>in_1SMykpRoJmuqrcvmLFbGt1P1</t>
  </si>
  <si>
    <t>609F8A13-1208</t>
  </si>
  <si>
    <t>cus_TJUNXfD41cuj7G</t>
  </si>
  <si>
    <t>in_1SMym0RoJmuqrcvmdEYKuB6O</t>
  </si>
  <si>
    <t>609F8A13-1209</t>
  </si>
  <si>
    <t>in_1SLYRmRoJmuqrcvmSqf76LLR</t>
  </si>
  <si>
    <t>609F8A13-1177</t>
  </si>
  <si>
    <t>in_1SLYZ0RoJmuqrcvm2ynZ9fqY</t>
  </si>
  <si>
    <t>609F8A13-1178</t>
  </si>
  <si>
    <t>in_1SMGqeRoJmuqrcvmYtJapBVv</t>
  </si>
  <si>
    <t>609F8A13-1198</t>
  </si>
  <si>
    <t>in_1SMj85RoJmuqrcvmrwXKMlz0</t>
  </si>
  <si>
    <t>609F8A13-1201</t>
  </si>
  <si>
    <t>in_1SMGWzRoJmuqrcvm2auFMEsr</t>
  </si>
  <si>
    <t>609F8A13-1195</t>
  </si>
  <si>
    <t>in_1SLt2ORoJmuqrcvmq1RcXpQA</t>
  </si>
  <si>
    <t>609F8A13-1183</t>
  </si>
  <si>
    <t>in_1SMGL0RoJmuqrcvmEhiJHxO0</t>
  </si>
  <si>
    <t>609F8A13-1194</t>
  </si>
  <si>
    <t>in_1SMGKPRoJmuqrcvmj3LAU4Oa</t>
  </si>
  <si>
    <t>609F8A13-1193</t>
  </si>
  <si>
    <t>in_1SMGISRoJmuqrcvmCHDOweGB</t>
  </si>
  <si>
    <t>609F8A13-1192</t>
  </si>
  <si>
    <t>in_1SMGHtRoJmuqrcvmRrgdudfu</t>
  </si>
  <si>
    <t>609F8A13-1190</t>
  </si>
  <si>
    <t>in_1SMGFaRoJmuqrcvmliORW4DT</t>
  </si>
  <si>
    <t>609F8A13-1191</t>
  </si>
  <si>
    <t>in_1SMDliRoJmuqrcvm6G0OYXAK</t>
  </si>
  <si>
    <t>609F8A13-1188</t>
  </si>
  <si>
    <t>in_1SMDg9RoJmuqrcvmbl9SWS8B</t>
  </si>
  <si>
    <t>609F8A13-1187</t>
  </si>
  <si>
    <t>in_1SMDZ1RoJmuqrcvmOqfkIzxQ</t>
  </si>
  <si>
    <t>609F8A13-1186</t>
  </si>
  <si>
    <t>in_1SMB7dRoJmuqrcvmCm8a9Be6</t>
  </si>
  <si>
    <t>609F8A13-1185</t>
  </si>
  <si>
    <t>in_1SMB4aRoJmuqrcvmvZJd40vO</t>
  </si>
  <si>
    <t>609F8A13-1184</t>
  </si>
  <si>
    <t>in_1SMGYaRoJmuqrcvmB9c3qVYD</t>
  </si>
  <si>
    <t>609F8A13-1196</t>
  </si>
  <si>
    <t>in_1SMj1qRoJmuqrcvmI9s3iyUB</t>
  </si>
  <si>
    <t>609F8A13-1200</t>
  </si>
  <si>
    <t>in_1SNmWJRoJmuqrcvmXHPyw3lI</t>
  </si>
  <si>
    <t>609F8A13-1213</t>
  </si>
  <si>
    <t>in_1SPhLGRoJmuqrcvmYyVhWaTs</t>
  </si>
  <si>
    <t>609F8A13-1276</t>
  </si>
  <si>
    <t>in_1SLt28RoJmuqrcvm0quE0VfQ</t>
  </si>
  <si>
    <t>609F8A13-1182</t>
  </si>
  <si>
    <t>in_1SOl4jRoJmuqrcvmj9hVRvAm</t>
  </si>
  <si>
    <t>609F8A13-1229</t>
  </si>
  <si>
    <t>in_1SOouNRoJmuqrcvmOzfOXX1Y</t>
  </si>
  <si>
    <t>609F8A13-1241</t>
  </si>
  <si>
    <t>in_1SOos6RoJmuqrcvmHMbMeqVi</t>
  </si>
  <si>
    <t>609F8A13-1240</t>
  </si>
  <si>
    <t>in_1SO3tjRoJmuqrcvmhHDLzVip</t>
  </si>
  <si>
    <t>609F8A13-1222</t>
  </si>
  <si>
    <t>in_1SOSlVRoJmuqrcvmqMKHvG7X</t>
  </si>
  <si>
    <t>609F8A13-1226</t>
  </si>
  <si>
    <t>in_1SOlKBRoJmuqrcvmw5yYY5Eo</t>
  </si>
  <si>
    <t>609F8A13-1230</t>
  </si>
  <si>
    <t>in_1SOlPTRoJmuqrcvmz17nIdIE</t>
  </si>
  <si>
    <t>609F8A13-1231</t>
  </si>
  <si>
    <t>in_1SOlRdRoJmuqrcvm8XrVlUpv</t>
  </si>
  <si>
    <t>609F8A13-1232</t>
  </si>
  <si>
    <t>in_1SOon8RoJmuqrcvmFYTcUl8h</t>
  </si>
  <si>
    <t>609F8A13-1251</t>
  </si>
  <si>
    <t>in_1SOomuRoJmuqrcvmxk4pL4Cb</t>
  </si>
  <si>
    <t>609F8A13-1246</t>
  </si>
  <si>
    <t>in_1SPNDBRoJmuqrcvm03NgD95L</t>
  </si>
  <si>
    <t>609F8A13-1265</t>
  </si>
  <si>
    <t>in_1SPVCgRoJmuqrcvm1lXvVNYy</t>
  </si>
  <si>
    <t>609F8A13-1271</t>
  </si>
  <si>
    <t>in_1SPMuVRoJmuqrcvmGStMWgzG</t>
  </si>
  <si>
    <t>609F8A13-1264</t>
  </si>
  <si>
    <t>in_1SOomeRoJmuqrcvm9vPMZW6U</t>
  </si>
  <si>
    <t>609F8A13-1254</t>
  </si>
  <si>
    <t>in_1SOnn1RoJmuqrcvmifdVeNbp</t>
  </si>
  <si>
    <t>609F8A13-1238</t>
  </si>
  <si>
    <t>in_1SOmqXRoJmuqrcvmH1OcOQvo</t>
  </si>
  <si>
    <t>609F8A13-1233</t>
  </si>
  <si>
    <t>in_1SPPO9RoJmuqrcvmPBZOdsJb</t>
  </si>
  <si>
    <t>609F8A13-1267</t>
  </si>
  <si>
    <t>in_1SPPM1RoJmuqrcvmOkjdWHz4</t>
  </si>
  <si>
    <t>609F8A13-1266</t>
  </si>
  <si>
    <t>in_1SREIfRoJmuqrcvmoIGw8ZzW</t>
  </si>
  <si>
    <t>609F8A13-1305</t>
  </si>
  <si>
    <t>in_1SOomuRoJmuqrcvmyltelCxF</t>
  </si>
  <si>
    <t>609F8A13-1245</t>
  </si>
  <si>
    <t>in_1SQ9vHRoJmuqrcvmkR05G2Bl</t>
  </si>
  <si>
    <t>609F8A13-1279</t>
  </si>
  <si>
    <t>in_1SQA1dRoJmuqrcvmvKIqbTaF</t>
  </si>
  <si>
    <t>609F8A13-1280</t>
  </si>
  <si>
    <t>in_1SSoRXRoJmuqrcvmBHj6kFw1</t>
  </si>
  <si>
    <t>609F8A13-1335</t>
  </si>
  <si>
    <t>DESCUENTO GASTO DOCUMENTAL (CUOTA NETEADA)</t>
  </si>
  <si>
    <t>in_1SOojuRoJmuqrcvmPyCYMTTk</t>
  </si>
  <si>
    <t>609F8A13-1244</t>
  </si>
  <si>
    <t>in_1SPPVFRoJmuqrcvm86ezZznA</t>
  </si>
  <si>
    <t>609F8A13-1268</t>
  </si>
  <si>
    <t>in_1SOnmNRoJmuqrcvm6PWqFsdh</t>
  </si>
  <si>
    <t>609F8A13-1237</t>
  </si>
  <si>
    <t>in_1SOojuRoJmuqrcvmjUEH4Vlu</t>
  </si>
  <si>
    <t>609F8A13-1242</t>
  </si>
  <si>
    <t>in_1SOon8RoJmuqrcvmbwDtXG8s</t>
  </si>
  <si>
    <t>609F8A13-1252</t>
  </si>
  <si>
    <t>in_1SOojuRoJmuqrcvmkUYUPofW</t>
  </si>
  <si>
    <t>609F8A13-1248</t>
  </si>
  <si>
    <t>in_1SPVLbRoJmuqrcvmR4aQGVAM</t>
  </si>
  <si>
    <t>609F8A13-1272</t>
  </si>
  <si>
    <t>cus_TLVVVFnFZdunLb</t>
  </si>
  <si>
    <t>in_1SQXZ0RoJmuqrcvmNxr2iUhc</t>
  </si>
  <si>
    <t>609F8A13-1290</t>
  </si>
  <si>
    <t>in_1SQEfIRoJmuqrcvmjT3nik2p</t>
  </si>
  <si>
    <t>609F8A13-1284</t>
  </si>
  <si>
    <t>in_1SQEcFRoJmuqrcvm0pjyEjhJ</t>
  </si>
  <si>
    <t>609F8A13-1282</t>
  </si>
  <si>
    <t>in_1SQEY8RoJmuqrcvmyouNkHu4</t>
  </si>
  <si>
    <t>609F8A13-1281</t>
  </si>
  <si>
    <t>in_1SQEcpRoJmuqrcvmvZEIE9pj</t>
  </si>
  <si>
    <t>609F8A13-1283</t>
  </si>
  <si>
    <t>in_1SP9KiRoJmuqrcvmfBH8PX1x</t>
  </si>
  <si>
    <t>609F8A13-1259</t>
  </si>
  <si>
    <t>in_1SRyReRoJmuqrcvmn2wTVibx</t>
  </si>
  <si>
    <t>609F8A13-1313</t>
  </si>
  <si>
    <t>in_1SSvaGRoJmuqrcvmy2mMFFo8</t>
  </si>
  <si>
    <t>609F8A13-1336</t>
  </si>
  <si>
    <t>cus_TMhrl8EKPf5nQN</t>
  </si>
  <si>
    <t>in_1SR0q6RoJmuqrcvmubrH3kEr</t>
  </si>
  <si>
    <t>609F8A13-1304</t>
  </si>
  <si>
    <t>in_1SQtUWRoJmuqrcvmLy9xNoir</t>
  </si>
  <si>
    <t>609F8A13-1297</t>
  </si>
  <si>
    <t>in_1SPv5JRoJmuqrcvm1wNGRtAl</t>
  </si>
  <si>
    <t>609F8A13-1277</t>
  </si>
  <si>
    <t>in_1SQd65RoJmuqrcvmP8zhbxLo</t>
  </si>
  <si>
    <t>609F8A13-1295</t>
  </si>
  <si>
    <t>in_1SQd76RoJmuqrcvmehxXVWrR</t>
  </si>
  <si>
    <t>609F8A13-1294</t>
  </si>
  <si>
    <t>in_1SSimeRoJmuqrcvmUM9Mm74O</t>
  </si>
  <si>
    <t>609F8A13-1334</t>
  </si>
  <si>
    <t>in_1SQd6pRoJmuqrcvmQFNBJJd6</t>
  </si>
  <si>
    <t>609F8A13-1296</t>
  </si>
  <si>
    <t>in_1SRKBtRoJmuqrcvmSFQeAYzn</t>
  </si>
  <si>
    <t>609F8A13-1307</t>
  </si>
  <si>
    <t>in_1SSRZxRoJmuqrcvmpyrDoA8N</t>
  </si>
  <si>
    <t>609F8A13-1328</t>
  </si>
  <si>
    <t>in_1SSPcNRoJmuqrcvm0wLljzIB</t>
  </si>
  <si>
    <t>609F8A13-1319</t>
  </si>
  <si>
    <t>in_1SSRUcRoJmuqrcvmSeOlgRa5</t>
  </si>
  <si>
    <t>609F8A13-1325</t>
  </si>
  <si>
    <t>in_1SSRWuRoJmuqrcvme4bASxH7</t>
  </si>
  <si>
    <t>609F8A13-1326</t>
  </si>
  <si>
    <t>in_1SSQXuRoJmuqrcvmXS4iwQkA</t>
  </si>
  <si>
    <t>609F8A13-1323</t>
  </si>
  <si>
    <t>cus_TQZwvxbG0Z6ENG</t>
  </si>
  <si>
    <t>in_1STinNRoJmuqrcvmdV5TlPi3</t>
  </si>
  <si>
    <t>609F8A13-1351</t>
  </si>
  <si>
    <t>in_1SSecYRoJmuqrcvm7Bkvt1Az</t>
  </si>
  <si>
    <t>609F8A13-1333</t>
  </si>
  <si>
    <t>in_1SSearRoJmuqrcvmhy10SVso</t>
  </si>
  <si>
    <t>609F8A13-1332</t>
  </si>
  <si>
    <t>in_1SSRUcRoJmuqrcvmhSCwUfkP</t>
  </si>
  <si>
    <t>609F8A13-1324</t>
  </si>
  <si>
    <t>in_1SVh99RoJmuqrcvm105D2Evf</t>
  </si>
  <si>
    <t>609F8A13-1381</t>
  </si>
  <si>
    <t>in_1SSeYXRoJmuqrcvmCzJnvnjj</t>
  </si>
  <si>
    <t>609F8A13-1331</t>
  </si>
  <si>
    <t>in_1SSRXRRoJmuqrcvmCjr1bQva</t>
  </si>
  <si>
    <t>609F8A13-1327</t>
  </si>
  <si>
    <t>cus_TRNVHL8M71rUKF</t>
  </si>
  <si>
    <t>in_1SUYEWRoJmuqrcvmtAM3Ybsd</t>
  </si>
  <si>
    <t>609F8A13-1360</t>
  </si>
  <si>
    <t>cus_TNjwOb7MNcjL38</t>
  </si>
  <si>
    <t>in_1SU2yeRoJmuqrcvmHD3vBZIW</t>
  </si>
  <si>
    <t>609F8A13-1354</t>
  </si>
  <si>
    <t>in_1STX0wRoJmuqrcvmrLzoJR5V</t>
  </si>
  <si>
    <t>609F8A13-1350</t>
  </si>
  <si>
    <t>in_1SO1EqRoJmuqrcvmSuUt3A7Z</t>
  </si>
  <si>
    <t>609F8A13-1219</t>
  </si>
  <si>
    <t>in_1SUFwWRoJmuqrcvmk2alcnZz</t>
  </si>
  <si>
    <t>609F8A13-1357</t>
  </si>
  <si>
    <t>cus_TRSNmwwx9x8WZg</t>
  </si>
  <si>
    <t>in_1SUb3iRoJmuqrcvmN39nEArM</t>
  </si>
  <si>
    <t>609F8A13-1363</t>
  </si>
  <si>
    <t>in_1SUFtiRoJmuqrcvmcmMH4fav</t>
  </si>
  <si>
    <t>609F8A13-1358</t>
  </si>
  <si>
    <t>in_1STixmRoJmuqrcvmm1DJpwuZ</t>
  </si>
  <si>
    <t>609F8A13-1352</t>
  </si>
  <si>
    <t>in_1SXwKORoJmuqrcvmKNib0qbo</t>
  </si>
  <si>
    <t>609F8A13-1439</t>
  </si>
  <si>
    <t>cus_TPFXyN57ryi3Fj</t>
  </si>
  <si>
    <t>in_1SViW0RoJmuqrcvmZUXCMTPl</t>
  </si>
  <si>
    <t>609F8A13-1384</t>
  </si>
  <si>
    <t>cus_TSUfn0ssgISD9N</t>
  </si>
  <si>
    <t>in_1SVmHYRoJmuqrcvmpupNnsFR</t>
  </si>
  <si>
    <t>609F8A13-1387</t>
  </si>
  <si>
    <t>in_1SWQacRoJmuqrcvmdmksD65r</t>
  </si>
  <si>
    <t>609F8A13-1398</t>
  </si>
  <si>
    <t>in_1SW19XRoJmuqrcvmVhg0Q6hC</t>
  </si>
  <si>
    <t>609F8A13-1389</t>
  </si>
  <si>
    <t>in_1SVLLvRoJmuqrcvm0vr4BIRv</t>
  </si>
  <si>
    <t>609F8A13-1374</t>
  </si>
  <si>
    <t>in_1SWrIORoJmuqrcvmS3QIWsA5</t>
  </si>
  <si>
    <t>609F8A13-1404</t>
  </si>
  <si>
    <t>in_1SVJRFRoJmuqrcvmyyN0mySg</t>
  </si>
  <si>
    <t>609F8A13-1373</t>
  </si>
  <si>
    <t>in_1SViiJRoJmuqrcvmvUygLC8N</t>
  </si>
  <si>
    <t>609F8A13-1385</t>
  </si>
  <si>
    <t>in_1SW2N5RoJmuqrcvmxbDXjvwx</t>
  </si>
  <si>
    <t>609F8A13-1390</t>
  </si>
  <si>
    <t>in_1SW5BxRoJmuqrcvmLm4LxLtr</t>
  </si>
  <si>
    <t>609F8A13-1395</t>
  </si>
  <si>
    <t>in_1SW4IuRoJmuqrcvmLLF5Ud39</t>
  </si>
  <si>
    <t>609F8A13-1394</t>
  </si>
  <si>
    <t>cus_TSrT3r1tZj0T2w</t>
  </si>
  <si>
    <t>in_1SX8hTRoJmuqrcvmmfWSZnLn</t>
  </si>
  <si>
    <t>609F8A13-1406</t>
  </si>
  <si>
    <t>in_1SW4FYRoJmuqrcvmAQRCnSrR</t>
  </si>
  <si>
    <t>609F8A13-1392</t>
  </si>
  <si>
    <t>in_1SW4FRRoJmuqrcvm5yB52WVz</t>
  </si>
  <si>
    <t>609F8A13-1393</t>
  </si>
  <si>
    <t>cus_TNPLF6fNTlcxcJ</t>
  </si>
  <si>
    <t>in_1SXAlXRoJmuqrcvmzUQIOXwn</t>
  </si>
  <si>
    <t>609F8A13-1415</t>
  </si>
  <si>
    <t>CLIENTE ELIMINADO</t>
  </si>
  <si>
    <t>in_1SUudURoJmuqrcvm1DQ335AS</t>
  </si>
  <si>
    <t>609F8A13-1368</t>
  </si>
  <si>
    <t>in_1SXkiwRoJmuqrcvmEyz3PVdt</t>
  </si>
  <si>
    <t>609F8A13-1435</t>
  </si>
  <si>
    <t>in_1SXkkQRoJmuqrcvm5wyEv3Vw</t>
  </si>
  <si>
    <t>609F8A13-1436</t>
  </si>
  <si>
    <t>in_1SWnGVRoJmuqrcvmV9ByjZ9s</t>
  </si>
  <si>
    <t>609F8A13-1403</t>
  </si>
  <si>
    <t>in_1SWnGkRoJmuqrcvm6MMbYIcO</t>
  </si>
  <si>
    <t>609F8A13-1402</t>
  </si>
  <si>
    <t>cus_TULgcMuA89NNrf</t>
  </si>
  <si>
    <t>in_1SXr6kRoJmuqrcvm58Pps3TL</t>
  </si>
  <si>
    <t>609F8A13-1438</t>
  </si>
  <si>
    <t>in_1SYwEtRoJmuqrcvmv6wfx4Io</t>
  </si>
  <si>
    <t>609F8A13-1450</t>
  </si>
  <si>
    <t>in_1SYwYGRoJmuqrcvmKPAUEmbG</t>
  </si>
  <si>
    <t>609F8A13-1452</t>
  </si>
  <si>
    <t>in_1SYxW7RoJmuqrcvm6rj3m2Cy</t>
  </si>
  <si>
    <t>609F8A13-1453</t>
  </si>
  <si>
    <t>in_1SYxY3RoJmuqrcvm9BHUE9pN</t>
  </si>
  <si>
    <t>609F8A13-1454</t>
  </si>
  <si>
    <t>cus_TVDELMKVOcx8YQ</t>
  </si>
  <si>
    <t>in_1SYCoRRoJmuqrcvmBHYkZOUy</t>
  </si>
  <si>
    <t>609F8A13-1441</t>
  </si>
  <si>
    <t>in_1SXBGoRoJmuqrcvmDDCWrcU0</t>
  </si>
  <si>
    <t>609F8A13-1416</t>
  </si>
  <si>
    <t>in_1SYSqaRoJmuqrcvmP8jrXSDT</t>
  </si>
  <si>
    <t>609F8A13-1447</t>
  </si>
  <si>
    <t>in_1SZafiRoJmuqrcvmfr9BROtr</t>
  </si>
  <si>
    <t>609F8A13-1467</t>
  </si>
  <si>
    <t>TRANSFE</t>
  </si>
  <si>
    <t>in_1SX7ooRoJmuqrcvmRjaJwUGZ</t>
  </si>
  <si>
    <t>609F8A13-1409</t>
  </si>
  <si>
    <t>in_1SXVcuRoJmuqrcvmHpPSRwup</t>
  </si>
  <si>
    <t>609F8A13-1434</t>
  </si>
  <si>
    <t>in_1SXARsRoJmuqrcvmREmTnukV</t>
  </si>
  <si>
    <t>609F8A13-1414</t>
  </si>
  <si>
    <t>in_1SXVKjRoJmuqrcvmZWrKsKEa</t>
  </si>
  <si>
    <t>609F8A13-1433</t>
  </si>
  <si>
    <t>in_1SXVJ5RoJmuqrcvmXu38OULo</t>
  </si>
  <si>
    <t>609F8A13-1432</t>
  </si>
  <si>
    <t>in_1SXCCeRoJmuqrcvmYpJOpcva</t>
  </si>
  <si>
    <t>609F8A13-1420</t>
  </si>
  <si>
    <t>in_1SXV7ARoJmuqrcvmhyZv25qz</t>
  </si>
  <si>
    <t>609F8A13-1431</t>
  </si>
  <si>
    <t>in_1SXV6ARoJmuqrcvmmns1XmAU</t>
  </si>
  <si>
    <t>609F8A13-1428</t>
  </si>
  <si>
    <t>in_1SXV4sRoJmuqrcvmERS2vsKO</t>
  </si>
  <si>
    <t>609F8A13-1430</t>
  </si>
  <si>
    <t>in_1SXV3fRoJmuqrcvmJYo9ukfS</t>
  </si>
  <si>
    <t>609F8A13-1429</t>
  </si>
  <si>
    <t>in_1SXV1dRoJmuqrcvmX4RsKz9P</t>
  </si>
  <si>
    <t>609F8A13-1427</t>
  </si>
  <si>
    <t>in_1SZavjRoJmuqrcvm2evYVqA1</t>
  </si>
  <si>
    <t>609F8A13-1468</t>
  </si>
  <si>
    <t>in_1SXSXXRoJmuqrcvmjeV4Ex3T</t>
  </si>
  <si>
    <t>609F8A13-1426</t>
  </si>
  <si>
    <t>in_1SXC92RoJmuqrcvm0LM67cDy</t>
  </si>
  <si>
    <t>609F8A13-1421</t>
  </si>
  <si>
    <t>in_1SXSShRoJmuqrcvmz6DxRej3</t>
  </si>
  <si>
    <t>609F8A13-1425</t>
  </si>
  <si>
    <t>in_1SX8kPRoJmuqrcvm1Ym7fMGZ</t>
  </si>
  <si>
    <t>609F8A13-1413</t>
  </si>
  <si>
    <t>in_1SXSLWRoJmuqrcvmgMNrzgw4</t>
  </si>
  <si>
    <t>609F8A13-1424</t>
  </si>
  <si>
    <t>in_1SXPtARoJmuqrcvmH1uGWaL6</t>
  </si>
  <si>
    <t>609F8A13-1422</t>
  </si>
  <si>
    <t>in_1SXPqmRoJmuqrcvmqAhHYJBA</t>
  </si>
  <si>
    <t>609F8A13-1423</t>
  </si>
  <si>
    <t>in_1SYEBLRoJmuqrcvmJKBhq6Ga</t>
  </si>
  <si>
    <t>609F8A13-1444</t>
  </si>
  <si>
    <t>in_1SZFXLRoJmuqrcvmFB7ADcGh</t>
  </si>
  <si>
    <t>609F8A13-1455</t>
  </si>
  <si>
    <t>in_1SZcw4RoJmuqrcvmcM8FilUF</t>
  </si>
  <si>
    <t>609F8A13-1471</t>
  </si>
  <si>
    <t>in_1SZcxbRoJmuqrcvmrL2WCokl</t>
  </si>
  <si>
    <t>609F8A13-1472</t>
  </si>
  <si>
    <t>in_1SZcyARoJmuqrcvmez8eLGtW</t>
  </si>
  <si>
    <t>609F8A13-1473</t>
  </si>
  <si>
    <t>cus_TV9TCLvrH14BYR</t>
  </si>
  <si>
    <t>in_1SZdBwRoJmuqrcvmmVTII2O0</t>
  </si>
  <si>
    <t>609F8A13-1475</t>
  </si>
  <si>
    <t>in_1Sa6bxRoJmuqrcvmdyJvmkXt</t>
  </si>
  <si>
    <t>609F8A13-1508</t>
  </si>
  <si>
    <t>cus_TSWtnCwxDygf3C</t>
  </si>
  <si>
    <t>in_1SaGtNRoJmuqrcvmk6RMURpk</t>
  </si>
  <si>
    <t>609F8A13-1513</t>
  </si>
  <si>
    <t>in_1SZJbURoJmuqrcvmd8KW7Dsv</t>
  </si>
  <si>
    <t>609F8A13-1458</t>
  </si>
  <si>
    <t>in_1SZJb8RoJmuqrcvmySFJu7uo</t>
  </si>
  <si>
    <t>609F8A13-1459</t>
  </si>
  <si>
    <t>cus_TVYCbzNFUZU82Q</t>
  </si>
  <si>
    <t>in_1Sa5fNRoJmuqrcvmVJ7oAEub</t>
  </si>
  <si>
    <t>609F8A13-1504</t>
  </si>
  <si>
    <t>in_1SZIfLRoJmuqrcvmg5dXCbBz</t>
  </si>
  <si>
    <t>609F8A13-1457</t>
  </si>
  <si>
    <t>in_1Sjl8nRoJmuqrcvmWxO5EyQ7</t>
  </si>
  <si>
    <t>609F8A13-1643</t>
  </si>
  <si>
    <t>in_1Sju58RoJmuqrcvmCkQojNrp</t>
  </si>
  <si>
    <t>609F8A13-1648</t>
  </si>
  <si>
    <t>in_1SaZ50RoJmuqrcvmqSK74Jut</t>
  </si>
  <si>
    <t>609F8A13-1521</t>
  </si>
  <si>
    <t>in_1SZL2XRoJmuqrcvmELgMrQeY</t>
  </si>
  <si>
    <t>609F8A13-1463</t>
  </si>
  <si>
    <t>in_1SZaS2RoJmuqrcvm0hmGo9En</t>
  </si>
  <si>
    <t>609F8A13-1466</t>
  </si>
  <si>
    <t>in_1SZaN7RoJmuqrcvmVtkJF4cR</t>
  </si>
  <si>
    <t>609F8A13-1465</t>
  </si>
  <si>
    <t>in_1SZaMKRoJmuqrcvmtcyvjhaz</t>
  </si>
  <si>
    <t>609F8A13-1464</t>
  </si>
  <si>
    <t>in_1SZh3GRoJmuqrcvm5ee8pXX7</t>
  </si>
  <si>
    <t>609F8A13-1489</t>
  </si>
  <si>
    <t>in_1SZh25RoJmuqrcvm4vLAY5yJ</t>
  </si>
  <si>
    <t>609F8A13-1490</t>
  </si>
  <si>
    <t>in_1Sa7sARoJmuqrcvmUW40hmAf</t>
  </si>
  <si>
    <t>609F8A13-1510</t>
  </si>
  <si>
    <t>in_1SbkJDRoJmuqrcvmeU5cVL3D</t>
  </si>
  <si>
    <t>609F8A13-1534</t>
  </si>
  <si>
    <t>CUOTA ORIGINAL EUR 6,600 / CAMBIO POR PAGO CLP</t>
  </si>
  <si>
    <t>in_1SZh76RoJmuqrcvmDMFkG6pa</t>
  </si>
  <si>
    <t>609F8A13-1497</t>
  </si>
  <si>
    <t>in_1Sa84dRoJmuqrcvmQUxoe12d</t>
  </si>
  <si>
    <t>609F8A13-1512</t>
  </si>
  <si>
    <t>in_1SZf95RoJmuqrcvmjeEkmjNI</t>
  </si>
  <si>
    <t>609F8A13-1477</t>
  </si>
  <si>
    <t>in_1Sb0sARoJmuqrcvmBG74NdvB</t>
  </si>
  <si>
    <t>609F8A13-1524</t>
  </si>
  <si>
    <t>in_1Sb0rbRoJmuqrcvmOO0RqR0o</t>
  </si>
  <si>
    <t>609F8A13-1523</t>
  </si>
  <si>
    <t>in_1Sa7yYRoJmuqrcvmlBADmwZW</t>
  </si>
  <si>
    <t>609F8A13-1511</t>
  </si>
  <si>
    <t>in_1SZh25RoJmuqrcvm66F5qcAh</t>
  </si>
  <si>
    <t>609F8A13-1486</t>
  </si>
  <si>
    <t>in_1SZfAERoJmuqrcvmseorZFv3</t>
  </si>
  <si>
    <t>609F8A13-1478</t>
  </si>
  <si>
    <t>in_1SZg5IRoJmuqrcvmP2CA6ZBm</t>
  </si>
  <si>
    <t>609F8A13-1483</t>
  </si>
  <si>
    <t>in_1SZh7GRoJmuqrcvmnKzzaid7</t>
  </si>
  <si>
    <t>609F8A13-1495</t>
  </si>
  <si>
    <t>in_1SZh37RoJmuqrcvmVSwBO5Iv</t>
  </si>
  <si>
    <t>609F8A13-1491</t>
  </si>
  <si>
    <t>in_1Sb4H8RoJmuqrcvmdsUzXEe3</t>
  </si>
  <si>
    <t>609F8A13-1526</t>
  </si>
  <si>
    <t>in_1SbSB2RoJmuqrcvmHHNVqjrB</t>
  </si>
  <si>
    <t>609F8A13-1528</t>
  </si>
  <si>
    <t>in_1SbSC4RoJmuqrcvmv9XZfcxC</t>
  </si>
  <si>
    <t>609F8A13-1529</t>
  </si>
  <si>
    <t>in_1SZg5WRoJmuqrcvm7MQ9epGe</t>
  </si>
  <si>
    <t>609F8A13-1481</t>
  </si>
  <si>
    <t>in_1SZh36RoJmuqrcvmJycnRpzn</t>
  </si>
  <si>
    <t>609F8A13-1494</t>
  </si>
  <si>
    <t>in_1SZh3GRoJmuqrcvmjbnLoIez</t>
  </si>
  <si>
    <t>609F8A13-1492</t>
  </si>
  <si>
    <t>in_1SZh37RoJmuqrcvmEdrOyF9O</t>
  </si>
  <si>
    <t>609F8A13-1488</t>
  </si>
  <si>
    <t>in_1Sa7jWRoJmuqrcvm5jRQ5rUR</t>
  </si>
  <si>
    <t>609F8A13-1509</t>
  </si>
  <si>
    <t>in_1SZh1rRoJmuqrcvmQgAnK8jF</t>
  </si>
  <si>
    <t>609F8A13-1485</t>
  </si>
  <si>
    <t>in_1SaJSKRoJmuqrcvmZ6RSz7oF</t>
  </si>
  <si>
    <t>609F8A13-1514</t>
  </si>
  <si>
    <t>in_1SaJUaRoJmuqrcvmkYnwjYhl</t>
  </si>
  <si>
    <t>609F8A13-1515</t>
  </si>
  <si>
    <t>in_1SaJV6RoJmuqrcvmY0UzhZJl</t>
  </si>
  <si>
    <t>609F8A13-1516</t>
  </si>
  <si>
    <t>in_1SaJVcRoJmuqrcvmGyZ67sVY</t>
  </si>
  <si>
    <t>609F8A13-1517</t>
  </si>
  <si>
    <t>in_1Sa1dHRoJmuqrcvmJ33etZaW</t>
  </si>
  <si>
    <t>609F8A13-1499</t>
  </si>
  <si>
    <t>in_1ScWs9RoJmuqrcvml8S9BqAV</t>
  </si>
  <si>
    <t>609F8A13-1539</t>
  </si>
  <si>
    <t>in_1SanO9RoJmuqrcvm9l0fQ8xR</t>
  </si>
  <si>
    <t>609F8A13-1522</t>
  </si>
  <si>
    <t>cus_TXA2IERXlpOTSs</t>
  </si>
  <si>
    <t>in_1Sc4uuRoJmuqrcvmbdsv0OnP</t>
  </si>
  <si>
    <t>609F8A13-1535</t>
  </si>
  <si>
    <t>in_1ScIW7RoJmuqrcvmZWHuGPKM</t>
  </si>
  <si>
    <t>609F8A13-1537</t>
  </si>
  <si>
    <t>in_1SbVTtRoJmuqrcvmanjVCxC1</t>
  </si>
  <si>
    <t>609F8A13-1532</t>
  </si>
  <si>
    <t>in_1SbUSsRoJmuqrcvmwaLW9mfx</t>
  </si>
  <si>
    <t>609F8A13-1530</t>
  </si>
  <si>
    <t>in_1ScIY9RoJmuqrcvmzslQmqik</t>
  </si>
  <si>
    <t>609F8A13-1538</t>
  </si>
  <si>
    <t>in_1ScCUhRoJmuqrcvmUvSRIGYZ</t>
  </si>
  <si>
    <t>609F8A13-1536</t>
  </si>
  <si>
    <t>cus_TV4BhJ43JKAIyl</t>
  </si>
  <si>
    <t>in_1SYDUlRoJmuqrcvmYVbOz4ZV</t>
  </si>
  <si>
    <t>609F8A13-1442</t>
  </si>
  <si>
    <t>in_1Sdfu0RoJmuqrcvmBNyU0re4</t>
  </si>
  <si>
    <t>609F8A13-1557</t>
  </si>
  <si>
    <t>in_1SdHucRoJmuqrcvmq4db6FS4</t>
  </si>
  <si>
    <t>609F8A13-1546</t>
  </si>
  <si>
    <t>in_1SdJpIRoJmuqrcvmrPiPN5nx</t>
  </si>
  <si>
    <t>609F8A13-1550</t>
  </si>
  <si>
    <t>in_1SdJq9RoJmuqrcvmer1jYzCv</t>
  </si>
  <si>
    <t>609F8A13-1551</t>
  </si>
  <si>
    <t>VISA</t>
  </si>
  <si>
    <t>in_1Scr8DRoJmuqrcvmvRjnnTY4</t>
  </si>
  <si>
    <t>609F8A13-1540</t>
  </si>
  <si>
    <t>in_1SdIqxRoJmuqrcvmlq3NrFJ3</t>
  </si>
  <si>
    <t>609F8A13-1547</t>
  </si>
  <si>
    <t>cus_Tbv38GHAt9rYVF</t>
  </si>
  <si>
    <t>in_1SehDeRoJmuqrcvmVoVXwYj1</t>
  </si>
  <si>
    <t>609F8A13-1562</t>
  </si>
  <si>
    <t>in_1SdhwVRoJmuqrcvm43HzqkqJ</t>
  </si>
  <si>
    <t>609F8A13-1558</t>
  </si>
  <si>
    <t>in_1SdhxTRoJmuqrcvmpxk3Fk4c</t>
  </si>
  <si>
    <t>609F8A13-1559</t>
  </si>
  <si>
    <t>in_1SdJpIRoJmuqrcvm37Nt6Lz5</t>
  </si>
  <si>
    <t>609F8A13-1549</t>
  </si>
  <si>
    <t>in_1SdHvURoJmuqrcvmNiqs8Mkw</t>
  </si>
  <si>
    <t>609F8A13-1544</t>
  </si>
  <si>
    <t>in_1SdJmJRoJmuqrcvmnoc6iFw5</t>
  </si>
  <si>
    <t>609F8A13-1548</t>
  </si>
  <si>
    <t>in_1SePEZRoJmuqrcvmbKqKSlIh</t>
  </si>
  <si>
    <t>609F8A13-1561</t>
  </si>
  <si>
    <t>in_1SekkfRoJmuqrcvm70YHbLX5</t>
  </si>
  <si>
    <t>609F8A13-1566</t>
  </si>
  <si>
    <t>in_1Sf8BeRoJmuqrcvmIkRVYy1V</t>
  </si>
  <si>
    <t>609F8A13-1568</t>
  </si>
  <si>
    <t>in_1SjoYBRoJmuqrcvmKr8nFRnX</t>
  </si>
  <si>
    <t>609F8A13-1644</t>
  </si>
  <si>
    <t>CLIENTE PUESTO EN PAUSA</t>
  </si>
  <si>
    <t>cus_TcbZZDQp2M4oP5</t>
  </si>
  <si>
    <t>in_1Sh9ciRoJmuqrcvmaQgTZ95r</t>
  </si>
  <si>
    <t>609F8A13-1596</t>
  </si>
  <si>
    <t>in_1SgDdeRoJmuqrcvmjAiAbh4n</t>
  </si>
  <si>
    <t>609F8A13-1588</t>
  </si>
  <si>
    <t>in_1Sii7mRoJmuqrcvm8SJcP5Vv</t>
  </si>
  <si>
    <t>609F8A13-1626</t>
  </si>
  <si>
    <t>in_1SiiyMRoJmuqrcvmTWwASkS7</t>
  </si>
  <si>
    <t>609F8A13-1629</t>
  </si>
  <si>
    <t>in_1Sij0iRoJmuqrcvmgnogWUsh</t>
  </si>
  <si>
    <t>609F8A13-1630</t>
  </si>
  <si>
    <t>in_1Sij19RoJmuqrcvmnadHRlgr</t>
  </si>
  <si>
    <t>609F8A13-1631</t>
  </si>
  <si>
    <t>in_1Sij2ERoJmuqrcvmqXwXQ70J</t>
  </si>
  <si>
    <t>609F8A13-1632</t>
  </si>
  <si>
    <t>in_1Sij57RoJmuqrcvmDNJbiCRm</t>
  </si>
  <si>
    <t>609F8A13-1633</t>
  </si>
  <si>
    <t>in_1Sij61RoJmuqrcvmRChel7zI</t>
  </si>
  <si>
    <t>609F8A13-1634</t>
  </si>
  <si>
    <t>in_1Sij6cRoJmuqrcvm8My3cWWx</t>
  </si>
  <si>
    <t>609F8A13-1635</t>
  </si>
  <si>
    <t>in_1SoMzKRoJmuqrcvm4n5fSZTa</t>
  </si>
  <si>
    <t>609F8A13-1736</t>
  </si>
  <si>
    <t>in_1SolBFRoJmuqrcvm5FBTC1v5</t>
  </si>
  <si>
    <t>609F8A13-1753</t>
  </si>
  <si>
    <t>in_1Sol9mRoJmuqrcvmfX0LSrKU</t>
  </si>
  <si>
    <t>609F8A13-1752</t>
  </si>
  <si>
    <t>in_1SolDCRoJmuqrcvmQoQjRlD3</t>
  </si>
  <si>
    <t>609F8A13-1754</t>
  </si>
  <si>
    <t>in_1SgBjLRoJmuqrcvmuJD7lGtm</t>
  </si>
  <si>
    <t>609F8A13-1587</t>
  </si>
  <si>
    <t>in_1ShhJWRoJmuqrcvmz7RBtE7u</t>
  </si>
  <si>
    <t>609F8A13-1603</t>
  </si>
  <si>
    <t>in_1SgugORoJmuqrcvm2zpmlYC0</t>
  </si>
  <si>
    <t>609F8A13-1591</t>
  </si>
  <si>
    <t>in_1SifuoRoJmuqrcvmxIz0K4pd</t>
  </si>
  <si>
    <t>609F8A13-1624</t>
  </si>
  <si>
    <t>in_1SifvTRoJmuqrcvmZvnYl9Su</t>
  </si>
  <si>
    <t>609F8A13-1625</t>
  </si>
  <si>
    <t>in_1SgxUDRoJmuqrcvmjThTrlVQ</t>
  </si>
  <si>
    <t>609F8A13-1595</t>
  </si>
  <si>
    <t>in_1SgwYYRoJmuqrcvmbEcJoqi4</t>
  </si>
  <si>
    <t>609F8A13-1593</t>
  </si>
  <si>
    <t>in_1SgwY3RoJmuqrcvm2euWa2Iz</t>
  </si>
  <si>
    <t>609F8A13-1594</t>
  </si>
  <si>
    <t>in_1SgwXlRoJmuqrcvmm1BA5YnD</t>
  </si>
  <si>
    <t>609F8A13-1592</t>
  </si>
  <si>
    <t>cus_Td36ytwOxxWIrZ</t>
  </si>
  <si>
    <t>in_1SfnioRoJmuqrcvmkC4ez7SY</t>
  </si>
  <si>
    <t>609F8A13-1585</t>
  </si>
  <si>
    <t>in_1SiihWRoJmuqrcvmYkVZ9n9c</t>
  </si>
  <si>
    <t>609F8A13-1628</t>
  </si>
  <si>
    <t>in_1ShI5qRoJmuqrcvm4PKF6hpq</t>
  </si>
  <si>
    <t>609F8A13-1598</t>
  </si>
  <si>
    <t>in_1ShfZ2RoJmuqrcvmS7u3tVdS</t>
  </si>
  <si>
    <t>609F8A13-1602</t>
  </si>
  <si>
    <t>in_1ShfYkRoJmuqrcvm0fTSDJmq</t>
  </si>
  <si>
    <t>609F8A13-1601</t>
  </si>
  <si>
    <t>in_1SiO0JRoJmuqrcvmvwdGRaz4</t>
  </si>
  <si>
    <t>609F8A13-1614</t>
  </si>
  <si>
    <t>cus_Ta1BS6WSpqTDTk</t>
  </si>
  <si>
    <t>in_1SdYENRoJmuqrcvmspc8f0nl</t>
  </si>
  <si>
    <t>609F8A13-1555</t>
  </si>
  <si>
    <t>in_1Si07TRoJmuqrcvmw6srtZbD</t>
  </si>
  <si>
    <t>609F8A13-1605</t>
  </si>
  <si>
    <t>cus_TRlQ7xjtdI46Yh</t>
  </si>
  <si>
    <t>in_1SjrvmRoJmuqrcvmlC7yDLPZ</t>
  </si>
  <si>
    <t>609F8A13-1645</t>
  </si>
  <si>
    <t>in_1SiNv6RoJmuqrcvmEHWgb27s</t>
  </si>
  <si>
    <t>609F8A13-1622</t>
  </si>
  <si>
    <t>in_1SiNcARoJmuqrcvmfe9PXLDu</t>
  </si>
  <si>
    <t>609F8A13-1620</t>
  </si>
  <si>
    <t>in_1Si06sRoJmuqrcvmnvXz5LbW</t>
  </si>
  <si>
    <t>609F8A13-1604</t>
  </si>
  <si>
    <t>in_1SiNP8RoJmuqrcvmRJ9AjQ5O</t>
  </si>
  <si>
    <t>609F8A13-1618</t>
  </si>
  <si>
    <t>in_1SiNOZRoJmuqrcvmMyTqmd4b</t>
  </si>
  <si>
    <t>609F8A13-1619</t>
  </si>
  <si>
    <t>in_1SjsqCRoJmuqrcvmEa8HVifw</t>
  </si>
  <si>
    <t>609F8A13-1646</t>
  </si>
  <si>
    <t>in_1SkUFYRoJmuqrcvmWW7bTehL</t>
  </si>
  <si>
    <t>609F8A13-1657</t>
  </si>
  <si>
    <t>in_1SiNM9RoJmuqrcvm10uFjJk6</t>
  </si>
  <si>
    <t>609F8A13-1616</t>
  </si>
  <si>
    <t>in_1SiNJjRoJmuqrcvmP7WUX1Yc</t>
  </si>
  <si>
    <t>609F8A13-1615</t>
  </si>
  <si>
    <t>in_1SiKqJRoJmuqrcvmYyIRG5Gd</t>
  </si>
  <si>
    <t>609F8A13-1613</t>
  </si>
  <si>
    <t>in_1Si4RtRoJmuqrcvm8jQWPz7r</t>
  </si>
  <si>
    <t>609F8A13-1608</t>
  </si>
  <si>
    <t>in_1SiKkoRoJmuqrcvmLC6UwpKj</t>
  </si>
  <si>
    <t>609F8A13-1612</t>
  </si>
  <si>
    <t>in_1Si12HRoJmuqrcvmQ7uNg5IY</t>
  </si>
  <si>
    <t>609F8A13-1607</t>
  </si>
  <si>
    <t>in_1SiKeARoJmuqrcvmUgxuwrkX</t>
  </si>
  <si>
    <t>609F8A13-1611</t>
  </si>
  <si>
    <t>in_1SiICARoJmuqrcvmO9JdzsJW</t>
  </si>
  <si>
    <t>609F8A13-1610</t>
  </si>
  <si>
    <t>in_1SiI8sRoJmuqrcvmy6jVGBFD</t>
  </si>
  <si>
    <t>609F8A13-1609</t>
  </si>
  <si>
    <t>in_1SiNdLRoJmuqrcvm5ItEyX5S</t>
  </si>
  <si>
    <t>609F8A13-1621</t>
  </si>
  <si>
    <t>in_1Sj6TsRoJmuqrcvmbTwTI6Ap</t>
  </si>
  <si>
    <t>609F8A13-1640</t>
  </si>
  <si>
    <t>in_1SkBtjRoJmuqrcvmC8cWx2i6</t>
  </si>
  <si>
    <t>609F8A13-1653</t>
  </si>
  <si>
    <t>in_1SjS0ORoJmuqrcvm8IyNt1Fd</t>
  </si>
  <si>
    <t>609F8A13-1641</t>
  </si>
  <si>
    <t>in_1SkSCmRoJmuqrcvmTUGY66vp</t>
  </si>
  <si>
    <t>609F8A13-1655</t>
  </si>
  <si>
    <t>in_1Sl9dFRoJmuqrcvmoMmT19wk</t>
  </si>
  <si>
    <t>609F8A13-1682</t>
  </si>
  <si>
    <t>in_1SlA2oRoJmuqrcvmIkJsqbfW</t>
  </si>
  <si>
    <t>609F8A13-1685</t>
  </si>
  <si>
    <t>in_1SkZvaRoJmuqrcvmjSvV1idd</t>
  </si>
  <si>
    <t>609F8A13-1659</t>
  </si>
  <si>
    <t>in_1SlDviRoJmuqrcvmFQLB0adc</t>
  </si>
  <si>
    <t>609F8A13-1688</t>
  </si>
  <si>
    <t>in_1SlDvNRoJmuqrcvmSCtlTVDH</t>
  </si>
  <si>
    <t>609F8A13-1687</t>
  </si>
  <si>
    <t>in_1SlDuRRoJmuqrcvmT44I7Za5</t>
  </si>
  <si>
    <t>609F8A13-1686</t>
  </si>
  <si>
    <t>in_1SkvtiRoJmuqrcvmcX8gwhX5</t>
  </si>
  <si>
    <t>609F8A13-1675</t>
  </si>
  <si>
    <t>in_1SmekYRoJmuqrcvmbrWUc5GQ</t>
  </si>
  <si>
    <t>609F8A13-1711</t>
  </si>
  <si>
    <t>in_1SkvtRRoJmuqrcvmiXbnD2jp</t>
  </si>
  <si>
    <t>609F8A13-1677</t>
  </si>
  <si>
    <t>in_1SmJW7RoJmuqrcvmJ0RUe0la</t>
  </si>
  <si>
    <t>609F8A13-1705</t>
  </si>
  <si>
    <t>in_1SkvsaRoJmuqrcvmYUnzjg0G</t>
  </si>
  <si>
    <t>609F8A13-1674</t>
  </si>
  <si>
    <t>in_1Sg5XTRoJmuqrcvmvtQ9Zs9v</t>
  </si>
  <si>
    <t>609F8A13-1586</t>
  </si>
  <si>
    <t>in_1Sl9uxRoJmuqrcvmrlsnWS6b</t>
  </si>
  <si>
    <t>609F8A13-1683</t>
  </si>
  <si>
    <t>in_1SktuzRoJmuqrcvm0bPlpQwP</t>
  </si>
  <si>
    <t>609F8A13-1660</t>
  </si>
  <si>
    <t>in_1SlGB4RoJmuqrcvmUPmwzt58</t>
  </si>
  <si>
    <t>609F8A13-1692</t>
  </si>
  <si>
    <t>in_1SlGDCRoJmuqrcvmCAwuxQtU</t>
  </si>
  <si>
    <t>609F8A13-1693</t>
  </si>
  <si>
    <t>in_1SlG7DRoJmuqrcvmcN2PN52i</t>
  </si>
  <si>
    <t>609F8A13-1691</t>
  </si>
  <si>
    <t>in_1SmEgTRoJmuqrcvmKiVMODVN</t>
  </si>
  <si>
    <t>609F8A13-1703</t>
  </si>
  <si>
    <t>in_1SkuqyRoJmuqrcvmHj1JFQI3</t>
  </si>
  <si>
    <t>609F8A13-1666</t>
  </si>
  <si>
    <t>in_1SkurFRoJmuqrcvm9OmDygGV</t>
  </si>
  <si>
    <t>609F8A13-1662</t>
  </si>
  <si>
    <t>in_1Skvt5RoJmuqrcvmDYLCx1M1</t>
  </si>
  <si>
    <t>609F8A13-1676</t>
  </si>
  <si>
    <t>in_1Sl9wwRoJmuqrcvmhmpEdxMU</t>
  </si>
  <si>
    <t>609F8A13-1684</t>
  </si>
  <si>
    <t>in_1SkvpGRoJmuqrcvmona2caio</t>
  </si>
  <si>
    <t>609F8A13-1671</t>
  </si>
  <si>
    <t>in_1SlFzdRoJmuqrcvm7mTeSMZR</t>
  </si>
  <si>
    <t>609F8A13-1690</t>
  </si>
  <si>
    <t>in_1SkurHRoJmuqrcvmmyFKnXzl</t>
  </si>
  <si>
    <t>609F8A13-1663</t>
  </si>
  <si>
    <t>in_1SkvpGRoJmuqrcvmC2RpOXOl</t>
  </si>
  <si>
    <t>609F8A13-1672</t>
  </si>
  <si>
    <t>in_1SkvtjRoJmuqrcvmvE7WT2L8</t>
  </si>
  <si>
    <t>609F8A13-1678</t>
  </si>
  <si>
    <t>in_1SkvpGRoJmuqrcvmCS2sa0eX</t>
  </si>
  <si>
    <t>609F8A13-1670</t>
  </si>
  <si>
    <t>in_1SlE2tRoJmuqrcvmZ7d0oppE</t>
  </si>
  <si>
    <t>609F8A13-1689</t>
  </si>
  <si>
    <t>in_1SlGORRoJmuqrcvmeCw05EMy</t>
  </si>
  <si>
    <t>609F8A13-1694</t>
  </si>
  <si>
    <t>in_1SmDe5RoJmuqrcvmP2tzDk6M</t>
  </si>
  <si>
    <t>609F8A13-1702</t>
  </si>
  <si>
    <t>in_1SlHKsRoJmuqrcvmtBuu7Jbx</t>
  </si>
  <si>
    <t>609F8A13-1697</t>
  </si>
  <si>
    <t>cus_TkV3UuvpAWeMuv</t>
  </si>
  <si>
    <t>in_1Sn03dRoJmuqrcvmHvwryk3S</t>
  </si>
  <si>
    <t>609F8A13-1715</t>
  </si>
  <si>
    <t>in_1Sm2A1RoJmuqrcvmdTccgL8Z</t>
  </si>
  <si>
    <t>609F8A13-1699</t>
  </si>
  <si>
    <t>cus_TkalpLtmoW6Lvs</t>
  </si>
  <si>
    <t>ALEM</t>
  </si>
  <si>
    <t>in_1Sp3JCRoJmuqrcvmIMo5iWe6</t>
  </si>
  <si>
    <t>609F8A13-1755</t>
  </si>
  <si>
    <t>in_1SmZwVRoJmuqrcvm3dsXrDmn</t>
  </si>
  <si>
    <t>609F8A13-1710</t>
  </si>
  <si>
    <t>cus_TlChGYJoZF1M9o</t>
  </si>
  <si>
    <t>in_1SngHkRoJmuqrcvmKuG6ruUd</t>
  </si>
  <si>
    <t>609F8A13-1724</t>
  </si>
  <si>
    <t>in_1SnftrRoJmuqrcvmuStgiWnN</t>
  </si>
  <si>
    <t>609F8A13-1723</t>
  </si>
  <si>
    <t>in_1Sp6DHRoJmuqrcvmmVuXx50c</t>
  </si>
  <si>
    <t>609F8A13-1757</t>
  </si>
  <si>
    <t>SALDO PENDIENTE PAGO GRANDE</t>
  </si>
  <si>
    <t>in_1StqBCRoJmuqrcvmaNGBYzfk</t>
  </si>
  <si>
    <t>609F8A13-1849</t>
  </si>
  <si>
    <t>in_1SmkFERoJmuqrcvmjS8Gusbf</t>
  </si>
  <si>
    <t>609F8A13-1714</t>
  </si>
  <si>
    <t>in_1SmkEvRoJmuqrcvmAaTSRTyE</t>
  </si>
  <si>
    <t>609F8A13-1713</t>
  </si>
  <si>
    <t>in_1SnnbQRoJmuqrcvmkctpC8UC</t>
  </si>
  <si>
    <t>609F8A13-1729</t>
  </si>
  <si>
    <t>in_1SmkBwRoJmuqrcvmYT7IIsZu</t>
  </si>
  <si>
    <t>609F8A13-1712</t>
  </si>
  <si>
    <t>cus_Th82R5ZsBIeiRD</t>
  </si>
  <si>
    <t>in_1SnW5MRoJmuqrcvmV5GYPfHQ</t>
  </si>
  <si>
    <t>609F8A13-1721</t>
  </si>
  <si>
    <t>in_1SnRGhRoJmuqrcvmooeZCPBl</t>
  </si>
  <si>
    <t>609F8A13-1720</t>
  </si>
  <si>
    <t>in_1SpB7GRoJmuqrcvm31vLXwXZ</t>
  </si>
  <si>
    <t>609F8A13-1760</t>
  </si>
  <si>
    <t>in_1SoYfTRoJmuqrcvmA9EEToRC</t>
  </si>
  <si>
    <t>609F8A13-1748</t>
  </si>
  <si>
    <t>in_1SoWgdRoJmuqrcvmpeMDts4D</t>
  </si>
  <si>
    <t>609F8A13-1739</t>
  </si>
  <si>
    <t>in_1SoYYiRoJmuqrcvmxm3kb4Cy</t>
  </si>
  <si>
    <t>609F8A13-1744</t>
  </si>
  <si>
    <t>in_1SoYciRoJmuqrcvmungpb23B</t>
  </si>
  <si>
    <t>609F8A13-1745</t>
  </si>
  <si>
    <t>in_1SoXcYRoJmuqrcvmhkQwzKi1</t>
  </si>
  <si>
    <t>609F8A13-1741</t>
  </si>
  <si>
    <t>DESCUENTO PAGO BE ARTZ (EUR 250)</t>
  </si>
  <si>
    <t>in_1Sok3vRoJmuqrcvmxgcs6Hh7</t>
  </si>
  <si>
    <t>609F8A13-1751</t>
  </si>
  <si>
    <t>in_1Sok2fRoJmuqrcvmWInNCWLJ</t>
  </si>
  <si>
    <t>609F8A13-1750</t>
  </si>
  <si>
    <t>in_1SoYYiRoJmuqrcvmiBxI7wSg</t>
  </si>
  <si>
    <t>609F8A13-1743</t>
  </si>
  <si>
    <t>in_1SoWhSRoJmuqrcvmutjkhwax</t>
  </si>
  <si>
    <t>609F8A13-1740</t>
  </si>
  <si>
    <t>in_1SqExMRoJmuqrcvmhVOc5udg</t>
  </si>
  <si>
    <t>609F8A13-1775</t>
  </si>
  <si>
    <t>in_1Sqk2URoJmuqrcvmRWwnoFpm</t>
  </si>
  <si>
    <t>609F8A13-1784</t>
  </si>
  <si>
    <t>in_1SoYdNRoJmuqrcvmJADF2JVa</t>
  </si>
  <si>
    <t>609F8A13-1747</t>
  </si>
  <si>
    <t>cus_TnxiMVdWSVu4JG</t>
  </si>
  <si>
    <t>in_1SqLmtRoJmuqrcvm5gbR7qMG</t>
  </si>
  <si>
    <t>609F8A13-1776</t>
  </si>
  <si>
    <t>in_1Spe5DRoJmuqrcvmxfhETBbz</t>
  </si>
  <si>
    <t>609F8A13-1768</t>
  </si>
  <si>
    <t>cus_ToGFKEULdh1rjZ</t>
  </si>
  <si>
    <t>in_1SqdjIRoJmuqrcvmjwF0qKSl</t>
  </si>
  <si>
    <t>609F8A13-1781</t>
  </si>
  <si>
    <t>in_1SqdoPRoJmuqrcvm3GXRPl61</t>
  </si>
  <si>
    <t>609F8A13-1782</t>
  </si>
  <si>
    <t>in_1Sqk7iRoJmuqrcvmAxWUWtAK</t>
  </si>
  <si>
    <t>609F8A13-1785</t>
  </si>
  <si>
    <t>in_1SpzWqRoJmuqrcvmB5iL80n2</t>
  </si>
  <si>
    <t>609F8A13-1772</t>
  </si>
  <si>
    <t>cus_TnAhVZk020DxiL</t>
  </si>
  <si>
    <t>in_1SpaMJRoJmuqrcvmF73VH0sY</t>
  </si>
  <si>
    <t>609F8A13-1764</t>
  </si>
  <si>
    <t>in_1SqN1HRoJmuqrcvmeZpNA4ml</t>
  </si>
  <si>
    <t>609F8A13-1780</t>
  </si>
  <si>
    <t>in_1SqMxuRoJmuqrcvmuPFDhLce</t>
  </si>
  <si>
    <t>609F8A13-1778</t>
  </si>
  <si>
    <t>in_1SqkCERoJmuqrcvm0IOUcsPh</t>
  </si>
  <si>
    <t>609F8A13-1786</t>
  </si>
  <si>
    <t>in_1SsJfNRoJmuqrcvmJIzPlFhK</t>
  </si>
  <si>
    <t>609F8A13-1805</t>
  </si>
  <si>
    <t>cus_Tq4gR2X3GVUfSI</t>
  </si>
  <si>
    <t>in_1SsOWuRoJmuqrcvmaWyt07K5</t>
  </si>
  <si>
    <t>609F8A13-1807</t>
  </si>
  <si>
    <t>in_1SsOXjRoJmuqrcvmx94D5ROJ</t>
  </si>
  <si>
    <t>609F8A13-1808</t>
  </si>
  <si>
    <t>in_1SrSRCRoJmuqrcvm6PkMicM3</t>
  </si>
  <si>
    <t>609F8A13-1792</t>
  </si>
  <si>
    <t>in_1SrQVtRoJmuqrcvmQrm50QgT</t>
  </si>
  <si>
    <t>609F8A13-1791</t>
  </si>
  <si>
    <t>in_1SqdtWRoJmuqrcvmbFLr82MZ</t>
  </si>
  <si>
    <t>609F8A13-1783</t>
  </si>
  <si>
    <t>in_1SrnuORoJmuqrcvmhdAU9jXt</t>
  </si>
  <si>
    <t>609F8A13-1794</t>
  </si>
  <si>
    <t>in_1Ss9SJRoJmuqrcvmiqSGZPz1</t>
  </si>
  <si>
    <t>609F8A13-1799</t>
  </si>
  <si>
    <t>in_1St8GWRoJmuqrcvm3a5V5LD6</t>
  </si>
  <si>
    <t>609F8A13-1822</t>
  </si>
  <si>
    <t>PAGO DE 5,000 EUR CUOTA ORIGINAL</t>
  </si>
  <si>
    <t>in_1SsSyNRoJmuqrcvmbwZZI2cF</t>
  </si>
  <si>
    <t>609F8A13-1811</t>
  </si>
  <si>
    <t>in_1SsklXRoJmuqrcvmyxnrWBtr</t>
  </si>
  <si>
    <t>609F8A13-1818</t>
  </si>
  <si>
    <t>in_1SuZVyRoJmuqrcvmcVDUnT9T</t>
  </si>
  <si>
    <t>609F8A13-1864</t>
  </si>
  <si>
    <t>in_1SuHbdRoJmuqrcvmY7RWkqRc</t>
  </si>
  <si>
    <t>609F8A13-1860</t>
  </si>
  <si>
    <t>in_1SsBLtRoJmuqrcvmVERWaE1R</t>
  </si>
  <si>
    <t>609F8A13-1802</t>
  </si>
  <si>
    <t>in_1St8I1RoJmuqrcvmo0oTiz1W</t>
  </si>
  <si>
    <t>609F8A13-1823</t>
  </si>
  <si>
    <t>in_1Ssao8RoJmuqrcvmNN73fcnV</t>
  </si>
  <si>
    <t>609F8A13-1815</t>
  </si>
  <si>
    <t>in_1SsWs1RoJmuqrcvmkgkhR54J</t>
  </si>
  <si>
    <t>609F8A13-1813</t>
  </si>
  <si>
    <t>in_1SrHs0RoJmuqrcvmYZ86NAZ3</t>
  </si>
  <si>
    <t>609F8A13-1788</t>
  </si>
  <si>
    <t>in_1SsuLdRoJmuqrcvmzx5F5quK</t>
  </si>
  <si>
    <t>609F8A13-1821</t>
  </si>
  <si>
    <t>in_1SsuGwRoJmuqrcvmo9eLEwEz</t>
  </si>
  <si>
    <t>609F8A13-1820</t>
  </si>
  <si>
    <t>cus_TpnrYja5m0zXeh</t>
  </si>
  <si>
    <t>in_1Ss8G4RoJmuqrcvmim53ow6t</t>
  </si>
  <si>
    <t>609F8A13-1798</t>
  </si>
  <si>
    <t>in_1SvMyBRoJmuqrcvmM7Pnvtr4</t>
  </si>
  <si>
    <t>609F8A13-1876</t>
  </si>
  <si>
    <t>in_1StcUQRoJmuqrcvm51UKrDNG</t>
  </si>
  <si>
    <t>609F8A13-1836</t>
  </si>
  <si>
    <t>in_1StcVhRoJmuqrcvm0RiTJDqM</t>
  </si>
  <si>
    <t>609F8A13-1837</t>
  </si>
  <si>
    <t>in_1StuDgRoJmuqrcvmw93dHMRo</t>
  </si>
  <si>
    <t>609F8A13-1856</t>
  </si>
  <si>
    <t>in_1StfqcRoJmuqrcvm73iGp91F</t>
  </si>
  <si>
    <t>609F8A13-1845</t>
  </si>
  <si>
    <t>https://invoice.stripe.com/i/acct_1QimIiRoJmuqrcvm/live_YWNjdF8xUWltSWlSb0ptdXFyY3ZtLF9Uck9kNDhlY0ZrZ240emVlV09OamJwWkJuUVZGZ1AyLDE1OTkzNjU0MQ02001wni5PPn?s=db</t>
  </si>
  <si>
    <t>SE QUIERE RETIRAR</t>
  </si>
  <si>
    <t>cus_TPEIq8tZHxN8a5</t>
  </si>
  <si>
    <t>in_1SuxTLRoJmuqrcvmoXjb1ZfA</t>
  </si>
  <si>
    <t>609F8A13-1871</t>
  </si>
  <si>
    <t>in_1StchSRoJmuqrcvm33OdZxhU</t>
  </si>
  <si>
    <t>609F8A13-1844</t>
  </si>
  <si>
    <t>in_1SngkBRoJmuqrcvmD3PxZ5gA</t>
  </si>
  <si>
    <t>609F8A13-1726</t>
  </si>
  <si>
    <t>in_1StcNgRoJmuqrcvmwV9BnMUt</t>
  </si>
  <si>
    <t>609F8A13-1842</t>
  </si>
  <si>
    <t>in_1StEsJRoJmuqrcvmRCwv5upX</t>
  </si>
  <si>
    <t>609F8A13-1824</t>
  </si>
  <si>
    <t>in_1StcAlRoJmuqrcvmLqRGA62J</t>
  </si>
  <si>
    <t>609F8A13-1841</t>
  </si>
  <si>
    <t>in_1StfxvRoJmuqrcvmjaBZjgol</t>
  </si>
  <si>
    <t>609F8A13-1846</t>
  </si>
  <si>
    <t>in_1Stc8MRoJmuqrcvmEhYkh2oc</t>
  </si>
  <si>
    <t>609F8A13-1839</t>
  </si>
  <si>
    <t>in_1SvRavRoJmuqrcvmOAzgqP8g</t>
  </si>
  <si>
    <t>609F8A13-1901</t>
  </si>
  <si>
    <t>in_1SvRbmRoJmuqrcvmq487I35p</t>
  </si>
  <si>
    <t>609F8A13-1902</t>
  </si>
  <si>
    <t>in_1StZbxRoJmuqrcvmKt7S0DPs</t>
  </si>
  <si>
    <t>609F8A13-1834</t>
  </si>
  <si>
    <t>in_1StZX4RoJmuqrcvm6ZVZWJ5P</t>
  </si>
  <si>
    <t>609F8A13-1833</t>
  </si>
  <si>
    <t>in_1StFocRoJmuqrcvmfayhZT0F</t>
  </si>
  <si>
    <t>609F8A13-1827</t>
  </si>
  <si>
    <t>in_1StZQARoJmuqrcvmoFa4k1hX</t>
  </si>
  <si>
    <t>609F8A13-1832</t>
  </si>
  <si>
    <t>in_1StWy7RoJmuqrcvmiQ4lmyw4</t>
  </si>
  <si>
    <t>609F8A13-1831</t>
  </si>
  <si>
    <t>in_1StWv3RoJmuqrcvmJ0novEvR</t>
  </si>
  <si>
    <t>609F8A13-1830</t>
  </si>
  <si>
    <t>in_1SvMfZRoJmuqrcvmKndz6xrv</t>
  </si>
  <si>
    <t>609F8A13-1875</t>
  </si>
  <si>
    <t>cus_TpK5fhtUCcLROu</t>
  </si>
  <si>
    <t>in_1SvHNhRoJmuqrcvmT3HwCCjq</t>
  </si>
  <si>
    <t>609F8A13-1874</t>
  </si>
  <si>
    <t>in_1StcP0RoJmuqrcvmOBIujfXx</t>
  </si>
  <si>
    <t>609F8A13-1843</t>
  </si>
  <si>
    <t>in_1SuLEzRoJmuqrcvmcsQ1XTI3</t>
  </si>
  <si>
    <t>609F8A13-1862</t>
  </si>
  <si>
    <t>in_1SugmwRoJmuqrcvmaqZRhuvt</t>
  </si>
  <si>
    <t>609F8A13-1870</t>
  </si>
  <si>
    <t>in_1SvP4uRoJmuqrcvm9wNGNaLF</t>
  </si>
  <si>
    <t>609F8A13-1879</t>
  </si>
  <si>
    <t>https://invoice.stripe.com/i/acct_1QimIiRoJmuqrcvm/live_YWNjdF8xUWltSWlSb0ptdXFyY3ZtLF9UdEJSV3c1SHJPelRSZkwxUjF4ZHFiaXhhTm16ck9YLDE2MDM0ODcwNw0200DpTBssia?s=db</t>
  </si>
  <si>
    <t>in_1SvP8eRoJmuqrcvmY6WNxFJm</t>
  </si>
  <si>
    <t>609F8A13-1881</t>
  </si>
  <si>
    <t>in_1SvPKBRoJmuqrcvmnIguZVil</t>
  </si>
  <si>
    <t>609F8A13-1884</t>
  </si>
  <si>
    <t>in_1SvPM0RoJmuqrcvmk7FxTG7c</t>
  </si>
  <si>
    <t>609F8A13-1885</t>
  </si>
  <si>
    <t>in_1SvPMrRoJmuqrcvmRLHbJSAE</t>
  </si>
  <si>
    <t>609F8A13-1886</t>
  </si>
  <si>
    <t>in_1SvPGVRoJmuqrcvmh5kn7i9k</t>
  </si>
  <si>
    <t>609F8A13-1883</t>
  </si>
  <si>
    <t>in_1SvPZoRoJmuqrcvmrBAZfyQs</t>
  </si>
  <si>
    <t>609F8A13-1887</t>
  </si>
  <si>
    <t>in_1SvPblRoJmuqrcvmFaJIxYue</t>
  </si>
  <si>
    <t>609F8A13-1888</t>
  </si>
  <si>
    <t>in_1SvPqURoJmuqrcvmuZO2tBMt</t>
  </si>
  <si>
    <t>609F8A13-1890</t>
  </si>
  <si>
    <t>in_1SvQB5RoJmuqrcvmrP96gMDi</t>
  </si>
  <si>
    <t>609F8A13-1891</t>
  </si>
  <si>
    <t>in_1SvQQNRoJmuqrcvmUwEbhNyd</t>
  </si>
  <si>
    <t>609F8A13-1894</t>
  </si>
  <si>
    <t>in_1SvQSmRoJmuqrcvmSD3lDh9v</t>
  </si>
  <si>
    <t>609F8A13-1895</t>
  </si>
  <si>
    <t>in_1SvQUCRoJmuqrcvmCj6b3ugd</t>
  </si>
  <si>
    <t>609F8A13-1896</t>
  </si>
  <si>
    <t>CUOTA POSPUESTA</t>
  </si>
  <si>
    <t>https://invoice.stripe.com/i/acct_1QimIiRoJmuqrcvm/live_YWNjdF8xUWltSWlSb0ptdXFyY3ZtLF9UaWpPcHBlUlJXb1Y5d0ZjU0pPOXFCY21DZjlqdDlILDE1NzkzNzk4OQ0200LSYgA56D?s=db</t>
  </si>
  <si>
    <t>MEDICO RESIDENTE</t>
  </si>
  <si>
    <t>1ER TRABAJO (PA)</t>
  </si>
  <si>
    <t>2DO TRABAJO (BE)</t>
  </si>
  <si>
    <t>PAGO ROXANA VERGARA</t>
  </si>
  <si>
    <t>PAGO POR FRACCIONAR</t>
  </si>
  <si>
    <t>DEFINIR CALENDARIO MIGRACION</t>
  </si>
  <si>
    <t>DEFINIR</t>
  </si>
  <si>
    <t>POR CONTRATO DEBE SER 500, PERO NO DA EL TOTAL</t>
  </si>
  <si>
    <t>2do TRABAJO (BE)</t>
  </si>
  <si>
    <t>null</t>
  </si>
  <si>
    <t>FIRMA PA</t>
  </si>
  <si>
    <t>FIRMA CONTRATO</t>
  </si>
  <si>
    <t xml:space="preserve">DESCUENTO GASTO DOCUMENTAL (examen </t>
  </si>
  <si>
    <t>VER CON MANUEL (VISA)</t>
  </si>
  <si>
    <t>CORREO</t>
  </si>
  <si>
    <t>ID STRIPE</t>
  </si>
  <si>
    <t>FECHA INGRESO</t>
  </si>
  <si>
    <t>ABONO 1ER MES</t>
  </si>
  <si>
    <t>MESES ACT</t>
  </si>
  <si>
    <t>ULTIMO PAGO</t>
  </si>
  <si>
    <t>PROM CASH IN</t>
  </si>
  <si>
    <t>CHECKED</t>
  </si>
  <si>
    <t xml:space="preserve">ABONADO NETO </t>
  </si>
  <si>
    <t>VALOR PROGRAMA</t>
  </si>
  <si>
    <t>COMPROMETIDO</t>
  </si>
  <si>
    <t>IMPORTE ABONADO</t>
  </si>
  <si>
    <t>MONTO LATAM</t>
  </si>
  <si>
    <t>MONTO ALEM</t>
  </si>
  <si>
    <t>MONTO VISA/FIRMA PA</t>
  </si>
  <si>
    <t>SUSCRITO</t>
  </si>
  <si>
    <t>RATING</t>
  </si>
  <si>
    <t>FECHA MIGRACION</t>
  </si>
  <si>
    <t>Andrea Corpeño López</t>
  </si>
  <si>
    <t>acorpeno.95@gmail.com</t>
  </si>
  <si>
    <t>SI</t>
  </si>
  <si>
    <t>OK</t>
  </si>
  <si>
    <t>Jose Marcelo Marroquín Guzmán</t>
  </si>
  <si>
    <t>marroguz.17@gmail.com</t>
  </si>
  <si>
    <t>María Fernanda Alvar Sepúlveda</t>
  </si>
  <si>
    <t>mfernanda.alvar@gmail.com</t>
  </si>
  <si>
    <t>Camila Sanchez Aravena</t>
  </si>
  <si>
    <t>camila.sanchez.aravena@gmail.com</t>
  </si>
  <si>
    <t>Gabriela Kimberlyn Moran Caiza</t>
  </si>
  <si>
    <t>gabiisu7@gmail.com</t>
  </si>
  <si>
    <t>Gabriel Alejandro Ortega Moreno</t>
  </si>
  <si>
    <t>gabrieloortega@gmail.com</t>
  </si>
  <si>
    <t>Isaac Ricardo Jimenez Campos</t>
  </si>
  <si>
    <t>ricardojimenezc97@gmail.com</t>
  </si>
  <si>
    <t>Hector Armando Daza Mejia</t>
  </si>
  <si>
    <t>latidosw@gmail.com</t>
  </si>
  <si>
    <t>Ian Job Lino Durán</t>
  </si>
  <si>
    <t>ianlino6117@gmail.com</t>
  </si>
  <si>
    <t>Kennedy Santana</t>
  </si>
  <si>
    <t>bazque17@gmail.com</t>
  </si>
  <si>
    <t>cus_Ruz6EQNZVcPMes</t>
  </si>
  <si>
    <t>ELIMINADO</t>
  </si>
  <si>
    <t>Victor Emanuel Hernández Ruíz</t>
  </si>
  <si>
    <t>veh@outlook.com</t>
  </si>
  <si>
    <t>David Hernández Viveros</t>
  </si>
  <si>
    <t>hernandezd28@uabc.edu.mx</t>
  </si>
  <si>
    <t>Daniela Harbst Tassara</t>
  </si>
  <si>
    <t>danielaharbst@gmail.com</t>
  </si>
  <si>
    <t>Moira Millaray Schneider Rivera</t>
  </si>
  <si>
    <t>mschneider.rivera@gmail.com</t>
  </si>
  <si>
    <t>Alina Maria Cervantes Real</t>
  </si>
  <si>
    <t>cervantesa1498@gmail.com</t>
  </si>
  <si>
    <t>Katherine Salomé Herráez Maldonado</t>
  </si>
  <si>
    <t>salokaty0899@gmail.com</t>
  </si>
  <si>
    <t>SUSPENDIDO</t>
  </si>
  <si>
    <t>Juan Pablo Martínez Cabello</t>
  </si>
  <si>
    <t>jpmartinezcabello@outlook.com</t>
  </si>
  <si>
    <t>Hugo Nicolás Trávez Morales</t>
  </si>
  <si>
    <t>dr.nicolas.travez@gmail.com</t>
  </si>
  <si>
    <t>Jordan Eliecer Toledo Bravo</t>
  </si>
  <si>
    <t>jordantoledob@gmail.com</t>
  </si>
  <si>
    <t>David Mogrovejo</t>
  </si>
  <si>
    <t>darimop@gmail.com</t>
  </si>
  <si>
    <t>cus_S0LUzQRnMRs0If</t>
  </si>
  <si>
    <t>EN PAUSA</t>
  </si>
  <si>
    <t>Catalina Andrea Videla Muñoz</t>
  </si>
  <si>
    <t>videla.cvm@gmail.com</t>
  </si>
  <si>
    <t>Marco Tulio Negrete Aceves</t>
  </si>
  <si>
    <t>medicinamarcotulio@gmail.com</t>
  </si>
  <si>
    <t>Dinorah Gómez Castellanos</t>
  </si>
  <si>
    <t>dinogc98@gmail.com</t>
  </si>
  <si>
    <t>Rodrigo Rivera Ruiz</t>
  </si>
  <si>
    <t>rrodrigosalvador@gmail.com</t>
  </si>
  <si>
    <t>Bastian Sofjer Peralta</t>
  </si>
  <si>
    <t>bsofjer.in@gmail.com</t>
  </si>
  <si>
    <t>Juan Carlos Ramirez Chavez</t>
  </si>
  <si>
    <t>juan.ramirezc36@outlook.com</t>
  </si>
  <si>
    <t>Guillermo Alfonso Garvalena Gaxiola</t>
  </si>
  <si>
    <t>guillermo-garvalena@hotmail.com</t>
  </si>
  <si>
    <t>Alejandra Leva Vallejo</t>
  </si>
  <si>
    <t>aleleva14@gmail.com</t>
  </si>
  <si>
    <t xml:space="preserve">Catalina Ochoa Urrutia
</t>
  </si>
  <si>
    <t>cataochoau@gmail.com</t>
  </si>
  <si>
    <t>Sven Sigurd Biedermann Aberg</t>
  </si>
  <si>
    <t>svenbiedermann@live.com</t>
  </si>
  <si>
    <t>Boris Andrés Silva Véliz</t>
  </si>
  <si>
    <t>boris12silva@gmail.com</t>
  </si>
  <si>
    <t>Maria Laura Servin Chávez</t>
  </si>
  <si>
    <t>lauservinchavez@gmail.com</t>
  </si>
  <si>
    <t>cus_SBvhWihtFaGsxU</t>
  </si>
  <si>
    <t>David Enrique Díaz Mejía</t>
  </si>
  <si>
    <t>daviddiaz1345@gmail.com</t>
  </si>
  <si>
    <t>Alan Diego Titiro Casone</t>
  </si>
  <si>
    <t>alan.titiro@gmail.com</t>
  </si>
  <si>
    <t>Mateo Gabriel Martinez Dávila</t>
  </si>
  <si>
    <t>mdtramites@medaypraxis.net</t>
  </si>
  <si>
    <t>Christian Rivera Hernandez</t>
  </si>
  <si>
    <t>christian.05.rivera@gmail.com</t>
  </si>
  <si>
    <t>Lina Estrada</t>
  </si>
  <si>
    <t>linaestrada18@gmail.com</t>
  </si>
  <si>
    <t>¡REGULARIZAR!</t>
  </si>
  <si>
    <t>Nataly Elizabeth Elias Berrios</t>
  </si>
  <si>
    <t>nati1997c@gmail.com</t>
  </si>
  <si>
    <t>Bernardita Lobo Zegers</t>
  </si>
  <si>
    <t>bernarditaloboz@gmail.com</t>
  </si>
  <si>
    <t>Laura Margarita Cepeda Garrido</t>
  </si>
  <si>
    <t>tutimargarita@hotmail.com</t>
  </si>
  <si>
    <t>Angel Martin Alarcon Macias</t>
  </si>
  <si>
    <t>angellrcn@gmail.com</t>
  </si>
  <si>
    <t>Carlos Josue Escobar Morán</t>
  </si>
  <si>
    <t>carlosjosue.escobar6@gmail.com</t>
  </si>
  <si>
    <t>Nathaly Gabriela Henríquez Masín</t>
  </si>
  <si>
    <t>nathalymasin@hotmail.com</t>
  </si>
  <si>
    <t>Nancy Gisselle Molinari Cheme</t>
  </si>
  <si>
    <t>gisselle98.23@gmail.com</t>
  </si>
  <si>
    <t>Rodrigo Ignacio Rodriguez Frutos</t>
  </si>
  <si>
    <t>dr.ignaciorf@gmail.com</t>
  </si>
  <si>
    <t>Diego Alonso Salazar Palacios</t>
  </si>
  <si>
    <t>dasp1104@gmail.com</t>
  </si>
  <si>
    <t>Fernanda Castro</t>
  </si>
  <si>
    <t>nandy.castro99@gmail.com</t>
  </si>
  <si>
    <t>Maria Laura Rios Pino</t>
  </si>
  <si>
    <t>mlaura0211@hotmail.com</t>
  </si>
  <si>
    <t>Cinthya Jhoana Males Caiza</t>
  </si>
  <si>
    <t>jhoanamalescaiza@gmail.com</t>
  </si>
  <si>
    <t>cus_SP1h25xBDwA7NL</t>
  </si>
  <si>
    <t>Maryori Elizabeth Ramos Tapia</t>
  </si>
  <si>
    <t>mramost1508@gmail.com</t>
  </si>
  <si>
    <t>Juan Camilo Sanchez Ramirez</t>
  </si>
  <si>
    <t>juancsanchez.jcsr@gmail.com</t>
  </si>
  <si>
    <t>Manuel Francisco Sulbaran Fandiño</t>
  </si>
  <si>
    <t>manueq95@gmail.com</t>
  </si>
  <si>
    <t>Rodrigo Alfonso Busse Hernández</t>
  </si>
  <si>
    <t>dr.rodrigobusse@gmail.com</t>
  </si>
  <si>
    <t>María de los Ángeles Gutiérrez Quevedo</t>
  </si>
  <si>
    <t>angeles.gutierrezq@gmail.com</t>
  </si>
  <si>
    <t>Sergio Francisco Garcia Sandoval</t>
  </si>
  <si>
    <t>sersh9015@gmail.com</t>
  </si>
  <si>
    <t>Liliana María Moreno Martinez</t>
  </si>
  <si>
    <t>lilianamoreno0297@gmail.com</t>
  </si>
  <si>
    <t>Patricio Marcelo Chavez Macias</t>
  </si>
  <si>
    <t>patochavez02ar@gmail.com</t>
  </si>
  <si>
    <t>ID_PROVISORIO_2</t>
  </si>
  <si>
    <t>Miguel Angel Sisalima Shiña</t>
  </si>
  <si>
    <t>miky_sisa@yahoo.com</t>
  </si>
  <si>
    <t>Polliyana Alvarado Alvarado</t>
  </si>
  <si>
    <t>polliyana88@gmail.com</t>
  </si>
  <si>
    <t>Juan Luis Jimenez Bravo</t>
  </si>
  <si>
    <t>dr.juanjbravo@gmail.com</t>
  </si>
  <si>
    <t>cus_STlxBkzzagGPbp</t>
  </si>
  <si>
    <t>Brandon Alcantara Gallegos</t>
  </si>
  <si>
    <t>brandonplox9@gmail.com</t>
  </si>
  <si>
    <t>Mauricio Ignacio Alcayaga Romo</t>
  </si>
  <si>
    <t>mauignacioar@gmail.com</t>
  </si>
  <si>
    <t>Félix Andrés Beltrán Morales</t>
  </si>
  <si>
    <t>felixbeltranmorales@gmail.com</t>
  </si>
  <si>
    <t>cus_SU9eowo4iQjuwx</t>
  </si>
  <si>
    <t>Jorge Andrés Barrera Vásquez</t>
  </si>
  <si>
    <t>andresbarrera855@gmail.com</t>
  </si>
  <si>
    <t>Gabriel Galarza</t>
  </si>
  <si>
    <t>gnga.93@gmail.com</t>
  </si>
  <si>
    <t>cus_SULa5NyVKC4wCw</t>
  </si>
  <si>
    <t>Jorge Augusto Cámbara Vargas</t>
  </si>
  <si>
    <t>jorgecmbara123@gmail.com</t>
  </si>
  <si>
    <t>Rainier Guerrero</t>
  </si>
  <si>
    <t>rangerdr@gmail.com</t>
  </si>
  <si>
    <t>Jessica Ayelén Culla Alvarez</t>
  </si>
  <si>
    <t>jcullaalvarez@gmail.com</t>
  </si>
  <si>
    <t>Andrea Cristina Estrada Morocho</t>
  </si>
  <si>
    <t>andycrys01@yandex.ru</t>
  </si>
  <si>
    <t>José Miguel Undurraga Saavedra</t>
  </si>
  <si>
    <t>jmundurragas@gmail.com</t>
  </si>
  <si>
    <t>Julio Nelson Adaros Moraga</t>
  </si>
  <si>
    <t>julioadarosm@gmail.com</t>
  </si>
  <si>
    <t>Ellen Cristina Gerónimo Bonilla</t>
  </si>
  <si>
    <t>ellencristina266@gmail.com</t>
  </si>
  <si>
    <t>María Fernanda Lincango Andi</t>
  </si>
  <si>
    <t>mafer.am.jkj@hotmail.com</t>
  </si>
  <si>
    <t>Ángel Barrón Martínez</t>
  </si>
  <si>
    <t>angelbarronmtz5@gmail.com</t>
  </si>
  <si>
    <t>cus_SbTk0HeScM4diF</t>
  </si>
  <si>
    <t>Mayra Leonor Rivera Paico</t>
  </si>
  <si>
    <t>mayraleonorriverapaico@gmail.com</t>
  </si>
  <si>
    <t>Miguel Ángel Cortez García</t>
  </si>
  <si>
    <t>cortez.garcia.miguelangel@outlook.com</t>
  </si>
  <si>
    <t>Yefry Onil Santana Marte</t>
  </si>
  <si>
    <t>yosm14@gmail.com</t>
  </si>
  <si>
    <t>Luis Manuel Villanueva Contreras</t>
  </si>
  <si>
    <t>luismvc44@gmail.com</t>
  </si>
  <si>
    <t>Paola Hitos</t>
  </si>
  <si>
    <t>paohitos@gmail.com</t>
  </si>
  <si>
    <t>Valeria Carolina Heredia Peña</t>
  </si>
  <si>
    <t>valecitaheredia70@gmail.com</t>
  </si>
  <si>
    <t>Freddy Renzo Perez Villafuerte</t>
  </si>
  <si>
    <t>renzo.perez.14@gmail.com</t>
  </si>
  <si>
    <t>Julian Medina</t>
  </si>
  <si>
    <t>julianmedina_s@hotmail.com</t>
  </si>
  <si>
    <t>Alexandra Carolina Ordoñez Cuotto</t>
  </si>
  <si>
    <t>ordonezalexandra103@gmail.com</t>
  </si>
  <si>
    <t>Liliana Alejandra Gruezo Pérez</t>
  </si>
  <si>
    <t>liliana.gruezo.perez1@gmail.com</t>
  </si>
  <si>
    <t>Carlos Mersaim Olivares Sandoval</t>
  </si>
  <si>
    <t>carlosuvaq@gmail.com</t>
  </si>
  <si>
    <t>Daniel Donoso Arízaga</t>
  </si>
  <si>
    <t>danieldonosoa@gmail.com</t>
  </si>
  <si>
    <t>cus_Sfn9fghnvdCNkJ</t>
  </si>
  <si>
    <t>Doménica Elisa Lazo Vivar</t>
  </si>
  <si>
    <t>domecalazo@gmail.com</t>
  </si>
  <si>
    <t>cus_Sfn82ETHPIwgqv</t>
  </si>
  <si>
    <t>Javier Andrés Saavedra Arango</t>
  </si>
  <si>
    <t>javiera.saavedra@urosario.edu.co</t>
  </si>
  <si>
    <t>cus_SejtbTxtJ1MKOK</t>
  </si>
  <si>
    <t>Kimberly Chantelle Frey Arteaga</t>
  </si>
  <si>
    <t>kim_frey19@hotmail.com</t>
  </si>
  <si>
    <t>Andrea Fernanda Gonzalez Ramirez</t>
  </si>
  <si>
    <t>andreaglez2gm@gmail.com</t>
  </si>
  <si>
    <t>Elaine Acosta Cabrera</t>
  </si>
  <si>
    <t>elaine_acosta97@hotmail.com</t>
  </si>
  <si>
    <t>Mario Andrés Pazán Rojas</t>
  </si>
  <si>
    <t>mario.pazan@gmail.com</t>
  </si>
  <si>
    <t>Yaritza Soledad Martinez Rodriguez</t>
  </si>
  <si>
    <t>yarymartinez21@gmail.com</t>
  </si>
  <si>
    <t>Angie Pérez Cáceres</t>
  </si>
  <si>
    <t>dra.angieperezcaceres@gmail.com</t>
  </si>
  <si>
    <t>Alejandra Goretti Figueroa Romo</t>
  </si>
  <si>
    <t>alejandragorettifigueroaromo@gmail.com</t>
  </si>
  <si>
    <t>Miguel Angel Pretell Cabrera</t>
  </si>
  <si>
    <t>mpretell18.95@gmail.com</t>
  </si>
  <si>
    <t>Antonio José Estrada Hoyo</t>
  </si>
  <si>
    <t>dr.estradah@gmail.com</t>
  </si>
  <si>
    <t>Juan Carlos Ortoneda Caicedo</t>
  </si>
  <si>
    <t>juan.ortonedac2013@gmail.com</t>
  </si>
  <si>
    <t>cus_SkIx3XIrPmDkaf</t>
  </si>
  <si>
    <t>María Lucero de Jesús Barrios Sazo</t>
  </si>
  <si>
    <t>lucerobarrios8@gmail.com</t>
  </si>
  <si>
    <t>Carlos Pertuz Noriega</t>
  </si>
  <si>
    <t>cpertuz10@outlook.com</t>
  </si>
  <si>
    <t>cus_Scduz8MU6TntRp</t>
  </si>
  <si>
    <t>Keidwin Perez</t>
  </si>
  <si>
    <t>keidwin30@gmail.com</t>
  </si>
  <si>
    <t>Astrid Mariam Enamorado Ortega</t>
  </si>
  <si>
    <t>astrid.sdc77@gmail.com</t>
  </si>
  <si>
    <t>Erick Leonardo Chiriboga Valdiviezo</t>
  </si>
  <si>
    <t>leonardocvaldiviezo@gmail.com</t>
  </si>
  <si>
    <t>Santiago Lorenzo Dominguez Amarilla</t>
  </si>
  <si>
    <t>santiago90617@gmail.com</t>
  </si>
  <si>
    <t>cus_Se21VR1MRxXaJH</t>
  </si>
  <si>
    <t>Filogonio Maya Mercado</t>
  </si>
  <si>
    <t>filogoniomaya@gmail.com</t>
  </si>
  <si>
    <t>cus_Sp17u5Js01qnaj</t>
  </si>
  <si>
    <t>Virna Nathaly Montenegro Samaniego</t>
  </si>
  <si>
    <t>montenegrosvirna@gmail.com</t>
  </si>
  <si>
    <t>Daniel Alberto Hidrovo Moreno</t>
  </si>
  <si>
    <t>dhidrovomh@gmail.com</t>
  </si>
  <si>
    <t>Olguer Ariel Pruna Herrera</t>
  </si>
  <si>
    <t>arielpruna@hotmail.com</t>
  </si>
  <si>
    <t>Jonathan Christian Cardenas Peña</t>
  </si>
  <si>
    <t>christian_96142@hotmail.com</t>
  </si>
  <si>
    <t>Patricio Daniel De la Cruz Salazar</t>
  </si>
  <si>
    <t>patriciocruz234@hotmail.com</t>
  </si>
  <si>
    <t>cus_Srg0z6fcvdOGN0</t>
  </si>
  <si>
    <t>Ignacio Manuel Jesus Orellana Gutiérrez</t>
  </si>
  <si>
    <t>ignaog96@gmail.com</t>
  </si>
  <si>
    <t>Maira Paz Navas Sánchez</t>
  </si>
  <si>
    <t>mairanavas7@gmail.com</t>
  </si>
  <si>
    <t>Julian David Gutierrez Rodriguez</t>
  </si>
  <si>
    <t>juliandavidgr1999@gmail.com</t>
  </si>
  <si>
    <t>Sofia Martínez Restrepo</t>
  </si>
  <si>
    <t>sofimartinez14@hotmail.com</t>
  </si>
  <si>
    <t>Marcia Arancibia Limachi</t>
  </si>
  <si>
    <t>arancibimar@gmail.com</t>
  </si>
  <si>
    <t>Tamara Rodríguez Ramírez</t>
  </si>
  <si>
    <t>tammi.rdz@gmail.com</t>
  </si>
  <si>
    <t>cus_SrJ9kxYtNIFagz</t>
  </si>
  <si>
    <t>Karen Felisa Valencia Grueso</t>
  </si>
  <si>
    <t>karenfvalenciag@gmail.com</t>
  </si>
  <si>
    <t>Gilberto Martiñon Torres</t>
  </si>
  <si>
    <t>tgil94@outlook.com</t>
  </si>
  <si>
    <t>Martin Esteban Orellana Dominguez</t>
  </si>
  <si>
    <t>orellana102000@gmail.com</t>
  </si>
  <si>
    <t>Carlos Alberto Suarez Hernandez</t>
  </si>
  <si>
    <t>carlosuarez61@gmail.com</t>
  </si>
  <si>
    <t>Daniela Luise Reisenegger Scheel</t>
  </si>
  <si>
    <t>daniela.reisenegger@gmail.com</t>
  </si>
  <si>
    <t>María Stefania Gelvez Olaya</t>
  </si>
  <si>
    <t>stefamed2000a@gmail.com</t>
  </si>
  <si>
    <t>Caren Alvarez Maciel</t>
  </si>
  <si>
    <t>carencita.alvarez@gmail.com</t>
  </si>
  <si>
    <t xml:space="preserve">María del Mar Ordóñez Dussan
</t>
  </si>
  <si>
    <t>est_mariadelmar@yahoo.es</t>
  </si>
  <si>
    <t>Daniel Mauricio Rojas Pérez</t>
  </si>
  <si>
    <t>danielmauriciorojasperez@gmail.com</t>
  </si>
  <si>
    <t>Juan Manuel Paranzino</t>
  </si>
  <si>
    <t>juanma.paranzino@gmail.com</t>
  </si>
  <si>
    <t>Florencia Luján Sapia</t>
  </si>
  <si>
    <t>florenciasapia15@gmail.com</t>
  </si>
  <si>
    <t>Daniel Chairez Muñoz</t>
  </si>
  <si>
    <t>dchmz.2310@gmail.com</t>
  </si>
  <si>
    <t>cus_SrqIOgLKHEyf5X</t>
  </si>
  <si>
    <t>Gaspar Arturo Alvarez Garcia</t>
  </si>
  <si>
    <t>gaspar.arturo.ag@gmail.com</t>
  </si>
  <si>
    <t>Paula Ida Elisa Saris Sommer</t>
  </si>
  <si>
    <t>paulasaris419@gmail.com</t>
  </si>
  <si>
    <t>Jean Karlo Cacheux Estibuarte</t>
  </si>
  <si>
    <t>jeankarlocacheuxestibuarte@gmail.com</t>
  </si>
  <si>
    <t>Vanessa Villarreal Villareal</t>
  </si>
  <si>
    <t>vaniavv24@hotmail.com</t>
  </si>
  <si>
    <t>Luis Carlos Villa Cortés</t>
  </si>
  <si>
    <t>lu_carlos85@hotmail.com</t>
  </si>
  <si>
    <t>Armando Josmarx Suárez Solis</t>
  </si>
  <si>
    <t>drsuarezsolis@hotmail.com</t>
  </si>
  <si>
    <t>Álvaro Sebastián García Riesco</t>
  </si>
  <si>
    <t>atgarcia@uc.cl</t>
  </si>
  <si>
    <t>Edgar Vinicio Escalante Fiallos</t>
  </si>
  <si>
    <t>gatoevef@gmail.com</t>
  </si>
  <si>
    <t>Fernando José Fuentes Bárcenas</t>
  </si>
  <si>
    <t>fernandobarcenas98@gmail.com</t>
  </si>
  <si>
    <t>Judith Elizabeth Lopez Sanchez</t>
  </si>
  <si>
    <t>jlopez.traumatologa@gmail.com</t>
  </si>
  <si>
    <t>Matías Enrique Aguilera Mancilla</t>
  </si>
  <si>
    <t>mnaguilera@uc.cl</t>
  </si>
  <si>
    <t>Gustavo Alexander Gonzalez Muñoz</t>
  </si>
  <si>
    <t>gagmmd@hotmail.com</t>
  </si>
  <si>
    <t>Raúl Ernesto Martínez Orantes</t>
  </si>
  <si>
    <t>raul.orantes0694@gmail.com</t>
  </si>
  <si>
    <t>Karenn Yadira Tavera Lara</t>
  </si>
  <si>
    <t>karenn.tavera@gmail.com</t>
  </si>
  <si>
    <t>Ricardo Ernesto Miño Valencia</t>
  </si>
  <si>
    <t>mvericardo@gmail.com</t>
  </si>
  <si>
    <t>Mario Arciga Casián</t>
  </si>
  <si>
    <t>mario.arciga.mac@gmail.com</t>
  </si>
  <si>
    <t>Daniel Flores</t>
  </si>
  <si>
    <t>danielflores3099@gmail.com</t>
  </si>
  <si>
    <t>María Soledad Tituana Asanza</t>
  </si>
  <si>
    <t>sole18_t.a@hotmail.com</t>
  </si>
  <si>
    <t>Bryan Israel Jiménez Puente</t>
  </si>
  <si>
    <t>bryan.bijp@gmail.com</t>
  </si>
  <si>
    <t>Maria Adelaida Orozco Vasquez</t>
  </si>
  <si>
    <t>mariamedicinageneral@gmail.com</t>
  </si>
  <si>
    <t>cus_TFa4IT2vmGUE0u</t>
  </si>
  <si>
    <t>Abrahan Sejas Ocaña</t>
  </si>
  <si>
    <t>abrahansejas27@gmail.com</t>
  </si>
  <si>
    <t>Constanza Andrea Águila Vergara</t>
  </si>
  <si>
    <t>dra.caguilav@gmail.com</t>
  </si>
  <si>
    <t>Erick Ernesto Angulo Campos</t>
  </si>
  <si>
    <t>erick.angulo.c@gmail.com</t>
  </si>
  <si>
    <t>Emily Vanessa Tapia Villalobos</t>
  </si>
  <si>
    <t>emilytapia.v@gmail.com</t>
  </si>
  <si>
    <t>Maria Antonieta Xochitl Padua Garcia</t>
  </si>
  <si>
    <t>xpadua@yahoo.com</t>
  </si>
  <si>
    <t>cus_TKSXcpumIRyOQo</t>
  </si>
  <si>
    <t>Maria Paula Pereira cardenas</t>
  </si>
  <si>
    <t>maria.pau7@hotmail.com</t>
  </si>
  <si>
    <t>cus_TLQGBZ3nn1YFZJ</t>
  </si>
  <si>
    <t>Angel Andres Velastegui Huebla</t>
  </si>
  <si>
    <t>angelvelastegui.1997@gmail.com</t>
  </si>
  <si>
    <t>Samuel Sebastián Marmolejo Saldarriaga</t>
  </si>
  <si>
    <t>smarmolejo@unitru.edu.pe</t>
  </si>
  <si>
    <t>Fernando Araya Rojas</t>
  </si>
  <si>
    <t>fernandoarayarojas@gmail.com</t>
  </si>
  <si>
    <t>Rocio Natalia López Núñez</t>
  </si>
  <si>
    <t>rocio.lopezn@mayor.cl</t>
  </si>
  <si>
    <t>Luis Armando Calderon Manzanera</t>
  </si>
  <si>
    <t>luis.calderon.16@hotmail.com</t>
  </si>
  <si>
    <t>Javier Bravo Castelo</t>
  </si>
  <si>
    <t>javi9727@hotmail.com</t>
  </si>
  <si>
    <t>Jorge Andres Galgani Muñoz</t>
  </si>
  <si>
    <t>jgalgani@gmail.com</t>
  </si>
  <si>
    <t>Nicolas Gonzalez</t>
  </si>
  <si>
    <t>nigonzalez@unal.edu.co</t>
  </si>
  <si>
    <t>Katerine Marianela Verastegui Mendoza</t>
  </si>
  <si>
    <t>kattyveme18@gmail.com</t>
  </si>
  <si>
    <t>Laxmi Davi Patel Flores</t>
  </si>
  <si>
    <t>laxmidevi0701@gmail.com</t>
  </si>
  <si>
    <t>Juan Manuel Maldonado Lozano</t>
  </si>
  <si>
    <t>juanmaldonado016@gmail.com</t>
  </si>
  <si>
    <t>Manuel Toca Ochoa</t>
  </si>
  <si>
    <t>drmtochoa1@gmail.com</t>
  </si>
  <si>
    <t>María Fernanda Cid Ramírez</t>
  </si>
  <si>
    <t>fernanda027cidr@gmail.com</t>
  </si>
  <si>
    <t>Claudia Nivon Chacón</t>
  </si>
  <si>
    <t>claudianivonchacon@gmail.com</t>
  </si>
  <si>
    <t>Guimar Asunción Cubilla Grunce</t>
  </si>
  <si>
    <t>guimar_cubilla@outlook.es</t>
  </si>
  <si>
    <t>Gerardo Abel Palacios Preciado</t>
  </si>
  <si>
    <t>dr.abelpalacios@gmail.com</t>
  </si>
  <si>
    <t>Nadya Sofía García Carrasco</t>
  </si>
  <si>
    <t>soficarrasco27@hotmail.com</t>
  </si>
  <si>
    <t>Diego Alberto Ruiz Cifuentes</t>
  </si>
  <si>
    <t>diego.ruiz.cifuentes@gmail.com</t>
  </si>
  <si>
    <t>Nelfris Moret</t>
  </si>
  <si>
    <t>nelmoret@gmail.com</t>
  </si>
  <si>
    <t>Fernando Alberto Lagos Belmar</t>
  </si>
  <si>
    <t>ferallabel@gmail.com</t>
  </si>
  <si>
    <t>Aylin Micaela Ortiz Chiriboga</t>
  </si>
  <si>
    <t>mica94041@gmail.com</t>
  </si>
  <si>
    <t>Francisco Salas Barrera</t>
  </si>
  <si>
    <t>fco.salas.b@icloud.com</t>
  </si>
  <si>
    <t>Berenisse Shadia Yarango Garay</t>
  </si>
  <si>
    <t>bereyarango9675@gmail.com</t>
  </si>
  <si>
    <t>Paulina Alejandra Silva Gómez</t>
  </si>
  <si>
    <t>dra.psilvag@gmail.com</t>
  </si>
  <si>
    <t>Johan Martínez</t>
  </si>
  <si>
    <t>johanestebmartinez@gmail.com</t>
  </si>
  <si>
    <t>Laura Giraldo</t>
  </si>
  <si>
    <t>lauragiraldomd@gmail.com</t>
  </si>
  <si>
    <t>Josué Bernardo Reyes Flores</t>
  </si>
  <si>
    <t>bernard4235@gmail.com</t>
  </si>
  <si>
    <t>Jaime Kevin Mendez Arias</t>
  </si>
  <si>
    <t>kevmeduaslp@gmail.com</t>
  </si>
  <si>
    <t>Fernanda Constanza Kompai Antu Arellano Guzmán</t>
  </si>
  <si>
    <t>kompaiantu@hotmail.com</t>
  </si>
  <si>
    <t>Abdon Daniel Carrillo Escobar</t>
  </si>
  <si>
    <t>dr.adce@gmail.com</t>
  </si>
  <si>
    <t>cus_TpTwFjI7v3wYJY</t>
  </si>
  <si>
    <t>EVALUACION</t>
  </si>
  <si>
    <t>Daniel David Mendez Parraga</t>
  </si>
  <si>
    <t>danielmendezp87@gmail.com</t>
  </si>
  <si>
    <t>Fabiola Del río González</t>
  </si>
  <si>
    <t>dra.delrio@gmail.com</t>
  </si>
  <si>
    <t>cus_Tq7JvHM0s8FZCs</t>
  </si>
  <si>
    <t>Fabián Andrés Sarmiento Auli</t>
  </si>
  <si>
    <t>fabiansarmi@hotmail.com</t>
  </si>
  <si>
    <t>cus_TrYIpYgvCcVkYD</t>
  </si>
  <si>
    <t>Ivan Gonzales Graus</t>
  </si>
  <si>
    <t>ivangraus17@gmail.com</t>
  </si>
  <si>
    <t>Pedro Baltierra Sanchez</t>
  </si>
  <si>
    <t>petibaltierra@gmail.com</t>
  </si>
  <si>
    <t>cus_Trav5nIMYRt0DG</t>
  </si>
  <si>
    <t>Bárbara Fuentes</t>
  </si>
  <si>
    <t>stabarbarajavieracompras@gmail.com</t>
  </si>
  <si>
    <t>Jesica Daniela Paredes Mendoza</t>
  </si>
  <si>
    <t>danie.pm9275@gmail.com</t>
  </si>
  <si>
    <t>ID FACTURA PAGADA</t>
  </si>
  <si>
    <t>IMPORTE</t>
  </si>
  <si>
    <t>CARGO</t>
  </si>
  <si>
    <t>% CARGO</t>
  </si>
  <si>
    <t xml:space="preserve"> INGRESO NETO</t>
  </si>
  <si>
    <t>COMENTARIO</t>
  </si>
  <si>
    <t>MONEDA</t>
  </si>
  <si>
    <t>PAGO NO EURO</t>
  </si>
  <si>
    <t>AUXILIAR</t>
  </si>
  <si>
    <t>CARGO NO EURO</t>
  </si>
  <si>
    <t>CAMBIO</t>
  </si>
  <si>
    <t>TRANSF</t>
  </si>
  <si>
    <t>CLP</t>
  </si>
  <si>
    <t>MP - REFACTURADO</t>
  </si>
  <si>
    <t>MP</t>
  </si>
  <si>
    <t>in_1R6SLBRoJmuqrcvmozLhdVRw</t>
  </si>
  <si>
    <t>609F8A13-0027</t>
  </si>
  <si>
    <t>USD</t>
  </si>
  <si>
    <t>in_1R8aZ4RoJmuqrcvm93wybypd</t>
  </si>
  <si>
    <t>609F8A13-0034</t>
  </si>
  <si>
    <t>No figura Invoice ID</t>
  </si>
  <si>
    <t>in_1RHXq3RoJmuqrcvmTvtRAijf</t>
  </si>
  <si>
    <t>609F8A13-0048</t>
  </si>
  <si>
    <t>in_1ROHIyRoJmuqrcvmOFuitAad</t>
  </si>
  <si>
    <t>609F8A13-0105</t>
  </si>
  <si>
    <t>in_1RP2cdRoJmuqrcvm9vzFXJTB</t>
  </si>
  <si>
    <t>609F8A13-0115</t>
  </si>
  <si>
    <t>in_1ROLkMRoJmuqrcvmkhe1EkQ4</t>
  </si>
  <si>
    <t>609F8A13-0106</t>
  </si>
  <si>
    <t>in_1RQVG9RoJmuqrcvmvhrvUENo</t>
  </si>
  <si>
    <t>609F8A13-0120</t>
  </si>
  <si>
    <t>in_1RTmCzRoJmuqrcvmKSad8mQv</t>
  </si>
  <si>
    <t>609F8A13-0127</t>
  </si>
  <si>
    <t>in_1RUDecRoJmuqrcvmgGAUF2g5</t>
  </si>
  <si>
    <t>609F8A13-0136</t>
  </si>
  <si>
    <t>in_1RUCJsRoJmuqrcvmLLWye8R9</t>
  </si>
  <si>
    <t>609F8A13-0135</t>
  </si>
  <si>
    <t>TRANSF JUNIO Y JULIO</t>
  </si>
  <si>
    <t>in_1RWIIaRoJmuqrcvmS4V7WSPH</t>
  </si>
  <si>
    <t>609F8A13-0161</t>
  </si>
  <si>
    <t>in_1SG3ntRoJmuqrcvmES6cX6L7</t>
  </si>
  <si>
    <t>609F8A13-1083</t>
  </si>
  <si>
    <t>in_1RYoPQRoJmuqrcvmqGKGEJp7</t>
  </si>
  <si>
    <t>609F8A13-0182</t>
  </si>
  <si>
    <t>in_1RYvj0RoJmuqrcvmSskxew3t</t>
  </si>
  <si>
    <t>609F8A13-0185</t>
  </si>
  <si>
    <t>in_1RZBKwRoJmuqrcvmIjoQZyis</t>
  </si>
  <si>
    <t>609F8A13-0189</t>
  </si>
  <si>
    <t>in_1RZMsvRoJmuqrcvm4r3x6M5m</t>
  </si>
  <si>
    <t>609F8A13-0198</t>
  </si>
  <si>
    <t>in_1RfXbiRoJmuqrcvmVXIF6RDG</t>
  </si>
  <si>
    <t>609F8A13-0263</t>
  </si>
  <si>
    <t>in_1RgGnHRoJmuqrcvmVINTgF8J</t>
  </si>
  <si>
    <t>609F8A13-0278</t>
  </si>
  <si>
    <t>in_1RkRZPRoJmuqrcvmFZvsCPLv</t>
  </si>
  <si>
    <t>609F8A13-0342</t>
  </si>
  <si>
    <t>in_1RkRa8RoJmuqrcvmBPDe635r</t>
  </si>
  <si>
    <t>609F8A13-0343</t>
  </si>
  <si>
    <t>in_1RkrZ9RoJmuqrcvm4UBOS5VH</t>
  </si>
  <si>
    <t>609F8A13-0353</t>
  </si>
  <si>
    <t>TRANSF SRTIPE</t>
  </si>
  <si>
    <t>in_1RlELdRoJmuqrcvmFf3wUpwC</t>
  </si>
  <si>
    <t>609F8A13-0361</t>
  </si>
  <si>
    <t>in_1Rm2mARoJmuqrcvmiTP4Nge3</t>
  </si>
  <si>
    <t>609F8A13-0369</t>
  </si>
  <si>
    <t>in_1Rm2naRoJmuqrcvmqulMfk6I</t>
  </si>
  <si>
    <t>609F8A13-0370</t>
  </si>
  <si>
    <t>in_1RnY67RoJmuqrcvm2AcmtVCC</t>
  </si>
  <si>
    <t>609F8A13-0405</t>
  </si>
  <si>
    <t>in_1RqYydRoJmuqrcvmHZ0frF4v</t>
  </si>
  <si>
    <t>609F8A13-0485</t>
  </si>
  <si>
    <t>in_1RoVaoRoJmuqrcvmibNpS27R</t>
  </si>
  <si>
    <t>609F8A13-0425</t>
  </si>
  <si>
    <t>in_1RoVbXRoJmuqrcvmuNuohzej</t>
  </si>
  <si>
    <t>609F8A13-0426</t>
  </si>
  <si>
    <t>in_1RoUSzRoJmuqrcvmWZ2HOGdM</t>
  </si>
  <si>
    <t>609F8A13-0424</t>
  </si>
  <si>
    <t>in_1RpwkFRoJmuqrcvmWMsBL661</t>
  </si>
  <si>
    <t>609F8A13-0472</t>
  </si>
  <si>
    <t>in_1Rp143RoJmuqrcvm1AxjS9st</t>
  </si>
  <si>
    <t>609F8A13-0442</t>
  </si>
  <si>
    <t>in_1RqYtrRoJmuqrcvmS6WWPJEz</t>
  </si>
  <si>
    <t>609F8A13-0484</t>
  </si>
  <si>
    <t>in_1RtN5pRoJmuqrcvmg8nWlPzi</t>
  </si>
  <si>
    <t>609F8A13-0568</t>
  </si>
  <si>
    <t>in_1Rsu3URoJmuqrcvmtKaWCgfG</t>
  </si>
  <si>
    <t>609F8A13-0564</t>
  </si>
  <si>
    <t>in_1Rsu0PRoJmuqrcvmlHXE03Mb</t>
  </si>
  <si>
    <t>609F8A13-0562</t>
  </si>
  <si>
    <t>in_1Rsu2JRoJmuqrcvmZ1A6sm7I</t>
  </si>
  <si>
    <t>609F8A13-0563</t>
  </si>
  <si>
    <t>in_1RvwesRoJmuqrcvmIUvTLeBL</t>
  </si>
  <si>
    <t>609F8A13-0622</t>
  </si>
  <si>
    <t>in_1S07jaRoJmuqrcvmmaZ1E9k2</t>
  </si>
  <si>
    <t>609F8A13-0677</t>
  </si>
  <si>
    <t>in_1S1xmzRoJmuqrcvmCO18nYIX</t>
  </si>
  <si>
    <t>609F8A13-0769</t>
  </si>
  <si>
    <t>in_1S3NIKRoJmuqrcvmZ28TbgXJ</t>
  </si>
  <si>
    <t>609F8A13-0828</t>
  </si>
  <si>
    <t>in_1S3o0lRoJmuqrcvmuZ3PTvYP</t>
  </si>
  <si>
    <t>609F8A13-0841</t>
  </si>
  <si>
    <t>in_1SKhc3RoJmuqrcvmtdQ3MQi9</t>
  </si>
  <si>
    <t>609F8A13-1157</t>
  </si>
  <si>
    <t>in_1SKhdQRoJmuqrcvmve9leKJA</t>
  </si>
  <si>
    <t>609F8A13-1158</t>
  </si>
  <si>
    <t>REGISTRO DUPLICADO - NOTA EN FACTURA</t>
  </si>
  <si>
    <t>in_1SOPoMRoJmuqrcvmalERFM8W</t>
  </si>
  <si>
    <t>609F8A13-1224</t>
  </si>
  <si>
    <t>in_1SOjQ0RoJmuqrcvmizhv1jXl</t>
  </si>
  <si>
    <t>609F8A13-1228</t>
  </si>
  <si>
    <t>in_1SGLn2RoJmuqrcvm092EitmW</t>
  </si>
  <si>
    <t>609F8A13-1089</t>
  </si>
  <si>
    <t>WESTER UNION</t>
  </si>
  <si>
    <t>in_1SroysRoJmuqrcvmqyv8WtGE</t>
  </si>
  <si>
    <t>609F8A13-1795</t>
  </si>
  <si>
    <t>in_1StrbHRoJmuqrcvm16ZiD4Gg</t>
  </si>
  <si>
    <t>609F8A13-1851</t>
  </si>
  <si>
    <t>in_1StrGnRoJmuqrcvmhGVngUJD</t>
  </si>
  <si>
    <t>609F8A13-1850</t>
  </si>
  <si>
    <t>in_1Strk8RoJmuqrcvmFOjT90OF</t>
  </si>
  <si>
    <t>609F8A13-1852</t>
  </si>
  <si>
    <t>in_1SvujWRoJmuqrcvmZxos3sw9</t>
  </si>
  <si>
    <t>609F8A13-1907</t>
  </si>
  <si>
    <t>in_1Sw3VwRoJmuqrcvmOdN5UgwV</t>
  </si>
  <si>
    <t>609F8A13-1910</t>
  </si>
  <si>
    <t>in_1SvQfaRoJmuqrcvmrxKrMauz</t>
  </si>
  <si>
    <t>609F8A13-1903</t>
  </si>
  <si>
    <t>in_1Sw9dHRoJmuqrcvmqYd9kNrf</t>
  </si>
  <si>
    <t>609F8A13-1912</t>
  </si>
  <si>
    <t>in_1SwAfmRoJmuqrcvmXcEE0lOo</t>
  </si>
  <si>
    <t>609F8A13-1926</t>
  </si>
  <si>
    <t>in_1SwMtSRoJmuqrcvmU7va8pdi</t>
  </si>
  <si>
    <t>609F8A13-1927</t>
  </si>
  <si>
    <t>in_1SwPCYRoJmuqrcvmljI65TWE</t>
  </si>
  <si>
    <t>609F8A13-1928</t>
  </si>
  <si>
    <t>in_1SvurnRoJmuqrcvmYDx1XfQs</t>
  </si>
  <si>
    <t>609F8A13-1908</t>
  </si>
  <si>
    <t>in_1SwAbRRoJmuqrcvmz4FCYswK</t>
  </si>
  <si>
    <t>609F8A13-1917</t>
  </si>
  <si>
    <t>in_1SvPhhRoJmuqrcvmOGmnaKhy</t>
  </si>
  <si>
    <t>609F8A13-1898</t>
  </si>
  <si>
    <t>in_1SwfAJRoJmuqrcvmlD0UCK2l</t>
  </si>
  <si>
    <t>609F8A13-1935</t>
  </si>
  <si>
    <t>Date</t>
  </si>
  <si>
    <t>Invoice</t>
  </si>
  <si>
    <t>Currency</t>
  </si>
  <si>
    <t>Original Amount</t>
  </si>
  <si>
    <t>ER to EUR</t>
  </si>
  <si>
    <t>Amount in EUR</t>
  </si>
  <si>
    <t>Counterparty</t>
  </si>
  <si>
    <t>Description</t>
  </si>
  <si>
    <t>Account</t>
  </si>
  <si>
    <t>Category</t>
  </si>
  <si>
    <t>Sub-Category 1</t>
  </si>
  <si>
    <t>Sub-Category 2</t>
  </si>
  <si>
    <t>Compensado</t>
  </si>
  <si>
    <t>Supported Invoice</t>
  </si>
  <si>
    <t>Cuatrimestre</t>
  </si>
  <si>
    <t>Trimestre</t>
  </si>
  <si>
    <t>Responsible Employee</t>
  </si>
  <si>
    <t>Department</t>
  </si>
  <si>
    <t>Cost Behavior</t>
  </si>
  <si>
    <t>Accounting Type</t>
  </si>
  <si>
    <t>Business Function</t>
  </si>
  <si>
    <t>Campaign</t>
  </si>
  <si>
    <t>Facturacion</t>
  </si>
  <si>
    <t>EUR</t>
  </si>
  <si>
    <t>HubSpot</t>
  </si>
  <si>
    <t>Suscripción anual HubSpot Starter Customer Platform (Marketing, Sales, Service, Content y Operations Hub)</t>
  </si>
  <si>
    <t>Mastercard ***8816</t>
  </si>
  <si>
    <t>Software</t>
  </si>
  <si>
    <t>SaaS</t>
  </si>
  <si>
    <t>Digital Tools</t>
  </si>
  <si>
    <t>Yes</t>
  </si>
  <si>
    <t>Nicolás Orbenes</t>
  </si>
  <si>
    <t>General</t>
  </si>
  <si>
    <t>Costo variable</t>
  </si>
  <si>
    <t>OPEX</t>
  </si>
  <si>
    <t>GmbH</t>
  </si>
  <si>
    <t>KOSTENRECHNUNG-BAE-2024</t>
  </si>
  <si>
    <t>Regierung von Oberbayern</t>
  </si>
  <si>
    <t>Fee for temporary medical practice permit (Berufserlaubnis) under §10 BÄO, valid 23 Oct 2024–22 Oct 2026</t>
  </si>
  <si>
    <t>No Information</t>
  </si>
  <si>
    <t>Business Support &amp; Compliance</t>
  </si>
  <si>
    <t>Legal &amp; Compliance</t>
  </si>
  <si>
    <t xml:space="preserve">Legal &amp; Administrative </t>
  </si>
  <si>
    <t>Costo único</t>
  </si>
  <si>
    <t xml:space="preserve">LinkedIn </t>
  </si>
  <si>
    <t>Suscripción mensual LinkedIn Premium Business activa del 21 de noviembre al 21 de diciembre de 2024, facturada a Nicolás Orbenes MD (Alemania).</t>
  </si>
  <si>
    <t>Paypal ****@uc.cl</t>
  </si>
  <si>
    <t>Subscriptions</t>
  </si>
  <si>
    <t>Natalia Valdebenito</t>
  </si>
  <si>
    <t>Marketing</t>
  </si>
  <si>
    <t>Costo fijo</t>
  </si>
  <si>
    <t>Lingoda</t>
  </si>
  <si>
    <t>Plan B2B Lingoda — paquete intensivo de clases grupales de alemán para 5 participantes, válido por 6 meses.</t>
  </si>
  <si>
    <t>Bank Transfer</t>
  </si>
  <si>
    <t>Training &amp; Education</t>
  </si>
  <si>
    <t>E-Learning &amp; Training</t>
  </si>
  <si>
    <t>German Jara</t>
  </si>
  <si>
    <t>Operaciones</t>
  </si>
  <si>
    <t>1135839382-08</t>
  </si>
  <si>
    <t>Telefonica Germany + Co. OHG</t>
  </si>
  <si>
    <t>Factura mensual por servicios móviles</t>
  </si>
  <si>
    <t>Gerencia</t>
  </si>
  <si>
    <t>11923810</t>
  </si>
  <si>
    <t>Calendly</t>
  </si>
  <si>
    <t>Teams Monthly Subscription</t>
  </si>
  <si>
    <t>PayPal</t>
  </si>
  <si>
    <t>Communication Tools</t>
  </si>
  <si>
    <t>Edward Marinao</t>
  </si>
  <si>
    <t>14510</t>
  </si>
  <si>
    <t>Plan B2B Lingoda — paquete intensivo de clases grupales abiertas de alemán para 2 participantes, válido por 6 meses.</t>
  </si>
  <si>
    <t>1147138452-08</t>
  </si>
  <si>
    <t>Extend Comunicaciones</t>
  </si>
  <si>
    <t>Extend Comunicaciones SpA</t>
  </si>
  <si>
    <t>Professional Services</t>
  </si>
  <si>
    <t>No</t>
  </si>
  <si>
    <t>José Ignacio Donoso</t>
  </si>
  <si>
    <t>Finanzas</t>
  </si>
  <si>
    <t>SpA</t>
  </si>
  <si>
    <t>49147AC5-0002</t>
  </si>
  <si>
    <t>Notion Labs, Inc.</t>
  </si>
  <si>
    <t>Suscripción Enterprise mensual (1 miembro) de Notion</t>
  </si>
  <si>
    <t>Visa ***2811</t>
  </si>
  <si>
    <t>Suscripción mensual LinkedIn Premium Business, activa del 21 de diciembre de 2024 al 21 de enero de 2025, facturada a Nicolás Orbenes MD (Alemania).</t>
  </si>
  <si>
    <t>443ED6A4-54796</t>
  </si>
  <si>
    <t>Sintra.ai</t>
  </si>
  <si>
    <t>Suscripción mensual Sintra X</t>
  </si>
  <si>
    <t>AI &amp; Automation</t>
  </si>
  <si>
    <t>25949993</t>
  </si>
  <si>
    <t>Licencia adicional HubSpot Starter (período 30/12/2024 – 16/10/2025)</t>
  </si>
  <si>
    <t>Visa ***5915</t>
  </si>
  <si>
    <t>443ED6A4-55349</t>
  </si>
  <si>
    <t>4401EB9B-0004</t>
  </si>
  <si>
    <t>OpenAI</t>
  </si>
  <si>
    <t>ChatGPT Team Subscription (4 seats) – diciembre 2024 a enero 2025</t>
  </si>
  <si>
    <t>Intuit</t>
  </si>
  <si>
    <t>QuickBooks Online Plus – monthly subscription with 70% discount (02/02/2025–02/03/2025)</t>
  </si>
  <si>
    <t>Financial Management</t>
  </si>
  <si>
    <t>Software / SaaS</t>
  </si>
  <si>
    <t>Accounting &amp; Finance</t>
  </si>
  <si>
    <t>Z 3282-0-1-2024</t>
  </si>
  <si>
    <t>Dr. Marcus Zelyk</t>
  </si>
  <si>
    <t>Honorarios notariales por constitución de sociedad y registro en el Registro Mercantil</t>
  </si>
  <si>
    <t>12265283</t>
  </si>
  <si>
    <t>Docue</t>
  </si>
  <si>
    <t>Plan Starter – Suscripción mensual</t>
  </si>
  <si>
    <t>Visa ***5526</t>
  </si>
  <si>
    <t>Saas</t>
  </si>
  <si>
    <t>D9C1307D-0001</t>
  </si>
  <si>
    <t>GetTerms</t>
  </si>
  <si>
    <t>Compliance Pack (Jan 6, 2026 – Jan 6, 2027)</t>
  </si>
  <si>
    <t>Credit Card</t>
  </si>
  <si>
    <t>388AB7BF-0002</t>
  </si>
  <si>
    <t>Otter.ai</t>
  </si>
  <si>
    <t>Suscripción “Otter Business Subscription” (2 licencias)</t>
  </si>
  <si>
    <t>Productivity Tools</t>
  </si>
  <si>
    <t>11</t>
  </si>
  <si>
    <t>Seonme Digital Marketing</t>
  </si>
  <si>
    <t xml:space="preserve">Prestación de servicios de marketing digital, incluyendo soporte, desarrollo y estrategia para el sitio web de NOMII. </t>
  </si>
  <si>
    <t>Marketing &amp; Advertising</t>
  </si>
  <si>
    <t>Marketing &amp; Sales</t>
  </si>
  <si>
    <t>Manuel Felisatti</t>
  </si>
  <si>
    <t>202500000100</t>
  </si>
  <si>
    <t>WeWork</t>
  </si>
  <si>
    <t xml:space="preserve">Suscripción WeWork All Access Plus </t>
  </si>
  <si>
    <t>Office &amp; Facilities</t>
  </si>
  <si>
    <t>Memberships &amp; Workspaces</t>
  </si>
  <si>
    <t>QTN-DE-126796</t>
  </si>
  <si>
    <t>Schmidt &amp; Schmidt OHG</t>
  </si>
  <si>
    <t>Traducción y copias notariales del diploma, suplemento de diploma y dos traducciones oficiales, requeridas para apostilla y validación académica.</t>
  </si>
  <si>
    <t>Reimbursements</t>
  </si>
  <si>
    <t>16071813</t>
  </si>
  <si>
    <t>2 licencias adicionales HubSpot Starter (período 09/01/2025 – 16/10/2025)</t>
  </si>
  <si>
    <t>FromSmash</t>
  </si>
  <si>
    <t>Plan for team (1 month)</t>
  </si>
  <si>
    <t>1169753041-08</t>
  </si>
  <si>
    <t>Telecommunications</t>
  </si>
  <si>
    <t>Telecom &amp; VoIP Services</t>
  </si>
  <si>
    <t>7B1AF7DC-0533</t>
  </si>
  <si>
    <t>Mána Office</t>
  </si>
  <si>
    <t>Servicio de Virtual Office (oficina virtual) Incluye uso comercial y correspondencia en Leopoldstraße, Múnich.</t>
  </si>
  <si>
    <t>Business Services</t>
  </si>
  <si>
    <t>iStock</t>
  </si>
  <si>
    <t>iStock Premium Plus 25 plan – 1 year (25 downloads/month)</t>
  </si>
  <si>
    <t>Design</t>
  </si>
  <si>
    <t>Design &amp; Creative Tools</t>
  </si>
  <si>
    <t>Francisca Hepp</t>
  </si>
  <si>
    <t>16120064</t>
  </si>
  <si>
    <t>3 licencias adicionales HubSpot Starter (período 16/01/2025 – 16/10/2025)</t>
  </si>
  <si>
    <t>LA0454705HQPR</t>
  </si>
  <si>
    <t>Latam Airlines Group S.A.</t>
  </si>
  <si>
    <t>Pasaje JOF / SCL ↔ Ciudad de México (18/01/2025–22/01/2025), reserva WWZQBK, ticket 0452215848397</t>
  </si>
  <si>
    <t>Mobility, Meals &amp; Accommodation</t>
  </si>
  <si>
    <t>Travel &amp; Transportation</t>
  </si>
  <si>
    <t>Travel &amp; Hospitality</t>
  </si>
  <si>
    <t>Julio Orbenes</t>
  </si>
  <si>
    <t>IEN2025003137003</t>
  </si>
  <si>
    <t>Adobe</t>
  </si>
  <si>
    <t>AI Assistant for Acrobat — Service Term 17-JAN-2025 to 16-FEB-2025</t>
  </si>
  <si>
    <t>04399-18035538</t>
  </si>
  <si>
    <t>Canva</t>
  </si>
  <si>
    <t xml:space="preserve">Canva Teams subscription </t>
  </si>
  <si>
    <t>14563</t>
  </si>
  <si>
    <t>Plan B2B Lingoda — clases grupales abiertas de alemán (50 sesiones) válidas por 6 meses, modalidad intensiva.</t>
  </si>
  <si>
    <t>49147AC5-0003</t>
  </si>
  <si>
    <t>G074791580</t>
  </si>
  <si>
    <t>Microsoft</t>
  </si>
  <si>
    <t>Servicios de Microsoft 365 / Azure correspondientes a suscripciones y cargos recurrentes.</t>
  </si>
  <si>
    <t>RE-2025-002</t>
  </si>
  <si>
    <t>MvKanepe</t>
  </si>
  <si>
    <t>Servicios de desarrollo de software según contrato XM-190125-NO y su anexo, prestados a NOMII GmbH el 19 de enero de 2025.</t>
  </si>
  <si>
    <t>Rompecabeza Agencia Digital</t>
  </si>
  <si>
    <t>Servicio Digital — 50% Proporcional Enero 2025 (77,5 UF)</t>
  </si>
  <si>
    <t>019</t>
  </si>
  <si>
    <t>Tomas Andres Rodriguez Labbe</t>
  </si>
  <si>
    <t>Servicio Photostudio</t>
  </si>
  <si>
    <t>Suscripción mensual LinkedIn Premium Business, activa del 21 de enero al 21 de febrero de 2025, facturada a Nicolás Orbenes MD (Alemania).</t>
  </si>
  <si>
    <t>50F47BED-0001</t>
  </si>
  <si>
    <t>Onepage</t>
  </si>
  <si>
    <t>Suscripción mensual “Projects Advanced (month)</t>
  </si>
  <si>
    <t>443ED6A4-76032</t>
  </si>
  <si>
    <t>IEN2025004768258</t>
  </si>
  <si>
    <t>Acrobat Standard — Service Term 25-JAN-2025 to 24-FEB-2025</t>
  </si>
  <si>
    <t>443ED6A4-76965</t>
  </si>
  <si>
    <t>49147AC5-0004</t>
  </si>
  <si>
    <t>Prorrateo de suscripción de Notion por complementos o cambios en el plan, correspondiente al período 26/01/2025 – 18/02/2025, asociado al espacio de trabajo NOMII.</t>
  </si>
  <si>
    <t>600312398</t>
  </si>
  <si>
    <t>HubSpot for Marketers Professional (Marketing Hub + Content Hub, 3 licencias) + Sales Hub Starter (27/01/2025 – 26/02/2025)</t>
  </si>
  <si>
    <t>2025-52</t>
  </si>
  <si>
    <t>Dr. Igor Tominschek</t>
  </si>
  <si>
    <t>Honorario por sesión cancelada o no asistida (“Ausfallhonorar Einzel”)</t>
  </si>
  <si>
    <t>Corporate Services &amp; Consulting</t>
  </si>
  <si>
    <t>2025-0001</t>
  </si>
  <si>
    <t>Treffpunkt Bamberg GmbH</t>
  </si>
  <si>
    <t>Servicios de consultoría lingüística y coordinación académica para médicos latinoamericanos</t>
  </si>
  <si>
    <t>Education &amp; Training</t>
  </si>
  <si>
    <t>4401EB9B-0005</t>
  </si>
  <si>
    <t>ChatGPT Team Subscription (4 seats) – enero a febrero 2025</t>
  </si>
  <si>
    <t>Consolidado</t>
  </si>
  <si>
    <t>Sueldos Diseño</t>
  </si>
  <si>
    <t>Sueldos Enero 2025 Chile</t>
  </si>
  <si>
    <t>Payroll &amp; Compensation</t>
  </si>
  <si>
    <t>Monthly Salaries &amp; Wages</t>
  </si>
  <si>
    <t>Sueldos Finanzas</t>
  </si>
  <si>
    <t>Sueldos Ventas</t>
  </si>
  <si>
    <t xml:space="preserve">Servicio Digital — Febrero 2025 (155 UF) </t>
  </si>
  <si>
    <t>388AB7BF-0003</t>
  </si>
  <si>
    <t>Ajuste prorrateado por ampliación a 4 usuarios del plan “Otter Business Subscription”</t>
  </si>
  <si>
    <t>020</t>
  </si>
  <si>
    <t>12634564</t>
  </si>
  <si>
    <t>9042091239236673-9148910215221440</t>
  </si>
  <si>
    <t>Meta Platforms</t>
  </si>
  <si>
    <t>Publicidad digital en Meta (Facebook e Instagram Ads) con campañas [BOFU] Conversión, [MOFU] Interacción y [BOFU] Webinar, segmentadas en Chile, México, Colombia, Ecuador, Puerto Rico y otros países.</t>
  </si>
  <si>
    <t>9106786272767170-9148702715242190</t>
  </si>
  <si>
    <t>Suscripción mensual LinkedIn Premium Company Page, activa del 6 de febrero al 6 de marzo de 2025, facturada a Nicolás Orbenes MD (Alemania).</t>
  </si>
  <si>
    <t>9003255926453543-9049952438450555</t>
  </si>
  <si>
    <t>9046747798771020-9042484659197331</t>
  </si>
  <si>
    <t>9047509065361560-9004988062946996</t>
  </si>
  <si>
    <t>9049650935147368-9149703258475469</t>
  </si>
  <si>
    <t>G076762685</t>
  </si>
  <si>
    <t>9010020612443741-9010020629110406</t>
  </si>
  <si>
    <t>9043970682382062-8985504214895383</t>
  </si>
  <si>
    <t>9110588932386904-9051282844984183</t>
  </si>
  <si>
    <t>IEN2025007562373</t>
  </si>
  <si>
    <t>Adobe Stock – 25 credits a month — Service Term 08-FEB-2025 to 07-MAR-2025</t>
  </si>
  <si>
    <t>8807166652729009-9275927965852872</t>
  </si>
  <si>
    <t>Saldo prepago</t>
  </si>
  <si>
    <t>8808611939251147-8880011192111215</t>
  </si>
  <si>
    <t>8824650317647304-8929177483861256</t>
  </si>
  <si>
    <t>8825612727551063-8825612730884396</t>
  </si>
  <si>
    <t>8826278910817778-8807549472690727</t>
  </si>
  <si>
    <t>8826798397432496-8826798400765829</t>
  </si>
  <si>
    <t>8826923774086625-9129407513838254</t>
  </si>
  <si>
    <t>8827059980739671-8879733998805601</t>
  </si>
  <si>
    <t>8859593010819703-8890644694381206</t>
  </si>
  <si>
    <t>8859619144150423-8863611117084555</t>
  </si>
  <si>
    <t>8860715094040828-9277418412370494</t>
  </si>
  <si>
    <t>8862939547151712-8862939557151711</t>
  </si>
  <si>
    <t>8863750923737241-8807675376011470</t>
  </si>
  <si>
    <t>8878890662223268-8890670167711992</t>
  </si>
  <si>
    <t>8878938795551790-8807350556043952</t>
  </si>
  <si>
    <t>8879121962200140-8930785493700455</t>
  </si>
  <si>
    <t>8879122335533436-8863610877084579</t>
  </si>
  <si>
    <t>8879173702194964-8863882210390779</t>
  </si>
  <si>
    <t>8879188315526836-8879410605504609</t>
  </si>
  <si>
    <t>8890467461065596-8878689662243368</t>
  </si>
  <si>
    <t>8890627491049593-8879079315537738</t>
  </si>
  <si>
    <t>8930942410351430-8807691369343204</t>
  </si>
  <si>
    <t>9050830535029410-9055134097932390</t>
  </si>
  <si>
    <t>9063402183772247-9119937511452046</t>
  </si>
  <si>
    <t>9128323910613281-8807147336064274</t>
  </si>
  <si>
    <t>9129422160503456-9129422167170122</t>
  </si>
  <si>
    <t>9276827875762881-8891192974326378</t>
  </si>
  <si>
    <t>9277103392401996-9129534387158900</t>
  </si>
  <si>
    <t>388AB7BF-0004</t>
  </si>
  <si>
    <t xml:space="preserve">Suscripción “Otter Business Subscription” (4 licencias) </t>
  </si>
  <si>
    <t>8810176219094719-8866239523488381</t>
  </si>
  <si>
    <t>8866951186750548-9279733712138964</t>
  </si>
  <si>
    <t>8880979288681072-8932817013497303</t>
  </si>
  <si>
    <t>8881149215330746-8881333675312302</t>
  </si>
  <si>
    <t>8881829408596062-8881606948618306</t>
  </si>
  <si>
    <t>8882859728493030-8867276863384647</t>
  </si>
  <si>
    <t>8882877018491301-9280083345437334</t>
  </si>
  <si>
    <t>8892861400826202-8932999530145718</t>
  </si>
  <si>
    <t>8933179423461062-8933179430127728</t>
  </si>
  <si>
    <t>8934680243310980-8867475410031459</t>
  </si>
  <si>
    <t>9000381140074357-9064611203651347</t>
  </si>
  <si>
    <t>9278386308940371-8880994635346204</t>
  </si>
  <si>
    <t>9279750512137284-8866967266748940</t>
  </si>
  <si>
    <t>2025-57682</t>
  </si>
  <si>
    <t>Sterr + Kollegen Partnerschaftsgesellschaft mbB</t>
  </si>
  <si>
    <t>Beratung zur Unternehmensgründung der NOMII-GmbH (Rechtsanwalt/Partner Dr. M. Schuster); Auslagen; 19% Umsatzsteuer</t>
  </si>
  <si>
    <t>Debit Card</t>
  </si>
  <si>
    <t>Accounting / Tax Advisory</t>
  </si>
  <si>
    <t>2025-57684</t>
  </si>
  <si>
    <t xml:space="preserve">Servicios profesionales de análisis de Businessplan, evaluación fiscal Alemania/Chile, y asesoría tributaria general para NOMII GmbH. </t>
  </si>
  <si>
    <t>8835608293218173-8872883452823988</t>
  </si>
  <si>
    <t>9067390203373447-9067390213373446</t>
  </si>
  <si>
    <t>9075326242579841-9073547546091040</t>
  </si>
  <si>
    <t>8822980171147657-9292100707568931</t>
  </si>
  <si>
    <t>9137249173054213-9186379768141158</t>
  </si>
  <si>
    <t>9086614288117703-9184848614960933</t>
  </si>
  <si>
    <t>INV292523665</t>
  </si>
  <si>
    <t>Zoom</t>
  </si>
  <si>
    <t>Servicios: Webinar 500 (mensual)</t>
  </si>
  <si>
    <t>FSP-2025-0545</t>
  </si>
  <si>
    <t>Bayerische Landesärztekammer</t>
  </si>
  <si>
    <t>Administrative fee for Fachsprachenprüfung (medical language exam) – Berufszulassung als Arzt</t>
  </si>
  <si>
    <t>9149493148496482-9091234267655701</t>
  </si>
  <si>
    <t>1192012162-08</t>
  </si>
  <si>
    <t>IEN2025008899038</t>
  </si>
  <si>
    <t>Premiere Pro plan — Service Term 15-FEB-2025 to 14-MAR-2025</t>
  </si>
  <si>
    <t>8871569152955420-8904665232979147</t>
  </si>
  <si>
    <t>8919804881465179-8971470572965280</t>
  </si>
  <si>
    <t>8922478567864479-9172292226216449</t>
  </si>
  <si>
    <t>8922502567862079-8902926323153038</t>
  </si>
  <si>
    <t>9101397603306038-9054789861300149</t>
  </si>
  <si>
    <t>9317918891653779-8903930289719304</t>
  </si>
  <si>
    <t>8912195792226087-9326440060801662</t>
  </si>
  <si>
    <t>9112268338885627-9112268352218959</t>
  </si>
  <si>
    <t>IEN2025009096611</t>
  </si>
  <si>
    <t>AI Assistant for Acrobat — Service Term 17-FEB-2025 to 16-MAR-2025</t>
  </si>
  <si>
    <t>Apobank</t>
  </si>
  <si>
    <t>04430-17544449</t>
  </si>
  <si>
    <t>7B1AF7DC-0645</t>
  </si>
  <si>
    <t>9120492388063226-9226283900817411</t>
  </si>
  <si>
    <t>9332904546821880-8934423473336655</t>
  </si>
  <si>
    <t>Übersetzungsbüro Hernández</t>
  </si>
  <si>
    <t>Pago de servicio de traducción profesional (Übersetzungsbüro Hernandez) correspondiente al encargo del 24 de enero de 2025.</t>
  </si>
  <si>
    <t>49147AC5-0005</t>
  </si>
  <si>
    <t>Renovación mensual del plan Enterprise + IA de Notion para 1 miembro</t>
  </si>
  <si>
    <t>8877284715717202-8960369014075440</t>
  </si>
  <si>
    <t>8933443876767945-9000988606680143</t>
  </si>
  <si>
    <t>8949196428526024-8949196431859357</t>
  </si>
  <si>
    <t>8950294331749567-8950072435105092</t>
  </si>
  <si>
    <t>8960858694026472-9348208548624813</t>
  </si>
  <si>
    <t>9128860227226442-9125547654224368</t>
  </si>
  <si>
    <t>2025-57679</t>
  </si>
  <si>
    <t>Factura por servicios contables: “Erstkonfiguration Unternehmen Online 2025”</t>
  </si>
  <si>
    <t>019527e9-2986-8644-38c0-8b1690b97d0f</t>
  </si>
  <si>
    <t>Zapier</t>
  </si>
  <si>
    <t>Suscripción mensual Zapier Pro 750 Zaps + Agents Pro</t>
  </si>
  <si>
    <t>569EDBEA-0001</t>
  </si>
  <si>
    <t>WeTransfer</t>
  </si>
  <si>
    <t>Suscripción WeTransfer Ultimate</t>
  </si>
  <si>
    <t>8882276405218033-8937918969653769</t>
  </si>
  <si>
    <t>8938643762914623-9204503309662007</t>
  </si>
  <si>
    <t>9006219446157059-8966023663509975</t>
  </si>
  <si>
    <t>9237558699689924-9245377528908048</t>
  </si>
  <si>
    <t>9352863608159307-8934531779992492</t>
  </si>
  <si>
    <t>8888760054569668-8944475995664733</t>
  </si>
  <si>
    <t>8959322630846739-8906393692806299</t>
  </si>
  <si>
    <t>8960611077384561-8944458505666482</t>
  </si>
  <si>
    <t>8970495003062841-8959483904163943</t>
  </si>
  <si>
    <t>9142165115895954-9146906795421785</t>
  </si>
  <si>
    <t>Landesjustizkasse Bamberg</t>
  </si>
  <si>
    <t>Costos de registro comercial ante el Tribunal Regional de Múnich (AG München) — incluye inscripción de GmbH y acceso a datos del registro.</t>
  </si>
  <si>
    <t>50F47BED-0002</t>
  </si>
  <si>
    <t>8897896693656004-8953655001413499</t>
  </si>
  <si>
    <t>8949898181789181-9017358951709775</t>
  </si>
  <si>
    <t>8950063718439298-8980722438706764</t>
  </si>
  <si>
    <t>8966617946783874-8950365638409102</t>
  </si>
  <si>
    <t>8980812175364457-8980812182031123</t>
  </si>
  <si>
    <t>9017806714998332-8950348728410793</t>
  </si>
  <si>
    <t>8917523898359945-8950971585015178</t>
  </si>
  <si>
    <t>8918703514908650-8982895815156093</t>
  </si>
  <si>
    <t>8970786409700359-9369673019811699</t>
  </si>
  <si>
    <t>9109668329145635-9109668335812301</t>
  </si>
  <si>
    <t>Suscripción mensual LinkedIn Premium Business, activa del 21 de febrero al 21 de marzo de 2025, facturada a Nicolás Orbenes MD (Alemania).</t>
  </si>
  <si>
    <t>443ED6A4-104096</t>
  </si>
  <si>
    <t>443ED6A4-104845</t>
  </si>
  <si>
    <t>8906692752776398-8958885700890433</t>
  </si>
  <si>
    <t>8958904787555191-9377957778983223</t>
  </si>
  <si>
    <t>9376887989090202-8988719207907087</t>
  </si>
  <si>
    <t>IEN2025010743563</t>
  </si>
  <si>
    <t>Acrobat Standard — Service Term 25-FEB-2025 to 24-MAR-2025</t>
  </si>
  <si>
    <t>9383339225111745-9233494180096253</t>
  </si>
  <si>
    <t>IEN2025010918018</t>
  </si>
  <si>
    <t>Audition — Service Term 26-FEB-2025 to 25-MAR-2025</t>
  </si>
  <si>
    <t>9104688312976972-9278242158954918</t>
  </si>
  <si>
    <t>603811650</t>
  </si>
  <si>
    <t>HubSpot for Marketers Professional + Sales Hub Starter (27/02/2025 – 26/03/2025)</t>
  </si>
  <si>
    <t>Google Ads</t>
  </si>
  <si>
    <t>Google Ads – Facturación febrero 2025</t>
  </si>
  <si>
    <t>9132655180180283-9174693215976477</t>
  </si>
  <si>
    <t>JZTCZM-2025-02</t>
  </si>
  <si>
    <t>Twilio</t>
  </si>
  <si>
    <t>Servicios cloud-based de comunicación y mensajería (VoIP, SMS, API).</t>
  </si>
  <si>
    <t>Servicio al Cliente</t>
  </si>
  <si>
    <t>9140554399390361-9285506918228435</t>
  </si>
  <si>
    <t>9141860895926378-9294834857295648</t>
  </si>
  <si>
    <t>9187350384710755-9184556748323457</t>
  </si>
  <si>
    <t>9242968865815576-9183715255074274</t>
  </si>
  <si>
    <t>9294140094031791-9179433835502412</t>
  </si>
  <si>
    <t>4401EB9B-0006</t>
  </si>
  <si>
    <t>ChatGPT Team Subscription (3 seats) – febrero a marzo 2025</t>
  </si>
  <si>
    <t>Sueldos Febrero 2025 Chile</t>
  </si>
  <si>
    <t>Suscripción WeWork All Access Plus + costos adicionales por salas de conferencia</t>
  </si>
  <si>
    <t>13</t>
  </si>
  <si>
    <t>9189583677820765-9290786494367144</t>
  </si>
  <si>
    <t>AKD-736116920016</t>
  </si>
  <si>
    <t>EndNote</t>
  </si>
  <si>
    <t>1-month subscription (electronic delivery), incl. 19% VAT</t>
  </si>
  <si>
    <t>9207649839347480-9202308866548245</t>
  </si>
  <si>
    <t>9207674592678338-9305251779587282</t>
  </si>
  <si>
    <t>9259716350807494-9259716370807492</t>
  </si>
  <si>
    <t>QuickBooks Online Plus – monthly subscription with 70% discount (02/03/2025–02/04/2025)</t>
  </si>
  <si>
    <t>9200056786773454-9203761079736356</t>
  </si>
  <si>
    <t>9200070393438760-9200070463438753</t>
  </si>
  <si>
    <t>9210861319026332-9207112872734512</t>
  </si>
  <si>
    <t>9212533982192395-9209690782476720</t>
  </si>
  <si>
    <t>9296527240459736-9189772031135259</t>
  </si>
  <si>
    <t>Paypal nborbenesf@gmail.com</t>
  </si>
  <si>
    <t>13002442</t>
  </si>
  <si>
    <t>2498344-2</t>
  </si>
  <si>
    <t>Manychat</t>
  </si>
  <si>
    <t>Manychat PRO – 500 Contacts plan (period: 05/03/25 – 05/04/25), monthly subscription.</t>
  </si>
  <si>
    <t>9211362482309551-9270854873026975</t>
  </si>
  <si>
    <t>14876</t>
  </si>
  <si>
    <t>Plan B2B Lingoda — 1000 clases grupales abiertas de alemán, válidas por 3 meses.</t>
  </si>
  <si>
    <t>5045</t>
  </si>
  <si>
    <t>Lecturio</t>
  </si>
  <si>
    <t>Plataforma educativa para formación médica — incluye licencias Flex Medicina (50), NEJM Healer, personalización de plataforma, apps iOS/Android y alojamiento de contenido.</t>
  </si>
  <si>
    <t>9215611418551323-9211680585611070</t>
  </si>
  <si>
    <t>Suscripción mensual LinkedIn Premium Company Page, activa del 6 de marzo al 6 de abril de 2025, facturada a Nicolás Orbenes MD (Alemania).</t>
  </si>
  <si>
    <t>021</t>
  </si>
  <si>
    <t>9221876437924816-9215128751932920</t>
  </si>
  <si>
    <t>9328189240626869-9225166970929101</t>
  </si>
  <si>
    <t>IEN2025013394333</t>
  </si>
  <si>
    <t>Adobe Stock – 25 credits a month — Service Term 08-MAR-2025 to 07-APR-2025</t>
  </si>
  <si>
    <t>9344720515640415-9234891906623275</t>
  </si>
  <si>
    <t>388AB7BF-0005</t>
  </si>
  <si>
    <t>9240680529377746-9238911019554696</t>
  </si>
  <si>
    <t>9246489245463540-9246489258796872</t>
  </si>
  <si>
    <t>Nubox</t>
  </si>
  <si>
    <t>Bolsa Empresas (10 empresas) + Remuneraciones Plan Básico 10-COL + Contabilidad Plan Básico Pyme – Septiembre 2025 (incl. IVA 19%)</t>
  </si>
  <si>
    <t>9253393568106441-9364982316947568</t>
  </si>
  <si>
    <t>9197428793702923-9217881661657634</t>
  </si>
  <si>
    <t>TC2025R045000001483</t>
  </si>
  <si>
    <t>Apple</t>
  </si>
  <si>
    <t>iPhone 16 Pro Max 512 GB Titan Natural + AppleCare+</t>
  </si>
  <si>
    <t>American Express ***1009</t>
  </si>
  <si>
    <t>Operations, Assets &amp; Infrastructure</t>
  </si>
  <si>
    <t>Hardware / Equipment</t>
  </si>
  <si>
    <t>Hardware &amp; Equipment</t>
  </si>
  <si>
    <t>CAPEX</t>
  </si>
  <si>
    <t>9373447969434329-9275754739203656</t>
  </si>
  <si>
    <t>IEN2025014741312</t>
  </si>
  <si>
    <t>Premiere Pro plan — Service Term 15-MAR-2025 to 14-APR-2025</t>
  </si>
  <si>
    <t>1882716</t>
  </si>
  <si>
    <t>iStock Premium Plus 50 plan – 1 year (50 downloads/month)</t>
  </si>
  <si>
    <t>9285380188241111-9281448871967578</t>
  </si>
  <si>
    <t>IEN2025015024093</t>
  </si>
  <si>
    <t>AI Assistant for Acrobat — Service Term 17-MAR-2025 to 16-APR-2025</t>
  </si>
  <si>
    <t>04458-16589726</t>
  </si>
  <si>
    <t>0000265506</t>
  </si>
  <si>
    <t>Bulgaria</t>
  </si>
  <si>
    <t>Servicios de telecomunicaciones (voz sobre IP / telefonía virtual).</t>
  </si>
  <si>
    <t>7B1AF7DC-0754</t>
  </si>
  <si>
    <t>9245541825558284-9287866404659157</t>
  </si>
  <si>
    <t>9288720394573755-9354247391354389</t>
  </si>
  <si>
    <t>G083414356</t>
  </si>
  <si>
    <t>INVFR0392405</t>
  </si>
  <si>
    <t>Aircall</t>
  </si>
  <si>
    <t>Aircall – Standard User License Essentials (17-MAR-2025 a 16-APR-2025)</t>
  </si>
  <si>
    <t>OGAN-2025-00003664</t>
  </si>
  <si>
    <t>Stadt München / Gewerbeanmeldung</t>
  </si>
  <si>
    <t>Pago por registro de empresa (Gewerbeanzeige) para la constitución de NOMII GmbH</t>
  </si>
  <si>
    <t>49147AC5-0006</t>
  </si>
  <si>
    <t>Renovación mensual del plan Enterprise (2 miembros) + IA de Notion (2 miembros)</t>
  </si>
  <si>
    <t>9361117057334089-9403219849790474</t>
  </si>
  <si>
    <t>114671</t>
  </si>
  <si>
    <t>Phantombuster</t>
  </si>
  <si>
    <t>Suscripción “Pro – Monthly”</t>
  </si>
  <si>
    <t>0195b81c-1f51-df0e-fa47-4123cfb42de1</t>
  </si>
  <si>
    <t xml:space="preserve">Zapier  </t>
  </si>
  <si>
    <t>1214507484-08</t>
  </si>
  <si>
    <t>569EDBEA-0002</t>
  </si>
  <si>
    <t>9310915882354204-9411473215631804</t>
  </si>
  <si>
    <t>ECBA26E7-0001</t>
  </si>
  <si>
    <t>Opus Clip</t>
  </si>
  <si>
    <t>Suscripción mensual “OpusClip Pro Plan” </t>
  </si>
  <si>
    <t>50F47BED-0003</t>
  </si>
  <si>
    <t>EB5DC2E6-0002</t>
  </si>
  <si>
    <t>Jasper</t>
  </si>
  <si>
    <t>Jasper Pro plan – monthly subscription (Mar 22–Apr 22, 2025)</t>
  </si>
  <si>
    <t>77505DA9-0676</t>
  </si>
  <si>
    <t>Fynk</t>
  </si>
  <si>
    <t>Growth plan (mar 23 – abr 23, 2025)</t>
  </si>
  <si>
    <t>Software Tools</t>
  </si>
  <si>
    <t>9321860257926435-9321860264593101</t>
  </si>
  <si>
    <t>LA0454674TNDF</t>
  </si>
  <si>
    <t>Pasaje JOF México / SCL↔CUN (30/03/2025–06/04/2025), reserva YGOFTG, pasajero Julio Orbenes Figueroa</t>
  </si>
  <si>
    <t>Suscripción mensual LinkedIn Premium Business, activa del 21 de marzo al 21 de abril de 2025, facturada a Nicolás Orbenes MD (Alemania).</t>
  </si>
  <si>
    <t>443ED6A4-129405</t>
  </si>
  <si>
    <t>443ED6A4-130200</t>
  </si>
  <si>
    <t>9337637056348757-9337637063015423</t>
  </si>
  <si>
    <t>9420124254766700-9420124258100033</t>
  </si>
  <si>
    <t>IEN2025016673630</t>
  </si>
  <si>
    <t>Acrobat Standard — Service Term 25-MAR-2025 to 24-APR-2025</t>
  </si>
  <si>
    <t>9456921587753640-9344717955640668</t>
  </si>
  <si>
    <t>IEN2025016871505</t>
  </si>
  <si>
    <t>Audition — Service Term 26-MAR-2025 to 25-APR-2025</t>
  </si>
  <si>
    <t>9332991226813338-9398689553576839</t>
  </si>
  <si>
    <t>9352611224851341-9348900968555697</t>
  </si>
  <si>
    <t>608515587</t>
  </si>
  <si>
    <t>HubSpot for Marketers Professional + Sales Hub Starter (27/03/2025 – 26/04/2025)</t>
  </si>
  <si>
    <t>9316475528464913-9420489214730206</t>
  </si>
  <si>
    <t>9360295834082877-9370456306400165</t>
  </si>
  <si>
    <t>9363844830394647-9426015100844284</t>
  </si>
  <si>
    <t>9374348966010895-9482785658500566</t>
  </si>
  <si>
    <t>4401EB9B-0007</t>
  </si>
  <si>
    <t>ChatGPT Team Subscription (3 seats) – marzo a abril 2025</t>
  </si>
  <si>
    <t>Google Ads – Facturación marzo 2025</t>
  </si>
  <si>
    <t>9322504854528647-9368193859959739</t>
  </si>
  <si>
    <t>9383322731780189-9379260925519705</t>
  </si>
  <si>
    <t>INV299151190</t>
  </si>
  <si>
    <t>Zoom Workplace Pro Monthly</t>
  </si>
  <si>
    <t>JZTCZM-2025-03</t>
  </si>
  <si>
    <t>Scotiabank Chile</t>
  </si>
  <si>
    <t>Comisión confirmación vigencia cuenta corriente</t>
  </si>
  <si>
    <t>Sueldos Marzo 2025 Chile</t>
  </si>
  <si>
    <t>9392332470879215-9498238560288609</t>
  </si>
  <si>
    <t>9510274192418379-9335081033271031</t>
  </si>
  <si>
    <t>9410598685719256-9343827925729675</t>
  </si>
  <si>
    <t>13381087</t>
  </si>
  <si>
    <t>2498344-3</t>
  </si>
  <si>
    <t>Manychat PRO – 500 Contacts plan (period: 05/04/25 – 05/05/25), monthly subscription.</t>
  </si>
  <si>
    <t>9417324001713391-9371575656288233</t>
  </si>
  <si>
    <t>9419217928190671-9416395145139615</t>
  </si>
  <si>
    <t>Mercado Pago Operadora S.A.</t>
  </si>
  <si>
    <t>Cargo por uso del sitio MercadoPago</t>
  </si>
  <si>
    <t>022</t>
  </si>
  <si>
    <t>IEN2025019404776</t>
  </si>
  <si>
    <t>Adobe Stock – 25 credits a month — Service Term 08-APR-2025 to 07-MAY-2025</t>
  </si>
  <si>
    <t>9498194726959654-9540629996049458</t>
  </si>
  <si>
    <t>Suscripción mensual LinkedIn Premium Company Page, activa del 6 de abril al 6 de mayo de 2025, facturada a Nicolás Orbenes MD (Alemania).</t>
  </si>
  <si>
    <t>610966903</t>
  </si>
  <si>
    <t>5.000 contactos de marketing adicionales (10/04/2025 – 26/04/2025)</t>
  </si>
  <si>
    <t>9452916291487495-9386328518146282</t>
  </si>
  <si>
    <t>Sprout Social</t>
  </si>
  <si>
    <t>Suscripción mensual Advanced Plan</t>
  </si>
  <si>
    <t>G085135027</t>
  </si>
  <si>
    <t>01962c2b-f58c-1f46-4f61-20601b00ca25</t>
  </si>
  <si>
    <t>9522798561165937-9565137783598679</t>
  </si>
  <si>
    <t>AGX76NLJY2</t>
  </si>
  <si>
    <t xml:space="preserve">WhatsApp Business – admin &amp; messaging charges </t>
  </si>
  <si>
    <t>Visa *** 5526</t>
  </si>
  <si>
    <t>9475706892541774-9535732856539174</t>
  </si>
  <si>
    <t>2MK38NLJY2</t>
  </si>
  <si>
    <t>IEN2025020732327</t>
  </si>
  <si>
    <t>Premiere Pro plan — Service Term 15-APR-2025 to 14-MAY-2025</t>
  </si>
  <si>
    <t>ZW8AVP4KY2</t>
  </si>
  <si>
    <t>15068</t>
  </si>
  <si>
    <t>Plan B2B Lingoda — 200 clases grupales abiertas de alemán, válidas por 3 meses.</t>
  </si>
  <si>
    <t>1897275</t>
  </si>
  <si>
    <t>7B1AF7DC-0889</t>
  </si>
  <si>
    <t>9604948289617635-9451790271600104</t>
  </si>
  <si>
    <t>04489-22202228</t>
  </si>
  <si>
    <t>9614204742025316-9468591339919997</t>
  </si>
  <si>
    <t>INV303274099</t>
  </si>
  <si>
    <t>Zoom Workplace Pro Monthly y 500 Participants Meeting Monthly</t>
  </si>
  <si>
    <t>569EDBEA-0003</t>
  </si>
  <si>
    <t>9634605616651902-9481491781963286</t>
  </si>
  <si>
    <t>ECBA26E7-0002</t>
  </si>
  <si>
    <t>388AB7BF-0006</t>
  </si>
  <si>
    <t>G087199568</t>
  </si>
  <si>
    <t>Plan B2B Lingoda — 100 clases grupales abiertas de alemán, válidas por 3 meses.</t>
  </si>
  <si>
    <t>QuickBooks Online Plus – monthly subscription (02/04/2025–02/05/2025)</t>
  </si>
  <si>
    <t>50F47BED-0004</t>
  </si>
  <si>
    <t>9599678646811261-9533215163457609</t>
  </si>
  <si>
    <t>G088049486</t>
  </si>
  <si>
    <t>124103</t>
  </si>
  <si>
    <t>1237304846-08</t>
  </si>
  <si>
    <t>443ED6A4-154180</t>
  </si>
  <si>
    <t>49147AC5-0007</t>
  </si>
  <si>
    <t>77505DA9-0755</t>
  </si>
  <si>
    <t>Growth plan (abr 23 – may 23, 2025)</t>
  </si>
  <si>
    <t>EB5DC2E6-0003</t>
  </si>
  <si>
    <t>Jasper Pro plan – monthly subscription (Apr 22–May 22, 2025)</t>
  </si>
  <si>
    <t>INV302627490</t>
  </si>
  <si>
    <t>Prorrateo del plan “500 Participants Meeting Monthly”</t>
  </si>
  <si>
    <t>15135</t>
  </si>
  <si>
    <t>Plan Lingoda B2B — 300 clases grupales abiertas válidas por 3 meses.</t>
  </si>
  <si>
    <t>Reembolso / Nota de Crédito</t>
  </si>
  <si>
    <t>Reembolso/Nota de Crédito Maria Laura Servin Chávez</t>
  </si>
  <si>
    <t>9558343090944818-9556236087822181</t>
  </si>
  <si>
    <t>IEN2025018813287</t>
  </si>
  <si>
    <t>Acrobat Standard — Service Term 25-APR-2025 to 24-MAY-2025</t>
  </si>
  <si>
    <t>IEN2025019006422</t>
  </si>
  <si>
    <t>Audition — Service Term 26-APR-2025 to 25-MAY-2025</t>
  </si>
  <si>
    <t>PQ3L6PCKY2</t>
  </si>
  <si>
    <t>HubSpot for Marketers Professional + Licencias adicionales (27/04/2025 – 26/05/2025)</t>
  </si>
  <si>
    <t>Suscripción mensual LinkedIn Premium Business, activa del 21 de abril al 21 de mayo de 2025, facturada a Nicolás Orbenes MD (Alemania).</t>
  </si>
  <si>
    <t>295616D8-0001</t>
  </si>
  <si>
    <t>Circle</t>
  </si>
  <si>
    <t>Circle Professional Plan (Monthly)</t>
  </si>
  <si>
    <t>9530678400377957-9575973255848464</t>
  </si>
  <si>
    <t>INVFR0404418</t>
  </si>
  <si>
    <t>Aircall – Standard User License Essentials + llamadas internacionales (17-ABR-2025 a 16-MAY-2025)</t>
  </si>
  <si>
    <t>JZTCZM-2025-04</t>
  </si>
  <si>
    <t>4401EB9B-0008</t>
  </si>
  <si>
    <t>ChatGPT Team Subscription (3 seats) – abril a mayo 2025</t>
  </si>
  <si>
    <t>Sueldos Abril 2025 Chile</t>
  </si>
  <si>
    <t>Sueldos Marketing</t>
  </si>
  <si>
    <t>9658759064236552-9533450863434046</t>
  </si>
  <si>
    <t>SRBJQPQJY2</t>
  </si>
  <si>
    <t>9618482138264248-9728174947294968</t>
  </si>
  <si>
    <t>QuickBooks Online Plus – monthly subscription (02/05/2025–02/06/2025)</t>
  </si>
  <si>
    <t>13759142</t>
  </si>
  <si>
    <t>G089859079</t>
  </si>
  <si>
    <t>2498344-4</t>
  </si>
  <si>
    <t>Manychat PRO – 500 Contacts plan (period: 05/05/25 – 05/06/25), monthly subscription.</t>
  </si>
  <si>
    <t>9630761217036336-9637046633074465</t>
  </si>
  <si>
    <t>Paypal info@no-mii.com</t>
  </si>
  <si>
    <t>IN-2025-0316099</t>
  </si>
  <si>
    <t>Typeform</t>
  </si>
  <si>
    <t>Suscripción Typeform Business Monthly</t>
  </si>
  <si>
    <t>Steuerkanzlei Claudia Walter</t>
  </si>
  <si>
    <t>Servicios de contabilidad (60 registros, año 2024) y gastos administrativos</t>
  </si>
  <si>
    <t>Teams Monthly Subscription (3 und)</t>
  </si>
  <si>
    <t>9573094646136334-9633506133428514</t>
  </si>
  <si>
    <t>IEN2025023657842</t>
  </si>
  <si>
    <t>Adobe Stock – 25 credits a month — Service Term 08-MAY-2025 to 07-JUN-2025</t>
  </si>
  <si>
    <t>Suscripción mensual LinkedIn Premium Company Page, activa del 6 de mayo al 6 de junio de 2025, facturada a Nicolás Orbenes MD (Alemania).</t>
  </si>
  <si>
    <t>9605706456208486-9772154186230370</t>
  </si>
  <si>
    <t>Advertising Credit</t>
  </si>
  <si>
    <t>G091887611</t>
  </si>
  <si>
    <t>616457583</t>
  </si>
  <si>
    <t>2 licencias principales adicionales (Professional) del 10/05/2025 al 26/05/2025</t>
  </si>
  <si>
    <t>9684912761621185-9678827665563024</t>
  </si>
  <si>
    <t>0196c6b1-0e75-df10-b6a1-59debb5837b1</t>
  </si>
  <si>
    <t xml:space="preserve">057 233 778 060 9 </t>
  </si>
  <si>
    <t>Air France</t>
  </si>
  <si>
    <t>Pasaje JID Alemania / París - E-ticket Z4Z8DW: SCL→CDG→MUC (20–21 May) y regreso MUC→CDG→SCL (27 May)</t>
  </si>
  <si>
    <t>Cash</t>
  </si>
  <si>
    <t>057 233 778 061 0</t>
  </si>
  <si>
    <t>Pasaje JOF Alemania / París - E-ticket Z4Z8DW: SCL→CDG→MUC (20–21 May) y regreso MUC→CDG→SCL (27 May)</t>
  </si>
  <si>
    <t>616795961</t>
  </si>
  <si>
    <t>Ads Limit Increase (1 unidad) del 12/05/2025 al 26/05/2025</t>
  </si>
  <si>
    <t>9663983260380798-9665882806857513</t>
  </si>
  <si>
    <t>9699810120131443-9701930209919438</t>
  </si>
  <si>
    <t>9706188649493595-9812378838874571</t>
  </si>
  <si>
    <t>388AB7BF-0009</t>
  </si>
  <si>
    <t xml:space="preserve">Suscripción “Otter Pro Subscription” (3 licencias) </t>
  </si>
  <si>
    <t>7B1AF7DC-1041</t>
  </si>
  <si>
    <t>IEN2025025035771</t>
  </si>
  <si>
    <t>Premiere Pro plan — Service Term 15-MAY-2025 to 14-JUN-2025</t>
  </si>
  <si>
    <t>9716327421813048-9658186210960510</t>
  </si>
  <si>
    <t>1910758</t>
  </si>
  <si>
    <t>9692017097577419-9735577646554696</t>
  </si>
  <si>
    <t>04519-16691683</t>
  </si>
  <si>
    <t>9808388885940235-9746610645451396</t>
  </si>
  <si>
    <t>G092792715</t>
  </si>
  <si>
    <t>49147AC5-0008</t>
  </si>
  <si>
    <t>Renovación mensual del plan Enterprise (6 miembros) + IA de Notion (6 miembros) y prorrateo por ampliación de usuarios (de 2 a 6 miembros)</t>
  </si>
  <si>
    <t>0O6ZDV8W-0001</t>
  </si>
  <si>
    <t>ChatGPT Pro Subscription – mayo a junio 2025</t>
  </si>
  <si>
    <t>15231</t>
  </si>
  <si>
    <t>9719106714868457-9756675497778240</t>
  </si>
  <si>
    <t>569EDBEA-0004</t>
  </si>
  <si>
    <t>1260863118-08</t>
  </si>
  <si>
    <t>450EF1C4-0002</t>
  </si>
  <si>
    <t>INVFR0416924</t>
  </si>
  <si>
    <t>Aircall – Licencias Essentials + llamadas internacionales (17-MAY-2025 a 16-JUN-2025)</t>
  </si>
  <si>
    <t>50F47BED-0005</t>
  </si>
  <si>
    <t>618550698</t>
  </si>
  <si>
    <t>Sales Hub Professional (1 licencia) + 3 licencias principales adicionales (Professional) del 22/05/2025 al 26/05/2025</t>
  </si>
  <si>
    <t>9842116599234130-9736161976496264</t>
  </si>
  <si>
    <t>77505DA9-0857</t>
  </si>
  <si>
    <t>Growth plan (may 23 – jun 23, 2025)</t>
  </si>
  <si>
    <t>9906855636093564-9752979428147852</t>
  </si>
  <si>
    <t>IEN2025027012170</t>
  </si>
  <si>
    <t>Acrobat Standard — Service Term 25-MAY-2025 to 24-JUN-2025</t>
  </si>
  <si>
    <t>Suscripción mensual LinkedIn Premium Business, activa del 21 de mayo al 21 de junio de 2025, facturada a Nicolás Orbenes MD (Alemania).</t>
  </si>
  <si>
    <t>IEN2025027209712</t>
  </si>
  <si>
    <t>Audition — Service Term 26-MAY-2025 to 25-JUN-2025</t>
  </si>
  <si>
    <t>295616D8-0002</t>
  </si>
  <si>
    <t>Circle Professional Plan (Monthly) + Email Hub (30 Qty)</t>
  </si>
  <si>
    <t>9811843778928082-9811843785594748</t>
  </si>
  <si>
    <t>619784003</t>
  </si>
  <si>
    <t>HubSpot for Marketers Professional + 5,000 contactos adicionales + Sales Hub Professional + 3 licencias principales + Ads Limit Increase (27/05/2025–26/06/2025)</t>
  </si>
  <si>
    <t>EB5DC2E6-0004</t>
  </si>
  <si>
    <t>Jasper Pro plan – monthly subscription (May 22–Jun 22, 2025)</t>
  </si>
  <si>
    <t>Vuelo a Alemania, tasas e impuestos - servicio aéreo nacional de pasajeros.</t>
  </si>
  <si>
    <t>9827635157348944-9829924007120053</t>
  </si>
  <si>
    <t>INV307388928</t>
  </si>
  <si>
    <t>9836079199837869-9841995582579568</t>
  </si>
  <si>
    <t>JZTCZM-2025-05</t>
  </si>
  <si>
    <t>Sueldos Mayo 2025 Chile</t>
  </si>
  <si>
    <t>JZTCZM-2025-06</t>
  </si>
  <si>
    <t>QuickBooks Online Plus – monthly subscription (02/06/2025–02/07/2025)</t>
  </si>
  <si>
    <t>4401EB9B-0009</t>
  </si>
  <si>
    <t>ChatGPT Team Subscription (3 seats) – mayo a junio 2025</t>
  </si>
  <si>
    <t>9854117674700692-9854117678034025</t>
  </si>
  <si>
    <t>2C01VU2D-0001</t>
  </si>
  <si>
    <t>ManusAI</t>
  </si>
  <si>
    <t>Suscripción Manus Pro. Correspondiente a herramientas de IA y automatización.</t>
  </si>
  <si>
    <t>9831446866967774-9986019228177204</t>
  </si>
  <si>
    <t>LA0458454ECGW</t>
  </si>
  <si>
    <t>Pasajes Santiago ↔ Frankfurt (02/07/2025–10/07/2025), reserva HFGHXM, pasajeros Julio Orbenes Figueroa y Patricia Figueroa Donoso</t>
  </si>
  <si>
    <t>*** 3809</t>
  </si>
  <si>
    <t>023</t>
  </si>
  <si>
    <t>14140532</t>
  </si>
  <si>
    <t>Teams Monthly Subscription (4 und)</t>
  </si>
  <si>
    <t>77505DA9-0905</t>
  </si>
  <si>
    <t>Tiempo restante en Advanced y ajuste de Growth (jun 5 – jun 23, 2025)</t>
  </si>
  <si>
    <t>7B1AF7DC-1243</t>
  </si>
  <si>
    <t>G094702292</t>
  </si>
  <si>
    <t>2498344-5</t>
  </si>
  <si>
    <t>Manychat PRO – 500 Contacts plan (period: 05/06/25 – 05/07/25), monthly subscription.</t>
  </si>
  <si>
    <t>9880277455418043-9988418294603957</t>
  </si>
  <si>
    <t>9891203030992154-9880964278682694</t>
  </si>
  <si>
    <t>IN-2025-0382046</t>
  </si>
  <si>
    <t>9840297252749404-9906385536140566</t>
  </si>
  <si>
    <t>IEN2025029777681</t>
  </si>
  <si>
    <t>Adobe Stock – 25 créditos al mes (08-JUN-2025 a 07-JUL-2025)</t>
  </si>
  <si>
    <t>Suscripción mensual LinkedIn Premium Company Page, activa del 6 de junio al 6 de julio de 2025, facturada a Nicolás Orbenes MD (Alemania).</t>
  </si>
  <si>
    <t>2899324</t>
  </si>
  <si>
    <t>9923133221132464-9920528321392960</t>
  </si>
  <si>
    <t>G096824812</t>
  </si>
  <si>
    <t>9893338467445280-10047820371997089</t>
  </si>
  <si>
    <t>01976656-452c-46ba-6b69-7f4e670c22ac</t>
  </si>
  <si>
    <t>15371</t>
  </si>
  <si>
    <t>Plan Lingoda B2B — 600 clases grupales abiertas válidas por 3 meses.</t>
  </si>
  <si>
    <t>5309-8203-5640</t>
  </si>
  <si>
    <t>Tasa administrativa por rechazo de solicitud de aprobación médica (“Approbation als Arzt”) conforme a la Bundesärzteordnung (BAO)</t>
  </si>
  <si>
    <t>10013537338758721-9955551884557268</t>
  </si>
  <si>
    <t>9904948282950965-9904948296284297</t>
  </si>
  <si>
    <t>388AB7BF-0010</t>
  </si>
  <si>
    <t>9961339187311872-10069156123196840</t>
  </si>
  <si>
    <t>388AB7BF-0011</t>
  </si>
  <si>
    <t>INVFR0428807</t>
  </si>
  <si>
    <t>Aircall – Licencias Essentials + llamadas internacionales (17-JUN-2025 a 16-JUL-2025)</t>
  </si>
  <si>
    <t>04550-23218565</t>
  </si>
  <si>
    <t>15391</t>
  </si>
  <si>
    <t>Plan Lingoda B2B — 500 clases grupales abiertas válidas por 3 meses.</t>
  </si>
  <si>
    <t>1924067</t>
  </si>
  <si>
    <t>49147AC5-0009</t>
  </si>
  <si>
    <t>Renovación mensual del plan Enterprise (6 miembros) + IA de Notion (6 miembros)</t>
  </si>
  <si>
    <t>9978284338950690-9984915254954260</t>
  </si>
  <si>
    <t>G097710849</t>
  </si>
  <si>
    <t>14314951</t>
  </si>
  <si>
    <t xml:space="preserve">Teams Monthly – Prorated Charges </t>
  </si>
  <si>
    <t>0O6ZDV8W-0002</t>
  </si>
  <si>
    <t>ChatGPT Pro Subscription – junio a julio 2025</t>
  </si>
  <si>
    <t>10000674560045002-9995804897198634</t>
  </si>
  <si>
    <t>9977076952404759-10046534138792374</t>
  </si>
  <si>
    <t>Sponsoringvertrag</t>
  </si>
  <si>
    <t>Sana Kliniken Düsseldorf</t>
  </si>
  <si>
    <t>Patrocinio “Pflegemanagementkongress Rheinland” (17–18 sep 2025): stand/visibilidad y uso de logo.</t>
  </si>
  <si>
    <t>Sponsorships</t>
  </si>
  <si>
    <t>Suscripción mensual LinkedIn Premium Business, activa del 21 de junio al 21 de julio de 2025, facturada a Nicolás Orbenes MD (Alemania).</t>
  </si>
  <si>
    <t>569EDBEA-0005</t>
  </si>
  <si>
    <t>10009645662481224-10020610428051413</t>
  </si>
  <si>
    <t>450EF1C4-0003</t>
  </si>
  <si>
    <t>EB5DC2E6-0005</t>
  </si>
  <si>
    <t>Jasper Pro plan – monthly subscription (Jun 22–Jul 22, 2025)</t>
  </si>
  <si>
    <t>77505DA9-0969</t>
  </si>
  <si>
    <t>Advanced plan (jun 23 – jul 23, 2025)</t>
  </si>
  <si>
    <t>k-055-2025</t>
  </si>
  <si>
    <t>Hello Mind</t>
  </si>
  <si>
    <t>Oficina virtual mensual (Virtual Office – Hello Dachau)</t>
  </si>
  <si>
    <t>10031616190284166-23895230850162800</t>
  </si>
  <si>
    <t>1283580643-08</t>
  </si>
  <si>
    <t>25-1003</t>
  </si>
  <si>
    <t>Nobis Medicos GmbH</t>
  </si>
  <si>
    <t>Servicios de intermediación e integración profesional (“Vermittlungs- und Integrationsdienstleistung”) relacionados con los casos Hernandez – Pretell, prestados a NOMII GmbH.</t>
  </si>
  <si>
    <t>50F47BED-0006</t>
  </si>
  <si>
    <t>TB2025R045000002584</t>
  </si>
  <si>
    <t>iPad Pro 13” Wi-Fi 512 GB (Space Schwarz) + Magic Keyboard + Apple Pencil Pro + AppleCare+</t>
  </si>
  <si>
    <t>Mastercard ***7611</t>
  </si>
  <si>
    <t>10040056372773486-10001219566657169</t>
  </si>
  <si>
    <t>295616D8-0003</t>
  </si>
  <si>
    <t>Circle Professional Plan (Monthly) + Email Hub (75 Qty)</t>
  </si>
  <si>
    <t>10054772967968493-10066232143489241</t>
  </si>
  <si>
    <t>627397304</t>
  </si>
  <si>
    <t>HubSpot for Marketers Professional + 5,000 contactos adicionales + Sales Hub Professional + 3 licencias principales + Ads Limit Increase (27/06/2025–26/07/2025)</t>
  </si>
  <si>
    <t>INV311430845</t>
  </si>
  <si>
    <t>QR4XPTCKY2</t>
  </si>
  <si>
    <t>Plan Lingoda B2B — 300 clases grupales abiertas válidas por 3 meses (estado: Overdue).</t>
  </si>
  <si>
    <t>15349</t>
  </si>
  <si>
    <t>23943740245311860-10077385259040592</t>
  </si>
  <si>
    <t>Sueldos Servicio al Cliente</t>
  </si>
  <si>
    <t>Sueldos Junio 2025 Alemania</t>
  </si>
  <si>
    <t>Sueldos Junio 2025 Chile</t>
  </si>
  <si>
    <t>Expedia</t>
  </si>
  <si>
    <t>Vuelo ida y vuelta Santiago de Chile – Múnich (31 julio a 27 agosto 2025) para 1 pasajero adulto, clase económica con Air France</t>
  </si>
  <si>
    <t>MasterCard ***3790</t>
  </si>
  <si>
    <t>14467245</t>
  </si>
  <si>
    <t>15303</t>
  </si>
  <si>
    <t>15321</t>
  </si>
  <si>
    <t>Plan Lingoda B2B — 400 clases grupales abiertas válidas por 3 meses.</t>
  </si>
  <si>
    <t>4401EB9B-0010</t>
  </si>
  <si>
    <t>ChatGPT Team Subscription (3 seats) – junio a julio 2025</t>
  </si>
  <si>
    <t>eDreams</t>
  </si>
  <si>
    <t>Vuelo ida y vuelta Santiago de Chile – Barcelona (28 julio a 5 septiembre 2025) para 1 pasajero, incluye equipaje de mano</t>
  </si>
  <si>
    <t>QuickBooks Online Plus – monthly subscription (02/07/2025–02/08/2025)</t>
  </si>
  <si>
    <t>10098490043596784-10029964243782703</t>
  </si>
  <si>
    <t>388AB7BF-0012</t>
  </si>
  <si>
    <t>Ajuste prorrateado por ampliación a 5 usuarios del plan “Otter Business Subscription”</t>
  </si>
  <si>
    <t>14500931</t>
  </si>
  <si>
    <t>23877999378552617-23866672849685268</t>
  </si>
  <si>
    <t>2C01VU2D-0002</t>
  </si>
  <si>
    <t>G099745751</t>
  </si>
  <si>
    <t>23885292084490015-23988615384157679</t>
  </si>
  <si>
    <t>2498344-6</t>
  </si>
  <si>
    <t>Manychat PRO – plan adjustments: downgrade 500 Contacts (–$12.12), upgrade to 2500 Contacts ($20.2 + $25). Total $33.08 for the period 11/06/25 – 05/08/25 (UTC).</t>
  </si>
  <si>
    <t>CC2025R200017691</t>
  </si>
  <si>
    <t>Capcut</t>
  </si>
  <si>
    <t>CapCut Pro Monthly Base Subscription</t>
  </si>
  <si>
    <t>024</t>
  </si>
  <si>
    <t>10071491326296661-10089506547828470</t>
  </si>
  <si>
    <t>10077504019028723-23879349228417630</t>
  </si>
  <si>
    <t>14518295</t>
  </si>
  <si>
    <t>Teams Monthly Subscription (7 und)</t>
  </si>
  <si>
    <t>IN-2025-0446908</t>
  </si>
  <si>
    <t>Suscripción mensual LinkedIn Premium Company Page, activa del 6 de julio al 6 de agosto de 2025, facturada a Nicolás Orbenes MD (Alemania).</t>
  </si>
  <si>
    <t>0197e544-6894-c979-1e7b-9f327fa7a3d2</t>
  </si>
  <si>
    <t>IEE2025009187250</t>
  </si>
  <si>
    <t>Adobe Stock – 25 créditos al mes (08-JUL-2025 a 07-AGO-2025)</t>
  </si>
  <si>
    <t>202500000876</t>
  </si>
  <si>
    <t>23905782879107598-23912088608477023</t>
  </si>
  <si>
    <t>15528</t>
  </si>
  <si>
    <t>2913791</t>
  </si>
  <si>
    <t>G101734313</t>
  </si>
  <si>
    <t>23921469394205613-23928498430169380</t>
  </si>
  <si>
    <t>Mastercard ***3769</t>
  </si>
  <si>
    <t>23943431122009438-23937283242624228</t>
  </si>
  <si>
    <t>552</t>
  </si>
  <si>
    <t>Accounting services – bookkeeping Q1 &amp; Q2 2025 + expenses + VAT</t>
  </si>
  <si>
    <t>15551</t>
  </si>
  <si>
    <t>23915700861449138-24073386832347207</t>
  </si>
  <si>
    <t>7B1AF7DC-1476</t>
  </si>
  <si>
    <t>17</t>
  </si>
  <si>
    <t>18</t>
  </si>
  <si>
    <t>1935993</t>
  </si>
  <si>
    <t>151639</t>
  </si>
  <si>
    <t>INV58604774</t>
  </si>
  <si>
    <t>DocuSign</t>
  </si>
  <si>
    <t>Suscripción eSignature Business Pro Edition (1 licencia)</t>
  </si>
  <si>
    <t>Document Management &amp; Signature</t>
  </si>
  <si>
    <t>04580-23530765</t>
  </si>
  <si>
    <t>23918778914474668-23983446484674574</t>
  </si>
  <si>
    <t>388AB7BF-0013</t>
  </si>
  <si>
    <t>Suscripción “Otter Business Subscription” (5 licencias)</t>
  </si>
  <si>
    <t>49147AC5-0010</t>
  </si>
  <si>
    <t>G102793666</t>
  </si>
  <si>
    <t>0O6ZDV8W-0003</t>
  </si>
  <si>
    <t>ChatGPT Pro Subscription – julio a agosto 2025</t>
  </si>
  <si>
    <t>Restaurantes Starnberg</t>
  </si>
  <si>
    <t>Consumo restaurante (almuerzo/cena empresa)</t>
  </si>
  <si>
    <t>Meals &amp; Entertainment</t>
  </si>
  <si>
    <t>Business Meals</t>
  </si>
  <si>
    <t>23993016137050941-23954194617599762</t>
  </si>
  <si>
    <t>Müller GmbH &amp; Co. KG</t>
  </si>
  <si>
    <t>Compra de materiales de oficina y papelería (cuadernos, fundas, etiquetas, registros y carpetas) realizada en la tienda de Múnich el 21 de julio de 2025.</t>
  </si>
  <si>
    <t>Office Supplies &amp; Equipment</t>
  </si>
  <si>
    <t>Operations &amp; Logistics</t>
  </si>
  <si>
    <t>569EDBEA-0006</t>
  </si>
  <si>
    <t>INV58644663</t>
  </si>
  <si>
    <t>Suscripción eSignature Business Pro Edition (ajuste prorrateado y crédito parcial)</t>
  </si>
  <si>
    <t>XKYZ2G</t>
  </si>
  <si>
    <t>Vueling</t>
  </si>
  <si>
    <t xml:space="preserve">Vuelo Barcelona (BCN) → Múnich (MUC) del 01 de agosto de 2025, para Sebastián Arellano. </t>
  </si>
  <si>
    <t>Visa ***9475</t>
  </si>
  <si>
    <t>Café Am Marienplatz</t>
  </si>
  <si>
    <t>Coffee and beverages – 2x Cappuccino + 2x Mineral Water</t>
  </si>
  <si>
    <t>1307169528-08</t>
  </si>
  <si>
    <t>24020572487628638-24020572497628637</t>
  </si>
  <si>
    <t>450EF1C4-0004</t>
  </si>
  <si>
    <t>INVFR0441222</t>
  </si>
  <si>
    <t>Aircall – Licencias Essentials + llamadas internacionales (17-JUL-2025 a 16-AGO-2025)</t>
  </si>
  <si>
    <t>BE-0004</t>
  </si>
  <si>
    <t>Betrieb</t>
  </si>
  <si>
    <t xml:space="preserve">Board Service Gert F. (22 Jul–22 Aug 2025) </t>
  </si>
  <si>
    <t>Suscripción mensual LinkedIn Premium Business, activa del 21 de julio al 21 de agosto de 2025, facturada a Nicolás Orbenes MD (Alemania).</t>
  </si>
  <si>
    <t>77505DA9-1084</t>
  </si>
  <si>
    <t>Advanced plan (jul 23 – ago 23, 2025)</t>
  </si>
  <si>
    <t>24093880000297885-23967538542932038</t>
  </si>
  <si>
    <t>50F47BED-0007</t>
  </si>
  <si>
    <t>OnePage</t>
  </si>
  <si>
    <t>EB5DC2E6-0006</t>
  </si>
  <si>
    <t>Jasper Pro plan – monthly subscription (Jul 22–Aug 22, 2025)</t>
  </si>
  <si>
    <t>24049651794720707-24049651811387372</t>
  </si>
  <si>
    <t>HubSpot for Marketers Professional + 5,000 contactos adicionales + Sales Hub Professional + 3 licencias principales + Ads Limit Increase (27/07/2025–26/08/2025)</t>
  </si>
  <si>
    <t>ZGWNPVCKY2</t>
  </si>
  <si>
    <t>15606</t>
  </si>
  <si>
    <t>24127651726920712-24065775006441721</t>
  </si>
  <si>
    <t>25-1004</t>
  </si>
  <si>
    <t>Servicio de intermediación e integración profesional (“Vermittlungs- und Integrationsdienstleistung – Bavera”) prestado a NOMII GmbH.</t>
  </si>
  <si>
    <t>Hiscox SA (Niederlassung für Deutschland) / Seguro antipirateria</t>
  </si>
  <si>
    <t>Póliza anual CyberClear – Cyber-Versicherung (Seguro cibernético) para empresa con cobertura de hasta €2.000.000. Incluye módulos adicionales: Cyber-Betriebsunterbrechung On-Premises (€155) y Cyber-Betriebsunterbrechung Cloud (€95). Prima anual neta €1.460, total bruto €1.737,40 (incl. 19 % IVA). Vigencia desde 01.07.2025.</t>
  </si>
  <si>
    <t>Insurance</t>
  </si>
  <si>
    <t>Cyber Liability</t>
  </si>
  <si>
    <t>295616D8-0004</t>
  </si>
  <si>
    <t>Circle Business Plan (Monthly) + Email Hub (98 Qty)</t>
  </si>
  <si>
    <t>INV315434022</t>
  </si>
  <si>
    <t>4401EB9B-0011</t>
  </si>
  <si>
    <t>TA2025R04500003591</t>
  </si>
  <si>
    <t xml:space="preserve">Hardware purchase – Apple Retail Germany </t>
  </si>
  <si>
    <t>Visa ***8785</t>
  </si>
  <si>
    <t>24084271311258751-24090460480639838</t>
  </si>
  <si>
    <t>c25000644</t>
  </si>
  <si>
    <t>Lingoking</t>
  </si>
  <si>
    <t>Factura consolidada por servicios de traducción jurada (Beglaubigte Übersetzung)</t>
  </si>
  <si>
    <t>JZTCZM-2025-07</t>
  </si>
  <si>
    <t>Sueldos Julio 2025 Alemania</t>
  </si>
  <si>
    <t>Sueldos Julio 2025 Chile</t>
  </si>
  <si>
    <t>Büroshop24</t>
  </si>
  <si>
    <t>Samsung Digital Flipchart WM85B, TV-Rollwagen, paños microfibra, limpiador de vidrios Frosch</t>
  </si>
  <si>
    <t>6FPBXFSH-0001</t>
  </si>
  <si>
    <t>ChatGPT Pro Subscription – agosto a septiembre 2025</t>
  </si>
  <si>
    <t>Boleta de Honorarios CL</t>
  </si>
  <si>
    <t>Giovanny Bravo - Data analysis and actionable recommendations – July 2025 (Boleta N°6 – 31/07/2025)</t>
  </si>
  <si>
    <t>QuickBooks Online Plus – monthly subscription (02/08/2025–02/09/2025)</t>
  </si>
  <si>
    <t>24106263735726181-24101009489584935</t>
  </si>
  <si>
    <t>388AB7BF-0014</t>
  </si>
  <si>
    <t>Ajuste prorrateado por ampliación a 12 usuarios del plan “Otter Business Subscription”</t>
  </si>
  <si>
    <t>Reembolso/Nota de Crédito Gabriel Galarza</t>
  </si>
  <si>
    <t>CC2025R200093289</t>
  </si>
  <si>
    <t>RCR4CNYJZP</t>
  </si>
  <si>
    <t>Airbnb</t>
  </si>
  <si>
    <t>Alojamiento Airbnb – 30 noches en Múnich (04-AGO-2025 a 03-SEP-2025)</t>
  </si>
  <si>
    <t>2C01VU2D-0003</t>
  </si>
  <si>
    <t>24121808350838380-24075632485455974</t>
  </si>
  <si>
    <t>Taxi Germany</t>
  </si>
  <si>
    <t>Taxi ride (local trip, incl. VAT)</t>
  </si>
  <si>
    <t>24141513018867917-24247215261631029</t>
  </si>
  <si>
    <t>2498344-7</t>
  </si>
  <si>
    <t>Manychat PRO – 2500 Contacts plan (period: 05/08/25 – 05/09/25), monthly subscription.</t>
  </si>
  <si>
    <t>G104968401</t>
  </si>
  <si>
    <t>Suscripción mensual LinkedIn Premium Company Page, activa del 6 de agosto al 6 de septiembre de 2025, facturada a Nicolás Orbenes MD (Alemania).</t>
  </si>
  <si>
    <t>15661</t>
  </si>
  <si>
    <t>24150364994649386-24079729058379652</t>
  </si>
  <si>
    <t>24206595115693039-24256073994078489</t>
  </si>
  <si>
    <t>24248522294833659-24072260359126522</t>
  </si>
  <si>
    <t>24249561588063063-24137088969310318</t>
  </si>
  <si>
    <t>E0300X9E7X</t>
  </si>
  <si>
    <t>IN-2025-0511195</t>
  </si>
  <si>
    <t>RCFAF5NTWJ</t>
  </si>
  <si>
    <t>Alojamiento Airbnb – 31 noches en Múnich (08-AGO-2025 a 08-SEP-2025)</t>
  </si>
  <si>
    <t>Teams Monthly – Prorated Charges</t>
  </si>
  <si>
    <t>019884f0-bc61-5180-a6d8-d1feff06162b</t>
  </si>
  <si>
    <t>24145661665119720-24152830397736175</t>
  </si>
  <si>
    <t>0000228673000-112245</t>
  </si>
  <si>
    <t>Stadtkasse Dachau</t>
  </si>
  <si>
    <t>Gewerbeanmeldung fee (€65.00) + reminder fee (€5.00) + late payment surcharges (€1.00)</t>
  </si>
  <si>
    <t>24155830454102838-24114132048272684</t>
  </si>
  <si>
    <t>IEE2025011131097</t>
  </si>
  <si>
    <t>Adobe Stock – 25 créditos al mes (08-AGO-2025 a 07-SEP-2025)</t>
  </si>
  <si>
    <t>FINIQUITO-MPGC-2025</t>
  </si>
  <si>
    <t>Maria Paz Gazitua</t>
  </si>
  <si>
    <t>Finiquito</t>
  </si>
  <si>
    <t>24271956239156924-24119546237731265</t>
  </si>
  <si>
    <t>4 2501 451300</t>
  </si>
  <si>
    <t xml:space="preserve">Hieber Lindberg </t>
  </si>
  <si>
    <t>Micrófonos, cables, adaptadores y tarjeta de sonido Focusrite Scarlett</t>
  </si>
  <si>
    <t>TA2025R04500003772</t>
  </si>
  <si>
    <t>Smart Folio 13’’ iPad Pro (M4) + iPad Pro Wi-Fi 256 GB + Urheberrechtsgebühr</t>
  </si>
  <si>
    <t>24173300162355867-24177430011942880</t>
  </si>
  <si>
    <t>2927697</t>
  </si>
  <si>
    <t>G107047765</t>
  </si>
  <si>
    <t>Taxi München 26</t>
  </si>
  <si>
    <t>XCAWEXGKY2</t>
  </si>
  <si>
    <t>24293996816952873-24188488567503695</t>
  </si>
  <si>
    <t>WW1PSI25526186</t>
  </si>
  <si>
    <t>Westwing</t>
  </si>
  <si>
    <t>Compra de equipamiento de oficina (power strips, organizadores de escritorio, reloj de pared, velas, bandejas de mármol, jarrones decorativos)</t>
  </si>
  <si>
    <t>Extend Comunicaciones SpA (Finiquito/Transacción extrajudicial)</t>
  </si>
  <si>
    <t>24142713552081200-24125236823828875</t>
  </si>
  <si>
    <t>24200240876328460-24154305030922052</t>
  </si>
  <si>
    <t>HD Hessen Display &amp; Co. KG</t>
  </si>
  <si>
    <t>AluFrame Wall 300×250 cm con impresión textil Blockout, perfiles aluminio 80mm, sistema de montaje sin herramientas, bolsa transporte incluida + envío</t>
  </si>
  <si>
    <t>Logistics &amp; Shipping</t>
  </si>
  <si>
    <t>Numa</t>
  </si>
  <si>
    <t>Alojamiento corporativo en Numa Viktoria (Munich) para Francisca Hepp, del 01 al 14 de agosto de 2025, con servicio de habitación tipo Medium Studio with Kitchenette – Single Bed. Incluye IVA del 7%.</t>
  </si>
  <si>
    <t>24206975385655011-24206975388988344</t>
  </si>
  <si>
    <t>7B1AF7DC-1729</t>
  </si>
  <si>
    <t>IEE2025011544515</t>
  </si>
  <si>
    <t>Adobe Creative Cloud Pro (14-AGO-2025 a 13-SEP-2025)</t>
  </si>
  <si>
    <t>24328440530175161-24213713154981237</t>
  </si>
  <si>
    <t>INV59298940</t>
  </si>
  <si>
    <t>Suscripción eSignature Business Pro Edition (2 licencias)</t>
  </si>
  <si>
    <t>P25028699</t>
  </si>
  <si>
    <t>Pinguin Druck GmbH</t>
  </si>
  <si>
    <t>Impresión 1.000 trípticos (135g BD matt VOL, full color, formato 297×210mm, plegado y envío DHL)</t>
  </si>
  <si>
    <t>Marketing &amp; Communications</t>
  </si>
  <si>
    <t>19</t>
  </si>
  <si>
    <t>20</t>
  </si>
  <si>
    <t>24223215450697674-24226751197010763</t>
  </si>
  <si>
    <t>Reembolso/Nota de Crédito Filogonio Maya Mercado</t>
  </si>
  <si>
    <t>388AB7BF-0015</t>
  </si>
  <si>
    <t>Suscripción “Otter Business Subscription” (12 licencias activas)</t>
  </si>
  <si>
    <t>04611-12832261</t>
  </si>
  <si>
    <t>24348786198140594-24250093464676538</t>
  </si>
  <si>
    <t>49147AC5-0011</t>
  </si>
  <si>
    <t>G108111663</t>
  </si>
  <si>
    <t>INVFR0452916</t>
  </si>
  <si>
    <t>Aircall – Licencias Essentials + llamadas internacionales (17-AGO-2025 a 16-SEP-2025)</t>
  </si>
  <si>
    <t>TB2025R04500003425</t>
  </si>
  <si>
    <t>MacBook Pro 16’’ (Space Black, 48GB RAM, 512GB SSD) + Urheberrechtsgebühr</t>
  </si>
  <si>
    <t>0O6ZDV8W-0004</t>
  </si>
  <si>
    <t>24190555470630343-24253963650956188</t>
  </si>
  <si>
    <t>24248332621519287-24244548995230986</t>
  </si>
  <si>
    <t>24254509740901579-24368903299462224</t>
  </si>
  <si>
    <t>24263377626681455-24207700585582496</t>
  </si>
  <si>
    <t>24359985837020630-24317024954650054</t>
  </si>
  <si>
    <t>24362629690089578-24254079437611270</t>
  </si>
  <si>
    <t>24366071599745394-24316831371336079</t>
  </si>
  <si>
    <t>24368217122864175-24253416167677597</t>
  </si>
  <si>
    <t>24368904729462081-24368904759462078</t>
  </si>
  <si>
    <t>Flyeralarm</t>
  </si>
  <si>
    <t>Compra de 2 T-Ständer de acrílico formato A5 </t>
  </si>
  <si>
    <t>Suscripción mensual LinkedIn Premium Business, activa del 21 de agosto al 21 de septiembre de 2025, facturada a Nicolás Orbenes MD (Alemania).</t>
  </si>
  <si>
    <t>569EDBEA-0007</t>
  </si>
  <si>
    <t>1331893571-08</t>
  </si>
  <si>
    <t>450EF1C4-0005</t>
  </si>
  <si>
    <t>50F47BED-0008</t>
  </si>
  <si>
    <t>EB5DC2E6-0007</t>
  </si>
  <si>
    <t>Jasper Pro plan – monthly subscription (Aug 22–Sep 22, 2025)</t>
  </si>
  <si>
    <t>77505DA9-1195</t>
  </si>
  <si>
    <t>Advanced plan (ago 23 – sept 23, 2025)</t>
  </si>
  <si>
    <t>BE-0006</t>
  </si>
  <si>
    <t>Board Service Gert F. (23 Aug–23 Sep 2025)</t>
  </si>
  <si>
    <t>Artlist</t>
  </si>
  <si>
    <t>Music &amp; SFX Pro Annual Subscription (Factura #23154311 – 25/08/2025 a 24/08/2026)</t>
  </si>
  <si>
    <t>PandaDoc, Inc.</t>
  </si>
  <si>
    <t>Suscripción “Business Monthly”</t>
  </si>
  <si>
    <t>Visa ***6928</t>
  </si>
  <si>
    <t>Mindspace</t>
  </si>
  <si>
    <t>Arriendo mensual de oficina en Múnich (Salvatorplatz) correspondiente a agosto de 2025, espacio #208 en ubicación 3–6 WS Office Space with Window.</t>
  </si>
  <si>
    <t>295616D8-0005</t>
  </si>
  <si>
    <t>Circle Business Plan (Monthly) + Email Hub (105 Qty)</t>
  </si>
  <si>
    <t>075-2526268277</t>
  </si>
  <si>
    <t>Iberia</t>
  </si>
  <si>
    <t>Flight ticket MUC → MAD → SCL (Passenger: Natalia Valdebenito)</t>
  </si>
  <si>
    <t>Maxer Host Limited</t>
  </si>
  <si>
    <t>Web hosting and domain registration for nobismedicos.de (Plan 2 – Frankfurt, Germany). Includes domain renewal for 1 year (26/08/2025–25/08/2026) and Lite monitoring add-on.</t>
  </si>
  <si>
    <t>Stripe</t>
  </si>
  <si>
    <t>Web Hosting &amp; Domain Services</t>
  </si>
  <si>
    <t>Mónica Moreno Rojas</t>
  </si>
  <si>
    <t>Servicio de asesoría migratoria en español para NOMII GmbH</t>
  </si>
  <si>
    <t>Producción de 4 Roll-Up Classic</t>
  </si>
  <si>
    <t>Servicios de contabilidad (40 registros, año 2025) y gastos administrativos</t>
  </si>
  <si>
    <t>HubSpot for Marketers Professional + 5,000 contactos adicionales + Sales Hub Professional + 3 licencias principales + Ads Limit Increase (27/08/2025–26/09/2025)</t>
  </si>
  <si>
    <t>Producción de 1.000 marcapáginas</t>
  </si>
  <si>
    <t>Additional User Licenses</t>
  </si>
  <si>
    <t>INVFR0458144</t>
  </si>
  <si>
    <t>Aircall – Integración WhatsApp in Aircall (28-AGO-2025 a 16-SEP-2025)</t>
  </si>
  <si>
    <t>Sin respaldo</t>
  </si>
  <si>
    <t>Sin descripción</t>
  </si>
  <si>
    <t>10.000 contactos de marketing adicionales + créditos incluidos (29/08/2025–26/09/2025)</t>
  </si>
  <si>
    <t>Producción de 600 revistas DIN A4</t>
  </si>
  <si>
    <t>INV319461852</t>
  </si>
  <si>
    <t xml:space="preserve">Web hosting service for nobismedicos.de (Plan 2 – Frankfurt, Germany) </t>
  </si>
  <si>
    <t>B2B-RWA-000094</t>
  </si>
  <si>
    <t>Bittwobyte Technology</t>
  </si>
  <si>
    <t>Requirement Gathering &amp; Design Completion</t>
  </si>
  <si>
    <t>4401EB9B-0012</t>
  </si>
  <si>
    <t>JZTCZM-2025-08</t>
  </si>
  <si>
    <t>c25000709</t>
  </si>
  <si>
    <t>Sueldos Agosto 2025 Chile</t>
  </si>
  <si>
    <t>Sueldos Agosto 2025 Alemania</t>
  </si>
  <si>
    <t>Sueldos Gerencia</t>
  </si>
  <si>
    <t>Finanzamt München</t>
  </si>
  <si>
    <t>Pago pendiente de Lohnsteuer y Umsatzsteuer julio 2025</t>
  </si>
  <si>
    <t>6FPBXFSH-0002</t>
  </si>
  <si>
    <t>ChatGPT Pro Subscription – septiembre a octubre 2025</t>
  </si>
  <si>
    <t>INV00961835</t>
  </si>
  <si>
    <t>Trustpilot A/S</t>
  </si>
  <si>
    <t xml:space="preserve">Suscripción Enterprise Plan – Quarterly </t>
  </si>
  <si>
    <t>Arriendo mensual de oficina en Múnich (Salvatorplatz) correspondiente a septiembre de 2025, espacio #208 en ubicación 3–6 WS Office Space with Window.</t>
  </si>
  <si>
    <t>H-BF</t>
  </si>
  <si>
    <t>Taxi ride receipt (Karlsruhe, incl. VAT)</t>
  </si>
  <si>
    <t>Giovanny Bravo - Data analysis and actionable recommendations – August 2025 (Boleta N°7 – 31/08/2025)</t>
  </si>
  <si>
    <t>3WU3225KY2</t>
  </si>
  <si>
    <t>Alojamiento corporativo en Numa Viktoria (Munich) para Sebastián Arellano, del 01 al 14 de agosto de 2025, habitación tipo Standard Studio with Kitchenette</t>
  </si>
  <si>
    <t>QuickBooks Online Plus – monthly subscription (02/09/2025–02/10/2025)</t>
  </si>
  <si>
    <t>388AB7BF-0016</t>
  </si>
  <si>
    <t>Ajuste prorrateado por ampliación a 23 usuarios del plan “Otter Business Subscription”</t>
  </si>
  <si>
    <t>Teams Monthly Subscription (8 und)</t>
  </si>
  <si>
    <t>CC2025R200228335</t>
  </si>
  <si>
    <t>2025-1780</t>
  </si>
  <si>
    <t>Loft Film</t>
  </si>
  <si>
    <t>Teilzahlung 1/2 – Produktion Animationsvideo (90s) + Script, Storyboard, Illustrations, Sprecher, Audiodesign</t>
  </si>
  <si>
    <t>Jeria y Gaete Asociadas Ltda.</t>
  </si>
  <si>
    <t>Informe tributario (25 UF)</t>
  </si>
  <si>
    <t>Plan Lingoda B2B — 1000 clases grupales abiertas válidas por 3 meses.</t>
  </si>
  <si>
    <t>2025-1788</t>
  </si>
  <si>
    <t>Weitere Version des Animationsvideos mit Untertitel (Deutsch) – Film 1</t>
  </si>
  <si>
    <t>0628E6E1-0531</t>
  </si>
  <si>
    <t>Flagship Apps</t>
  </si>
  <si>
    <t>Stripe zu sevdesk Business (integración Stripe ↔︎ sevDesk para sincronizar cobros y contabilidad).</t>
  </si>
  <si>
    <t>2498344-8</t>
  </si>
  <si>
    <t>Manychat PRO – 2500 Contacts plan (period: 05/09/25 – 05/10/25), monthly subscription.</t>
  </si>
  <si>
    <t>G110664481</t>
  </si>
  <si>
    <t>Grillionäre</t>
  </si>
  <si>
    <t>Cena en Grill im Künstlerhaus, consumo restaurante (filet, papas trufa, bebidas)</t>
  </si>
  <si>
    <t>Mastercard ***8274</t>
  </si>
  <si>
    <t>Suscripción mensual LinkedIn Premium Company Page, activa del 6 de septiembre al 6 de octubre de 2025, facturada a Nicolás Orbenes MD (Alemania).</t>
  </si>
  <si>
    <t>2025-886425381934</t>
  </si>
  <si>
    <t>DB Fernverkehr AG</t>
  </si>
  <si>
    <t>Boleto de tren de ida y vuelta “Super Sparpreis”: Berlín Hbf ↔ Düsseldorf Hbf, 2ª clase, 1 persona (27–64 años) + Reservas de asiento Berlín–Düsseldorf y Düsseldorf–Berlín</t>
  </si>
  <si>
    <t>Apple Pay</t>
  </si>
  <si>
    <t>Reembolso/Nota de Crédito Daniel Chairez Muñoz</t>
  </si>
  <si>
    <t>E0300XKB35</t>
  </si>
  <si>
    <t>IN-2025-0575284</t>
  </si>
  <si>
    <t>01992495-faa3-60dc-c2e8-f75753b1cbc6</t>
  </si>
  <si>
    <t>IEE2025013093900</t>
  </si>
  <si>
    <t>Adobe Stock – 25 créditos al mes (08-SEP-2025 a 07-OCT-2025)</t>
  </si>
  <si>
    <t>Deel</t>
  </si>
  <si>
    <t>D151618</t>
  </si>
  <si>
    <t>TMS GmbH</t>
  </si>
  <si>
    <t>Reembolso/Nota de Crédito Jorge Andrés Barrera Vásquez</t>
  </si>
  <si>
    <t>Uso de sala de reuniones (Meeting Room) en Mindspace Múnich – Salvatorplatz, correspondiente al 06 de septiembre de 2025, bajo el paquete de créditos “Credit Package of 2”.</t>
  </si>
  <si>
    <t>B-2195-1-1-2025</t>
  </si>
  <si>
    <t>Notare Sebastian Ruhwinkel &amp; Johannes Attenberger</t>
  </si>
  <si>
    <t>Beglaubigung / Abschriftsbeglaubigung (certificación notarial de documentos)</t>
  </si>
  <si>
    <t>7B1AF7DC-1972</t>
  </si>
  <si>
    <t>RV-01315-09-2025-251583340-DE</t>
  </si>
  <si>
    <t>Tylko S.A.</t>
  </si>
  <si>
    <t>Compra de Tylko Shelf Reisinger Pink (H53 cm × W285 cm × D40 cm) con servicio adicional incluido.</t>
  </si>
  <si>
    <t>Uber</t>
  </si>
  <si>
    <t>Servicio de transporte urbano (ride-hailing)</t>
  </si>
  <si>
    <t>IEE2025013453817</t>
  </si>
  <si>
    <t>Adobe Creative Cloud Pro (14-SEP-2025 a 13-OCT-2025)</t>
  </si>
  <si>
    <t>Plan Lingoda B2B — 1200 clases grupales abiertas válidas por 3 meses.</t>
  </si>
  <si>
    <t>1356726457-08</t>
  </si>
  <si>
    <t>INV60005535</t>
  </si>
  <si>
    <t>Losteria Dusseldorf Ja</t>
  </si>
  <si>
    <t>Ruby Leni Hotel Düsseldorf</t>
  </si>
  <si>
    <t>Consumo de bebidas (Negroni, Whiskey Sour, Delicious Sour) realizado en el bar del hotel Ruby Leni, Düsseldorf</t>
  </si>
  <si>
    <t>INVFR0465885</t>
  </si>
  <si>
    <t>Aircall – Licencias Essentials + WhatsApp Integration + llamadas internacionales (17-SEP-2025 a 16-OCT-2025)</t>
  </si>
  <si>
    <t>133-5221-2669</t>
  </si>
  <si>
    <t>Taxibetrieb A. Mohya (Rhein Taxi). Fahrt: Düsseldorf Corneliusstraße → Düsseldorf Arena Straße</t>
  </si>
  <si>
    <t>04642-17532630</t>
  </si>
  <si>
    <t>Taxi</t>
  </si>
  <si>
    <t>Rheinturm Gaststätten</t>
  </si>
  <si>
    <t>Restaurant / Food &amp; Beverage</t>
  </si>
  <si>
    <t>49147AC5-0012</t>
  </si>
  <si>
    <t>Renovación mensual del plan Enterprise para 7 miembros</t>
  </si>
  <si>
    <t>G114172860</t>
  </si>
  <si>
    <t>T-Mobile</t>
  </si>
  <si>
    <t>Servicio HotSpot Premium</t>
  </si>
  <si>
    <t>0O6ZDV8W-0005</t>
  </si>
  <si>
    <t>INDUS20079241</t>
  </si>
  <si>
    <t>Estadía profesional en Ruby Leni Hotel (16–19 sept 2025), incluye alojamiento, desayunos y tasa municipal (CityTax)</t>
  </si>
  <si>
    <t>INDUS20079244</t>
  </si>
  <si>
    <t>Estadía profesional en Ruby Leni Hotel (16–19 sept 2025), incluye alojamiento, desayunos y tasa municipal (CityTax) – habitación 522</t>
  </si>
  <si>
    <t>Taxi ADALI-MUC</t>
  </si>
  <si>
    <t>569EDBEA-0008</t>
  </si>
  <si>
    <t>Michael Schwark - German diagnostic evaluation – remote service (Boleta N°53)</t>
  </si>
  <si>
    <t>Suscripción mensual LinkedIn Premium Business, activa del 21 de septiembre al 21 de octubre de 2025, facturada a Nicolás Orbenes MD (Alemania).</t>
  </si>
  <si>
    <t>DI-20250921-4678</t>
  </si>
  <si>
    <t>DeepL</t>
  </si>
  <si>
    <t>Plan Individual – Suscripción mensual</t>
  </si>
  <si>
    <t>450EF1C4-0006</t>
  </si>
  <si>
    <t>50F47BED-0009</t>
  </si>
  <si>
    <t>EB5DC2E6-0008</t>
  </si>
  <si>
    <t>Jasper Pro plan – 2 monthly subscriptions (Sep 22–Oct 22, 2025)</t>
  </si>
  <si>
    <t>2025-271794937113</t>
  </si>
  <si>
    <t>Boleto de tren “Super Sparpreis”: Múnich Hbf → Frankfurt (M) Aeropuerto Fernbahnhof, 2ª clase, 1 persona (27–64 años), emitido el 23/09/2025</t>
  </si>
  <si>
    <t>77505DA9-1317</t>
  </si>
  <si>
    <t>Advanced plan (sept 23 – oct 23, 2025)</t>
  </si>
  <si>
    <t>BE-0007</t>
  </si>
  <si>
    <t>Board Service Gert F. (23 Sep–23 Oct 2025)</t>
  </si>
  <si>
    <t>24487478224271398-24503465492672669</t>
  </si>
  <si>
    <t>Credito Publicitario</t>
  </si>
  <si>
    <t>2025-952338329694</t>
  </si>
  <si>
    <t>Boleto de tren Flexpreis Business: Múnich Hbf → Frankfurt(Main) Hbf, 1ª clase, 1 persona (mayor de 15 años) + reserva de asiento</t>
  </si>
  <si>
    <t>Meliá Frankfurt City</t>
  </si>
  <si>
    <t>Hotel accommodation for Nicolás Orbenes from 25/09/25 to 26/09/25. Includes 1-night stay, 19% VAT, and web credit card payment.</t>
  </si>
  <si>
    <t>295616D8-0006</t>
  </si>
  <si>
    <t>Circle Business Plan (Monthly) + Email Hub (160 Qty)</t>
  </si>
  <si>
    <t>MCRYHY9R-467</t>
  </si>
  <si>
    <t>Taxi Betrieb Halimi</t>
  </si>
  <si>
    <t>MasterCard ***8522</t>
  </si>
  <si>
    <t xml:space="preserve">Breakfast charge (Non Inclusive Beverage) for NOMII GmbH / Nicolás Orbenes, billed on 26/09/25 </t>
  </si>
  <si>
    <t>Uber Eats</t>
  </si>
  <si>
    <t>Pedido de comida realizado mediante la plataforma Uber Eats</t>
  </si>
  <si>
    <t>HubSpot for Marketers Professional + 10.000 contactos adicionales + Sales Hub Professional + 3 licencias principales + Ads Limit Increase (27/09/2025–26/10/2025)</t>
  </si>
  <si>
    <t>Visa ***8211</t>
  </si>
  <si>
    <t>EBS854VJY2</t>
  </si>
  <si>
    <t>INV323605503</t>
  </si>
  <si>
    <t>4401EB9B-0013</t>
  </si>
  <si>
    <t>Reembolso/Nota de Crédito Katherine Salomé Herráez Maldonado</t>
  </si>
  <si>
    <t>c25000878</t>
  </si>
  <si>
    <t>Sueldos Septiembre 2025 Chile</t>
  </si>
  <si>
    <t>Sueldos Septiembre 2025 Alemania</t>
  </si>
  <si>
    <t>Sueldos Administración</t>
  </si>
  <si>
    <t>6FPBXFSH-0003</t>
  </si>
  <si>
    <t>ChatGPT Pro Subscription – octubre a noviembre 2025</t>
  </si>
  <si>
    <t>Arriendo mensual de oficina en Múnich (Salvatorplatz) correspondiente a octubre de 2025, espacio #208 en ubicación 3–6 WS Office Space with Window.</t>
  </si>
  <si>
    <t>Giovanny Bravo - Data analysis and actionable recommendations – September 2025 (Boleta N°8 – 31/08/2025)</t>
  </si>
  <si>
    <t>388AB7BF-0019</t>
  </si>
  <si>
    <t>Ajuste prorrateado por ampliación a 10 usuarios del plan “Otter Business Subscription”</t>
  </si>
  <si>
    <t>Teams Monthly Subscription (9 und)</t>
  </si>
  <si>
    <t>2025-1949</t>
  </si>
  <si>
    <t>Final payment – Production Animationsvideo (90s), script, storyboard, illustrations, speaker, audiodesign, usage rights</t>
  </si>
  <si>
    <t>CQ3LY2MJY2</t>
  </si>
  <si>
    <t>CC2025R200366563</t>
  </si>
  <si>
    <t>2498344-9</t>
  </si>
  <si>
    <t>Manychat PRO – 2500 Contacts plan (period: 05/10/25 – 05/11/25), monthly subscription.</t>
  </si>
  <si>
    <t>92025-361979</t>
  </si>
  <si>
    <t>SevDesk</t>
  </si>
  <si>
    <t>Suscripción mensual Buchhaltung Pro (contabilidad profesional) + addon de usuario adicional</t>
  </si>
  <si>
    <t>Visa ***4472</t>
  </si>
  <si>
    <t>G116365982</t>
  </si>
  <si>
    <t>7AZYHMXI-0002</t>
  </si>
  <si>
    <t>Clay Labs Inc</t>
  </si>
  <si>
    <t>Explorer Plan (Oct 6 – Nov 6, 2025)</t>
  </si>
  <si>
    <t>E0300XTT2P</t>
  </si>
  <si>
    <t>IN-2025-0639894</t>
  </si>
  <si>
    <t>Suscripción mensual LinkedIn Premium Company Page</t>
  </si>
  <si>
    <t>Lufthansa   2204092543376</t>
  </si>
  <si>
    <t>Michael Schwark - German diagnostic evaluation – remote service (Boleta N°54)</t>
  </si>
  <si>
    <t>0199bf14-f803-de46-451b-8435bd959d5b </t>
  </si>
  <si>
    <t>SBIE-9789568</t>
  </si>
  <si>
    <t>Slack</t>
  </si>
  <si>
    <t>Suscripción mensual Slack Business+ Plan (14 licencias)</t>
  </si>
  <si>
    <t>Lufthansa   2202234328716</t>
  </si>
  <si>
    <t>IEE2025015074767</t>
  </si>
  <si>
    <t>Adobe Stock – 25 créditos al mes (08-OCT-2025 a 07-NOV-2025)</t>
  </si>
  <si>
    <t>Lastminutecom</t>
  </si>
  <si>
    <t>Edge SpA</t>
  </si>
  <si>
    <t>Escritorios, sillas ergonómicas y mesa de reunión (oficina)</t>
  </si>
  <si>
    <t>Ikea</t>
  </si>
  <si>
    <t>Articulos y/o implementos para Oficina Chile</t>
  </si>
  <si>
    <t>txn_3SGmeJ2mjH4XVMmx1uGDTtTu</t>
  </si>
  <si>
    <t>Supermetrics Oy</t>
  </si>
  <si>
    <t>Suscripción mensual de Supermetrics for Looker Studio (1 data source: Facebook Ads, 2 usuarios, 7 cuentas, Data Transformations, Data Explorer, Dashboards). Periodo del 10 oct al 09 nov 2025.</t>
  </si>
  <si>
    <t>G118559251</t>
  </si>
  <si>
    <t>Lufthansa   2202234530309</t>
  </si>
  <si>
    <t>Lufthansa   2202234530304</t>
  </si>
  <si>
    <t>Lufthansa   2204092659865</t>
  </si>
  <si>
    <t>Lufthansa   2204092659860</t>
  </si>
  <si>
    <t>MUCCR00001271</t>
  </si>
  <si>
    <t>DHL Express</t>
  </si>
  <si>
    <t>Envío express internacional (sobre) con recargos por demanda y combustible (Múnich → Monterrey)</t>
  </si>
  <si>
    <t>7B1AF7DC-2264</t>
  </si>
  <si>
    <t>IEE2025015436391</t>
  </si>
  <si>
    <t>Adobe Creative Cloud Pro (14-OCT-2025 a 13-NOV-2025)</t>
  </si>
  <si>
    <t>000076604-2</t>
  </si>
  <si>
    <t>Convierte Más</t>
  </si>
  <si>
    <t>ECMAS - Doble Certificación en Growth Marketing Digital e Inteligencia Artificial</t>
  </si>
  <si>
    <t>1381589240-08</t>
  </si>
  <si>
    <t>INV60717670</t>
  </si>
  <si>
    <t>0679996114</t>
  </si>
  <si>
    <t xml:space="preserve">MOO Print </t>
  </si>
  <si>
    <t xml:space="preserve">Impresión de 100 tarjetas de presentación Super con Relieflack (FSC Mix 70%) </t>
  </si>
  <si>
    <t>Visa ***5753</t>
  </si>
  <si>
    <t>Pinturas Real</t>
  </si>
  <si>
    <t>388AB7BF-0020</t>
  </si>
  <si>
    <t>Suscripción “Otter Business Subscription” (10 licencias activas)</t>
  </si>
  <si>
    <t>INVFR0478266</t>
  </si>
  <si>
    <t>04672-16976454</t>
  </si>
  <si>
    <t>49147AC5-0013</t>
  </si>
  <si>
    <t>Renovación mensual del plan Enterprise (14 miembros) y cargos prorrateados por ampliación de usuarios (7 → 14)</t>
  </si>
  <si>
    <t>G119530149</t>
  </si>
  <si>
    <t>0O6ZDV8W-0006</t>
  </si>
  <si>
    <t>569EDBEA-0009</t>
  </si>
  <si>
    <t>INVCY2500256330</t>
  </si>
  <si>
    <t>Elementor</t>
  </si>
  <si>
    <t>Elementor Pro – Advanced Solo</t>
  </si>
  <si>
    <t>TRINV-34659711</t>
  </si>
  <si>
    <t>Trello</t>
  </si>
  <si>
    <t>Trello Premium – 1 usuario</t>
  </si>
  <si>
    <t>KlinikRente Versorgungswerk GmbH</t>
  </si>
  <si>
    <t>Registration fee – 17th Hospital Personnel Congress (Dec 01–02, 2025) – Participant: Drina Bascón-Scheffler</t>
  </si>
  <si>
    <t>Suscripción mensual LinkedIn Premium Business</t>
  </si>
  <si>
    <t>DI-20251021-4546</t>
  </si>
  <si>
    <t>Upwork -843260679jobpost</t>
  </si>
  <si>
    <t>50F47BED-0010</t>
  </si>
  <si>
    <t>EB5DC2E6-0009</t>
  </si>
  <si>
    <t>Jasper Pro plan – 2 monthly subscriptions (Oct 22–Nov 22, 2025)</t>
  </si>
  <si>
    <t>Deutsche Post AG</t>
  </si>
  <si>
    <t xml:space="preserve">Labelfreimachung / Briefzusatzleistungen </t>
  </si>
  <si>
    <t>77505DA9-1440</t>
  </si>
  <si>
    <t>Advanced plan (oct 23 – nov 23, 2025)</t>
  </si>
  <si>
    <t>PayPal *itunesappst Apple</t>
  </si>
  <si>
    <t>BE-0008</t>
  </si>
  <si>
    <t>Board Service Gert F. (23 Oct–23 Nov 2025)</t>
  </si>
  <si>
    <t>295616D8-0007</t>
  </si>
  <si>
    <t>Circle Business Plan (Monthly) + Email Hub (171 Qty)</t>
  </si>
  <si>
    <t>DCQ975DKY2</t>
  </si>
  <si>
    <t>Asociación Humboldt</t>
  </si>
  <si>
    <t>Registration fee – 17th Hospital Personnel Congress (Dec 01–02, 2025, Köln) – Participant: Nicolas Orbenes</t>
  </si>
  <si>
    <t>HubSpot for Marketers Professional + 10.000 contactos adicionales + Sales Hub Professional + 3 licencias principales + Ads Limit Increase (27/10/2025–26/11/2025)</t>
  </si>
  <si>
    <t>IEE2025016416121</t>
  </si>
  <si>
    <t xml:space="preserve">Acrobat Pro + AI Assistant for Acrobat </t>
  </si>
  <si>
    <t>INV327716756</t>
  </si>
  <si>
    <t>4401EB9B-0014</t>
  </si>
  <si>
    <t>Sueldos Octubre 2025 Chile</t>
  </si>
  <si>
    <t>Sueldos Octubre 2025 Alemania</t>
  </si>
  <si>
    <t>Google Ads – Facturación octubre 2025</t>
  </si>
  <si>
    <t>Giovanny Bravo - Data analysis and actionable recommendations – October 2025 (Boleta N°9 – 31/08/2025)</t>
  </si>
  <si>
    <t>Arriendo mensual de oficina en Múnich (Salvatorplatz) correspondiente a noviembre de 2025, espacio #208 en ubicación 3–6 WS Office Space with Window.</t>
  </si>
  <si>
    <t>EMF5V6ZJY2</t>
  </si>
  <si>
    <t>CC2025R200531058</t>
  </si>
  <si>
    <t>Michael Schwark - German diagnostic evaluation – remote service (Boleta N°55)</t>
  </si>
  <si>
    <t>G121894950</t>
  </si>
  <si>
    <t>2498344-10</t>
  </si>
  <si>
    <t>92025-399392</t>
  </si>
  <si>
    <t>7AZYHMXI-0003</t>
  </si>
  <si>
    <t>Explorer Plan (Nov 6 – Dec 6, 2025)</t>
  </si>
  <si>
    <t>IN-2025-0705347</t>
  </si>
  <si>
    <t>019a5eba-25c2-6359-1647-51b6e891b50e</t>
  </si>
  <si>
    <t>SBIE-10039974</t>
  </si>
  <si>
    <t>Suscripción mensual Slack Business+ Plan (15 licencias)</t>
  </si>
  <si>
    <t>txn_3SRA3D2mjH4XVMmx1Wz0bU4m</t>
  </si>
  <si>
    <t>IEE2025017077072</t>
  </si>
  <si>
    <t>Adobe Stock – 25 créditos al mes (08-NOV-2025 a 07-DIC-2025)</t>
  </si>
  <si>
    <t>2025-123760437934</t>
  </si>
  <si>
    <t>Boleto de tren Flexpreis Business: München Hbf → Frankfurt(Main)Hbf, 1 persona (adulto) + reserva</t>
  </si>
  <si>
    <t>2025-912281313559</t>
  </si>
  <si>
    <t>Boleto de tren Flexpreis Business: Fahrkarte Flexpreis Business (1ª Clase) Frankfurt(Main)Hbf → München Hbf, 1 persona (adulto) + reserva</t>
  </si>
  <si>
    <t>G123796561</t>
  </si>
  <si>
    <t>Servicios de contabilidad (332 registros, año 2025) y gastos administrativos</t>
  </si>
  <si>
    <t>CDC-001</t>
  </si>
  <si>
    <t>José Domingo Baena Vides</t>
  </si>
  <si>
    <t>Honorarios por asesoría comercial LATAM – Mes noviembre 2025</t>
  </si>
  <si>
    <t>B 2609-2-1-2025</t>
  </si>
  <si>
    <t>Beglaubigung / Abschriftsbeglaubigung (certificación de documentos – 16 copias)</t>
  </si>
  <si>
    <t>7B1AF7DC-2574</t>
  </si>
  <si>
    <t>1407332731-08</t>
  </si>
  <si>
    <t>IEE2025017443089</t>
  </si>
  <si>
    <t>Adobe Creative Cloud Pro (14-NOV-2025 a 13-DIC-2025)</t>
  </si>
  <si>
    <t>Casa Royal</t>
  </si>
  <si>
    <t>Pendrive 16GB Sandisk Cruzer Blade 2.0</t>
  </si>
  <si>
    <t>INV61442989</t>
  </si>
  <si>
    <t>INVFR0490930</t>
  </si>
  <si>
    <t>388AB7BF-0021</t>
  </si>
  <si>
    <t>04703-15317934</t>
  </si>
  <si>
    <t>49147AC5-0014</t>
  </si>
  <si>
    <t>Renovación mensual del plan Enterprise (16 miembros) y cargos prorrateados por ampliación de usuarios (7 → 14)</t>
  </si>
  <si>
    <t>G124927340</t>
  </si>
  <si>
    <t>0O6ZDV8W-0007</t>
  </si>
  <si>
    <t>ChatGPT Pro Subscription – noviembre a diciembre 2025</t>
  </si>
  <si>
    <t>Mercure Hotel München Altstadt</t>
  </si>
  <si>
    <t>Hotel stay 18–19 Nov 2025 (room + breakfast)</t>
  </si>
  <si>
    <t>TRINV-35353900</t>
  </si>
  <si>
    <t>Galeria S.a r.l. &amp; Co. KG</t>
  </si>
  <si>
    <t>Paperado – Pack de papel (7 unidades)</t>
  </si>
  <si>
    <t>569EDBEA-0010</t>
  </si>
  <si>
    <t>Pendiente</t>
  </si>
  <si>
    <t>Francisca Schwarzhaupt - Market Development Management Servicio Remoto</t>
  </si>
  <si>
    <t>50F47BED-0011</t>
  </si>
  <si>
    <t>019ab0f5-8214-5000-df8f-a34140b66bd1</t>
  </si>
  <si>
    <t>Zapier – Pro 5K (monthly) + Agents Pro + Task Usage</t>
  </si>
  <si>
    <t>77505DA9-1573</t>
  </si>
  <si>
    <t>Advanced plan (nov 23 – dic 23, 2025)</t>
  </si>
  <si>
    <t>BE-0009</t>
  </si>
  <si>
    <t>Board Service Gert F.  (23 Nov–23 Dec 2025)</t>
  </si>
  <si>
    <t>295616D8-0008</t>
  </si>
  <si>
    <t>WhatsApp Business – admin &amp; messaging charges</t>
  </si>
  <si>
    <t>4 licencias principales adicionales (Professional)</t>
  </si>
  <si>
    <t>2025-279701309784</t>
  </si>
  <si>
    <t>BahnCard Business 25 – 2. Klasse (26.11.25–25.11.26)</t>
  </si>
  <si>
    <t>2025-890565001433</t>
  </si>
  <si>
    <t>Round-trip Super Sparpreis Berlin ↔ Bonn + seat reservations</t>
  </si>
  <si>
    <t>IEE2025018416754</t>
  </si>
  <si>
    <t>CDC-002</t>
  </si>
  <si>
    <t>2C01VU2D-0004</t>
  </si>
  <si>
    <t>7H394W</t>
  </si>
  <si>
    <t>Lufthansa</t>
  </si>
  <si>
    <t>Flight MUC→CGN (30-11-25), LH1986, Economy Light – passenger: Nicolás Orbenes</t>
  </si>
  <si>
    <t>Booking</t>
  </si>
  <si>
    <t>Hotel stay 30 Nov–2 Dec (2 nights)</t>
  </si>
  <si>
    <t>INV331732395</t>
  </si>
  <si>
    <t>4401EB9B-0015</t>
  </si>
  <si>
    <t>Sueldos Noviembre 2025 Chile</t>
  </si>
  <si>
    <t>Sueldos Noviembre 2025 Alemania</t>
  </si>
  <si>
    <t>Google Ads – Facturación noviembre 2025</t>
  </si>
  <si>
    <t>INV00993722</t>
  </si>
  <si>
    <t>Arriendo mensual de oficina en Múnich (Salvatorplatz) correspondiente a diciembre de 2025, espacio #208 en ubicación 3–6 WS Office Space with Window.</t>
  </si>
  <si>
    <t>Tankstelle</t>
  </si>
  <si>
    <t>Diesel (40 Liter) – 1,719 EUR/L</t>
  </si>
  <si>
    <t>NENI Köln</t>
  </si>
  <si>
    <t>Consumo restaurante (Hummus Rote Bete, Kebab, bebidas)</t>
  </si>
  <si>
    <t>B56200302J3</t>
  </si>
  <si>
    <t>Techniker Krankenkasse</t>
  </si>
  <si>
    <t>Social insurance contributions – November 2025 + late fee + bank return fee</t>
  </si>
  <si>
    <t>QJLEQZ</t>
  </si>
  <si>
    <t>Eurowings</t>
  </si>
  <si>
    <t>Flight CGN→MUC (02.12.25), 2 passengers, SMART fare + baggage + seat reservations</t>
  </si>
  <si>
    <t>Fahrpreisquittung (Stadtfahrt)</t>
  </si>
  <si>
    <t>CHK 18097</t>
  </si>
  <si>
    <t>Autogrill</t>
  </si>
  <si>
    <t>Eat-In (Ramen Chicken Katsu + varios ítems y bebidas) – Flughafen Köln/Bonn</t>
  </si>
  <si>
    <t>SID</t>
  </si>
  <si>
    <t xml:space="preserve">Fahrpreisquittung – Stadtfahrt  </t>
  </si>
  <si>
    <t>CC2025R200797933</t>
  </si>
  <si>
    <t>Sales Hub Professional (2 licenses) – period 05/12/25–26/12/25</t>
  </si>
  <si>
    <t>G127321542</t>
  </si>
  <si>
    <t>2498344-11</t>
  </si>
  <si>
    <t xml:space="preserve">92025-442706 </t>
  </si>
  <si>
    <t>E0300YCVOJ</t>
  </si>
  <si>
    <t>IN-2025-0770407</t>
  </si>
  <si>
    <t>7AZYHMXI-0004</t>
  </si>
  <si>
    <t>Explorer Plan (Dec 6 – Jan 6, 2025)</t>
  </si>
  <si>
    <t>SBIE-10289052</t>
  </si>
  <si>
    <t>Michael Schwark - German diagnostic evaluation – remote service (Boleta N°56)</t>
  </si>
  <si>
    <t>txn_3Sc2MD2mjH4XVMmx1IP1ecQX</t>
  </si>
  <si>
    <t>Hotel stay 08–09 Dec, Room 512: accommodation + business package + city tax</t>
  </si>
  <si>
    <t>UBER-08DEC25-1547</t>
  </si>
  <si>
    <t>Mastercard ****8522</t>
  </si>
  <si>
    <t>IEE2025019084719</t>
  </si>
  <si>
    <t xml:space="preserve">Condor Flugdienst </t>
  </si>
  <si>
    <t>Upgrade from Economy to Business (FRA→MUC) + additional baggage (30 kg)</t>
  </si>
  <si>
    <t>Taxi ride from München Flughafen to München (incl. 7% VAT)</t>
  </si>
  <si>
    <t>G129321142</t>
  </si>
  <si>
    <t>GMI-2025-324551</t>
  </si>
  <si>
    <t>GetMyInvoices</t>
  </si>
  <si>
    <t>GetMyInvoices Advanced License (10 Dec 2025–10 Jan 2026), incl. 19% VAT</t>
  </si>
  <si>
    <t>XBQZWNYR-0002</t>
  </si>
  <si>
    <t>Miro</t>
  </si>
  <si>
    <t>Miro Business – Suscripción mensual (Dec 25–Jan 26)</t>
  </si>
  <si>
    <t>Visa *** 2811</t>
  </si>
  <si>
    <t>1432908962-08</t>
  </si>
  <si>
    <t>IEE2025019453906</t>
  </si>
  <si>
    <t>Adobe Creative Cloud Pro (14-DIC-2025 a 13-ENE-2025)</t>
  </si>
  <si>
    <t>7B1AF7DC-2861</t>
  </si>
  <si>
    <t>77162860-154731413</t>
  </si>
  <si>
    <t>N8N</t>
  </si>
  <si>
    <t>N8N Cloud – Cloud Starter plan</t>
  </si>
  <si>
    <t>2025-922257158220</t>
  </si>
  <si>
    <t>Boleto de tren Flexpreis Business: Tren ICE Múnich → Berlín, 1ª clase, 1 persona (adulto) + reserva</t>
  </si>
  <si>
    <t>INV62142180</t>
  </si>
  <si>
    <t>Comida a bordo tren (Currywurst + cerveza)</t>
  </si>
  <si>
    <t>388AB7BF-0022</t>
  </si>
  <si>
    <t>INVFR0504038</t>
  </si>
  <si>
    <t>Aircall Essentials licenses + calls (17 Dec 2025 – 16 Jan 2026)</t>
  </si>
  <si>
    <t>04733-15967397</t>
  </si>
  <si>
    <t>Reembolso/Nota de Crédito Daniel Mauricio Rojas Pérez</t>
  </si>
  <si>
    <t>G130417763</t>
  </si>
  <si>
    <t>49147AC5-0015</t>
  </si>
  <si>
    <t>k-103-2025</t>
  </si>
  <si>
    <t>NJVK6SRA-0001</t>
  </si>
  <si>
    <t>Figma</t>
  </si>
  <si>
    <t>Figma Professional Full seat (annual, 19 Dec 2025 – 19 Dec 2026)</t>
  </si>
  <si>
    <t>6CNLU88O-0001</t>
  </si>
  <si>
    <t>Anthropic</t>
  </si>
  <si>
    <t>One-time credit purchase, reverse charge</t>
  </si>
  <si>
    <t>0O6ZDV8W-0008</t>
  </si>
  <si>
    <t>INV62240340</t>
  </si>
  <si>
    <t xml:space="preserve">eSignature Business Pro Edition – Seat (prorrateo 19/12/2025–14/01/2026; 3 seats – 2 seats crédito); reverse charge  </t>
  </si>
  <si>
    <t>Telefónica Chile S.A. (Movistar Empresas)</t>
  </si>
  <si>
    <t>Monthly telecom services (internet Fibra Gamer B2B + equipment rental) – billing period 19 Nov–18 Dec 2025, incl. IVA</t>
  </si>
  <si>
    <t>TRINV-35942320</t>
  </si>
  <si>
    <t>INV-3194921</t>
  </si>
  <si>
    <t>CDC-003</t>
  </si>
  <si>
    <t>Honorarios por asesoría comercial LATAM – Mes diciembre 2025</t>
  </si>
  <si>
    <t>50F47BED-0012</t>
  </si>
  <si>
    <t>019b4b79-ef44-6807-3e6e-40297f7a6c63</t>
  </si>
  <si>
    <t>77505DA9-1738</t>
  </si>
  <si>
    <t>Advanced plan (dic 23 – ene 23, 2025)</t>
  </si>
  <si>
    <t>BE-0012</t>
  </si>
  <si>
    <t>Board Service Gert F.  (23 Dec–23 Jan 2026)</t>
  </si>
  <si>
    <t>295616D8-0009</t>
  </si>
  <si>
    <t>4401EB9B-0016</t>
  </si>
  <si>
    <t>ChatGPT Credits (3,500 × 0,04 US$)</t>
  </si>
  <si>
    <t>IEE2025020387472</t>
  </si>
  <si>
    <t>Acrobat Pro + AI Assistant for Acrobat</t>
  </si>
  <si>
    <t>INV335594949</t>
  </si>
  <si>
    <t>2C01VU2D-0005</t>
  </si>
  <si>
    <t>R0451191668</t>
  </si>
  <si>
    <t>USB-C charging cable (2 m) + Magic Mouse (USB-C) + Magic Keyboard with Touch ID and numeric keypad (USB-C), incl. 19% VAT</t>
  </si>
  <si>
    <t>4401EB9B-0017</t>
  </si>
  <si>
    <t>INVFR0509217</t>
  </si>
  <si>
    <t>Suscripción: AI Assist + AI Assist Pro (30/12/2025–16/01/2026), reverse charge </t>
  </si>
  <si>
    <t>Sueldos Diciembre 2025 Alemania</t>
  </si>
  <si>
    <t>Sueldos Diciembre 2025 Chile</t>
  </si>
  <si>
    <t>Aguinaldo Fin de Año 2025</t>
  </si>
  <si>
    <t>Aguinaldo</t>
  </si>
  <si>
    <t>Aguinaldo 2025 Fin de Año</t>
  </si>
  <si>
    <t>Google Ads – Facturación diciembre 2025</t>
  </si>
  <si>
    <t>Arriendo mensual de oficina en Múnich (Salvatorplatz) correspondiente a enero de 2026, espacio #208 en ubicación 3–6 WS Office Space with Window.</t>
  </si>
  <si>
    <t>388AB7BF-0023</t>
  </si>
  <si>
    <t>Ajuste prorrateado por ampliación a 2 usuarios del plan “Otter Business Subscription”</t>
  </si>
  <si>
    <t>CC2026R200052801</t>
  </si>
  <si>
    <t>3EAPNNF2-0002</t>
  </si>
  <si>
    <t>Browse AI Inc.</t>
  </si>
  <si>
    <t>Professional (5,000) (Jan 4 – Feb 4, 2026), reverse charge</t>
  </si>
  <si>
    <t>Automation &amp; AI Tools</t>
  </si>
  <si>
    <t>BS-04-01</t>
  </si>
  <si>
    <t>Upwork</t>
  </si>
  <si>
    <t>Timesheets — contrato Molka Trabelsi (Senior AI Automation Architect)</t>
  </si>
  <si>
    <t>2498344-12</t>
  </si>
  <si>
    <t xml:space="preserve">AAO5HUBC-0001 </t>
  </si>
  <si>
    <t>FireCrawl</t>
  </si>
  <si>
    <t xml:space="preserve">Credits: Standard (Jan 5 – Feb 5, 2026)  </t>
  </si>
  <si>
    <t>G132764873</t>
  </si>
  <si>
    <t>7AZYHMXI-0005</t>
  </si>
  <si>
    <t>Explorer Plan (Jan 6 – Feb 6, 2025)</t>
  </si>
  <si>
    <t>E0300YMGXY</t>
  </si>
  <si>
    <t xml:space="preserve">92026-07512 </t>
  </si>
  <si>
    <t>D9C1307D-0002</t>
  </si>
  <si>
    <t>Compliance Pack (Jan 6, 2025 – Jan 6, 2026)</t>
  </si>
  <si>
    <t>IN-2026-0010903</t>
  </si>
  <si>
    <t>SBIE-10541629</t>
  </si>
  <si>
    <t>5 Licencias principales adicionales (Professional) — período 07/01/2026–26/01/2026</t>
  </si>
  <si>
    <t>Michael Schwark - German diagnostic evaluation – remote service (Boleta N°57)</t>
  </si>
  <si>
    <t xml:space="preserve">txn_3SnH892mjH4XVMmx0IvhXsYq </t>
  </si>
  <si>
    <t>6 Licencias principales adicionales (Professional) — período 08/01/2026–26/01/2026</t>
  </si>
  <si>
    <t>IEE2026000490470</t>
  </si>
  <si>
    <t>Adobe Stock – 25 Credits pro (08-ENE-2026–07-FEB-2026)</t>
  </si>
  <si>
    <t>GMI-2026-330327</t>
  </si>
  <si>
    <t xml:space="preserve">GetMyInvoices Licencia Advanced (10/01/2026–31/01/2026) + (01/02/2026–09/02/2026) </t>
  </si>
  <si>
    <t>G134795642</t>
  </si>
  <si>
    <t>G134897308</t>
  </si>
  <si>
    <t>RE-2025-00000878</t>
  </si>
  <si>
    <t>Ankaadia</t>
  </si>
  <si>
    <t>Lizenzgebühr (219,00 €/mes) — período 01.12.2025–28.02.2026</t>
  </si>
  <si>
    <t>BS-11-01</t>
  </si>
  <si>
    <t>XBQZWNYR-0003</t>
  </si>
  <si>
    <t xml:space="preserve">Miro Business (3 seats) (11/01/2026–11/02/2026) + Reverse charge </t>
  </si>
  <si>
    <t>G135196565</t>
  </si>
  <si>
    <t>Ferrolusac S.A.</t>
  </si>
  <si>
    <t>Saco plástico escombro (50 un.)</t>
  </si>
  <si>
    <t>G135406066</t>
  </si>
  <si>
    <t>IEE2026000858948</t>
  </si>
  <si>
    <t>Adobe Creative Cloud Pro (14-ENE-2026–13-FEB-2026)</t>
  </si>
  <si>
    <t>BCIQM7AM-0001</t>
  </si>
  <si>
    <t>Team plan – Standard (Jan 15 – Feb 15, 2026), 5 seats</t>
  </si>
  <si>
    <t>B 75-1-1-2026</t>
  </si>
  <si>
    <t>Kostenrechnung — Beglaubigte Abschrift (Abschriftsbeglaubigung)  </t>
  </si>
  <si>
    <t>1458417011-08</t>
  </si>
  <si>
    <t>INV62959216</t>
  </si>
  <si>
    <t>eSignature Business Pro Edition – Seat Subscription (3 seats) (15/01/2026–14/02/2026), reverse charge</t>
  </si>
  <si>
    <t>77162860-154731414</t>
  </si>
  <si>
    <t>N8N Cloud – Cloud Pro plan</t>
  </si>
  <si>
    <t>G135696597</t>
  </si>
  <si>
    <t>INVFR0516645</t>
  </si>
  <si>
    <t>Aircall Essentials licenses + calls (17 Jan 2025 – 16 Feb 2026)</t>
  </si>
  <si>
    <t>388AB7BF-0024</t>
  </si>
  <si>
    <t xml:space="preserve">Otter Business Subscription (per seat) — 12 seats (17/01/2026–17/02/2026)  </t>
  </si>
  <si>
    <t>04764-12366789</t>
  </si>
  <si>
    <t>G136009800</t>
  </si>
  <si>
    <t xml:space="preserve">49147AC5-0016  </t>
  </si>
  <si>
    <t>Renovación mensual del plan Enterprise (18 miembros) y cargos prorrateados por ampliación de usuarios (7 → 14)</t>
  </si>
  <si>
    <t>0O6ZDV8W-0009</t>
  </si>
  <si>
    <t>APS Rest. — Cappuccino + bebida (Sprudelnd) + propina</t>
  </si>
  <si>
    <t>Remo’s Frankfurt</t>
  </si>
  <si>
    <t>Restaurant (Pizza Canarino + Pizza Caprina + bebidas)</t>
  </si>
  <si>
    <t xml:space="preserve">INV-3935284  </t>
  </si>
  <si>
    <t>BS-20-01</t>
  </si>
  <si>
    <t>Kaffee Bonamat M + Kaffee aus Produktion (2×4,20 €)</t>
  </si>
  <si>
    <t>Namecheap</t>
  </si>
  <si>
    <t>Domain / hosting-related purchase / Namecheap Order Summary (Transaction ID 234744112)</t>
  </si>
  <si>
    <t>***5753</t>
  </si>
  <si>
    <t>Giovanny Bravo</t>
  </si>
  <si>
    <t>Tech &amp; Data</t>
  </si>
  <si>
    <t>Campaña Drs. Alemania</t>
  </si>
  <si>
    <t>019beb1f-8964-a200-316f-525aeb53754e</t>
  </si>
  <si>
    <t>77505DA9-1871</t>
  </si>
  <si>
    <t>Advanced plan (ene 23 – feb 23, 2025)</t>
  </si>
  <si>
    <t>BE-0013 (pendiente)</t>
  </si>
  <si>
    <t>Board Service Gert F.  (23 Jan–23 Feb 2026)</t>
  </si>
  <si>
    <t>295616D8-0010</t>
  </si>
  <si>
    <t>Springer Medizin Verlag</t>
  </si>
  <si>
    <t>Kongress Pflege 2026 (30–31/01/2026) — 1-Tages-Karte 30/01 — Participante: Dr. Nicolás Orbenes</t>
  </si>
  <si>
    <t>CDC-004</t>
  </si>
  <si>
    <t>Honorarios por asesoría comercial LATAM – Mes enero 2026</t>
  </si>
  <si>
    <t xml:space="preserve">HubSpot for Marketers Professional + 10.000 contactos adicionales + Sales Hub Professional + 3 licencias principales + Ads Limit Increase </t>
  </si>
  <si>
    <t>Kongress Pflege 2026 (30–31/01/2026) — Teilnahmegebühr Tageskarte 30/01 (inkl. WS 3; WS 7 gratis) — Teilnehmer: Drina Bascón-Scheffler</t>
  </si>
  <si>
    <t>4401EB9B-0018</t>
  </si>
  <si>
    <t>ChatGPT Credits (2,500 × 0,04 US$)</t>
  </si>
  <si>
    <t>IEE2026001810750</t>
  </si>
  <si>
    <t>M5LG64H8442KDJG6</t>
  </si>
  <si>
    <t>Semrush Inc.</t>
  </si>
  <si>
    <t>Semrush One Starter</t>
  </si>
  <si>
    <t>Bistro — Coca-Cola zero 0,5l</t>
  </si>
  <si>
    <t>INV339695700</t>
  </si>
  <si>
    <t>2026-516229517210</t>
  </si>
  <si>
    <t>Fahrkarte Flexpreis Leipzig Hbf → München Hbf (1. Klasse, 1 Person)</t>
  </si>
  <si>
    <t>BCIQM7AM-0003</t>
  </si>
  <si>
    <t>Prepaid extra usage, Team plan (Applied balance -19,94 €)</t>
  </si>
  <si>
    <t>2C01VU2D-0006</t>
  </si>
  <si>
    <t>2026-652828631090</t>
  </si>
  <si>
    <t>Fahrkarte Flexpreis, München Hbf → Leipzig Hbf (1. Klasse, 1 Person)</t>
  </si>
  <si>
    <t>Materiales de construcción (volcanita, yeso, cinta junta, sellantes, adhesivo/montaje, rodillo, brochas, esmalte al agua, etc.)</t>
  </si>
  <si>
    <t>Visa ***8552</t>
  </si>
  <si>
    <t>Sociedad Comercial Rubio y Rubio Ltda (Pernos RyR)</t>
  </si>
  <si>
    <t>TOR CRS NG 8x3” (100 un.)</t>
  </si>
  <si>
    <t>Asservi Tools Ltda</t>
  </si>
  <si>
    <t>Lijadora roto orbital 5” INGCO + discos lija c/velcro 5” (G-80 y G-100)</t>
  </si>
  <si>
    <t>4401EB9B-0019</t>
  </si>
  <si>
    <t>G137746968</t>
  </si>
  <si>
    <t>Sueldos Enero 2026 Alemania</t>
  </si>
  <si>
    <t>Sueldos Enero 2026 Chile</t>
  </si>
  <si>
    <t>Moxom SpA</t>
  </si>
  <si>
    <t>Electrónica HUB TL361 (x2) + Carcasa transparente (x1)</t>
  </si>
  <si>
    <t>Google Ads – Facturación enero 2026</t>
  </si>
  <si>
    <t>GXXSEDRJY2</t>
  </si>
  <si>
    <t>CC2026R200726678</t>
  </si>
  <si>
    <t>8 Licencias principales adicionales (Professional) — período 03/02/2026–26/03/2026</t>
  </si>
  <si>
    <t>Professional (5,000) (Feb 4 – Mar 4, 2026), reverse charge</t>
  </si>
  <si>
    <t>Manychat PRO – 2500 Contacts plan (period: 05/02/26 – 05/03/26), monthly subscription.</t>
  </si>
  <si>
    <t xml:space="preserve">Credits: Standard (Feb 5 – Mar 5, 2026)  </t>
  </si>
  <si>
    <t>Explorer Plan (Feb 6 – Mar 6, 2025)</t>
  </si>
  <si>
    <t>Michael Schwark - German diagnostic evaluation – remote service (Boleta N°58)</t>
  </si>
  <si>
    <t>Starting Date</t>
  </si>
  <si>
    <t>Renewal Date</t>
  </si>
  <si>
    <t>Type Suscription</t>
  </si>
  <si>
    <t>Status</t>
  </si>
  <si>
    <t>Monthly Price</t>
  </si>
  <si>
    <t>Annual Price</t>
  </si>
  <si>
    <t>Savings</t>
  </si>
  <si>
    <t>Responsible</t>
  </si>
  <si>
    <t>Departament</t>
  </si>
  <si>
    <t xml:space="preserve">Observation </t>
  </si>
  <si>
    <t>Decision</t>
  </si>
  <si>
    <t>Utilization %</t>
  </si>
  <si>
    <t>Password</t>
  </si>
  <si>
    <t>Monthly</t>
  </si>
  <si>
    <t>Adobe Stock – 25 créditos al mes</t>
  </si>
  <si>
    <t>Active</t>
  </si>
  <si>
    <t>Unsubscribe</t>
  </si>
  <si>
    <t>Adobe Creative Cloud Pro</t>
  </si>
  <si>
    <t>Keep</t>
  </si>
  <si>
    <t>Adobe Acrobat Pro + AI Assistant for Acrobat</t>
  </si>
  <si>
    <t>Aircall Essentials licenses + calls</t>
  </si>
  <si>
    <t>Lizenzgebühr</t>
  </si>
  <si>
    <t>One-time credit purchase</t>
  </si>
  <si>
    <t>Team plan – Standard, 5 seats</t>
  </si>
  <si>
    <t>Annual</t>
  </si>
  <si>
    <t>Music &amp; SFX Pro</t>
  </si>
  <si>
    <t>BrowseAI</t>
  </si>
  <si>
    <t>Professional Plan (5,000)</t>
  </si>
  <si>
    <t xml:space="preserve">Teams subscription </t>
  </si>
  <si>
    <t xml:space="preserve">Explorer Plan </t>
  </si>
  <si>
    <t>Plan Starter</t>
  </si>
  <si>
    <t>Suspended</t>
  </si>
  <si>
    <t>On Leave</t>
  </si>
  <si>
    <t>eSignature Business Pro Edition – Seat Subscription (3 seats)</t>
  </si>
  <si>
    <t>Figma Professional Full seat</t>
  </si>
  <si>
    <t>Credits: Standard</t>
  </si>
  <si>
    <t>Advanced plan</t>
  </si>
  <si>
    <t>GetMyInvoices Licencia Advanced</t>
  </si>
  <si>
    <t>Compliance Pack</t>
  </si>
  <si>
    <t>Hubspot</t>
  </si>
  <si>
    <t>HubSpot for Marketers Professional con módulos de Ventas, Contenido y contactos adicionales</t>
  </si>
  <si>
    <t>LinkedIn</t>
  </si>
  <si>
    <t>Drina Bascon</t>
  </si>
  <si>
    <t>Linkedin</t>
  </si>
  <si>
    <t>Manychat Pro – 2500 Contacts plan</t>
  </si>
  <si>
    <t>Meta Ads</t>
  </si>
  <si>
    <t>Miro Business – Suscripción mensual</t>
  </si>
  <si>
    <t>Notion Labs</t>
  </si>
  <si>
    <t>Plan Enterprise (18 miembros) y cargos prorrateados por ampliación de usuarios (7 → 14)</t>
  </si>
  <si>
    <t>Projects Advanced (month)</t>
  </si>
  <si>
    <t>ChatGPT Pro Subscription</t>
  </si>
  <si>
    <t>ChatGPT Credits</t>
  </si>
  <si>
    <t>ChatGPT Business Subscription (7 seats)</t>
  </si>
  <si>
    <t>Otter</t>
  </si>
  <si>
    <t>Otter Business Subscription (12 seats)</t>
  </si>
  <si>
    <t>sevDesk</t>
  </si>
  <si>
    <t>Suscripción Buchhaltung Pro (contabilidad profesional)</t>
  </si>
  <si>
    <t>Suscripción Slack Business+ Plan (15 seats)</t>
  </si>
  <si>
    <t>Suscripción Advanced Plan</t>
  </si>
  <si>
    <t>Suscripción Supermetrics for Looker Studio (1 data source: Facebook Ads, 2 usuarios, 7 cuentas, Data Transformations, Data Explorer, Dashboards)</t>
  </si>
  <si>
    <t>Trello Premium (1 seat)</t>
  </si>
  <si>
    <t>Verify</t>
  </si>
  <si>
    <t>Suscripción Typeform Business</t>
  </si>
  <si>
    <t>1. CAJA Y COBRANZA</t>
  </si>
  <si>
    <t>Responsable: Sebastián Arellano</t>
  </si>
  <si>
    <t>KPI</t>
  </si>
  <si>
    <t>META</t>
  </si>
  <si>
    <t>SEM 1</t>
  </si>
  <si>
    <t>SEM 2</t>
  </si>
  <si>
    <t>SEM 3</t>
  </si>
  <si>
    <t>SEM 4</t>
  </si>
  <si>
    <t>ACUMULADO</t>
  </si>
  <si>
    <t>% AVANCE</t>
  </si>
  <si>
    <t>Ratio Cobranza</t>
  </si>
  <si>
    <t>≥90%</t>
  </si>
  <si>
    <t>Cash-In (€)</t>
  </si>
  <si>
    <t>Facturas On-Time</t>
  </si>
  <si>
    <t>≥95%</t>
  </si>
  <si>
    <t>≤15%</t>
  </si>
  <si>
    <t>2. CLIENTES</t>
  </si>
  <si>
    <t>Clientes Activos</t>
  </si>
  <si>
    <t>≥140</t>
  </si>
  <si>
    <t>Nuevos Clientes</t>
  </si>
  <si>
    <t>Tasa Abandono</t>
  </si>
  <si>
    <t>≤5%</t>
  </si>
  <si>
    <t>Clientes OK</t>
  </si>
  <si>
    <t>% Suscripción Activa</t>
  </si>
  <si>
    <t>≥70%</t>
  </si>
  <si>
    <t>3. MÉTRICAS FINANCIERAS</t>
  </si>
  <si>
    <t>Responsables: José I. Donoso / S. Arellano</t>
  </si>
  <si>
    <t>Ingresos Totales</t>
  </si>
  <si>
    <t>Monitor</t>
  </si>
  <si>
    <t>≥€0</t>
  </si>
  <si>
    <t>Control</t>
  </si>
  <si>
    <t>Margen Bruto</t>
  </si>
  <si>
    <t>≥65%</t>
  </si>
  <si>
    <t>4. GASTOS Y SAAS</t>
  </si>
  <si>
    <t>Responsable: Giovanny Bravo</t>
  </si>
  <si>
    <t>Total Gastos</t>
  </si>
  <si>
    <t>SaaS Mensual</t>
  </si>
  <si>
    <t>≤€26,000</t>
  </si>
  <si>
    <t>Utilización SaaS</t>
  </si>
  <si>
    <t>Ahorros SaaS</t>
  </si>
  <si>
    <t>Pagos On-Time</t>
  </si>
  <si>
    <t>Proximamente</t>
  </si>
  <si>
    <t>Errores Pagos</t>
  </si>
  <si>
    <t>5. FLUJO DE CAJA Y RUNWAY</t>
  </si>
  <si>
    <t>Responsable: Sebastián Arellano / Giovanny Bravo</t>
  </si>
  <si>
    <t>Runway Proyectado</t>
  </si>
  <si>
    <t>Enero 2025</t>
  </si>
  <si>
    <t>Octubre 2025</t>
  </si>
  <si>
    <t>LISTADO TIPO DE SALIDA</t>
  </si>
  <si>
    <t>LISTADO  FACTURACION</t>
  </si>
  <si>
    <t>Costo Directo Drs.</t>
  </si>
  <si>
    <t>c</t>
  </si>
  <si>
    <t>Moneda</t>
  </si>
  <si>
    <t>Precio de 1 Eur para Ago. 2025</t>
  </si>
  <si>
    <t>Tipo de cambio a EUR</t>
  </si>
  <si>
    <t>Fuente / Nota</t>
  </si>
  <si>
    <t>Mes/Año</t>
  </si>
  <si>
    <t>Precio de 1 Eur para Oct. 2025</t>
  </si>
  <si>
    <t>Gasto Admin NOMII</t>
  </si>
  <si>
    <t>Base</t>
  </si>
  <si>
    <t>Costo Enfermeras</t>
  </si>
  <si>
    <t>Exchange-Rates</t>
  </si>
  <si>
    <t>Otros Gastos</t>
  </si>
  <si>
    <t>Febrero 2025</t>
  </si>
  <si>
    <t>Noviembre 2025</t>
  </si>
  <si>
    <t>Precio de 1 Eur para Nov. 2025</t>
  </si>
  <si>
    <t>Marzo 2025</t>
  </si>
  <si>
    <t>Diciembre 2025</t>
  </si>
  <si>
    <t>Precio de 1 Eur para Dic. 2025</t>
  </si>
  <si>
    <t>Abril 2025</t>
  </si>
  <si>
    <t>Enero 2026</t>
  </si>
  <si>
    <t>Precio de 1 Eur para Ene. 2026</t>
  </si>
  <si>
    <t>Mayo 2025</t>
  </si>
  <si>
    <t>Febrero 2026</t>
  </si>
  <si>
    <t>Precio de 1 Eur para Feb. 2026</t>
  </si>
  <si>
    <t>Junio 2025</t>
  </si>
  <si>
    <t>Marzo 2026</t>
  </si>
  <si>
    <t>Precio de 1 Eur para Mar. 2026</t>
  </si>
  <si>
    <t>Julio 2025</t>
  </si>
  <si>
    <t>Abril 2026</t>
  </si>
  <si>
    <t>Precio de 1 Eur para Abr. 2026</t>
  </si>
  <si>
    <t>Agosto 2025</t>
  </si>
  <si>
    <t>Mayo 2026</t>
  </si>
  <si>
    <t>Precio de 1 Eur para May. 2026</t>
  </si>
  <si>
    <t>Septiembre 2025</t>
  </si>
  <si>
    <t>Junio 2026</t>
  </si>
  <si>
    <t>Precio de 1 Eur para Sep. 2025</t>
  </si>
  <si>
    <t>Julio 2026</t>
  </si>
  <si>
    <t>in_1SvoglRoJmuqrcvmGuvKCIJc</t>
  </si>
  <si>
    <t>609F8A13-1905</t>
  </si>
  <si>
    <t>in_1SwTqKRoJmuqrcvmepDlQNG8</t>
  </si>
  <si>
    <t>609F8A13-1930</t>
  </si>
  <si>
    <t>in_1SvQfaRoJmuqrcvmypUAobfZ</t>
  </si>
  <si>
    <t>609F8A13-1904</t>
  </si>
  <si>
    <t>in_1SwAfmRoJmuqrcvmhYdoWXDb</t>
  </si>
  <si>
    <t>609F8A13-1925</t>
  </si>
  <si>
    <t>in_1Sw9cwRoJmuqrcvmDTNaud46</t>
  </si>
  <si>
    <t>609F8A13-1914</t>
  </si>
  <si>
    <t>in_1SwAebRoJmuqrcvmps5YenaT</t>
  </si>
  <si>
    <t>609F8A13-1922</t>
  </si>
  <si>
    <t>in_1SwAeTRoJmuqrcvmDcbp0pi0</t>
  </si>
  <si>
    <t>609F8A13-1924</t>
  </si>
  <si>
    <t>in_1Sx8BeRoJmuqrcvmoVLqLfYs</t>
  </si>
  <si>
    <t>609F8A13-1937</t>
  </si>
  <si>
    <t>in_1Sx8D9RoJmuqrcvm9VW0qEXO</t>
  </si>
  <si>
    <t>609F8A13-1938</t>
  </si>
  <si>
    <t>in_1SwAbvRoJmuqrcvmZmPyTY6C</t>
  </si>
  <si>
    <t>609F8A13-1920</t>
  </si>
  <si>
    <t>in_1Sw9dGRoJmuqrcvmhgMqzCHQ</t>
  </si>
  <si>
    <t>609F8A13-1913</t>
  </si>
  <si>
    <t>in_1SwAeJRoJmuqrcvmRS8IiOqZ</t>
  </si>
  <si>
    <t>609F8A13-1923</t>
  </si>
  <si>
    <t>in_1Sw9cgRoJmuqrcvmusPmfjnm</t>
  </si>
  <si>
    <t>609F8A13-1911</t>
  </si>
  <si>
    <t>in_1SwAbRRoJmuqrcvmCk5nSeKE</t>
  </si>
  <si>
    <t>609F8A13-1918</t>
  </si>
  <si>
    <t>in_1SwAbRRoJmuqrcvmcTnYuOuy</t>
  </si>
  <si>
    <t>609F8A13-1916</t>
  </si>
  <si>
    <t>in_1SwVATRoJmuqrcvmpbEaByXz</t>
  </si>
  <si>
    <t>609F8A13-1933</t>
  </si>
  <si>
    <t>in_1SwW6cRoJmuqrcvmmyHkJqP7</t>
  </si>
  <si>
    <t>609F8A13-1934</t>
  </si>
  <si>
    <t>vicentejbc95@gmail.com</t>
  </si>
  <si>
    <t>cus_Tv0chLQl2ijvDO</t>
  </si>
  <si>
    <t>Vicente Javier Campusano Banse</t>
  </si>
  <si>
    <t>AAO5HUBC-0002</t>
  </si>
  <si>
    <t>9 Licencias principales adicionales (Professional) — período 03/02/2026–26/03/2026</t>
  </si>
  <si>
    <t>12 Licencias principales adicionales (Professional) — período 05/02/2026–26/03/2026</t>
  </si>
  <si>
    <t>11 Licencias principales adicionales (Professional) — período 04/02/2026–26/03/2026</t>
  </si>
  <si>
    <t>10 Licencias principales adicionales (Professional) — período 04/02/2026–26/03/2026</t>
  </si>
  <si>
    <t>702385480</t>
  </si>
  <si>
    <t>3EAPNNF2-0003</t>
  </si>
  <si>
    <t>3EAPNNF2-0001</t>
  </si>
  <si>
    <t xml:space="preserve">Personal (12,000) — Oct 29, 2025–Oct 29, 2026 </t>
  </si>
  <si>
    <t>jlavilezc@gmail.com</t>
  </si>
  <si>
    <t>cus_TvI7RFIS5QJmq6</t>
  </si>
  <si>
    <t>in_1SxRXKRoJmuqrcvm5jwbfrlr</t>
  </si>
  <si>
    <t>609F8A13-1943</t>
  </si>
  <si>
    <t>in_1SxRZBRoJmuqrcvmoMrQ4FFQ</t>
  </si>
  <si>
    <t>609F8A13-1944</t>
  </si>
  <si>
    <t>Jose Luis Avilez Casas</t>
  </si>
  <si>
    <t>in_1SxaRqRoJmuqrcvmOf2qiLxz</t>
  </si>
  <si>
    <t>609F8A13-1946</t>
  </si>
  <si>
    <t>in_1Sxc57RoJmuqrcvmT6EHBgvk</t>
  </si>
  <si>
    <t>609F8A13-1951</t>
  </si>
  <si>
    <t>cus_TvSzXiCTmISkfd</t>
  </si>
  <si>
    <t>FACTURA ELECTRONICA N°12</t>
  </si>
  <si>
    <t>N°12</t>
  </si>
  <si>
    <t>2498344-13</t>
  </si>
  <si>
    <t xml:space="preserve">E0300YVOO4 </t>
  </si>
  <si>
    <t>in_1Sxp8sRoJmuqrcvmrwgBkSUe</t>
  </si>
  <si>
    <t>609F8A13-1953</t>
  </si>
  <si>
    <t>IN-2026-0073645</t>
  </si>
  <si>
    <t>7AZYHMXI-0006</t>
  </si>
  <si>
    <t>in_1Sxw0HRoJmuqrcvmOcH7MsxK</t>
  </si>
  <si>
    <t>609F8A13-1955</t>
  </si>
  <si>
    <t>in_1SyWjgRoJmuqrcvmgv0fPRxy</t>
  </si>
  <si>
    <t>609F8A13-1961</t>
  </si>
  <si>
    <t>in_1SyXtwRoJmuqrcvmdTPHtbjY</t>
  </si>
  <si>
    <t>609F8A13-1962</t>
  </si>
  <si>
    <t>in_1SxyxMRoJmuqrcvmKihbfjdF</t>
  </si>
  <si>
    <t>609F8A13-1959</t>
  </si>
  <si>
    <t>in_1Sxyy9RoJmuqrcvmOayftlgg</t>
  </si>
  <si>
    <t>609F8A13-1958</t>
  </si>
  <si>
    <t>in_1Sxz0pRoJmuqrcvmD3JWUZMp</t>
  </si>
  <si>
    <t>609F8A13-1960</t>
  </si>
  <si>
    <t>in_1Syg2WRoJmuqrcvmkqVSsk0x</t>
  </si>
  <si>
    <t>609F8A13-1964</t>
  </si>
  <si>
    <t>Sprudelnd share Mine + Egg Drop Sandwich + Espresso Macchiato M</t>
  </si>
  <si>
    <t>Pago de sueldo Enero 2026 más ajustes retroactivos de Noviembre y Diciembre 2025</t>
  </si>
  <si>
    <t>Ángel Alarcón Macias</t>
  </si>
  <si>
    <t>00005</t>
  </si>
  <si>
    <t>G138477261</t>
  </si>
  <si>
    <t>UBER-01-2026</t>
  </si>
  <si>
    <t>SBIE-10800510</t>
  </si>
  <si>
    <t>Suscripción mensual Slack Business+ Plan (18 licencias)</t>
  </si>
  <si>
    <t>92026-51971</t>
  </si>
  <si>
    <t>Reembolso/Nota de Crédito María del Mar Ordóñez Dussan</t>
  </si>
  <si>
    <t>GMI-2026-336480</t>
  </si>
  <si>
    <t>UBER-02-2026</t>
  </si>
  <si>
    <t>UBER-03-2026</t>
  </si>
  <si>
    <t>2026-420623437860</t>
  </si>
  <si>
    <t>Fahrkarte Flexpreis München Hbf → Berlin Hbf, 1. Klasse</t>
  </si>
  <si>
    <t>txn_3SyVti2mjH4XVMmx0mKytn6O</t>
  </si>
  <si>
    <t>Wundermart</t>
  </si>
  <si>
    <t>Red Bull Sugarfree 250ml + Colgate Sensation White TP 75ml + Coca Cola Zero 330ml</t>
  </si>
  <si>
    <t>7 Licencias principales adicionales (Professional) — período 08/01/2026–26/01/2026</t>
  </si>
  <si>
    <t>Greek Cuisine JA! NIKO JA!</t>
  </si>
  <si>
    <t>Restaurant bill (Tisch #7) — Cola Zero + Tzatziki + Pita Oregano + Rinderspieß</t>
  </si>
  <si>
    <t>marisolibanezparedes@gmail.com</t>
  </si>
  <si>
    <t>cus_TvL6XrT0Q3X4Kd</t>
  </si>
  <si>
    <t>in_1SxUQcRoJmuqrcvmBceV1hAx</t>
  </si>
  <si>
    <t>609F8A13-1945</t>
  </si>
  <si>
    <t>Marisol Madeleine Ibáñez Paredes</t>
  </si>
  <si>
    <t>7B1AF7DC-3169-CN-01</t>
  </si>
  <si>
    <t>Reembolso</t>
  </si>
  <si>
    <t>≥€120,000</t>
  </si>
  <si>
    <t>AR &gt; 15 días</t>
  </si>
  <si>
    <t>≥20/mes</t>
  </si>
  <si>
    <t>Margen Bruto %</t>
  </si>
  <si>
    <t>UBER-04-2026</t>
  </si>
  <si>
    <t>UBER-05-2026</t>
  </si>
  <si>
    <t>IEE2026002502847</t>
  </si>
  <si>
    <t>Dias de retraso promedio</t>
  </si>
  <si>
    <t>≤2/mes</t>
  </si>
  <si>
    <t>Flujo Programado</t>
  </si>
  <si>
    <t>Flujo Caja Neto</t>
  </si>
  <si>
    <t>Caja Neta Acumulada</t>
  </si>
  <si>
    <t>FCF ACUMULADO</t>
  </si>
  <si>
    <t>Seats</t>
  </si>
  <si>
    <t xml:space="preserve">Occupied Seats </t>
  </si>
  <si>
    <t>SEGUIMIENTO SEMANAL DE KPIs - FEBRERO 2026</t>
  </si>
  <si>
    <t>SEGUIMIENTO SEMANAL DE KPIs - ENERO 2026</t>
  </si>
  <si>
    <t>Circle Business Plan (Monthly) + Email Hub (216 Qty)</t>
  </si>
  <si>
    <t>in_1Szj8LRoJmuqrcvmWQQahsiN</t>
  </si>
  <si>
    <t>609F8A13-1973</t>
  </si>
  <si>
    <t>in_1SzjLURoJmuqrcvmuaQWEYGv</t>
  </si>
  <si>
    <t>609F8A13-1974</t>
  </si>
  <si>
    <t>in_1SzjkARoJmuqrcvmTgpr0sPq</t>
  </si>
  <si>
    <t>609F8A13-1976</t>
  </si>
  <si>
    <t>in_1Szk8VRoJmuqrcvm0IHGBUDr</t>
  </si>
  <si>
    <t>609F8A13-1978</t>
  </si>
  <si>
    <t>in_1Szi3TRoJmuqrcvmgbRw33JX</t>
  </si>
  <si>
    <t>609F8A13-1972</t>
  </si>
  <si>
    <t>in_1SzjIfRoJmuqrcvmaQfsgcO8</t>
  </si>
  <si>
    <t>609F8A13-1979</t>
  </si>
  <si>
    <t>in_1SzjqFRoJmuqrcvm82lPVU4S</t>
  </si>
  <si>
    <t>609F8A13-1980</t>
  </si>
  <si>
    <t>in_1Szk3tRoJmuqrcvmsEBTwFYN</t>
  </si>
  <si>
    <t>609F8A13-1977</t>
  </si>
  <si>
    <t>in_1SzkDMRoJmuqrcvmp6c88SXL</t>
  </si>
  <si>
    <t>609F8A13-1983</t>
  </si>
  <si>
    <t>in_1SzkJ2RoJmuqrcvmTqwLFn9r</t>
  </si>
  <si>
    <t>609F8A13-1984</t>
  </si>
  <si>
    <t>in_1SzkRsRoJmuqrcvm1Wr0vJja</t>
  </si>
  <si>
    <t>609F8A13-1985</t>
  </si>
  <si>
    <t>https://invoice.stripe.com/i/acct_1QimIiRoJmuqrcvm/live_YWNjdF8xUWltSWlSb0ptdXFyY3ZtLF9UeGZuRjhwRmppaXdVNkpSTmU4THAxaUg4ZHhuT21ILDE2MTQ0NjIzMw0200AXYMk4ey?s=db</t>
  </si>
  <si>
    <t>in_1SzkUTRoJmuqrcvmf88ZGud3</t>
  </si>
  <si>
    <t>609F8A13-1986</t>
  </si>
  <si>
    <t>RATIO COBRANZA</t>
  </si>
  <si>
    <t>MONTO PEND RETRASADO</t>
  </si>
  <si>
    <t>Q PEND RETRASADO</t>
  </si>
  <si>
    <t>in_1T06d5RoJmuqrcvmf3AWulVy</t>
  </si>
  <si>
    <t>609F8A13-1989</t>
  </si>
  <si>
    <t>in_1T07cDRoJmuqrcvmgm9kQ4oo</t>
  </si>
  <si>
    <t>609F8A13-1990</t>
  </si>
  <si>
    <t>FIRMA CONTRATO / PENDIENTE DCTO DOC</t>
  </si>
  <si>
    <t>Ingreso Neto</t>
  </si>
  <si>
    <t>in_1T0PGORoJmuqrcvmiopcu7Ma</t>
  </si>
  <si>
    <t>609F8A13-1995</t>
  </si>
  <si>
    <t xml:space="preserve">Reembolso/Nota de Crédito Matías Enrique Aguilera Mancilla
</t>
  </si>
  <si>
    <t xml:space="preserve">Reembolso/Nota de Crédito Fernando José Fuentes Bárcenas
</t>
  </si>
  <si>
    <t xml:space="preserve">Reembolso/Nota de Crédito Fernando Arturo Araya Rojas
</t>
  </si>
  <si>
    <t xml:space="preserve">Reembolso/Nota de Crédito Gustavo Alexander Gonzalez Muñoz
</t>
  </si>
  <si>
    <t>in_1T0f9pRoJmuqrcvmBsjKG68p</t>
  </si>
  <si>
    <t>609F8A13-1997</t>
  </si>
  <si>
    <t>in_1T0W2JRoJmuqrcvmEK3OHQw9</t>
  </si>
  <si>
    <t>609F8A13-1996</t>
  </si>
  <si>
    <t>INCOBRABLE</t>
  </si>
  <si>
    <t>in_1T0sQiRoJmuqrcvmX3J3cMMG</t>
  </si>
  <si>
    <t>609F8A13-1998</t>
  </si>
  <si>
    <t>in_1T1NwfRoJmuqrcvmLrymkDi9</t>
  </si>
  <si>
    <t>609F8A13-2000</t>
  </si>
  <si>
    <t>INGRESO PROGRAMADO</t>
  </si>
  <si>
    <t>TOTAL</t>
  </si>
  <si>
    <t>G140556526</t>
  </si>
  <si>
    <t>INV341348444</t>
  </si>
  <si>
    <t>Zoom Workplace Pro Monthly (11.02.2026–10.03.2026)</t>
  </si>
  <si>
    <t>77162860-156764030</t>
  </si>
  <si>
    <t>G141009565</t>
  </si>
  <si>
    <t>G140815044</t>
  </si>
  <si>
    <t>INV63765247</t>
  </si>
  <si>
    <t>BCIQM7AM-0005</t>
  </si>
  <si>
    <t>6CNLU88O-0005</t>
  </si>
  <si>
    <t>Team plan – Standard (Feb 15–Mar 15, 2026) – 5 × 21,04 €</t>
  </si>
  <si>
    <t>in_1T1UxsRoJmuqrcvmFklST8GU</t>
  </si>
  <si>
    <t>609F8A13-2001</t>
  </si>
  <si>
    <t>SALDO LATAM</t>
  </si>
  <si>
    <t>Teams Monthly – Prorated Charges (Feb 16 to Mar 03, 2026)</t>
  </si>
  <si>
    <t>XBQZWNYR-0004</t>
  </si>
  <si>
    <t xml:space="preserve">Miro Business (3 seats) (11/02/2026–11/03/2026) + Reverse charge </t>
  </si>
  <si>
    <t>Cobros pendientes</t>
  </si>
  <si>
    <t>Incobrable</t>
  </si>
  <si>
    <t>G139438528</t>
  </si>
  <si>
    <t>G134171057</t>
  </si>
  <si>
    <t>G122641208</t>
  </si>
  <si>
    <t>G128090552</t>
  </si>
  <si>
    <t>G117219187</t>
  </si>
  <si>
    <t>B2B-RWA-000114</t>
  </si>
  <si>
    <t>Cobranza Bruta</t>
  </si>
  <si>
    <t>Flujo Proyectado</t>
  </si>
  <si>
    <t>Adobe Creative Cloud Pro (14-FEB-2026–13-MAR-2026)</t>
  </si>
  <si>
    <t xml:space="preserve">GetMyInvoices Licencia Advanced (10/02/2026–31/03/2026) + (01/03/2026–09/03/2026) </t>
  </si>
  <si>
    <t>FGEGR8HKY2</t>
  </si>
  <si>
    <t>EA7SR8HKY2</t>
  </si>
  <si>
    <t>7PCB48DKY2</t>
  </si>
  <si>
    <t>5FWC8BHKY2</t>
  </si>
  <si>
    <t>C65658MJY2</t>
  </si>
  <si>
    <t>9R8GN89FT2</t>
  </si>
  <si>
    <t>Mastercard ****8274</t>
  </si>
  <si>
    <t>Aguas Andinas S.A</t>
  </si>
  <si>
    <t>Enel S.A</t>
  </si>
  <si>
    <t>Agua potable 17 m³ + recolección y tratamiento de aguas servidas (lectura 03-DIC-2025 a 02-ENE-2026)</t>
  </si>
  <si>
    <t>Electricidad consumida 554 kWh (período lectura 30/12/2025–29/01/2026)</t>
  </si>
  <si>
    <t>Facilities &amp; Utilities</t>
  </si>
  <si>
    <t>1484299190-08</t>
  </si>
  <si>
    <t>in_1T1u4gRoJmuqrcvmbxahLqu6</t>
  </si>
  <si>
    <t>609F8A13-2009</t>
  </si>
  <si>
    <t>in_1T1uAgRoJmuqrcvmbY2Fw9n6</t>
  </si>
  <si>
    <t>609F8A13-2011</t>
  </si>
  <si>
    <t>in_1T1uD4RoJmuqrcvmcbUrZqmS</t>
  </si>
  <si>
    <t>609F8A13-2012</t>
  </si>
  <si>
    <t xml:space="preserve">Reembolso/Nota de Crédito Daniel David Mendez Parraga
</t>
  </si>
  <si>
    <t xml:space="preserve">Reembolso/Nota de Crédito Daniela Luise Reisenegger Scheel
</t>
  </si>
  <si>
    <t xml:space="preserve">  </t>
  </si>
  <si>
    <t>in_1T2HCLRoJmuqrcvm53ynapDe</t>
  </si>
  <si>
    <t>609F8A13-2015</t>
  </si>
  <si>
    <t>in_1T2H6iRoJmuqrcvm5Q21PAik</t>
  </si>
  <si>
    <t>609F8A13-2014</t>
  </si>
  <si>
    <t>in_1T2HPTRoJmuqrcvm0pn6T14d</t>
  </si>
  <si>
    <t>609F8A13-2016</t>
  </si>
  <si>
    <t>in_1T1qCqRoJmuqrcvmalQSQGOv</t>
  </si>
  <si>
    <t>609F8A13-2006</t>
  </si>
  <si>
    <t>in_1T1qDsRoJmuqrcvm5M9onZ7l</t>
  </si>
  <si>
    <t>609F8A13-2007</t>
  </si>
  <si>
    <t>in_1T2I8mRoJmuqrcvmAK3MRHaJ</t>
  </si>
  <si>
    <t>609F8A13-2018</t>
  </si>
  <si>
    <t>in_1T2IBeRoJmuqrcvmQx2SkyiS</t>
  </si>
  <si>
    <t>609F8A13-2017</t>
  </si>
  <si>
    <t>in_1T2IE0RoJmuqrcvmKmQNym9a</t>
  </si>
  <si>
    <t>609F8A13-2019</t>
  </si>
  <si>
    <t>ID LINGODA</t>
  </si>
  <si>
    <t>G141750341</t>
  </si>
  <si>
    <t>INVFR0529337</t>
  </si>
  <si>
    <t>Aircall Essentials licenses + calls (17 Feb 2025 – 16 Mar 2026)</t>
  </si>
  <si>
    <t>db9feacb</t>
  </si>
  <si>
    <t>Recorrido.cl (Buses Fierro)</t>
  </si>
  <si>
    <t>Pasaje Osorno → Santiago, salida 22/02/2026 21:30 (asiento 9; pasajero Michael Schwark)</t>
  </si>
  <si>
    <t>04795-16802542</t>
  </si>
  <si>
    <t>IEE2026002876291</t>
  </si>
  <si>
    <t>ediprisfloresrivas@hotmail.com</t>
  </si>
  <si>
    <t>cus_TvRQydrTs8jRuD</t>
  </si>
  <si>
    <t>in_1SxafhRoJmuqrcvm5bp3w9M6</t>
  </si>
  <si>
    <t>609F8A13-1949</t>
  </si>
  <si>
    <t>in_1SxagxRoJmuqrcvmb9FmNDQv</t>
  </si>
  <si>
    <t>609F8A13-1950</t>
  </si>
  <si>
    <t>Edipris Flores</t>
  </si>
  <si>
    <t>in_1T2ZNIRoJmuqrcvmbLFIeWQf</t>
  </si>
  <si>
    <t>609F8A13-2020</t>
  </si>
  <si>
    <t>Assistenza prioritaria OÜ</t>
  </si>
  <si>
    <t xml:space="preserve">Hosting WPPro - no-mii.com (05/02/2026 - 04/02/2027) </t>
  </si>
  <si>
    <t>49147AC5-0017</t>
  </si>
  <si>
    <t>Renovación mensual del plan Enterprise (22 miembros) y cargos prorrateados por ampliación de usuarios (18 → 22)</t>
  </si>
  <si>
    <t/>
  </si>
  <si>
    <t>388AB7BF-0026</t>
  </si>
  <si>
    <t xml:space="preserve">Otter Business Subscription (per seat) — 4 seats (17/01/2026–17/02/2026)  </t>
  </si>
  <si>
    <t>CL</t>
  </si>
  <si>
    <t>STRIPE</t>
  </si>
  <si>
    <t>PAGO CHILE</t>
  </si>
  <si>
    <t>GLOBAL 66</t>
  </si>
  <si>
    <t>TRANSF REVOLUT</t>
  </si>
  <si>
    <t>TRANSF - REFACTURADO</t>
  </si>
  <si>
    <t>CONFIRMAR</t>
  </si>
  <si>
    <t>PAGO CHILENO</t>
  </si>
  <si>
    <t>in_1T2prCRoJmuqrcvmVXiSbDJB</t>
  </si>
  <si>
    <t>609F8A13-2021</t>
  </si>
  <si>
    <t>in_1T2pstRoJmuqrcvmnkZAwb9m</t>
  </si>
  <si>
    <t>609F8A13-2022</t>
  </si>
  <si>
    <t>in_1T30jhRoJmuqrcvmIfHiIBuW</t>
  </si>
  <si>
    <t>609F8A13-2026</t>
  </si>
  <si>
    <t>in_1T36sJRoJmuqrcvmjhVAfXXi</t>
  </si>
  <si>
    <t>609F8A13-2027</t>
  </si>
  <si>
    <t>in_1T36yNRoJmuqrcvmbeUkZ8bW</t>
  </si>
  <si>
    <t>609F8A13-2028</t>
  </si>
  <si>
    <t xml:space="preserve">Reembolso/Nota de Crédito Freddy Renzo Perez Villafuerte
</t>
  </si>
  <si>
    <t xml:space="preserve">Reembolso/Nota de Crédito Freddy Renzo Perez Villafuerte
</t>
  </si>
  <si>
    <t>in_1T36mERoJmuqrcvmw7O9rUWC</t>
  </si>
  <si>
    <t>609F8A13-2029</t>
  </si>
  <si>
    <t>in_1T36q4RoJmuqrcvm1vC3TIAp</t>
  </si>
  <si>
    <t>609F8A13-2031</t>
  </si>
  <si>
    <t>in_1T36woRoJmuqrcvmQnIZsHqR</t>
  </si>
  <si>
    <t>609F8A13-2030</t>
  </si>
  <si>
    <t>in_1T374lRoJmuqrcvmCyBQv7li</t>
  </si>
  <si>
    <t>609F8A13-2032</t>
  </si>
  <si>
    <t>in_1T378DRoJmuqrcvmKh8flSS8</t>
  </si>
  <si>
    <t>609F8A13-2033</t>
  </si>
  <si>
    <t>in_1T37BmRoJmuqrcvmydPk1cE1</t>
  </si>
  <si>
    <t>609F8A13-2034</t>
  </si>
  <si>
    <t>in_1T3PAVRoJmuqrcvmJbqM7CFb</t>
  </si>
  <si>
    <t>609F8A13-2036</t>
  </si>
  <si>
    <t>in_1T3PATRoJmuqrcvmqbg1DPyh</t>
  </si>
  <si>
    <t>609F8A13-2035</t>
  </si>
  <si>
    <t>in_1T42dLRoJmuqrcvmBW87BS3V</t>
  </si>
  <si>
    <t>609F8A13-2037</t>
  </si>
  <si>
    <t>Cencosud Retail S.A.</t>
  </si>
  <si>
    <t>Compra supermercado (alimentos y varios)</t>
  </si>
  <si>
    <t>Zoho Corporation GmbH</t>
  </si>
  <si>
    <t>Zoho Books – Professional (Monthly) (19 Feb 2026 – 18 Mar 2026)</t>
  </si>
  <si>
    <t>***6928</t>
  </si>
  <si>
    <t>in_1T43hLRoJmuqrcvmecl2aVOE</t>
  </si>
  <si>
    <t>609F8A13-2039</t>
  </si>
  <si>
    <t>in_1T43kBRoJmuqrcvmAGBPyRG3</t>
  </si>
  <si>
    <t>609F8A13-2040</t>
  </si>
  <si>
    <t>in_1T43n7RoJmuqrcvmw4bwN5d5</t>
  </si>
  <si>
    <t>609F8A13-2041</t>
  </si>
  <si>
    <t>in_1T43pXRoJmuqrcvmpn6E6Sgv</t>
  </si>
  <si>
    <t>609F8A13-2042</t>
  </si>
  <si>
    <t>in_1T449yRoJmuqrcvmrWpgjOJK</t>
  </si>
  <si>
    <t>609F8A13-2043</t>
  </si>
  <si>
    <t>in_1T44IGRoJmuqrcvmPcgwUQNV</t>
  </si>
  <si>
    <t>609F8A13-2044</t>
  </si>
  <si>
    <t>in_1T44KaRoJmuqrcvmHtMSnMOL</t>
  </si>
  <si>
    <t>609F8A13-2045</t>
  </si>
  <si>
    <t>Casa Las Cujas</t>
  </si>
  <si>
    <t>Consumo restaurante (reunión negocios)</t>
  </si>
  <si>
    <t>Dirzon Morgan Tobias Osorio</t>
  </si>
  <si>
    <t>Remodelación de Oficinas</t>
  </si>
  <si>
    <t>019c8ac4-3dfa-3154-fc8b-264a689a7b63</t>
  </si>
  <si>
    <t>in_1T457CRoJmuqrcvmBupYvzM4</t>
  </si>
  <si>
    <t>609F8A13-2046</t>
  </si>
  <si>
    <t>in_1T459RRoJmuqrcvmT5bS82f9</t>
  </si>
  <si>
    <t>609F8A13-2047</t>
  </si>
  <si>
    <t>in_1T45CpRoJmuqrcvmeOaK2xDN</t>
  </si>
  <si>
    <t>609F8A13-2048</t>
  </si>
  <si>
    <t>in_1T45LiRoJmuqrcvm7Ql9yprz</t>
  </si>
  <si>
    <t>609F8A13-2049</t>
  </si>
  <si>
    <t>in_1T45NARoJmuqrcvml6AywWPQ</t>
  </si>
  <si>
    <t>609F8A13-2050</t>
  </si>
  <si>
    <t>https://invoice.stripe.com/i/acct_1QimIiRoJmuqrcvm/live_YWNjdF8xUWltSWlSb0ptdXFyY3ZtLF9VMjlnajN5cmdjWGl4V29XQXpybFJIY1NoNzI1OHhQLDE2MjQxNzk2MQ020000x4VBjM?s=db</t>
  </si>
  <si>
    <t>in_1T45dDRoJmuqrcvmCmAtSdqw</t>
  </si>
  <si>
    <t>609F8A13-2051</t>
  </si>
  <si>
    <t>in_1T45ukRoJmuqrcvmUAJGvj29</t>
  </si>
  <si>
    <t>609F8A13-2052</t>
  </si>
  <si>
    <t>in_1T45zMRoJmuqrcvmuZ1sjLSC</t>
  </si>
  <si>
    <t>609F8A13-2053</t>
  </si>
  <si>
    <t>in_1T461jRoJmuqrcvmRr8yjYOP</t>
  </si>
  <si>
    <t>609F8A13-2054</t>
  </si>
  <si>
    <t>in_1T464qRoJmuqrcvmaAj2rXrm</t>
  </si>
  <si>
    <t>609F8A13-2055</t>
  </si>
  <si>
    <t>in_1T466oRoJmuqrcvmiytpRbYl</t>
  </si>
  <si>
    <t>609F8A13-2056</t>
  </si>
  <si>
    <t>in_1T46FMRoJmuqrcvmsilv93JM</t>
  </si>
  <si>
    <t>609F8A13-2057</t>
  </si>
  <si>
    <t>DEBE CUOTA ANTERIOR</t>
  </si>
  <si>
    <t>in_1T47FMRoJmuqrcvmoBsR4zZI</t>
  </si>
  <si>
    <t>609F8A13-2058</t>
  </si>
  <si>
    <t>MONTO CASOS X REG.</t>
  </si>
  <si>
    <t>Q CASOS X REG.</t>
  </si>
  <si>
    <t>carlaepr18@gmail.com</t>
  </si>
  <si>
    <t>cus_TzYokd7rQczeQi</t>
  </si>
  <si>
    <t>in_1T4UnyRoJmuqrcvmG6DEaacx</t>
  </si>
  <si>
    <t>609F8A13-2063</t>
  </si>
  <si>
    <t>Carla Elena Patínez Rondón</t>
  </si>
  <si>
    <t>in_1T4i2bRoJmuqrcvmlNW1c9nV</t>
  </si>
  <si>
    <t>609F8A13-2066</t>
  </si>
  <si>
    <t>0O6ZDV8W-0010</t>
  </si>
  <si>
    <t>INV-4740799</t>
  </si>
  <si>
    <t>Go Torrealba SpA</t>
  </si>
  <si>
    <t>Acrilico Clear (1 x $150.000 + IVA)</t>
  </si>
  <si>
    <t>Carlos Rodrigo Ulloa Gonzalez</t>
  </si>
  <si>
    <t>3 Carta poder con firma electrónica</t>
  </si>
  <si>
    <t>77505DA9-2038</t>
  </si>
  <si>
    <t>295616D8-0011</t>
  </si>
  <si>
    <t>CNE2600077</t>
  </si>
  <si>
    <t>EMENDO Event + Congress GmbH &amp; Co. KG</t>
  </si>
  <si>
    <t>CNE LeadershipTage 05.03.–06.03.2026 (Stuttgart) – Reguläres Ticket</t>
  </si>
  <si>
    <t>SelfStorage Dein Lagerraum</t>
  </si>
  <si>
    <t>802-183946</t>
  </si>
  <si>
    <t>Move-in Miete 24-02 bis 23-03 + Versicherung (incl. Rabatt BUS-25%)</t>
  </si>
  <si>
    <t>CL / DE</t>
  </si>
  <si>
    <t>in_1T4ppnRoJmuqrcvmJWg3zD0W</t>
  </si>
  <si>
    <t>609F8A13-2071</t>
  </si>
  <si>
    <t>2026-681106433716</t>
  </si>
  <si>
    <t>Fahrkarte Super Sparpreis München Hbf → Berlin Hbf (2. Klasse, 1 Person) + Reservierungsentgelt</t>
  </si>
  <si>
    <t xml:space="preserve">Namecheap Order Summary (Transaction ID 238172695)  </t>
  </si>
  <si>
    <t>in_1T4qBuRoJmuqrcvmSPUrdoWk</t>
  </si>
  <si>
    <t>609F8A13-2072</t>
  </si>
  <si>
    <t>REEMBOLSADO - SUSPENDIDA</t>
  </si>
  <si>
    <t>in_1RVYDpRoJmuqrcvm0dpBGmhH</t>
  </si>
  <si>
    <t>609F8A13-0141</t>
  </si>
  <si>
    <t>CNE2600076</t>
  </si>
  <si>
    <t>6 PAGOS / EUR 75 EXTERNO SIN COMPROBANTE</t>
  </si>
  <si>
    <t>in_1T5FLhRoJmuqrcvmEpxt9QZG</t>
  </si>
  <si>
    <t>609F8A13-2076</t>
  </si>
  <si>
    <t>https://invoice.stripe.com/i/acct_1QimIiRoJmuqrcvm/live_YWNjdF8xUWltSWlSb0ptdXFyY3ZtLF9VMm5kSTJLTmZMcHJQTzBLWDZtNmEwZEF0ckxkajVQLDE2MjY5NzAwMQ0200lOPy5OZA?s=db</t>
  </si>
  <si>
    <t>pi_3RWnbdRoJmuqrcvm0lMww3Sf</t>
  </si>
  <si>
    <t>in_1T5GH4RoJmuqrcvmPhqQagZp</t>
  </si>
  <si>
    <t>609F8A13-2077</t>
  </si>
  <si>
    <t>in_1T5Tz8RoJmuqrcvm3R4T7URi</t>
  </si>
  <si>
    <t>609F8A13-2082</t>
  </si>
  <si>
    <t>in_1T5WK7RoJmuqrcvmsr6ToeHp</t>
  </si>
  <si>
    <t>609F8A13-2088</t>
  </si>
  <si>
    <t>in_1T5WTMRoJmuqrcvmoeLi5yYI</t>
  </si>
  <si>
    <t>609F8A13-2089</t>
  </si>
  <si>
    <t>in_1T5WaNRoJmuqrcvmEln6WetM</t>
  </si>
  <si>
    <t>609F8A13-2090</t>
  </si>
  <si>
    <t>in_1T5WgFRoJmuqrcvmYtVJV5fM</t>
  </si>
  <si>
    <t>609F8A13-2091</t>
  </si>
  <si>
    <t>Vuelo Michael S. – Tasas y/o impuestos (OC: LA0454700UOSP)</t>
  </si>
  <si>
    <t>84016199-0632</t>
  </si>
  <si>
    <t>Kartenzahlung (Visa kontaktlos)</t>
  </si>
  <si>
    <t>***4127</t>
  </si>
  <si>
    <t>VAT_TREATMENT</t>
  </si>
  <si>
    <t>B-373-1-1-2026</t>
  </si>
  <si>
    <t>Kostenrechnung – Beglaubigte Abschrift (Beglaubigung)</t>
  </si>
  <si>
    <t>802-184007</t>
  </si>
  <si>
    <t>Schloss groß SUL 50 (candado)</t>
  </si>
  <si>
    <t>2384-007-00002</t>
  </si>
  <si>
    <t>Aral Tankstelle</t>
  </si>
  <si>
    <t>Diesel (7,49 L)</t>
  </si>
  <si>
    <t>43150-0646-646</t>
  </si>
  <si>
    <t>Parking ticket (26.02.2026 09:23–11:02)</t>
  </si>
  <si>
    <t>2383-007-00002</t>
  </si>
  <si>
    <t>Super E10 (20,36 L)</t>
  </si>
  <si>
    <t>Allround Autovermietung</t>
  </si>
  <si>
    <t>Bavaria Parkgaragen</t>
  </si>
  <si>
    <t>Alquiler vehículo Renault Master Kasten (B-AA1665) — Tagestarif incl. 100 km + Haftungsreduzierung</t>
  </si>
  <si>
    <t>CSH2612229</t>
  </si>
  <si>
    <t>Duty Tax Processing + EUSt (envío 3188661641; contenido: “SCHOOL DOCUMENT”)</t>
  </si>
  <si>
    <t>Ulrike Kroll</t>
  </si>
  <si>
    <t>Vertrieb/Marketingberatung – Mitarbeit Vertrieb Feb 2026 (40 h × 35,00 € + 19% MwSt.)</t>
  </si>
  <si>
    <t>2026-636696482768</t>
  </si>
  <si>
    <t>Fahrkarte Super Sparpreis Chemnitz Hbf → München Hbf (2. Klasse) + Reservierungsentgelt</t>
  </si>
  <si>
    <t>2026-831900080592</t>
  </si>
  <si>
    <t xml:space="preserve">Fahrkarte Super Sparpreis, München Hbf → Berlin Hbf, 1. Klasse, 1 Person (Leistungsdatum 02.03.26)  </t>
  </si>
  <si>
    <t>***1006</t>
  </si>
  <si>
    <t>13 Licencias principales adicionales (Professional) — período 27/02/2026–26/03/2026</t>
  </si>
  <si>
    <t>HubSpot for Marketers Professional + add-ons/licencias (período 27/02/2026–26/03/2026)</t>
  </si>
  <si>
    <t>CDC-005</t>
  </si>
  <si>
    <t>in_1T6IycRoJmuqrcvmSKunKkV7</t>
  </si>
  <si>
    <t>609F8A13-2100</t>
  </si>
  <si>
    <t>in_1T6J11RoJmuqrcvmHTLKjdKl</t>
  </si>
  <si>
    <t>609F8A13-2098</t>
  </si>
  <si>
    <t>DEFINIR FECHAS</t>
  </si>
  <si>
    <t>in_1T6NOaRoJmuqrcvmMsb4f4GZ</t>
  </si>
  <si>
    <t>609F8A13-2114</t>
  </si>
  <si>
    <t>in_1T5xSURoJmuqrcvm6Y35h4t4</t>
  </si>
  <si>
    <t>609F8A13-2096</t>
  </si>
  <si>
    <t>in_1T6NkFRoJmuqrcvm5hPHgADR</t>
  </si>
  <si>
    <t>609F8A13-2115</t>
  </si>
  <si>
    <t>in_1T6NonRoJmuqrcvmIkzHSBCP</t>
  </si>
  <si>
    <t>609F8A13-2116</t>
  </si>
  <si>
    <t>in_1T6NplRoJmuqrcvm71d9Bovs</t>
  </si>
  <si>
    <t>609F8A13-2117</t>
  </si>
  <si>
    <t>(+caja neta acumulada enero)</t>
  </si>
  <si>
    <t>IEE2026003948650</t>
  </si>
  <si>
    <t>Alojamiento co56 Hotel Chemnitz — 1 noche (03/03/2026–04/03/2026)</t>
  </si>
  <si>
    <t>Alojamiento Meliá Berlin — 2 noches (01/03/2026–03/03/2026)</t>
  </si>
  <si>
    <t>INV01025021</t>
  </si>
  <si>
    <t>4401EB9B-0020</t>
  </si>
  <si>
    <t>4401EB9B-0021</t>
  </si>
  <si>
    <t>ChatGPT Credits (5,000 × 0,04 US$)</t>
  </si>
  <si>
    <t>4401EB9B-0022</t>
  </si>
  <si>
    <t xml:space="preserve">ChatGPT Business Subscription (11 seats) </t>
  </si>
  <si>
    <t>ChatGPT Business Subscription (9 seats)</t>
  </si>
  <si>
    <t xml:space="preserve">ChatGPT Business Subscription (7 seats) </t>
  </si>
  <si>
    <t xml:space="preserve">ChatGPT Business Subscription (4 seats) </t>
  </si>
  <si>
    <t xml:space="preserve">ChatGPT Business Subscription (3 seats) </t>
  </si>
  <si>
    <t xml:space="preserve">ChatGPT Team Subscription (3 seats) </t>
  </si>
  <si>
    <t xml:space="preserve">ChatGPT Pro Subscription </t>
  </si>
  <si>
    <t>in_1T6K23RoJmuqrcvmSfrKJuaq</t>
  </si>
  <si>
    <t>609F8A13-2109</t>
  </si>
  <si>
    <t>2C01VU2D-0007</t>
  </si>
  <si>
    <t>in_1T6WjFRoJmuqrcvmc1eJuVBM</t>
  </si>
  <si>
    <t>609F8A13-2120</t>
  </si>
  <si>
    <t>INV343752820</t>
  </si>
  <si>
    <t>5517671879 (Pendiente)</t>
  </si>
  <si>
    <t>6628764136 (Pendiente)</t>
  </si>
  <si>
    <t>XZZ56a31f95ae87d5ABBZ4UZUFRGNGTV</t>
  </si>
  <si>
    <t>26170893572600457-26207438618945955</t>
  </si>
  <si>
    <t>Restream, Inc.</t>
  </si>
  <si>
    <t>in_1T6YoMRoJmuqrcvma42IReE6</t>
  </si>
  <si>
    <t>609F8A13-2121</t>
  </si>
  <si>
    <t>in_1T6ZYpRoJmuqrcvmDo6KkLdv</t>
  </si>
  <si>
    <t>609F8A13-2122</t>
  </si>
  <si>
    <t>in_1T6Jx1RoJmuqrcvmjkiox38a</t>
  </si>
  <si>
    <t>609F8A13-2104</t>
  </si>
  <si>
    <t>in_1T6IzTRoJmuqrcvmOwBaZt57</t>
  </si>
  <si>
    <t>609F8A13-2101</t>
  </si>
  <si>
    <t>in_1T6K3xRoJmuqrcvmTWH38Cdi</t>
  </si>
  <si>
    <t>609F8A13-2113</t>
  </si>
  <si>
    <t>in_1T6ZiQRoJmuqrcvmcMHpuOOA</t>
  </si>
  <si>
    <t>609F8A13-2123</t>
  </si>
  <si>
    <t>in_1T6ZlyRoJmuqrcvmoYHD6Api</t>
  </si>
  <si>
    <t>609F8A13-2124</t>
  </si>
  <si>
    <t>Plan Professional ($49/mo) - Multistream, Dual format</t>
  </si>
  <si>
    <t>***8226</t>
  </si>
  <si>
    <t>Sueldos Febrero 2026 Alemania</t>
  </si>
  <si>
    <t>Sueldos Febrero 2026 Chile</t>
  </si>
  <si>
    <t>Sueldos Marzo 2026 Alemania</t>
  </si>
  <si>
    <t>Sueldos Marzo 2026 Chile</t>
  </si>
  <si>
    <t>in_1T6aEeRoJmuqrcvmXCIB69Z1</t>
  </si>
  <si>
    <t>609F8A13-2125</t>
  </si>
  <si>
    <t>in_1T5vXuRoJmuqrcvmiiMBdPHz</t>
  </si>
  <si>
    <t>609F8A13-2094</t>
  </si>
  <si>
    <t>in_1T6aGyRoJmuqrcvmTCedCpXb</t>
  </si>
  <si>
    <t>609F8A13-2126</t>
  </si>
  <si>
    <t>in_1T6aImRoJmuqrcvmXdT1HBPM</t>
  </si>
  <si>
    <t>609F8A13-2127</t>
  </si>
  <si>
    <t>in_1T6Jx2RoJmuqrcvmX9XiFnkK</t>
  </si>
  <si>
    <t>609F8A13-2105</t>
  </si>
  <si>
    <t>in_1T6IyMRoJmuqrcvmyKTRI0H1</t>
  </si>
  <si>
    <t>609F8A13-2099</t>
  </si>
  <si>
    <t>in_1T6JwpRoJmuqrcvmGYOyYb2Z</t>
  </si>
  <si>
    <t>609F8A13-2106</t>
  </si>
  <si>
    <t>in_1T6d8JRoJmuqrcvmSuYpXRZH</t>
  </si>
  <si>
    <t>609F8A13-2130</t>
  </si>
  <si>
    <t>in_1T6IzbRoJmuqrcvmIRb5UAss</t>
  </si>
  <si>
    <t>609F8A13-2102</t>
  </si>
  <si>
    <t>in_1T6K3dRoJmuqrcvmhbAmbJ8Z</t>
  </si>
  <si>
    <t>609F8A13-2111</t>
  </si>
  <si>
    <t>in_1T6K3dRoJmuqrcvmb2WkFJTL</t>
  </si>
  <si>
    <t>609F8A13-2110</t>
  </si>
  <si>
    <t>in_1T6JvDRoJmuqrcvmwDWiO18v</t>
  </si>
  <si>
    <t>609F8A13-2103</t>
  </si>
  <si>
    <t>Date started (UTC)</t>
  </si>
  <si>
    <t>Date completed (UTC)</t>
  </si>
  <si>
    <t>ID</t>
  </si>
  <si>
    <t>Type</t>
  </si>
  <si>
    <t>State</t>
  </si>
  <si>
    <t>Reference</t>
  </si>
  <si>
    <t>Payer</t>
  </si>
  <si>
    <t>Card number</t>
  </si>
  <si>
    <t>Card label</t>
  </si>
  <si>
    <t>Card state</t>
  </si>
  <si>
    <t>Orig currency</t>
  </si>
  <si>
    <t>Orig amount</t>
  </si>
  <si>
    <t>Payment currency</t>
  </si>
  <si>
    <t>Amount</t>
  </si>
  <si>
    <t>Total amount</t>
  </si>
  <si>
    <t>Exchange rate</t>
  </si>
  <si>
    <t>Fee</t>
  </si>
  <si>
    <t>Fee currency</t>
  </si>
  <si>
    <t>Balance</t>
  </si>
  <si>
    <t>Beneficiary account number</t>
  </si>
  <si>
    <t>Beneficiary sort code or routing number</t>
  </si>
  <si>
    <t>Beneficiary IBAN</t>
  </si>
  <si>
    <t>Beneficiary BIC</t>
  </si>
  <si>
    <t>MCC</t>
  </si>
  <si>
    <t>Related transaction id</t>
  </si>
  <si>
    <t>Spend program</t>
  </si>
  <si>
    <t>69a368b6-88f3-a9ad-898b-edc03c6384e8</t>
  </si>
  <si>
    <t>TOPUP</t>
  </si>
  <si>
    <t>COMPLETED</t>
  </si>
  <si>
    <t>Dinero añadido desde STRIPE TECHNOLOGY EUROPE, LIMITED</t>
  </si>
  <si>
    <t>NOMII GmbH</t>
  </si>
  <si>
    <t>EUR NOMII GmbH - Salida e Ingreso</t>
  </si>
  <si>
    <t>69a3683f-74d9-abbe-88b5-d84595baefc4</t>
  </si>
  <si>
    <t>TRANSFER</t>
  </si>
  <si>
    <t>A Dominique Sitzler</t>
  </si>
  <si>
    <t>Miete</t>
  </si>
  <si>
    <t>Nicolas Benjamin Orbenes Figueroa</t>
  </si>
  <si>
    <t>DE18120300001201621453</t>
  </si>
  <si>
    <t>BYLADEM1001</t>
  </si>
  <si>
    <t>69a35d13-ddfa-a262-8e35-3d83f30f4e71</t>
  </si>
  <si>
    <t>69a35925-d2cc-aef5-aebe-f4e13fe9b7b3</t>
  </si>
  <si>
    <t>69a32740-4037-afcf-8e80-c347f8edfdec</t>
  </si>
  <si>
    <t>69a29dae-2f25-ad95-ac7e-8807c605abef</t>
  </si>
  <si>
    <t>CARD_PAYMENT</t>
  </si>
  <si>
    <t>Ewebinar* Trial Over</t>
  </si>
  <si>
    <t>463383******2811</t>
  </si>
  <si>
    <t>Virtual</t>
  </si>
  <si>
    <t>ACTIVE</t>
  </si>
  <si>
    <t>69a0c160-2ac5-a76b-95e7-4711fe431aeb</t>
  </si>
  <si>
    <t>Global Via Ruta 27</t>
  </si>
  <si>
    <t>516760******3790</t>
  </si>
  <si>
    <t>Metal</t>
  </si>
  <si>
    <t>CRC</t>
  </si>
  <si>
    <t>69a059d2-c025-aaea-ac27-b6892f1bab66</t>
  </si>
  <si>
    <t>Opo-pkhsparkhaus-m1</t>
  </si>
  <si>
    <t>463383******8226</t>
  </si>
  <si>
    <t>Gastos Manuel</t>
  </si>
  <si>
    <t>69a1d8e6-aa2e-a9c5-9129-87876f823987</t>
  </si>
  <si>
    <t>Db Vertrieb Gmbh</t>
  </si>
  <si>
    <t>69a1d0d2-2345-af3c-837e-aa194487c8ff</t>
  </si>
  <si>
    <t>Drina Alejandra Bascon Scheffler</t>
  </si>
  <si>
    <t>463383******5753</t>
  </si>
  <si>
    <t>Tarjeta Drina</t>
  </si>
  <si>
    <t>69a1d3d8-741d-ad79-a58c-eafd397af9e0</t>
  </si>
  <si>
    <t>Bkg*hotel At Booking.c</t>
  </si>
  <si>
    <t>69a2179f-462d-a957-8d97-1bc5851acc3a</t>
  </si>
  <si>
    <t>Hubspot Germany Gmbh</t>
  </si>
  <si>
    <t>69a0301f-3b01-a5db-9887-a5d3e9f81a02</t>
  </si>
  <si>
    <t>Aral Tankstelle 19064200</t>
  </si>
  <si>
    <t>69a03030-bc9c-aafb-b577-8596adedeeb6</t>
  </si>
  <si>
    <t>69a2df26-69da-a50e-bccb-3343362cd8ec</t>
  </si>
  <si>
    <t>A Francisca Schwarzhaupt</t>
  </si>
  <si>
    <t>28</t>
  </si>
  <si>
    <t>BCHICLRMXXX</t>
  </si>
  <si>
    <t>69a2de81-6f25-a834-ad2f-8a8430f300a7</t>
  </si>
  <si>
    <t>A Jose Domingo Baena Vides</t>
  </si>
  <si>
    <t>Sueldo febrero</t>
  </si>
  <si>
    <t>LU964080000046377398</t>
  </si>
  <si>
    <t>BCIRLULLXXX</t>
  </si>
  <si>
    <t>69a1a1a0-55f5-a5a6-a339-ab8ab3ad8f9f</t>
  </si>
  <si>
    <t>Hotel At Booking.com</t>
  </si>
  <si>
    <t>69a2ddb1-b305-a303-8602-21d5b840e8ae</t>
  </si>
  <si>
    <t>A Juliana Paloma Rayo Abella</t>
  </si>
  <si>
    <t>DE40501208000008213050</t>
  </si>
  <si>
    <t>BMPBDEF2XXX</t>
  </si>
  <si>
    <t>69a2dc38-ec08-a9dc-816d-25059489a5cd</t>
  </si>
  <si>
    <t>A Tomás Andrés Rodríguez Labbé</t>
  </si>
  <si>
    <t>Suelde febrero</t>
  </si>
  <si>
    <t>DE28701500001003804844</t>
  </si>
  <si>
    <t>SSKMDEMMXXX</t>
  </si>
  <si>
    <t>69a2dbc9-4c24-a1e2-9e36-6964cc54a0b8</t>
  </si>
  <si>
    <t>Dinero añadido desde STRIPE</t>
  </si>
  <si>
    <t>NOMIIGMBH</t>
  </si>
  <si>
    <t>69a20a0b-62be-abd5-ab8b-941d4a170681</t>
  </si>
  <si>
    <t>A EDWARD IGNACIO MARINAO CHACON</t>
  </si>
  <si>
    <t>Saldo</t>
  </si>
  <si>
    <t>DE10100110012058923089</t>
  </si>
  <si>
    <t>NTSBDEB1XXX</t>
  </si>
  <si>
    <t>69a209cb-fe98-ab4e-993a-73c1f2c85b29</t>
  </si>
  <si>
    <t>69a1d0c0-c97f-a0de-bd36-5dd533da293a</t>
  </si>
  <si>
    <t>69a1bb6d-9c43-ae50-81d6-3e68c86979fa</t>
  </si>
  <si>
    <t>A Ulrike Kroll</t>
  </si>
  <si>
    <t>14_2016</t>
  </si>
  <si>
    <t>DE11200300000030212126</t>
  </si>
  <si>
    <t>HYVEDEMM300</t>
  </si>
  <si>
    <t>69a1ba15-52d6-ac94-b3c7-92de61fcfe89</t>
  </si>
  <si>
    <t>69a1b7e4-4d00-adbe-95c1-ede6b4d9c5c3</t>
  </si>
  <si>
    <t>A Seonme Digital</t>
  </si>
  <si>
    <t>Pago</t>
  </si>
  <si>
    <t>DE52250501800910622167</t>
  </si>
  <si>
    <t>SPKHDE2HXXX</t>
  </si>
  <si>
    <t>69a1b7cd-8247-af62-b2b9-a0d2348caf28</t>
  </si>
  <si>
    <t>A NOMII GmbH - Salida e Ingreso</t>
  </si>
  <si>
    <t>EUR Main</t>
  </si>
  <si>
    <t>De Main</t>
  </si>
  <si>
    <t>69a1b7b5-be0e-aa24-a7d9-7a1455d83dc5</t>
  </si>
  <si>
    <t>Dinero añadido desde NICOLAS ORBENES</t>
  </si>
  <si>
    <t>Enviada desde N26</t>
  </si>
  <si>
    <t>69a184dd-a61a-a2da-9e54-29bea9bb2a17</t>
  </si>
  <si>
    <t>A NOMII SpA</t>
  </si>
  <si>
    <t>Pago servicio recursos humanos</t>
  </si>
  <si>
    <t>GB24TCCL00997944919044</t>
  </si>
  <si>
    <t>TCCLGB31XXX</t>
  </si>
  <si>
    <t>69a18acf-71a1-ab0d-826f-92c4fcfdc95b</t>
  </si>
  <si>
    <t>A Nicolas Orbenes</t>
  </si>
  <si>
    <t>Rest</t>
  </si>
  <si>
    <t>DE65100110012627115119</t>
  </si>
  <si>
    <t>69a128b4-23ea-a29c-bee8-332ba57178c5</t>
  </si>
  <si>
    <t>Bloomberg* 50949977</t>
  </si>
  <si>
    <t>69a184ad-f650-af6f-b948-a33b998e4699</t>
  </si>
  <si>
    <t>Dinero añadido desde NOMII-GMBH</t>
  </si>
  <si>
    <t>69a0b76d-b9e5-abf1-b4e7-ade2b09f3829</t>
  </si>
  <si>
    <t>Apple.com</t>
  </si>
  <si>
    <t>69a0e350-d47d-acf6-ab28-778342488dcd</t>
  </si>
  <si>
    <t>699ff9e8-556f-af65-a2be-e3aaa7e64984</t>
  </si>
  <si>
    <t>Allround Autovermietung G</t>
  </si>
  <si>
    <t>69a0c0fc-977b-a4a2-84c2-af2321150ab2</t>
  </si>
  <si>
    <t>Dhl Adc</t>
  </si>
  <si>
    <t>69a02267-a2ff-a908-a402-4b6bd2fc653f</t>
  </si>
  <si>
    <t>Selfstorage Dein Lagerrau</t>
  </si>
  <si>
    <t>69a01a37-0f04-a09d-a693-58007d62546d</t>
  </si>
  <si>
    <t>Parkgarage Salvatorplatz</t>
  </si>
  <si>
    <t>69a05270-efd4-aa74-998b-1f68beeadac5</t>
  </si>
  <si>
    <t>Www.thetimes.co.uk</t>
  </si>
  <si>
    <t>GBP</t>
  </si>
  <si>
    <t>699ee839-0b44-a4a0-8167-802a2231e1e1</t>
  </si>
  <si>
    <t>Circle.so Community</t>
  </si>
  <si>
    <t>699dbd4d-c574-a911-9e37-4a9d5cf50f93</t>
  </si>
  <si>
    <t>Name-cheap.com* 31rzfk</t>
  </si>
  <si>
    <t>69a04679-b668-aa1a-b5ab-3bd3ef9d7bb5</t>
  </si>
  <si>
    <t>69a03d13-9a32-a95a-9ff5-08ff8ac5703a</t>
  </si>
  <si>
    <t>69a039e5-7d79-a901-b01c-2d7ee5493dd1</t>
  </si>
  <si>
    <t>699f1984-10b9-a520-8349-aa984e8633f1</t>
  </si>
  <si>
    <t>Suckfuell Gmbh</t>
  </si>
  <si>
    <t>699f59d7-e657-a4b1-8625-39a568fab0ec</t>
  </si>
  <si>
    <t>699f0db9-f4ec-a669-8771-64ab17c9560e</t>
  </si>
  <si>
    <t>Deutsche Post Ag</t>
  </si>
  <si>
    <t>699fd94f-303e-ad3a-ad19-6a3dd94644c3</t>
  </si>
  <si>
    <t>Gc Re Youlend</t>
  </si>
  <si>
    <t>REF-7CC9F1C7FB8FC8A179</t>
  </si>
  <si>
    <t>FR7617118820080000001077102</t>
  </si>
  <si>
    <t>GOAAFRP1</t>
  </si>
  <si>
    <t>699f5b03-4bab-a806-a9b7-5e0a549c1913</t>
  </si>
  <si>
    <t>699eeae7-65a8-a6e5-bb49-05f1b052d781</t>
  </si>
  <si>
    <t>699eeab4-43f3-a3e4-8760-10bdd3786a23</t>
  </si>
  <si>
    <t>699d9039-0f2b-a062-9ea6-cd2f968f24ba</t>
  </si>
  <si>
    <t>699d6123-1e6b-a7da-aab0-3f69b7e53d50</t>
  </si>
  <si>
    <t>Lfg60--0397-0000035 Lfg60</t>
  </si>
  <si>
    <t>699d0d7b-ddd8-ab2f-9c5c-f2b85334e0d2</t>
  </si>
  <si>
    <t>Paypal *knuspr 51039521</t>
  </si>
  <si>
    <t>699eb7ee-4834-a37e-8d0d-6e9c2d930c83</t>
  </si>
  <si>
    <t>Dinero añadido desde MANUEL FELISATTI MURIANNI</t>
  </si>
  <si>
    <t>699bc142-c80f-a236-9c89-d8893691a2ca</t>
  </si>
  <si>
    <t>699e5a51-7837-aaa7-a467-99347f5c3433</t>
  </si>
  <si>
    <t>699e5a22-a45f-ac63-ae9b-64058987cce9</t>
  </si>
  <si>
    <t>699e3961-cca7-a088-bb78-7f2b57fb0c49</t>
  </si>
  <si>
    <t>699e2175-6820-ad91-96e9-8bc46dbf6cda</t>
  </si>
  <si>
    <t>699dc4fc-11bf-aa8c-94fc-8b4b187f6087</t>
  </si>
  <si>
    <t>699dc48a-d7ad-afd1-9845-276da7fcc4d2</t>
  </si>
  <si>
    <t>A NOMII GmbH</t>
  </si>
  <si>
    <t>Meta</t>
  </si>
  <si>
    <t>DE13100180000219767962</t>
  </si>
  <si>
    <t>FNOMDEB2XXX</t>
  </si>
  <si>
    <t>699c6ae4-62ce-ae76-94a1-6fd094b8f934</t>
  </si>
  <si>
    <t>Zapier.com/charge</t>
  </si>
  <si>
    <t>699da875-4827-a758-9380-50efc1c407f6</t>
  </si>
  <si>
    <t>699c6bce-6a09-a84f-8895-fcd28b0815f3</t>
  </si>
  <si>
    <t>Notare Sebastian Ruhwi</t>
  </si>
  <si>
    <t>699ccf48-e3b4-a9c8-b12c-2e71d0ddf285</t>
  </si>
  <si>
    <t>Fynk Gmbh</t>
  </si>
  <si>
    <t>699d3591-ddae-a3a5-8c4d-e0503562a4df</t>
  </si>
  <si>
    <t>ba1Rt1ngRoJmuqrcvmeTzmcSOe</t>
  </si>
  <si>
    <t>IE30CITI99005132956548</t>
  </si>
  <si>
    <t>STTOIE22</t>
  </si>
  <si>
    <t>699bc680-7dfd-a2ff-b8a1-a1cc6c8c4aa4</t>
  </si>
  <si>
    <t>699bbf2b-2ed0-a5ce-9af2-1ac181db66f5</t>
  </si>
  <si>
    <t>699cb9d6-495a-a172-993b-c1ee80d79c05</t>
  </si>
  <si>
    <t>Betrieb, Llc</t>
  </si>
  <si>
    <t>699cf5fa-e0fd-aec2-9e23-d730f36ae85d</t>
  </si>
  <si>
    <t>699cb419-3be1-aef5-a469-78016dd16ecf</t>
  </si>
  <si>
    <t>699cb393-5bd4-a726-a578-df10894a4d6b</t>
  </si>
  <si>
    <t>699c9d61-d246-ae3a-965a-69fe5fefd71d</t>
  </si>
  <si>
    <t>6999e00c-b297-a6d4-a8e2-efec55d69f2c</t>
  </si>
  <si>
    <t>Copa Checkin Eur -i-</t>
  </si>
  <si>
    <t>6999fbb3-79b5-a2d5-b3a4-e7073a5072ea</t>
  </si>
  <si>
    <t>69993c42-fee6-a487-943e-93039435cd3e</t>
  </si>
  <si>
    <t>Room Service Sheraton</t>
  </si>
  <si>
    <t>6999aa8d-79cb-a46f-80e9-4f1539b69726</t>
  </si>
  <si>
    <t>Linkedinprec *81509543</t>
  </si>
  <si>
    <t>69991740-9d13-a215-b269-d03595d18732</t>
  </si>
  <si>
    <t>Paypal *immoscout24</t>
  </si>
  <si>
    <t>6999ccca-24c9-a3bb-b893-eeeee210fb57</t>
  </si>
  <si>
    <t>Cav Costanera Center</t>
  </si>
  <si>
    <t>6999d52e-d565-af48-b1ba-d0ff9448c296</t>
  </si>
  <si>
    <t>Bimba Y Lola Costanera</t>
  </si>
  <si>
    <t>6999cf88-74d8-ae9d-b843-4165b1f1d656</t>
  </si>
  <si>
    <t>Ripley Costanera Cente</t>
  </si>
  <si>
    <t>6999fa8c-ff01-a6d1-94a6-e3bfb285c746</t>
  </si>
  <si>
    <t>69974600-9c6b-ad7c-b06f-b1c2b6264b32</t>
  </si>
  <si>
    <t>6998a909-0e74-a2f7-b843-baa94e8b517e</t>
  </si>
  <si>
    <t>Trello.com* Atlassian</t>
  </si>
  <si>
    <t>699848ce-e035-aa0f-8190-2ab64d9d383b</t>
  </si>
  <si>
    <t>Openai* Chatgpt Credit</t>
  </si>
  <si>
    <t>699865ad-6a98-ae90-8b5f-7c22232909f2</t>
  </si>
  <si>
    <t>Harvard Bus Hbr.org</t>
  </si>
  <si>
    <t>6998650d-ef1f-a370-af7f-4a04c8923f5b</t>
  </si>
  <si>
    <t>69988836-c4b1-a88b-b4e1-cbbde2efe251</t>
  </si>
  <si>
    <t>Www.dazn.com</t>
  </si>
  <si>
    <t>699861e4-a1ba-af8f-9752-1242b506a460</t>
  </si>
  <si>
    <t>Paypal *itunesappst Apple</t>
  </si>
  <si>
    <t>69983435-482b-a265-9269-b5d1c0bf1589</t>
  </si>
  <si>
    <t>Wetransfer</t>
  </si>
  <si>
    <t>69986961-d880-a3ce-a5ca-61e622088f6f</t>
  </si>
  <si>
    <t>Starbucks Aeropuerto J</t>
  </si>
  <si>
    <t>699921ca-80f7-a0f3-a901-cc6fc93930e4</t>
  </si>
  <si>
    <t>69987350-d81e-a2b3-8b24-51e577037796</t>
  </si>
  <si>
    <t>69978f00-d15f-a404-a01a-c5898238880d</t>
  </si>
  <si>
    <t>Zoho-zoho Corp</t>
  </si>
  <si>
    <t>Sebastian Ignacio Arellano Villaseca</t>
  </si>
  <si>
    <t>463383******6928</t>
  </si>
  <si>
    <t>tesoreria</t>
  </si>
  <si>
    <t>6996e1a7-1105-a99f-bc5f-4deaaeb15132</t>
  </si>
  <si>
    <t>Openai *chatgpt Subscr</t>
  </si>
  <si>
    <t>6997f011-b242-ad0b-8be0-a0ac9b1dfaaf</t>
  </si>
  <si>
    <t>Gc Re Aircall</t>
  </si>
  <si>
    <t>AIRCALL</t>
  </si>
  <si>
    <t>FR7617118820080000000837415</t>
  </si>
  <si>
    <t>69982ff4-3733-ae05-9095-147844ddb0fd</t>
  </si>
  <si>
    <t>A Monica Moreno Rojas</t>
  </si>
  <si>
    <t>00012026</t>
  </si>
  <si>
    <t>69982f88-f00d-a889-a6d7-f0b32825d001</t>
  </si>
  <si>
    <t>69982f5f-8b6d-a345-81b1-a1d96e9f5422</t>
  </si>
  <si>
    <t>69982f35-2645-a959-84b1-ad783f1970a8</t>
  </si>
  <si>
    <t>A Lingoda</t>
  </si>
  <si>
    <t>16298</t>
  </si>
  <si>
    <t>DE75100700240025108200</t>
  </si>
  <si>
    <t>DEUTDEDBXXX</t>
  </si>
  <si>
    <t>69982f10-4cb7-a258-8158-251685d52794</t>
  </si>
  <si>
    <t>16276</t>
  </si>
  <si>
    <t>69982df3-c051-a993-af1c-77cb6f3c7bb4</t>
  </si>
  <si>
    <t>A Finanzamt München</t>
  </si>
  <si>
    <t>LSt 01/2026 143/166/90328</t>
  </si>
  <si>
    <t>DE05700000000070001506</t>
  </si>
  <si>
    <t>MARKDEF1700</t>
  </si>
  <si>
    <t>69982d69-c935-a3a6-ba81-1746236885fa</t>
  </si>
  <si>
    <t>LSt 11/2025 143/166/90328</t>
  </si>
  <si>
    <t>69982c4b-9dee-a9c2-9265-c1cf03a8ee87</t>
  </si>
  <si>
    <t>A Techniker Krankenkasse</t>
  </si>
  <si>
    <t>6208143327 BNR: 72976886 B56200302J3 Beitraege 12/25</t>
  </si>
  <si>
    <t>DE59200505501280376854</t>
  </si>
  <si>
    <t>HASPDEHHXXX</t>
  </si>
  <si>
    <t>69982c34-ef4b-a9fc-855e-5b9715837138</t>
  </si>
  <si>
    <t>6208143327 BNR: 72976886 B56200302J3 Beitraege 11/25</t>
  </si>
  <si>
    <t>69982ab2-89a6-a5d8-900d-287d3e771da5</t>
  </si>
  <si>
    <t>Dinero añadido desde INVERSIONES GERMANIA SPA</t>
  </si>
  <si>
    <t>/RFB/INVERSIONES FONDOS MUTUOS</t>
  </si>
  <si>
    <t>69982812-1d06-ab2d-bb54-dd7829955b5c</t>
  </si>
  <si>
    <t>6997cea0-122c-affa-9e6c-57b995677a3e</t>
  </si>
  <si>
    <t>Grover De Gmbh</t>
  </si>
  <si>
    <t>69972ae0-8497-a912-8bc9-4da677a3bf4a</t>
  </si>
  <si>
    <t>69971c84-fa40-a7fe-abf0-f443e881ea3b</t>
  </si>
  <si>
    <t>69971bc4-fae5-ae00-8d06-348bac983a14</t>
  </si>
  <si>
    <t>69971bc3-0a38-a43b-ba85-b3ce5e8dd678</t>
  </si>
  <si>
    <t>69971b1a-29c0-a0e9-a055-910165cc400b</t>
  </si>
  <si>
    <t>6995b473-6544-a5d4-8c16-851c06493f33</t>
  </si>
  <si>
    <t>6996ff3e-bb2d-af69-bc81-a0fc66b86180</t>
  </si>
  <si>
    <t>69956c19-d03f-a04c-aa15-e6edd516e580</t>
  </si>
  <si>
    <t>Microsoft-g139438528</t>
  </si>
  <si>
    <t>6994f1f7-2310-a650-92eb-bfb68b76a22d</t>
  </si>
  <si>
    <t>6996f205-f9ff-ab64-913a-b5cb277219d0</t>
  </si>
  <si>
    <t>A Ankaadia GmbH</t>
  </si>
  <si>
    <t>Rechnungsnummer RE-2025-00000878</t>
  </si>
  <si>
    <t>DE32502109007050169973</t>
  </si>
  <si>
    <t>CITIDEFFXXX</t>
  </si>
  <si>
    <t>6994d5f0-9585-a87d-9e2f-46ba9ed2e886</t>
  </si>
  <si>
    <t>Western Union</t>
  </si>
  <si>
    <t>69966dec-bd3b-a1c8-9773-1832e4f86025</t>
  </si>
  <si>
    <t>699613f5-9127-ac8d-9f84-a47b47d82606</t>
  </si>
  <si>
    <t>699610c4-d259-a4d9-998f-fc61335cf27f</t>
  </si>
  <si>
    <t>Rechnung Nr. 10_2026</t>
  </si>
  <si>
    <t>69946e75-18d7-a553-bd8e-d7deb4c8bdc8</t>
  </si>
  <si>
    <t>699550f1-21c7-a945-bce7-767e2700b005</t>
  </si>
  <si>
    <t>Sp Im8 Health</t>
  </si>
  <si>
    <t>69940926-fd3b-aba9-9345-da00ffe79343</t>
  </si>
  <si>
    <t>Canva* 04795-16802542</t>
  </si>
  <si>
    <t>6994bc0f-32b5-a88f-88c5-a4561660876f</t>
  </si>
  <si>
    <t>T-mobile Hotspot Gmbh</t>
  </si>
  <si>
    <t>6995b416-b3fb-ad89-9ca7-fb393f8b6912</t>
  </si>
  <si>
    <t>6995b400-5847-a0fa-9cef-35eede8f001c</t>
  </si>
  <si>
    <t>69941770-33ac-a3c1-9f5a-e012c62efdd2</t>
  </si>
  <si>
    <t>Total Service Station</t>
  </si>
  <si>
    <t>69951d62-1e84-a0c4-9d6f-b607ce93be90</t>
  </si>
  <si>
    <t>Microsoft-g141750341</t>
  </si>
  <si>
    <t>699446dc-0222-a6f7-8ce4-487dee12cbbb</t>
  </si>
  <si>
    <t>Meyer Feinkost Gmbh</t>
  </si>
  <si>
    <t>6994398b-6230-abb6-aa68-ba64fc2d6482</t>
  </si>
  <si>
    <t>6994b402-098f-a540-a388-1d3825179e03</t>
  </si>
  <si>
    <t>69942d57-e8a4-ab73-9d86-fc3e529a3d07</t>
  </si>
  <si>
    <t>Lagardère Fil. 273</t>
  </si>
  <si>
    <t>69943dbb-c95f-a5bc-91fe-989d4afc5c41</t>
  </si>
  <si>
    <t>Lagardère Fil. 263</t>
  </si>
  <si>
    <t>69953703-4d18-a415-ba00-a7ec718294dd</t>
  </si>
  <si>
    <t>69952730-cef6-ab09-bd37-35ac848aed1d</t>
  </si>
  <si>
    <t>6994d456-a41c-a9f5-bf47-ee67a86582ce</t>
  </si>
  <si>
    <t>6994c553-5980-acf8-bb52-8d4c5966c045</t>
  </si>
  <si>
    <t>69931c77-0343-a81c-a8ce-2566f4f00659</t>
  </si>
  <si>
    <t>69940475-3202-aee2-8fe5-44d57b93afc2</t>
  </si>
  <si>
    <t>A.saily</t>
  </si>
  <si>
    <t>69932116-4477-a636-8ed6-a7db7ae4b2b2</t>
  </si>
  <si>
    <t>6992ceec-b96b-a54c-ad64-905398ac57e7</t>
  </si>
  <si>
    <t>Istock.com</t>
  </si>
  <si>
    <t>69935b80-65dc-a9a0-80e1-381365e86094</t>
  </si>
  <si>
    <t>Upwork -893350727ref</t>
  </si>
  <si>
    <t>69932309-5a40-ab29-af1b-ed10ed93aa47</t>
  </si>
  <si>
    <t>Miro.com</t>
  </si>
  <si>
    <t>69945c37-7b50-ab6c-a924-bc45715b7ff2</t>
  </si>
  <si>
    <t>6993fc51-0486-a52c-8646-15f5c00c66a1</t>
  </si>
  <si>
    <t>6994552a-a8a7-ac20-8241-dbf29b72cf6d</t>
  </si>
  <si>
    <t>A Israeel Lo</t>
  </si>
  <si>
    <t>31.01</t>
  </si>
  <si>
    <t>6994518b-4a1d-a3e6-93c0-66d3c89012b5</t>
  </si>
  <si>
    <t>699443c1-4e3c-a8f3-96be-7ab2e3e2aa7a</t>
  </si>
  <si>
    <t>A Telefonica Germany GmbH &amp; Co. OHG</t>
  </si>
  <si>
    <t>6107174302</t>
  </si>
  <si>
    <t>DE16700202700005713153</t>
  </si>
  <si>
    <t>HYVEDEMMXXX</t>
  </si>
  <si>
    <t>699396a9-e806-ade0-b265-cc91214521b6</t>
  </si>
  <si>
    <t>Adobe  *adobe</t>
  </si>
  <si>
    <t>69931269-50d9-a5c0-b682-a89a34874f84</t>
  </si>
  <si>
    <t>Spotify</t>
  </si>
  <si>
    <t>699431a6-d5c3-aed7-9bc5-8b728b60b69a</t>
  </si>
  <si>
    <t>6993ef88-684f-a196-bfee-b3d4bccbddb4</t>
  </si>
  <si>
    <t>69939043-2bd2-a280-8aa7-0205272e137d</t>
  </si>
  <si>
    <t>69938d1f-bbe6-ad70-9434-1a46e9b0b718</t>
  </si>
  <si>
    <t>69932952-04bb-a4f4-a6bb-097d8d1c2242</t>
  </si>
  <si>
    <t>69932571-0bf6-a285-b4b1-c1564ad66dca</t>
  </si>
  <si>
    <t>69923c3b-81e2-adba-9438-4cb67da2497c</t>
  </si>
  <si>
    <t>Anthropic: Claude Team</t>
  </si>
  <si>
    <t>6991bb7e-8370-a288-89c9-c649b68824d3</t>
  </si>
  <si>
    <t>Docusign Inc.</t>
  </si>
  <si>
    <t>69931867-add8-abc3-bbf2-513f41209b66</t>
  </si>
  <si>
    <t>6990870f-9c79-a950-a3f2-2fbf6ea833ce</t>
  </si>
  <si>
    <t>Oberpollinger 005017</t>
  </si>
  <si>
    <t>69908a86-21a4-adeb-8386-13bdd3fd2245</t>
  </si>
  <si>
    <t>Oberpollinger Reserve</t>
  </si>
  <si>
    <t>6992b5cc-9dcf-a58e-9332-d1d38916f962</t>
  </si>
  <si>
    <t>A YouLend Limited</t>
  </si>
  <si>
    <t>60369086</t>
  </si>
  <si>
    <t>DK6089000000021275</t>
  </si>
  <si>
    <t>SXPYDKKKXXX</t>
  </si>
  <si>
    <t>6992af31-ea5d-a9f9-979f-a38c905573a5</t>
  </si>
  <si>
    <t>6992ae79-5711-ad54-b712-d159849b6a1e</t>
  </si>
  <si>
    <t>6992a9c9-68c6-ae32-8d4b-aad271258d52</t>
  </si>
  <si>
    <t>6992796f-8295-a2b3-a6a0-be12314fd77c</t>
  </si>
  <si>
    <t>interne Umbuchung</t>
  </si>
  <si>
    <t>6991bb79-ef1f-afe9-b3d2-10e4879d00ce</t>
  </si>
  <si>
    <t>6991ba9f-e023-afe9-a656-a18cfe35fad1</t>
  </si>
  <si>
    <t>6991289c-1951-a48c-b431-fd4e51344e8f</t>
  </si>
  <si>
    <t>Paddle.net* N8n Cloud1</t>
  </si>
  <si>
    <t>6990fe22-61b6-a1e0-8d12-d83965b2fb88</t>
  </si>
  <si>
    <t>Adobe Systems Software Ir</t>
  </si>
  <si>
    <t>Edward Ignacio Marinao Chacon</t>
  </si>
  <si>
    <t>463383******2050</t>
  </si>
  <si>
    <t>69909e27-3a1b-aa62-9ca8-3dcf8f4b53ab</t>
  </si>
  <si>
    <t>Apple Store R045</t>
  </si>
  <si>
    <t>69909a2c-71c7-acbc-8c4c-8c24769fd540</t>
  </si>
  <si>
    <t>Manufactum Muenchen</t>
  </si>
  <si>
    <t>6990960f-4ba8-a527-90a0-21d2b0a87ee4</t>
  </si>
  <si>
    <t>Fcbag- Fc Bayern World</t>
  </si>
  <si>
    <t>6990f383-07d1-aa29-824a-283ded714e6c</t>
  </si>
  <si>
    <t>6990f350-6fa5-a573-b466-9adfa6facef1</t>
  </si>
  <si>
    <t>6990a093-586d-a177-8284-7f66d20b9c3b</t>
  </si>
  <si>
    <t>69907cec-b5ea-aa80-ab05-5897e54ad27d</t>
  </si>
  <si>
    <t>69907b63-148b-adab-8df6-e5cf4a1da1d9</t>
  </si>
  <si>
    <t>698fe348-e06b-a965-abbc-7d15b2f33e8d</t>
  </si>
  <si>
    <t>698ef9ef-edd3-ada1-b95a-8c32edf67df8</t>
  </si>
  <si>
    <t>Gosemanns Lotto &amp; Taba</t>
  </si>
  <si>
    <t>698fb02f-445c-afb8-977b-14d83e0e9c61</t>
  </si>
  <si>
    <t>698f8fe0-610f-a9cd-8a2e-47adbd1cf9a5</t>
  </si>
  <si>
    <t>698f335e-e0a7-a49a-a0b0-6835f16b2f06</t>
  </si>
  <si>
    <t>A Meta Platforms Ireland Limited</t>
  </si>
  <si>
    <t>Rechnung Nr: 250054318</t>
  </si>
  <si>
    <t>IE93BOFA99006154878017</t>
  </si>
  <si>
    <t>BOFAIE3XXXX</t>
  </si>
  <si>
    <t>698f32f9-2158-a5f6-ac8f-b29d5cd1ef3f</t>
  </si>
  <si>
    <t>698f2cd2-7017-a573-9597-ba4a6ab36869</t>
  </si>
  <si>
    <t>698f2cbc-6c89-a42a-91d4-42e0b3745497</t>
  </si>
  <si>
    <t>698f2ca3-08a4-a5ef-97d9-88f26b1a8f61</t>
  </si>
  <si>
    <t>698f098b-587a-a644-b8af-e86e75a7a118</t>
  </si>
  <si>
    <t>698e8ec2-44ac-ae8f-9d1b-1fd563b80eae</t>
  </si>
  <si>
    <t>Microsoft-g141009565</t>
  </si>
  <si>
    <t>698b27f8-bf04-accf-8b74-68e3d692af7c</t>
  </si>
  <si>
    <t>698db5ec-28ec-abeb-a40d-38723dd01d74</t>
  </si>
  <si>
    <t>Sumup  *divine Medica</t>
  </si>
  <si>
    <t>698e2157-9979-a891-a4a6-7ad4d172700c</t>
  </si>
  <si>
    <t>Wolt</t>
  </si>
  <si>
    <t>698af921-0009-a3eb-a66a-b353cf585616</t>
  </si>
  <si>
    <t>Paypal *sprout Socl</t>
  </si>
  <si>
    <t>698dcb78-b833-a22d-a06e-373078efa30d</t>
  </si>
  <si>
    <t>698b0099-afb3-a6f4-9878-a0268fd819d2</t>
  </si>
  <si>
    <t>Kadewe 002226</t>
  </si>
  <si>
    <t>698b025e-22f7-aba5-b34a-cd4d11811a5b</t>
  </si>
  <si>
    <t>Kadewe 002215</t>
  </si>
  <si>
    <t>698d3fa3-b7ba-af50-9602-82ee1321f4b8</t>
  </si>
  <si>
    <t>Microsoft-g140815044</t>
  </si>
  <si>
    <t>698acba5-6953-a02c-a6c2-e812f15dee33</t>
  </si>
  <si>
    <t>Lufthansa   2202240981332</t>
  </si>
  <si>
    <t>698b51a7-47e1-a7f5-9546-e484bf7bcad8</t>
  </si>
  <si>
    <t>CARD_REFUND</t>
  </si>
  <si>
    <t>Reembolso de Amazon* Cw2x69cr5</t>
  </si>
  <si>
    <t>698323a6-85dc-ac89-9fb2-d3490c066c2a</t>
  </si>
  <si>
    <t>698a12b2-9ab5-a7bf-8022-3c930f18c1fa</t>
  </si>
  <si>
    <t>698cf4dd-771a-ad1c-8a72-c34780c44b9f</t>
  </si>
  <si>
    <t>698af27f-7ac9-aebc-8f3b-8eb4f92d28dd</t>
  </si>
  <si>
    <t>Lfg60--0387-0000030 Lfg60</t>
  </si>
  <si>
    <t>698b3dba-6f79-aa88-8680-132ef325b94f</t>
  </si>
  <si>
    <t>Ubr* Pending.uber.com</t>
  </si>
  <si>
    <t>698b02fe-214d-ac26-840c-5b3b0af75e02</t>
  </si>
  <si>
    <t>698af9a1-cb00-ac8f-ac30-f3a764abb001</t>
  </si>
  <si>
    <t>698b08bc-74a2-ab8f-9986-8bc197d9fc03</t>
  </si>
  <si>
    <t>698a3a07-c1ab-a00f-87c2-7b8cb9c33cdf</t>
  </si>
  <si>
    <t>698ac476-bfec-adbc-861c-90b0050b78b1</t>
  </si>
  <si>
    <t>698a902b-f490-a6eb-8a8a-2c92bf877a64</t>
  </si>
  <si>
    <t>Microsoft-g140556526</t>
  </si>
  <si>
    <t>69872c1b-e23f-ae80-bae5-1271b1b513e3</t>
  </si>
  <si>
    <t>Mytheresa</t>
  </si>
  <si>
    <t>698a20c8-4ba9-aa2c-af67-e0584aa3aacc</t>
  </si>
  <si>
    <t>Upwork -891218087ref</t>
  </si>
  <si>
    <t>698af958-caee-affe-a890-c389b25b1bbb</t>
  </si>
  <si>
    <t>Dinero añadido desde NICOLAS BENJAMIN ORBENES FIGUEROA UND DOMINIQUE SITZLER</t>
  </si>
  <si>
    <t>Darlehen für 48 Stunden</t>
  </si>
  <si>
    <t>698a0b39-1c42-a271-bca7-9c8bdd27daf1</t>
  </si>
  <si>
    <t>Ug Dr. Eckert Gmbh</t>
  </si>
  <si>
    <t>698a665e-cdbc-ad87-ac15-8c859a27d1ec</t>
  </si>
  <si>
    <t>698a713c-99fd-a553-9247-29133e244fe3</t>
  </si>
  <si>
    <t>698a6a01-1d9e-a70d-80c5-748a084a24c2</t>
  </si>
  <si>
    <t>6989c681-5068-a441-939c-50a9e870bff1</t>
  </si>
  <si>
    <t>698abb48-2f6a-aef9-8a68-12b825672874</t>
  </si>
  <si>
    <t>698abb47-af6f-ae04-ab4e-253e619b53c6</t>
  </si>
  <si>
    <t>698abaa1-4023-a016-a577-86239b1be0da</t>
  </si>
  <si>
    <t>6989bd88-bf58-ad49-8be7-c58d090cfcc0</t>
  </si>
  <si>
    <t>6989aae4-bda4-a2a2-87e6-83d373726ef6</t>
  </si>
  <si>
    <t>6989e1c5-f03e-a37b-9cba-9871552b4193</t>
  </si>
  <si>
    <t>6988cdd2-439a-aee2-8ad9-fb102c2c6724</t>
  </si>
  <si>
    <t>Assistenza* Asswp-5259</t>
  </si>
  <si>
    <t>698972cd-d075-a940-9935-ce3ffbde254e</t>
  </si>
  <si>
    <t>sevDesk GmbH</t>
  </si>
  <si>
    <t>TXID 1454115600 Rechnung 92026-51971 zu Vertrag NHWC-LSCF Buchhalt</t>
  </si>
  <si>
    <t>DE14664900000009221026</t>
  </si>
  <si>
    <t>GENODE61OG1</t>
  </si>
  <si>
    <t>6989d2c0-fd01-a79e-aaf4-ca1decf0ca54</t>
  </si>
  <si>
    <t>69898dde-2589-a72a-a500-52a3aea7808f</t>
  </si>
  <si>
    <t>6988c0d9-cc07-ad0b-9b7b-1acdfa46c3f0</t>
  </si>
  <si>
    <t>6988c484-953e-a60d-a1bd-f2322f9eb21c</t>
  </si>
  <si>
    <t>69886f5f-2917-ae30-b7af-1d51e5b72e45</t>
  </si>
  <si>
    <t>Supermetrics.com</t>
  </si>
  <si>
    <t>69884014-fa4c-a3bc-99e9-69352c5a0fbe</t>
  </si>
  <si>
    <t>Getmyinvoices</t>
  </si>
  <si>
    <t>6989a895-f99a-a477-b688-f24b7327bf5c</t>
  </si>
  <si>
    <t>A Michael Schwark</t>
  </si>
  <si>
    <t>58</t>
  </si>
  <si>
    <t>CREDCLRMXXX</t>
  </si>
  <si>
    <t>6989a833-cc7d-aaca-a9f4-02ce2df5cf63</t>
  </si>
  <si>
    <t>6989a80e-7f16-aa3d-8652-e56bc2cdac00</t>
  </si>
  <si>
    <t>EXCHANGE</t>
  </si>
  <si>
    <t>NOMII USD · USD → NOMII GmbH - Salida e Ingreso · EUR</t>
  </si>
  <si>
    <t>USD NOMII USD</t>
  </si>
  <si>
    <t>69889128-0af1-af1b-b9a4-a0923d6ffb11</t>
  </si>
  <si>
    <t>Ja Niko Ja</t>
  </si>
  <si>
    <t>698980be-c4b2-ac3f-a5dd-985f708533bd</t>
  </si>
  <si>
    <t>Dinero añadido desde STRIPE TECHNOLOGY EUROPE LTD</t>
  </si>
  <si>
    <t>STRIPE M2I0Q3</t>
  </si>
  <si>
    <t>6988fc37-d09c-a2b8-972e-4c9031fa9898</t>
  </si>
  <si>
    <t>6988b657-856e-aae4-84fd-b7af90af5019</t>
  </si>
  <si>
    <t>69886ec0-772c-a99d-b1d2-86cf8faed554</t>
  </si>
  <si>
    <t>6988f9f5-7839-a35f-8204-d5c85563c314</t>
  </si>
  <si>
    <t>6988e5e9-6d19-aefa-8dae-95ff27d3111d</t>
  </si>
  <si>
    <t>6987be6c-fb77-a134-b185-c0e406dd70e1</t>
  </si>
  <si>
    <t>69871153-4a99-abfe-9f7e-f5b5b5333e59</t>
  </si>
  <si>
    <t>Slack T09dypvp4na</t>
  </si>
  <si>
    <t>69883961-06ca-ab04-b740-896b98510ef8</t>
  </si>
  <si>
    <t>6987bc61-ccae-acf1-87c1-1c183ebbce29</t>
  </si>
  <si>
    <t>69879181-9ea7-a228-bc3c-8e5124e31ff1</t>
  </si>
  <si>
    <t>6985fa84-a60e-a0c1-9117-31d7d5d8599f</t>
  </si>
  <si>
    <t>698685d1-2d80-af88-ae6f-cfc41192ba47</t>
  </si>
  <si>
    <t>Msft * E0300yvoo4</t>
  </si>
  <si>
    <t>6985d335-11aa-abad-bb09-28fe806ff99a</t>
  </si>
  <si>
    <t>69872a0e-3070-a3be-b4df-2f6b21c71e92</t>
  </si>
  <si>
    <t>Dinero añadido desde NIUM * NICOLAS BENJAMIN ORBENES FIGUEROA</t>
  </si>
  <si>
    <t>Servicios digitales</t>
  </si>
  <si>
    <t>6985f6ae-bd25-ac8e-a7d5-97e0273a91bd</t>
  </si>
  <si>
    <t>Google *ads7214916533</t>
  </si>
  <si>
    <t>6985eddb-a3ab-a542-9139-b02470bdd917</t>
  </si>
  <si>
    <t>Typeform, S.l.</t>
  </si>
  <si>
    <t>6987015b-6295-a3f5-b2af-ed50a53d9ce6</t>
  </si>
  <si>
    <t>6985de4e-3197-a7ba-a313-c98e4a188b1e</t>
  </si>
  <si>
    <t>Linkedin Pre P756898023</t>
  </si>
  <si>
    <t>6986eb50-fdbb-a6de-9adc-ad67bd3da0a4</t>
  </si>
  <si>
    <t>6986de1b-635f-ac98-896b-73e334569367</t>
  </si>
  <si>
    <t>6986de03-70f3-ad6f-818d-b60b4b93189c</t>
  </si>
  <si>
    <t>A Drina Bascon</t>
  </si>
  <si>
    <t>Enero final</t>
  </si>
  <si>
    <t>DE13500105175409773963</t>
  </si>
  <si>
    <t>INGDDEFFXXX</t>
  </si>
  <si>
    <t>6986d42b-c44e-aa62-b583-f9f519ecd874</t>
  </si>
  <si>
    <t>69851fea-fc1b-a59b-8e6e-0f656c70d5a5</t>
  </si>
  <si>
    <t>Manychat.com</t>
  </si>
  <si>
    <t>698474a5-d602-a14c-b0ca-b1d2fc53a8a1</t>
  </si>
  <si>
    <t>Firecrawl.dev</t>
  </si>
  <si>
    <t>6985fa52-3621-a18c-aa00-4c3ed5c700b5</t>
  </si>
  <si>
    <t>6985fa2f-ef38-a368-a24b-bedd5bf7ff7f</t>
  </si>
  <si>
    <t>69847a71-1e2e-ad8c-952f-35bfdec279df</t>
  </si>
  <si>
    <t>69846112-e4da-a24f-8d01-c1fed3f00b23</t>
  </si>
  <si>
    <t>Microsoft-g138477261</t>
  </si>
  <si>
    <t>698599ff-e2ad-a60f-a2b8-ca2b9bbb5355</t>
  </si>
  <si>
    <t>A Main</t>
  </si>
  <si>
    <t>De NOMII GmbH - Salida e Ingreso</t>
  </si>
  <si>
    <t>698599fe-77c9-a751-9aa2-a1fc6bba1f9f</t>
  </si>
  <si>
    <t>FEE</t>
  </si>
  <si>
    <t>Comisión de Revolut Business</t>
  </si>
  <si>
    <t>Comisión del plan Scale</t>
  </si>
  <si>
    <t>698595df-12f3-a94b-accd-515d2aa4a130</t>
  </si>
  <si>
    <t>698595df-2085-a01f-bce8-1eddd10e8f6e</t>
  </si>
  <si>
    <t>Cargos de la app de Gastos</t>
  </si>
  <si>
    <t>6985915e-35b1-a955-9016-3cc6cc432ca9</t>
  </si>
  <si>
    <t>Enero 3</t>
  </si>
  <si>
    <t>69859128-0430-a8dc-ae87-a8974d712612</t>
  </si>
  <si>
    <t>698590c1-1e9b-a8ca-8141-c6aa8f4b7f9c</t>
  </si>
  <si>
    <t>16232</t>
  </si>
  <si>
    <t>69858e9f-ba1c-a63c-a8da-1a5b07669e56</t>
  </si>
  <si>
    <t>69850481-053b-a507-9395-4c52f65706b5</t>
  </si>
  <si>
    <t>6984f6e6-9ad2-a7c2-9e2b-8fd89f5e4d80</t>
  </si>
  <si>
    <t>16170</t>
  </si>
  <si>
    <t>6984f66c-1eea-a421-af38-4ae8721261cc</t>
  </si>
  <si>
    <t>6984af8c-9c11-a67f-9b14-a7438b4e632e</t>
  </si>
  <si>
    <t>69845736-68d8-a763-942d-76e63a186fc0</t>
  </si>
  <si>
    <t>Browse.ai Plan</t>
  </si>
  <si>
    <t>6983b62a-757f-a147-83ef-f455d525dbb7</t>
  </si>
  <si>
    <t>69821d9a-986f-ad7b-91ad-687a4f966e44</t>
  </si>
  <si>
    <t>698473ee-c544-ad18-89f4-64290e2c5a36</t>
  </si>
  <si>
    <t>69833661-6606-a559-9640-f0cded179751</t>
  </si>
  <si>
    <t>698335f0-bc3b-aa8e-b56b-22b46d3ef8ff</t>
  </si>
  <si>
    <t>Amazon* Cw2x69cr5</t>
  </si>
  <si>
    <t>69845763-d804-a43e-881c-533cb1dda744</t>
  </si>
  <si>
    <t>69843d7a-cbc1-add6-8d1b-f725d6541df1</t>
  </si>
  <si>
    <t>STRIPE O8Y3U0</t>
  </si>
  <si>
    <t>69841f09-7455-a107-9998-e66b9fcb4dd0</t>
  </si>
  <si>
    <t>69842161-3058-ae07-8f3e-741eff12dd8f</t>
  </si>
  <si>
    <t>Enero 2</t>
  </si>
  <si>
    <t>69841ee7-2e0b-ad6d-9529-283f76779c2b</t>
  </si>
  <si>
    <t>69837cb7-1c93-a1ba-a370-7542eb0b6ab2</t>
  </si>
  <si>
    <t>69837c92-ac25-a8ca-b370-2c78c8e86114</t>
  </si>
  <si>
    <t>6981e733-d071-a53c-b859-9926a70714b6</t>
  </si>
  <si>
    <t>Emailbison.com</t>
  </si>
  <si>
    <t>69822426-46bc-affa-980b-c0bf08d416b5</t>
  </si>
  <si>
    <t>6982f233-a8a9-a823-9a6d-fca009bffcf8</t>
  </si>
  <si>
    <t>6983681f-1d86-af55-a7fb-203291c2f03a</t>
  </si>
  <si>
    <t>A Wag The Dog</t>
  </si>
  <si>
    <t>03022025</t>
  </si>
  <si>
    <t>DE97743696620000065951</t>
  </si>
  <si>
    <t>GENODEF1EBV</t>
  </si>
  <si>
    <t>69821263-0c38-a7dc-857f-e3bdf74090a7</t>
  </si>
  <si>
    <t>Lunatro</t>
  </si>
  <si>
    <t>69834832-e511-af0d-8b54-bad3d366e153</t>
  </si>
  <si>
    <t>6983477d-9b8a-a86c-b76a-d225fa8f2201</t>
  </si>
  <si>
    <t>A Martin Alarcon</t>
  </si>
  <si>
    <t>Pago enero</t>
  </si>
  <si>
    <t>DE52200700240802472105</t>
  </si>
  <si>
    <t>DEUTDEDBHAM</t>
  </si>
  <si>
    <t>69834676-e2d5-aa1d-be89-5fc355118e4f</t>
  </si>
  <si>
    <t>6981ef1b-04e3-a978-8535-a54f7b717c2c</t>
  </si>
  <si>
    <t>Reembolso de Paypal *itunesappst Apple</t>
  </si>
  <si>
    <t>697d1900-685e-a878-96d9-55eb16f09b02</t>
  </si>
  <si>
    <t>6981aed0-16b4-a8f3-b123-d20fc8b7b312</t>
  </si>
  <si>
    <t>6981ef2a-9d5f-a40a-b40d-9364c30baa3e</t>
  </si>
  <si>
    <t>6981edcf-a33a-a851-92ae-7b6edaf0cd6c</t>
  </si>
  <si>
    <t>6982dbbc-5069-ac7f-9248-0caa5b4c8585</t>
  </si>
  <si>
    <t>6982daf7-e6d6-a08c-89ec-030cd99006b4</t>
  </si>
  <si>
    <t>6982dae4-ea85-a29d-bfde-6570411cb22e</t>
  </si>
  <si>
    <t>6982d92a-c880-a865-82c5-83364d378e48</t>
  </si>
  <si>
    <t>6980b4a8-43ea-ab09-8d9f-92d729c18cda</t>
  </si>
  <si>
    <t>69820292-ce4a-a319-ad61-09f0f635a8e3</t>
  </si>
  <si>
    <t>698189d4-85fa-a500-8d49-63ca5a82e540</t>
  </si>
  <si>
    <t>6981e307-dcbd-a7f2-978d-9276beaa621a</t>
  </si>
  <si>
    <t>69808397-143b-add8-8f13-602938070e15</t>
  </si>
  <si>
    <t>697ffefd-77f6-a6ab-8fdc-1cbaf1d34d46</t>
  </si>
  <si>
    <t>69819906-19a6-a210-95b2-14748d3a0f82</t>
  </si>
  <si>
    <t>Enero 2/3</t>
  </si>
  <si>
    <t>DE14100110012309964837</t>
  </si>
  <si>
    <t>69819761-05b7-a55f-ad53-98932a636269</t>
  </si>
  <si>
    <t>6980f0a6-769e-ae7e-9984-dd8fad50c7c0</t>
  </si>
  <si>
    <t>6980ebf9-7ba2-a7d5-9baa-3f12a70448e9</t>
  </si>
  <si>
    <t>6980e5dd-a200-abb1-8f2c-08704b0e0312</t>
  </si>
  <si>
    <t>Enero 1/3</t>
  </si>
  <si>
    <t>6980e5b9-ecd0-ab8f-8e5f-da44efe03bd8</t>
  </si>
  <si>
    <t>697f1fe5-5369-ae9a-8def-2484241a8288</t>
  </si>
  <si>
    <t>Facebk *gxxsedrjy2</t>
  </si>
  <si>
    <t>6980cbdf-1bb0-adf8-a873-003d9a4d40c2</t>
  </si>
  <si>
    <t>6980bf4d-50b1-a2fd-b129-6fe3f0d638bf</t>
  </si>
  <si>
    <t>6980b384-2e05-a5fb-a984-b2d89293054c</t>
  </si>
  <si>
    <t>697fa18e-9a96-a572-a4a0-98c940dd3425</t>
  </si>
  <si>
    <t>69803629-2eda-a341-b3ca-c98c14a028f9</t>
  </si>
  <si>
    <t>698035f8-0d5e-a859-9637-151fbe420b1a</t>
  </si>
  <si>
    <t>72976886 - freiwilige Kranken und pflegeverischerungs</t>
  </si>
  <si>
    <t>DE69600501010002330888</t>
  </si>
  <si>
    <t>SOLADEST600</t>
  </si>
  <si>
    <t>698034ff-78ca-aaee-b3d0-ba96ec5b9e6e</t>
  </si>
  <si>
    <t>698034b9-3752-a675-a810-82195c1fe676</t>
  </si>
  <si>
    <t>1/3 enero</t>
  </si>
  <si>
    <t>DE58370190001011277800</t>
  </si>
  <si>
    <t>BUNQDE82XXX</t>
  </si>
  <si>
    <t>698033dc-78a4-afac-bd94-f20f9fe4aa67</t>
  </si>
  <si>
    <t>Krankenversicherung</t>
  </si>
  <si>
    <t>697f86e7-8e48-adac-9ff3-6669a6825358</t>
  </si>
  <si>
    <t>697f7d09-164f-a75d-b44f-eae71f45e9f8</t>
  </si>
  <si>
    <t>697f0286-b530-a58f-8fbd-68733e9bcd8a</t>
  </si>
  <si>
    <t>697f01f4-fa89-ad00-9e09-26d2e2d58f0f</t>
  </si>
  <si>
    <t>A Mindspace</t>
  </si>
  <si>
    <t>202600613</t>
  </si>
  <si>
    <t>DE57550104000595963377</t>
  </si>
  <si>
    <t>AARBDE5WDOM</t>
  </si>
  <si>
    <t>697f0164-89f5-af14-822d-04d740360e99</t>
  </si>
  <si>
    <t>697644a3-2e0c-a639-9025-2c696db8c7cd</t>
  </si>
  <si>
    <t>6976445d-2e1c-a32d-a4d0-ffe5c44dd8e8</t>
  </si>
  <si>
    <t>696e5059-566d-a85d-ac61-518a18733205</t>
  </si>
  <si>
    <t>696e5036-b507-abc6-a5f1-83f86c305458</t>
  </si>
  <si>
    <t>6967bdaf-884c-ab0a-9627-f28f6d90dd9e</t>
  </si>
  <si>
    <t>6967bd70-7ba4-a8b5-9534-0a96f5516fa9</t>
  </si>
  <si>
    <t>69613da8-8ffc-aa37-afbc-b55200e495f8</t>
  </si>
  <si>
    <t>69613d6b-75d0-a56d-909a-1dec0e28785f</t>
  </si>
  <si>
    <t>Pago Ricardo Miño</t>
  </si>
  <si>
    <t>695f6466-a638-abbc-8af0-e8b33a8f56ef</t>
  </si>
  <si>
    <t>695e07a0-82ec-a505-a83c-b25ecec06138</t>
  </si>
  <si>
    <t>695e06ce-c646-acea-8ac0-0d35e343753d</t>
  </si>
  <si>
    <t>695d2328-f01e-ab2a-8098-ad4c0f427f35</t>
  </si>
  <si>
    <t>695d117a-4d10-a2e6-b0a4-60d9e130ed85</t>
  </si>
  <si>
    <t>695cb761-070e-ae5f-bc98-4e77df898247</t>
  </si>
  <si>
    <t>695cb761-d405-a9eb-b401-7e66078daa4c</t>
  </si>
  <si>
    <t>695cb746-ddad-a044-ac49-992118770216</t>
  </si>
  <si>
    <t>695cb746-f55e-a91b-b263-7910522b117c</t>
  </si>
  <si>
    <t>697c95c3-5c0b-a715-a374-0a42a0e53b62</t>
  </si>
  <si>
    <t>697e22b1-01b0-a594-b3c8-a5817bf6c63c</t>
  </si>
  <si>
    <t>697e1d89-744d-ab99-b5ce-2fce367f2570</t>
  </si>
  <si>
    <t>697e128d-9ae5-a658-a02d-6879309dfa8b</t>
  </si>
  <si>
    <t>697c8694-d191-a40f-9dbf-05be194412ff</t>
  </si>
  <si>
    <t>Vielen Dank, Knuspr.de</t>
  </si>
  <si>
    <t>697d34b9-31c1-a31b-97e9-8492554dc88b</t>
  </si>
  <si>
    <t>697dad51-9423-a839-b8a1-48981345f0e3</t>
  </si>
  <si>
    <t>Urlaub</t>
  </si>
  <si>
    <t>697da3f8-ddb5-ad18-8d7e-cb88ed9ffdb1</t>
  </si>
  <si>
    <t>27</t>
  </si>
  <si>
    <t>697da37d-5064-acf8-ae52-bf9f9d03ce2e</t>
  </si>
  <si>
    <t>A Tomas Rodriguez</t>
  </si>
  <si>
    <t>Sueldo enero</t>
  </si>
  <si>
    <t>697d9b92-3a4a-a418-87ab-baf8f30173f7</t>
  </si>
  <si>
    <t>697d18b5-ee76-a7b3-8599-8f7d5da71b98</t>
  </si>
  <si>
    <t>697c8c89-625b-afe5-94c8-04dcfabc5056</t>
  </si>
  <si>
    <t>Noble Optic House</t>
  </si>
  <si>
    <t>697baa82-376c-a181-825b-6e37bcf4b379</t>
  </si>
  <si>
    <t>697b945a-d434-abb8-b030-b2f264784dfd</t>
  </si>
  <si>
    <t>Paypal *zoomcomm</t>
  </si>
  <si>
    <t>69793740-d837-a271-83d3-e80b55f811d1</t>
  </si>
  <si>
    <t>Paypal ** Masterclass, Ih</t>
  </si>
  <si>
    <t>697ca821-5287-a9dc-b3ee-acc6529d0b1e</t>
  </si>
  <si>
    <t>697b2bfe-7c74-a07b-bd91-1bd3ea44d615</t>
  </si>
  <si>
    <t>Db Fernverkehr Ag</t>
  </si>
  <si>
    <t>697b796a-e7a5-a66d-8e03-3a8a142aa701</t>
  </si>
  <si>
    <t>697b5a99-aa3c-a92d-80cd-82f65df6bd5d</t>
  </si>
  <si>
    <t>697b7c61-38b4-aa02-ab97-e6bf1f87d1a1</t>
  </si>
  <si>
    <t>Subway 34045-1 Querbah</t>
  </si>
  <si>
    <t>697a81cf-c7b8-a899-8eca-17152638e991</t>
  </si>
  <si>
    <t>Agip Service-station</t>
  </si>
  <si>
    <t>697bd378-ccae-a065-92a0-65d3326f8866</t>
  </si>
  <si>
    <t>North Data* Xpdk-pgbz</t>
  </si>
  <si>
    <t>697b7b51-a898-ad4c-bb84-07eca70f9c7d</t>
  </si>
  <si>
    <t>697bb067-dbbe-a03d-a922-168806e451f2</t>
  </si>
  <si>
    <t>Semrush</t>
  </si>
  <si>
    <t>697ac9f6-05f8-a2f5-838b-9214d1a7be27</t>
  </si>
  <si>
    <t>Spred</t>
  </si>
  <si>
    <t>697c09b3-b0af-a8f7-beab-cabfc144d789</t>
  </si>
  <si>
    <t>Microsoft-g137716541</t>
  </si>
  <si>
    <t>697b1486-a9e7-a776-bea8-17a871350297</t>
  </si>
  <si>
    <t>697a6de5-7553-adde-aacd-4862cdee2e03</t>
  </si>
  <si>
    <t>Paypal ** Groxer Kern Gmb</t>
  </si>
  <si>
    <t>697c68e9-3d03-a499-a556-4c7496a6b262</t>
  </si>
  <si>
    <t>697c4690-c69f-a71c-8b6f-353e0ffae6af</t>
  </si>
  <si>
    <t>697bd43c-531a-a388-85b3-a60c4f36fcf4</t>
  </si>
  <si>
    <t>697bd395-c310-a536-9b69-b10e6837e2e8</t>
  </si>
  <si>
    <t>697b9423-01d0-ae05-91e5-289c910cb5f2</t>
  </si>
  <si>
    <t>697a8fcf-5b1e-a118-b5d4-7ae4313f1a1b</t>
  </si>
  <si>
    <t>Airtable.com/bill</t>
  </si>
  <si>
    <t>697a7c9e-b3c2-a468-82c2-e9bb18fe198a</t>
  </si>
  <si>
    <t>Manus Ai</t>
  </si>
  <si>
    <t>697b4498-3cf0-ad6f-9f59-b56e06dc8fb7</t>
  </si>
  <si>
    <t>697b1c16-70bd-a725-ad26-64706eec0a96</t>
  </si>
  <si>
    <t>6979e44a-3253-a9d5-9a43-133df1762888</t>
  </si>
  <si>
    <t>697a3b3b-743b-a0d0-aa53-b0d809eff29f</t>
  </si>
  <si>
    <t>697b1bb9-c5ba-aa2d-82d9-2f03d40d22ce</t>
  </si>
  <si>
    <t>Dinero añadido desde YL VII LIMITED</t>
  </si>
  <si>
    <t>YL60333504RFD//Refund//leaveEmpty//leaveEmpty</t>
  </si>
  <si>
    <t>697afe45-8da7-a6b6-be4b-183f4a69910b</t>
  </si>
  <si>
    <t>697af953-6768-ae69-b3ee-cacc21eb88ce</t>
  </si>
  <si>
    <t>697a8971-c661-a59f-9c4b-602be271ed7f</t>
  </si>
  <si>
    <t>6978f077-7d38-a175-8eaa-5d39a974b224</t>
  </si>
  <si>
    <t>6979dfd1-e87b-aa77-9118-46f43ce1fa28</t>
  </si>
  <si>
    <t>69790c7d-a393-af4b-8352-54dba1562f94</t>
  </si>
  <si>
    <t>69786807-fe0b-a0d0-a88c-47071510f148</t>
  </si>
  <si>
    <t>Lfg60--0377-0000002 Lfg60</t>
  </si>
  <si>
    <t>6978eb24-abbb-a065-9aea-bcbcb004e102</t>
  </si>
  <si>
    <t>Bloomberg* B50949977</t>
  </si>
  <si>
    <t>69791250-65f7-a408-b8f1-659ad7864448</t>
  </si>
  <si>
    <t>69790c3f-2cd1-a23a-b6e2-930e8e4a009f</t>
  </si>
  <si>
    <t>6978c4b0-a205-ac43-a886-dc3cf884ffe5</t>
  </si>
  <si>
    <t>A Springer Medizin Verlag GmbH</t>
  </si>
  <si>
    <t>32153952</t>
  </si>
  <si>
    <t>DE33100700000588218800</t>
  </si>
  <si>
    <t>DEUTDEBBXXX</t>
  </si>
  <si>
    <t>69774cdb-62c7-a4e0-b37f-f134afc70056</t>
  </si>
  <si>
    <t>Www.perplexity.ai</t>
  </si>
  <si>
    <t>6977acf5-8235-ace8-8489-f639c2c6e45d</t>
  </si>
  <si>
    <t>Upwork -886855735ref</t>
  </si>
  <si>
    <t>69786128-71ab-a8cc-9034-6f947dfaecae</t>
  </si>
  <si>
    <t>16185</t>
  </si>
  <si>
    <t>697804cb-f47a-a601-8f67-fcaf23bfdef4</t>
  </si>
  <si>
    <t>697842d4-a130-a71d-aea8-18ee2bc37e9d</t>
  </si>
  <si>
    <t>6977e408-1802-a060-9689-4386f0b586be</t>
  </si>
  <si>
    <t>697791f4-149f-a339-b3d8-1a4ab9f3189c</t>
  </si>
  <si>
    <t>69777cc0-4b58-afb9-8ccf-5b85deaff9ba</t>
  </si>
  <si>
    <t>69760961-52c1-a4fb-b65e-b99a6d391142</t>
  </si>
  <si>
    <t>6976fa55-459b-a73b-a40b-10368744e6eb</t>
  </si>
  <si>
    <t>REF-4579B2ED92A115BB74</t>
  </si>
  <si>
    <t>6976fa42-5bf2-aec8-8a35-bb82f1a19d80</t>
  </si>
  <si>
    <t>6976deda-5bf3-ad26-a93a-9e4ad677571e</t>
  </si>
  <si>
    <t>69764476-fd50-af56-b8e3-38c99c2e69b4</t>
  </si>
  <si>
    <t>697616d8-3aa4-a906-b78c-c5cdea1a51c7</t>
  </si>
  <si>
    <t>Gastos oficina</t>
  </si>
  <si>
    <t>GB06TCCL00997926735457</t>
  </si>
  <si>
    <t>6974c8e4-c482-a73d-a12e-4d7418c91551</t>
  </si>
  <si>
    <t>697472a0-ee34-aed1-a024-493ae6470dd2</t>
  </si>
  <si>
    <t>69757ba8-374a-a811-8d3a-10702b104773</t>
  </si>
  <si>
    <t>697520b3-c3d7-a8a0-b539-d92831b38227</t>
  </si>
  <si>
    <t>6974eee5-0a05-a630-8010-0e0541385a6c</t>
  </si>
  <si>
    <t>69738c6e-9c5d-ae49-8671-f2aee8a01322</t>
  </si>
  <si>
    <t>69722423-664d-ae54-90b3-b7e9c578d7ed</t>
  </si>
  <si>
    <t>Name-cheap.com* Dglonq</t>
  </si>
  <si>
    <t>69748cfa-873c-a72b-9033-8fdc18a1073d</t>
  </si>
  <si>
    <t>69747176-221d-a362-9e11-a356b19c878b</t>
  </si>
  <si>
    <t>6973db15-3d0f-a679-a04c-9b7b9ca722c8</t>
  </si>
  <si>
    <t>6973b551-602a-aa26-9128-a4b154f4c11e</t>
  </si>
  <si>
    <t>Treatwell</t>
  </si>
  <si>
    <t>6973b52b-dc51-ac53-b1d0-14a6c03ba7f0</t>
  </si>
  <si>
    <t>6973dbac-1640-a260-890a-0efb322c0847</t>
  </si>
  <si>
    <t>6973a5b3-3534-a0d7-bf9e-93df9b28eadb</t>
  </si>
  <si>
    <t>69739942-77aa-a21b-a708-bc1b48a23b88</t>
  </si>
  <si>
    <t>Quinta parte</t>
  </si>
  <si>
    <t>69739708-36a0-a822-ae2d-ed9108a3bd7a</t>
  </si>
  <si>
    <t>69724589-b87c-a553-9c14-9d2919fadafa</t>
  </si>
  <si>
    <t>697337b8-31b5-a6c4-b19e-b18194df8eba</t>
  </si>
  <si>
    <t>69721d5c-c73b-adbf-8e51-6de3e963c26f</t>
  </si>
  <si>
    <t>Www.lingoda.com</t>
  </si>
  <si>
    <t>69726365-de31-a01d-a9ee-52201e764b9f</t>
  </si>
  <si>
    <t>69726e0d-be29-a046-9861-935673dfb24a</t>
  </si>
  <si>
    <t>69726348-5936-ae82-a303-b542204a3b8b</t>
  </si>
  <si>
    <t>69721d3c-aa0b-ab9e-bcd4-d271ba97a032</t>
  </si>
  <si>
    <t>6970cc17-713b-a510-a7b1-170b91ee280d</t>
  </si>
  <si>
    <t>Linkedinprec *30600433</t>
  </si>
  <si>
    <t>6971b20c-ac5d-a5cb-9f50-1a99f5ca750f</t>
  </si>
  <si>
    <t>6971f45d-7a38-a787-be14-d402bfd65999</t>
  </si>
  <si>
    <t>6971f432-8438-ab35-990c-b0d407c20620</t>
  </si>
  <si>
    <t>6971f314-943e-a93e-a6c7-fd78cf2d245e</t>
  </si>
  <si>
    <t>6970ad14-717e-ac7f-919e-f5ec3a03a622</t>
  </si>
  <si>
    <t>6970885b-6d4b-a563-a982-feb45639fb18</t>
  </si>
  <si>
    <t>Dynamic Food Gmbh</t>
  </si>
  <si>
    <t>696fc6a8-78cc-a42d-ad16-ace30f6882ce</t>
  </si>
  <si>
    <t>6970a184-0952-a096-817c-6018526bccf1</t>
  </si>
  <si>
    <t>A Claudia Walter Steuerberatungsgesellschaft mbH</t>
  </si>
  <si>
    <t>699</t>
  </si>
  <si>
    <t>DE18701694500003202275</t>
  </si>
  <si>
    <t>GENODEF1ASG</t>
  </si>
  <si>
    <t>6970a149-6d97-ad9f-8a01-5a6e74d615ab</t>
  </si>
  <si>
    <t>917</t>
  </si>
  <si>
    <t>69709db9-5756-a753-b07f-115ab73c3b8f</t>
  </si>
  <si>
    <t>696fd6af-4b68-ad38-95b8-fc1cd054adba</t>
  </si>
  <si>
    <t>696f55af-6003-a222-9082-a8430b9cf879</t>
  </si>
  <si>
    <t>696f1664-1948-afa6-91aa-64a0c157cde0</t>
  </si>
  <si>
    <t>Upwork -884842651ref</t>
  </si>
  <si>
    <t>696f6170-6c15-a424-8d62-b9c4feba8ed4</t>
  </si>
  <si>
    <t>696fcf68-b706-a5c1-9e23-d2f7773aace8</t>
  </si>
  <si>
    <t>Uzr*remos</t>
  </si>
  <si>
    <t>696e430f-13d1-a1b2-95f5-1553d3ed7319</t>
  </si>
  <si>
    <t>696e5f3b-18d5-ab22-abc4-011d46ebf0df</t>
  </si>
  <si>
    <t>Dr. Beckers Apotheke</t>
  </si>
  <si>
    <t>696ef05a-57eb-aea3-8b5a-c3fc5d3cafd4</t>
  </si>
  <si>
    <t>696f486c-5559-a2b2-9fe4-e6397bd9be8d</t>
  </si>
  <si>
    <t>696e428f-bbda-a411-adf1-209a41c2e430</t>
  </si>
  <si>
    <t>696dff50-c1b8-af50-80d0-e518e31420c3</t>
  </si>
  <si>
    <t>696f15f0-5b2c-a0ef-8951-dd92fed3501d</t>
  </si>
  <si>
    <t>696f1561-9cc3-a037-9509-2c2f43cb9448</t>
  </si>
  <si>
    <t>Interkonto</t>
  </si>
  <si>
    <t>696e5bcd-f157-a4d8-a183-9633b95bfcff</t>
  </si>
  <si>
    <t>Douglas539muenchen</t>
  </si>
  <si>
    <t>696e6988-7b28-aeff-bf70-8d85921087b7</t>
  </si>
  <si>
    <t>A Nomii gmbh</t>
  </si>
  <si>
    <t>Intercuentas</t>
  </si>
  <si>
    <t>696e5bf9-4862-a232-84f7-bf7b967d0947</t>
  </si>
  <si>
    <t>A lingoking GmbH</t>
  </si>
  <si>
    <t>Sammelrechnungsnummer: c25000709</t>
  </si>
  <si>
    <t>DE98700400410663010700</t>
  </si>
  <si>
    <t>COBADEFFXXX</t>
  </si>
  <si>
    <t>696ccd7b-cffd-aeed-8608-e02162e75f72</t>
  </si>
  <si>
    <t>696ce12a-5d9b-a51a-a4ac-11902e618a00</t>
  </si>
  <si>
    <t>696c9510-c789-aae8-80ec-4bc2de171746</t>
  </si>
  <si>
    <t>696d8ef5-d78f-a370-83e4-c996f688d5eb</t>
  </si>
  <si>
    <t>696ce056-c1f4-a5d5-83f5-5c79aa2930b0</t>
  </si>
  <si>
    <t>A Allianz Versicherungs-Aktiengesellschaft</t>
  </si>
  <si>
    <t>AS-6178107653</t>
  </si>
  <si>
    <t>DE29700800000302019800</t>
  </si>
  <si>
    <t>DRESDEFF700</t>
  </si>
  <si>
    <t>696c7778-59db-ac46-a784-a3b774ee9373</t>
  </si>
  <si>
    <t>696b2a91-abe1-aeae-9b76-56dc47b00b15</t>
  </si>
  <si>
    <t>Canva* 04764-12366789</t>
  </si>
  <si>
    <t>696b8e00-d246-a8df-98d9-b5655150f6b0</t>
  </si>
  <si>
    <t>696cdb48-64e5-a809-8fc5-6804cd5c57ab</t>
  </si>
  <si>
    <t>Teil gehalt</t>
  </si>
  <si>
    <t>696cda66-494a-a192-b2a5-cc43623005b2</t>
  </si>
  <si>
    <t>696ccfb7-823b-a413-a054-0bfe980376bb</t>
  </si>
  <si>
    <t>A Aok</t>
  </si>
  <si>
    <t>E426263227</t>
  </si>
  <si>
    <t>DE97700500000701166266</t>
  </si>
  <si>
    <t>BYLADEMMXXX</t>
  </si>
  <si>
    <t>696c47bc-9f4f-a237-b02c-b296e8349e5b</t>
  </si>
  <si>
    <t>Microsoft#g136009800</t>
  </si>
  <si>
    <t>696bdbec-31a1-abbb-b61d-7812185902ee</t>
  </si>
  <si>
    <t>696a7c0e-b1b9-a543-aae6-fedd25968167</t>
  </si>
  <si>
    <t>Parking Cristamar</t>
  </si>
  <si>
    <t>696a78f6-b588-a1a1-a7e6-30fc3f3a7f6b</t>
  </si>
  <si>
    <t>El Corte Ingles Marbel</t>
  </si>
  <si>
    <t>696a7746-247b-a549-b946-2534aa31a03f</t>
  </si>
  <si>
    <t>Farmacia Puerto Banus</t>
  </si>
  <si>
    <t>696a6545-6b59-ad50-bf21-065f2148b8e9</t>
  </si>
  <si>
    <t>Estanco Guerrero Tna</t>
  </si>
  <si>
    <t>696a6dc9-811a-a746-82b8-844192e1f533</t>
  </si>
  <si>
    <t>Hot Dog</t>
  </si>
  <si>
    <t>696a33df-c635-a737-b44c-91f93ff2bcd4</t>
  </si>
  <si>
    <t>Spotify P3e717f3bf</t>
  </si>
  <si>
    <t>696a175d-8943-a389-a7f8-29f96d32b6c9</t>
  </si>
  <si>
    <t>Glovo 16jan Nvepd1nq1</t>
  </si>
  <si>
    <t>696ab7b6-4cc9-aabb-af61-2e40c9659a32</t>
  </si>
  <si>
    <t>696ab4d4-a56a-a423-be17-6017cba16dc4</t>
  </si>
  <si>
    <t>6968dc21-dad0-a2aa-85e1-986f01876a59</t>
  </si>
  <si>
    <t>69689f8e-da7e-aa52-ae04-ebf9bead366d</t>
  </si>
  <si>
    <t>6969a7aa-ec45-a262-9131-27af9fb43771</t>
  </si>
  <si>
    <t>Microsoft-g135696597</t>
  </si>
  <si>
    <t>6968ea6f-128e-ade6-8c5d-4bf64eb91403</t>
  </si>
  <si>
    <t>Cred Benahavis</t>
  </si>
  <si>
    <t>69694c69-b5dd-a6f1-a4c1-05003549f003</t>
  </si>
  <si>
    <t>69695b7e-76ad-a910-a54d-48f772875882</t>
  </si>
  <si>
    <t>6967c26a-bf02-aeb2-9ab5-8b3ccfeae642</t>
  </si>
  <si>
    <t>69684e6a-99cb-ad9b-b797-5b798e92b670</t>
  </si>
  <si>
    <t>69678c06-4321-a318-a791-f9dfe383ad23</t>
  </si>
  <si>
    <t>696896b2-c3ae-ac71-933c-d2ae4d15d41b</t>
  </si>
  <si>
    <t>Cuarta parte</t>
  </si>
  <si>
    <t>69688c4e-8adb-a195-b985-8dba3647741a</t>
  </si>
  <si>
    <t>6967bd91-8a96-a235-bf84-dd370177c85b</t>
  </si>
  <si>
    <t>A TARGOBANK</t>
  </si>
  <si>
    <t>Orbenes, Nicolas</t>
  </si>
  <si>
    <t>DE59300209007252829178</t>
  </si>
  <si>
    <t>CMCIDEDDXXX</t>
  </si>
  <si>
    <t>6967d7e5-ad9c-a061-8054-d7942cf66c51</t>
  </si>
  <si>
    <t>09/01/2025</t>
  </si>
  <si>
    <t>69679bf9-2e0b-a470-9063-54233664e888</t>
  </si>
  <si>
    <t>6967286e-48ac-a045-b690-06da658bc268</t>
  </si>
  <si>
    <t>69677cab-057a-a2fc-800f-70fe2bf968b3</t>
  </si>
  <si>
    <t>6966fc5c-44d1-aacb-9b52-2452e55fa4e7</t>
  </si>
  <si>
    <t>Microsoft-g135406066</t>
  </si>
  <si>
    <t>69668e1c-6bd5-a063-ac52-1fc061d03d1b</t>
  </si>
  <si>
    <t>696605e5-d3fe-a033-a014-4d7872095d59</t>
  </si>
  <si>
    <t>Lfg60--0367-0000006 Lfg60</t>
  </si>
  <si>
    <t>69674b45-4624-a37f-a96e-3d69053b77ea</t>
  </si>
  <si>
    <t>6966f6cc-307c-a05e-9f3b-139b03dcb712</t>
  </si>
  <si>
    <t>6966c4c3-83ab-aa6a-8e98-8d0e1dced333</t>
  </si>
  <si>
    <t>6966a164-ed95-a94b-95de-bfa0ce71dcbb</t>
  </si>
  <si>
    <t>Tercera parte</t>
  </si>
  <si>
    <t>6966a0aa-b78e-a7ce-8810-ce4c74dcc5e6</t>
  </si>
  <si>
    <t>00372025</t>
  </si>
  <si>
    <t>69669f9a-8f66-a85f-b171-755ffd2c1903</t>
  </si>
  <si>
    <t>69662fce-a121-abfd-8336-c0c299bcb80e</t>
  </si>
  <si>
    <t>69653857-e7a6-a2d4-88dd-4859f77883ad</t>
  </si>
  <si>
    <t>Upwork -882692244ref</t>
  </si>
  <si>
    <t>6965a671-eabb-ae1b-ba08-d4285c670c46</t>
  </si>
  <si>
    <t>Microsoft-g135196565</t>
  </si>
  <si>
    <t>696500fb-6f32-ac9d-a002-4a8b55be3d85</t>
  </si>
  <si>
    <t>696248ef-17e1-a192-9df9-0c34ef184d80</t>
  </si>
  <si>
    <t>6964e66e-8732-abe1-a5e5-6c6668db5f52</t>
  </si>
  <si>
    <t>Paraiso Est.norte</t>
  </si>
  <si>
    <t>696524e7-cc4f-a855-9bf6-ac7eaca84ed1</t>
  </si>
  <si>
    <t>6965664e-49d2-a869-96fe-b6b8731cdef4</t>
  </si>
  <si>
    <t>69652dcc-87e3-aa5f-89de-8eee90dd83e3</t>
  </si>
  <si>
    <t>Segunda parte</t>
  </si>
  <si>
    <t>69652c14-35ad-a3ce-abe3-af45b0b1a703</t>
  </si>
  <si>
    <t>6964f837-1fbf-a6ef-a875-76a6ec521a02</t>
  </si>
  <si>
    <t>69621aa1-0156-a96c-9375-abff94f16ceb</t>
  </si>
  <si>
    <t>6962943b-f1fd-a843-a541-193a8ee6fd2e</t>
  </si>
  <si>
    <t>Paypal *philipsshop</t>
  </si>
  <si>
    <t>6963b264-3f1f-a0f3-b278-07c691d4d382</t>
  </si>
  <si>
    <t>696133e6-984b-a43e-9fe3-50179d62f0bb</t>
  </si>
  <si>
    <t>6964c45f-f07c-a3af-8fe6-2a3cb194d739</t>
  </si>
  <si>
    <t>696360f6-7307-ac2c-b314-b64be897f514</t>
  </si>
  <si>
    <t>69642051-75f2-a1f5-9dfa-34e1cf6e90c5</t>
  </si>
  <si>
    <t>69630d2d-0f57-acd9-ba65-28dbfa91ea80</t>
  </si>
  <si>
    <t>Microsoft-g134897308</t>
  </si>
  <si>
    <t>696360cd-4973-a372-8c6c-4cfe34d6e944</t>
  </si>
  <si>
    <t>57</t>
  </si>
  <si>
    <t>69632536-585d-a954-bfd7-7b6ffaf301ec</t>
  </si>
  <si>
    <t>69624cf7-74f5-ad12-b346-23d1cc678bd5</t>
  </si>
  <si>
    <t>6961ba09-23e0-aa06-b369-5a8ddda1c58e</t>
  </si>
  <si>
    <t>Microsoft#g134795642</t>
  </si>
  <si>
    <t>69624228-4cfd-a3f7-b94b-0f2ffd8a6a14</t>
  </si>
  <si>
    <t>69620b47-6cfc-ae76-868e-1419ee5c04f6</t>
  </si>
  <si>
    <t>Rechnung Nr: 249291404</t>
  </si>
  <si>
    <t>69620acb-8783-aaff-a7fc-d1f803ec033b</t>
  </si>
  <si>
    <t>Resto y primera parte</t>
  </si>
  <si>
    <t>6961deef-37ac-af67-a40a-fa394f1e5fe3</t>
  </si>
  <si>
    <t>69612710-127b-ac31-8c7e-f469c182f187</t>
  </si>
  <si>
    <t>696121bf-c143-a937-92ab-671b13b13ef7</t>
  </si>
  <si>
    <t>695fccc1-397d-a76d-8615-9a8066f7be05</t>
  </si>
  <si>
    <t>695f90fa-0e79-ac8d-9094-7791c25be1e9</t>
  </si>
  <si>
    <t>695fef12-63c9-a554-98e2-905746838434</t>
  </si>
  <si>
    <t>69608caa-89fc-ac7d-9a5b-3ad0c8c7ef68</t>
  </si>
  <si>
    <t>TXID 1436859042 Rechnung 92026-07512 zu Vertrag NHWC-LSCF Buchhalt</t>
  </si>
  <si>
    <t>6960c6ff-db68-a0b4-98de-d89a50382fed</t>
  </si>
  <si>
    <t>69604842-4c26-a028-bf1c-0d4ca50f1cca</t>
  </si>
  <si>
    <t>695fc6f7-a51d-a4bf-8f6e-38771949a0c7</t>
  </si>
  <si>
    <t>Estanco C</t>
  </si>
  <si>
    <t>6960324e-7f82-a95a-ac46-78b62d85dc7d</t>
  </si>
  <si>
    <t>695fbd9e-8838-a6d6-bab9-4cbddca6482d</t>
  </si>
  <si>
    <t>695fbd5f-47df-a566-88ba-a7636725102a</t>
  </si>
  <si>
    <t>69566351-10fa-a76e-a148-ea4686b8fa5a</t>
  </si>
  <si>
    <t>Autopista Del Sol</t>
  </si>
  <si>
    <t>695e46e3-2fa5-ab4c-8260-bf614232d3c9</t>
  </si>
  <si>
    <t>695e04c3-df1f-ab2b-b9e6-e578d17c01c6</t>
  </si>
  <si>
    <t>695e05a9-ffa8-a9dc-910c-6860431047ff</t>
  </si>
  <si>
    <t>Msft * E0300ymgxy</t>
  </si>
  <si>
    <t>695eb9c3-6875-a144-815e-290e41f980c5</t>
  </si>
  <si>
    <t>695f6454-f786-afc2-a3bd-12e76644a04a</t>
  </si>
  <si>
    <t>695f642c-519e-a204-a26a-2e7f9f64fa33</t>
  </si>
  <si>
    <t>695f58a1-5397-a315-96a3-588f1817ca41</t>
  </si>
  <si>
    <t>695f5721-2ec6-a7b0-a6f0-3b0adc0a89ac</t>
  </si>
  <si>
    <t>STRIPE X6H5X5</t>
  </si>
  <si>
    <t>695e05ef-fc43-a9af-bda9-22c177816d85</t>
  </si>
  <si>
    <t>695e74c0-ae92-ab66-81b3-49f6e74f1791</t>
  </si>
  <si>
    <t>A Natalia Valdebenito</t>
  </si>
  <si>
    <t>Dic</t>
  </si>
  <si>
    <t>BSCHCLRMXXX</t>
  </si>
  <si>
    <t>695e74a0-1044-ae65-89ba-374fa4490e4d</t>
  </si>
  <si>
    <t>695cf9df-5f01-aa3a-8085-170322ffe186</t>
  </si>
  <si>
    <t>Getterms.io Privacy</t>
  </si>
  <si>
    <t>695d233a-8b48-ae22-a36d-7e4f7cd803ce</t>
  </si>
  <si>
    <t>695d23e7-8a52-a687-b356-9af6bfdf05d6</t>
  </si>
  <si>
    <t>Linkedin Pre P707716513</t>
  </si>
  <si>
    <t>695e0d09-1690-a86e-bc57-a04a07adb7cc</t>
  </si>
  <si>
    <t>STRIPE X5M8P8</t>
  </si>
  <si>
    <t>695e0825-d13a-a035-9fe2-23fac2a11c9b</t>
  </si>
  <si>
    <t>16136</t>
  </si>
  <si>
    <t>695e0376-d331-ad2d-8989-d61264901d01</t>
  </si>
  <si>
    <t>Sammelrechnungsnummer: c25000878</t>
  </si>
  <si>
    <t>695df5ee-3b68-ac75-9d46-b37ef6087c55</t>
  </si>
  <si>
    <t>695c4104-b506-a48a-b2b0-f4f0866eaf92</t>
  </si>
  <si>
    <t>695ca01d-4304-a8fc-a911-3f78fde28bc6</t>
  </si>
  <si>
    <t>REF-C4F67C1F0E5AA3CE32</t>
  </si>
  <si>
    <t>695ca01d-8c49-abd9-b031-3d5382ac3400</t>
  </si>
  <si>
    <t>REF-5E651EA492FA523978</t>
  </si>
  <si>
    <t>695bbff1-dd3c-a1a4-8bfa-da3c2fee1b10</t>
  </si>
  <si>
    <t>Weworkde</t>
  </si>
  <si>
    <t>695bfcd4-7644-a7cf-9b06-0186b08d1002</t>
  </si>
  <si>
    <t>Upwork -880663001ref</t>
  </si>
  <si>
    <t>695cce36-feee-a724-aca9-296f5771518b</t>
  </si>
  <si>
    <t>695cc8f0-1e38-ad29-aec6-506107bc2024</t>
  </si>
  <si>
    <t>695c978c-1a32-a2a2-ad6d-bdd8d714f86a</t>
  </si>
  <si>
    <t>695c1905-9c51-af78-ac2f-5c4a230e1382</t>
  </si>
  <si>
    <t>695b6a0a-dcd5-a40e-b347-d4b8e26126d1</t>
  </si>
  <si>
    <t>695b87a0-16b4-aa00-bb9a-01a48675d962</t>
  </si>
  <si>
    <t>695b316d-8909-a91c-b752-f6935262d7e0</t>
  </si>
  <si>
    <t>Microsoft-g132764873</t>
  </si>
  <si>
    <t>6958bf78-7f2f-a84c-b31a-af49a2855dd3</t>
  </si>
  <si>
    <t>Reembolso de Paddle.net* N8n Cloud1</t>
  </si>
  <si>
    <t>695b6c73-f439-abbb-b026-b6b96d508f09</t>
  </si>
  <si>
    <t>695945a6-124c-ab08-b740-b3135068bb43</t>
  </si>
  <si>
    <t>69594320-b324-af08-818c-19ca61db809a</t>
  </si>
  <si>
    <t>6956dd6e-a1af-a351-99ed-67b7d27668b4</t>
  </si>
  <si>
    <t>Google *google One</t>
  </si>
  <si>
    <t>695a3954-282b-a7e5-abb6-d99187aa704a</t>
  </si>
  <si>
    <t>A Baulig Consulting GmbH</t>
  </si>
  <si>
    <t>Rechnung 202517484</t>
  </si>
  <si>
    <t>DE58570501200000272583</t>
  </si>
  <si>
    <t>MALADE51KOB</t>
  </si>
  <si>
    <t>695a352c-20f5-a5e2-91e6-5e4d276fed77</t>
  </si>
  <si>
    <t>69561816-c5b6-ae5b-8dbc-1b877cb9f218</t>
  </si>
  <si>
    <t>Allresto Flughafen Mu</t>
  </si>
  <si>
    <t>695815e9-4e41-a9c7-9cdf-e575733e0052</t>
  </si>
  <si>
    <t>69577dfc-4dd6-a606-b5b7-e6eb4e53c2d0</t>
  </si>
  <si>
    <t>695638f5-2663-ad4a-8f2b-48e1b6d9d260</t>
  </si>
  <si>
    <t>Facebk *5fwc8bhky2</t>
  </si>
  <si>
    <t>695692e9-54e7-ab7e-822c-1e8602019892</t>
  </si>
  <si>
    <t>69560538-7ebb-abe1-bb77-1701b9a79eba</t>
  </si>
  <si>
    <t>69567063-e7dc-abe1-8e26-058c4bd40fba</t>
  </si>
  <si>
    <t>Arbeit kosten</t>
  </si>
  <si>
    <t>69566e32-c3db-ae45-87da-2441823f56bd</t>
  </si>
  <si>
    <t>A Jose Domingo Baena</t>
  </si>
  <si>
    <t>Pago boleta diciembre 3/3</t>
  </si>
  <si>
    <t>69566ddc-fc34-ade7-93e6-33b5df957093</t>
  </si>
  <si>
    <t>Diciembre 2/2</t>
  </si>
  <si>
    <t>69566d88-2fc5-a475-9a33-53c7a2c5e753</t>
  </si>
  <si>
    <t>6955d99a-19d6-a2e4-b0d6-80b5e7f6b992</t>
  </si>
  <si>
    <t>Aircall.io* Aircall In</t>
  </si>
  <si>
    <t>2026-859909444726</t>
  </si>
  <si>
    <t>Fahrkarte Super Sparpreis + Reservierung (Berlin-Dresden, 4 personas)</t>
  </si>
  <si>
    <t>2668-6282</t>
  </si>
  <si>
    <t>in_1T6dFyRoJmuqrcvmKpkXVesg</t>
  </si>
  <si>
    <t>609F8A13-2131</t>
  </si>
  <si>
    <t>in_1T6fSZRoJmuqrcvmoG0r9k9t</t>
  </si>
  <si>
    <t>609F8A13-2137</t>
  </si>
  <si>
    <t>https://invoice.stripe.com/i/acct_1QimIiRoJmuqrcvm/live_YWNjdF8xUWltSWlSb0ptdXFyY3ZtLF9VNHA5SE15QUpIQzFHVG5zalg2ZzhvV2luVEFXY0JaLDE2MzAzMzQ2Mg0200AdyzsniI?s=db</t>
  </si>
  <si>
    <t>in_1T6fWfRoJmuqrcvmHsWeMWXZ</t>
  </si>
  <si>
    <t>609F8A13-2139</t>
  </si>
  <si>
    <t>https://invoice.stripe.com/i/acct_1QimIiRoJmuqrcvm/live_YWNjdF8xUWltSWlSb0ptdXFyY3ZtLF9VNHBCdXpuejlWcGY2VGV0WXV6V2VBZTljQjJLUXhJLDE2MzAzMzU1OA0200OUgMWeWy?s=db</t>
  </si>
  <si>
    <t>in_1T6eVURoJmuqrcvmFaUGpXhn</t>
  </si>
  <si>
    <t>609F8A13-2136</t>
  </si>
  <si>
    <t>SEGUIMIENTO SEMANAL DE KPIs - MARZO 2026</t>
  </si>
  <si>
    <t>in_1T6fSaRoJmuqrcvmo0vZf3yU</t>
  </si>
  <si>
    <t>609F8A13-2140</t>
  </si>
  <si>
    <t>https://invoice.stripe.com/i/acct_1QimIiRoJmuqrcvm/live_YWNjdF8xUWltSWlSb0ptdXFyY3ZtLF9VNHA2UTVlWkp5VmlYd2ZSeW80VDMwRzhqc1lHRnRYLDE2MzAzODQ2Nw0200wORga5Ny?s=db</t>
  </si>
  <si>
    <t>mishellmosqueraolivo@gmail.com</t>
  </si>
  <si>
    <t>cus_U4epExd9jP43ws</t>
  </si>
  <si>
    <t>in_1T6VWDRoJmuqrcvmArdhNkA8</t>
  </si>
  <si>
    <t>609F8A13-2119</t>
  </si>
  <si>
    <t>Jessenia Mishell Mosquera Olivo</t>
  </si>
  <si>
    <t>(+caja neta acumulada febrero)</t>
  </si>
  <si>
    <t>(saldo 0)</t>
  </si>
  <si>
    <t>Escenario Problable:</t>
  </si>
  <si>
    <t>Escenario Ambicioso:</t>
  </si>
  <si>
    <t>Patricia Idalina de Lemos Rodrigues - Asesoria de Administración</t>
  </si>
  <si>
    <t xml:space="preserve">Parken, Minibar, Frühstück y Logis </t>
  </si>
  <si>
    <t>Radisson Blu Park Hotel</t>
  </si>
  <si>
    <t>Interim Invoice - Upselling Accommodation + City Tax</t>
  </si>
  <si>
    <t>Alojamiento, Business Package, City Tax y Minibar +1</t>
  </si>
  <si>
    <t>Meliá Hotel</t>
  </si>
  <si>
    <t>Automóvil Club de Chile</t>
  </si>
  <si>
    <t>Licencia internacional</t>
  </si>
  <si>
    <t>***8552</t>
  </si>
  <si>
    <t>(Diferencia Faltante Febrero) Francisca Schwarzhaupt - Market Development Management Servicio Remoto</t>
  </si>
  <si>
    <t>Amount2</t>
  </si>
  <si>
    <t>Drina Bascón</t>
  </si>
  <si>
    <t>Adobe Creative Cloud Pro (14-MAR-2026–13-ABR-2026)</t>
  </si>
  <si>
    <t>***2050</t>
  </si>
  <si>
    <t>Sebastián Arellano</t>
  </si>
  <si>
    <t>NOMAD Bakery &amp; Deli</t>
  </si>
  <si>
    <t>Almuerzo (6 platos del día) y bebidas variadas</t>
  </si>
  <si>
    <t>Almuerzo (2 platos del día) y bebidas</t>
  </si>
  <si>
    <t>Audited Zoho</t>
  </si>
  <si>
    <t>Month</t>
  </si>
  <si>
    <t>Drs. Nuevos</t>
  </si>
  <si>
    <t>Drs. Activos</t>
  </si>
  <si>
    <t>Ingreso Neto (EUR)</t>
  </si>
  <si>
    <t>Ingreso/Dr (EUR)</t>
  </si>
  <si>
    <t>Idioma/Dr (EUR)</t>
  </si>
  <si>
    <t>Form. Médica/Dr (EUR)</t>
  </si>
  <si>
    <t>Legal-Otros/Dr (EUR)</t>
  </si>
  <si>
    <t>COR TOTAL/Dr (EUR)</t>
  </si>
  <si>
    <t>CAC/Dr Nuevo (EUR)</t>
  </si>
  <si>
    <t>G&amp;A/Dr (EUR)</t>
  </si>
  <si>
    <t>CS/Dr (EUR)</t>
  </si>
  <si>
    <t>R&amp;D/Dr (EUR)</t>
  </si>
  <si>
    <t>Costo Total/Dr (EUR)</t>
  </si>
  <si>
    <t>Ingreso</t>
  </si>
  <si>
    <t>COR/Dr (Costo Directo)</t>
  </si>
  <si>
    <t>Adquisición</t>
  </si>
  <si>
    <t>OPEX/Dr (Prorrateado)</t>
  </si>
  <si>
    <t>Resumen/Dr</t>
  </si>
  <si>
    <t>Promedio</t>
  </si>
  <si>
    <t>dr.sifuentesb@gmail.com</t>
  </si>
  <si>
    <t>cus_U3d8vbvxQMhcW0</t>
  </si>
  <si>
    <t>in_1T5VtQRoJmuqrcvmfEl43kSQ</t>
  </si>
  <si>
    <t>609F8A13-2087</t>
  </si>
  <si>
    <t>in_1T5VsbRoJmuqrcvm49gFHeVs</t>
  </si>
  <si>
    <t>609F8A13-2086</t>
  </si>
  <si>
    <t>in_1T6tDXRoJmuqrcvmsvfpsUUh</t>
  </si>
  <si>
    <t>609F8A13-2141</t>
  </si>
  <si>
    <t>marquellezerecero@gmail.com</t>
  </si>
  <si>
    <t>cus_U5RhfqUH0rI07u</t>
  </si>
  <si>
    <t>in_1T7GoPRoJmuqrcvmx6jxfukx</t>
  </si>
  <si>
    <t>609F8A13-2143</t>
  </si>
  <si>
    <t>Ari Sifuentes Becerra</t>
  </si>
  <si>
    <t>Marquelle Zerecero Morcksharpe</t>
  </si>
  <si>
    <t>CLASES LING.</t>
  </si>
  <si>
    <t>NIVEL INICIAL LING.</t>
  </si>
  <si>
    <t>NIVEL ACTUAL LING.</t>
  </si>
  <si>
    <t>First Name</t>
  </si>
  <si>
    <t>Last Name</t>
  </si>
  <si>
    <t>Email</t>
  </si>
  <si>
    <t>User Id</t>
  </si>
  <si>
    <t>Section</t>
  </si>
  <si>
    <t>Starting level</t>
  </si>
  <si>
    <t>Current level</t>
  </si>
  <si>
    <t>Total Available Credits</t>
  </si>
  <si>
    <t>Available Group Credits</t>
  </si>
  <si>
    <t>Available Private Credits</t>
  </si>
  <si>
    <t>Refund cancelled classes</t>
  </si>
  <si>
    <t>Cancelled by Student</t>
  </si>
  <si>
    <t>Expiry</t>
  </si>
  <si>
    <t>Lost</t>
  </si>
  <si>
    <t>Upcoming classes</t>
  </si>
  <si>
    <t>Attended classes</t>
  </si>
  <si>
    <t>Missed classes</t>
  </si>
  <si>
    <t>First class attended</t>
  </si>
  <si>
    <t>Last class attended</t>
  </si>
  <si>
    <t>Classes attended in Dec 2024</t>
  </si>
  <si>
    <t>Expired</t>
  </si>
  <si>
    <t>Late cancellation</t>
  </si>
  <si>
    <t>Missed</t>
  </si>
  <si>
    <t>Total</t>
  </si>
  <si>
    <t>Jan</t>
  </si>
  <si>
    <t>Feb</t>
  </si>
  <si>
    <t>Mar</t>
  </si>
  <si>
    <t>April</t>
  </si>
  <si>
    <t>May</t>
  </si>
  <si>
    <t>June</t>
  </si>
  <si>
    <t>July</t>
  </si>
  <si>
    <t>Aug</t>
  </si>
  <si>
    <t>Sep</t>
  </si>
  <si>
    <t>Oct</t>
  </si>
  <si>
    <t>Nov</t>
  </si>
  <si>
    <t>Dec</t>
  </si>
  <si>
    <t>Juan Pablo</t>
  </si>
  <si>
    <t>Martínez Cabello</t>
  </si>
  <si>
    <t>jmartinez@no-mii.com</t>
  </si>
  <si>
    <t>german</t>
  </si>
  <si>
    <t>B1.1</t>
  </si>
  <si>
    <t>C1.1</t>
  </si>
  <si>
    <t>Katerine</t>
  </si>
  <si>
    <t>Verastegui</t>
  </si>
  <si>
    <t>kverastegui@no-mii.com</t>
  </si>
  <si>
    <t>A1.1</t>
  </si>
  <si>
    <t>A1.2</t>
  </si>
  <si>
    <t>Catalina Ochoa</t>
  </si>
  <si>
    <t>Urrutia</t>
  </si>
  <si>
    <t>cochoa@no-mii.com</t>
  </si>
  <si>
    <t>B2.1</t>
  </si>
  <si>
    <t>Alina</t>
  </si>
  <si>
    <t>Maria Cervantes Real</t>
  </si>
  <si>
    <t>acervantes@no-mii.com</t>
  </si>
  <si>
    <t>B2.2</t>
  </si>
  <si>
    <t>Manuel</t>
  </si>
  <si>
    <t>Francisco Sulbaran Fandiño</t>
  </si>
  <si>
    <t>msulbaran@no-mii.com</t>
  </si>
  <si>
    <t>C1.2</t>
  </si>
  <si>
    <t>Julián</t>
  </si>
  <si>
    <t>Medina</t>
  </si>
  <si>
    <t>jmedina@no-mii.com</t>
  </si>
  <si>
    <t>B1.2</t>
  </si>
  <si>
    <t>Paula</t>
  </si>
  <si>
    <t>Saris</t>
  </si>
  <si>
    <t>psaris@no-mii.com</t>
  </si>
  <si>
    <t>A2.1</t>
  </si>
  <si>
    <t>Erick Leonardo</t>
  </si>
  <si>
    <t>Chiriboga Valdiviezo</t>
  </si>
  <si>
    <t>echiriboga@no-mii.com</t>
  </si>
  <si>
    <t>Florencia</t>
  </si>
  <si>
    <t>Luján Sapia</t>
  </si>
  <si>
    <t>flujan@no-mii.com</t>
  </si>
  <si>
    <t>Juan</t>
  </si>
  <si>
    <t>Paranzino</t>
  </si>
  <si>
    <t>jparanzino@no-mii.com</t>
  </si>
  <si>
    <t>Andrea</t>
  </si>
  <si>
    <t>Corpeño López</t>
  </si>
  <si>
    <t>acorpeno@no-mii.com</t>
  </si>
  <si>
    <t>Guillermo</t>
  </si>
  <si>
    <t>Alfonso Garvalena Gaxiola</t>
  </si>
  <si>
    <t>ggarvalena@no-mii.com</t>
  </si>
  <si>
    <t>Judith</t>
  </si>
  <si>
    <t>Lopez</t>
  </si>
  <si>
    <t>jlopez@no-mii.com</t>
  </si>
  <si>
    <t>Christian</t>
  </si>
  <si>
    <t>Cardenas</t>
  </si>
  <si>
    <t>jcardenas@no-mii.com</t>
  </si>
  <si>
    <t>Mauricio</t>
  </si>
  <si>
    <t>I Alcayaga R</t>
  </si>
  <si>
    <t>malcayaga@no-mii.com</t>
  </si>
  <si>
    <t>Berenisse</t>
  </si>
  <si>
    <t>Yarango</t>
  </si>
  <si>
    <t>byarango@no-mii.com</t>
  </si>
  <si>
    <t>Victor</t>
  </si>
  <si>
    <t>Emanuel Hernández Ruíz</t>
  </si>
  <si>
    <t>B2.3</t>
  </si>
  <si>
    <t>Gabriela</t>
  </si>
  <si>
    <t>Kimberlyn Moran Caiza</t>
  </si>
  <si>
    <t>gmoran@no-mii.com</t>
  </si>
  <si>
    <t>Yefry</t>
  </si>
  <si>
    <t>Santana</t>
  </si>
  <si>
    <t>ysantana@no-mii.com</t>
  </si>
  <si>
    <t>Karen</t>
  </si>
  <si>
    <t>Tavera</t>
  </si>
  <si>
    <t>ktavera@no-mii.com</t>
  </si>
  <si>
    <t>Ángeles</t>
  </si>
  <si>
    <t>Gutierrez</t>
  </si>
  <si>
    <t>mgutierrez@no-mii.com</t>
  </si>
  <si>
    <t>B1.3</t>
  </si>
  <si>
    <t>Gilberto</t>
  </si>
  <si>
    <t>gmartinon@no-mii.com</t>
  </si>
  <si>
    <t>Maryori</t>
  </si>
  <si>
    <t>Ramos</t>
  </si>
  <si>
    <t>mramos@no-mii.com</t>
  </si>
  <si>
    <t>Mateo</t>
  </si>
  <si>
    <t>Martinez</t>
  </si>
  <si>
    <t>mmartinez@no-mii.com</t>
  </si>
  <si>
    <t>Carlos</t>
  </si>
  <si>
    <t>Suarez</t>
  </si>
  <si>
    <t>csuarez@no-mii.com</t>
  </si>
  <si>
    <t>Elaine Acosta</t>
  </si>
  <si>
    <t>Cabrera</t>
  </si>
  <si>
    <t>eacosta@no-mii.com</t>
  </si>
  <si>
    <t>Daniel</t>
  </si>
  <si>
    <t>Flores</t>
  </si>
  <si>
    <t>dflores@no-mii.com</t>
  </si>
  <si>
    <t>Boris</t>
  </si>
  <si>
    <t>Andrés Silva Véliz</t>
  </si>
  <si>
    <t>bsilva@no-mii.com</t>
  </si>
  <si>
    <t>C1.3</t>
  </si>
  <si>
    <t>Yaritza Soledad</t>
  </si>
  <si>
    <t>Martinez Rodriguez</t>
  </si>
  <si>
    <t>ymartinez@no-mii.com</t>
  </si>
  <si>
    <t>Johan</t>
  </si>
  <si>
    <t>jomartinez@no-mii.com</t>
  </si>
  <si>
    <t>David</t>
  </si>
  <si>
    <t>Enrique Díaz Mejía</t>
  </si>
  <si>
    <t>ddiaz@no-mii.com</t>
  </si>
  <si>
    <t>Nancy</t>
  </si>
  <si>
    <t>Gisselle Molinari Cheme</t>
  </si>
  <si>
    <t>nmolinari@no-mii.com</t>
  </si>
  <si>
    <t>Camilo Sanchez Ramirez</t>
  </si>
  <si>
    <t>jsanchez@no-mii.com</t>
  </si>
  <si>
    <t>Ellen</t>
  </si>
  <si>
    <t>Geronimo</t>
  </si>
  <si>
    <t>egeronimo@no-mii.com</t>
  </si>
  <si>
    <t>Estrada</t>
  </si>
  <si>
    <t>aestrada@no-mii.com</t>
  </si>
  <si>
    <t>Mayra</t>
  </si>
  <si>
    <t>Rivera</t>
  </si>
  <si>
    <t>mrivera@no-mii.com</t>
  </si>
  <si>
    <t>Sofia</t>
  </si>
  <si>
    <t>smartinez@no-mii.com</t>
  </si>
  <si>
    <t>María Lucero de Jesús</t>
  </si>
  <si>
    <t>Barrios Sazo</t>
  </si>
  <si>
    <t>mbarrios@no-mii.com</t>
  </si>
  <si>
    <t>Constanza</t>
  </si>
  <si>
    <t>Aguila</t>
  </si>
  <si>
    <t>caguila@no-mii.com</t>
  </si>
  <si>
    <t>Abel</t>
  </si>
  <si>
    <t>Palacios</t>
  </si>
  <si>
    <t>gpalacios@no-mii.com</t>
  </si>
  <si>
    <t>Diego</t>
  </si>
  <si>
    <t>Ruiz</t>
  </si>
  <si>
    <t>druiz@no-mii.com</t>
  </si>
  <si>
    <t>A2.2</t>
  </si>
  <si>
    <t>Bárbara</t>
  </si>
  <si>
    <t>Fuentes</t>
  </si>
  <si>
    <t>bfuentes@no-mii.com</t>
  </si>
  <si>
    <t>Vanessa</t>
  </si>
  <si>
    <t>Villarreal</t>
  </si>
  <si>
    <t>vvillareal@no-mii.com</t>
  </si>
  <si>
    <t>María</t>
  </si>
  <si>
    <t>Fernanda Alvar</t>
  </si>
  <si>
    <t>Luis</t>
  </si>
  <si>
    <t>Armando Calderon Manzanera</t>
  </si>
  <si>
    <t>lcalderon@no-mii.com</t>
  </si>
  <si>
    <t>Jorge</t>
  </si>
  <si>
    <t>Galgani</t>
  </si>
  <si>
    <t>jgalgani@no-mii.com</t>
  </si>
  <si>
    <t>Manuel Villanueva Contreras</t>
  </si>
  <si>
    <t>lvillanueva@no-mii.com</t>
  </si>
  <si>
    <t>Erick</t>
  </si>
  <si>
    <t>Angulo</t>
  </si>
  <si>
    <t>eangulo@no-mii.com</t>
  </si>
  <si>
    <t>Nadya</t>
  </si>
  <si>
    <t>Sofia García Carrasco</t>
  </si>
  <si>
    <t>ngarcia@no-mii.com</t>
  </si>
  <si>
    <t>Edipris</t>
  </si>
  <si>
    <t>eflores@no-mii.com</t>
  </si>
  <si>
    <t>Alejandra</t>
  </si>
  <si>
    <t>Leva</t>
  </si>
  <si>
    <t>aleva@no-mii.com</t>
  </si>
  <si>
    <t>Rivera Hernandez</t>
  </si>
  <si>
    <t>crivera@no-mii.com</t>
  </si>
  <si>
    <t>Lina</t>
  </si>
  <si>
    <t>María Estrada Duque</t>
  </si>
  <si>
    <t>lestrada@no-mii.com</t>
  </si>
  <si>
    <t>Aylin</t>
  </si>
  <si>
    <t>Ortiz</t>
  </si>
  <si>
    <t>aortiz@no-mii.com</t>
  </si>
  <si>
    <t>Nelfris</t>
  </si>
  <si>
    <t>Moret</t>
  </si>
  <si>
    <t>nmoret@no-mii.com</t>
  </si>
  <si>
    <t>Paulina</t>
  </si>
  <si>
    <t>Silva</t>
  </si>
  <si>
    <t>psilva@no-mii.com</t>
  </si>
  <si>
    <t>Vicente</t>
  </si>
  <si>
    <t>Campusano</t>
  </si>
  <si>
    <t>vcampusano@no-mii.com</t>
  </si>
  <si>
    <t>Mersaim Olivares Sandoval</t>
  </si>
  <si>
    <t>colivares@no-mii.com</t>
  </si>
  <si>
    <t>Ignacio</t>
  </si>
  <si>
    <t>Orellana</t>
  </si>
  <si>
    <t>iorellana@no-mii.com</t>
  </si>
  <si>
    <t>Cid</t>
  </si>
  <si>
    <t>mcid@no-mii.com</t>
  </si>
  <si>
    <t>Laura</t>
  </si>
  <si>
    <t>Giraldo</t>
  </si>
  <si>
    <t>lgiraldo@no-mii.com</t>
  </si>
  <si>
    <t>Ivan</t>
  </si>
  <si>
    <t>Gonzales</t>
  </si>
  <si>
    <t>igonzales@no-mii.com</t>
  </si>
  <si>
    <t>Polliyana</t>
  </si>
  <si>
    <t>Alvarado</t>
  </si>
  <si>
    <t>palvarado@no-mii.com</t>
  </si>
  <si>
    <t>Paola</t>
  </si>
  <si>
    <t>Hitos</t>
  </si>
  <si>
    <t>phitos@no-mii.com</t>
  </si>
  <si>
    <t>Ricardo</t>
  </si>
  <si>
    <t>Ernesto Miño Valencia</t>
  </si>
  <si>
    <t>rmino@no-mii.com</t>
  </si>
  <si>
    <t>Fernanda</t>
  </si>
  <si>
    <t>Arellano Guzmán</t>
  </si>
  <si>
    <t>fkompai@no-mii.com</t>
  </si>
  <si>
    <t>Josue</t>
  </si>
  <si>
    <t>Reyes</t>
  </si>
  <si>
    <t>jreyes@no-mii.com</t>
  </si>
  <si>
    <t>Kevin</t>
  </si>
  <si>
    <t>Mendez</t>
  </si>
  <si>
    <t>jmendez@no-mii.com</t>
  </si>
  <si>
    <t>dmendez@no-mii.com</t>
  </si>
  <si>
    <t>Marcelo</t>
  </si>
  <si>
    <t>Marroquin</t>
  </si>
  <si>
    <t>jmarroquin@no-mii.com</t>
  </si>
  <si>
    <t>Catalina</t>
  </si>
  <si>
    <t>Andrea Videla Muñoz</t>
  </si>
  <si>
    <t>cvidela@no-mii.com</t>
  </si>
  <si>
    <t>Carlos Ramirez Chavez</t>
  </si>
  <si>
    <t>jramirez@no-mii.com</t>
  </si>
  <si>
    <t>Virna</t>
  </si>
  <si>
    <t>Montenegro</t>
  </si>
  <si>
    <t>vmontenegro@no-mii.com</t>
  </si>
  <si>
    <t>A1 komplett</t>
  </si>
  <si>
    <t>Fabiola</t>
  </si>
  <si>
    <t>Del Río</t>
  </si>
  <si>
    <t>fdelrio@no-mii.com</t>
  </si>
  <si>
    <t>Pedro</t>
  </si>
  <si>
    <t>Baltierra</t>
  </si>
  <si>
    <t>pbaltierra@no-mii.com</t>
  </si>
  <si>
    <t>Felisatti</t>
  </si>
  <si>
    <t>mfelisatti@no-mii.com</t>
  </si>
  <si>
    <t>Carla</t>
  </si>
  <si>
    <t>Patínez</t>
  </si>
  <si>
    <t>cpatinez@no-mii.com</t>
  </si>
  <si>
    <t>Daniela</t>
  </si>
  <si>
    <t>Harbst</t>
  </si>
  <si>
    <t>dharbst@no-mii.com</t>
  </si>
  <si>
    <t>Liliana</t>
  </si>
  <si>
    <t>Gruezo</t>
  </si>
  <si>
    <t>lgruezo@no-mii.com</t>
  </si>
  <si>
    <t>Goretti Figueroa Romo</t>
  </si>
  <si>
    <t>afigueroa@no-mii.com</t>
  </si>
  <si>
    <t>Samuel</t>
  </si>
  <si>
    <t>Sebastián Marmolejo Saldarriaga</t>
  </si>
  <si>
    <t>smarmolejo@no-mii.com</t>
  </si>
  <si>
    <t>Fabian</t>
  </si>
  <si>
    <t>Andres Sarmiento Auli</t>
  </si>
  <si>
    <t>fsarmiento@no-mii.com</t>
  </si>
  <si>
    <t>Castro</t>
  </si>
  <si>
    <t>fcastro@no-mii.com</t>
  </si>
  <si>
    <t>Julio</t>
  </si>
  <si>
    <t>Adaros</t>
  </si>
  <si>
    <t>jadaros@no-mii.com</t>
  </si>
  <si>
    <t>Álvaro</t>
  </si>
  <si>
    <t>García Riesco</t>
  </si>
  <si>
    <t>agarcia@no-mii.com</t>
  </si>
  <si>
    <t>Valeria</t>
  </si>
  <si>
    <t>Carolina Heredia Peña</t>
  </si>
  <si>
    <t>vheredia@no-mii.com</t>
  </si>
  <si>
    <t>Salazar</t>
  </si>
  <si>
    <t>dsalazar@no-mii.com</t>
  </si>
  <si>
    <t>Marco Tulio</t>
  </si>
  <si>
    <t>Negrete Aceves</t>
  </si>
  <si>
    <t>mnegrete@no-mii.com</t>
  </si>
  <si>
    <t>Julian</t>
  </si>
  <si>
    <t>jgutierrez@no-mii.com</t>
  </si>
  <si>
    <t>Gelvez</t>
  </si>
  <si>
    <t>mgelvez@no-mii.com</t>
  </si>
  <si>
    <t>Olguer Ariel</t>
  </si>
  <si>
    <t>Pruna Herrera</t>
  </si>
  <si>
    <t>opruna@no-mii.com</t>
  </si>
  <si>
    <t>Jesica</t>
  </si>
  <si>
    <t>Paredes</t>
  </si>
  <si>
    <t>jparedes@no-mii.com</t>
  </si>
  <si>
    <t>Marisol</t>
  </si>
  <si>
    <t>Ibañez</t>
  </si>
  <si>
    <t>mibanez@no-mii.com</t>
  </si>
  <si>
    <t>Jordan</t>
  </si>
  <si>
    <t>Toledo Bravo</t>
  </si>
  <si>
    <t>Jordantoledob@gmail.com</t>
  </si>
  <si>
    <t>No Credits</t>
  </si>
  <si>
    <t>Corpeño</t>
  </si>
  <si>
    <t>Germán</t>
  </si>
  <si>
    <t>Jara Godoy</t>
  </si>
  <si>
    <t>gjara@no-mii.com</t>
  </si>
  <si>
    <t>Maria</t>
  </si>
  <si>
    <t>Paz Gazitua</t>
  </si>
  <si>
    <t>mpgazitua@no-mii.com</t>
  </si>
  <si>
    <t>Sebastian</t>
  </si>
  <si>
    <t>Arellano</t>
  </si>
  <si>
    <t>sarellano@no-mii.com</t>
  </si>
  <si>
    <t>Eduardo</t>
  </si>
  <si>
    <t>Mata</t>
  </si>
  <si>
    <t>emata@no-mii.com</t>
  </si>
  <si>
    <t>Camila</t>
  </si>
  <si>
    <t>Sanchez Aravena</t>
  </si>
  <si>
    <t>csanchez@no-mii.com</t>
  </si>
  <si>
    <t>Roxana</t>
  </si>
  <si>
    <t>Vergara</t>
  </si>
  <si>
    <t>Vergararosalesr@gmail.com</t>
  </si>
  <si>
    <t>Gabriel</t>
  </si>
  <si>
    <t>Alejandro Ortega Moreno</t>
  </si>
  <si>
    <t>Ian</t>
  </si>
  <si>
    <t>Job Lino Durán</t>
  </si>
  <si>
    <t>Rodrigo</t>
  </si>
  <si>
    <t>Rivera Ruiz</t>
  </si>
  <si>
    <t>rrivera@no-mii.com</t>
  </si>
  <si>
    <t>Bastian</t>
  </si>
  <si>
    <t>Sofjer</t>
  </si>
  <si>
    <t>bsofjer@no-mii.com</t>
  </si>
  <si>
    <t>Alan</t>
  </si>
  <si>
    <t>Diego Titiro Casone</t>
  </si>
  <si>
    <t>atitiro@no-mii.com</t>
  </si>
  <si>
    <t>Bernardita</t>
  </si>
  <si>
    <t>Lobo Zegers</t>
  </si>
  <si>
    <t>blobo@no-mii.com</t>
  </si>
  <si>
    <t>Margarita Cepeda Garrido</t>
  </si>
  <si>
    <t>lcepeda@no-mii.com</t>
  </si>
  <si>
    <t>Angel</t>
  </si>
  <si>
    <t>Martin Alarcon Macias</t>
  </si>
  <si>
    <t>aalarcon@no-mii.com</t>
  </si>
  <si>
    <t>Carlos Josue</t>
  </si>
  <si>
    <t>Escobar Morán</t>
  </si>
  <si>
    <t>cescobar@no-mii.com</t>
  </si>
  <si>
    <t>Rios</t>
  </si>
  <si>
    <t>mrios@no-mii.com</t>
  </si>
  <si>
    <t>Cinthya</t>
  </si>
  <si>
    <t>Males</t>
  </si>
  <si>
    <t>cmales@no-mii.com</t>
  </si>
  <si>
    <t>Moreno</t>
  </si>
  <si>
    <t>lmoreno@no-mii.com</t>
  </si>
  <si>
    <t>Sergio</t>
  </si>
  <si>
    <t>Francisco Garcia Sandoval</t>
  </si>
  <si>
    <t>sgarcia@no-mii.com</t>
  </si>
  <si>
    <t>José</t>
  </si>
  <si>
    <t>Miguel Undurraga Saavedra</t>
  </si>
  <si>
    <t>jundurraga@no-mii.com</t>
  </si>
  <si>
    <t>Miguel</t>
  </si>
  <si>
    <t>Sisalima</t>
  </si>
  <si>
    <t>msisalima@no-mii.com</t>
  </si>
  <si>
    <t>Cambara</t>
  </si>
  <si>
    <t>jcambara@no-mii.com</t>
  </si>
  <si>
    <t>Nathaly</t>
  </si>
  <si>
    <t>Hernandez</t>
  </si>
  <si>
    <t>nhernandez@no-mii.com</t>
  </si>
  <si>
    <t>Culla</t>
  </si>
  <si>
    <t>jculla@no-mii.com</t>
  </si>
  <si>
    <t>Rainier</t>
  </si>
  <si>
    <t>Guerrero</t>
  </si>
  <si>
    <t>rguerrero@no-mii.com</t>
  </si>
  <si>
    <t>Dinorah</t>
  </si>
  <si>
    <t>Gómez Castellanos</t>
  </si>
  <si>
    <t>dgomez@no-mii.com</t>
  </si>
  <si>
    <t>Pía</t>
  </si>
  <si>
    <t>Tassara</t>
  </si>
  <si>
    <t>piatassara@dmpop.cl</t>
  </si>
  <si>
    <t>italian</t>
  </si>
  <si>
    <t>Freddy</t>
  </si>
  <si>
    <t>Renzo Perez Villafuerte</t>
  </si>
  <si>
    <t>fperez@no-mii.com</t>
  </si>
  <si>
    <t>Alexandra Carolina</t>
  </si>
  <si>
    <t>Ordoñez Cuotto</t>
  </si>
  <si>
    <t>aordonez@no-mii.com</t>
  </si>
  <si>
    <t>Kimberly</t>
  </si>
  <si>
    <t>Chantelle Frey Arteaga</t>
  </si>
  <si>
    <t>kfrey@no-mii.com</t>
  </si>
  <si>
    <t>Antonio</t>
  </si>
  <si>
    <t>José Estrada Hoyo</t>
  </si>
  <si>
    <t>jestrada@no-mii.com</t>
  </si>
  <si>
    <t>Angie</t>
  </si>
  <si>
    <t>Sofia Perez Caceres</t>
  </si>
  <si>
    <t>aperez@no-mii.com</t>
  </si>
  <si>
    <t>Astrid</t>
  </si>
  <si>
    <t>Mariam Enamorado Ortega</t>
  </si>
  <si>
    <t>aenamorado@no-mii.com</t>
  </si>
  <si>
    <t>Natalia</t>
  </si>
  <si>
    <t>Valdebenito</t>
  </si>
  <si>
    <t>nvaldebenito@no-mii.com</t>
  </si>
  <si>
    <t>english</t>
  </si>
  <si>
    <t>Hector</t>
  </si>
  <si>
    <t>Daza</t>
  </si>
  <si>
    <t>hdaza@no-mii.com</t>
  </si>
  <si>
    <t>Maira</t>
  </si>
  <si>
    <t>Navas</t>
  </si>
  <si>
    <t>mnavas@no-mii.com</t>
  </si>
  <si>
    <t>Martin Esteban</t>
  </si>
  <si>
    <t>Orellana Dominguez</t>
  </si>
  <si>
    <t>morellana@no-mii.com</t>
  </si>
  <si>
    <t>Lino</t>
  </si>
  <si>
    <t>ilino@no-mii.com</t>
  </si>
  <si>
    <t>Pauline</t>
  </si>
  <si>
    <t>privera@no-mii.com</t>
  </si>
  <si>
    <t>Rojas</t>
  </si>
  <si>
    <t>drojas@no-mii.com</t>
  </si>
  <si>
    <t>Del Mar Ordoñez Dussan</t>
  </si>
  <si>
    <t>mordonez@no-mii.com</t>
  </si>
  <si>
    <t>Katherine</t>
  </si>
  <si>
    <t>Herraez</t>
  </si>
  <si>
    <t>kherraez@no-mii.com</t>
  </si>
  <si>
    <t>Gaspar</t>
  </si>
  <si>
    <t>Alvarez</t>
  </si>
  <si>
    <t>galvarez@no-mii.com</t>
  </si>
  <si>
    <t>Carlos Villa Cortés</t>
  </si>
  <si>
    <t>lvilla@no-mii.com</t>
  </si>
  <si>
    <t>Armando</t>
  </si>
  <si>
    <t>asuarez@no-mii.com</t>
  </si>
  <si>
    <t>Edgar</t>
  </si>
  <si>
    <t>Escalante</t>
  </si>
  <si>
    <t>eescalante@no-mii.com</t>
  </si>
  <si>
    <t>Raul</t>
  </si>
  <si>
    <t>rmartinez@no-mii.com</t>
  </si>
  <si>
    <t>Mario</t>
  </si>
  <si>
    <t>Arciga</t>
  </si>
  <si>
    <t>marciga@no-mii.com</t>
  </si>
  <si>
    <t>Soledad Tituana Asanza</t>
  </si>
  <si>
    <t>mtituana@no-mii.com</t>
  </si>
  <si>
    <t>Bryan</t>
  </si>
  <si>
    <t>Israel Jiménez Puente</t>
  </si>
  <si>
    <t>bjimenez@no-mii.com</t>
  </si>
  <si>
    <t>Orozco</t>
  </si>
  <si>
    <t>morozco@no-mii.com</t>
  </si>
  <si>
    <t>Emily</t>
  </si>
  <si>
    <t>Tapia</t>
  </si>
  <si>
    <t>etapia@no-mii.com</t>
  </si>
  <si>
    <t>Velastegui</t>
  </si>
  <si>
    <t>avelastegui@no-mii.com</t>
  </si>
  <si>
    <t>Rocío</t>
  </si>
  <si>
    <t>López</t>
  </si>
  <si>
    <t>rlopez@no-mii.com</t>
  </si>
  <si>
    <t>Nicolás</t>
  </si>
  <si>
    <t>Gonzalez</t>
  </si>
  <si>
    <t>ngonzalez@no-mii.com</t>
  </si>
  <si>
    <t>Laxmi</t>
  </si>
  <si>
    <t>Patel</t>
  </si>
  <si>
    <t>lpatel@no-mii.com</t>
  </si>
  <si>
    <t>Claudia</t>
  </si>
  <si>
    <t>Nivon</t>
  </si>
  <si>
    <t>cnivon@no-mii.com</t>
  </si>
  <si>
    <t>Fernando</t>
  </si>
  <si>
    <t>Lagos Belmar</t>
  </si>
  <si>
    <t>flagos@no-mii.com</t>
  </si>
  <si>
    <t>Francisco</t>
  </si>
  <si>
    <t>Salas Barrera</t>
  </si>
  <si>
    <t>fsalas@no-mii.com</t>
  </si>
  <si>
    <t>Abdon</t>
  </si>
  <si>
    <t>Daniel Carrillo Escobar</t>
  </si>
  <si>
    <t>acarrillo@no-mii.com</t>
  </si>
  <si>
    <t>Jose</t>
  </si>
  <si>
    <t>Luis Avilez Casas</t>
  </si>
  <si>
    <t>javilez@no-mii.com</t>
  </si>
  <si>
    <t>in_1T7FlSRoJmuqrcvmX4txpijv</t>
  </si>
  <si>
    <t>609F8A13-2142</t>
  </si>
  <si>
    <t>https://invoice.stripe.com/i/acct_1QimIiRoJmuqrcvm/live_YWNjdF8xUWltSWlSb0ptdXFyY3ZtLF9VNVFjSjM1b1VJdVJRZng5M0ZhOXpCdU1xT3hvWlVJLDE2MzE3Mjg5OA02003eNglL7v?s=db</t>
  </si>
  <si>
    <t>in_1T7HsWRoJmuqrcvmmU6tsyvR</t>
  </si>
  <si>
    <t>609F8A13-2145</t>
  </si>
  <si>
    <t>https://invoice.stripe.com/i/acct_1QimIiRoJmuqrcvm/live_YWNjdF8xUWltSWlSb0ptdXFyY3ZtLF9VNVNvck5ac05yUlNvcDlQS2hjWVBrNW5hTkRBTzVnLDE2MzE4NTQ1Ng0200ig5eVdfD?s=db</t>
  </si>
  <si>
    <t>Margen Neto/Dr (EUR)</t>
  </si>
  <si>
    <t>Margen Contribucion/Dr (EUR)</t>
  </si>
  <si>
    <t>in_1T7e2aRoJmuqrcvmLzez0QUX</t>
  </si>
  <si>
    <t>609F8A13-2146</t>
  </si>
  <si>
    <t>https://invoice.stripe.com/i/acct_1QimIiRoJmuqrcvm/live_YWNjdF8xUWltSWlSb0ptdXFyY3ZtLF9VNXBpb3QwVFlZU0l0UzBtem9BZzdncjBlbTZVWERSLDE2MzI2NjE2NA0200L2YZN7jh?s=db</t>
  </si>
  <si>
    <t>in_1T7GpWRoJmuqrcvmILOtH7mE</t>
  </si>
  <si>
    <t>609F8A13-2144</t>
  </si>
  <si>
    <t>c25000993</t>
  </si>
  <si>
    <t>c26000053</t>
  </si>
  <si>
    <t>in_1T7g05RoJmuqrcvmn7xHlP7T</t>
  </si>
  <si>
    <t>609F8A13-2149</t>
  </si>
  <si>
    <t>Taxi Kunath</t>
  </si>
  <si>
    <t>Transporte en Taxi Alemania</t>
  </si>
  <si>
    <t>Hotel Chemnitz</t>
  </si>
  <si>
    <t>Alojamiento, desayuno y City Tax (Drina Bascon-Scheffler)</t>
  </si>
  <si>
    <t>Alojamiento y City Tax (Múltiples huéspedes)</t>
  </si>
  <si>
    <t>RE-2026-00000171</t>
  </si>
  <si>
    <t>G144094135</t>
  </si>
  <si>
    <t>2026-391213967567</t>
  </si>
  <si>
    <t>Fahrkarte Super Sparpreis, Chemnitz Hbf - Berlin Hbf, 2. Klasse</t>
  </si>
  <si>
    <t>AAO5HUBC-0003</t>
  </si>
  <si>
    <t>3EAPNNF2-0004</t>
  </si>
  <si>
    <t>COHORTE INGRESO</t>
  </si>
  <si>
    <t>COHORTE IDIOMA</t>
  </si>
  <si>
    <t>COHORTE PAIS</t>
  </si>
  <si>
    <t>JMUQRCVM-2025-03</t>
  </si>
  <si>
    <t>JMUQRCVM-2025-04</t>
  </si>
  <si>
    <t>JMUQRCVM-2025-05</t>
  </si>
  <si>
    <t>JMUQRCVM-2025-06</t>
  </si>
  <si>
    <t>JMUQRCVM-2025-07</t>
  </si>
  <si>
    <t>JMUQRCVM-2025-08</t>
  </si>
  <si>
    <t>JMUQRCVM-2025-09</t>
  </si>
  <si>
    <t>JMUQRCVM-2025-10</t>
  </si>
  <si>
    <t>JMUQRCVM-2025-11</t>
  </si>
  <si>
    <t>JMUQRCVM-2025-12</t>
  </si>
  <si>
    <t>JMUQRCVM-2026-01</t>
  </si>
  <si>
    <t>JMUQRCVM-2026-02</t>
  </si>
  <si>
    <t xml:space="preserve">Stripe Fees </t>
  </si>
  <si>
    <t>Fees &amp; Charges</t>
  </si>
  <si>
    <t>2498344-14</t>
  </si>
  <si>
    <t>ID MICHAEL</t>
  </si>
  <si>
    <t>Vorname</t>
  </si>
  <si>
    <t>Familienname</t>
  </si>
  <si>
    <t>Juan Carlos</t>
  </si>
  <si>
    <t>Ramirez Chavez</t>
  </si>
  <si>
    <t>Alarcon</t>
  </si>
  <si>
    <t>Alina María</t>
  </si>
  <si>
    <t>Cervantes Real</t>
  </si>
  <si>
    <t>Busse</t>
  </si>
  <si>
    <t>Maria Laura</t>
  </si>
  <si>
    <t>Ríos</t>
  </si>
  <si>
    <t>Heredia</t>
  </si>
  <si>
    <t>Videla</t>
  </si>
  <si>
    <t>Lina María</t>
  </si>
  <si>
    <t>Estrada Duque</t>
  </si>
  <si>
    <t>Christian Felipe</t>
  </si>
  <si>
    <t>Sulbaran Fandiño</t>
  </si>
  <si>
    <t>Ortega</t>
  </si>
  <si>
    <t>Moran</t>
  </si>
  <si>
    <t>Pretell</t>
  </si>
  <si>
    <t>Isaac Ricardo</t>
  </si>
  <si>
    <t>Jiménez Campos</t>
  </si>
  <si>
    <t>Mayra Leonor</t>
  </si>
  <si>
    <t>Rivera Paico</t>
  </si>
  <si>
    <t>Olivares</t>
  </si>
  <si>
    <t>de los Angeles Gutierrez</t>
  </si>
  <si>
    <t>Martínez</t>
  </si>
  <si>
    <t>Marco</t>
  </si>
  <si>
    <t>Tulio Negrete</t>
  </si>
  <si>
    <t>Yaritza</t>
  </si>
  <si>
    <t>Cámbara</t>
  </si>
  <si>
    <t>Freddy Renzo</t>
  </si>
  <si>
    <t>Pérez Villafuerte</t>
  </si>
  <si>
    <t>Barrera</t>
  </si>
  <si>
    <t>María Fernanda</t>
  </si>
  <si>
    <t>Alvar</t>
  </si>
  <si>
    <t>Mauricio Ignacio</t>
  </si>
  <si>
    <t>Alcayaga Romo</t>
  </si>
  <si>
    <t>Filogonio</t>
  </si>
  <si>
    <t>Maya Mercado</t>
  </si>
  <si>
    <t>Astrid Mariam</t>
  </si>
  <si>
    <t>Enamorado Ortega</t>
  </si>
  <si>
    <t>Titiro</t>
  </si>
  <si>
    <t>Sergio Francisco</t>
  </si>
  <si>
    <t>Garcia Sandoval</t>
  </si>
  <si>
    <t>Sofía</t>
  </si>
  <si>
    <t>Martínez Restrepo</t>
  </si>
  <si>
    <t>Victor Emanuel</t>
  </si>
  <si>
    <t>Hernandez Ruiz</t>
  </si>
  <si>
    <t>Pérez Cáceres</t>
  </si>
  <si>
    <t>Juan Camilo</t>
  </si>
  <si>
    <t>Sanchez Ramirez</t>
  </si>
  <si>
    <t>Martiñon Torres</t>
  </si>
  <si>
    <t>Luis Carlos</t>
  </si>
  <si>
    <t>Villa Cortés</t>
  </si>
  <si>
    <t>Suárez</t>
  </si>
  <si>
    <t>Sánchez</t>
  </si>
  <si>
    <t>Viarreal</t>
  </si>
  <si>
    <t>Figueroa</t>
  </si>
  <si>
    <t>Diaz</t>
  </si>
  <si>
    <t>Raul Ernesto</t>
  </si>
  <si>
    <t>Martínez Orantes</t>
  </si>
  <si>
    <t>Karenn Yadira</t>
  </si>
  <si>
    <t>Tavera Lara</t>
  </si>
  <si>
    <t>Juan Manuel</t>
  </si>
  <si>
    <t>Reisenegger Scheel</t>
  </si>
  <si>
    <t>Ariel</t>
  </si>
  <si>
    <t>Pruna</t>
  </si>
  <si>
    <t>Alvaro</t>
  </si>
  <si>
    <t>García</t>
  </si>
  <si>
    <t>Jiménez</t>
  </si>
  <si>
    <t>Miño</t>
  </si>
  <si>
    <t>Moira</t>
  </si>
  <si>
    <t>Schneider</t>
  </si>
  <si>
    <t>Arciga Casian</t>
  </si>
  <si>
    <t>Tapia Villalobos</t>
  </si>
  <si>
    <t>Yefri</t>
  </si>
  <si>
    <t>Sapia</t>
  </si>
  <si>
    <t>Frey</t>
  </si>
  <si>
    <t>Araya Rojas</t>
  </si>
  <si>
    <t>Nicolas</t>
  </si>
  <si>
    <t>Samuel Sebastían</t>
  </si>
  <si>
    <t>Marmolejo Saldarriaga</t>
  </si>
  <si>
    <t>Luis Manuel</t>
  </si>
  <si>
    <t>Villanueva Contreras</t>
  </si>
  <si>
    <t>Maria Soledad</t>
  </si>
  <si>
    <t>Tituana</t>
  </si>
  <si>
    <t>Verasteguí Mendoza</t>
  </si>
  <si>
    <t>Maldonado</t>
  </si>
  <si>
    <t>Angulo Campos</t>
  </si>
  <si>
    <t>Gustavo Alexander</t>
  </si>
  <si>
    <t>Gonzalez Muñoz</t>
  </si>
  <si>
    <t>Ruíz</t>
  </si>
  <si>
    <t>Julian David</t>
  </si>
  <si>
    <t>Gutierrez Rodriguez</t>
  </si>
  <si>
    <t>María Stefania</t>
  </si>
  <si>
    <t>Gelvez Olaya</t>
  </si>
  <si>
    <t>Salas</t>
  </si>
  <si>
    <t>Sven</t>
  </si>
  <si>
    <t>Biedermann</t>
  </si>
  <si>
    <t>Elaine</t>
  </si>
  <si>
    <t>Acosta</t>
  </si>
  <si>
    <t>Carrillo</t>
  </si>
  <si>
    <t>Luis Armando</t>
  </si>
  <si>
    <t>Calderon</t>
  </si>
  <si>
    <t>Ochoa</t>
  </si>
  <si>
    <t>Garcia</t>
  </si>
  <si>
    <t>Barbara Javiera</t>
  </si>
  <si>
    <t>Fuentes Rodríguez</t>
  </si>
  <si>
    <t>Sofjer Peralta</t>
  </si>
  <si>
    <t>Fabián Andrés</t>
  </si>
  <si>
    <t>Sarmiento Auli</t>
  </si>
  <si>
    <t>José Luis</t>
  </si>
  <si>
    <t>Avilez Casas</t>
  </si>
  <si>
    <t>Ibáñez</t>
  </si>
  <si>
    <t>E0300Z4ZU7</t>
  </si>
  <si>
    <t>stihklir@gmail.com</t>
  </si>
  <si>
    <t>cus_U3ZxuFgIkGbbtC</t>
  </si>
  <si>
    <t>in_1T5SncRoJmuqrcvm1GHgAY9N</t>
  </si>
  <si>
    <t>609F8A13-2080</t>
  </si>
  <si>
    <t>Stiben Lopez Vargas</t>
  </si>
  <si>
    <t>IN-2026-0133685</t>
  </si>
  <si>
    <t>Nombre en Stripe</t>
  </si>
  <si>
    <t>Observaciones</t>
  </si>
  <si>
    <t>Catalina Ochoa Urrutia</t>
  </si>
  <si>
    <t>⚠️ DUPLICADO - mismo ID Stripe que 25167</t>
  </si>
  <si>
    <t>in_1T80FPRoJmuqrcvmZTz7I4cJ</t>
  </si>
  <si>
    <t>609F8A13-2150</t>
  </si>
  <si>
    <t>https://invoice.stripe.com/i/acct_1QimIiRoJmuqrcvm/live_YWNjdF8xUWltSWlSb0ptdXFyY3ZtLF9VNkNlY0Z1WFE4UjMyQjM0VHVOaTZZaTBQckhzZEV5LDE2MzM1MTU0MQ0200GfR4HqZ0?s=db</t>
  </si>
  <si>
    <t>in_1T1kXRRoJmuqrcvmlnp2kmfF</t>
  </si>
  <si>
    <t>609F8A13-2005</t>
  </si>
  <si>
    <t>https://invoice.stripe.com/i/acct_1QimIiRoJmuqrcvm/live_YWNjdF8xUWltSWlSb0ptdXFyY3ZtLF9Uemsxenhtc3pxMVdZVWtGcGdLZDJXRjNZNVNoUG9MLDE2MzM1MTE1NQ0200Xv608taM?s=db</t>
  </si>
  <si>
    <t xml:space="preserve">TRASPASAR </t>
  </si>
  <si>
    <t>in_1T5SovRoJmuqrcvm5ycFzYbu</t>
  </si>
  <si>
    <t>609F8A13-2081</t>
  </si>
  <si>
    <t>https://invoice.stripe.com/i/acct_1QimIiRoJmuqrcvm/live_YWNjdF8xUWltSWlSb0ptdXFyY3ZtLF9VM1p5c3VmWDd4bXpkMlNmQ25icWNhRm9lYVFTVFg0LDE2MzM2NTQ3Nw0200Yh4bYpJH?s=db</t>
  </si>
  <si>
    <t>in_1T842XRoJmuqrcvmeIVpLdY1</t>
  </si>
  <si>
    <t>609F8A13-2151</t>
  </si>
  <si>
    <t>https://invoice.stripe.com/i/acct_1QimIiRoJmuqrcvm/live_YWNjdF8xUWltSWlSb0ptdXFyY3ZtLF9VNkdad3dKWEtwNGdlb3gzc0MzQ2o1R3lUNUgzRVJhLDE2MzM2NjEyMw0200uxeh3snN?s=db</t>
  </si>
  <si>
    <t>in_1T844jRoJmuqrcvmSPuOL87i</t>
  </si>
  <si>
    <t>609F8A13-2152</t>
  </si>
  <si>
    <t>https://invoice.stripe.com/i/acct_1QimIiRoJmuqrcvm/live_YWNjdF8xUWltSWlSb0ptdXFyY3ZtLF9VNkdiNW5HaWQzYnhMVnc0QXQ5cFczSTV3SG52eFZ2LDE2MzM2NjI5Mw0200mfrjC1HO?s=db</t>
  </si>
  <si>
    <t>in_1T84MaRoJmuqrcvmlP1cAIXq</t>
  </si>
  <si>
    <t>609F8A13-2153</t>
  </si>
  <si>
    <t>https://invoice.stripe.com/i/acct_1QimIiRoJmuqrcvm/live_YWNjdF8xUWltSWlSb0ptdXFyY3ZtLF9VNkd1S0dqTFF1N0RnQlVCWW5HQXlOVFlUV0trektMLDE2MzM2NzM3OQ0200zxgliW36?s=db</t>
  </si>
  <si>
    <t>in_1T84VGRoJmuqrcvmqPee4B8p</t>
  </si>
  <si>
    <t>609F8A13-2154</t>
  </si>
  <si>
    <t>https://invoice.stripe.com/i/acct_1QimIiRoJmuqrcvm/live_YWNjdF8xUWltSWlSb0ptdXFyY3ZtLF9VNkgzQVJab3dsRWJTbHJ0TnFwUnNUYWV5dnFkN29lLDE2MzM2Nzk5MA0200j4RDHrxT?s=db</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</si>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</sst>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4" formatCode="_-&quot;$&quot;* #,##0.00_-;\-&quot;$&quot;* #,##0.00_-;_-&quot;$&quot;* &quot;-&quot;??_-;_-@_-"/>
    <numFmt numFmtId="164" formatCode="_ &quot;$&quot;* #,##0_ ;_ &quot;$&quot;* \-#,##0_ ;_ &quot;$&quot;* &quot;-&quot;_ ;_ @_ "/>
    <numFmt numFmtId="165" formatCode="_ * #,##0_ ;_ * \-#,##0_ ;_ * &quot;-&quot;_ ;_ @_ "/>
    <numFmt numFmtId="166" formatCode="_([$€-2]\ * #,##0.00_);_([$€-2]\ * \(#,##0.00\);_([$€-2]\ * &quot;-&quot;??_);_(@_)"/>
    <numFmt numFmtId="167" formatCode="_ [$€-2]\ * #,##0.00_ ;_ [$€-2]\ * \-#,##0.00_ ;_ [$€-2]\ * &quot;-&quot;??_ ;_ @_ "/>
    <numFmt numFmtId="168" formatCode="_ [$USD]\ * #,##0_ ;_ [$USD]\ * \-#,##0_ ;_ [$USD]\ * &quot;-&quot;_ ;_ @_ "/>
    <numFmt numFmtId="169" formatCode="_-[$€-2]\ * #,##0.00_-;\-[$€-2]\ * #,##0.00_-;_-[$€-2]\ * &quot;-&quot;_-;_-@_-"/>
    <numFmt numFmtId="170" formatCode="mm/dd/yy;@"/>
    <numFmt numFmtId="171" formatCode="_-[$€-2]\ * #,##0.00_-;\-[$€-2]\ * #,##0.00_-;_-[$€-2]\ * &quot;-&quot;??_-;_-@_-"/>
    <numFmt numFmtId="172" formatCode="_-[$$-409]* #,##0.0000_ ;_-[$$-409]* \-#,##0.0000\ ;_-[$$-409]* &quot;-&quot;??_ ;_-@_ "/>
    <numFmt numFmtId="173" formatCode="0.000000"/>
    <numFmt numFmtId="174" formatCode="_-[$$-409]* #,##0.00_ ;_-[$$-409]* \-#,##0.00\ ;_-[$$-409]* &quot;-&quot;??_ ;_-@_ "/>
    <numFmt numFmtId="175" formatCode="_ &quot;$&quot;* #,##0.00_ ;_ &quot;$&quot;* \-#,##0.00_ ;_ &quot;$&quot;* &quot;-&quot;_ ;_ @_ "/>
    <numFmt numFmtId="176" formatCode="_ &quot;$&quot;* #,##0.0000_ ;_ &quot;$&quot;* \-#,##0.0000_ ;_ &quot;$&quot;* &quot;-&quot;_ ;_ @_ "/>
    <numFmt numFmtId="177" formatCode="_-&quot;$&quot;* #,##0_-;\-&quot;$&quot;* #,##0_-;_-&quot;$&quot;* &quot;-&quot;??_-;_-@_-"/>
    <numFmt numFmtId="178" formatCode="0.0000"/>
    <numFmt numFmtId="179" formatCode="_ * #,##0.00000000000_ ;_ * \-#,##0.00000000000_ ;_ * &quot;-&quot;_ ;_ @_ "/>
    <numFmt numFmtId="180" formatCode="_ * #,##0.000000_ ;_ * \-#,##0.000000_ ;_ * &quot;-&quot;_ ;_ @_ "/>
    <numFmt numFmtId="181" formatCode="0.0%"/>
    <numFmt numFmtId="182" formatCode="_ * #,##0.0_ ;_ * \-#,##0.0_ ;_ * &quot;-&quot;_ ;_ @_ "/>
    <numFmt numFmtId="183" formatCode="_ [$USD]\ * #,##0.00_ ;_ [$USD]\ * \-#,##0.00_ ;_ [$USD]\ * &quot;-&quot;_ ;_ @_ "/>
    <numFmt numFmtId="184" formatCode="0.0000%"/>
    <numFmt numFmtId="185" formatCode="mmm/yyyy"/>
  </numFmts>
  <fonts count="43">
    <font>
      <sz val="11"/>
      <color theme="1"/>
      <name val="Aptos Narrow"/>
      <family val="2"/>
      <scheme val="minor"/>
    </font>
    <font>
      <b/>
      <sz val="11"/>
      <color theme="0"/>
      <name val="Aptos Narrow"/>
      <family val="2"/>
      <scheme val="minor"/>
    </font>
    <font>
      <b/>
      <sz val="11"/>
      <color theme="1"/>
      <name val="Aptos Narrow"/>
      <family val="2"/>
      <scheme val="minor"/>
    </font>
    <font>
      <sz val="11"/>
      <color rgb="FF000000"/>
      <name val="Aptos Narrow"/>
      <family val="2"/>
    </font>
    <font>
      <b/>
      <sz val="11"/>
      <color rgb="FF000000"/>
      <name val="Aptos Narrow"/>
      <family val="2"/>
    </font>
    <font>
      <sz val="11"/>
      <color theme="1"/>
      <name val="Aptos Narrow"/>
      <family val="2"/>
    </font>
    <font>
      <sz val="11"/>
      <color theme="1"/>
      <name val="Aptos Narrow"/>
      <family val="2"/>
      <scheme val="minor"/>
    </font>
    <font>
      <sz val="8"/>
      <name val="Aptos Narrow"/>
      <family val="2"/>
      <scheme val="minor"/>
    </font>
    <font>
      <u/>
      <sz val="11"/>
      <color theme="10"/>
      <name val="Aptos Narrow"/>
      <family val="2"/>
      <scheme val="minor"/>
    </font>
    <font>
      <sz val="11"/>
      <color rgb="FF000000"/>
      <name val="Aptos Narrow"/>
      <family val="2"/>
      <scheme val="minor"/>
    </font>
    <font>
      <b/>
      <sz val="11"/>
      <color theme="1"/>
      <name val="Aptos Narrow"/>
      <family val="2"/>
    </font>
    <font>
      <sz val="11"/>
      <color theme="0"/>
      <name val="Aptos Narrow"/>
      <family val="2"/>
      <scheme val="minor"/>
    </font>
    <font>
      <b/>
      <sz val="11"/>
      <color theme="0"/>
      <name val="Calibri"/>
      <family val="2"/>
    </font>
    <font>
      <b/>
      <sz val="11"/>
      <color theme="1" tint="4.9989318521683403E-2"/>
      <name val="Aptos Narrow"/>
      <family val="2"/>
    </font>
    <font>
      <sz val="11"/>
      <color theme="1" tint="4.9989318521683403E-2"/>
      <name val="Aptos Narrow"/>
      <family val="2"/>
      <scheme val="minor"/>
    </font>
    <font>
      <sz val="11"/>
      <color theme="1" tint="4.9989318521683403E-2"/>
      <name val="Aptos Narrow"/>
      <family val="2"/>
    </font>
    <font>
      <sz val="10"/>
      <color theme="1"/>
      <name val="Aptos Narrow"/>
      <family val="2"/>
      <scheme val="minor"/>
    </font>
    <font>
      <sz val="11"/>
      <color rgb="FFFFFFFF"/>
      <name val="Aptos Narrow"/>
      <family val="2"/>
      <scheme val="minor"/>
    </font>
    <font>
      <b/>
      <sz val="10"/>
      <color theme="0"/>
      <name val="Aptos Narrow"/>
      <family val="2"/>
      <scheme val="minor"/>
    </font>
    <font>
      <sz val="11"/>
      <color rgb="FF000000"/>
      <name val="Aptos Narrow"/>
      <family val="2"/>
    </font>
    <font>
      <b/>
      <sz val="11"/>
      <color rgb="FF000000"/>
      <name val="Aptos Narrow"/>
      <family val="2"/>
    </font>
    <font>
      <sz val="11"/>
      <color rgb="FF000000"/>
      <name val="Aptos Narrow"/>
      <family val="2"/>
      <scheme val="minor"/>
    </font>
    <font>
      <i/>
      <sz val="11"/>
      <color rgb="FF666666"/>
      <name val="Aptos Narrow"/>
      <family val="2"/>
      <scheme val="minor"/>
    </font>
    <font>
      <b/>
      <sz val="11"/>
      <color rgb="FFFFFFFF"/>
      <name val="Aptos Narrow"/>
      <family val="2"/>
      <scheme val="minor"/>
    </font>
    <font>
      <sz val="11"/>
      <color theme="0"/>
      <name val="Aptos Narrow"/>
      <family val="2"/>
      <scheme val="minor"/>
    </font>
    <font>
      <b/>
      <sz val="11"/>
      <color rgb="FF000000"/>
      <name val="Aptos Narrow"/>
      <family val="2"/>
      <scheme val="minor"/>
    </font>
    <font>
      <b/>
      <sz val="11"/>
      <color theme="0"/>
      <name val="Aptos Narrow"/>
      <family val="2"/>
      <scheme val="minor"/>
    </font>
    <font>
      <sz val="11"/>
      <color theme="1"/>
      <name val="Aptos Narrow"/>
      <family val="2"/>
    </font>
    <font>
      <i/>
      <sz val="11"/>
      <color rgb="FF000000"/>
      <name val="Aptos Narrow"/>
      <family val="2"/>
      <scheme val="minor"/>
    </font>
    <font>
      <b/>
      <sz val="14"/>
      <color rgb="FF003366"/>
      <name val="Aptos Narrow"/>
      <family val="2"/>
      <scheme val="minor"/>
    </font>
    <font>
      <b/>
      <sz val="12"/>
      <color rgb="FF003366"/>
      <name val="Aptos Narrow"/>
      <family val="2"/>
      <scheme val="minor"/>
    </font>
    <font>
      <sz val="11"/>
      <color rgb="FF000000"/>
      <name val="Aptos Narrow"/>
      <family val="2"/>
    </font>
    <font>
      <sz val="11"/>
      <color rgb="FF000000"/>
      <name val="Aptos Narrow"/>
      <family val="2"/>
    </font>
    <font>
      <sz val="11"/>
      <color theme="0"/>
      <name val="Aptos Narrow"/>
      <family val="2"/>
      <scheme val="minor"/>
    </font>
    <font>
      <b/>
      <i/>
      <sz val="11"/>
      <color rgb="FF003366"/>
      <name val="Aptos Narrow"/>
      <family val="2"/>
      <scheme val="minor"/>
    </font>
    <font>
      <b/>
      <sz val="11"/>
      <color theme="0"/>
      <name val="Aptos Narrow"/>
      <family val="2"/>
      <scheme val="minor"/>
    </font>
    <font>
      <b/>
      <sz val="10"/>
      <color theme="1"/>
      <name val="Arial"/>
      <family val="2"/>
    </font>
    <font>
      <b/>
      <sz val="10"/>
      <color theme="1"/>
      <name val="-apple-system"/>
    </font>
    <font>
      <sz val="10"/>
      <color theme="1"/>
      <name val="Arial"/>
      <family val="2"/>
    </font>
    <font>
      <sz val="10"/>
      <color rgb="FF333333"/>
      <name val="Arial"/>
      <family val="2"/>
    </font>
    <font>
      <sz val="11"/>
      <name val="Aptos Narrow"/>
      <family val="2"/>
      <scheme val="minor"/>
    </font>
    <font>
      <b/>
      <sz val="11"/>
      <color rgb="FFFFFFFF"/>
      <name val="Arial"/>
      <family val="2"/>
    </font>
    <font>
      <sz val="10"/>
      <name val="Arial"/>
      <family val="2"/>
    </font>
  </fonts>
  <fills count="41">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theme="0"/>
        <bgColor indexed="64"/>
      </patternFill>
    </fill>
    <fill>
      <patternFill patternType="solid">
        <fgColor rgb="FF00B050"/>
        <bgColor indexed="64"/>
      </patternFill>
    </fill>
    <fill>
      <patternFill patternType="solid">
        <fgColor theme="3" tint="0.499984740745262"/>
        <bgColor indexed="64"/>
      </patternFill>
    </fill>
    <fill>
      <patternFill patternType="solid">
        <fgColor theme="1" tint="4.9989318521683403E-2"/>
        <bgColor indexed="64"/>
      </patternFill>
    </fill>
    <fill>
      <patternFill patternType="solid">
        <fgColor theme="2" tint="-0.249977111117893"/>
        <bgColor indexed="64"/>
      </patternFill>
    </fill>
    <fill>
      <patternFill patternType="solid">
        <fgColor theme="3" tint="0.749992370372631"/>
        <bgColor indexed="64"/>
      </patternFill>
    </fill>
    <fill>
      <patternFill patternType="solid">
        <fgColor theme="2" tint="-0.499984740745262"/>
        <bgColor indexed="64"/>
      </patternFill>
    </fill>
    <fill>
      <patternFill patternType="solid">
        <fgColor theme="1"/>
        <bgColor theme="1"/>
      </patternFill>
    </fill>
    <fill>
      <patternFill patternType="solid">
        <fgColor theme="8" tint="0.59999389629810485"/>
        <bgColor indexed="64"/>
      </patternFill>
    </fill>
    <fill>
      <patternFill patternType="solid">
        <fgColor theme="7" tint="-0.249977111117893"/>
        <bgColor indexed="64"/>
      </patternFill>
    </fill>
    <fill>
      <patternFill patternType="solid">
        <fgColor rgb="FFE49EDD"/>
        <bgColor rgb="FF000000"/>
      </patternFill>
    </fill>
    <fill>
      <patternFill patternType="solid">
        <fgColor theme="4"/>
        <bgColor theme="4"/>
      </patternFill>
    </fill>
    <fill>
      <patternFill patternType="solid">
        <fgColor theme="8"/>
        <bgColor indexed="64"/>
      </patternFill>
    </fill>
    <fill>
      <patternFill patternType="solid">
        <fgColor rgb="FFC00000"/>
        <bgColor indexed="64"/>
      </patternFill>
    </fill>
    <fill>
      <patternFill patternType="solid">
        <fgColor theme="8" tint="0.79998168889431442"/>
        <bgColor indexed="64"/>
      </patternFill>
    </fill>
    <fill>
      <patternFill patternType="solid">
        <fgColor theme="5"/>
        <bgColor indexed="64"/>
      </patternFill>
    </fill>
    <fill>
      <patternFill patternType="solid">
        <fgColor rgb="FFFFC000"/>
        <bgColor indexed="64"/>
      </patternFill>
    </fill>
    <fill>
      <patternFill patternType="solid">
        <fgColor rgb="FF20C6B6"/>
        <bgColor rgb="FF003366"/>
      </patternFill>
    </fill>
    <fill>
      <patternFill patternType="solid">
        <fgColor rgb="FF003366"/>
        <bgColor indexed="64"/>
      </patternFill>
    </fill>
    <fill>
      <patternFill patternType="solid">
        <fgColor rgb="FF4D7EA8"/>
        <bgColor indexed="64"/>
      </patternFill>
    </fill>
    <fill>
      <patternFill patternType="solid">
        <fgColor rgb="FFFFCC00"/>
        <bgColor indexed="64"/>
      </patternFill>
    </fill>
    <fill>
      <patternFill patternType="solid">
        <fgColor rgb="FF104861"/>
        <bgColor rgb="FF000000"/>
      </patternFill>
    </fill>
    <fill>
      <patternFill patternType="solid">
        <fgColor theme="9"/>
        <bgColor indexed="64"/>
      </patternFill>
    </fill>
    <fill>
      <patternFill patternType="solid">
        <fgColor theme="4"/>
        <bgColor indexed="64"/>
      </patternFill>
    </fill>
    <fill>
      <patternFill patternType="solid">
        <fgColor rgb="FF8E7CC3"/>
        <bgColor indexed="64"/>
      </patternFill>
    </fill>
    <fill>
      <patternFill patternType="solid">
        <fgColor rgb="FFEAD1DC"/>
        <bgColor indexed="64"/>
      </patternFill>
    </fill>
    <fill>
      <patternFill patternType="solid">
        <fgColor rgb="FFD5A6BD"/>
        <bgColor indexed="64"/>
      </patternFill>
    </fill>
    <fill>
      <patternFill patternType="solid">
        <fgColor rgb="FF9FC5E8"/>
        <bgColor indexed="64"/>
      </patternFill>
    </fill>
    <fill>
      <patternFill patternType="solid">
        <fgColor rgb="FF3D85C6"/>
        <bgColor indexed="64"/>
      </patternFill>
    </fill>
    <fill>
      <patternFill patternType="solid">
        <fgColor rgb="FFEFEFEF"/>
        <bgColor indexed="64"/>
      </patternFill>
    </fill>
    <fill>
      <patternFill patternType="solid">
        <fgColor rgb="FFFFF2CC"/>
        <bgColor indexed="64"/>
      </patternFill>
    </fill>
    <fill>
      <patternFill patternType="solid">
        <fgColor rgb="FF93C47D"/>
        <bgColor indexed="64"/>
      </patternFill>
    </fill>
    <fill>
      <patternFill patternType="solid">
        <fgColor rgb="FFFFFFFF"/>
        <bgColor indexed="64"/>
      </patternFill>
    </fill>
    <fill>
      <patternFill patternType="solid">
        <fgColor rgb="FFEA9999"/>
        <bgColor indexed="64"/>
      </patternFill>
    </fill>
    <fill>
      <patternFill patternType="solid">
        <fgColor rgb="FF1F4E79"/>
      </patternFill>
    </fill>
    <fill>
      <patternFill patternType="solid">
        <fgColor rgb="FFE2EFDA"/>
      </patternFill>
    </fill>
    <fill>
      <patternFill patternType="solid">
        <fgColor rgb="FFFFF2CC"/>
      </patternFill>
    </fill>
  </fills>
  <borders count="91">
    <border>
      <left/>
      <right/>
      <top/>
      <bottom/>
      <diagonal/>
    </border>
    <border>
      <left/>
      <right style="medium">
        <color rgb="FF000000"/>
      </right>
      <top/>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top/>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theme="4"/>
      </top>
      <bottom/>
      <diagonal/>
    </border>
    <border>
      <left style="medium">
        <color indexed="64"/>
      </left>
      <right style="medium">
        <color indexed="64"/>
      </right>
      <top style="thin">
        <color theme="4"/>
      </top>
      <bottom style="medium">
        <color indexed="64"/>
      </bottom>
      <diagonal/>
    </border>
    <border>
      <left/>
      <right style="medium">
        <color indexed="64"/>
      </right>
      <top style="thin">
        <color theme="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right/>
      <top style="thin">
        <color rgb="FF156082"/>
      </top>
      <bottom style="thin">
        <color indexed="64"/>
      </bottom>
      <diagonal/>
    </border>
    <border>
      <left/>
      <right/>
      <top style="thin">
        <color rgb="FF156082"/>
      </top>
      <bottom/>
      <diagonal/>
    </border>
    <border>
      <left style="medium">
        <color indexed="64"/>
      </left>
      <right style="medium">
        <color indexed="64"/>
      </right>
      <top style="thin">
        <color indexed="64"/>
      </top>
      <bottom style="thin">
        <color theme="4" tint="0.39997558519241921"/>
      </bottom>
      <diagonal/>
    </border>
    <border>
      <left style="medium">
        <color indexed="64"/>
      </left>
      <right/>
      <top style="medium">
        <color indexed="64"/>
      </top>
      <bottom style="thin">
        <color theme="4" tint="0.39997558519241921"/>
      </bottom>
      <diagonal/>
    </border>
    <border>
      <left style="medium">
        <color indexed="64"/>
      </left>
      <right style="medium">
        <color indexed="64"/>
      </right>
      <top/>
      <bottom/>
      <diagonal/>
    </border>
    <border>
      <left/>
      <right/>
      <top style="thin">
        <color theme="4"/>
      </top>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rgb="FF000000"/>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right/>
      <top style="thin">
        <color indexed="64"/>
      </top>
      <bottom/>
      <diagonal/>
    </border>
    <border>
      <left/>
      <right/>
      <top style="thin">
        <color theme="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5">
    <xf numFmtId="0" fontId="0" fillId="0" borderId="0"/>
    <xf numFmtId="9" fontId="6" fillId="0" borderId="0" applyFont="0" applyFill="0" applyBorder="0" applyAlignment="0" applyProtection="0"/>
    <xf numFmtId="165" fontId="6" fillId="0" borderId="0" applyFont="0" applyFill="0" applyBorder="0" applyAlignment="0" applyProtection="0"/>
    <xf numFmtId="0" fontId="8" fillId="0" borderId="0" applyNumberFormat="0" applyFill="0" applyBorder="0" applyAlignment="0" applyProtection="0"/>
    <xf numFmtId="164" fontId="6" fillId="0" borderId="0" applyFont="0" applyFill="0" applyBorder="0" applyAlignment="0" applyProtection="0"/>
  </cellStyleXfs>
  <cellXfs count="763">
    <xf numFmtId="0" fontId="0" fillId="0" borderId="0" xfId="0"/>
    <xf numFmtId="0" fontId="0" fillId="0" borderId="1" xfId="0" applyBorder="1"/>
    <xf numFmtId="167" fontId="0" fillId="0" borderId="0" xfId="0" applyNumberFormat="1"/>
    <xf numFmtId="167" fontId="0" fillId="0" borderId="1" xfId="0" applyNumberFormat="1" applyBorder="1" applyAlignment="1">
      <alignment horizontal="center"/>
    </xf>
    <xf numFmtId="0" fontId="0" fillId="0" borderId="0" xfId="0" applyAlignment="1">
      <alignment horizontal="left"/>
    </xf>
    <xf numFmtId="0" fontId="0" fillId="0" borderId="5" xfId="0" applyBorder="1"/>
    <xf numFmtId="167" fontId="0" fillId="0" borderId="1" xfId="0" applyNumberFormat="1" applyBorder="1"/>
    <xf numFmtId="167" fontId="0" fillId="0" borderId="0" xfId="0" applyNumberFormat="1" applyAlignment="1">
      <alignment horizontal="center"/>
    </xf>
    <xf numFmtId="0" fontId="2" fillId="0" borderId="0" xfId="0" applyFont="1"/>
    <xf numFmtId="0" fontId="0" fillId="0" borderId="9" xfId="0" applyBorder="1"/>
    <xf numFmtId="14" fontId="0" fillId="0" borderId="0" xfId="0" applyNumberFormat="1"/>
    <xf numFmtId="167" fontId="0" fillId="0" borderId="0" xfId="4" applyNumberFormat="1" applyFont="1"/>
    <xf numFmtId="167" fontId="0" fillId="0" borderId="8" xfId="4" applyNumberFormat="1" applyFont="1" applyBorder="1"/>
    <xf numFmtId="14" fontId="2" fillId="0" borderId="15" xfId="0" applyNumberFormat="1" applyFont="1" applyBorder="1" applyAlignment="1">
      <alignment horizontal="left"/>
    </xf>
    <xf numFmtId="167" fontId="2" fillId="0" borderId="0" xfId="4" applyNumberFormat="1" applyFont="1" applyBorder="1" applyAlignment="1">
      <alignment horizontal="left"/>
    </xf>
    <xf numFmtId="0" fontId="0" fillId="0" borderId="0" xfId="0" applyProtection="1">
      <protection locked="0"/>
    </xf>
    <xf numFmtId="167" fontId="0" fillId="0" borderId="0" xfId="0" applyNumberFormat="1" applyProtection="1">
      <protection locked="0"/>
    </xf>
    <xf numFmtId="14" fontId="0" fillId="0" borderId="0" xfId="0" applyNumberFormat="1" applyAlignment="1">
      <alignment horizontal="center"/>
    </xf>
    <xf numFmtId="14" fontId="0" fillId="0" borderId="1" xfId="0" applyNumberFormat="1" applyBorder="1" applyAlignment="1">
      <alignment horizontal="center"/>
    </xf>
    <xf numFmtId="168" fontId="0" fillId="0" borderId="0" xfId="0" applyNumberFormat="1"/>
    <xf numFmtId="0" fontId="0" fillId="5" borderId="0" xfId="0" applyFill="1"/>
    <xf numFmtId="0" fontId="9" fillId="0" borderId="0" xfId="0" applyFont="1"/>
    <xf numFmtId="0" fontId="8" fillId="0" borderId="0" xfId="3" applyFill="1"/>
    <xf numFmtId="0" fontId="8" fillId="0" borderId="0" xfId="3"/>
    <xf numFmtId="17" fontId="2" fillId="3" borderId="18" xfId="0" applyNumberFormat="1" applyFont="1" applyFill="1" applyBorder="1" applyAlignment="1">
      <alignment horizontal="center"/>
    </xf>
    <xf numFmtId="167" fontId="0" fillId="0" borderId="17" xfId="4" applyNumberFormat="1" applyFont="1" applyBorder="1"/>
    <xf numFmtId="0" fontId="8" fillId="0" borderId="0" xfId="3" applyBorder="1"/>
    <xf numFmtId="0" fontId="3" fillId="0" borderId="0" xfId="0" applyFont="1"/>
    <xf numFmtId="0" fontId="12" fillId="0" borderId="22" xfId="0" applyFont="1" applyBorder="1" applyAlignment="1">
      <alignment horizontal="center" vertical="top"/>
    </xf>
    <xf numFmtId="0" fontId="12" fillId="0" borderId="12" xfId="0" applyFont="1" applyBorder="1" applyAlignment="1">
      <alignment horizontal="center" vertical="top"/>
    </xf>
    <xf numFmtId="0" fontId="12" fillId="0" borderId="11" xfId="0" applyFont="1" applyBorder="1" applyAlignment="1">
      <alignment horizontal="center" vertical="top"/>
    </xf>
    <xf numFmtId="171" fontId="0" fillId="0" borderId="9" xfId="4" applyNumberFormat="1" applyFont="1" applyFill="1" applyBorder="1" applyAlignment="1">
      <alignment horizontal="center"/>
    </xf>
    <xf numFmtId="0" fontId="0" fillId="0" borderId="9" xfId="0" applyBorder="1" applyAlignment="1">
      <alignment horizontal="center"/>
    </xf>
    <xf numFmtId="2" fontId="0" fillId="0" borderId="0" xfId="0" applyNumberFormat="1" applyAlignment="1">
      <alignment horizontal="center"/>
    </xf>
    <xf numFmtId="172" fontId="0" fillId="0" borderId="9" xfId="4" applyNumberFormat="1" applyFont="1" applyFill="1" applyBorder="1" applyAlignment="1">
      <alignment horizontal="center"/>
    </xf>
    <xf numFmtId="173" fontId="0" fillId="0" borderId="0" xfId="0" applyNumberFormat="1" applyAlignment="1">
      <alignment horizontal="center"/>
    </xf>
    <xf numFmtId="174" fontId="0" fillId="0" borderId="24" xfId="4" applyNumberFormat="1" applyFont="1" applyFill="1" applyBorder="1" applyAlignment="1">
      <alignment horizontal="center"/>
    </xf>
    <xf numFmtId="0" fontId="0" fillId="0" borderId="24" xfId="0" applyBorder="1"/>
    <xf numFmtId="0" fontId="0" fillId="0" borderId="24" xfId="0" applyBorder="1" applyAlignment="1">
      <alignment horizontal="center"/>
    </xf>
    <xf numFmtId="17" fontId="0" fillId="0" borderId="0" xfId="0" applyNumberFormat="1"/>
    <xf numFmtId="174" fontId="0" fillId="0" borderId="0" xfId="4" applyNumberFormat="1" applyFont="1" applyFill="1" applyBorder="1" applyAlignment="1">
      <alignment horizontal="center"/>
    </xf>
    <xf numFmtId="178" fontId="0" fillId="0" borderId="0" xfId="0" applyNumberFormat="1" applyAlignment="1">
      <alignment horizontal="center"/>
    </xf>
    <xf numFmtId="0" fontId="0" fillId="0" borderId="0" xfId="0" applyAlignment="1">
      <alignment horizontal="center" vertical="center"/>
    </xf>
    <xf numFmtId="0" fontId="0" fillId="0" borderId="0" xfId="4" applyNumberFormat="1" applyFont="1" applyFill="1" applyAlignment="1">
      <alignment horizontal="center"/>
    </xf>
    <xf numFmtId="0" fontId="0" fillId="0" borderId="0" xfId="0" applyAlignment="1">
      <alignment horizontal="center"/>
    </xf>
    <xf numFmtId="175" fontId="0" fillId="0" borderId="0" xfId="4" applyNumberFormat="1" applyFont="1"/>
    <xf numFmtId="176" fontId="0" fillId="0" borderId="0" xfId="4" applyNumberFormat="1" applyFont="1"/>
    <xf numFmtId="14" fontId="3" fillId="0" borderId="0" xfId="0" applyNumberFormat="1" applyFont="1" applyAlignment="1">
      <alignment horizontal="left"/>
    </xf>
    <xf numFmtId="166" fontId="4" fillId="0" borderId="0" xfId="0" applyNumberFormat="1" applyFont="1" applyAlignment="1">
      <alignment horizontal="center"/>
    </xf>
    <xf numFmtId="166" fontId="5" fillId="0" borderId="0" xfId="0" applyNumberFormat="1" applyFont="1" applyAlignment="1">
      <alignment horizontal="left" vertical="top"/>
    </xf>
    <xf numFmtId="10" fontId="3" fillId="0" borderId="0" xfId="0" applyNumberFormat="1" applyFont="1"/>
    <xf numFmtId="166" fontId="3" fillId="0" borderId="0" xfId="0" applyNumberFormat="1" applyFont="1" applyAlignment="1">
      <alignment horizontal="center"/>
    </xf>
    <xf numFmtId="179" fontId="3" fillId="0" borderId="0" xfId="2" applyNumberFormat="1" applyFont="1" applyFill="1" applyBorder="1" applyAlignment="1">
      <alignment horizontal="center" vertical="center"/>
    </xf>
    <xf numFmtId="179" fontId="0" fillId="0" borderId="0" xfId="2" applyNumberFormat="1" applyFont="1" applyFill="1" applyBorder="1" applyAlignment="1">
      <alignment horizontal="center" vertical="center"/>
    </xf>
    <xf numFmtId="1" fontId="0" fillId="0" borderId="0" xfId="2" applyNumberFormat="1" applyFont="1" applyAlignment="1" applyProtection="1">
      <alignment horizontal="center"/>
      <protection locked="0"/>
    </xf>
    <xf numFmtId="1" fontId="0" fillId="0" borderId="0" xfId="2" applyNumberFormat="1" applyFont="1" applyAlignment="1">
      <alignment horizontal="center"/>
    </xf>
    <xf numFmtId="0" fontId="0" fillId="0" borderId="0" xfId="0" applyAlignment="1">
      <alignment horizontal="left" vertical="center"/>
    </xf>
    <xf numFmtId="1" fontId="0" fillId="0" borderId="1" xfId="2" applyNumberFormat="1" applyFont="1" applyBorder="1" applyAlignment="1">
      <alignment horizontal="center"/>
    </xf>
    <xf numFmtId="17" fontId="2" fillId="4" borderId="18" xfId="0" applyNumberFormat="1" applyFont="1" applyFill="1" applyBorder="1" applyAlignment="1">
      <alignment horizontal="center"/>
    </xf>
    <xf numFmtId="167" fontId="0" fillId="0" borderId="0" xfId="4" applyNumberFormat="1" applyFont="1" applyBorder="1"/>
    <xf numFmtId="1" fontId="6" fillId="0" borderId="1" xfId="2" applyNumberFormat="1" applyFont="1" applyBorder="1" applyAlignment="1">
      <alignment horizontal="center"/>
    </xf>
    <xf numFmtId="1" fontId="6" fillId="0" borderId="0" xfId="2" applyNumberFormat="1" applyFont="1" applyAlignment="1">
      <alignment horizontal="center"/>
    </xf>
    <xf numFmtId="0" fontId="0" fillId="0" borderId="0" xfId="0" applyAlignment="1">
      <alignment vertical="center"/>
    </xf>
    <xf numFmtId="167" fontId="0" fillId="0" borderId="28" xfId="4" applyNumberFormat="1" applyFont="1" applyBorder="1"/>
    <xf numFmtId="9" fontId="10" fillId="0" borderId="0" xfId="1" applyFont="1" applyBorder="1" applyAlignment="1">
      <alignment horizontal="left"/>
    </xf>
    <xf numFmtId="167" fontId="0" fillId="0" borderId="0" xfId="4" applyNumberFormat="1" applyFont="1" applyAlignment="1"/>
    <xf numFmtId="1" fontId="2" fillId="0" borderId="0" xfId="2" applyNumberFormat="1" applyFont="1" applyBorder="1" applyAlignment="1">
      <alignment horizontal="left"/>
    </xf>
    <xf numFmtId="9" fontId="0" fillId="0" borderId="0" xfId="1" applyFont="1" applyAlignment="1">
      <alignment horizontal="center"/>
    </xf>
    <xf numFmtId="1" fontId="0" fillId="0" borderId="28" xfId="2" applyNumberFormat="1" applyFont="1" applyBorder="1" applyAlignment="1">
      <alignment horizontal="center"/>
    </xf>
    <xf numFmtId="167" fontId="0" fillId="0" borderId="11" xfId="4" applyNumberFormat="1" applyFont="1" applyBorder="1" applyAlignment="1"/>
    <xf numFmtId="167" fontId="0" fillId="0" borderId="16" xfId="4" applyNumberFormat="1" applyFont="1" applyBorder="1" applyAlignment="1"/>
    <xf numFmtId="1" fontId="0" fillId="0" borderId="0" xfId="0" applyNumberFormat="1" applyAlignment="1" applyProtection="1">
      <alignment horizontal="center"/>
      <protection locked="0"/>
    </xf>
    <xf numFmtId="1" fontId="0" fillId="0" borderId="0" xfId="0" applyNumberFormat="1" applyAlignment="1">
      <alignment horizontal="center"/>
    </xf>
    <xf numFmtId="0" fontId="6" fillId="0" borderId="9" xfId="0" applyFont="1" applyBorder="1"/>
    <xf numFmtId="176" fontId="6" fillId="0" borderId="0" xfId="4" applyNumberFormat="1" applyFont="1"/>
    <xf numFmtId="175" fontId="6" fillId="0" borderId="0" xfId="4" applyNumberFormat="1" applyFont="1"/>
    <xf numFmtId="0" fontId="12" fillId="11" borderId="30" xfId="0" applyFont="1" applyFill="1" applyBorder="1" applyAlignment="1">
      <alignment horizontal="center" vertical="top"/>
    </xf>
    <xf numFmtId="0" fontId="0" fillId="0" borderId="31" xfId="0" applyBorder="1"/>
    <xf numFmtId="0" fontId="9" fillId="0" borderId="32" xfId="0" applyFont="1" applyBorder="1"/>
    <xf numFmtId="167" fontId="0" fillId="0" borderId="34" xfId="4" applyNumberFormat="1" applyFont="1" applyBorder="1"/>
    <xf numFmtId="167" fontId="0" fillId="0" borderId="8" xfId="1" applyNumberFormat="1" applyFont="1" applyBorder="1" applyAlignment="1">
      <alignment horizontal="center"/>
    </xf>
    <xf numFmtId="167" fontId="0" fillId="0" borderId="34" xfId="1" applyNumberFormat="1" applyFont="1" applyBorder="1" applyAlignment="1">
      <alignment horizontal="center"/>
    </xf>
    <xf numFmtId="14" fontId="3" fillId="0" borderId="23" xfId="0" applyNumberFormat="1" applyFont="1" applyBorder="1" applyAlignment="1">
      <alignment horizontal="left"/>
    </xf>
    <xf numFmtId="0" fontId="3" fillId="0" borderId="9" xfId="0" applyFont="1" applyBorder="1"/>
    <xf numFmtId="166" fontId="4" fillId="0" borderId="9" xfId="0" applyNumberFormat="1" applyFont="1" applyBorder="1" applyAlignment="1">
      <alignment horizontal="center"/>
    </xf>
    <xf numFmtId="166" fontId="5" fillId="0" borderId="9" xfId="0" applyNumberFormat="1" applyFont="1" applyBorder="1" applyAlignment="1">
      <alignment horizontal="left" vertical="top"/>
    </xf>
    <xf numFmtId="10" fontId="3" fillId="0" borderId="9" xfId="0" applyNumberFormat="1" applyFont="1" applyBorder="1"/>
    <xf numFmtId="166" fontId="3" fillId="0" borderId="9" xfId="0" applyNumberFormat="1" applyFont="1" applyBorder="1" applyAlignment="1">
      <alignment horizontal="center"/>
    </xf>
    <xf numFmtId="179" fontId="3" fillId="0" borderId="10" xfId="2" applyNumberFormat="1" applyFont="1" applyFill="1" applyBorder="1" applyAlignment="1">
      <alignment horizontal="center"/>
    </xf>
    <xf numFmtId="180" fontId="3" fillId="0" borderId="10" xfId="2" applyNumberFormat="1" applyFont="1" applyFill="1" applyBorder="1" applyAlignment="1">
      <alignment horizontal="center"/>
    </xf>
    <xf numFmtId="166" fontId="3" fillId="0" borderId="9" xfId="4" applyNumberFormat="1" applyFont="1" applyFill="1" applyBorder="1" applyAlignment="1">
      <alignment horizontal="center"/>
    </xf>
    <xf numFmtId="0" fontId="9" fillId="0" borderId="9" xfId="0" applyFont="1" applyBorder="1"/>
    <xf numFmtId="180" fontId="3" fillId="0" borderId="10" xfId="2" applyNumberFormat="1" applyFont="1" applyFill="1" applyBorder="1" applyAlignment="1">
      <alignment horizontal="center" vertical="center"/>
    </xf>
    <xf numFmtId="0" fontId="3" fillId="0" borderId="24" xfId="0" applyFont="1" applyBorder="1"/>
    <xf numFmtId="166" fontId="4" fillId="0" borderId="24" xfId="0" applyNumberFormat="1" applyFont="1" applyBorder="1" applyAlignment="1">
      <alignment horizontal="center"/>
    </xf>
    <xf numFmtId="166" fontId="5" fillId="0" borderId="24" xfId="0" applyNumberFormat="1" applyFont="1" applyBorder="1" applyAlignment="1">
      <alignment horizontal="left" vertical="top"/>
    </xf>
    <xf numFmtId="10" fontId="3" fillId="0" borderId="24" xfId="0" applyNumberFormat="1" applyFont="1" applyBorder="1"/>
    <xf numFmtId="166" fontId="3" fillId="0" borderId="24" xfId="0" applyNumberFormat="1" applyFont="1" applyBorder="1" applyAlignment="1">
      <alignment horizontal="center"/>
    </xf>
    <xf numFmtId="179" fontId="3" fillId="0" borderId="26" xfId="2" applyNumberFormat="1" applyFont="1" applyFill="1" applyBorder="1" applyAlignment="1">
      <alignment horizontal="center"/>
    </xf>
    <xf numFmtId="179" fontId="3" fillId="0" borderId="9" xfId="2" applyNumberFormat="1" applyFont="1" applyFill="1" applyBorder="1" applyAlignment="1">
      <alignment horizontal="center"/>
    </xf>
    <xf numFmtId="180" fontId="3" fillId="0" borderId="9" xfId="2" applyNumberFormat="1" applyFont="1" applyFill="1" applyBorder="1" applyAlignment="1">
      <alignment horizontal="center"/>
    </xf>
    <xf numFmtId="1" fontId="13" fillId="0" borderId="11" xfId="0" applyNumberFormat="1" applyFont="1" applyBorder="1" applyAlignment="1">
      <alignment horizontal="left" vertical="center"/>
    </xf>
    <xf numFmtId="1" fontId="0" fillId="0" borderId="0" xfId="0" applyNumberFormat="1" applyAlignment="1" applyProtection="1">
      <alignment horizontal="left" vertical="center"/>
      <protection locked="0"/>
    </xf>
    <xf numFmtId="1" fontId="0" fillId="0" borderId="0" xfId="2" applyNumberFormat="1" applyFont="1" applyAlignment="1" applyProtection="1">
      <alignment horizontal="left" vertical="center"/>
      <protection locked="0"/>
    </xf>
    <xf numFmtId="0" fontId="0" fillId="0" borderId="0" xfId="0" applyAlignment="1" applyProtection="1">
      <alignment horizontal="left" vertical="center"/>
      <protection locked="0"/>
    </xf>
    <xf numFmtId="167" fontId="0" fillId="0" borderId="0" xfId="0" applyNumberFormat="1" applyAlignment="1" applyProtection="1">
      <alignment horizontal="left" vertical="center"/>
      <protection locked="0"/>
    </xf>
    <xf numFmtId="14" fontId="13" fillId="0" borderId="22" xfId="0" applyNumberFormat="1" applyFont="1" applyBorder="1" applyAlignment="1">
      <alignment horizontal="center" vertical="center"/>
    </xf>
    <xf numFmtId="0" fontId="13" fillId="0" borderId="12" xfId="0" applyFont="1" applyBorder="1" applyAlignment="1">
      <alignment horizontal="center" vertical="center"/>
    </xf>
    <xf numFmtId="0" fontId="13" fillId="0" borderId="12" xfId="0" applyFont="1" applyBorder="1" applyAlignment="1">
      <alignment horizontal="left" vertical="center"/>
    </xf>
    <xf numFmtId="166" fontId="13" fillId="0" borderId="12" xfId="0" applyNumberFormat="1" applyFont="1" applyBorder="1" applyAlignment="1">
      <alignment horizontal="center" vertical="center"/>
    </xf>
    <xf numFmtId="166" fontId="15" fillId="0" borderId="12" xfId="0" applyNumberFormat="1" applyFont="1" applyBorder="1" applyAlignment="1">
      <alignment horizontal="left" vertical="center"/>
    </xf>
    <xf numFmtId="10" fontId="13" fillId="0" borderId="12" xfId="0" applyNumberFormat="1" applyFont="1" applyBorder="1" applyAlignment="1">
      <alignment vertical="center"/>
    </xf>
    <xf numFmtId="166" fontId="13" fillId="0" borderId="12" xfId="0" applyNumberFormat="1" applyFont="1" applyBorder="1" applyAlignment="1">
      <alignment horizontal="left" vertical="center"/>
    </xf>
    <xf numFmtId="0" fontId="14" fillId="0" borderId="0" xfId="0" applyFont="1" applyAlignment="1">
      <alignment vertical="center"/>
    </xf>
    <xf numFmtId="166" fontId="4" fillId="0" borderId="10" xfId="0" applyNumberFormat="1" applyFont="1" applyBorder="1" applyAlignment="1">
      <alignment horizontal="center"/>
    </xf>
    <xf numFmtId="10" fontId="3" fillId="0" borderId="23" xfId="0" applyNumberFormat="1" applyFont="1" applyBorder="1"/>
    <xf numFmtId="0" fontId="0" fillId="0" borderId="13" xfId="0" applyBorder="1"/>
    <xf numFmtId="49" fontId="8" fillId="0" borderId="9" xfId="3" applyNumberFormat="1" applyBorder="1"/>
    <xf numFmtId="14" fontId="0" fillId="0" borderId="9" xfId="0" applyNumberFormat="1" applyBorder="1" applyAlignment="1">
      <alignment horizontal="center" vertical="center"/>
    </xf>
    <xf numFmtId="171" fontId="11" fillId="8" borderId="9" xfId="4" applyNumberFormat="1" applyFont="1" applyFill="1" applyBorder="1" applyAlignment="1"/>
    <xf numFmtId="0" fontId="0" fillId="0" borderId="9" xfId="4" applyNumberFormat="1" applyFont="1" applyFill="1" applyBorder="1" applyAlignment="1">
      <alignment horizontal="center"/>
    </xf>
    <xf numFmtId="171" fontId="11" fillId="10" borderId="9" xfId="0" applyNumberFormat="1" applyFont="1" applyFill="1" applyBorder="1"/>
    <xf numFmtId="0" fontId="0" fillId="0" borderId="9" xfId="0" applyBorder="1" applyAlignment="1">
      <alignment horizontal="center" vertical="center"/>
    </xf>
    <xf numFmtId="0" fontId="9" fillId="0" borderId="9" xfId="0" applyFont="1" applyBorder="1" applyAlignment="1">
      <alignment horizontal="left" vertical="center"/>
    </xf>
    <xf numFmtId="0" fontId="9" fillId="0" borderId="9" xfId="0" applyFont="1" applyBorder="1" applyAlignment="1">
      <alignment vertical="center"/>
    </xf>
    <xf numFmtId="1" fontId="8" fillId="0" borderId="9" xfId="3" applyNumberFormat="1" applyBorder="1" applyAlignment="1">
      <alignment horizontal="left"/>
    </xf>
    <xf numFmtId="169" fontId="11" fillId="9" borderId="9" xfId="4" applyNumberFormat="1" applyFont="1" applyFill="1" applyBorder="1" applyAlignment="1">
      <alignment horizontal="center"/>
    </xf>
    <xf numFmtId="171" fontId="11" fillId="6" borderId="9" xfId="0" applyNumberFormat="1" applyFont="1" applyFill="1" applyBorder="1"/>
    <xf numFmtId="14" fontId="8" fillId="0" borderId="9" xfId="3" applyNumberFormat="1" applyBorder="1"/>
    <xf numFmtId="0" fontId="9" fillId="0" borderId="9" xfId="0" applyFont="1" applyBorder="1" applyAlignment="1">
      <alignment horizontal="center" vertical="center"/>
    </xf>
    <xf numFmtId="0" fontId="8" fillId="0" borderId="9" xfId="3" applyBorder="1"/>
    <xf numFmtId="170" fontId="8" fillId="0" borderId="9" xfId="3" applyNumberFormat="1" applyFill="1" applyBorder="1"/>
    <xf numFmtId="0" fontId="8" fillId="0" borderId="9" xfId="3" applyBorder="1" applyAlignment="1">
      <alignment horizontal="left"/>
    </xf>
    <xf numFmtId="170" fontId="8" fillId="0" borderId="9" xfId="3" applyNumberFormat="1" applyBorder="1"/>
    <xf numFmtId="1" fontId="8" fillId="0" borderId="9" xfId="3" applyNumberFormat="1" applyFill="1" applyBorder="1" applyAlignment="1">
      <alignment horizontal="left"/>
    </xf>
    <xf numFmtId="0" fontId="8" fillId="0" borderId="9" xfId="3" applyFill="1" applyBorder="1"/>
    <xf numFmtId="44" fontId="11" fillId="8" borderId="9" xfId="4" applyNumberFormat="1" applyFont="1" applyFill="1" applyBorder="1"/>
    <xf numFmtId="173" fontId="0" fillId="0" borderId="9" xfId="4" applyNumberFormat="1" applyFont="1" applyFill="1" applyBorder="1" applyAlignment="1">
      <alignment horizontal="center"/>
    </xf>
    <xf numFmtId="171" fontId="11" fillId="9" borderId="9" xfId="4" applyNumberFormat="1" applyFont="1" applyFill="1" applyBorder="1" applyAlignment="1">
      <alignment horizontal="center"/>
    </xf>
    <xf numFmtId="171" fontId="11" fillId="9" borderId="9" xfId="0" applyNumberFormat="1" applyFont="1" applyFill="1" applyBorder="1"/>
    <xf numFmtId="49" fontId="8" fillId="0" borderId="9" xfId="3" applyNumberFormat="1" applyBorder="1" applyAlignment="1">
      <alignment horizontal="left"/>
    </xf>
    <xf numFmtId="44" fontId="11" fillId="9" borderId="9" xfId="4" applyNumberFormat="1" applyFont="1" applyFill="1" applyBorder="1" applyAlignment="1"/>
    <xf numFmtId="0" fontId="8" fillId="0" borderId="9" xfId="3" applyBorder="1" applyAlignment="1">
      <alignment horizontal="left" vertical="center"/>
    </xf>
    <xf numFmtId="0" fontId="8" fillId="0" borderId="9" xfId="3" applyFill="1" applyBorder="1" applyAlignment="1">
      <alignment horizontal="left"/>
    </xf>
    <xf numFmtId="0" fontId="8" fillId="0" borderId="9" xfId="3" applyNumberFormat="1" applyBorder="1" applyAlignment="1">
      <alignment horizontal="left"/>
    </xf>
    <xf numFmtId="3" fontId="8" fillId="0" borderId="9" xfId="3" applyNumberFormat="1" applyBorder="1" applyAlignment="1">
      <alignment horizontal="left"/>
    </xf>
    <xf numFmtId="171" fontId="11" fillId="8" borderId="9" xfId="4" applyNumberFormat="1" applyFont="1" applyFill="1" applyBorder="1"/>
    <xf numFmtId="177" fontId="11" fillId="9" borderId="9" xfId="4" applyNumberFormat="1" applyFont="1" applyFill="1" applyBorder="1"/>
    <xf numFmtId="49" fontId="8" fillId="0" borderId="9" xfId="3" applyNumberFormat="1" applyBorder="1" applyAlignment="1">
      <alignment horizontal="left" vertical="center"/>
    </xf>
    <xf numFmtId="44" fontId="11" fillId="8" borderId="9" xfId="4" applyNumberFormat="1" applyFont="1" applyFill="1" applyBorder="1" applyAlignment="1"/>
    <xf numFmtId="169" fontId="11" fillId="8" borderId="9" xfId="4" applyNumberFormat="1" applyFont="1" applyFill="1" applyBorder="1" applyAlignment="1"/>
    <xf numFmtId="44" fontId="11" fillId="9" borderId="9" xfId="4" applyNumberFormat="1" applyFont="1" applyFill="1" applyBorder="1"/>
    <xf numFmtId="177" fontId="11" fillId="8" borderId="9" xfId="4" applyNumberFormat="1" applyFont="1" applyFill="1" applyBorder="1"/>
    <xf numFmtId="179" fontId="9" fillId="0" borderId="10" xfId="0" applyNumberFormat="1" applyFont="1" applyBorder="1" applyAlignment="1">
      <alignment horizontal="center"/>
    </xf>
    <xf numFmtId="0" fontId="0" fillId="0" borderId="9" xfId="4" applyNumberFormat="1" applyFont="1" applyBorder="1" applyAlignment="1">
      <alignment horizontal="center"/>
    </xf>
    <xf numFmtId="179" fontId="9" fillId="0" borderId="10" xfId="2" applyNumberFormat="1" applyFont="1" applyFill="1" applyBorder="1" applyAlignment="1">
      <alignment horizontal="center"/>
    </xf>
    <xf numFmtId="0" fontId="9" fillId="0" borderId="24" xfId="0" applyFont="1" applyBorder="1" applyAlignment="1">
      <alignment horizontal="center" vertical="center"/>
    </xf>
    <xf numFmtId="0" fontId="9" fillId="0" borderId="24" xfId="0" applyFont="1" applyBorder="1" applyAlignment="1">
      <alignment horizontal="left" vertical="center"/>
    </xf>
    <xf numFmtId="0" fontId="0" fillId="0" borderId="24" xfId="0" applyBorder="1" applyAlignment="1">
      <alignment horizontal="center" vertical="center"/>
    </xf>
    <xf numFmtId="0" fontId="0" fillId="0" borderId="24" xfId="4" applyNumberFormat="1" applyFont="1" applyFill="1" applyBorder="1" applyAlignment="1">
      <alignment horizontal="center"/>
    </xf>
    <xf numFmtId="0" fontId="9" fillId="0" borderId="24" xfId="0" applyFont="1" applyBorder="1" applyAlignment="1">
      <alignment vertical="center"/>
    </xf>
    <xf numFmtId="14" fontId="0" fillId="0" borderId="23" xfId="0" applyNumberFormat="1" applyBorder="1"/>
    <xf numFmtId="0" fontId="0" fillId="0" borderId="10" xfId="0" applyBorder="1"/>
    <xf numFmtId="14" fontId="0" fillId="0" borderId="25" xfId="0" applyNumberFormat="1" applyBorder="1"/>
    <xf numFmtId="1" fontId="8" fillId="0" borderId="24" xfId="3" applyNumberFormat="1" applyBorder="1" applyAlignment="1">
      <alignment horizontal="left"/>
    </xf>
    <xf numFmtId="0" fontId="0" fillId="0" borderId="26" xfId="0" applyBorder="1"/>
    <xf numFmtId="0" fontId="0" fillId="0" borderId="12" xfId="0" applyBorder="1" applyAlignment="1">
      <alignment horizontal="left"/>
    </xf>
    <xf numFmtId="170" fontId="8" fillId="0" borderId="24" xfId="3" applyNumberFormat="1" applyBorder="1"/>
    <xf numFmtId="14" fontId="6" fillId="0" borderId="0" xfId="2" applyNumberFormat="1" applyFont="1" applyAlignment="1">
      <alignment horizontal="center"/>
    </xf>
    <xf numFmtId="0" fontId="0" fillId="0" borderId="0" xfId="0" applyAlignment="1" applyProtection="1">
      <alignment horizontal="center"/>
      <protection locked="0"/>
    </xf>
    <xf numFmtId="14" fontId="0" fillId="0" borderId="0" xfId="0" applyNumberFormat="1" applyAlignment="1" applyProtection="1">
      <alignment horizontal="center"/>
      <protection locked="0"/>
    </xf>
    <xf numFmtId="0" fontId="9" fillId="0" borderId="24" xfId="0" applyFont="1" applyBorder="1"/>
    <xf numFmtId="168" fontId="2" fillId="0" borderId="0" xfId="0" applyNumberFormat="1" applyFont="1"/>
    <xf numFmtId="0" fontId="9" fillId="0" borderId="10" xfId="0" applyFont="1" applyBorder="1" applyAlignment="1">
      <alignment vertical="center"/>
    </xf>
    <xf numFmtId="0" fontId="12" fillId="11" borderId="14" xfId="0" applyFont="1" applyFill="1" applyBorder="1" applyAlignment="1">
      <alignment horizontal="center" vertical="top"/>
    </xf>
    <xf numFmtId="0" fontId="0" fillId="0" borderId="14" xfId="0" applyBorder="1"/>
    <xf numFmtId="0" fontId="0" fillId="0" borderId="35" xfId="0" applyBorder="1"/>
    <xf numFmtId="0" fontId="8" fillId="0" borderId="24" xfId="3" applyBorder="1" applyAlignment="1">
      <alignment horizontal="left"/>
    </xf>
    <xf numFmtId="170" fontId="8" fillId="0" borderId="0" xfId="3" applyNumberFormat="1" applyBorder="1"/>
    <xf numFmtId="0" fontId="0" fillId="0" borderId="24" xfId="4" applyNumberFormat="1" applyFont="1" applyBorder="1" applyAlignment="1">
      <alignment horizontal="center"/>
    </xf>
    <xf numFmtId="0" fontId="6" fillId="0" borderId="24" xfId="0" applyFont="1" applyBorder="1"/>
    <xf numFmtId="178" fontId="0" fillId="0" borderId="9" xfId="4" applyNumberFormat="1" applyFont="1" applyFill="1" applyBorder="1" applyAlignment="1">
      <alignment horizontal="center"/>
    </xf>
    <xf numFmtId="0" fontId="9" fillId="0" borderId="26" xfId="0" applyFont="1" applyBorder="1" applyAlignment="1">
      <alignment horizontal="left" vertical="center"/>
    </xf>
    <xf numFmtId="167" fontId="2" fillId="0" borderId="1" xfId="0" applyNumberFormat="1" applyFont="1" applyBorder="1"/>
    <xf numFmtId="181" fontId="0" fillId="0" borderId="17" xfId="1" applyNumberFormat="1" applyFont="1" applyBorder="1" applyAlignment="1">
      <alignment horizontal="center"/>
    </xf>
    <xf numFmtId="181" fontId="0" fillId="0" borderId="0" xfId="1" applyNumberFormat="1" applyFont="1" applyAlignment="1">
      <alignment horizontal="center"/>
    </xf>
    <xf numFmtId="167" fontId="2" fillId="0" borderId="0" xfId="0" applyNumberFormat="1" applyFont="1"/>
    <xf numFmtId="0" fontId="16" fillId="0" borderId="0" xfId="0" applyFont="1" applyAlignment="1">
      <alignment horizontal="left" vertical="center"/>
    </xf>
    <xf numFmtId="167" fontId="0" fillId="0" borderId="13" xfId="0" applyNumberFormat="1" applyBorder="1"/>
    <xf numFmtId="167" fontId="2" fillId="0" borderId="0" xfId="0" applyNumberFormat="1" applyFont="1" applyAlignment="1">
      <alignment horizontal="center"/>
    </xf>
    <xf numFmtId="167" fontId="2" fillId="2" borderId="0" xfId="0" applyNumberFormat="1" applyFont="1" applyFill="1"/>
    <xf numFmtId="1" fontId="8" fillId="0" borderId="0" xfId="3" applyNumberFormat="1" applyBorder="1" applyAlignment="1">
      <alignment horizontal="left"/>
    </xf>
    <xf numFmtId="0" fontId="8" fillId="0" borderId="24" xfId="3" applyBorder="1"/>
    <xf numFmtId="49" fontId="8" fillId="0" borderId="24" xfId="3" applyNumberFormat="1" applyBorder="1"/>
    <xf numFmtId="170" fontId="11" fillId="13" borderId="9" xfId="0" applyNumberFormat="1" applyFont="1" applyFill="1" applyBorder="1"/>
    <xf numFmtId="170" fontId="11" fillId="13" borderId="24" xfId="0" applyNumberFormat="1" applyFont="1" applyFill="1" applyBorder="1"/>
    <xf numFmtId="0" fontId="9" fillId="0" borderId="9" xfId="0" applyFont="1" applyBorder="1" applyAlignment="1">
      <alignment horizontal="left"/>
    </xf>
    <xf numFmtId="179" fontId="9" fillId="0" borderId="26" xfId="0" applyNumberFormat="1" applyFont="1" applyBorder="1" applyAlignment="1">
      <alignment horizontal="center"/>
    </xf>
    <xf numFmtId="9" fontId="2" fillId="0" borderId="0" xfId="1" applyFont="1" applyAlignment="1">
      <alignment horizontal="center"/>
    </xf>
    <xf numFmtId="0" fontId="8" fillId="0" borderId="0" xfId="3" applyBorder="1" applyAlignment="1">
      <alignment horizontal="left"/>
    </xf>
    <xf numFmtId="170" fontId="11" fillId="12" borderId="24" xfId="0" applyNumberFormat="1" applyFont="1" applyFill="1" applyBorder="1"/>
    <xf numFmtId="0" fontId="9" fillId="0" borderId="10" xfId="0" applyFont="1" applyBorder="1" applyAlignment="1">
      <alignment horizontal="left" vertical="center"/>
    </xf>
    <xf numFmtId="0" fontId="9" fillId="0" borderId="26" xfId="0" applyFont="1" applyBorder="1" applyAlignment="1">
      <alignment vertical="center"/>
    </xf>
    <xf numFmtId="0" fontId="9" fillId="0" borderId="10" xfId="0" applyFont="1" applyBorder="1"/>
    <xf numFmtId="49" fontId="8" fillId="0" borderId="0" xfId="3" applyNumberFormat="1" applyBorder="1"/>
    <xf numFmtId="0" fontId="0" fillId="0" borderId="9" xfId="0" applyBorder="1" applyAlignment="1">
      <alignment horizontal="left"/>
    </xf>
    <xf numFmtId="0" fontId="0" fillId="0" borderId="37" xfId="0" applyBorder="1"/>
    <xf numFmtId="167" fontId="0" fillId="2" borderId="1" xfId="0" applyNumberFormat="1" applyFill="1" applyBorder="1"/>
    <xf numFmtId="167" fontId="0" fillId="0" borderId="0" xfId="2" applyNumberFormat="1" applyFont="1" applyAlignment="1" applyProtection="1">
      <alignment horizontal="left" vertical="center"/>
      <protection locked="0"/>
    </xf>
    <xf numFmtId="167" fontId="0" fillId="0" borderId="0" xfId="2" applyNumberFormat="1" applyFont="1" applyAlignment="1" applyProtection="1">
      <alignment horizontal="center"/>
      <protection locked="0"/>
    </xf>
    <xf numFmtId="171" fontId="11" fillId="8" borderId="9" xfId="0" applyNumberFormat="1" applyFont="1" applyFill="1" applyBorder="1"/>
    <xf numFmtId="0" fontId="0" fillId="0" borderId="9" xfId="0" applyBorder="1" applyAlignment="1">
      <alignment vertical="center"/>
    </xf>
    <xf numFmtId="0" fontId="0" fillId="0" borderId="24" xfId="0" applyBorder="1" applyAlignment="1">
      <alignment vertical="center"/>
    </xf>
    <xf numFmtId="0" fontId="8" fillId="0" borderId="24" xfId="3" applyFill="1" applyBorder="1"/>
    <xf numFmtId="167" fontId="0" fillId="0" borderId="0" xfId="0" applyNumberFormat="1" applyAlignment="1" applyProtection="1">
      <alignment horizontal="center"/>
      <protection locked="0"/>
    </xf>
    <xf numFmtId="14" fontId="3" fillId="0" borderId="9" xfId="0" applyNumberFormat="1" applyFont="1" applyBorder="1" applyAlignment="1">
      <alignment horizontal="left"/>
    </xf>
    <xf numFmtId="170" fontId="8" fillId="0" borderId="24" xfId="3" applyNumberFormat="1" applyFill="1" applyBorder="1"/>
    <xf numFmtId="0" fontId="0" fillId="0" borderId="24" xfId="0" applyBorder="1" applyAlignment="1">
      <alignment horizontal="left"/>
    </xf>
    <xf numFmtId="0" fontId="0" fillId="0" borderId="12" xfId="0" applyBorder="1"/>
    <xf numFmtId="49" fontId="8" fillId="0" borderId="9" xfId="3" applyNumberFormat="1" applyFill="1" applyBorder="1"/>
    <xf numFmtId="1" fontId="8" fillId="0" borderId="24" xfId="3" applyNumberFormat="1" applyFill="1" applyBorder="1" applyAlignment="1">
      <alignment horizontal="left"/>
    </xf>
    <xf numFmtId="178" fontId="0" fillId="0" borderId="9" xfId="4" applyNumberFormat="1" applyFont="1" applyBorder="1" applyAlignment="1">
      <alignment horizontal="center"/>
    </xf>
    <xf numFmtId="178" fontId="0" fillId="0" borderId="9" xfId="0" applyNumberFormat="1" applyBorder="1" applyAlignment="1">
      <alignment horizontal="center"/>
    </xf>
    <xf numFmtId="178" fontId="0" fillId="0" borderId="24" xfId="4" applyNumberFormat="1" applyFont="1" applyFill="1" applyBorder="1" applyAlignment="1">
      <alignment horizontal="center"/>
    </xf>
    <xf numFmtId="178" fontId="0" fillId="0" borderId="24" xfId="4" applyNumberFormat="1" applyFont="1" applyBorder="1" applyAlignment="1">
      <alignment horizontal="center"/>
    </xf>
    <xf numFmtId="49" fontId="0" fillId="0" borderId="0" xfId="0" applyNumberFormat="1" applyAlignment="1">
      <alignment vertical="center"/>
    </xf>
    <xf numFmtId="49" fontId="0" fillId="0" borderId="9" xfId="0" applyNumberFormat="1" applyBorder="1" applyAlignment="1">
      <alignment horizontal="center"/>
    </xf>
    <xf numFmtId="49" fontId="0" fillId="0" borderId="9" xfId="0" applyNumberFormat="1" applyBorder="1" applyAlignment="1">
      <alignment horizontal="center" vertical="center"/>
    </xf>
    <xf numFmtId="170" fontId="8" fillId="0" borderId="0" xfId="3" applyNumberFormat="1" applyFill="1" applyBorder="1"/>
    <xf numFmtId="178" fontId="0" fillId="0" borderId="24" xfId="0" applyNumberFormat="1" applyBorder="1" applyAlignment="1">
      <alignment horizontal="center"/>
    </xf>
    <xf numFmtId="169" fontId="11" fillId="8" borderId="9" xfId="4" applyNumberFormat="1" applyFont="1" applyFill="1" applyBorder="1" applyAlignment="1">
      <alignment horizontal="center"/>
    </xf>
    <xf numFmtId="49" fontId="0" fillId="0" borderId="24" xfId="0" applyNumberFormat="1" applyBorder="1" applyAlignment="1">
      <alignment horizontal="center" vertical="center"/>
    </xf>
    <xf numFmtId="0" fontId="9" fillId="0" borderId="9" xfId="0" applyFont="1" applyBorder="1" applyAlignment="1">
      <alignment horizontal="center"/>
    </xf>
    <xf numFmtId="181" fontId="0" fillId="0" borderId="29" xfId="1" applyNumberFormat="1" applyFont="1" applyBorder="1" applyAlignment="1">
      <alignment horizontal="center"/>
    </xf>
    <xf numFmtId="171" fontId="11" fillId="10" borderId="24" xfId="0" applyNumberFormat="1" applyFont="1" applyFill="1" applyBorder="1"/>
    <xf numFmtId="171" fontId="11" fillId="6" borderId="0" xfId="0" applyNumberFormat="1" applyFont="1" applyFill="1"/>
    <xf numFmtId="171" fontId="11" fillId="10" borderId="0" xfId="0" applyNumberFormat="1" applyFont="1" applyFill="1"/>
    <xf numFmtId="0" fontId="0" fillId="0" borderId="10" xfId="0" applyBorder="1" applyAlignment="1">
      <alignment horizontal="center" vertical="center"/>
    </xf>
    <xf numFmtId="1" fontId="0" fillId="0" borderId="8" xfId="2" applyNumberFormat="1" applyFont="1" applyBorder="1" applyAlignment="1">
      <alignment horizontal="center"/>
    </xf>
    <xf numFmtId="169" fontId="11" fillId="9" borderId="0" xfId="4" applyNumberFormat="1" applyFont="1" applyFill="1" applyBorder="1" applyAlignment="1">
      <alignment horizontal="center"/>
    </xf>
    <xf numFmtId="44" fontId="11" fillId="8" borderId="0" xfId="4" applyNumberFormat="1" applyFont="1" applyFill="1" applyBorder="1"/>
    <xf numFmtId="171" fontId="11" fillId="9" borderId="0" xfId="0" applyNumberFormat="1" applyFont="1" applyFill="1"/>
    <xf numFmtId="177" fontId="11" fillId="8" borderId="0" xfId="4" applyNumberFormat="1" applyFont="1" applyFill="1" applyBorder="1"/>
    <xf numFmtId="177" fontId="11" fillId="9" borderId="0" xfId="4" applyNumberFormat="1" applyFont="1" applyFill="1" applyBorder="1"/>
    <xf numFmtId="171" fontId="11" fillId="8" borderId="0" xfId="4" applyNumberFormat="1" applyFont="1" applyFill="1" applyBorder="1" applyAlignment="1"/>
    <xf numFmtId="44" fontId="11" fillId="9" borderId="0" xfId="4" applyNumberFormat="1" applyFont="1" applyFill="1" applyBorder="1"/>
    <xf numFmtId="164" fontId="11" fillId="8" borderId="9" xfId="4" applyFont="1" applyFill="1" applyBorder="1"/>
    <xf numFmtId="173" fontId="0" fillId="0" borderId="9" xfId="4" applyNumberFormat="1" applyFont="1" applyBorder="1" applyAlignment="1">
      <alignment horizontal="center"/>
    </xf>
    <xf numFmtId="0" fontId="3" fillId="0" borderId="0" xfId="2" applyNumberFormat="1" applyFont="1" applyFill="1" applyBorder="1" applyAlignment="1">
      <alignment horizontal="left" vertical="center" wrapText="1"/>
    </xf>
    <xf numFmtId="0" fontId="0" fillId="0" borderId="0" xfId="2" applyNumberFormat="1" applyFont="1" applyFill="1" applyBorder="1" applyAlignment="1">
      <alignment horizontal="left" vertical="center" wrapText="1"/>
    </xf>
    <xf numFmtId="0" fontId="0" fillId="0" borderId="1" xfId="0" applyBorder="1" applyAlignment="1">
      <alignment horizontal="center"/>
    </xf>
    <xf numFmtId="0" fontId="0" fillId="0" borderId="0" xfId="2" applyNumberFormat="1" applyFont="1" applyAlignment="1">
      <alignment horizontal="center"/>
    </xf>
    <xf numFmtId="0" fontId="0" fillId="0" borderId="1" xfId="2" applyNumberFormat="1" applyFont="1" applyBorder="1" applyAlignment="1">
      <alignment horizontal="center"/>
    </xf>
    <xf numFmtId="17" fontId="2" fillId="4" borderId="38" xfId="0" applyNumberFormat="1" applyFont="1" applyFill="1" applyBorder="1" applyAlignment="1">
      <alignment horizontal="center"/>
    </xf>
    <xf numFmtId="17" fontId="2" fillId="3" borderId="38" xfId="0" applyNumberFormat="1" applyFont="1" applyFill="1" applyBorder="1" applyAlignment="1">
      <alignment horizontal="center"/>
    </xf>
    <xf numFmtId="0" fontId="18" fillId="15" borderId="2" xfId="0" applyFont="1" applyFill="1" applyBorder="1" applyAlignment="1">
      <alignment horizontal="left" vertical="center"/>
    </xf>
    <xf numFmtId="167" fontId="1" fillId="15" borderId="39" xfId="4" applyNumberFormat="1" applyFont="1" applyFill="1" applyBorder="1" applyAlignment="1">
      <alignment horizontal="left"/>
    </xf>
    <xf numFmtId="167" fontId="1" fillId="15" borderId="40" xfId="4" applyNumberFormat="1" applyFont="1" applyFill="1" applyBorder="1" applyAlignment="1">
      <alignment horizontal="left"/>
    </xf>
    <xf numFmtId="177" fontId="11" fillId="12" borderId="9" xfId="4" applyNumberFormat="1" applyFont="1" applyFill="1" applyBorder="1"/>
    <xf numFmtId="171" fontId="11" fillId="16" borderId="9" xfId="0" applyNumberFormat="1" applyFont="1" applyFill="1" applyBorder="1"/>
    <xf numFmtId="169" fontId="11" fillId="12" borderId="9" xfId="4" applyNumberFormat="1" applyFont="1" applyFill="1" applyBorder="1" applyAlignment="1">
      <alignment horizontal="center"/>
    </xf>
    <xf numFmtId="170" fontId="17" fillId="14" borderId="9" xfId="0" applyNumberFormat="1" applyFont="1" applyFill="1" applyBorder="1"/>
    <xf numFmtId="0" fontId="0" fillId="0" borderId="26" xfId="0" applyBorder="1" applyAlignment="1">
      <alignment horizontal="center" vertical="center"/>
    </xf>
    <xf numFmtId="167" fontId="6" fillId="0" borderId="28" xfId="4" applyNumberFormat="1" applyFont="1" applyBorder="1"/>
    <xf numFmtId="167" fontId="6" fillId="0" borderId="0" xfId="4" applyNumberFormat="1" applyFont="1"/>
    <xf numFmtId="17" fontId="2" fillId="2" borderId="18" xfId="0" applyNumberFormat="1" applyFont="1" applyFill="1" applyBorder="1" applyAlignment="1">
      <alignment horizontal="center" vertical="center"/>
    </xf>
    <xf numFmtId="167" fontId="2" fillId="2" borderId="28" xfId="4" applyNumberFormat="1" applyFont="1" applyFill="1" applyBorder="1" applyAlignment="1">
      <alignment vertical="center"/>
    </xf>
    <xf numFmtId="181" fontId="2" fillId="2" borderId="29" xfId="1" applyNumberFormat="1" applyFont="1" applyFill="1" applyBorder="1" applyAlignment="1">
      <alignment horizontal="center" vertical="center"/>
    </xf>
    <xf numFmtId="181" fontId="2" fillId="2" borderId="17" xfId="1" applyNumberFormat="1" applyFont="1" applyFill="1" applyBorder="1" applyAlignment="1">
      <alignment horizontal="center" vertical="center"/>
    </xf>
    <xf numFmtId="167" fontId="2" fillId="2" borderId="34" xfId="1" applyNumberFormat="1" applyFont="1" applyFill="1" applyBorder="1" applyAlignment="1">
      <alignment horizontal="center" vertical="center"/>
    </xf>
    <xf numFmtId="0" fontId="2" fillId="0" borderId="0" xfId="0" applyFont="1" applyAlignment="1">
      <alignment vertical="center"/>
    </xf>
    <xf numFmtId="167" fontId="0" fillId="0" borderId="34" xfId="4" applyNumberFormat="1" applyFont="1" applyBorder="1" applyAlignment="1">
      <alignment horizontal="center" vertical="center"/>
    </xf>
    <xf numFmtId="167" fontId="0" fillId="0" borderId="8" xfId="4" applyNumberFormat="1" applyFont="1" applyBorder="1" applyAlignment="1">
      <alignment horizontal="center" vertical="center"/>
    </xf>
    <xf numFmtId="167" fontId="6" fillId="0" borderId="28" xfId="4" applyNumberFormat="1" applyFont="1" applyBorder="1" applyAlignment="1">
      <alignment horizontal="center" vertical="center"/>
    </xf>
    <xf numFmtId="167" fontId="0" fillId="0" borderId="28" xfId="4" applyNumberFormat="1" applyFont="1" applyBorder="1" applyAlignment="1">
      <alignment horizontal="center" vertical="center"/>
    </xf>
    <xf numFmtId="167" fontId="0" fillId="0" borderId="34" xfId="1" applyNumberFormat="1" applyFont="1" applyBorder="1" applyAlignment="1">
      <alignment horizontal="center" vertical="center"/>
    </xf>
    <xf numFmtId="167" fontId="0" fillId="0" borderId="8" xfId="1" applyNumberFormat="1" applyFont="1" applyBorder="1" applyAlignment="1">
      <alignment horizontal="center" vertical="center"/>
    </xf>
    <xf numFmtId="167" fontId="0" fillId="0" borderId="42" xfId="4" applyNumberFormat="1" applyFont="1" applyBorder="1" applyAlignment="1">
      <alignment horizontal="center" vertical="center"/>
    </xf>
    <xf numFmtId="167" fontId="0" fillId="0" borderId="43" xfId="4" applyNumberFormat="1" applyFont="1" applyBorder="1" applyAlignment="1">
      <alignment horizontal="center" vertical="center"/>
    </xf>
    <xf numFmtId="167" fontId="2" fillId="2" borderId="34" xfId="4" applyNumberFormat="1" applyFont="1" applyFill="1" applyBorder="1" applyAlignment="1">
      <alignment horizontal="center" vertical="center"/>
    </xf>
    <xf numFmtId="167" fontId="2" fillId="2" borderId="8" xfId="4" applyNumberFormat="1" applyFont="1" applyFill="1" applyBorder="1" applyAlignment="1">
      <alignment horizontal="center" vertical="center"/>
    </xf>
    <xf numFmtId="167" fontId="2" fillId="2" borderId="28" xfId="4" applyNumberFormat="1" applyFont="1" applyFill="1" applyBorder="1" applyAlignment="1">
      <alignment horizontal="center" vertical="center"/>
    </xf>
    <xf numFmtId="167" fontId="2" fillId="2" borderId="8" xfId="1" applyNumberFormat="1" applyFont="1" applyFill="1" applyBorder="1" applyAlignment="1">
      <alignment horizontal="center" vertical="center"/>
    </xf>
    <xf numFmtId="167" fontId="0" fillId="0" borderId="17" xfId="1" applyNumberFormat="1" applyFont="1" applyBorder="1" applyAlignment="1">
      <alignment horizontal="center"/>
    </xf>
    <xf numFmtId="167" fontId="2" fillId="2" borderId="17" xfId="1" applyNumberFormat="1" applyFont="1" applyFill="1" applyBorder="1" applyAlignment="1">
      <alignment horizontal="center" vertical="center"/>
    </xf>
    <xf numFmtId="167" fontId="0" fillId="0" borderId="0" xfId="1" applyNumberFormat="1" applyFont="1" applyAlignment="1">
      <alignment horizontal="center"/>
    </xf>
    <xf numFmtId="1" fontId="0" fillId="0" borderId="1" xfId="0" applyNumberFormat="1" applyBorder="1" applyAlignment="1">
      <alignment horizontal="center"/>
    </xf>
    <xf numFmtId="167" fontId="0" fillId="0" borderId="40" xfId="0" applyNumberFormat="1" applyBorder="1" applyAlignment="1">
      <alignment horizontal="center"/>
    </xf>
    <xf numFmtId="166" fontId="0" fillId="0" borderId="40" xfId="0" applyNumberFormat="1" applyBorder="1"/>
    <xf numFmtId="182" fontId="0" fillId="0" borderId="0" xfId="2" applyNumberFormat="1" applyFont="1" applyBorder="1"/>
    <xf numFmtId="0" fontId="0" fillId="0" borderId="19" xfId="0" applyBorder="1" applyAlignment="1">
      <alignment horizontal="left"/>
    </xf>
    <xf numFmtId="0" fontId="0" fillId="0" borderId="21" xfId="0" applyBorder="1" applyAlignment="1">
      <alignment horizontal="left"/>
    </xf>
    <xf numFmtId="167" fontId="0" fillId="0" borderId="27" xfId="0" applyNumberFormat="1" applyBorder="1"/>
    <xf numFmtId="0" fontId="0" fillId="0" borderId="15" xfId="0" applyBorder="1" applyAlignment="1">
      <alignment horizontal="center"/>
    </xf>
    <xf numFmtId="0" fontId="0" fillId="0" borderId="20" xfId="0" applyBorder="1" applyAlignment="1">
      <alignment horizontal="left"/>
    </xf>
    <xf numFmtId="0" fontId="0" fillId="0" borderId="27" xfId="0" applyBorder="1" applyAlignment="1">
      <alignment horizontal="center"/>
    </xf>
    <xf numFmtId="167" fontId="0" fillId="0" borderId="47" xfId="0" applyNumberFormat="1" applyBorder="1"/>
    <xf numFmtId="17" fontId="2" fillId="4" borderId="48" xfId="0" applyNumberFormat="1" applyFont="1" applyFill="1" applyBorder="1" applyAlignment="1">
      <alignment horizontal="center"/>
    </xf>
    <xf numFmtId="181" fontId="2" fillId="0" borderId="0" xfId="1" applyNumberFormat="1" applyFont="1" applyBorder="1" applyAlignment="1">
      <alignment horizontal="left"/>
    </xf>
    <xf numFmtId="181" fontId="0" fillId="0" borderId="8" xfId="1" applyNumberFormat="1" applyFont="1" applyBorder="1" applyAlignment="1"/>
    <xf numFmtId="181" fontId="0" fillId="0" borderId="0" xfId="1" applyNumberFormat="1" applyFont="1" applyBorder="1" applyAlignment="1"/>
    <xf numFmtId="181" fontId="0" fillId="0" borderId="0" xfId="1" applyNumberFormat="1" applyFont="1" applyAlignment="1"/>
    <xf numFmtId="181" fontId="0" fillId="0" borderId="8" xfId="1" applyNumberFormat="1" applyFont="1" applyBorder="1" applyAlignment="1">
      <alignment horizontal="center"/>
    </xf>
    <xf numFmtId="10" fontId="2" fillId="0" borderId="0" xfId="1" applyNumberFormat="1" applyFont="1" applyBorder="1" applyAlignment="1">
      <alignment horizontal="left"/>
    </xf>
    <xf numFmtId="10" fontId="0" fillId="0" borderId="0" xfId="1" applyNumberFormat="1" applyFont="1"/>
    <xf numFmtId="14" fontId="19" fillId="0" borderId="23" xfId="0" applyNumberFormat="1" applyFont="1" applyBorder="1" applyAlignment="1">
      <alignment horizontal="left"/>
    </xf>
    <xf numFmtId="166" fontId="19" fillId="0" borderId="9" xfId="4" applyNumberFormat="1" applyFont="1" applyFill="1" applyBorder="1" applyAlignment="1">
      <alignment horizontal="center"/>
    </xf>
    <xf numFmtId="167" fontId="0" fillId="0" borderId="49" xfId="4" applyNumberFormat="1" applyFont="1" applyBorder="1" applyAlignment="1">
      <alignment horizontal="center" vertical="center"/>
    </xf>
    <xf numFmtId="166" fontId="19" fillId="0" borderId="9" xfId="0" applyNumberFormat="1" applyFont="1" applyBorder="1" applyAlignment="1">
      <alignment horizontal="center"/>
    </xf>
    <xf numFmtId="0" fontId="0" fillId="0" borderId="8" xfId="4" applyNumberFormat="1" applyFont="1" applyBorder="1" applyAlignment="1">
      <alignment horizontal="center"/>
    </xf>
    <xf numFmtId="0" fontId="2" fillId="2" borderId="8" xfId="4" applyNumberFormat="1" applyFont="1" applyFill="1" applyBorder="1" applyAlignment="1">
      <alignment horizontal="center" vertical="center"/>
    </xf>
    <xf numFmtId="0" fontId="0" fillId="0" borderId="0" xfId="4" applyNumberFormat="1" applyFont="1" applyAlignment="1">
      <alignment horizontal="center"/>
    </xf>
    <xf numFmtId="14" fontId="19" fillId="0" borderId="9" xfId="0" applyNumberFormat="1" applyFont="1" applyBorder="1" applyAlignment="1">
      <alignment horizontal="left"/>
    </xf>
    <xf numFmtId="1" fontId="2" fillId="0" borderId="19" xfId="2" applyNumberFormat="1" applyFont="1" applyBorder="1" applyAlignment="1">
      <alignment horizontal="left"/>
    </xf>
    <xf numFmtId="1" fontId="2" fillId="0" borderId="21" xfId="2" applyNumberFormat="1" applyFont="1" applyBorder="1" applyAlignment="1">
      <alignment horizontal="left"/>
    </xf>
    <xf numFmtId="1" fontId="0" fillId="0" borderId="17" xfId="2" applyNumberFormat="1" applyFont="1" applyBorder="1" applyAlignment="1">
      <alignment horizontal="center"/>
    </xf>
    <xf numFmtId="1" fontId="0" fillId="0" borderId="42" xfId="2" applyNumberFormat="1" applyFont="1" applyBorder="1" applyAlignment="1">
      <alignment horizontal="center"/>
    </xf>
    <xf numFmtId="1" fontId="0" fillId="0" borderId="50" xfId="2" applyNumberFormat="1" applyFont="1" applyBorder="1" applyAlignment="1">
      <alignment horizontal="center"/>
    </xf>
    <xf numFmtId="167" fontId="0" fillId="0" borderId="8" xfId="4" applyNumberFormat="1" applyFont="1" applyBorder="1" applyAlignment="1"/>
    <xf numFmtId="167" fontId="0" fillId="0" borderId="0" xfId="4" applyNumberFormat="1" applyFont="1" applyBorder="1" applyAlignment="1"/>
    <xf numFmtId="0" fontId="0" fillId="0" borderId="40" xfId="0" applyBorder="1"/>
    <xf numFmtId="0" fontId="0" fillId="0" borderId="40" xfId="0" applyBorder="1" applyProtection="1">
      <protection locked="0"/>
    </xf>
    <xf numFmtId="0" fontId="0" fillId="18" borderId="9" xfId="0" applyFill="1" applyBorder="1"/>
    <xf numFmtId="166" fontId="20" fillId="0" borderId="10" xfId="0" applyNumberFormat="1" applyFont="1" applyBorder="1" applyAlignment="1">
      <alignment horizontal="center"/>
    </xf>
    <xf numFmtId="14" fontId="0" fillId="0" borderId="0" xfId="0" applyNumberFormat="1" applyAlignment="1">
      <alignment horizontal="left" vertical="center"/>
    </xf>
    <xf numFmtId="14" fontId="11" fillId="17" borderId="0" xfId="0" applyNumberFormat="1" applyFont="1" applyFill="1" applyAlignment="1">
      <alignment horizontal="left" vertical="center"/>
    </xf>
    <xf numFmtId="0" fontId="11" fillId="17" borderId="0" xfId="0" applyFont="1" applyFill="1"/>
    <xf numFmtId="0" fontId="11" fillId="17" borderId="0" xfId="0" applyFont="1" applyFill="1" applyAlignment="1">
      <alignment horizontal="center" vertical="center"/>
    </xf>
    <xf numFmtId="0" fontId="11" fillId="17" borderId="0" xfId="0" applyFont="1" applyFill="1" applyAlignment="1">
      <alignment horizontal="center"/>
    </xf>
    <xf numFmtId="171" fontId="0" fillId="0" borderId="0" xfId="0" applyNumberFormat="1" applyAlignment="1">
      <alignment horizontal="center" vertical="center"/>
    </xf>
    <xf numFmtId="171" fontId="11" fillId="17" borderId="0" xfId="0" applyNumberFormat="1" applyFont="1" applyFill="1" applyAlignment="1">
      <alignment horizontal="center" vertical="center"/>
    </xf>
    <xf numFmtId="14" fontId="11" fillId="19" borderId="0" xfId="0" applyNumberFormat="1" applyFont="1" applyFill="1" applyAlignment="1">
      <alignment horizontal="left" vertical="center"/>
    </xf>
    <xf numFmtId="0" fontId="11" fillId="19" borderId="0" xfId="0" applyFont="1" applyFill="1"/>
    <xf numFmtId="0" fontId="11" fillId="19" borderId="0" xfId="0" applyFont="1" applyFill="1" applyAlignment="1">
      <alignment horizontal="center" vertical="center"/>
    </xf>
    <xf numFmtId="171" fontId="11" fillId="19" borderId="0" xfId="0" applyNumberFormat="1" applyFont="1" applyFill="1" applyAlignment="1">
      <alignment horizontal="center" vertical="center"/>
    </xf>
    <xf numFmtId="0" fontId="11" fillId="19" borderId="0" xfId="0" applyFont="1" applyFill="1" applyAlignment="1">
      <alignment horizontal="center"/>
    </xf>
    <xf numFmtId="14" fontId="11" fillId="20" borderId="0" xfId="0" applyNumberFormat="1" applyFont="1" applyFill="1" applyAlignment="1">
      <alignment horizontal="left" vertical="center"/>
    </xf>
    <xf numFmtId="0" fontId="11" fillId="20" borderId="0" xfId="0" applyFont="1" applyFill="1"/>
    <xf numFmtId="0" fontId="11" fillId="20" borderId="0" xfId="0" applyFont="1" applyFill="1" applyAlignment="1">
      <alignment horizontal="center" vertical="center"/>
    </xf>
    <xf numFmtId="171" fontId="11" fillId="20" borderId="0" xfId="0" applyNumberFormat="1" applyFont="1" applyFill="1" applyAlignment="1">
      <alignment horizontal="center" vertical="center"/>
    </xf>
    <xf numFmtId="0" fontId="11" fillId="20" borderId="0" xfId="0" applyFont="1" applyFill="1" applyAlignment="1">
      <alignment horizontal="center"/>
    </xf>
    <xf numFmtId="1" fontId="0" fillId="0" borderId="8" xfId="4" applyNumberFormat="1" applyFont="1" applyBorder="1" applyAlignment="1">
      <alignment horizontal="center"/>
    </xf>
    <xf numFmtId="1" fontId="2" fillId="2" borderId="8" xfId="4" applyNumberFormat="1" applyFont="1" applyFill="1" applyBorder="1" applyAlignment="1">
      <alignment horizontal="center" vertical="center"/>
    </xf>
    <xf numFmtId="1" fontId="0" fillId="0" borderId="0" xfId="4" applyNumberFormat="1" applyFont="1" applyAlignment="1">
      <alignment horizontal="center"/>
    </xf>
    <xf numFmtId="167" fontId="0" fillId="0" borderId="42" xfId="4" applyNumberFormat="1" applyFont="1" applyBorder="1"/>
    <xf numFmtId="1" fontId="0" fillId="0" borderId="43" xfId="4" applyNumberFormat="1" applyFont="1" applyBorder="1" applyAlignment="1">
      <alignment horizontal="center"/>
    </xf>
    <xf numFmtId="1" fontId="0" fillId="0" borderId="17" xfId="4" applyNumberFormat="1" applyFont="1" applyBorder="1" applyAlignment="1">
      <alignment horizontal="center"/>
    </xf>
    <xf numFmtId="1" fontId="2" fillId="2" borderId="17" xfId="4" applyNumberFormat="1" applyFont="1" applyFill="1" applyBorder="1" applyAlignment="1">
      <alignment horizontal="center" vertical="center"/>
    </xf>
    <xf numFmtId="1" fontId="0" fillId="0" borderId="50" xfId="4" applyNumberFormat="1" applyFont="1" applyBorder="1" applyAlignment="1">
      <alignment horizontal="center"/>
    </xf>
    <xf numFmtId="0" fontId="0" fillId="20" borderId="0" xfId="0" applyFill="1"/>
    <xf numFmtId="0" fontId="0" fillId="19" borderId="0" xfId="0" applyFill="1"/>
    <xf numFmtId="9" fontId="11" fillId="19" borderId="0" xfId="1" applyFont="1" applyFill="1" applyAlignment="1">
      <alignment horizontal="center"/>
    </xf>
    <xf numFmtId="9" fontId="0" fillId="0" borderId="0" xfId="0" applyNumberFormat="1" applyAlignment="1">
      <alignment horizontal="center"/>
    </xf>
    <xf numFmtId="9" fontId="11" fillId="19" borderId="0" xfId="0" applyNumberFormat="1" applyFont="1" applyFill="1" applyAlignment="1">
      <alignment horizontal="center"/>
    </xf>
    <xf numFmtId="9" fontId="11" fillId="20" borderId="0" xfId="0" applyNumberFormat="1" applyFont="1" applyFill="1" applyAlignment="1">
      <alignment horizontal="center"/>
    </xf>
    <xf numFmtId="0" fontId="21" fillId="0" borderId="22" xfId="0" applyFont="1" applyBorder="1" applyAlignment="1">
      <alignment horizontal="center"/>
    </xf>
    <xf numFmtId="0" fontId="21" fillId="0" borderId="17" xfId="0" applyFont="1" applyBorder="1" applyAlignment="1">
      <alignment horizontal="center"/>
    </xf>
    <xf numFmtId="0" fontId="21" fillId="0" borderId="59" xfId="0" applyFont="1" applyBorder="1" applyAlignment="1">
      <alignment horizontal="center"/>
    </xf>
    <xf numFmtId="0" fontId="21" fillId="0" borderId="50" xfId="0" applyFont="1" applyBorder="1" applyAlignment="1">
      <alignment horizontal="center"/>
    </xf>
    <xf numFmtId="0" fontId="21" fillId="0" borderId="52" xfId="0" applyFont="1" applyBorder="1" applyAlignment="1">
      <alignment horizontal="center"/>
    </xf>
    <xf numFmtId="171" fontId="21" fillId="0" borderId="52" xfId="0" applyNumberFormat="1" applyFont="1" applyBorder="1" applyAlignment="1">
      <alignment horizontal="center"/>
    </xf>
    <xf numFmtId="0" fontId="21" fillId="0" borderId="53" xfId="0" applyFont="1" applyBorder="1" applyAlignment="1">
      <alignment horizontal="center"/>
    </xf>
    <xf numFmtId="0" fontId="21" fillId="0" borderId="9" xfId="0" applyFont="1" applyBorder="1" applyAlignment="1">
      <alignment horizontal="center"/>
    </xf>
    <xf numFmtId="171" fontId="21" fillId="0" borderId="9" xfId="0" applyNumberFormat="1" applyFont="1" applyBorder="1" applyAlignment="1">
      <alignment horizontal="center"/>
    </xf>
    <xf numFmtId="0" fontId="21" fillId="0" borderId="61" xfId="0" applyFont="1" applyBorder="1" applyAlignment="1">
      <alignment horizontal="center"/>
    </xf>
    <xf numFmtId="171" fontId="21" fillId="0" borderId="9" xfId="4" applyNumberFormat="1" applyFont="1" applyBorder="1" applyAlignment="1">
      <alignment horizontal="center"/>
    </xf>
    <xf numFmtId="10" fontId="21" fillId="0" borderId="9" xfId="1" applyNumberFormat="1" applyFont="1" applyBorder="1" applyAlignment="1">
      <alignment horizontal="center"/>
    </xf>
    <xf numFmtId="0" fontId="21" fillId="0" borderId="54" xfId="0" applyFont="1" applyBorder="1" applyAlignment="1">
      <alignment horizontal="center"/>
    </xf>
    <xf numFmtId="171" fontId="25" fillId="0" borderId="9" xfId="0" applyNumberFormat="1" applyFont="1" applyBorder="1" applyAlignment="1">
      <alignment horizontal="center"/>
    </xf>
    <xf numFmtId="10" fontId="21" fillId="0" borderId="22" xfId="1" applyNumberFormat="1" applyFont="1" applyBorder="1" applyAlignment="1">
      <alignment horizontal="center"/>
    </xf>
    <xf numFmtId="10" fontId="0" fillId="0" borderId="9" xfId="1" applyNumberFormat="1" applyFont="1" applyBorder="1" applyAlignment="1">
      <alignment horizontal="center"/>
    </xf>
    <xf numFmtId="171" fontId="21" fillId="0" borderId="22" xfId="4" applyNumberFormat="1" applyFont="1" applyBorder="1" applyAlignment="1">
      <alignment horizontal="center"/>
    </xf>
    <xf numFmtId="171" fontId="21" fillId="0" borderId="22" xfId="0" applyNumberFormat="1" applyFont="1" applyBorder="1" applyAlignment="1">
      <alignment horizontal="center"/>
    </xf>
    <xf numFmtId="9" fontId="9" fillId="0" borderId="59" xfId="1" applyFont="1" applyBorder="1" applyAlignment="1">
      <alignment horizontal="center"/>
    </xf>
    <xf numFmtId="10" fontId="9" fillId="0" borderId="59" xfId="1" applyNumberFormat="1" applyFont="1" applyBorder="1" applyAlignment="1">
      <alignment horizontal="center"/>
    </xf>
    <xf numFmtId="10" fontId="21" fillId="0" borderId="59" xfId="1" applyNumberFormat="1" applyFont="1" applyBorder="1" applyAlignment="1">
      <alignment horizontal="center"/>
    </xf>
    <xf numFmtId="0" fontId="25" fillId="0" borderId="57" xfId="0" applyFont="1" applyBorder="1" applyAlignment="1">
      <alignment horizontal="left"/>
    </xf>
    <xf numFmtId="0" fontId="25" fillId="0" borderId="58" xfId="0" applyFont="1" applyBorder="1" applyAlignment="1">
      <alignment horizontal="left"/>
    </xf>
    <xf numFmtId="0" fontId="25" fillId="0" borderId="51" xfId="0" applyFont="1" applyBorder="1" applyAlignment="1">
      <alignment horizontal="left"/>
    </xf>
    <xf numFmtId="0" fontId="25" fillId="0" borderId="60" xfId="0" applyFont="1" applyBorder="1" applyAlignment="1">
      <alignment horizontal="left"/>
    </xf>
    <xf numFmtId="0" fontId="25" fillId="0" borderId="62" xfId="0" applyFont="1" applyBorder="1" applyAlignment="1">
      <alignment horizontal="left"/>
    </xf>
    <xf numFmtId="1" fontId="21" fillId="0" borderId="22" xfId="0" applyNumberFormat="1" applyFont="1" applyBorder="1" applyAlignment="1">
      <alignment horizontal="center"/>
    </xf>
    <xf numFmtId="0" fontId="9" fillId="0" borderId="22" xfId="0" applyFont="1" applyBorder="1" applyAlignment="1">
      <alignment horizontal="center"/>
    </xf>
    <xf numFmtId="9" fontId="11" fillId="17" borderId="0" xfId="0" applyNumberFormat="1" applyFont="1" applyFill="1" applyAlignment="1">
      <alignment horizontal="center"/>
    </xf>
    <xf numFmtId="171" fontId="9" fillId="0" borderId="9" xfId="0" applyNumberFormat="1" applyFont="1" applyBorder="1" applyAlignment="1">
      <alignment horizontal="center"/>
    </xf>
    <xf numFmtId="0" fontId="9" fillId="0" borderId="61" xfId="0" applyFont="1" applyBorder="1" applyAlignment="1">
      <alignment horizontal="center"/>
    </xf>
    <xf numFmtId="0" fontId="9" fillId="0" borderId="54" xfId="0" applyFont="1" applyBorder="1" applyAlignment="1">
      <alignment horizontal="center"/>
    </xf>
    <xf numFmtId="49" fontId="0" fillId="0" borderId="9" xfId="0" quotePrefix="1" applyNumberFormat="1" applyBorder="1" applyAlignment="1">
      <alignment horizontal="center" vertical="center"/>
    </xf>
    <xf numFmtId="9" fontId="6" fillId="0" borderId="28" xfId="1" applyFont="1" applyBorder="1" applyAlignment="1">
      <alignment horizontal="center" vertical="center"/>
    </xf>
    <xf numFmtId="9" fontId="2" fillId="2" borderId="28" xfId="1" applyFont="1" applyFill="1" applyBorder="1" applyAlignment="1">
      <alignment horizontal="center" vertical="center"/>
    </xf>
    <xf numFmtId="49" fontId="8" fillId="0" borderId="0" xfId="3" applyNumberFormat="1" applyFill="1" applyBorder="1"/>
    <xf numFmtId="170" fontId="11" fillId="12" borderId="9" xfId="0" applyNumberFormat="1" applyFont="1" applyFill="1" applyBorder="1"/>
    <xf numFmtId="171" fontId="11" fillId="8" borderId="24" xfId="0" applyNumberFormat="1" applyFont="1" applyFill="1" applyBorder="1"/>
    <xf numFmtId="166" fontId="27" fillId="0" borderId="9" xfId="0" applyNumberFormat="1" applyFont="1" applyBorder="1" applyAlignment="1">
      <alignment horizontal="left" vertical="top"/>
    </xf>
    <xf numFmtId="9" fontId="0" fillId="0" borderId="28" xfId="1" applyFont="1" applyBorder="1" applyAlignment="1">
      <alignment horizontal="center" vertical="center"/>
    </xf>
    <xf numFmtId="179" fontId="3" fillId="0" borderId="10" xfId="2" applyNumberFormat="1" applyFont="1" applyBorder="1" applyAlignment="1">
      <alignment horizontal="center"/>
    </xf>
    <xf numFmtId="166" fontId="4" fillId="0" borderId="26" xfId="0" applyNumberFormat="1" applyFont="1" applyBorder="1" applyAlignment="1">
      <alignment horizontal="center"/>
    </xf>
    <xf numFmtId="10" fontId="3" fillId="0" borderId="25" xfId="0" applyNumberFormat="1" applyFont="1" applyBorder="1"/>
    <xf numFmtId="1" fontId="8" fillId="0" borderId="9" xfId="3" applyNumberFormat="1" applyBorder="1" applyAlignment="1">
      <alignment horizontal="left" vertical="top"/>
    </xf>
    <xf numFmtId="14" fontId="8" fillId="0" borderId="9" xfId="3" applyNumberFormat="1" applyFill="1" applyBorder="1"/>
    <xf numFmtId="0" fontId="8" fillId="0" borderId="24" xfId="3" applyBorder="1" applyAlignment="1">
      <alignment horizontal="left" vertical="top"/>
    </xf>
    <xf numFmtId="0" fontId="8" fillId="0" borderId="24" xfId="3" applyBorder="1" applyAlignment="1">
      <alignment horizontal="left" vertical="center"/>
    </xf>
    <xf numFmtId="0" fontId="8" fillId="0" borderId="24" xfId="3" applyNumberFormat="1" applyBorder="1" applyAlignment="1">
      <alignment horizontal="left" vertical="top"/>
    </xf>
    <xf numFmtId="0" fontId="8" fillId="0" borderId="24" xfId="3" applyNumberFormat="1" applyBorder="1" applyAlignment="1">
      <alignment horizontal="left"/>
    </xf>
    <xf numFmtId="170" fontId="0" fillId="9" borderId="24" xfId="0" applyNumberFormat="1" applyFill="1" applyBorder="1"/>
    <xf numFmtId="1" fontId="8" fillId="0" borderId="24" xfId="3" applyNumberFormat="1" applyBorder="1" applyAlignment="1">
      <alignment horizontal="left" vertical="center"/>
    </xf>
    <xf numFmtId="0" fontId="8" fillId="0" borderId="24" xfId="3" applyNumberFormat="1" applyFill="1" applyBorder="1" applyAlignment="1">
      <alignment horizontal="left" vertical="center"/>
    </xf>
    <xf numFmtId="1" fontId="8" fillId="0" borderId="24" xfId="3" applyNumberFormat="1" applyBorder="1"/>
    <xf numFmtId="0" fontId="9" fillId="0" borderId="24" xfId="0" applyFont="1" applyBorder="1" applyAlignment="1">
      <alignment horizontal="center"/>
    </xf>
    <xf numFmtId="171" fontId="11" fillId="8" borderId="0" xfId="0" applyNumberFormat="1" applyFont="1" applyFill="1"/>
    <xf numFmtId="0" fontId="6" fillId="0" borderId="9" xfId="0" applyFont="1" applyBorder="1" applyAlignment="1">
      <alignment horizontal="left"/>
    </xf>
    <xf numFmtId="0" fontId="9" fillId="0" borderId="24" xfId="0" applyFont="1" applyBorder="1" applyAlignment="1">
      <alignment horizontal="left"/>
    </xf>
    <xf numFmtId="49" fontId="0" fillId="0" borderId="24" xfId="0" applyNumberFormat="1" applyBorder="1" applyAlignment="1">
      <alignment horizontal="center"/>
    </xf>
    <xf numFmtId="0" fontId="9" fillId="0" borderId="0" xfId="0" applyFont="1" applyAlignment="1">
      <alignment horizontal="left" vertical="center"/>
    </xf>
    <xf numFmtId="0" fontId="9" fillId="0" borderId="26" xfId="0" applyFont="1" applyBorder="1"/>
    <xf numFmtId="44" fontId="11" fillId="8" borderId="24" xfId="4" applyNumberFormat="1" applyFont="1" applyFill="1" applyBorder="1"/>
    <xf numFmtId="178" fontId="9" fillId="0" borderId="24" xfId="0" applyNumberFormat="1" applyFont="1" applyBorder="1" applyAlignment="1">
      <alignment horizontal="center"/>
    </xf>
    <xf numFmtId="9" fontId="21" fillId="0" borderId="9" xfId="1" applyFont="1" applyBorder="1" applyAlignment="1">
      <alignment horizontal="center"/>
    </xf>
    <xf numFmtId="9" fontId="21" fillId="0" borderId="54" xfId="1" applyFont="1" applyBorder="1" applyAlignment="1">
      <alignment horizontal="center"/>
    </xf>
    <xf numFmtId="0" fontId="21" fillId="0" borderId="65" xfId="0" applyFont="1" applyBorder="1" applyAlignment="1">
      <alignment horizontal="center"/>
    </xf>
    <xf numFmtId="10" fontId="21" fillId="0" borderId="54" xfId="1" applyNumberFormat="1" applyFont="1" applyBorder="1" applyAlignment="1">
      <alignment horizontal="center"/>
    </xf>
    <xf numFmtId="0" fontId="0" fillId="0" borderId="61" xfId="0" applyBorder="1"/>
    <xf numFmtId="0" fontId="9" fillId="0" borderId="65" xfId="0" applyFont="1" applyBorder="1" applyAlignment="1">
      <alignment horizontal="center"/>
    </xf>
    <xf numFmtId="0" fontId="9" fillId="0" borderId="12" xfId="0" applyFont="1" applyBorder="1" applyAlignment="1">
      <alignment horizontal="center"/>
    </xf>
    <xf numFmtId="0" fontId="9" fillId="0" borderId="29" xfId="0" applyFont="1" applyBorder="1" applyAlignment="1">
      <alignment horizontal="center"/>
    </xf>
    <xf numFmtId="171" fontId="9" fillId="0" borderId="12" xfId="0" applyNumberFormat="1" applyFont="1" applyBorder="1" applyAlignment="1">
      <alignment horizontal="center"/>
    </xf>
    <xf numFmtId="168" fontId="3" fillId="0" borderId="9" xfId="0" applyNumberFormat="1" applyFont="1" applyBorder="1" applyAlignment="1">
      <alignment horizontal="center"/>
    </xf>
    <xf numFmtId="183" fontId="3" fillId="0" borderId="9" xfId="0" applyNumberFormat="1" applyFont="1" applyBorder="1" applyAlignment="1">
      <alignment horizontal="center"/>
    </xf>
    <xf numFmtId="14" fontId="0" fillId="2" borderId="0" xfId="0" applyNumberFormat="1" applyFill="1" applyAlignment="1">
      <alignment horizontal="center"/>
    </xf>
    <xf numFmtId="49" fontId="0" fillId="0" borderId="9" xfId="0" applyNumberFormat="1" applyBorder="1" applyAlignment="1">
      <alignment vertical="center"/>
    </xf>
    <xf numFmtId="0" fontId="25" fillId="4" borderId="60" xfId="0" applyFont="1" applyFill="1" applyBorder="1" applyAlignment="1">
      <alignment horizontal="left"/>
    </xf>
    <xf numFmtId="0" fontId="23" fillId="21" borderId="51" xfId="0" applyFont="1" applyFill="1" applyBorder="1" applyAlignment="1">
      <alignment horizontal="center"/>
    </xf>
    <xf numFmtId="0" fontId="23" fillId="21" borderId="55" xfId="0" applyFont="1" applyFill="1" applyBorder="1" applyAlignment="1">
      <alignment horizontal="center"/>
    </xf>
    <xf numFmtId="0" fontId="23" fillId="21" borderId="56" xfId="0" applyFont="1" applyFill="1" applyBorder="1" applyAlignment="1">
      <alignment horizontal="center"/>
    </xf>
    <xf numFmtId="0" fontId="28" fillId="0" borderId="60" xfId="0" applyFont="1" applyBorder="1" applyAlignment="1">
      <alignment horizontal="left"/>
    </xf>
    <xf numFmtId="10" fontId="26" fillId="23" borderId="22" xfId="1" applyNumberFormat="1" applyFont="1" applyFill="1" applyBorder="1" applyAlignment="1">
      <alignment horizontal="center"/>
    </xf>
    <xf numFmtId="171" fontId="26" fillId="23" borderId="22" xfId="0" applyNumberFormat="1" applyFont="1" applyFill="1" applyBorder="1" applyAlignment="1">
      <alignment horizontal="center"/>
    </xf>
    <xf numFmtId="1" fontId="26" fillId="23" borderId="22" xfId="0" applyNumberFormat="1" applyFont="1" applyFill="1" applyBorder="1" applyAlignment="1">
      <alignment horizontal="center"/>
    </xf>
    <xf numFmtId="10" fontId="26" fillId="23" borderId="59" xfId="1" applyNumberFormat="1" applyFont="1" applyFill="1" applyBorder="1" applyAlignment="1">
      <alignment horizontal="center"/>
    </xf>
    <xf numFmtId="0" fontId="26" fillId="23" borderId="22" xfId="0" applyFont="1" applyFill="1" applyBorder="1" applyAlignment="1">
      <alignment horizontal="center"/>
    </xf>
    <xf numFmtId="171" fontId="26" fillId="23" borderId="9" xfId="0" applyNumberFormat="1" applyFont="1" applyFill="1" applyBorder="1" applyAlignment="1">
      <alignment horizontal="center"/>
    </xf>
    <xf numFmtId="10" fontId="26" fillId="23" borderId="54" xfId="1" applyNumberFormat="1" applyFont="1" applyFill="1" applyBorder="1" applyAlignment="1">
      <alignment horizontal="center"/>
    </xf>
    <xf numFmtId="171" fontId="26" fillId="23" borderId="52" xfId="0" applyNumberFormat="1" applyFont="1" applyFill="1" applyBorder="1" applyAlignment="1">
      <alignment horizontal="center"/>
    </xf>
    <xf numFmtId="0" fontId="16" fillId="22" borderId="3" xfId="0" applyFont="1" applyFill="1" applyBorder="1" applyAlignment="1">
      <alignment horizontal="left" vertical="center"/>
    </xf>
    <xf numFmtId="0" fontId="16" fillId="22" borderId="2" xfId="0" applyFont="1" applyFill="1" applyBorder="1" applyAlignment="1">
      <alignment horizontal="left" vertical="center"/>
    </xf>
    <xf numFmtId="14" fontId="16" fillId="22" borderId="2" xfId="0" applyNumberFormat="1" applyFont="1" applyFill="1" applyBorder="1" applyAlignment="1">
      <alignment horizontal="left" vertical="center"/>
    </xf>
    <xf numFmtId="167" fontId="16" fillId="22" borderId="2" xfId="0" applyNumberFormat="1" applyFont="1" applyFill="1" applyBorder="1" applyAlignment="1">
      <alignment horizontal="left" vertical="center"/>
    </xf>
    <xf numFmtId="167" fontId="16" fillId="22" borderId="4" xfId="0" applyNumberFormat="1" applyFont="1" applyFill="1" applyBorder="1" applyAlignment="1">
      <alignment horizontal="left" vertical="center"/>
    </xf>
    <xf numFmtId="167" fontId="16" fillId="22" borderId="46" xfId="0" applyNumberFormat="1" applyFont="1" applyFill="1" applyBorder="1" applyAlignment="1">
      <alignment horizontal="left" vertical="center"/>
    </xf>
    <xf numFmtId="167" fontId="16" fillId="22" borderId="13" xfId="0" applyNumberFormat="1" applyFont="1" applyFill="1" applyBorder="1" applyAlignment="1">
      <alignment horizontal="left" vertical="center"/>
    </xf>
    <xf numFmtId="0" fontId="16" fillId="22" borderId="2" xfId="2" applyNumberFormat="1" applyFont="1" applyFill="1" applyBorder="1" applyAlignment="1">
      <alignment horizontal="left" vertical="center"/>
    </xf>
    <xf numFmtId="1" fontId="16" fillId="22" borderId="2" xfId="2" applyNumberFormat="1" applyFont="1" applyFill="1" applyBorder="1" applyAlignment="1">
      <alignment horizontal="left" vertical="center"/>
    </xf>
    <xf numFmtId="14" fontId="2" fillId="23" borderId="15" xfId="0" applyNumberFormat="1" applyFont="1" applyFill="1" applyBorder="1" applyAlignment="1">
      <alignment horizontal="left"/>
    </xf>
    <xf numFmtId="167" fontId="2" fillId="23" borderId="19" xfId="4" applyNumberFormat="1" applyFont="1" applyFill="1" applyBorder="1" applyAlignment="1">
      <alignment horizontal="left"/>
    </xf>
    <xf numFmtId="9" fontId="2" fillId="23" borderId="19" xfId="1" applyFont="1" applyFill="1" applyBorder="1" applyAlignment="1">
      <alignment horizontal="left"/>
    </xf>
    <xf numFmtId="0" fontId="2" fillId="23" borderId="20" xfId="4" applyNumberFormat="1" applyFont="1" applyFill="1" applyBorder="1" applyAlignment="1">
      <alignment horizontal="left"/>
    </xf>
    <xf numFmtId="181" fontId="2" fillId="23" borderId="21" xfId="1" applyNumberFormat="1" applyFont="1" applyFill="1" applyBorder="1" applyAlignment="1">
      <alignment horizontal="left"/>
    </xf>
    <xf numFmtId="167" fontId="2" fillId="23" borderId="14" xfId="4" applyNumberFormat="1" applyFont="1" applyFill="1" applyBorder="1" applyAlignment="1">
      <alignment horizontal="left"/>
    </xf>
    <xf numFmtId="1" fontId="2" fillId="23" borderId="20" xfId="4" applyNumberFormat="1" applyFont="1" applyFill="1" applyBorder="1" applyAlignment="1">
      <alignment horizontal="left"/>
    </xf>
    <xf numFmtId="1" fontId="2" fillId="23" borderId="21" xfId="4" applyNumberFormat="1" applyFont="1" applyFill="1" applyBorder="1" applyAlignment="1">
      <alignment horizontal="left"/>
    </xf>
    <xf numFmtId="167" fontId="2" fillId="23" borderId="21" xfId="1" applyNumberFormat="1" applyFont="1" applyFill="1" applyBorder="1" applyAlignment="1">
      <alignment horizontal="left"/>
    </xf>
    <xf numFmtId="0" fontId="0" fillId="23" borderId="33" xfId="0" applyFill="1" applyBorder="1"/>
    <xf numFmtId="167" fontId="6" fillId="23" borderId="19" xfId="4" applyNumberFormat="1" applyFont="1" applyFill="1" applyBorder="1" applyAlignment="1">
      <alignment horizontal="left"/>
    </xf>
    <xf numFmtId="0" fontId="0" fillId="23" borderId="45" xfId="0" applyFill="1" applyBorder="1"/>
    <xf numFmtId="0" fontId="0" fillId="23" borderId="44" xfId="0" applyFill="1" applyBorder="1"/>
    <xf numFmtId="0" fontId="0" fillId="23" borderId="20" xfId="0" applyFill="1" applyBorder="1"/>
    <xf numFmtId="0" fontId="0" fillId="23" borderId="21" xfId="0" applyFill="1" applyBorder="1"/>
    <xf numFmtId="0" fontId="0" fillId="23" borderId="41" xfId="0" applyFill="1" applyBorder="1"/>
    <xf numFmtId="9" fontId="2" fillId="23" borderId="14" xfId="1" applyFont="1" applyFill="1" applyBorder="1" applyAlignment="1">
      <alignment horizontal="left"/>
    </xf>
    <xf numFmtId="0" fontId="0" fillId="23" borderId="27" xfId="0" applyFill="1" applyBorder="1"/>
    <xf numFmtId="9" fontId="2" fillId="23" borderId="0" xfId="1" applyFont="1" applyFill="1" applyBorder="1" applyAlignment="1">
      <alignment horizontal="left"/>
    </xf>
    <xf numFmtId="0" fontId="2" fillId="23" borderId="0" xfId="0" applyFont="1" applyFill="1" applyAlignment="1">
      <alignment horizontal="left"/>
    </xf>
    <xf numFmtId="181" fontId="21" fillId="0" borderId="22" xfId="1" applyNumberFormat="1" applyFont="1" applyBorder="1" applyAlignment="1">
      <alignment horizontal="center"/>
    </xf>
    <xf numFmtId="181" fontId="9" fillId="0" borderId="59" xfId="1" applyNumberFormat="1" applyFont="1" applyBorder="1" applyAlignment="1">
      <alignment horizontal="center"/>
    </xf>
    <xf numFmtId="0" fontId="30" fillId="0" borderId="27" xfId="0" applyFont="1" applyBorder="1"/>
    <xf numFmtId="0" fontId="21" fillId="0" borderId="15" xfId="0" applyFont="1" applyBorder="1"/>
    <xf numFmtId="0" fontId="21" fillId="0" borderId="27" xfId="0" applyFont="1" applyBorder="1"/>
    <xf numFmtId="0" fontId="9" fillId="0" borderId="27" xfId="0" applyFont="1" applyBorder="1" applyAlignment="1">
      <alignment horizontal="center"/>
    </xf>
    <xf numFmtId="184" fontId="9" fillId="0" borderId="0" xfId="1" applyNumberFormat="1" applyFont="1" applyBorder="1" applyAlignment="1">
      <alignment horizontal="center"/>
    </xf>
    <xf numFmtId="0" fontId="9" fillId="0" borderId="15" xfId="0" applyFont="1" applyBorder="1" applyAlignment="1">
      <alignment horizontal="center"/>
    </xf>
    <xf numFmtId="0" fontId="9" fillId="0" borderId="50" xfId="0" applyFont="1" applyBorder="1" applyAlignment="1">
      <alignment horizontal="center"/>
    </xf>
    <xf numFmtId="14" fontId="19" fillId="0" borderId="0" xfId="0" applyNumberFormat="1" applyFont="1" applyAlignment="1">
      <alignment horizontal="left"/>
    </xf>
    <xf numFmtId="10" fontId="2" fillId="23" borderId="14" xfId="1" applyNumberFormat="1" applyFont="1" applyFill="1" applyBorder="1" applyAlignment="1">
      <alignment horizontal="left"/>
    </xf>
    <xf numFmtId="10" fontId="0" fillId="0" borderId="34" xfId="1" applyNumberFormat="1" applyFont="1" applyBorder="1" applyAlignment="1">
      <alignment horizontal="center"/>
    </xf>
    <xf numFmtId="10" fontId="0" fillId="0" borderId="49" xfId="1" applyNumberFormat="1" applyFont="1" applyBorder="1" applyAlignment="1">
      <alignment horizontal="center"/>
    </xf>
    <xf numFmtId="10" fontId="0" fillId="0" borderId="0" xfId="1" applyNumberFormat="1" applyFont="1" applyAlignment="1">
      <alignment horizontal="center"/>
    </xf>
    <xf numFmtId="10" fontId="1" fillId="23" borderId="22" xfId="1" applyNumberFormat="1" applyFont="1" applyFill="1" applyBorder="1" applyAlignment="1">
      <alignment horizontal="center"/>
    </xf>
    <xf numFmtId="167" fontId="2" fillId="23" borderId="21" xfId="4" applyNumberFormat="1" applyFont="1" applyFill="1" applyBorder="1" applyAlignment="1">
      <alignment horizontal="left"/>
    </xf>
    <xf numFmtId="167" fontId="0" fillId="0" borderId="17" xfId="4" applyNumberFormat="1" applyFont="1" applyBorder="1" applyAlignment="1">
      <alignment horizontal="center"/>
    </xf>
    <xf numFmtId="167" fontId="2" fillId="2" borderId="17" xfId="4" applyNumberFormat="1" applyFont="1" applyFill="1" applyBorder="1" applyAlignment="1">
      <alignment horizontal="center" vertical="center"/>
    </xf>
    <xf numFmtId="167" fontId="0" fillId="0" borderId="15" xfId="4" applyNumberFormat="1" applyFont="1" applyBorder="1" applyAlignment="1">
      <alignment horizontal="center"/>
    </xf>
    <xf numFmtId="173" fontId="0" fillId="0" borderId="9" xfId="0" applyNumberFormat="1" applyBorder="1" applyAlignment="1">
      <alignment horizontal="center"/>
    </xf>
    <xf numFmtId="0" fontId="22" fillId="0" borderId="0" xfId="0" applyFont="1"/>
    <xf numFmtId="0" fontId="21" fillId="0" borderId="0" xfId="0" applyFont="1"/>
    <xf numFmtId="167" fontId="21" fillId="0" borderId="0" xfId="0" applyNumberFormat="1" applyFont="1"/>
    <xf numFmtId="0" fontId="9" fillId="0" borderId="0" xfId="0" applyFont="1" applyAlignment="1">
      <alignment horizontal="center"/>
    </xf>
    <xf numFmtId="0" fontId="28" fillId="0" borderId="62" xfId="0" applyFont="1" applyBorder="1" applyAlignment="1">
      <alignment horizontal="left"/>
    </xf>
    <xf numFmtId="171" fontId="21" fillId="0" borderId="54" xfId="0" applyNumberFormat="1" applyFont="1" applyBorder="1" applyAlignment="1">
      <alignment horizontal="center"/>
    </xf>
    <xf numFmtId="171" fontId="26" fillId="23" borderId="54" xfId="0" applyNumberFormat="1" applyFont="1" applyFill="1" applyBorder="1" applyAlignment="1">
      <alignment horizontal="center"/>
    </xf>
    <xf numFmtId="0" fontId="9" fillId="0" borderId="15" xfId="0" applyFont="1" applyBorder="1"/>
    <xf numFmtId="171" fontId="9" fillId="0" borderId="22" xfId="4" applyNumberFormat="1" applyFont="1" applyBorder="1" applyAlignment="1">
      <alignment horizontal="center"/>
    </xf>
    <xf numFmtId="181" fontId="9" fillId="0" borderId="22" xfId="1" applyNumberFormat="1" applyFont="1" applyBorder="1" applyAlignment="1">
      <alignment horizontal="center"/>
    </xf>
    <xf numFmtId="0" fontId="0" fillId="0" borderId="27" xfId="0" applyBorder="1"/>
    <xf numFmtId="0" fontId="9" fillId="0" borderId="27" xfId="0" applyFont="1" applyBorder="1"/>
    <xf numFmtId="171" fontId="1" fillId="23" borderId="22" xfId="0" applyNumberFormat="1" applyFont="1" applyFill="1" applyBorder="1" applyAlignment="1">
      <alignment horizontal="center"/>
    </xf>
    <xf numFmtId="0" fontId="8" fillId="0" borderId="24" xfId="3" applyFill="1" applyBorder="1" applyAlignment="1">
      <alignment horizontal="left"/>
    </xf>
    <xf numFmtId="170" fontId="17" fillId="25" borderId="9" xfId="0" applyNumberFormat="1" applyFont="1" applyFill="1" applyBorder="1"/>
    <xf numFmtId="1" fontId="8" fillId="20" borderId="9" xfId="3" applyNumberFormat="1" applyFill="1" applyBorder="1" applyAlignment="1">
      <alignment horizontal="left"/>
    </xf>
    <xf numFmtId="1" fontId="0" fillId="0" borderId="27" xfId="2" applyNumberFormat="1" applyFont="1" applyBorder="1" applyAlignment="1">
      <alignment horizontal="center"/>
    </xf>
    <xf numFmtId="1" fontId="0" fillId="0" borderId="15" xfId="2" applyNumberFormat="1" applyFont="1" applyBorder="1" applyAlignment="1">
      <alignment horizontal="center"/>
    </xf>
    <xf numFmtId="1" fontId="0" fillId="0" borderId="66" xfId="2" applyNumberFormat="1" applyFont="1" applyBorder="1" applyAlignment="1">
      <alignment horizontal="center"/>
    </xf>
    <xf numFmtId="1" fontId="0" fillId="0" borderId="67" xfId="2" applyNumberFormat="1" applyFont="1" applyBorder="1" applyAlignment="1">
      <alignment horizontal="center"/>
    </xf>
    <xf numFmtId="1" fontId="0" fillId="0" borderId="68" xfId="2" applyNumberFormat="1" applyFont="1" applyBorder="1" applyAlignment="1">
      <alignment horizontal="center"/>
    </xf>
    <xf numFmtId="1" fontId="0" fillId="0" borderId="18" xfId="2" applyNumberFormat="1" applyFont="1" applyBorder="1" applyAlignment="1">
      <alignment horizontal="center"/>
    </xf>
    <xf numFmtId="1" fontId="0" fillId="0" borderId="69" xfId="2" applyNumberFormat="1" applyFont="1" applyBorder="1" applyAlignment="1">
      <alignment horizontal="center"/>
    </xf>
    <xf numFmtId="1" fontId="0" fillId="0" borderId="64" xfId="2" applyNumberFormat="1" applyFont="1" applyBorder="1" applyAlignment="1">
      <alignment horizontal="center"/>
    </xf>
    <xf numFmtId="167" fontId="19" fillId="0" borderId="9" xfId="4" applyNumberFormat="1" applyFont="1" applyFill="1" applyBorder="1" applyAlignment="1">
      <alignment horizontal="center"/>
    </xf>
    <xf numFmtId="167" fontId="19" fillId="0" borderId="9" xfId="0" applyNumberFormat="1" applyFont="1" applyBorder="1" applyAlignment="1">
      <alignment horizontal="center"/>
    </xf>
    <xf numFmtId="167" fontId="19" fillId="0" borderId="24" xfId="0" applyNumberFormat="1" applyFont="1" applyBorder="1" applyAlignment="1">
      <alignment horizontal="center"/>
    </xf>
    <xf numFmtId="164" fontId="13" fillId="0" borderId="12" xfId="4" applyFont="1" applyBorder="1" applyAlignment="1">
      <alignment horizontal="left" vertical="center"/>
    </xf>
    <xf numFmtId="164" fontId="13" fillId="0" borderId="12" xfId="4" applyFont="1" applyBorder="1" applyAlignment="1">
      <alignment horizontal="center" vertical="center"/>
    </xf>
    <xf numFmtId="164" fontId="3" fillId="0" borderId="9" xfId="4" applyFont="1" applyBorder="1" applyAlignment="1">
      <alignment horizontal="center"/>
    </xf>
    <xf numFmtId="164" fontId="19" fillId="0" borderId="9" xfId="4" applyFont="1" applyFill="1" applyBorder="1" applyAlignment="1">
      <alignment horizontal="center"/>
    </xf>
    <xf numFmtId="164" fontId="19" fillId="0" borderId="9" xfId="4" applyFont="1" applyBorder="1" applyAlignment="1">
      <alignment horizontal="center"/>
    </xf>
    <xf numFmtId="164" fontId="3" fillId="0" borderId="9" xfId="4" applyFont="1" applyFill="1" applyBorder="1" applyAlignment="1">
      <alignment horizontal="center"/>
    </xf>
    <xf numFmtId="164" fontId="3" fillId="0" borderId="0" xfId="4" applyFont="1" applyAlignment="1">
      <alignment horizontal="center"/>
    </xf>
    <xf numFmtId="164" fontId="0" fillId="0" borderId="0" xfId="4" applyFont="1"/>
    <xf numFmtId="164" fontId="3" fillId="0" borderId="24" xfId="4" applyFont="1" applyBorder="1" applyAlignment="1">
      <alignment horizontal="center"/>
    </xf>
    <xf numFmtId="0" fontId="0" fillId="0" borderId="23" xfId="0" applyBorder="1"/>
    <xf numFmtId="14" fontId="31" fillId="0" borderId="23" xfId="0" applyNumberFormat="1" applyFont="1" applyBorder="1" applyAlignment="1">
      <alignment horizontal="left"/>
    </xf>
    <xf numFmtId="166" fontId="31" fillId="0" borderId="9" xfId="4" applyNumberFormat="1" applyFont="1" applyFill="1" applyBorder="1" applyAlignment="1">
      <alignment horizontal="center"/>
    </xf>
    <xf numFmtId="0" fontId="0" fillId="0" borderId="11" xfId="0" applyBorder="1"/>
    <xf numFmtId="14" fontId="0" fillId="0" borderId="22" xfId="0" applyNumberFormat="1" applyBorder="1"/>
    <xf numFmtId="49" fontId="8" fillId="0" borderId="12" xfId="3" applyNumberFormat="1" applyBorder="1"/>
    <xf numFmtId="14" fontId="0" fillId="0" borderId="12" xfId="0" applyNumberFormat="1" applyBorder="1" applyAlignment="1">
      <alignment horizontal="center" vertical="center"/>
    </xf>
    <xf numFmtId="171" fontId="11" fillId="8" borderId="12" xfId="4" applyNumberFormat="1" applyFont="1" applyFill="1" applyBorder="1" applyAlignment="1"/>
    <xf numFmtId="0" fontId="0" fillId="0" borderId="12" xfId="4" applyNumberFormat="1" applyFont="1" applyFill="1" applyBorder="1" applyAlignment="1">
      <alignment horizontal="center"/>
    </xf>
    <xf numFmtId="171" fontId="11" fillId="10" borderId="12" xfId="0" applyNumberFormat="1" applyFont="1" applyFill="1" applyBorder="1"/>
    <xf numFmtId="0" fontId="6" fillId="0" borderId="12" xfId="0" applyFont="1" applyBorder="1"/>
    <xf numFmtId="0" fontId="0" fillId="0" borderId="12" xfId="0" applyBorder="1" applyAlignment="1">
      <alignment horizontal="center"/>
    </xf>
    <xf numFmtId="0" fontId="0" fillId="0" borderId="12" xfId="0" applyBorder="1" applyAlignment="1">
      <alignment horizontal="center" vertical="center"/>
    </xf>
    <xf numFmtId="0" fontId="9" fillId="0" borderId="12" xfId="0" applyFont="1" applyBorder="1" applyAlignment="1">
      <alignment horizontal="left" vertical="center"/>
    </xf>
    <xf numFmtId="0" fontId="9" fillId="0" borderId="12" xfId="0" applyFont="1" applyBorder="1" applyAlignment="1">
      <alignment vertical="center"/>
    </xf>
    <xf numFmtId="0" fontId="0" fillId="0" borderId="11" xfId="0" applyBorder="1" applyAlignment="1">
      <alignment horizontal="center" vertical="center"/>
    </xf>
    <xf numFmtId="0" fontId="9" fillId="0" borderId="11" xfId="0" applyFont="1" applyBorder="1" applyAlignment="1">
      <alignment vertical="center"/>
    </xf>
    <xf numFmtId="167" fontId="0" fillId="0" borderId="9" xfId="4" applyNumberFormat="1" applyFont="1" applyBorder="1" applyAlignment="1">
      <alignment horizontal="left"/>
    </xf>
    <xf numFmtId="0" fontId="0" fillId="0" borderId="9" xfId="4" applyNumberFormat="1" applyFont="1" applyBorder="1" applyAlignment="1">
      <alignment horizontal="left"/>
    </xf>
    <xf numFmtId="0" fontId="0" fillId="0" borderId="9" xfId="0" applyBorder="1" applyAlignment="1">
      <alignment horizontal="left" vertical="center"/>
    </xf>
    <xf numFmtId="14" fontId="0" fillId="0" borderId="9" xfId="0" applyNumberFormat="1" applyBorder="1"/>
    <xf numFmtId="49" fontId="9" fillId="0" borderId="9" xfId="0" applyNumberFormat="1" applyFont="1" applyBorder="1" applyAlignment="1">
      <alignment horizontal="center" vertical="center"/>
    </xf>
    <xf numFmtId="166" fontId="31" fillId="0" borderId="9" xfId="0" applyNumberFormat="1" applyFont="1" applyBorder="1" applyAlignment="1">
      <alignment horizontal="center"/>
    </xf>
    <xf numFmtId="179" fontId="31" fillId="0" borderId="10" xfId="2" applyNumberFormat="1" applyFont="1" applyFill="1" applyBorder="1" applyAlignment="1">
      <alignment horizontal="center"/>
    </xf>
    <xf numFmtId="0" fontId="31" fillId="0" borderId="9" xfId="0" applyFont="1" applyBorder="1"/>
    <xf numFmtId="10" fontId="2" fillId="2" borderId="34" xfId="1" applyNumberFormat="1" applyFont="1" applyFill="1" applyBorder="1" applyAlignment="1">
      <alignment horizontal="center" vertical="center"/>
    </xf>
    <xf numFmtId="1" fontId="0" fillId="23" borderId="21" xfId="0" applyNumberFormat="1" applyFill="1" applyBorder="1" applyAlignment="1">
      <alignment horizontal="left"/>
    </xf>
    <xf numFmtId="1" fontId="0" fillId="0" borderId="0" xfId="4" applyNumberFormat="1" applyFont="1"/>
    <xf numFmtId="14" fontId="32" fillId="0" borderId="23" xfId="0" applyNumberFormat="1" applyFont="1" applyBorder="1" applyAlignment="1">
      <alignment horizontal="left"/>
    </xf>
    <xf numFmtId="166" fontId="32" fillId="0" borderId="9" xfId="4" applyNumberFormat="1" applyFont="1" applyFill="1" applyBorder="1" applyAlignment="1">
      <alignment horizontal="center"/>
    </xf>
    <xf numFmtId="167" fontId="3" fillId="0" borderId="0" xfId="0" applyNumberFormat="1" applyFont="1"/>
    <xf numFmtId="166" fontId="32" fillId="0" borderId="9" xfId="0" applyNumberFormat="1" applyFont="1" applyBorder="1" applyAlignment="1">
      <alignment horizontal="center"/>
    </xf>
    <xf numFmtId="179" fontId="32" fillId="0" borderId="10" xfId="2" applyNumberFormat="1" applyFont="1" applyFill="1" applyBorder="1" applyAlignment="1">
      <alignment horizontal="center"/>
    </xf>
    <xf numFmtId="0" fontId="32" fillId="0" borderId="9" xfId="0" applyFont="1" applyBorder="1"/>
    <xf numFmtId="0" fontId="0" fillId="0" borderId="70" xfId="0" applyBorder="1"/>
    <xf numFmtId="0" fontId="0" fillId="0" borderId="8" xfId="0" applyBorder="1"/>
    <xf numFmtId="0" fontId="0" fillId="0" borderId="71" xfId="0" applyBorder="1"/>
    <xf numFmtId="0" fontId="0" fillId="0" borderId="63" xfId="0" applyBorder="1"/>
    <xf numFmtId="0" fontId="0" fillId="18" borderId="63" xfId="0" applyFill="1" applyBorder="1"/>
    <xf numFmtId="0" fontId="1" fillId="15" borderId="8" xfId="0" applyFont="1" applyFill="1" applyBorder="1" applyAlignment="1">
      <alignment horizontal="left"/>
    </xf>
    <xf numFmtId="1" fontId="8" fillId="0" borderId="9" xfId="3" applyNumberFormat="1" applyBorder="1" applyAlignment="1">
      <alignment horizontal="left" wrapText="1"/>
    </xf>
    <xf numFmtId="178" fontId="9" fillId="0" borderId="9" xfId="0" applyNumberFormat="1" applyFont="1" applyBorder="1" applyAlignment="1">
      <alignment horizontal="center"/>
    </xf>
    <xf numFmtId="170" fontId="8" fillId="0" borderId="9" xfId="3" applyNumberFormat="1" applyBorder="1" applyAlignment="1">
      <alignment horizontal="left"/>
    </xf>
    <xf numFmtId="0" fontId="8" fillId="0" borderId="9" xfId="3" applyNumberFormat="1" applyBorder="1" applyAlignment="1">
      <alignment horizontal="left" wrapText="1"/>
    </xf>
    <xf numFmtId="170" fontId="8" fillId="0" borderId="9" xfId="3" applyNumberFormat="1" applyBorder="1" applyAlignment="1">
      <alignment horizontal="left" wrapText="1"/>
    </xf>
    <xf numFmtId="0" fontId="9" fillId="0" borderId="10" xfId="0" applyFont="1" applyBorder="1" applyAlignment="1">
      <alignment horizontal="left"/>
    </xf>
    <xf numFmtId="0" fontId="0" fillId="0" borderId="26" xfId="0" applyBorder="1" applyAlignment="1">
      <alignment horizontal="left"/>
    </xf>
    <xf numFmtId="0" fontId="0" fillId="0" borderId="10" xfId="0" applyBorder="1" applyAlignment="1">
      <alignment horizontal="left"/>
    </xf>
    <xf numFmtId="167" fontId="0" fillId="0" borderId="11" xfId="4" applyNumberFormat="1" applyFont="1" applyBorder="1"/>
    <xf numFmtId="181" fontId="0" fillId="0" borderId="8" xfId="1" applyNumberFormat="1" applyFont="1" applyBorder="1"/>
    <xf numFmtId="10" fontId="9" fillId="0" borderId="22" xfId="1" applyNumberFormat="1" applyFont="1" applyBorder="1" applyAlignment="1">
      <alignment horizontal="center"/>
    </xf>
    <xf numFmtId="0" fontId="9" fillId="0" borderId="17" xfId="0" applyFont="1" applyBorder="1" applyAlignment="1">
      <alignment horizontal="center"/>
    </xf>
    <xf numFmtId="1" fontId="9" fillId="0" borderId="22" xfId="0" applyNumberFormat="1" applyFont="1" applyBorder="1" applyAlignment="1">
      <alignment horizontal="center"/>
    </xf>
    <xf numFmtId="1" fontId="1" fillId="23" borderId="22" xfId="0" applyNumberFormat="1" applyFont="1" applyFill="1" applyBorder="1" applyAlignment="1">
      <alignment horizontal="center"/>
    </xf>
    <xf numFmtId="0" fontId="9" fillId="0" borderId="59" xfId="0" applyFont="1" applyBorder="1" applyAlignment="1">
      <alignment horizontal="center"/>
    </xf>
    <xf numFmtId="10" fontId="1" fillId="23" borderId="59" xfId="1" applyNumberFormat="1" applyFont="1" applyFill="1" applyBorder="1" applyAlignment="1">
      <alignment horizontal="center"/>
    </xf>
    <xf numFmtId="0" fontId="1" fillId="23" borderId="22" xfId="0" applyFont="1" applyFill="1" applyBorder="1" applyAlignment="1">
      <alignment horizontal="center"/>
    </xf>
    <xf numFmtId="9" fontId="9" fillId="0" borderId="9" xfId="1" applyFont="1" applyBorder="1" applyAlignment="1">
      <alignment horizontal="center"/>
    </xf>
    <xf numFmtId="10" fontId="9" fillId="0" borderId="9" xfId="1" applyNumberFormat="1" applyFont="1" applyBorder="1" applyAlignment="1">
      <alignment horizontal="center"/>
    </xf>
    <xf numFmtId="10" fontId="1" fillId="23" borderId="9" xfId="1" applyNumberFormat="1" applyFont="1" applyFill="1" applyBorder="1" applyAlignment="1">
      <alignment horizontal="center"/>
    </xf>
    <xf numFmtId="171" fontId="9" fillId="0" borderId="12" xfId="4" applyNumberFormat="1" applyFont="1" applyBorder="1" applyAlignment="1">
      <alignment horizontal="center"/>
    </xf>
    <xf numFmtId="171" fontId="1" fillId="23" borderId="12" xfId="0" applyNumberFormat="1" applyFont="1" applyFill="1" applyBorder="1" applyAlignment="1">
      <alignment horizontal="center"/>
    </xf>
    <xf numFmtId="9" fontId="9" fillId="0" borderId="12" xfId="1" applyFont="1" applyBorder="1" applyAlignment="1">
      <alignment horizontal="center"/>
    </xf>
    <xf numFmtId="171" fontId="1" fillId="23" borderId="9" xfId="0" applyNumberFormat="1" applyFont="1" applyFill="1" applyBorder="1" applyAlignment="1">
      <alignment horizontal="center"/>
    </xf>
    <xf numFmtId="171" fontId="9" fillId="0" borderId="54" xfId="0" applyNumberFormat="1" applyFont="1" applyBorder="1" applyAlignment="1">
      <alignment horizontal="center"/>
    </xf>
    <xf numFmtId="171" fontId="1" fillId="23" borderId="54" xfId="0" applyNumberFormat="1" applyFont="1" applyFill="1" applyBorder="1" applyAlignment="1">
      <alignment horizontal="center"/>
    </xf>
    <xf numFmtId="0" fontId="9" fillId="0" borderId="52" xfId="0" applyFont="1" applyBorder="1" applyAlignment="1">
      <alignment horizontal="center"/>
    </xf>
    <xf numFmtId="171" fontId="9" fillId="0" borderId="52" xfId="0" applyNumberFormat="1" applyFont="1" applyBorder="1" applyAlignment="1">
      <alignment horizontal="center"/>
    </xf>
    <xf numFmtId="171" fontId="1" fillId="23" borderId="52" xfId="0" applyNumberFormat="1" applyFont="1" applyFill="1" applyBorder="1" applyAlignment="1">
      <alignment horizontal="center"/>
    </xf>
    <xf numFmtId="0" fontId="9" fillId="0" borderId="53" xfId="0" applyFont="1" applyBorder="1" applyAlignment="1">
      <alignment horizontal="center"/>
    </xf>
    <xf numFmtId="171" fontId="33" fillId="8" borderId="9" xfId="0" applyNumberFormat="1" applyFont="1" applyFill="1" applyBorder="1"/>
    <xf numFmtId="0" fontId="25" fillId="0" borderId="74" xfId="0" applyFont="1" applyBorder="1" applyAlignment="1">
      <alignment horizontal="left"/>
    </xf>
    <xf numFmtId="171" fontId="9" fillId="0" borderId="24" xfId="0" applyNumberFormat="1" applyFont="1" applyBorder="1" applyAlignment="1">
      <alignment horizontal="center"/>
    </xf>
    <xf numFmtId="0" fontId="9" fillId="0" borderId="73" xfId="0" applyFont="1" applyBorder="1" applyAlignment="1">
      <alignment horizontal="center"/>
    </xf>
    <xf numFmtId="0" fontId="9" fillId="0" borderId="75" xfId="0" applyFont="1" applyBorder="1" applyAlignment="1">
      <alignment horizontal="center"/>
    </xf>
    <xf numFmtId="0" fontId="9" fillId="0" borderId="77" xfId="0" applyFont="1" applyBorder="1" applyAlignment="1">
      <alignment horizontal="center"/>
    </xf>
    <xf numFmtId="0" fontId="25" fillId="0" borderId="78" xfId="0" applyFont="1" applyBorder="1" applyAlignment="1">
      <alignment horizontal="left"/>
    </xf>
    <xf numFmtId="0" fontId="9" fillId="0" borderId="79" xfId="0" applyFont="1" applyBorder="1" applyAlignment="1">
      <alignment horizontal="center"/>
    </xf>
    <xf numFmtId="171" fontId="9" fillId="0" borderId="79" xfId="0" applyNumberFormat="1" applyFont="1" applyBorder="1" applyAlignment="1">
      <alignment horizontal="center"/>
    </xf>
    <xf numFmtId="0" fontId="9" fillId="0" borderId="80" xfId="0" applyFont="1" applyBorder="1" applyAlignment="1">
      <alignment horizontal="center"/>
    </xf>
    <xf numFmtId="0" fontId="23" fillId="21" borderId="81" xfId="0" applyFont="1" applyFill="1" applyBorder="1" applyAlignment="1">
      <alignment horizontal="center"/>
    </xf>
    <xf numFmtId="171" fontId="9" fillId="0" borderId="11" xfId="0" applyNumberFormat="1" applyFont="1" applyBorder="1" applyAlignment="1">
      <alignment horizontal="center"/>
    </xf>
    <xf numFmtId="171" fontId="9" fillId="0" borderId="26" xfId="0" applyNumberFormat="1" applyFont="1" applyBorder="1" applyAlignment="1">
      <alignment horizontal="center"/>
    </xf>
    <xf numFmtId="171" fontId="9" fillId="0" borderId="82" xfId="0" applyNumberFormat="1" applyFont="1" applyBorder="1" applyAlignment="1">
      <alignment horizontal="center"/>
    </xf>
    <xf numFmtId="0" fontId="9" fillId="0" borderId="25" xfId="0" applyFont="1" applyBorder="1" applyAlignment="1">
      <alignment horizontal="center"/>
    </xf>
    <xf numFmtId="0" fontId="9" fillId="0" borderId="83" xfId="0" applyFont="1" applyBorder="1" applyAlignment="1">
      <alignment horizontal="center"/>
    </xf>
    <xf numFmtId="0" fontId="23" fillId="21" borderId="30" xfId="0" applyFont="1" applyFill="1" applyBorder="1" applyAlignment="1">
      <alignment horizontal="center"/>
    </xf>
    <xf numFmtId="171" fontId="9" fillId="0" borderId="34" xfId="0" applyNumberFormat="1" applyFont="1" applyBorder="1" applyAlignment="1">
      <alignment horizontal="center"/>
    </xf>
    <xf numFmtId="171" fontId="9" fillId="0" borderId="84" xfId="0" applyNumberFormat="1" applyFont="1" applyBorder="1" applyAlignment="1">
      <alignment horizontal="center"/>
    </xf>
    <xf numFmtId="171" fontId="25" fillId="0" borderId="48" xfId="0" applyNumberFormat="1" applyFont="1" applyBorder="1" applyAlignment="1">
      <alignment horizontal="center"/>
    </xf>
    <xf numFmtId="0" fontId="21" fillId="0" borderId="24" xfId="0" applyFont="1" applyBorder="1" applyAlignment="1">
      <alignment horizontal="center"/>
    </xf>
    <xf numFmtId="10" fontId="21" fillId="0" borderId="24" xfId="1" applyNumberFormat="1" applyFont="1" applyBorder="1" applyAlignment="1">
      <alignment horizontal="center"/>
    </xf>
    <xf numFmtId="10" fontId="26" fillId="23" borderId="24" xfId="1" applyNumberFormat="1" applyFont="1" applyFill="1" applyBorder="1" applyAlignment="1">
      <alignment horizontal="center"/>
    </xf>
    <xf numFmtId="9" fontId="21" fillId="0" borderId="24" xfId="1" applyFont="1" applyBorder="1" applyAlignment="1">
      <alignment horizontal="center"/>
    </xf>
    <xf numFmtId="0" fontId="21" fillId="0" borderId="73" xfId="0" applyFont="1" applyBorder="1" applyAlignment="1">
      <alignment horizontal="center"/>
    </xf>
    <xf numFmtId="0" fontId="21" fillId="0" borderId="79" xfId="0" applyFont="1" applyBorder="1" applyAlignment="1">
      <alignment horizontal="center"/>
    </xf>
    <xf numFmtId="171" fontId="26" fillId="23" borderId="79" xfId="0" applyNumberFormat="1" applyFont="1" applyFill="1" applyBorder="1" applyAlignment="1">
      <alignment horizontal="center"/>
    </xf>
    <xf numFmtId="9" fontId="21" fillId="0" borderId="79" xfId="1" applyFont="1" applyBorder="1" applyAlignment="1">
      <alignment horizontal="center"/>
    </xf>
    <xf numFmtId="0" fontId="21" fillId="0" borderId="80" xfId="0" applyFont="1" applyBorder="1" applyAlignment="1">
      <alignment horizontal="center"/>
    </xf>
    <xf numFmtId="171" fontId="25" fillId="0" borderId="79" xfId="4" applyNumberFormat="1" applyFont="1" applyBorder="1" applyAlignment="1">
      <alignment horizontal="center"/>
    </xf>
    <xf numFmtId="0" fontId="25" fillId="0" borderId="54" xfId="0" applyFont="1" applyBorder="1" applyAlignment="1">
      <alignment horizontal="center"/>
    </xf>
    <xf numFmtId="171" fontId="25" fillId="0" borderId="12" xfId="0" applyNumberFormat="1" applyFont="1" applyBorder="1" applyAlignment="1">
      <alignment horizontal="center"/>
    </xf>
    <xf numFmtId="171" fontId="25" fillId="0" borderId="24" xfId="0" applyNumberFormat="1" applyFont="1" applyBorder="1" applyAlignment="1">
      <alignment horizontal="center"/>
    </xf>
    <xf numFmtId="0" fontId="0" fillId="0" borderId="54" xfId="0" applyBorder="1"/>
    <xf numFmtId="0" fontId="0" fillId="0" borderId="52" xfId="0" applyBorder="1"/>
    <xf numFmtId="0" fontId="34" fillId="0" borderId="51" xfId="0" applyFont="1" applyBorder="1" applyAlignment="1">
      <alignment horizontal="center"/>
    </xf>
    <xf numFmtId="0" fontId="23" fillId="21" borderId="85" xfId="0" applyFont="1" applyFill="1" applyBorder="1" applyAlignment="1">
      <alignment horizontal="center"/>
    </xf>
    <xf numFmtId="0" fontId="23" fillId="21" borderId="86" xfId="0" applyFont="1" applyFill="1" applyBorder="1" applyAlignment="1">
      <alignment horizontal="center"/>
    </xf>
    <xf numFmtId="0" fontId="23" fillId="21" borderId="21" xfId="0" applyFont="1" applyFill="1" applyBorder="1" applyAlignment="1">
      <alignment horizontal="center"/>
    </xf>
    <xf numFmtId="0" fontId="23" fillId="0" borderId="55" xfId="0" applyFont="1" applyBorder="1" applyAlignment="1">
      <alignment horizontal="center"/>
    </xf>
    <xf numFmtId="0" fontId="23" fillId="0" borderId="56" xfId="0" applyFont="1" applyBorder="1" applyAlignment="1">
      <alignment horizontal="center"/>
    </xf>
    <xf numFmtId="167" fontId="9" fillId="0" borderId="9" xfId="0" applyNumberFormat="1" applyFont="1" applyBorder="1" applyAlignment="1">
      <alignment horizontal="center"/>
    </xf>
    <xf numFmtId="170" fontId="8" fillId="0" borderId="24" xfId="3" applyNumberFormat="1" applyBorder="1" applyAlignment="1">
      <alignment horizontal="left"/>
    </xf>
    <xf numFmtId="2" fontId="0" fillId="0" borderId="0" xfId="0" applyNumberFormat="1"/>
    <xf numFmtId="2" fontId="0" fillId="26" borderId="0" xfId="0" applyNumberFormat="1" applyFill="1"/>
    <xf numFmtId="177" fontId="11" fillId="8" borderId="24" xfId="4" applyNumberFormat="1" applyFont="1" applyFill="1" applyBorder="1"/>
    <xf numFmtId="1" fontId="0" fillId="0" borderId="9" xfId="0" applyNumberFormat="1" applyBorder="1"/>
    <xf numFmtId="171" fontId="0" fillId="0" borderId="9" xfId="0" applyNumberFormat="1" applyBorder="1"/>
    <xf numFmtId="17" fontId="0" fillId="0" borderId="9" xfId="0" applyNumberFormat="1" applyBorder="1"/>
    <xf numFmtId="0" fontId="35" fillId="27" borderId="9" xfId="0" applyFont="1" applyFill="1" applyBorder="1" applyAlignment="1">
      <alignment horizontal="center"/>
    </xf>
    <xf numFmtId="1" fontId="35" fillId="27" borderId="24" xfId="0" applyNumberFormat="1" applyFont="1" applyFill="1" applyBorder="1"/>
    <xf numFmtId="171" fontId="35" fillId="27" borderId="24" xfId="0" applyNumberFormat="1" applyFont="1" applyFill="1" applyBorder="1"/>
    <xf numFmtId="0" fontId="16" fillId="22" borderId="0" xfId="0" applyFont="1" applyFill="1" applyAlignment="1">
      <alignment horizontal="left" vertical="center"/>
    </xf>
    <xf numFmtId="1" fontId="16" fillId="22" borderId="0" xfId="0" applyNumberFormat="1" applyFont="1" applyFill="1" applyAlignment="1">
      <alignment horizontal="left" vertical="center"/>
    </xf>
    <xf numFmtId="14" fontId="16" fillId="22" borderId="0" xfId="0" applyNumberFormat="1" applyFont="1" applyFill="1" applyAlignment="1">
      <alignment horizontal="left" vertical="center"/>
    </xf>
    <xf numFmtId="0" fontId="36" fillId="30" borderId="88" xfId="0" applyFont="1" applyFill="1" applyBorder="1" applyAlignment="1">
      <alignment vertical="center" wrapText="1"/>
    </xf>
    <xf numFmtId="0" fontId="36" fillId="31" borderId="88" xfId="0" applyFont="1" applyFill="1" applyBorder="1" applyAlignment="1">
      <alignment vertical="center" wrapText="1"/>
    </xf>
    <xf numFmtId="0" fontId="36" fillId="31" borderId="4" xfId="0" applyFont="1" applyFill="1" applyBorder="1" applyAlignment="1">
      <alignment vertical="center" wrapText="1"/>
    </xf>
    <xf numFmtId="0" fontId="36" fillId="32" borderId="88" xfId="0" applyFont="1" applyFill="1" applyBorder="1" applyAlignment="1">
      <alignment vertical="center" wrapText="1"/>
    </xf>
    <xf numFmtId="0" fontId="36" fillId="30" borderId="90" xfId="0" applyFont="1" applyFill="1" applyBorder="1" applyAlignment="1">
      <alignment horizontal="center" vertical="center" wrapText="1"/>
    </xf>
    <xf numFmtId="0" fontId="36" fillId="31" borderId="90" xfId="0" applyFont="1" applyFill="1" applyBorder="1" applyAlignment="1">
      <alignment horizontal="center" vertical="center" wrapText="1"/>
    </xf>
    <xf numFmtId="0" fontId="36" fillId="32" borderId="90" xfId="0" applyFont="1" applyFill="1" applyBorder="1" applyAlignment="1">
      <alignment horizontal="center" vertical="center" wrapText="1"/>
    </xf>
    <xf numFmtId="0" fontId="38" fillId="32" borderId="90" xfId="0" applyFont="1" applyFill="1" applyBorder="1" applyAlignment="1">
      <alignment vertical="center" wrapText="1"/>
    </xf>
    <xf numFmtId="0" fontId="38" fillId="0" borderId="89" xfId="0" applyFont="1" applyBorder="1" applyAlignment="1">
      <alignment wrapText="1"/>
    </xf>
    <xf numFmtId="0" fontId="38" fillId="0" borderId="90" xfId="0" applyFont="1" applyBorder="1" applyAlignment="1">
      <alignment wrapText="1"/>
    </xf>
    <xf numFmtId="0" fontId="38" fillId="0" borderId="90" xfId="0" applyFont="1" applyBorder="1" applyAlignment="1">
      <alignment horizontal="center" wrapText="1"/>
    </xf>
    <xf numFmtId="0" fontId="39" fillId="0" borderId="90" xfId="0" applyFont="1" applyBorder="1" applyAlignment="1">
      <alignment horizontal="center" wrapText="1"/>
    </xf>
    <xf numFmtId="22" fontId="39" fillId="0" borderId="90" xfId="0" applyNumberFormat="1" applyFont="1" applyBorder="1" applyAlignment="1">
      <alignment horizontal="center" wrapText="1"/>
    </xf>
    <xf numFmtId="0" fontId="39" fillId="33" borderId="90" xfId="0" applyFont="1" applyFill="1" applyBorder="1" applyAlignment="1">
      <alignment horizontal="center" wrapText="1"/>
    </xf>
    <xf numFmtId="0" fontId="39" fillId="34" borderId="90" xfId="0" applyFont="1" applyFill="1" applyBorder="1" applyAlignment="1">
      <alignment horizontal="center" wrapText="1"/>
    </xf>
    <xf numFmtId="0" fontId="38" fillId="35" borderId="90" xfId="0" applyFont="1" applyFill="1" applyBorder="1" applyAlignment="1">
      <alignment horizontal="center" wrapText="1"/>
    </xf>
    <xf numFmtId="0" fontId="39" fillId="36" borderId="90" xfId="0" applyFont="1" applyFill="1" applyBorder="1" applyAlignment="1">
      <alignment horizontal="center" wrapText="1"/>
    </xf>
    <xf numFmtId="22" fontId="39" fillId="36" borderId="90" xfId="0" applyNumberFormat="1" applyFont="1" applyFill="1" applyBorder="1" applyAlignment="1">
      <alignment horizontal="center" wrapText="1"/>
    </xf>
    <xf numFmtId="0" fontId="39" fillId="37" borderId="90" xfId="0" applyFont="1" applyFill="1" applyBorder="1" applyAlignment="1">
      <alignment horizontal="center" wrapText="1"/>
    </xf>
    <xf numFmtId="0" fontId="38" fillId="33" borderId="90" xfId="0" applyFont="1" applyFill="1" applyBorder="1" applyAlignment="1">
      <alignment wrapText="1"/>
    </xf>
    <xf numFmtId="1" fontId="0" fillId="0" borderId="0" xfId="0" applyNumberFormat="1"/>
    <xf numFmtId="171" fontId="0" fillId="0" borderId="12" xfId="0" applyNumberFormat="1" applyBorder="1"/>
    <xf numFmtId="171" fontId="1" fillId="27" borderId="24" xfId="0" applyNumberFormat="1" applyFont="1" applyFill="1" applyBorder="1"/>
    <xf numFmtId="170" fontId="0" fillId="0" borderId="9" xfId="0" applyNumberFormat="1" applyBorder="1"/>
    <xf numFmtId="0" fontId="40" fillId="0" borderId="0" xfId="0" applyFont="1"/>
    <xf numFmtId="1" fontId="13" fillId="0" borderId="44" xfId="0" applyNumberFormat="1" applyFont="1" applyBorder="1" applyAlignment="1">
      <alignment horizontal="left" vertical="center"/>
    </xf>
    <xf numFmtId="0" fontId="13" fillId="0" borderId="53" xfId="0" applyFont="1" applyBorder="1" applyAlignment="1">
      <alignment horizontal="left" vertical="center" wrapText="1"/>
    </xf>
    <xf numFmtId="0" fontId="3" fillId="0" borderId="61" xfId="2" applyNumberFormat="1" applyFont="1" applyFill="1" applyBorder="1" applyAlignment="1">
      <alignment horizontal="left" vertical="center" wrapText="1"/>
    </xf>
    <xf numFmtId="0" fontId="3" fillId="0" borderId="73" xfId="2" applyNumberFormat="1" applyFont="1" applyFill="1" applyBorder="1" applyAlignment="1">
      <alignment horizontal="left" vertical="center" wrapText="1"/>
    </xf>
    <xf numFmtId="0" fontId="9" fillId="0" borderId="61" xfId="2" applyNumberFormat="1" applyFont="1" applyFill="1" applyBorder="1" applyAlignment="1">
      <alignment horizontal="left" vertical="center" wrapText="1"/>
    </xf>
    <xf numFmtId="0" fontId="9" fillId="0" borderId="61" xfId="0" applyFont="1" applyBorder="1" applyAlignment="1">
      <alignment horizontal="left" vertical="center" wrapText="1"/>
    </xf>
    <xf numFmtId="0" fontId="3" fillId="0" borderId="61" xfId="2" applyNumberFormat="1" applyFont="1" applyBorder="1" applyAlignment="1">
      <alignment horizontal="left" vertical="center" wrapText="1"/>
    </xf>
    <xf numFmtId="0" fontId="9" fillId="0" borderId="73" xfId="0" applyFont="1" applyBorder="1" applyAlignment="1">
      <alignment horizontal="left" vertical="center" wrapText="1"/>
    </xf>
    <xf numFmtId="0" fontId="31" fillId="0" borderId="61" xfId="2" applyNumberFormat="1" applyFont="1" applyFill="1" applyBorder="1" applyAlignment="1">
      <alignment horizontal="left" vertical="center" wrapText="1"/>
    </xf>
    <xf numFmtId="0" fontId="32" fillId="0" borderId="61" xfId="2" applyNumberFormat="1" applyFont="1" applyFill="1" applyBorder="1" applyAlignment="1">
      <alignment horizontal="left" vertical="center" wrapText="1"/>
    </xf>
    <xf numFmtId="185" fontId="13" fillId="0" borderId="45" xfId="0" applyNumberFormat="1" applyFont="1" applyBorder="1" applyAlignment="1">
      <alignment horizontal="left" vertical="center"/>
    </xf>
    <xf numFmtId="185" fontId="3" fillId="0" borderId="69" xfId="2" applyNumberFormat="1" applyFont="1" applyFill="1" applyBorder="1" applyAlignment="1">
      <alignment horizontal="center"/>
    </xf>
    <xf numFmtId="185" fontId="3" fillId="0" borderId="69" xfId="2" applyNumberFormat="1" applyFont="1" applyFill="1" applyBorder="1" applyAlignment="1">
      <alignment horizontal="center" vertical="center"/>
    </xf>
    <xf numFmtId="185" fontId="3" fillId="0" borderId="68" xfId="2" applyNumberFormat="1" applyFont="1" applyFill="1" applyBorder="1" applyAlignment="1">
      <alignment horizontal="center"/>
    </xf>
    <xf numFmtId="185" fontId="3" fillId="0" borderId="60" xfId="2" applyNumberFormat="1" applyFont="1" applyFill="1" applyBorder="1" applyAlignment="1">
      <alignment horizontal="center"/>
    </xf>
    <xf numFmtId="185" fontId="9" fillId="0" borderId="69" xfId="2" applyNumberFormat="1" applyFont="1" applyFill="1" applyBorder="1" applyAlignment="1">
      <alignment horizontal="center"/>
    </xf>
    <xf numFmtId="185" fontId="9" fillId="0" borderId="69" xfId="0" applyNumberFormat="1" applyFont="1" applyBorder="1" applyAlignment="1">
      <alignment horizontal="center"/>
    </xf>
    <xf numFmtId="185" fontId="3" fillId="0" borderId="69" xfId="2" applyNumberFormat="1" applyFont="1" applyBorder="1" applyAlignment="1">
      <alignment horizontal="center"/>
    </xf>
    <xf numFmtId="185" fontId="0" fillId="0" borderId="27" xfId="0" applyNumberFormat="1" applyBorder="1" applyAlignment="1">
      <alignment horizontal="center"/>
    </xf>
    <xf numFmtId="185" fontId="9" fillId="0" borderId="68" xfId="0" applyNumberFormat="1" applyFont="1" applyBorder="1" applyAlignment="1">
      <alignment horizontal="center"/>
    </xf>
    <xf numFmtId="185" fontId="31" fillId="0" borderId="69" xfId="2" applyNumberFormat="1" applyFont="1" applyFill="1" applyBorder="1" applyAlignment="1">
      <alignment horizontal="center"/>
    </xf>
    <xf numFmtId="185" fontId="32" fillId="0" borderId="69" xfId="2" applyNumberFormat="1" applyFont="1" applyFill="1" applyBorder="1" applyAlignment="1">
      <alignment horizontal="center"/>
    </xf>
    <xf numFmtId="185" fontId="3" fillId="0" borderId="0" xfId="2" applyNumberFormat="1" applyFont="1" applyFill="1" applyBorder="1" applyAlignment="1">
      <alignment horizontal="center" vertical="center"/>
    </xf>
    <xf numFmtId="185" fontId="0" fillId="0" borderId="0" xfId="2" applyNumberFormat="1" applyFont="1" applyFill="1" applyBorder="1" applyAlignment="1">
      <alignment horizontal="center" vertical="center"/>
    </xf>
    <xf numFmtId="170" fontId="11" fillId="13" borderId="0" xfId="0" applyNumberFormat="1" applyFont="1" applyFill="1"/>
    <xf numFmtId="170" fontId="8" fillId="0" borderId="0" xfId="3" applyNumberFormat="1" applyBorder="1" applyAlignment="1">
      <alignment horizontal="left"/>
    </xf>
    <xf numFmtId="170" fontId="17" fillId="14" borderId="0" xfId="0" applyNumberFormat="1" applyFont="1" applyFill="1"/>
    <xf numFmtId="170" fontId="8" fillId="0" borderId="36" xfId="3" applyNumberFormat="1" applyBorder="1"/>
    <xf numFmtId="1" fontId="8" fillId="0" borderId="0" xfId="3" applyNumberFormat="1" applyBorder="1" applyAlignment="1">
      <alignment horizontal="left" vertical="center"/>
    </xf>
    <xf numFmtId="170" fontId="17" fillId="25" borderId="0" xfId="0" applyNumberFormat="1" applyFont="1" applyFill="1"/>
    <xf numFmtId="170" fontId="8" fillId="0" borderId="24" xfId="3" applyNumberFormat="1" applyBorder="1" applyAlignment="1">
      <alignment horizontal="left" wrapText="1"/>
    </xf>
    <xf numFmtId="49" fontId="8" fillId="0" borderId="0" xfId="3" applyNumberFormat="1" applyBorder="1" applyAlignment="1">
      <alignment horizontal="left" vertical="center"/>
    </xf>
    <xf numFmtId="0" fontId="9" fillId="0" borderId="10" xfId="0" applyFont="1" applyBorder="1" applyAlignment="1">
      <alignment horizontal="center" vertical="center"/>
    </xf>
    <xf numFmtId="185" fontId="3" fillId="0" borderId="28" xfId="2" applyNumberFormat="1" applyFont="1" applyFill="1" applyBorder="1" applyAlignment="1">
      <alignment horizontal="center"/>
    </xf>
    <xf numFmtId="179" fontId="3" fillId="0" borderId="11" xfId="2" applyNumberFormat="1" applyFont="1" applyFill="1" applyBorder="1" applyAlignment="1">
      <alignment horizontal="center"/>
    </xf>
    <xf numFmtId="0" fontId="3" fillId="0" borderId="29" xfId="2" applyNumberFormat="1" applyFont="1" applyFill="1" applyBorder="1" applyAlignment="1">
      <alignment horizontal="left" vertical="center" wrapText="1"/>
    </xf>
    <xf numFmtId="170" fontId="11" fillId="12" borderId="0" xfId="0" applyNumberFormat="1" applyFont="1" applyFill="1"/>
    <xf numFmtId="49" fontId="8" fillId="0" borderId="36" xfId="3" applyNumberFormat="1" applyBorder="1"/>
    <xf numFmtId="1" fontId="8" fillId="0" borderId="0" xfId="3" applyNumberFormat="1" applyFill="1" applyBorder="1" applyAlignment="1">
      <alignment horizontal="left"/>
    </xf>
    <xf numFmtId="0" fontId="9" fillId="0" borderId="13" xfId="0" applyFont="1" applyBorder="1"/>
    <xf numFmtId="49" fontId="0" fillId="0" borderId="24" xfId="0" quotePrefix="1" applyNumberFormat="1" applyBorder="1" applyAlignment="1">
      <alignment horizontal="center" vertical="center"/>
    </xf>
    <xf numFmtId="0" fontId="9" fillId="0" borderId="0" xfId="0" applyFont="1" applyAlignment="1">
      <alignment horizontal="center" vertical="center"/>
    </xf>
    <xf numFmtId="0" fontId="9" fillId="0" borderId="0" xfId="0" applyFont="1" applyAlignment="1">
      <alignment vertical="center"/>
    </xf>
    <xf numFmtId="0" fontId="41" fillId="38" borderId="9" xfId="0" applyFont="1" applyFill="1" applyBorder="1" applyAlignment="1">
      <alignment horizontal="center" vertical="center"/>
    </xf>
    <xf numFmtId="0" fontId="42" fillId="39" borderId="9" xfId="0" applyFont="1" applyFill="1" applyBorder="1"/>
    <xf numFmtId="0" fontId="42" fillId="40" borderId="9" xfId="0" applyFont="1" applyFill="1" applyBorder="1"/>
    <xf numFmtId="0" fontId="3" fillId="0" borderId="10" xfId="2" applyNumberFormat="1" applyFont="1" applyFill="1" applyBorder="1" applyAlignment="1">
      <alignment horizontal="left" vertical="center" wrapText="1"/>
    </xf>
    <xf numFmtId="169" fontId="11" fillId="9" borderId="0" xfId="4" applyNumberFormat="1" applyFont="1" applyFill="1" applyAlignment="1">
      <alignment horizontal="center"/>
    </xf>
    <xf numFmtId="0" fontId="3" fillId="0" borderId="10" xfId="2" applyNumberFormat="1" applyFont="1" applyFill="1" applyBorder="1" applyAlignment="1">
      <alignment horizontal="left" vertical="center"/>
    </xf>
    <xf numFmtId="167" fontId="1" fillId="15" borderId="19" xfId="4" applyNumberFormat="1" applyFont="1" applyFill="1" applyBorder="1" applyAlignment="1">
      <alignment horizontal="left"/>
    </xf>
    <xf numFmtId="167" fontId="1" fillId="15" borderId="20" xfId="4" applyNumberFormat="1" applyFont="1" applyFill="1" applyBorder="1" applyAlignment="1">
      <alignment horizontal="left"/>
    </xf>
    <xf numFmtId="0" fontId="35" fillId="27" borderId="9" xfId="0" applyFont="1" applyFill="1" applyBorder="1" applyAlignment="1">
      <alignment horizontal="center"/>
    </xf>
    <xf numFmtId="0" fontId="35" fillId="27" borderId="16" xfId="0" applyFont="1" applyFill="1" applyBorder="1" applyAlignment="1">
      <alignment horizontal="center"/>
    </xf>
    <xf numFmtId="0" fontId="35" fillId="27" borderId="0" xfId="0" applyFont="1" applyFill="1" applyAlignment="1">
      <alignment horizontal="center"/>
    </xf>
    <xf numFmtId="0" fontId="25" fillId="0" borderId="54" xfId="0" applyFont="1" applyBorder="1" applyAlignment="1">
      <alignment horizontal="center"/>
    </xf>
    <xf numFmtId="0" fontId="11" fillId="22" borderId="72" xfId="0" applyFont="1" applyFill="1" applyBorder="1" applyAlignment="1">
      <alignment horizontal="center"/>
    </xf>
    <xf numFmtId="0" fontId="11" fillId="22" borderId="65" xfId="0" applyFont="1" applyFill="1" applyBorder="1" applyAlignment="1">
      <alignment horizontal="center"/>
    </xf>
    <xf numFmtId="0" fontId="29" fillId="24" borderId="19" xfId="0" applyFont="1" applyFill="1" applyBorder="1" applyAlignment="1">
      <alignment horizontal="center" vertical="center"/>
    </xf>
    <xf numFmtId="0" fontId="29" fillId="24" borderId="14" xfId="0" applyFont="1" applyFill="1" applyBorder="1" applyAlignment="1">
      <alignment horizontal="center" vertical="center"/>
    </xf>
    <xf numFmtId="0" fontId="29" fillId="24" borderId="6" xfId="0" applyFont="1" applyFill="1" applyBorder="1" applyAlignment="1">
      <alignment horizontal="center" vertical="center"/>
    </xf>
    <xf numFmtId="0" fontId="29" fillId="24" borderId="48" xfId="0" applyFont="1" applyFill="1" applyBorder="1" applyAlignment="1">
      <alignment horizontal="center" vertical="center"/>
    </xf>
    <xf numFmtId="0" fontId="24" fillId="22" borderId="10" xfId="0" applyFont="1" applyFill="1" applyBorder="1" applyAlignment="1">
      <alignment horizontal="center"/>
    </xf>
    <xf numFmtId="0" fontId="25" fillId="0" borderId="76" xfId="0" applyFont="1" applyBorder="1" applyAlignment="1">
      <alignment horizontal="center"/>
    </xf>
    <xf numFmtId="0" fontId="25" fillId="0" borderId="59" xfId="0" applyFont="1" applyBorder="1" applyAlignment="1">
      <alignment horizontal="center"/>
    </xf>
    <xf numFmtId="0" fontId="36" fillId="29" borderId="87" xfId="0" applyFont="1" applyFill="1" applyBorder="1" applyAlignment="1">
      <alignment horizontal="center" vertical="center" wrapText="1"/>
    </xf>
    <xf numFmtId="0" fontId="36" fillId="29" borderId="89" xfId="0" applyFont="1" applyFill="1" applyBorder="1" applyAlignment="1">
      <alignment horizontal="center" vertical="center" wrapText="1"/>
    </xf>
    <xf numFmtId="0" fontId="36" fillId="28" borderId="87" xfId="0" applyFont="1" applyFill="1" applyBorder="1" applyAlignment="1">
      <alignment horizontal="center" vertical="center" wrapText="1"/>
    </xf>
    <xf numFmtId="0" fontId="36" fillId="28" borderId="89" xfId="0" applyFont="1" applyFill="1" applyBorder="1" applyAlignment="1">
      <alignment horizontal="center" vertical="center" wrapText="1"/>
    </xf>
    <xf numFmtId="0" fontId="37" fillId="28" borderId="87" xfId="0" applyFont="1" applyFill="1" applyBorder="1" applyAlignment="1">
      <alignment horizontal="center" vertical="center" wrapText="1"/>
    </xf>
    <xf numFmtId="0" fontId="37" fillId="28" borderId="89" xfId="0" applyFont="1" applyFill="1" applyBorder="1" applyAlignment="1">
      <alignment horizontal="center" vertical="center" wrapText="1"/>
    </xf>
    <xf numFmtId="0" fontId="36" fillId="32" borderId="87" xfId="0" applyFont="1" applyFill="1" applyBorder="1" applyAlignment="1">
      <alignment horizontal="center" vertical="center" wrapText="1"/>
    </xf>
    <xf numFmtId="0" fontId="36" fillId="32" borderId="89" xfId="0" applyFont="1" applyFill="1" applyBorder="1" applyAlignment="1">
      <alignment horizontal="center" vertical="center" wrapText="1"/>
    </xf>
    <xf numFmtId="0" fontId="36" fillId="31" borderId="87" xfId="0" applyFont="1" applyFill="1" applyBorder="1" applyAlignment="1">
      <alignment horizontal="center" vertical="center" wrapText="1"/>
    </xf>
    <xf numFmtId="0" fontId="36" fillId="31" borderId="89" xfId="0" applyFont="1" applyFill="1" applyBorder="1" applyAlignment="1">
      <alignment horizontal="center" vertical="center" wrapText="1"/>
    </xf>
    <xf numFmtId="0" fontId="1" fillId="7" borderId="6" xfId="0" applyFont="1" applyFill="1" applyBorder="1" applyAlignment="1">
      <alignment horizontal="center"/>
    </xf>
    <xf numFmtId="0" fontId="1" fillId="7" borderId="7" xfId="0" applyFont="1" applyFill="1" applyBorder="1" applyAlignment="1">
      <alignment horizontal="center"/>
    </xf>
    <xf numFmtId="1" fontId="8" fillId="20" borderId="0" xfId="3" applyNumberFormat="1" applyFill="1" applyBorder="1" applyAlignment="1">
      <alignment horizontal="left"/>
    </xf>
    <xf numFmtId="170" fontId="11" fillId="13" borderId="0" xfId="0" applyNumberFormat="1" applyFont="1" applyFill="1" applyBorder="1"/>
    <xf numFmtId="170" fontId="17" fillId="25" borderId="24" xfId="0" applyNumberFormat="1" applyFont="1" applyFill="1" applyBorder="1"/>
    <xf numFmtId="171" fontId="11" fillId="8" borderId="0" xfId="0" applyNumberFormat="1" applyFont="1" applyFill="1" applyBorder="1"/>
    <xf numFmtId="0" fontId="0" fillId="0" borderId="0" xfId="0" applyBorder="1" applyAlignment="1">
      <alignment horizontal="center"/>
    </xf>
    <xf numFmtId="171" fontId="11" fillId="10" borderId="0" xfId="0" applyNumberFormat="1" applyFont="1" applyFill="1" applyBorder="1"/>
    <xf numFmtId="171" fontId="11" fillId="6" borderId="0" xfId="0" applyNumberFormat="1" applyFont="1" applyFill="1" applyBorder="1"/>
    <xf numFmtId="0" fontId="9" fillId="0" borderId="0" xfId="0" applyFont="1" applyBorder="1"/>
    <xf numFmtId="0" fontId="0" fillId="0" borderId="0" xfId="0" applyBorder="1"/>
  </cellXfs>
  <cellStyles count="5">
    <cellStyle name="Comma [0]" xfId="2" builtinId="6"/>
    <cellStyle name="Currency [0]" xfId="4" builtinId="7"/>
    <cellStyle name="Hyperlink" xfId="3" builtinId="8"/>
    <cellStyle name="Normal" xfId="0" builtinId="0"/>
    <cellStyle name="Percent" xfId="1" builtinId="5"/>
  </cellStyles>
  <dxfs count="395">
    <dxf>
      <font>
        <b/>
        <i val="0"/>
      </font>
    </dxf>
    <dxf>
      <font>
        <b/>
        <i val="0"/>
      </font>
    </dxf>
    <dxf>
      <font>
        <b/>
        <i val="0"/>
      </font>
    </dxf>
    <dxf>
      <font>
        <b/>
        <i val="0"/>
      </font>
    </dxf>
    <dxf>
      <font>
        <color rgb="FFC00000"/>
      </font>
    </dxf>
    <dxf>
      <font>
        <b/>
        <i val="0"/>
        <color theme="2" tint="-0.499984740745262"/>
      </font>
    </dxf>
    <dxf>
      <font>
        <b/>
        <i val="0"/>
      </font>
      <fill>
        <patternFill>
          <bgColor rgb="FFC00000"/>
        </patternFill>
      </fill>
    </dxf>
    <dxf>
      <font>
        <b/>
        <i val="0"/>
        <color rgb="FFC00000"/>
      </font>
    </dxf>
    <dxf>
      <font>
        <b/>
        <i/>
        <color theme="3"/>
      </font>
    </dxf>
    <dxf>
      <font>
        <b/>
        <i val="0"/>
        <color theme="2" tint="-0.749961851863155"/>
      </font>
    </dxf>
    <dxf>
      <font>
        <b/>
        <i val="0"/>
        <color theme="9" tint="-0.24994659260841701"/>
      </font>
    </dxf>
    <dxf>
      <font>
        <b/>
        <i val="0"/>
      </font>
    </dxf>
    <dxf>
      <font>
        <b/>
        <i val="0"/>
        <color rgb="FFC00000"/>
      </font>
    </dxf>
    <dxf>
      <font>
        <b val="0"/>
        <i val="0"/>
        <color rgb="FFC00000"/>
      </font>
    </dxf>
    <dxf>
      <font>
        <b/>
        <i/>
        <color theme="3"/>
      </font>
    </dxf>
    <dxf>
      <font>
        <b/>
        <i val="0"/>
        <color theme="2" tint="-0.749961851863155"/>
      </font>
    </dxf>
    <dxf>
      <font>
        <b/>
        <i val="0"/>
        <color theme="9" tint="-0.24994659260841701"/>
      </font>
    </dxf>
    <dxf>
      <font>
        <b/>
        <i val="0"/>
      </font>
    </dxf>
    <dxf>
      <font>
        <b/>
        <i val="0"/>
        <strike val="0"/>
        <u val="none"/>
        <color auto="1"/>
      </font>
      <fill>
        <patternFill>
          <bgColor rgb="FFFFFF00"/>
        </patternFill>
      </fill>
    </dxf>
    <dxf>
      <font>
        <b/>
        <i val="0"/>
        <color theme="3" tint="0.24994659260841701"/>
      </font>
    </dxf>
    <dxf>
      <font>
        <b/>
        <i val="0"/>
        <color rgb="FF006100"/>
      </font>
      <fill>
        <patternFill>
          <bgColor rgb="FFC6EFCE"/>
        </patternFill>
      </fill>
    </dxf>
    <dxf>
      <font>
        <b/>
        <i val="0"/>
        <color rgb="FFC00000"/>
      </font>
    </dxf>
    <dxf>
      <font>
        <b/>
        <i val="0"/>
        <color theme="6" tint="-0.24994659260841701"/>
      </font>
      <fill>
        <patternFill>
          <bgColor rgb="FFD3F0C8"/>
        </patternFill>
      </fill>
    </dxf>
    <dxf>
      <font>
        <b/>
        <i val="0"/>
        <color rgb="FFC00000"/>
      </font>
      <fill>
        <patternFill>
          <bgColor rgb="FFF6BCBC"/>
        </patternFill>
      </fill>
    </dxf>
    <dxf>
      <font>
        <color rgb="FFC00000"/>
      </font>
    </dxf>
    <dxf>
      <font>
        <color rgb="FFC00000"/>
      </font>
    </dxf>
    <dxf>
      <font>
        <color rgb="FFC00000"/>
      </font>
    </dxf>
    <dxf>
      <font>
        <color rgb="FFC00000"/>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86" formatCode="dd/mm/yyyy"/>
    </dxf>
    <dxf>
      <numFmt numFmtId="186" formatCode="dd/mm/yyyy"/>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0"/>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numFmt numFmtId="167" formatCode="_ [$€-2]\ * #,##0.00_ ;_ [$€-2]\ * \-#,##0.00_ ;_ [$€-2]\ * &quot;-&quot;??_ ;_ @_ "/>
    </dxf>
    <dxf>
      <font>
        <b val="0"/>
        <i val="0"/>
        <strike val="0"/>
        <condense val="0"/>
        <extend val="0"/>
        <outline val="0"/>
        <shadow val="0"/>
        <u val="none"/>
        <vertAlign val="baseline"/>
        <sz val="11"/>
        <color theme="1"/>
        <name val="Aptos Narrow"/>
        <family val="2"/>
        <scheme val="minor"/>
      </font>
      <numFmt numFmtId="181" formatCode="0.0%"/>
      <alignment horizontal="general" vertical="bottom" textRotation="0" wrapText="0" indent="0" justifyLastLine="0" shrinkToFit="0" readingOrder="0"/>
      <border diagonalUp="0" diagonalDown="0">
        <left/>
        <right/>
        <top/>
        <bottom style="thin">
          <color indexed="64"/>
        </bottom>
      </border>
    </dxf>
    <dxf>
      <font>
        <b val="0"/>
        <i val="0"/>
        <strike val="0"/>
        <condense val="0"/>
        <extend val="0"/>
        <outline val="0"/>
        <shadow val="0"/>
        <u val="none"/>
        <vertAlign val="baseline"/>
        <sz val="11"/>
        <color theme="1"/>
        <name val="Aptos Narrow"/>
        <family val="2"/>
        <scheme val="minor"/>
      </font>
      <numFmt numFmtId="167" formatCode="_ [$€-2]\ * #,##0.00_ ;_ [$€-2]\ * \-#,##0.00_ ;_ [$€-2]\ * &quot;-&quot;??_ ;_ @_ "/>
      <alignment horizontal="general" vertical="bottom" textRotation="0" wrapText="0" indent="0" justifyLastLine="0" shrinkToFit="0" readingOrder="0"/>
      <border diagonalUp="0" diagonalDown="0">
        <left/>
        <right/>
        <top/>
        <bottom style="thin">
          <color indexed="64"/>
        </bottom>
        <vertical/>
        <horizontal/>
      </border>
    </dxf>
    <dxf>
      <numFmt numFmtId="167" formatCode="_ [$€-2]\ * #,##0.00_ ;_ [$€-2]\ * \-#,##0.00_ ;_ [$€-2]\ * &quot;-&quot;??_ ;_ @_ "/>
      <alignment horizontal="general"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81" formatCode="0.0%"/>
      <alignment horizontal="center"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border diagonalUp="0" diagonalDown="0">
        <left/>
        <right style="medium">
          <color indexed="64"/>
        </right>
        <top/>
        <bottom style="thin">
          <color indexed="64"/>
        </bottom>
        <vertical/>
      </border>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border diagonalUp="0" diagonalDown="0">
        <left style="medium">
          <color indexed="64"/>
        </left>
        <right/>
        <top/>
        <bottom style="thin">
          <color indexed="64"/>
        </bottom>
        <vertical/>
      </border>
    </dxf>
    <dxf>
      <font>
        <b val="0"/>
        <i val="0"/>
        <strike val="0"/>
        <condense val="0"/>
        <extend val="0"/>
        <outline val="0"/>
        <shadow val="0"/>
        <u val="none"/>
        <vertAlign val="baseline"/>
        <sz val="11"/>
        <color theme="1"/>
        <name val="Aptos Narrow"/>
        <family val="2"/>
        <scheme val="minor"/>
      </font>
      <numFmt numFmtId="181" formatCode="0.0%"/>
      <alignment horizontal="center"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border diagonalUp="0" diagonalDown="0" outline="0">
        <left/>
        <right/>
        <top/>
        <bottom style="thin">
          <color indexed="64"/>
        </bottom>
      </border>
    </dxf>
    <dxf>
      <numFmt numFmtId="1" formatCode="0"/>
      <alignment horizontal="center" vertical="bottom" textRotation="0" wrapText="0" indent="0" justifyLastLine="0" shrinkToFit="0" readingOrder="0"/>
      <border diagonalUp="0" diagonalDown="0">
        <left/>
        <right style="medium">
          <color indexed="64"/>
        </right>
        <top/>
        <bottom style="thin">
          <color indexed="64"/>
        </bottom>
        <vertical/>
        <horizontal/>
      </border>
    </dxf>
    <dxf>
      <font>
        <b/>
        <i val="0"/>
        <strike val="0"/>
        <condense val="0"/>
        <extend val="0"/>
        <outline val="0"/>
        <shadow val="0"/>
        <u val="none"/>
        <vertAlign val="baseline"/>
        <sz val="11"/>
        <color theme="1"/>
        <name val="Aptos Narrow"/>
        <family val="2"/>
        <scheme val="minor"/>
      </font>
      <numFmt numFmtId="1" formatCode="0"/>
      <fill>
        <patternFill patternType="solid">
          <fgColor indexed="64"/>
          <bgColor theme="3" tint="0.89999084444715716"/>
        </patternFill>
      </fill>
      <alignment horizontal="center" vertical="bottom" textRotation="0" wrapText="0" indent="0" justifyLastLine="0" shrinkToFit="0" readingOrder="0"/>
      <border diagonalUp="0" diagonalDown="0">
        <left style="medium">
          <color indexed="64"/>
        </left>
        <right/>
        <top/>
        <bottom style="thin">
          <color indexed="64"/>
        </bottom>
        <vertical/>
        <horizontal/>
      </border>
    </dxf>
    <dxf>
      <font>
        <b/>
        <i val="0"/>
        <strike val="0"/>
        <condense val="0"/>
        <extend val="0"/>
        <outline val="0"/>
        <shadow val="0"/>
        <u val="none"/>
        <vertAlign val="baseline"/>
        <sz val="11"/>
        <color theme="1"/>
        <name val="Aptos Narrow"/>
        <family val="2"/>
        <scheme val="minor"/>
      </font>
      <numFmt numFmtId="1" formatCode="0"/>
      <fill>
        <patternFill patternType="solid">
          <fgColor indexed="64"/>
          <bgColor theme="0"/>
        </patternFill>
      </fill>
      <alignment horizontal="center" vertical="bottom" textRotation="0" wrapText="0" indent="0" justifyLastLine="0" shrinkToFit="0" readingOrder="0"/>
      <border diagonalUp="0" diagonalDown="0">
        <left/>
        <right/>
        <top/>
        <bottom style="thin">
          <color indexed="64"/>
        </bottom>
        <vertical/>
        <horizontal/>
      </border>
    </dxf>
    <dxf>
      <font>
        <b/>
        <i val="0"/>
        <strike val="0"/>
        <condense val="0"/>
        <extend val="0"/>
        <outline val="0"/>
        <shadow val="0"/>
        <u val="none"/>
        <vertAlign val="baseline"/>
        <sz val="11"/>
        <color theme="1"/>
        <name val="Aptos Narrow"/>
        <family val="2"/>
        <scheme val="minor"/>
      </font>
      <numFmt numFmtId="22" formatCode="mmm/yy"/>
      <fill>
        <patternFill patternType="solid">
          <fgColor indexed="64"/>
          <bgColor theme="0"/>
        </patternFill>
      </fill>
      <alignment horizontal="center" vertical="bottom" textRotation="0" wrapText="0" indent="0" justifyLastLine="0" shrinkToFit="0" readingOrder="0"/>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alignment horizontal="left" vertical="bottom" textRotation="0" wrapText="0" indent="0" justifyLastLine="0" shrinkToFit="0" readingOrder="0"/>
    </dxf>
    <dxf>
      <numFmt numFmtId="167" formatCode="_ [$€-2]\ * #,##0.00_ ;_ [$€-2]\ * \-#,##0.00_ ;_ [$€-2]\ * &quot;-&quot;??_ ;_ @_ "/>
    </dxf>
    <dxf>
      <numFmt numFmtId="182" formatCode="_ * #,##0.0_ ;_ * \-#,##0.0_ ;_ * &quot;-&quot;_ ;_ @_ "/>
    </dxf>
    <dxf>
      <numFmt numFmtId="0" formatCode="General"/>
      <alignment horizontal="center" vertical="bottom" textRotation="0" wrapText="0" indent="0" justifyLastLine="0" shrinkToFit="0" readingOrder="0"/>
      <border diagonalUp="0" diagonalDown="0">
        <left/>
        <right style="medium">
          <color indexed="64"/>
        </right>
        <vertical/>
      </border>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medium">
          <color indexed="64"/>
        </left>
        <right/>
        <vertical/>
      </border>
    </dxf>
    <dxf>
      <numFmt numFmtId="0" formatCode="General"/>
      <alignment horizontal="center" vertical="bottom" textRotation="0" wrapText="0" indent="0" justifyLastLine="0" shrinkToFit="0" readingOrder="0"/>
    </dxf>
    <dxf>
      <numFmt numFmtId="167" formatCode="_ [$€-2]\ * #,##0.00_ ;_ [$€-2]\ * \-#,##0.00_ ;_ [$€-2]\ * &quot;-&quot;??_ ;_ @_ "/>
      <border diagonalUp="0" diagonalDown="0" outline="0">
        <left style="medium">
          <color indexed="64"/>
        </left>
        <right/>
      </border>
    </dxf>
    <dxf>
      <numFmt numFmtId="0" formatCode="General"/>
      <alignment horizontal="center" vertical="bottom" textRotation="0" wrapText="0" indent="0" justifyLastLine="0" shrinkToFit="0" readingOrder="0"/>
      <border diagonalUp="0" diagonalDown="0">
        <left/>
        <right style="medium">
          <color indexed="64"/>
        </right>
        <vertical/>
      </border>
    </dxf>
    <dxf>
      <numFmt numFmtId="167" formatCode="_ [$€-2]\ * #,##0.00_ ;_ [$€-2]\ * \-#,##0.00_ ;_ [$€-2]\ * &quot;-&quot;??_ ;_ @_ "/>
      <border diagonalUp="0" diagonalDown="0">
        <left style="medium">
          <color indexed="64"/>
        </left>
        <right/>
        <vertical/>
      </border>
    </dxf>
    <dxf>
      <border diagonalUp="0" diagonalDown="0">
        <left style="medium">
          <color indexed="64"/>
        </left>
        <right style="medium">
          <color indexed="64"/>
        </right>
        <top style="medium">
          <color indexed="64"/>
        </top>
        <bottom style="medium">
          <color indexed="64"/>
        </bottom>
      </border>
    </dxf>
    <dxf>
      <alignment horizontal="left" vertical="bottom" textRotation="0" wrapText="0" indent="0" justifyLastLine="0" shrinkToFit="0" readingOrder="0"/>
    </dxf>
    <dxf>
      <numFmt numFmtId="1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71" formatCode="_-[$€-2]\ * #,##0.00_-;\-[$€-2]\ * #,##0.00_-;_-[$€-2]\ * &quot;-&quot;??_-;_-@_-"/>
      <alignment horizontal="center" vertical="center" textRotation="0" wrapText="0" indent="0" justifyLastLine="0" shrinkToFit="0" readingOrder="0"/>
    </dxf>
    <dxf>
      <alignment horizontal="center" textRotation="0" wrapText="0" indent="0" justifyLastLine="0" shrinkToFit="0" readingOrder="0"/>
    </dxf>
    <dxf>
      <numFmt numFmtId="171" formatCode="_-[$€-2]\ * #,##0.00_-;\-[$€-2]\ * #,##0.00_-;_-[$€-2]\ * &quot;-&quot;??_-;_-@_-"/>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numFmt numFmtId="19" formatCode="dd/mm/yy"/>
      <alignment horizontal="left" vertical="center" textRotation="0" wrapText="0" indent="0" justifyLastLine="0" shrinkToFit="0" readingOrder="0"/>
    </dxf>
    <dxf>
      <numFmt numFmtId="19" formatCode="dd/mm/yy"/>
      <alignment horizontal="left" vertical="center" textRotation="0" wrapText="0" indent="0" justifyLastLine="0" shrinkToFit="0" readingOrder="0"/>
    </dxf>
    <dxf>
      <border outline="0">
        <top style="thin">
          <color indexed="64"/>
        </top>
      </border>
    </dxf>
    <dxf>
      <border outline="0">
        <bottom style="thin">
          <color indexed="64"/>
        </bottom>
      </border>
    </dxf>
    <dxf>
      <fill>
        <patternFill patternType="none">
          <fgColor indexed="64"/>
          <bgColor indexed="65"/>
        </patternFill>
      </fill>
      <border diagonalUp="0" diagonalDown="0" outline="0">
        <left style="thin">
          <color indexed="64"/>
        </left>
        <right style="thin">
          <color indexed="64"/>
        </right>
        <top/>
        <bottom/>
      </border>
    </dxf>
    <dxf>
      <border diagonalUp="0" diagonalDown="0">
        <left/>
        <right/>
        <top style="thin">
          <color indexed="64"/>
        </top>
        <bottom style="thin">
          <color indexed="64"/>
        </bottom>
        <vertical/>
        <horizontal/>
      </border>
    </dxf>
    <dxf>
      <border diagonalUp="0" diagonalDown="0">
        <left/>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Aptos Narrow"/>
        <family val="2"/>
        <scheme val="minor"/>
      </font>
      <alignment horizontal="left" vertical="center" textRotation="0" wrapText="0" indent="0" justifyLastLine="0" shrinkToFit="0" readingOrder="0"/>
      <border diagonalUp="0" diagonalDown="0">
        <left style="thin">
          <color indexed="64"/>
        </left>
        <right/>
        <top style="thin">
          <color indexed="64"/>
        </top>
        <bottom/>
        <vertical/>
        <horizontal/>
      </border>
    </dxf>
    <dxf>
      <border diagonalUp="0" diagonalDown="0">
        <left style="thin">
          <color indexed="64"/>
        </left>
        <right/>
        <top style="thin">
          <color indexed="64"/>
        </top>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ptos Narrow"/>
        <family val="2"/>
        <scheme val="minor"/>
      </font>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ptos Narrow"/>
        <family val="2"/>
        <scheme val="minor"/>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rgb="FF000000"/>
        <name val="Aptos Narrow"/>
        <family val="2"/>
        <scheme val="minor"/>
      </font>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color theme="0"/>
      </font>
      <numFmt numFmtId="171" formatCode="_-[$€-2]\ * #,##0.00_-;\-[$€-2]\ * #,##0.00_-;_-[$€-2]\ * &quot;-&quot;??_-;_-@_-"/>
      <fill>
        <patternFill patternType="solid">
          <fgColor indexed="64"/>
          <bgColor theme="3" tint="0.74999237037263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_ [$€-2]\ * #,##0.00_ ;_ [$€-2]\ * \-#,##0.00_ ;_ [$€-2]\ * &quot;-&quot;??_ ;_ @_ "/>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mm/dd/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6" formatCode="dd/mm/yyyy"/>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left"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protection locked="1" hidden="0"/>
    </dxf>
    <dxf>
      <font>
        <b val="0"/>
        <i val="0"/>
        <strike val="0"/>
        <condense val="0"/>
        <extend val="0"/>
        <outline val="0"/>
        <shadow val="0"/>
        <u val="none"/>
        <vertAlign val="baseline"/>
        <sz val="11"/>
        <color theme="1"/>
        <name val="Aptos Narrow"/>
        <family val="2"/>
        <scheme val="minor"/>
      </font>
      <numFmt numFmtId="167" formatCode="_ [$€-2]\ * #,##0.00_ ;_ [$€-2]\ * \-#,##0.00_ ;_ [$€-2]\ * &quot;-&quot;??_ ;_ @_ "/>
      <alignment horizontal="center" vertical="bottom" textRotation="0" wrapText="0" indent="0" justifyLastLine="0" shrinkToFit="0" readingOrder="0"/>
      <protection locked="0" hidden="0"/>
    </dxf>
    <dxf>
      <numFmt numFmtId="1" formatCode="0"/>
      <alignment horizontal="center" vertical="bottom" textRotation="0" wrapText="0" indent="0" justifyLastLine="0" shrinkToFit="0" readingOrder="0"/>
    </dxf>
    <dxf>
      <alignment horizontal="center" textRotation="0" wrapText="0" indent="0" justifyLastLine="0" shrinkToFit="0" readingOrder="0"/>
      <protection locked="1" hidden="0"/>
    </dxf>
    <dxf>
      <protection locked="1" hidden="0"/>
    </dxf>
    <dxf>
      <protection locked="1" hidden="0"/>
    </dxf>
    <dxf>
      <numFmt numFmtId="167" formatCode="_ [$€-2]\ * #,##0.00_ ;_ [$€-2]\ * \-#,##0.00_ ;_ [$€-2]\ * &quot;-&quot;??_ ;_ @_ "/>
      <protection locked="1" hidden="0"/>
    </dxf>
    <dxf>
      <numFmt numFmtId="0" formatCode="General"/>
      <alignment horizontal="center" textRotation="0" wrapText="0" indent="0" justifyLastLine="0" shrinkToFit="0" readingOrder="0"/>
    </dxf>
    <dxf>
      <numFmt numFmtId="186" formatCode="dd/mm/yyyy"/>
      <alignment horizontal="center" textRotation="0" wrapText="0" indent="0" justifyLastLine="0" shrinkToFit="0" readingOrder="0"/>
      <protection locked="1" hidden="0"/>
    </dxf>
    <dxf>
      <numFmt numFmtId="1" formatCode="0"/>
      <alignment horizontal="center" vertical="bottom" textRotation="0" wrapText="0" indent="0" justifyLastLine="0" shrinkToFit="0" readingOrder="0"/>
      <protection locked="0" hidden="0"/>
    </dxf>
    <dxf>
      <numFmt numFmtId="1" formatCode="0"/>
      <alignment horizontal="center" vertical="bottom" textRotation="0" wrapText="0" indent="0" justifyLastLine="0" shrinkToFit="0" readingOrder="0"/>
    </dxf>
    <dxf>
      <numFmt numFmtId="0" formatCode="General"/>
      <alignment horizontal="center" textRotation="0" wrapText="0" indent="0" justifyLastLine="0" shrinkToFit="0" readingOrder="0"/>
    </dxf>
    <dxf>
      <numFmt numFmtId="0" formatCode="General"/>
    </dxf>
    <dxf>
      <numFmt numFmtId="0" formatCode="General"/>
      <protection locked="1" hidden="0"/>
    </dxf>
    <dxf>
      <border diagonalUp="0" diagonalDown="0">
        <left style="medium">
          <color indexed="64"/>
        </left>
        <right style="medium">
          <color indexed="64"/>
        </right>
        <top/>
        <bottom/>
        <vertical/>
        <horizontal/>
      </border>
      <protection locked="1" hidden="0"/>
    </dxf>
    <dxf>
      <protection locked="1" hidden="0"/>
    </dxf>
    <dxf>
      <alignment horizontal="left" vertical="center" textRotation="0" wrapText="0" indent="0" justifyLastLine="0" shrinkToFit="0" readingOrder="0"/>
      <protection locked="0" hidden="0"/>
    </dxf>
    <dxf>
      <font>
        <color rgb="FF000000"/>
      </font>
      <numFmt numFmtId="0" formatCode="General"/>
      <fill>
        <patternFill patternType="none">
          <fgColor indexed="64"/>
          <bgColor indexed="65"/>
        </patternFill>
      </fill>
      <alignment horizontal="left" vertical="center" textRotation="0" wrapText="1"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numFmt numFmtId="179" formatCode="_ * #,##0.00000000000_ ;_ * \-#,##0.00000000000_ ;_ * &quot;-&quot;_ ;_ @_ "/>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numFmt numFmtId="185" formatCode="mmm/yyyy"/>
      <fill>
        <patternFill patternType="none">
          <fgColor indexed="64"/>
          <bgColor indexed="65"/>
        </patternFill>
      </fill>
      <alignment horizontal="center" vertical="bottom" textRotation="0" wrapText="0" indent="0" justifyLastLine="0" shrinkToFit="0" readingOrder="0"/>
      <border diagonalUp="0" diagonalDown="0">
        <left style="medium">
          <color indexed="64"/>
        </left>
        <right/>
        <top style="thin">
          <color indexed="64"/>
        </top>
        <bottom style="thin">
          <color indexed="64"/>
        </bottom>
        <vertical/>
        <horizontal/>
      </border>
    </dxf>
    <dxf>
      <font>
        <color rgb="FF000000"/>
      </font>
      <numFmt numFmtId="179" formatCode="_ * #,##0.00000000000_ ;_ * \-#,##0.00000000000_ ;_ * &quot;-&quot;_ ;_ @_ "/>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color rgb="FF000000"/>
      </font>
      <numFmt numFmtId="166" formatCode="_([$€-2]\ * #,##0.00_);_([$€-2]\ * \(#,##0.00\);_([$€-2]\ * &quot;-&quot;??_);_(@_)"/>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scheme val="none"/>
      </font>
      <numFmt numFmtId="166" formatCode="_([$€-2]\ * #,##0.00_);_([$€-2]\ * \(#,##0.00\);_([$€-2]\ * &quot;-&quot;??_);_(@_)"/>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color rgb="FF000000"/>
      </font>
      <numFmt numFmtId="166" formatCode="_([$€-2]\ * #,##0.00_);_([$€-2]\ * \(#,##0.00\);_([$€-2]\ * &quot;-&quot;??_);_(@_)"/>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color rgb="FF000000"/>
      </font>
      <numFmt numFmtId="166" formatCode="_([$€-2]\ * #,##0.00_);_([$€-2]\ * \(#,##0.00\);_([$€-2]\ * &quot;-&quot;??_);_(@_)"/>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numFmt numFmtId="166" formatCode="_([$€-2]\ * #,##0.00_);_([$€-2]\ * \(#,##0.00\);_([$€-2]\ * &quot;-&quot;??_);_(@_)"/>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font>
      <numFmt numFmtId="166" formatCode="_([$€-2]\ * #,##0.00_);_([$€-2]\ * \(#,##0.00\);_([$€-2]\ * &quot;-&quot;??_);_(@_)"/>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numFmt numFmtId="166" formatCode="_([$€-2]\ * #,##0.00_);_([$€-2]\ * \(#,##0.00\);_([$€-2]\ * &quot;-&quot;??_);_(@_)"/>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numFmt numFmtId="14" formatCode="0.00%"/>
      <fill>
        <patternFill patternType="none">
          <fgColor indexed="64"/>
          <bgColor auto="1"/>
        </patternFill>
      </fill>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none"/>
      </font>
      <numFmt numFmtId="166" formatCode="_([$€-2]\ * #,##0.00_);_([$€-2]\ * \(#,##0.00\);_([$€-2]\ * &quot;-&quot;??_);_(@_)"/>
      <fill>
        <patternFill patternType="none">
          <fgColor indexed="64"/>
          <bgColor auto="1"/>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ptos Narrow"/>
        <family val="2"/>
        <scheme val="none"/>
      </font>
      <numFmt numFmtId="166" formatCode="_([$€-2]\ * #,##0.00_);_([$€-2]\ * \(#,##0.00\);_([$€-2]\ * &quot;-&quot;??_);_(@_)"/>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scheme val="none"/>
      </font>
      <numFmt numFmtId="186" formatCode="dd/mm/yyyy"/>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none"/>
      </font>
      <numFmt numFmtId="186" formatCode="dd/mm/yyyy"/>
      <fill>
        <patternFill patternType="none">
          <fgColor indexed="64"/>
          <bgColor auto="1"/>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fill>
        <patternFill patternType="none">
          <fgColor indexed="64"/>
          <bgColor auto="1"/>
        </patternFill>
      </fill>
    </dxf>
    <dxf>
      <border>
        <bottom style="thin">
          <color indexed="64"/>
        </bottom>
      </border>
    </dxf>
    <dxf>
      <font>
        <strike val="0"/>
        <outline val="0"/>
        <shadow val="0"/>
        <u val="none"/>
        <vertAlign val="baseline"/>
        <sz val="11"/>
        <color theme="1" tint="4.9989318521683403E-2"/>
        <name val="Aptos Narrow"/>
        <family val="2"/>
      </font>
      <fill>
        <patternFill patternType="none">
          <fgColor indexed="64"/>
          <bgColor auto="1"/>
        </patternFill>
      </fill>
      <alignment vertical="center" textRotation="0" wrapText="0" indent="0" justifyLastLine="0" shrinkToFit="0" readingOrder="0"/>
      <border diagonalUp="0" diagonalDown="0" outline="0">
        <left style="thin">
          <color indexed="64"/>
        </left>
        <right style="thin">
          <color indexed="64"/>
        </right>
        <top/>
        <bottom/>
      </border>
    </dxf>
    <dxf>
      <numFmt numFmtId="186" formatCode="dd/mm/yyyy"/>
      <alignment horizontal="center" vertical="bottom" textRotation="0" wrapText="0" indent="0" justifyLastLine="0" shrinkToFit="0" readingOrder="0"/>
      <border diagonalUp="0" diagonalDown="0">
        <left/>
        <right style="medium">
          <color rgb="FF000000"/>
        </right>
        <top/>
        <bottom/>
        <vertical/>
        <horizontal/>
      </border>
    </dxf>
    <dxf>
      <numFmt numFmtId="186" formatCode="dd/mm/yyyy"/>
      <alignment horizontal="center" vertical="bottom" textRotation="0" wrapText="0" indent="0" justifyLastLine="0" shrinkToFit="0" readingOrder="0"/>
      <border diagonalUp="0" diagonalDown="0">
        <left/>
        <right style="medium">
          <color rgb="FF000000"/>
        </right>
        <top/>
        <bottom/>
        <vertical/>
        <horizontal/>
      </border>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border diagonalUp="0" diagonalDown="0">
        <left/>
        <right style="medium">
          <color rgb="FF000000"/>
        </right>
        <top/>
        <bottom/>
      </border>
    </dxf>
    <dxf>
      <font>
        <b val="0"/>
        <i val="0"/>
        <strike val="0"/>
        <condense val="0"/>
        <extend val="0"/>
        <outline val="0"/>
        <shadow val="0"/>
        <u val="none"/>
        <vertAlign val="baseline"/>
        <sz val="11"/>
        <color theme="1"/>
        <name val="Aptos Narrow"/>
        <family val="2"/>
        <scheme val="minor"/>
      </font>
      <numFmt numFmtId="186"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dxf>
    <dxf>
      <font>
        <b val="0"/>
      </font>
      <numFmt numFmtId="0" formatCode="General"/>
      <alignment horizontal="center" vertical="bottom" textRotation="0" wrapText="0" indent="0" justifyLastLine="0" shrinkToFit="0" readingOrder="0"/>
      <border diagonalUp="0" diagonalDown="0" outline="0">
        <left/>
        <right style="medium">
          <color rgb="FF000000"/>
        </right>
        <top/>
        <bottom/>
      </border>
    </dxf>
    <dxf>
      <numFmt numFmtId="167" formatCode="_ [$€-2]\ * #,##0.00_ ;_ [$€-2]\ * \-#,##0.00_ ;_ [$€-2]\ * &quot;-&quot;??_ ;_ @_ "/>
    </dxf>
    <dxf>
      <numFmt numFmtId="167" formatCode="_ [$€-2]\ * #,##0.00_ ;_ [$€-2]\ * \-#,##0.00_ ;_ [$€-2]\ * &quot;-&quot;??_ ;_ @_ "/>
      <border diagonalUp="0" diagonalDown="0" outline="0">
        <left/>
        <right style="thin">
          <color indexed="64"/>
        </right>
        <top/>
        <bottom/>
      </border>
    </dxf>
    <dxf>
      <numFmt numFmtId="167" formatCode="_ [$€-2]\ * #,##0.00_ ;_ [$€-2]\ * \-#,##0.00_ ;_ [$€-2]\ * &quot;-&quot;??_ ;_ @_ "/>
      <border diagonalUp="0" diagonalDown="0">
        <left style="thin">
          <color indexed="64"/>
        </left>
        <right style="thin">
          <color indexed="64"/>
        </right>
        <top/>
        <bottom/>
        <vertical/>
        <horizontal/>
      </border>
    </dxf>
    <dxf>
      <font>
        <b/>
      </font>
      <numFmt numFmtId="167" formatCode="_ [$€-2]\ * #,##0.00_ ;_ [$€-2]\ * \-#,##0.00_ ;_ [$€-2]\ * &quot;-&quot;??_ ;_ @_ "/>
      <border diagonalUp="0" diagonalDown="0">
        <left style="thin">
          <color indexed="64"/>
        </left>
        <right style="thin">
          <color indexed="64"/>
        </right>
        <top/>
        <bottom/>
        <vertical/>
        <horizontal/>
      </border>
    </dxf>
    <dxf>
      <numFmt numFmtId="167" formatCode="_ [$€-2]\ * #,##0.00_ ;_ [$€-2]\ * \-#,##0.00_ ;_ [$€-2]\ * &quot;-&quot;??_ ;_ @_ "/>
      <alignment horizontal="center" vertical="bottom" textRotation="0" wrapText="0" indent="0" justifyLastLine="0" shrinkToFit="0" readingOrder="0"/>
    </dxf>
    <dxf>
      <numFmt numFmtId="166" formatCode="_([$€-2]\ * #,##0.00_);_([$€-2]\ * \(#,##0.00\);_([$€-2]\ * &quot;-&quot;??_);_(@_)"/>
      <border diagonalUp="0" diagonalDown="0">
        <left/>
        <right style="medium">
          <color rgb="FF000000"/>
        </right>
        <top/>
        <bottom/>
        <vertical/>
        <horizontal/>
      </border>
    </dxf>
    <dxf>
      <numFmt numFmtId="167" formatCode="_ [$€-2]\ * #,##0.00_ ;_ [$€-2]\ * \-#,##0.00_ ;_ [$€-2]\ * &quot;-&quot;??_ ;_ @_ "/>
      <border diagonalUp="0" diagonalDown="0">
        <left/>
        <right style="medium">
          <color rgb="FF000000"/>
        </right>
        <top/>
        <bottom/>
        <vertical/>
        <horizontal/>
      </border>
    </dxf>
    <dxf>
      <numFmt numFmtId="167" formatCode="_ [$€-2]\ * #,##0.00_ ;_ [$€-2]\ * \-#,##0.00_ ;_ [$€-2]\ * &quot;-&quot;??_ ;_ @_ "/>
      <border diagonalUp="0" diagonalDown="0" outline="0">
        <left/>
        <right style="medium">
          <color rgb="FF000000"/>
        </right>
        <top/>
        <bottom/>
      </border>
    </dxf>
    <dxf>
      <font>
        <b val="0"/>
      </font>
      <numFmt numFmtId="166" formatCode="_([$€-2]\ * #,##0.00_);_([$€-2]\ * \(#,##0.00\);_([$€-2]\ * &quot;-&quot;??_);_(@_)"/>
      <alignment horizontal="center" vertical="bottom" textRotation="0" wrapText="0" indent="0" justifyLastLine="0" shrinkToFit="0" readingOrder="0"/>
      <border diagonalUp="0" diagonalDown="0">
        <left style="medium">
          <color indexed="64"/>
        </left>
        <right style="medium">
          <color indexed="64"/>
        </right>
        <top/>
        <bottom/>
        <vertical/>
      </border>
    </dxf>
    <dxf>
      <numFmt numFmtId="167" formatCode="_ [$€-2]\ * #,##0.00_ ;_ [$€-2]\ * \-#,##0.00_ ;_ [$€-2]\ * &quot;-&quot;??_ ;_ @_ "/>
      <alignment horizontal="center" vertical="bottom" textRotation="0" wrapText="0" indent="0" justifyLastLine="0" shrinkToFit="0" readingOrder="0"/>
      <border diagonalUp="0" diagonalDown="0" outline="0">
        <left style="medium">
          <color indexed="64"/>
        </left>
        <right/>
        <top/>
        <bottom/>
      </border>
    </dxf>
    <dxf>
      <numFmt numFmtId="167" formatCode="_ [$€-2]\ * #,##0.00_ ;_ [$€-2]\ * \-#,##0.00_ ;_ [$€-2]\ * &quot;-&quot;??_ ;_ @_ "/>
      <alignment horizontal="center" vertical="bottom" textRotation="0" wrapText="0" indent="0" justifyLastLine="0" shrinkToFit="0" readingOrder="0"/>
    </dxf>
    <dxf>
      <numFmt numFmtId="167" formatCode="_ [$€-2]\ * #,##0.00_ ;_ [$€-2]\ * \-#,##0.00_ ;_ [$€-2]\ * &quot;-&quot;??_ ;_ @_ "/>
      <alignment horizontal="center" vertical="bottom" textRotation="0" wrapText="0" indent="0" justifyLastLine="0" shrinkToFit="0" readingOrder="0"/>
    </dxf>
    <dxf>
      <numFmt numFmtId="186" formatCode="dd/mm/yyyy"/>
      <alignment horizontal="center" vertical="bottom" textRotation="0" wrapText="0" indent="0" justifyLastLine="0" shrinkToFit="0" readingOrder="0"/>
      <border outline="0">
        <left style="medium">
          <color rgb="FF000000"/>
        </left>
      </border>
    </dxf>
    <dxf>
      <numFmt numFmtId="1" formatCode="0"/>
      <alignment horizontal="center" vertical="bottom" textRotation="0" wrapText="0" indent="0" justifyLastLine="0" shrinkToFit="0" readingOrder="0"/>
      <border diagonalUp="0" diagonalDown="0">
        <left/>
        <right style="medium">
          <color rgb="FF000000"/>
        </right>
        <top/>
        <bottom/>
      </border>
    </dxf>
    <dxf>
      <numFmt numFmtId="167" formatCode="_ [$€-2]\ * #,##0.00_ ;_ [$€-2]\ * \-#,##0.00_ ;_ [$€-2]\ * &quot;-&quot;??_ ;_ @_ "/>
      <alignment horizontal="center" vertical="bottom" textRotation="0" wrapText="0" indent="0" justifyLastLine="0" shrinkToFit="0" readingOrder="0"/>
    </dxf>
    <dxf>
      <numFmt numFmtId="186" formatCode="dd/mm/yyyy"/>
      <alignment horizontal="center" vertical="bottom" textRotation="0" wrapText="0" indent="0" justifyLastLine="0" shrinkToFit="0" readingOrder="0"/>
      <border diagonalUp="0" diagonalDown="0">
        <left/>
        <right style="medium">
          <color rgb="FF000000"/>
        </right>
        <top/>
        <bottom/>
        <vertical/>
        <horizontal/>
      </border>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border diagonalUp="0" diagonalDown="0">
        <left/>
        <right style="medium">
          <color rgb="FF000000"/>
        </right>
        <top/>
        <bottom/>
        <vertical/>
        <horizontal/>
      </border>
    </dxf>
    <dxf>
      <numFmt numFmtId="1" formatCode="0"/>
      <alignment horizontal="center" vertical="bottom" textRotation="0" wrapText="0" indent="0" justifyLastLine="0" shrinkToFit="0" readingOrder="0"/>
      <border diagonalUp="0" diagonalDown="0">
        <left/>
        <right style="medium">
          <color rgb="FF000000"/>
        </right>
        <top/>
        <bottom/>
        <vertical/>
        <horizontal/>
      </border>
    </dxf>
    <dxf>
      <font>
        <b val="0"/>
        <i val="0"/>
        <strike val="0"/>
        <condense val="0"/>
        <extend val="0"/>
        <outline val="0"/>
        <shadow val="0"/>
        <u val="none"/>
        <vertAlign val="baseline"/>
        <sz val="11"/>
        <color theme="1"/>
        <name val="Aptos Narrow"/>
        <family val="2"/>
        <scheme val="minor"/>
      </font>
      <border diagonalUp="0" diagonalDown="0">
        <left/>
        <right style="medium">
          <color rgb="FF000000"/>
        </right>
        <top/>
        <bottom/>
        <vertical/>
        <horizontal/>
      </border>
    </dxf>
    <dxf>
      <font>
        <color rgb="FF000000"/>
      </font>
      <border diagonalUp="0" diagonalDown="0">
        <left/>
        <right style="medium">
          <color rgb="FF000000"/>
        </right>
        <top/>
        <bottom/>
        <vertical/>
        <horizontal/>
      </border>
    </dxf>
    <dxf>
      <border diagonalUp="0" diagonalDown="0">
        <left/>
        <right style="medium">
          <color rgb="FF000000"/>
        </right>
        <top/>
        <bottom/>
        <vertical/>
        <horizontal/>
      </border>
    </dxf>
    <dxf>
      <border diagonalUp="0" diagonalDown="0">
        <left style="medium">
          <color rgb="FF000000"/>
        </left>
        <right style="medium">
          <color rgb="FF000000"/>
        </right>
        <top/>
        <bottom/>
        <vertical/>
        <horizontal/>
      </border>
    </dxf>
    <dxf>
      <font>
        <strike val="0"/>
        <outline val="0"/>
        <shadow val="0"/>
        <u val="none"/>
        <vertAlign val="baseline"/>
        <sz val="10"/>
        <color theme="1"/>
        <name val="Aptos Narrow"/>
        <family val="2"/>
        <scheme val="minor"/>
      </font>
      <fill>
        <patternFill patternType="solid">
          <fgColor indexed="64"/>
          <bgColor rgb="FF003366"/>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7" formatCode="_ [$€-2]\ * #,##0.00_ ;_ [$€-2]\ * \-#,##0.00_ ;_ [$€-2]\ * &quot;-&quot;??_ ;_ @_ "/>
      <alignment horizontal="center" vertical="center" textRotation="0" wrapText="0" indent="0" justifyLastLine="0" shrinkToFit="0" readingOrder="0"/>
      <border diagonalUp="0" diagonalDown="0" outline="0">
        <left style="medium">
          <color indexed="64"/>
        </left>
        <right/>
        <top/>
        <bottom style="thin">
          <color indexed="64"/>
        </bottom>
      </border>
    </dxf>
    <dxf>
      <font>
        <b val="0"/>
        <i val="0"/>
        <strike val="0"/>
        <condense val="0"/>
        <extend val="0"/>
        <outline val="0"/>
        <shadow val="0"/>
        <u val="none"/>
        <vertAlign val="baseline"/>
        <sz val="11"/>
        <color theme="1"/>
        <name val="Aptos Narrow"/>
        <family val="2"/>
        <scheme val="minor"/>
      </font>
      <numFmt numFmtId="167" formatCode="_ [$€-2]\ * #,##0.00_ ;_ [$€-2]\ * \-#,##0.00_ ;_ [$€-2]\ * &quot;-&quot;??_ ;_ @_ "/>
      <alignment horizontal="center" vertical="center" textRotation="0" wrapText="0" indent="0" justifyLastLine="0" shrinkToFit="0" readingOrder="0"/>
      <border diagonalUp="0" diagonalDown="0">
        <left style="medium">
          <color indexed="64"/>
        </left>
        <right/>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7" formatCode="_ [$€-2]\ * #,##0.00_ ;_ [$€-2]\ * \-#,##0.00_ ;_ [$€-2]\ * &quot;-&quot;??_ ;_ @_ "/>
      <border diagonalUp="0" diagonalDown="0">
        <left style="medium">
          <color indexed="64"/>
        </left>
        <right style="medium">
          <color indexed="64"/>
        </right>
        <top/>
        <bottom style="thin">
          <color indexed="64"/>
        </bottom>
        <vertical/>
        <horizontal/>
      </border>
    </dxf>
    <dxf>
      <font>
        <b/>
        <i val="0"/>
        <strike val="0"/>
        <condense val="0"/>
        <extend val="0"/>
        <outline val="0"/>
        <shadow val="0"/>
        <u val="none"/>
        <vertAlign val="baseline"/>
        <sz val="11"/>
        <color theme="1"/>
        <name val="Aptos Narrow"/>
        <family val="2"/>
        <scheme val="minor"/>
      </font>
      <numFmt numFmtId="167" formatCode="_ [$€-2]\ * #,##0.00_ ;_ [$€-2]\ * \-#,##0.00_ ;_ [$€-2]\ * &quot;-&quot;??_ ;_ @_ "/>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7" formatCode="_ [$€-2]\ * #,##0.00_ ;_ [$€-2]\ * \-#,##0.00_ ;_ [$€-2]\ * &quot;-&quot;??_ ;_ @_ "/>
      <alignment horizontal="center" vertical="center" textRotation="0" wrapText="0" indent="0" justifyLastLine="0" shrinkToFit="0" readingOrder="0"/>
      <border diagonalUp="0" diagonalDown="0">
        <left style="medium">
          <color indexed="64"/>
        </left>
        <right style="medium">
          <color indexed="64"/>
        </right>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7" formatCode="_ [$€-2]\ * #,##0.00_ ;_ [$€-2]\ * \-#,##0.00_ ;_ [$€-2]\ * &quot;-&quot;??_ ;_ @_ "/>
      <alignment horizontal="center" vertical="center" textRotation="0" wrapText="0" indent="0" justifyLastLine="0" shrinkToFit="0" readingOrder="0"/>
      <border diagonalUp="0" diagonalDown="0">
        <left style="medium">
          <color indexed="64"/>
        </left>
        <right style="medium">
          <color indexed="64"/>
        </right>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7" formatCode="_ [$€-2]\ * #,##0.00_ ;_ [$€-2]\ * \-#,##0.00_ ;_ [$€-2]\ * &quot;-&quot;??_ ;_ @_ "/>
      <alignment horizontal="center" vertical="bottom" textRotation="0" wrapText="0" indent="0" justifyLastLine="0" shrinkToFit="0" readingOrder="0"/>
      <border diagonalUp="0" diagonalDown="0">
        <left/>
        <right/>
        <top/>
        <bottom style="thin">
          <color indexed="64"/>
        </bottom>
      </border>
    </dxf>
    <dxf>
      <font>
        <b val="0"/>
        <i val="0"/>
        <strike val="0"/>
        <condense val="0"/>
        <extend val="0"/>
        <outline val="0"/>
        <shadow val="0"/>
        <u val="none"/>
        <vertAlign val="baseline"/>
        <sz val="11"/>
        <color theme="1"/>
        <name val="Aptos Narrow"/>
        <family val="2"/>
        <scheme val="minor"/>
      </font>
      <numFmt numFmtId="167" formatCode="_ [$€-2]\ * #,##0.00_ ;_ [$€-2]\ * \-#,##0.00_ ;_ [$€-2]\ * &quot;-&quot;??_ ;_ @_ "/>
      <alignment horizontal="center" textRotation="0" wrapText="0" indent="0" justifyLastLine="0" shrinkToFit="0" readingOrder="0"/>
      <border diagonalUp="0" diagonalDown="0">
        <left style="medium">
          <color indexed="64"/>
        </left>
        <right style="medium">
          <color indexed="64"/>
        </right>
        <top/>
        <bottom style="thin">
          <color indexed="64"/>
        </bottom>
        <vertical/>
      </border>
    </dxf>
    <dxf>
      <font>
        <b val="0"/>
        <i val="0"/>
        <strike val="0"/>
        <condense val="0"/>
        <extend val="0"/>
        <outline val="0"/>
        <shadow val="0"/>
        <u val="none"/>
        <vertAlign val="baseline"/>
        <sz val="11"/>
        <color theme="1"/>
        <name val="Aptos Narrow"/>
        <family val="2"/>
        <scheme val="minor"/>
      </font>
      <numFmt numFmtId="167" formatCode="_ [$€-2]\ * #,##0.00_ ;_ [$€-2]\ * \-#,##0.00_ ;_ [$€-2]\ * &quot;-&quot;??_ ;_ @_ "/>
      <border diagonalUp="0" diagonalDown="0">
        <left/>
        <right/>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7" formatCode="_ [$€-2]\ * #,##0.00_ ;_ [$€-2]\ * \-#,##0.00_ ;_ [$€-2]\ * &quot;-&quot;??_ ;_ @_ "/>
      <border diagonalUp="0" diagonalDown="0">
        <left/>
        <right/>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7" formatCode="_ [$€-2]\ * #,##0.00_ ;_ [$€-2]\ * \-#,##0.00_ ;_ [$€-2]\ * &quot;-&quot;??_ ;_ @_ "/>
      <border diagonalUp="0" diagonalDown="0">
        <left/>
        <right/>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7" formatCode="_ [$€-2]\ * #,##0.00_ ;_ [$€-2]\ * \-#,##0.00_ ;_ [$€-2]\ * &quot;-&quot;??_ ;_ @_ "/>
      <border diagonalUp="0" diagonalDown="0">
        <left/>
        <right/>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7" formatCode="_ [$€-2]\ * #,##0.00_ ;_ [$€-2]\ * \-#,##0.00_ ;_ [$€-2]\ * &quot;-&quot;??_ ;_ @_ "/>
      <border diagonalUp="0" diagonalDown="0" outline="0">
        <left/>
        <right/>
        <top/>
        <bottom style="thin">
          <color indexed="64"/>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medium">
          <color indexed="64"/>
        </left>
        <right/>
        <top/>
        <bottom style="thin">
          <color indexed="64"/>
        </bottom>
      </border>
    </dxf>
    <dxf>
      <font>
        <b val="0"/>
      </font>
      <numFmt numFmtId="167" formatCode="_ [$€-2]\ * #,##0.00_ ;_ [$€-2]\ * \-#,##0.00_ ;_ [$€-2]\ * &quot;-&quot;??_ ;_ @_ "/>
      <border diagonalUp="0" diagonalDown="0">
        <left style="medium">
          <color indexed="64"/>
        </left>
        <right style="medium">
          <color indexed="64"/>
        </right>
        <top/>
        <bottom style="thin">
          <color indexed="64"/>
        </bottom>
      </border>
    </dxf>
    <dxf>
      <font>
        <b val="0"/>
        <i val="0"/>
        <strike val="0"/>
        <condense val="0"/>
        <extend val="0"/>
        <outline val="0"/>
        <shadow val="0"/>
        <u val="none"/>
        <vertAlign val="baseline"/>
        <sz val="11"/>
        <color theme="1"/>
        <name val="Aptos Narrow"/>
        <family val="2"/>
        <scheme val="minor"/>
      </font>
      <numFmt numFmtId="167" formatCode="_ [$€-2]\ * #,##0.00_ ;_ [$€-2]\ * \-#,##0.00_ ;_ [$€-2]\ * &quot;-&quot;??_ ;_ @_ "/>
      <border diagonalUp="0" diagonalDown="0" outline="0">
        <left/>
        <right/>
        <top/>
        <bottom style="thin">
          <color indexed="64"/>
        </bottom>
      </border>
    </dxf>
    <dxf>
      <numFmt numFmtId="167" formatCode="_ [$€-2]\ * #,##0.00_ ;_ [$€-2]\ * \-#,##0.00_ ;_ [$€-2]\ * &quot;-&quot;??_ ;_ @_ "/>
      <border diagonalUp="0" diagonalDown="0">
        <left style="medium">
          <color indexed="64"/>
        </left>
        <right style="medium">
          <color indexed="64"/>
        </right>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7" formatCode="_ [$€-2]\ * #,##0.00_ ;_ [$€-2]\ * \-#,##0.00_ ;_ [$€-2]\ * &quot;-&quot;??_ ;_ @_ "/>
      <alignment horizontal="center" vertical="bottom" textRotation="0" wrapText="0" indent="0" justifyLastLine="0" shrinkToFit="0" readingOrder="0"/>
      <border diagonalUp="0" diagonalDown="0" outline="0">
        <left/>
        <right style="medium">
          <color indexed="64"/>
        </right>
        <top/>
        <bottom style="thin">
          <color indexed="64"/>
        </bottom>
      </border>
    </dxf>
    <dxf>
      <font>
        <b val="0"/>
        <i val="0"/>
        <strike val="0"/>
        <condense val="0"/>
        <extend val="0"/>
        <outline val="0"/>
        <shadow val="0"/>
        <u val="none"/>
        <vertAlign val="baseline"/>
        <sz val="11"/>
        <color theme="1"/>
        <name val="Aptos Narrow"/>
        <family val="2"/>
        <scheme val="minor"/>
      </font>
      <numFmt numFmtId="181" formatCode="0.0%"/>
      <alignment horizontal="center" vertical="bottom" textRotation="0" wrapText="0" indent="0" justifyLastLine="0" shrinkToFit="0" readingOrder="0"/>
      <border diagonalUp="0" diagonalDown="0" outline="0">
        <left/>
        <right style="medium">
          <color indexed="64"/>
        </right>
        <top/>
        <bottom style="thin">
          <color indexed="64"/>
        </bottom>
      </border>
    </dxf>
    <dxf>
      <font>
        <b val="0"/>
        <i val="0"/>
        <strike val="0"/>
        <condense val="0"/>
        <extend val="0"/>
        <outline val="0"/>
        <shadow val="0"/>
        <u val="none"/>
        <vertAlign val="baseline"/>
        <sz val="11"/>
        <color theme="1"/>
        <name val="Aptos Narrow"/>
        <family val="2"/>
        <scheme val="minor"/>
      </font>
      <numFmt numFmtId="181" formatCode="0.0%"/>
      <alignment horizontal="center" vertical="bottom" textRotation="0" wrapText="0" indent="0" justifyLastLine="0" shrinkToFit="0" readingOrder="0"/>
      <border diagonalUp="0" diagonalDown="0">
        <left/>
        <right/>
        <top/>
        <bottom style="thin">
          <color indexed="64"/>
        </bottom>
      </border>
    </dxf>
    <dxf>
      <font>
        <b val="0"/>
        <i val="0"/>
        <strike val="0"/>
        <condense val="0"/>
        <extend val="0"/>
        <outline val="0"/>
        <shadow val="0"/>
        <u val="none"/>
        <vertAlign val="baseline"/>
        <sz val="11"/>
        <color theme="1"/>
        <name val="Aptos Narrow"/>
        <family val="2"/>
        <scheme val="minor"/>
      </font>
      <numFmt numFmtId="167" formatCode="_ [$€-2]\ * #,##0.00_ ;_ [$€-2]\ * \-#,##0.00_ ;_ [$€-2]\ * &quot;-&quot;??_ ;_ @_ "/>
      <alignment horizontal="center" vertical="bottom" textRotation="0" wrapText="0" indent="0" justifyLastLine="0" shrinkToFit="0" readingOrder="0"/>
      <border diagonalUp="0" diagonalDown="0" outline="0">
        <left/>
        <right style="medium">
          <color indexed="64"/>
        </right>
        <top/>
        <bottom style="thin">
          <color indexed="64"/>
        </bottom>
      </border>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border diagonalUp="0" diagonalDown="0">
        <left/>
        <right style="medium">
          <color indexed="64"/>
        </right>
        <top/>
        <bottom style="thin">
          <color indexed="64"/>
        </bottom>
      </border>
    </dxf>
    <dxf>
      <font>
        <b val="0"/>
        <i val="0"/>
        <strike val="0"/>
        <condense val="0"/>
        <extend val="0"/>
        <outline val="0"/>
        <shadow val="0"/>
        <u val="none"/>
        <vertAlign val="baseline"/>
        <sz val="11"/>
        <color theme="1"/>
        <name val="Aptos Narrow"/>
        <family val="2"/>
        <scheme val="minor"/>
      </font>
      <numFmt numFmtId="167" formatCode="_ [$€-2]\ * #,##0.00_ ;_ [$€-2]\ * \-#,##0.00_ ;_ [$€-2]\ * &quot;-&quot;??_ ;_ @_ "/>
      <border diagonalUp="0" diagonalDown="0" outline="0">
        <left style="medium">
          <color indexed="64"/>
        </left>
        <right/>
        <top/>
        <bottom style="thin">
          <color indexed="64"/>
        </bottom>
      </border>
    </dxf>
    <dxf>
      <font>
        <b val="0"/>
        <i val="0"/>
        <strike val="0"/>
        <condense val="0"/>
        <extend val="0"/>
        <outline val="0"/>
        <shadow val="0"/>
        <u val="none"/>
        <vertAlign val="baseline"/>
        <sz val="11"/>
        <color theme="1"/>
        <name val="Aptos Narrow"/>
        <family val="2"/>
        <scheme val="minor"/>
      </font>
      <numFmt numFmtId="1" formatCode="0"/>
      <alignment horizontal="center" vertical="bottom" textRotation="0" wrapText="0" indent="0" justifyLastLine="0" shrinkToFit="0" readingOrder="0"/>
      <border diagonalUp="0" diagonalDown="0">
        <left/>
        <right style="medium">
          <color indexed="64"/>
        </right>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67" formatCode="_ [$€-2]\ * #,##0.00_ ;_ [$€-2]\ * \-#,##0.00_ ;_ [$€-2]\ * &quot;-&quot;??_ ;_ @_ "/>
      <border diagonalUp="0" diagonalDown="0">
        <left style="medium">
          <color indexed="64"/>
        </left>
        <right/>
        <top/>
        <bottom style="thin">
          <color indexed="64"/>
        </bottom>
        <vertical/>
      </border>
    </dxf>
    <dxf>
      <font>
        <b val="0"/>
        <i val="0"/>
        <strike val="0"/>
        <condense val="0"/>
        <extend val="0"/>
        <outline val="0"/>
        <shadow val="0"/>
        <u val="none"/>
        <vertAlign val="baseline"/>
        <sz val="11"/>
        <color theme="1"/>
        <name val="Aptos Narrow"/>
        <family val="2"/>
        <scheme val="minor"/>
      </font>
      <numFmt numFmtId="1" formatCode="0"/>
      <alignment horizontal="center" textRotation="0" wrapText="0" indent="0" justifyLastLine="0" shrinkToFit="0" readingOrder="0"/>
      <border diagonalUp="0" diagonalDown="0">
        <left/>
        <right/>
        <top/>
        <bottom style="thin">
          <color indexed="64"/>
        </bottom>
        <vertical/>
      </border>
    </dxf>
    <dxf>
      <font>
        <b val="0"/>
        <i val="0"/>
        <strike val="0"/>
        <condense val="0"/>
        <extend val="0"/>
        <outline val="0"/>
        <shadow val="0"/>
        <u val="none"/>
        <vertAlign val="baseline"/>
        <sz val="11"/>
        <color theme="1"/>
        <name val="Aptos Narrow"/>
        <family val="2"/>
        <scheme val="minor"/>
      </font>
      <numFmt numFmtId="167" formatCode="_ [$€-2]\ * #,##0.00_ ;_ [$€-2]\ * \-#,##0.00_ ;_ [$€-2]\ * &quot;-&quot;??_ ;_ @_ "/>
      <border diagonalUp="0" diagonalDown="0">
        <left style="medium">
          <color indexed="64"/>
        </left>
        <right/>
        <top/>
        <bottom style="thin">
          <color indexed="64"/>
        </bottom>
        <vertical/>
      </border>
    </dxf>
    <dxf>
      <font>
        <b val="0"/>
        <i val="0"/>
        <strike val="0"/>
        <condense val="0"/>
        <extend val="0"/>
        <outline val="0"/>
        <shadow val="0"/>
        <u val="none"/>
        <vertAlign val="baseline"/>
        <sz val="11"/>
        <color theme="1"/>
        <name val="Aptos Narrow"/>
        <family val="2"/>
        <scheme val="minor"/>
      </font>
      <numFmt numFmtId="167" formatCode="_ [$€-2]\ * #,##0.00_ ;_ [$€-2]\ * \-#,##0.00_ ;_ [$€-2]\ * &quot;-&quot;??_ ;_ @_ "/>
      <border diagonalUp="0" diagonalDown="0">
        <left style="medium">
          <color indexed="64"/>
        </left>
        <right style="medium">
          <color indexed="64"/>
        </right>
        <top/>
        <bottom style="thin">
          <color indexed="64"/>
        </bottom>
        <vertical/>
        <horizontal/>
      </border>
    </dxf>
    <dxf>
      <font>
        <b val="0"/>
        <i val="0"/>
        <strike val="0"/>
        <condense val="0"/>
        <extend val="0"/>
        <outline val="0"/>
        <shadow val="0"/>
        <u val="none"/>
        <vertAlign val="baseline"/>
        <sz val="11"/>
        <color theme="1"/>
        <name val="Aptos Narrow"/>
        <family val="2"/>
        <scheme val="minor"/>
      </font>
      <numFmt numFmtId="14" formatCode="0.00%"/>
      <alignment horizontal="center" vertical="bottom" textRotation="0" wrapText="0" indent="0" justifyLastLine="0" shrinkToFit="0" readingOrder="0"/>
      <border diagonalUp="0" diagonalDown="0" outline="0">
        <left style="medium">
          <color indexed="64"/>
        </left>
        <right style="medium">
          <color indexed="64"/>
        </right>
        <top/>
        <bottom style="thin">
          <color indexed="64"/>
        </bottom>
      </border>
    </dxf>
    <dxf>
      <font>
        <b val="0"/>
        <i val="0"/>
        <strike val="0"/>
        <condense val="0"/>
        <extend val="0"/>
        <outline val="0"/>
        <shadow val="0"/>
        <u val="none"/>
        <vertAlign val="baseline"/>
        <sz val="11"/>
        <color theme="1"/>
        <name val="Aptos Narrow"/>
        <family val="2"/>
        <scheme val="minor"/>
      </font>
      <numFmt numFmtId="0" formatCode="General"/>
      <alignment horizontal="center" textRotation="0" wrapText="0" indent="0" justifyLastLine="0" shrinkToFit="0" readingOrder="0"/>
      <border diagonalUp="0" diagonalDown="0" outline="0">
        <left/>
        <right/>
        <top/>
        <bottom style="thin">
          <color indexed="64"/>
        </bottom>
      </border>
    </dxf>
    <dxf>
      <numFmt numFmtId="167" formatCode="_ [$€-2]\ * #,##0.00_ ;_ [$€-2]\ * \-#,##0.00_ ;_ [$€-2]\ * &quot;-&quot;??_ ;_ @_ "/>
      <border diagonalUp="0" diagonalDown="0">
        <left style="medium">
          <color indexed="64"/>
        </left>
        <right/>
      </border>
    </dxf>
    <dxf>
      <font>
        <b val="0"/>
        <i val="0"/>
        <strike val="0"/>
        <condense val="0"/>
        <extend val="0"/>
        <outline val="0"/>
        <shadow val="0"/>
        <u val="none"/>
        <vertAlign val="baseline"/>
        <sz val="11"/>
        <color theme="1"/>
        <name val="Aptos Narrow"/>
        <family val="2"/>
        <scheme val="minor"/>
      </font>
      <numFmt numFmtId="181" formatCode="0.0%"/>
      <alignment horizontal="center" textRotation="0" wrapText="0" indent="0" justifyLastLine="0" shrinkToFit="0" readingOrder="0"/>
      <border diagonalUp="0" diagonalDown="0" outline="0">
        <left style="thin">
          <color indexed="64"/>
        </left>
        <right style="medium">
          <color indexed="64"/>
        </right>
        <top/>
        <bottom style="thin">
          <color indexed="64"/>
        </bottom>
      </border>
    </dxf>
    <dxf>
      <font>
        <b/>
        <i val="0"/>
        <strike val="0"/>
        <condense val="0"/>
        <extend val="0"/>
        <outline val="0"/>
        <shadow val="0"/>
        <u val="none"/>
        <vertAlign val="baseline"/>
        <sz val="11"/>
        <color theme="1"/>
        <name val="Aptos Narrow"/>
        <family val="2"/>
        <scheme val="minor"/>
      </font>
      <numFmt numFmtId="167" formatCode="_ [$€-2]\ * #,##0.00_ ;_ [$€-2]\ * \-#,##0.00_ ;_ [$€-2]\ * &quot;-&quot;??_ ;_ @_ "/>
      <fill>
        <patternFill patternType="solid">
          <fgColor indexed="64"/>
          <bgColor theme="3" tint="0.89999084444715716"/>
        </patternFill>
      </fill>
      <alignment horizontal="center" vertical="bottom" textRotation="0" wrapText="0" indent="0" justifyLastLine="0" shrinkToFit="0" readingOrder="0"/>
      <border diagonalUp="0" diagonalDown="0" outline="0">
        <left style="medium">
          <color indexed="64"/>
        </left>
        <right style="thin">
          <color indexed="64"/>
        </right>
        <top/>
        <bottom style="thin">
          <color indexed="64"/>
        </bottom>
      </border>
    </dxf>
    <dxf>
      <font>
        <b/>
        <i val="0"/>
        <strike val="0"/>
        <condense val="0"/>
        <extend val="0"/>
        <outline val="0"/>
        <shadow val="0"/>
        <u val="none"/>
        <vertAlign val="baseline"/>
        <sz val="11"/>
        <color theme="1"/>
        <name val="Aptos Narrow"/>
        <family val="2"/>
        <scheme val="minor"/>
      </font>
      <numFmt numFmtId="22" formatCode="mmm/yy"/>
      <fill>
        <patternFill patternType="solid">
          <fgColor indexed="64"/>
          <bgColor theme="3" tint="0.89999084444715716"/>
        </patternFill>
      </fill>
      <alignment horizontal="center" vertical="bottom" textRotation="0" wrapText="0" indent="0" justifyLastLine="0" shrinkToFit="0" readingOrder="0"/>
      <border diagonalUp="0" diagonalDown="0">
        <left/>
        <right style="medium">
          <color indexed="64"/>
        </right>
        <top style="thin">
          <color indexed="64"/>
        </top>
        <bottom/>
        <vertical/>
        <horizontal/>
      </border>
    </dxf>
    <dxf>
      <border outline="0">
        <left style="medium">
          <color indexed="64"/>
        </left>
        <right style="medium">
          <color indexed="64"/>
        </right>
        <top style="medium">
          <color indexed="64"/>
        </top>
        <bottom style="medium">
          <color indexed="64"/>
        </bottom>
      </border>
    </dxf>
    <dxf>
      <fill>
        <patternFill patternType="solid">
          <fgColor indexed="64"/>
          <bgColor rgb="FF4D7EA8"/>
        </patternFill>
      </fill>
      <alignment horizontal="left" vertical="bottom" textRotation="0" wrapText="0" indent="0" justifyLastLine="0" shrinkToFit="0" readingOrder="0"/>
    </dxf>
    <dxf>
      <numFmt numFmtId="171" formatCode="_-[$€-2]\ * #,##0.00_-;\-[$€-2]\ * #,##0.00_-;_-[$€-2]\ *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_-[$€-2]\ * #,##0.00_-;\-[$€-2]\ * #,##0.00_-;_-[$€-2]\ * &quot;-&quot;??_-;_-@_-"/>
      <border diagonalUp="0" diagonalDown="0">
        <left style="thin">
          <color indexed="64"/>
        </left>
        <right/>
        <top style="thin">
          <color indexed="64"/>
        </top>
        <bottom style="thin">
          <color indexed="64"/>
        </bottom>
        <vertical style="thin">
          <color indexed="64"/>
        </vertical>
        <horizontal style="thin">
          <color indexed="64"/>
        </horizontal>
      </border>
    </dxf>
    <dxf>
      <numFmt numFmtId="171" formatCode="_-[$€-2]\ * #,##0.00_-;\-[$€-2]\ * #,##0.00_-;_-[$€-2]\ *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_-[$€-2]\ * #,##0.00_-;\-[$€-2]\ * #,##0.00_-;_-[$€-2]\ *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_-[$€-2]\ * #,##0.00_-;\-[$€-2]\ * #,##0.00_-;_-[$€-2]\ *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_-[$€-2]\ * #,##0.00_-;\-[$€-2]\ * #,##0.00_-;_-[$€-2]\ *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_-[$€-2]\ * #,##0.00_-;\-[$€-2]\ * #,##0.00_-;_-[$€-2]\ *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_-[$€-2]\ * #,##0.00_-;\-[$€-2]\ * #,##0.00_-;_-[$€-2]\ *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_-[$€-2]\ * #,##0.00_-;\-[$€-2]\ * #,##0.00_-;_-[$€-2]\ *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_-[$€-2]\ * #,##0.00_-;\-[$€-2]\ * #,##0.00_-;_-[$€-2]\ *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_-[$€-2]\ * #,##0.00_-;\-[$€-2]\ * #,##0.00_-;_-[$€-2]\ *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_-[$€-2]\ * #,##0.00_-;\-[$€-2]\ * #,##0.00_-;_-[$€-2]\ *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_-[$€-2]\ * #,##0.00_-;\-[$€-2]\ * #,##0.00_-;_-[$€-2]\ *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2" formatCode="mmm/yy"/>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bottom/>
      </border>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font>
        <b/>
        <i val="0"/>
        <strike val="0"/>
        <condense val="0"/>
        <extend val="0"/>
        <outline val="0"/>
        <shadow val="0"/>
        <u val="none"/>
        <vertAlign val="baseline"/>
        <sz val="11"/>
        <color theme="1"/>
        <name val="Aptos Narrow"/>
        <family val="2"/>
        <scheme val="minor"/>
      </font>
      <numFmt numFmtId="22" formatCode="mmm/yy"/>
      <fill>
        <patternFill patternType="solid">
          <fgColor indexed="64"/>
          <bgColor theme="3" tint="0.89999084444715716"/>
        </patternFill>
      </fill>
      <alignment horizontal="center" vertical="bottom" textRotation="0" wrapText="0" indent="0" justifyLastLine="0" shrinkToFit="0" readingOrder="0"/>
      <border diagonalUp="0" diagonalDown="0">
        <left style="medium">
          <color indexed="64"/>
        </left>
        <right style="medium">
          <color indexed="64"/>
        </right>
        <top style="thin">
          <color indexed="64"/>
        </top>
        <bottom style="thin">
          <color theme="4" tint="0.39997558519241921"/>
        </bottom>
        <vertical/>
        <horizontal/>
      </border>
    </dxf>
    <dxf>
      <font>
        <b/>
        <i val="0"/>
        <strike val="0"/>
        <condense val="0"/>
        <extend val="0"/>
        <outline val="0"/>
        <shadow val="0"/>
        <u val="none"/>
        <vertAlign val="baseline"/>
        <sz val="11"/>
        <color theme="0"/>
        <name val="Aptos Narrow"/>
        <family val="2"/>
        <scheme val="minor"/>
      </font>
      <numFmt numFmtId="167" formatCode="_ [$€-2]\ * #,##0.00_ ;_ [$€-2]\ * \-#,##0.00_ ;_ [$€-2]\ * &quot;-&quot;??_ ;_ @_ "/>
      <fill>
        <patternFill patternType="solid">
          <fgColor theme="4"/>
          <bgColor theme="4"/>
        </patternFill>
      </fill>
      <alignment horizontal="left" vertical="bottom" textRotation="0" wrapText="0" indent="0" justifyLastLine="0" shrinkToFit="0" readingOrder="0"/>
      <border diagonalUp="0" diagonalDown="0" outline="0">
        <left style="medium">
          <color indexed="64"/>
        </left>
        <right style="medium">
          <color indexed="64"/>
        </right>
        <top/>
        <bottom/>
      </border>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font>
        <b/>
        <i val="0"/>
        <strike val="0"/>
        <condense val="0"/>
        <extend val="0"/>
        <outline val="0"/>
        <shadow val="0"/>
        <u val="none"/>
        <vertAlign val="baseline"/>
        <sz val="11"/>
        <color theme="1"/>
        <name val="Aptos Narrow"/>
        <family val="2"/>
        <scheme val="minor"/>
      </font>
      <numFmt numFmtId="22" formatCode="mmm/yy"/>
      <fill>
        <patternFill patternType="solid">
          <fgColor indexed="64"/>
          <bgColor theme="0"/>
        </patternFill>
      </fill>
      <alignment horizontal="center" vertical="bottom" textRotation="0" wrapText="0" indent="0" justifyLastLine="0" shrinkToFit="0" readingOrder="0"/>
      <border diagonalUp="0" diagonalDown="0" outline="0">
        <left style="medium">
          <color indexed="64"/>
        </left>
        <right/>
        <top style="thin">
          <color indexed="64"/>
        </top>
        <bottom style="thin">
          <color theme="4" tint="0.39997558519241921"/>
        </bottom>
      </border>
    </dxf>
    <dxf>
      <font>
        <b/>
        <i val="0"/>
        <strike val="0"/>
        <condense val="0"/>
        <extend val="0"/>
        <outline val="0"/>
        <shadow val="0"/>
        <u val="none"/>
        <vertAlign val="baseline"/>
        <sz val="11"/>
        <color theme="0"/>
        <name val="Aptos Narrow"/>
        <family val="2"/>
        <scheme val="minor"/>
      </font>
      <numFmt numFmtId="167" formatCode="_ [$€-2]\ * #,##0.00_ ;_ [$€-2]\ * \-#,##0.00_ ;_ [$€-2]\ * &quot;-&quot;??_ ;_ @_ "/>
      <fill>
        <patternFill patternType="solid">
          <fgColor theme="4"/>
          <bgColor theme="4"/>
        </patternFill>
      </fill>
      <alignment horizontal="left" vertical="bottom" textRotation="0" wrapText="0" indent="0" justifyLastLine="0" shrinkToFit="0" readingOrder="0"/>
      <border diagonalUp="0" diagonalDown="0" outline="0">
        <left style="medium">
          <color indexed="64"/>
        </left>
        <right style="medium">
          <color indexed="64"/>
        </right>
        <top/>
        <bottom/>
      </border>
    </dxf>
  </dxfs>
  <tableStyles count="0" defaultTableStyle="TableStyleMedium2" defaultPivotStyle="PivotStyleLight16"/>
  <colors>
    <mruColors>
      <color rgb="FFD3F0C8"/>
      <color rgb="FFF6BCBC"/>
      <color rgb="FFF08C8C"/>
      <color rgb="FFFF7C80"/>
      <color rgb="FF003366"/>
      <color rgb="FF4D7EA8"/>
      <color rgb="FF20C6B6"/>
      <color rgb="FFB3D9EA"/>
      <color rgb="FFF9F9F9"/>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Pagos NOMII" id="{6356091B-A9E3-BD4A-8E29-F9743B716371}" userId="S::pagos@no-mii.com::4f0ea81c-eb67-47c5-b8aa-326c8b0b609e" providerId="AD"/>
  <person displayName="Sebastián Arellano" id="{7D9F0557-5BB7-4E74-87C8-D3BAC1C9137D}" userId="S::sarellano@no-mii.com::2f95b770-f2f8-4967-9e18-032d05904bdb"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6" xr16:uid="{B089BC2F-6511-4A7A-AAE2-DB5D1A14563F}" autoFormatId="16" applyNumberFormats="0" applyBorderFormats="0" applyFontFormats="0" applyPatternFormats="0" applyAlignmentFormats="0" applyWidthHeightFormats="0">
  <queryTableRefresh nextId="30">
    <queryTableFields count="29">
      <queryTableField id="1" name="Date started (UTC)" tableColumnId="1"/>
      <queryTableField id="2" name="Date completed (UTC)" tableColumnId="2"/>
      <queryTableField id="3" name="ID" tableColumnId="3"/>
      <queryTableField id="4" name="Type" tableColumnId="4"/>
      <queryTableField id="5" name="State" tableColumnId="5"/>
      <queryTableField id="6" name="Description" tableColumnId="6"/>
      <queryTableField id="7" name="Reference" tableColumnId="7"/>
      <queryTableField id="8" name="Payer" tableColumnId="8"/>
      <queryTableField id="9" name="Card number" tableColumnId="9"/>
      <queryTableField id="10" name="Card label" tableColumnId="10"/>
      <queryTableField id="11" name="Card state" tableColumnId="11"/>
      <queryTableField id="12" name="Orig currency" tableColumnId="12"/>
      <queryTableField id="13" name="Orig amount" tableColumnId="13"/>
      <queryTableField id="29" dataBound="0" tableColumnId="29"/>
      <queryTableField id="14" name="Payment currency" tableColumnId="14"/>
      <queryTableField id="15" name="Amount" tableColumnId="15"/>
      <queryTableField id="16" name="Total amount" tableColumnId="16"/>
      <queryTableField id="17" name="Exchange rate" tableColumnId="17"/>
      <queryTableField id="18" name="Fee" tableColumnId="18"/>
      <queryTableField id="19" name="Fee currency" tableColumnId="19"/>
      <queryTableField id="20" name="Balance" tableColumnId="20"/>
      <queryTableField id="21" name="Account" tableColumnId="21"/>
      <queryTableField id="22" name="Beneficiary account number" tableColumnId="22"/>
      <queryTableField id="23" name="Beneficiary sort code or routing number" tableColumnId="23"/>
      <queryTableField id="24" name="Beneficiary IBAN" tableColumnId="24"/>
      <queryTableField id="25" name="Beneficiary BIC" tableColumnId="25"/>
      <queryTableField id="26" name="MCC" tableColumnId="26"/>
      <queryTableField id="27" name="Related transaction id" tableColumnId="27"/>
      <queryTableField id="28" name="Spend program" tableColumnId="28"/>
    </queryTableFields>
  </queryTableRefresh>
</queryTable>
</file>

<file path=xl/tables/_rels/table3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E0886F6-F60F-4ECF-A6B6-82235E97447C}" name="Tabla8" displayName="Tabla8" ref="A1:Q15" totalsRowShown="0" headerRowDxfId="394">
  <autoFilter ref="A1:Q15" xr:uid="{9E0886F6-F60F-4ECF-A6B6-82235E97447C}"/>
  <tableColumns count="17">
    <tableColumn id="1" xr3:uid="{5A51DC89-6F18-4572-89FB-5C0B355C4466}" name="MES" dataDxfId="393"/>
    <tableColumn id="2" xr3:uid="{F2346C20-1D52-4D6A-83A1-89E0AD77C01B}" name="El Salvador" dataDxfId="392">
      <calculatedColumnFormula>IFERROR(SUMIFS(INGRESOS!$J:$J,INGRESOS!$T:$T,B$1,INGRESOS!$A:$A,"&gt;="&amp;$A2,INGRESOS!$A:$A,"&lt;="&amp;EOMONTH($A2,0)),0)</calculatedColumnFormula>
    </tableColumn>
    <tableColumn id="3" xr3:uid="{08D8E718-0204-4BC1-B132-20AAE3A47C7C}" name="Chile" dataDxfId="391">
      <calculatedColumnFormula>IFERROR(SUMIFS(INGRESOS!$J:$J,INGRESOS!$T:$T,C$1,INGRESOS!$A:$A,"&gt;="&amp;$A2,INGRESOS!$A:$A,"&lt;="&amp;EOMONTH($A2,0)),0)</calculatedColumnFormula>
    </tableColumn>
    <tableColumn id="4" xr3:uid="{242776A4-85A9-4744-8920-099A5424528B}" name="Ecuador" dataDxfId="390">
      <calculatedColumnFormula>IFERROR(SUMIFS(INGRESOS!$J:$J,INGRESOS!$T:$T,D$1,INGRESOS!$A:$A,"&gt;="&amp;$A2,INGRESOS!$A:$A,"&lt;="&amp;EOMONTH($A2,0)),0)</calculatedColumnFormula>
    </tableColumn>
    <tableColumn id="5" xr3:uid="{81559B75-5321-4F0B-9728-E538D234ED15}" name="México" dataDxfId="389">
      <calculatedColumnFormula>IFERROR(SUMIFS(INGRESOS!$J:$J,INGRESOS!$T:$T,E$1,INGRESOS!$A:$A,"&gt;="&amp;$A2,INGRESOS!$A:$A,"&lt;="&amp;EOMONTH($A2,0)),0)</calculatedColumnFormula>
    </tableColumn>
    <tableColumn id="6" xr3:uid="{5E99C1FE-975F-4D53-8EE5-31C4D66502B7}" name="Colombia" dataDxfId="388">
      <calculatedColumnFormula>IFERROR(SUMIFS(INGRESOS!$J:$J,INGRESOS!$T:$T,F$1,INGRESOS!$A:$A,"&gt;="&amp;$A2,INGRESOS!$A:$A,"&lt;="&amp;EOMONTH($A2,0)),0)</calculatedColumnFormula>
    </tableColumn>
    <tableColumn id="7" xr3:uid="{3B03B369-7AA5-40D3-B6D2-82D4EE5ED219}" name="República Dominicana" dataDxfId="387">
      <calculatedColumnFormula>IFERROR(SUMIFS(INGRESOS!$J:$J,INGRESOS!$T:$T,G$1,INGRESOS!$A:$A,"&gt;="&amp;$A2,INGRESOS!$A:$A,"&lt;="&amp;EOMONTH($A2,0)),0)</calculatedColumnFormula>
    </tableColumn>
    <tableColumn id="8" xr3:uid="{4F84837B-0973-4BAA-9F22-68DC14C929DD}" name="Perú" dataDxfId="386">
      <calculatedColumnFormula>IFERROR(SUMIFS(INGRESOS!$J:$J,INGRESOS!$T:$T,H$1,INGRESOS!$A:$A,"&gt;="&amp;$A2,INGRESOS!$A:$A,"&lt;="&amp;EOMONTH($A2,0)),0)</calculatedColumnFormula>
    </tableColumn>
    <tableColumn id="9" xr3:uid="{E3606B47-AC63-4BEB-B163-5258BAD5A9C0}" name="Paraguay" dataDxfId="385">
      <calculatedColumnFormula>IFERROR(SUMIFS(INGRESOS!$J:$J,INGRESOS!$T:$T,I$1,INGRESOS!$A:$A,"&gt;="&amp;$A2,INGRESOS!$A:$A,"&lt;="&amp;EOMONTH($A2,0)),0)</calculatedColumnFormula>
    </tableColumn>
    <tableColumn id="10" xr3:uid="{92BA9234-990D-4083-9BC8-960455E9DCA1}" name="Honduras" dataDxfId="384">
      <calculatedColumnFormula>IFERROR(SUMIFS(INGRESOS!$J:$J,INGRESOS!$T:$T,J$1,INGRESOS!$A:$A,"&gt;="&amp;$A2,INGRESOS!$A:$A,"&lt;="&amp;EOMONTH($A2,0)),0)</calculatedColumnFormula>
    </tableColumn>
    <tableColumn id="11" xr3:uid="{03C0CE2A-FE05-4A3F-A6DE-AE346D03DB52}" name="Bolivia" dataDxfId="383">
      <calculatedColumnFormula>IFERROR(SUMIFS(INGRESOS!$J:$J,INGRESOS!$T:$T,K$1,INGRESOS!$A:$A,"&gt;="&amp;$A2,INGRESOS!$A:$A,"&lt;="&amp;EOMONTH($A2,0)),0)</calculatedColumnFormula>
    </tableColumn>
    <tableColumn id="12" xr3:uid="{D95FC960-7F29-4060-ADDD-0B9FA49379BB}" name="Argentina" dataDxfId="382">
      <calculatedColumnFormula>IFERROR(SUMIFS(INGRESOS!$J:$J,INGRESOS!$T:$T,L$1,INGRESOS!$A:$A,"&gt;="&amp;$A2,INGRESOS!$A:$A,"&lt;="&amp;EOMONTH($A2,0)),0)</calculatedColumnFormula>
    </tableColumn>
    <tableColumn id="13" xr3:uid="{2A7D1F39-4E24-4646-864B-D12B063F18E8}" name="Guatemala" dataDxfId="381">
      <calculatedColumnFormula>IFERROR(SUMIFS(INGRESOS!$J:$J,INGRESOS!$T:$T,M$1,INGRESOS!$A:$A,"&gt;="&amp;$A2,INGRESOS!$A:$A,"&lt;="&amp;EOMONTH($A2,0)),0)</calculatedColumnFormula>
    </tableColumn>
    <tableColumn id="14" xr3:uid="{4CD02C67-E3BE-462F-8E24-D67A9A45662D}" name="Venezuela" dataDxfId="380">
      <calculatedColumnFormula>IFERROR(SUMIFS(INGRESOS!$J:$J,INGRESOS!$T:$T,N$1,INGRESOS!$A:$A,"&gt;="&amp;$A2,INGRESOS!$A:$A,"&lt;="&amp;EOMONTH($A2,0)),0)</calculatedColumnFormula>
    </tableColumn>
    <tableColumn id="15" xr3:uid="{4569D526-52F8-44E2-967F-312F3C7C87D5}" name="Uruguay" dataDxfId="379">
      <calculatedColumnFormula>IFERROR(SUMIFS(INGRESOS!$J:$J,INGRESOS!$T:$T,O$1,INGRESOS!$A:$A,"&gt;="&amp;$A2,INGRESOS!$A:$A,"&lt;="&amp;EOMONTH($A2,0)),0)</calculatedColumnFormula>
    </tableColumn>
    <tableColumn id="16" xr3:uid="{B0D2FDA5-BF89-41E2-9AE3-7A4DCCE74FDE}" name="Nicaragua" dataDxfId="378">
      <calculatedColumnFormula>IFERROR(SUMIFS(INGRESOS!$J:$J,INGRESOS!$T:$T,P$1,INGRESOS!$A:$A,"&gt;="&amp;$A2,INGRESOS!$A:$A,"&lt;="&amp;EOMONTH($A2,0)),0)</calculatedColumnFormula>
    </tableColumn>
    <tableColumn id="17" xr3:uid="{DB96C62B-FE89-44B5-A5DD-D35EB42796C9}" name="TOTAL MES" dataDxfId="377">
      <calculatedColumnFormula>+SUM(Tabla8[[#This Row],[El Salvador]:[Nicaragua]])</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29C79E1-FCF2-443D-9124-6B06B99BA2D9}" name="Tabla814" displayName="Tabla814" ref="A18:Q42" totalsRowShown="0" headerRowDxfId="376">
  <autoFilter ref="A18:Q42" xr:uid="{529C79E1-FCF2-443D-9124-6B06B99BA2D9}"/>
  <tableColumns count="17">
    <tableColumn id="1" xr3:uid="{EBD70C7B-9BEE-4E7E-954F-EFCF45215B5A}" name="MES" dataDxfId="375"/>
    <tableColumn id="2" xr3:uid="{D4ED871F-B9DB-4E91-BB19-C9779F947402}" name="El Salvador" dataDxfId="374">
      <calculatedColumnFormula>IFERROR(SUMIFS('CALENDARIO INGRESOS'!$I:$I,'CALENDARIO INGRESOS'!$C:$C,Tabla814[[#Headers],[El Salvador]],'CALENDARIO INGRESOS'!$G:$G,"&gt;="&amp;$A19,'CALENDARIO INGRESOS'!$G:$G,"&lt;="&amp;EOMONTH($A19,0)),0)</calculatedColumnFormula>
    </tableColumn>
    <tableColumn id="3" xr3:uid="{DD359DB6-5464-445B-AEF2-49EC3395011A}" name="Chile" dataDxfId="373">
      <calculatedColumnFormula>IFERROR(SUMIFS('CALENDARIO INGRESOS'!$I:$I,'CALENDARIO INGRESOS'!$C:$C,Tabla814[[#Headers],[Chile]],'CALENDARIO INGRESOS'!$G:$G,"&gt;="&amp;$A19,'CALENDARIO INGRESOS'!$G:$G,"&lt;="&amp;EOMONTH($A19,0)),0)</calculatedColumnFormula>
    </tableColumn>
    <tableColumn id="4" xr3:uid="{4138DC7A-1DFE-48BB-AC34-F4A055295419}" name="Ecuador" dataDxfId="372">
      <calculatedColumnFormula>IFERROR(SUMIFS('CALENDARIO INGRESOS'!$I:$I,'CALENDARIO INGRESOS'!$C:$C,Tabla814[[#Headers],[Ecuador]],'CALENDARIO INGRESOS'!$G:$G,"&gt;="&amp;$A19,'CALENDARIO INGRESOS'!$G:$G,"&lt;="&amp;EOMONTH($A19,0)),0)</calculatedColumnFormula>
    </tableColumn>
    <tableColumn id="5" xr3:uid="{83B672A4-A2C2-4CA8-9913-7158E61747B7}" name="México" dataDxfId="371">
      <calculatedColumnFormula>IFERROR(SUMIFS('CALENDARIO INGRESOS'!$I:$I,'CALENDARIO INGRESOS'!$C:$C,Tabla814[[#Headers],[México]],'CALENDARIO INGRESOS'!$G:$G,"&gt;="&amp;$A19,'CALENDARIO INGRESOS'!$G:$G,"&lt;="&amp;EOMONTH($A19,0)),0)</calculatedColumnFormula>
    </tableColumn>
    <tableColumn id="6" xr3:uid="{BFD60CDB-B41B-436E-A86F-CC1632DD5ADB}" name="Colombia" dataDxfId="370">
      <calculatedColumnFormula>IFERROR(SUMIFS('CALENDARIO INGRESOS'!$I:$I,'CALENDARIO INGRESOS'!$C:$C,Tabla814[[#Headers],[Colombia]],'CALENDARIO INGRESOS'!$G:$G,"&gt;="&amp;$A19,'CALENDARIO INGRESOS'!$G:$G,"&lt;="&amp;EOMONTH($A19,0)),0)</calculatedColumnFormula>
    </tableColumn>
    <tableColumn id="7" xr3:uid="{45B0A014-25E4-4810-80F4-915A563211D5}" name="República Dominicana" dataDxfId="369">
      <calculatedColumnFormula>IFERROR(SUMIFS('CALENDARIO INGRESOS'!$I:$I,'CALENDARIO INGRESOS'!$C:$C,Tabla814[[#Headers],[República Dominicana]],'CALENDARIO INGRESOS'!$G:$G,"&gt;="&amp;$A19,'CALENDARIO INGRESOS'!$G:$G,"&lt;="&amp;EOMONTH($A19,0)),0)</calculatedColumnFormula>
    </tableColumn>
    <tableColumn id="8" xr3:uid="{1C827787-157E-4D0F-AD6F-4169042A16E9}" name="Perú" dataDxfId="368">
      <calculatedColumnFormula>IFERROR(SUMIFS('CALENDARIO INGRESOS'!$I:$I,'CALENDARIO INGRESOS'!$C:$C,Tabla814[[#Headers],[Perú]],'CALENDARIO INGRESOS'!$G:$G,"&gt;="&amp;$A19,'CALENDARIO INGRESOS'!$G:$G,"&lt;="&amp;EOMONTH($A19,0)),0)</calculatedColumnFormula>
    </tableColumn>
    <tableColumn id="9" xr3:uid="{1813AE65-D149-403C-9CB3-24D00B9FB3A3}" name="Paraguay" dataDxfId="367">
      <calculatedColumnFormula>IFERROR(SUMIFS('CALENDARIO INGRESOS'!$I:$I,'CALENDARIO INGRESOS'!$C:$C,Tabla814[[#Headers],[Paraguay]],'CALENDARIO INGRESOS'!$G:$G,"&gt;="&amp;$A19,'CALENDARIO INGRESOS'!$G:$G,"&lt;="&amp;EOMONTH($A19,0)),0)</calculatedColumnFormula>
    </tableColumn>
    <tableColumn id="10" xr3:uid="{B334B287-0C5A-4126-AF7C-755D7A9A880E}" name="Honduras" dataDxfId="366">
      <calculatedColumnFormula>IFERROR(SUMIFS('CALENDARIO INGRESOS'!$I:$I,'CALENDARIO INGRESOS'!$C:$C,Tabla814[[#Headers],[Honduras]],'CALENDARIO INGRESOS'!$G:$G,"&gt;="&amp;$A19,'CALENDARIO INGRESOS'!$G:$G,"&lt;="&amp;EOMONTH($A19,0)),0)</calculatedColumnFormula>
    </tableColumn>
    <tableColumn id="11" xr3:uid="{1EDA0855-C6F5-49D0-9018-895814C9511B}" name="Bolivia" dataDxfId="365">
      <calculatedColumnFormula>IFERROR(SUMIFS('CALENDARIO INGRESOS'!$I:$I,'CALENDARIO INGRESOS'!$C:$C,Tabla814[[#Headers],[Bolivia]],'CALENDARIO INGRESOS'!$G:$G,"&gt;="&amp;$A19,'CALENDARIO INGRESOS'!$G:$G,"&lt;="&amp;EOMONTH($A19,0)),0)</calculatedColumnFormula>
    </tableColumn>
    <tableColumn id="12" xr3:uid="{97A3B5DF-C269-4E97-A8B5-AB6BCF3B3283}" name="Argentina" dataDxfId="364">
      <calculatedColumnFormula>IFERROR(SUMIFS('CALENDARIO INGRESOS'!$I:$I,'CALENDARIO INGRESOS'!$C:$C,Tabla814[[#Headers],[Argentina]],'CALENDARIO INGRESOS'!$G:$G,"&gt;="&amp;$A19,'CALENDARIO INGRESOS'!$G:$G,"&lt;="&amp;EOMONTH($A19,0)),0)</calculatedColumnFormula>
    </tableColumn>
    <tableColumn id="13" xr3:uid="{41E3A3D8-D324-43B2-B6E0-F1363871A909}" name="Guatemala" dataDxfId="363">
      <calculatedColumnFormula>IFERROR(SUMIFS('CALENDARIO INGRESOS'!$I:$I,'CALENDARIO INGRESOS'!$C:$C,Tabla814[[#Headers],[Guatemala]],'CALENDARIO INGRESOS'!$G:$G,"&gt;="&amp;$A19,'CALENDARIO INGRESOS'!$G:$G,"&lt;="&amp;EOMONTH($A19,0)),0)</calculatedColumnFormula>
    </tableColumn>
    <tableColumn id="14" xr3:uid="{842BDFE1-AA64-48B8-9610-D26FFE5E1D96}" name="Venezuela" dataDxfId="362">
      <calculatedColumnFormula>IFERROR(SUMIFS('CALENDARIO INGRESOS'!$I:$I,'CALENDARIO INGRESOS'!$C:$C,Tabla814[[#Headers],[Venezuela]],'CALENDARIO INGRESOS'!$G:$G,"&gt;="&amp;$A19,'CALENDARIO INGRESOS'!$G:$G,"&lt;="&amp;EOMONTH($A19,0)),0)</calculatedColumnFormula>
    </tableColumn>
    <tableColumn id="15" xr3:uid="{A189855C-2090-445E-92C0-DCB1B18491CF}" name="Uruguay" dataDxfId="361">
      <calculatedColumnFormula>IFERROR(SUMIFS('CALENDARIO INGRESOS'!$I:$I,'CALENDARIO INGRESOS'!$C:$C,Tabla814[[#Headers],[Uruguay]],'CALENDARIO INGRESOS'!$G:$G,"&gt;="&amp;$A19,'CALENDARIO INGRESOS'!$G:$G,"&lt;="&amp;EOMONTH($A19,0)),0)</calculatedColumnFormula>
    </tableColumn>
    <tableColumn id="16" xr3:uid="{D353CBF6-DFA3-478C-A230-537574D70161}" name="Nicaragua" dataDxfId="360">
      <calculatedColumnFormula>IFERROR(SUMIFS('CALENDARIO INGRESOS'!$I:$I,'CALENDARIO INGRESOS'!$C:$C,Tabla814[[#Headers],[Nicaragua]],'CALENDARIO INGRESOS'!$G:$G,"&gt;="&amp;$A19,'CALENDARIO INGRESOS'!$G:$G,"&lt;="&amp;EOMONTH($A19,0)),0)</calculatedColumnFormula>
    </tableColumn>
    <tableColumn id="17" xr3:uid="{6DAF4F60-B2E1-4081-8CEC-872AA5323F92}" name="TOTAL MES" dataDxfId="359">
      <calculatedColumnFormula>+SUM(Tabla814[[#This Row],[El Salvador]:[Nicaragua]])</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1E79C42-AEE5-8C42-A956-3318F95803A6}" name="Table15" displayName="Table15" ref="A2:P16" totalsRowShown="0" headerRowDxfId="358" headerRowBorderDxfId="357" tableBorderDxfId="356" totalsRowBorderDxfId="355">
  <autoFilter ref="A2:P16" xr:uid="{51E79C42-AEE5-8C42-A956-3318F95803A6}"/>
  <tableColumns count="16">
    <tableColumn id="1" xr3:uid="{5C5C66CB-6A7A-9443-8165-F8C75C82BF26}" name="Month" dataDxfId="354">
      <calculatedColumnFormula>EERR!A4</calculatedColumnFormula>
    </tableColumn>
    <tableColumn id="2" xr3:uid="{30FBBA17-C262-9740-90C4-3C64B267DC11}" name="Drs. Activos" dataDxfId="353">
      <calculatedColumnFormula>'COHORTES INGRESO'!E4</calculatedColumnFormula>
    </tableColumn>
    <tableColumn id="3" xr3:uid="{04AE0522-AE75-D649-BB54-FBAF33574D96}" name="Drs. Nuevos" dataDxfId="352">
      <calculatedColumnFormula>'COHORTES INGRESO'!C4</calculatedColumnFormula>
    </tableColumn>
    <tableColumn id="4" xr3:uid="{2F781962-9D24-E24D-8F8E-AB94412F3320}" name="Ingreso Neto (EUR)" dataDxfId="351">
      <calculatedColumnFormula>EERR!Q4</calculatedColumnFormula>
    </tableColumn>
    <tableColumn id="5" xr3:uid="{368509DF-9DD1-4F46-BF39-C80E827B7277}" name="Ingreso/Dr (EUR)" dataDxfId="350">
      <calculatedColumnFormula>IFERROR(D3/B3,0)</calculatedColumnFormula>
    </tableColumn>
    <tableColumn id="6" xr3:uid="{1D286888-B8C1-494E-ADBB-61B903895E2A}" name="Idioma/Dr (EUR)" dataDxfId="349">
      <calculatedColumnFormula array="1">IFERROR((SUMPRODUCT((YEAR(SALIDAS!$A$2:$A$1498)=YEAR(A3))*(MONTH(SALIDAS!$A$2:$A$1498)=MONTH(A3))*(SALIDAS!$G$2:$G$1498="Lingoda")*(SALIDAS!$U$2:$U$1498="COR")*SALIDAS!$F$2:$F$1498)+SUMPRODUCT((YEAR(SALIDAS!$A$2:$A$1498)=YEAR(A3))*(MONTH(SALIDAS!$A$2:$A$1498)=MONTH(A3))*(SALIDAS!$G$2:$G$1498="Lingoking")*(SALIDAS!$U$2:$U$1498="COR")*SALIDAS!$F$2:$F$1498)+SUMPRODUCT((YEAR(SALIDAS!$A$2:$A$1498)=YEAR(A3))*(MONTH(SALIDAS!$A$2:$A$1498)=MONTH(A3))*(ISNUMBER(SEARCH("Schwark",SALIDAS!$H$2:$H$1498)))*(SALIDAS!$U$2:$U$1498="COR")*SALIDAS!$F$2:$F$1498))/B3,0)</calculatedColumnFormula>
    </tableColumn>
    <tableColumn id="7" xr3:uid="{F765809C-A030-BD4D-AA54-9534F0141C65}" name="Form. Médica/Dr (EUR)" dataDxfId="348">
      <calculatedColumnFormula array="1">IFERROR(SUMPRODUCT((YEAR(SALIDAS!$A$2:$A$1498)=YEAR(A3))*(MONTH(SALIDAS!$A$2:$A$1498)=MONTH(A3))*(SALIDAS!$G$2:$G$1498="Lecturio")*(SALIDAS!$U$2:$U$1498="COR")*SALIDAS!$F$2:$F$1498)/B3,0)</calculatedColumnFormula>
    </tableColumn>
    <tableColumn id="8" xr3:uid="{16AE9D65-4BBB-ED41-B2E2-7E28DEC824E2}" name="Legal-Otros/Dr (EUR)" dataDxfId="347">
      <calculatedColumnFormula>I3-F3-G3</calculatedColumnFormula>
    </tableColumn>
    <tableColumn id="9" xr3:uid="{9F00BA5C-B812-6742-95B2-77AF2B342D43}" name="COR TOTAL/Dr (EUR)" dataDxfId="346">
      <calculatedColumnFormula>IFERROR(EERR!S4/B3,0)</calculatedColumnFormula>
    </tableColumn>
    <tableColumn id="10" xr3:uid="{F412B0A1-5AD5-0240-8CA4-1962B67E6C1F}" name="CAC/Dr Nuevo (EUR)" dataDxfId="345">
      <calculatedColumnFormula>IFERROR(EERR!V4/C3,0)</calculatedColumnFormula>
    </tableColumn>
    <tableColumn id="11" xr3:uid="{A3F9D933-9984-E14C-A868-609A0EF33583}" name="G&amp;A/Dr (EUR)" dataDxfId="344">
      <calculatedColumnFormula>IFERROR(EERR!X4/B3,0)</calculatedColumnFormula>
    </tableColumn>
    <tableColumn id="12" xr3:uid="{6A104948-9CB5-F745-A760-926D1145D5E1}" name="CS/Dr (EUR)" dataDxfId="343">
      <calculatedColumnFormula>IFERROR(EERR!Y4/B3,0)</calculatedColumnFormula>
    </tableColumn>
    <tableColumn id="13" xr3:uid="{C5494B06-CEFC-5145-BFED-7144F2FA917D}" name="R&amp;D/Dr (EUR)" dataDxfId="342">
      <calculatedColumnFormula>IFERROR(EERR!W4/B3,0)</calculatedColumnFormula>
    </tableColumn>
    <tableColumn id="14" xr3:uid="{F9F766A3-6C68-004D-AFAC-B13AC7F05A5C}" name="Costo Total/Dr (EUR)" dataDxfId="341">
      <calculatedColumnFormula>I3+K3+L3+M3</calculatedColumnFormula>
    </tableColumn>
    <tableColumn id="15" xr3:uid="{D61D314D-D411-0A46-83E1-0967DEB49C09}" name="Margen Neto/Dr (EUR)" dataDxfId="340">
      <calculatedColumnFormula>E3+N3</calculatedColumnFormula>
    </tableColumn>
    <tableColumn id="16" xr3:uid="{666EF37E-378B-214E-9D33-6DFD3CC935E0}" name="Margen Contribucion/Dr (EUR)" dataDxfId="339">
      <calculatedColumnFormula>+EERR!AG4/Table15[[#This Row],[Drs. Activos]]</calculatedColumnFormula>
    </tableColumn>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E3C60DA-0864-419F-B6C2-F52783D0CD99}" name="Tabla7" displayName="Tabla7" ref="A1:AH39" totalsRowShown="0" headerRowDxfId="338" tableBorderDxfId="337">
  <autoFilter ref="A1:AH39" xr:uid="{3E3C60DA-0864-419F-B6C2-F52783D0CD99}"/>
  <sortState xmlns:xlrd2="http://schemas.microsoft.com/office/spreadsheetml/2017/richdata2" ref="A2:AB13">
    <sortCondition ref="A1:A13"/>
  </sortState>
  <tableColumns count="34">
    <tableColumn id="1" xr3:uid="{3208822E-CCE7-449E-9DD4-F35D68219792}" name="MES" dataDxfId="336"/>
    <tableColumn id="15" xr3:uid="{AD78BF88-B9B4-46E4-84D6-48996C81B06F}" name="INGRESO TOTAL MES" dataDxfId="335">
      <calculatedColumnFormula>+Tabla7[[#This Row],[INGRESO MES RECIBIDO]]+Tabla7[[#This Row],[INGRESO PROGRAMADO PEND.]]</calculatedColumnFormula>
    </tableColumn>
    <tableColumn id="16" xr3:uid="{8E6B6701-C989-4CAD-B73A-04128A160F3C}" name="CRECIMIENTO" dataDxfId="334">
      <calculatedColumnFormula>IFERROR((Tabla7[[#This Row],[INGRESO TOTAL MES]]/B1)-1,"0")</calculatedColumnFormula>
    </tableColumn>
    <tableColumn id="2" xr3:uid="{DE47C52A-604C-4E5B-8B87-6F6FEE167050}" name="INGRESO MES RECIBIDO" dataDxfId="333">
      <calculatedColumnFormula>SUMIFS(INGRESOS!G:G,INGRESOS!A:A,"&gt;="&amp;EOMONTH(Tabla7[[#This Row],[MES]],-1)+1,INGRESOS!A:A,"&lt;="&amp;EOMONTH(Tabla7[[#This Row],[MES]],0))</calculatedColumnFormula>
    </tableColumn>
    <tableColumn id="20" xr3:uid="{BDBF3B35-FB12-4FBA-8242-5E1B298336C8}" name="Q TRANSACCIONES" dataDxfId="332">
      <calculatedColumnFormula>COUNTIFS(INGRESOS!$A:$A,"&gt;="&amp;Tabla7[[#This Row],[MES]],INGRESOS!$A:$A,"&lt;="&amp;MIN(TODAY(),EOMONTH(Tabla7[[#This Row],[MES]],0)))</calculatedColumnFormula>
    </tableColumn>
    <tableColumn id="3" xr3:uid="{049E5CFC-1BA4-42CB-917F-23146AA2AC99}" name="RATIO COBRANZA" dataDxfId="331">
      <calculatedColumnFormula>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calculatedColumnFormula>
    </tableColumn>
    <tableColumn id="14" xr3:uid="{1C469819-EBC7-418E-94BB-40A2B55FA49E}" name="INGRESO PROGRAMADO PEND." dataDxfId="330">
      <calculatedColumnFormula>SUMIFS('CALENDARIO INGRESOS'!I:I,'CALENDARIO INGRESOS'!G:G,"&gt;="&amp;EOMONTH(Tabla7[[#This Row],[MES]],-1)+1,'CALENDARIO INGRESOS'!G:G,"&lt;="&amp;EOMONTH(Tabla7[[#This Row],[MES]],0),'CALENDARIO INGRESOS'!L:L, "&lt;&gt;PAGADA")</calculatedColumnFormula>
    </tableColumn>
    <tableColumn id="28" xr3:uid="{9706ABCE-8C02-4959-A27A-C62FF11E2525}" name="MONTO PEND RETRASADO" dataDxfId="329">
      <calculatedColumnFormula>SUMIFS('CALENDARIO INGRESOS'!$I:$I,
                   'CALENDARIO INGRESOS'!$G:$G,"&gt;="&amp;EOMONTH(Tabla7[[#This Row],[MES]],-1)+1,
                   'CALENDARIO INGRESOS'!$G:$G,"&lt;="&amp;EOMONTH(Tabla7[[#This Row],[MES]],0),
                   'CALENDARIO INGRESOS'!$L:$L,"&lt;&gt;PAGADA",
                   'CALENDARIO INGRESOS'!$G:$G,"&lt;="&amp;TODAY(),'CALENDARIO INGRESOS'!D:D,"&lt;&gt;¡REGULARIZAR!",'CALENDARIO INGRESOS'!D:D,"&lt;&gt;ELIMINADO")</calculatedColumnFormula>
    </tableColumn>
    <tableColumn id="29" xr3:uid="{DB6033DD-4529-4DEB-AA0B-F36AEB03A9AC}" name="Q PEND RETRASADO" dataDxfId="328">
      <calculatedColumnFormula>COUNTIFS('CALENDARIO INGRESOS'!$G:$G,"&gt;="&amp;EOMONTH(Tabla7[[#This Row],[MES]],-1)+1,'CALENDARIO INGRESOS'!$G:$G,"&lt;="&amp;EOMONTH(Tabla7[[#This Row],[MES]],0),'CALENDARIO INGRESOS'!$D:$D,"&lt;&gt;ELIMINADO",'CALENDARIO INGRESOS'!$D:$D,"&lt;&gt;¡REGULARIZAR!",'CALENDARIO INGRESOS'!$L:$L,"&lt;&gt;PAGADA",'CALENDARIO INGRESOS'!$G:$G,"&lt;="&amp;TODAY())</calculatedColumnFormula>
    </tableColumn>
    <tableColumn id="27" xr3:uid="{00D59879-5E3B-470D-8119-8E023AD554A5}" name="MONTO PEND AL DIA" dataDxfId="327">
      <calculatedColumnFormula>SUMIFS('CALENDARIO INGRESOS'!$I:$I,
                   'CALENDARIO INGRESOS'!$G:$G,"&gt;="&amp;EOMONTH(Tabla7[[#This Row],[MES]],-1)+1,
                   'CALENDARIO INGRESOS'!$G:$G,"&lt;="&amp;EOMONTH(Tabla7[[#This Row],[MES]],0),
                   'CALENDARIO INGRESOS'!$L:$L,"&lt;&gt;PAGADA",
                   'CALENDARIO INGRESOS'!$G:$G,"&gt;="&amp;TODAY(),'CALENDARIO INGRESOS'!$D:$D,"&lt;&gt;ELIMINADO",'CALENDARIO INGRESOS'!$D:$D,"&lt;&gt;¡REGULARIZAR!")</calculatedColumnFormula>
    </tableColumn>
    <tableColumn id="35" xr3:uid="{881B6A06-EA72-4705-82FE-AB23700FD0C7}" name="Q PEND AL DIA" dataDxfId="326">
      <calculatedColumnFormula>COUNTIFS('CALENDARIO INGRESOS'!$G:$G,"&gt;="&amp;EOMONTH(Tabla7[[#This Row],[MES]],-1)+1,'CALENDARIO INGRESOS'!$G:$G,"&lt;="&amp;EOMONTH(Tabla7[[#This Row],[MES]],0),'CALENDARIO INGRESOS'!$D:$D,"&lt;&gt;ELIMINADO",'CALENDARIO INGRESOS'!$D:$D,"&lt;&gt;¡REGULARIZAR!",'CALENDARIO INGRESOS'!$L:$L,"&lt;&gt;PAGADA",'CALENDARIO INGRESOS'!$G:$G,"&gt;="&amp;TODAY())</calculatedColumnFormula>
    </tableColumn>
    <tableColumn id="34" xr3:uid="{24914635-CA39-4AAE-BEB6-06EE8832F1F1}" name="MONTO CASOS X REG." dataDxfId="325">
      <calculatedColumnFormula>SUMIFS('CALENDARIO INGRESOS'!I:I,'CALENDARIO INGRESOS'!G:G,"&gt;="&amp;EOMONTH(Tabla7[[#This Row],[MES]],-1)+1,'CALENDARIO INGRESOS'!G:G,"&lt;="&amp;EOMONTH(Tabla7[[#This Row],[MES]],0),'CALENDARIO INGRESOS'!L:L, "&lt;&gt;PAGADA",'CALENDARIO INGRESOS'!D:D,"¡REGULARIZAR!")</calculatedColumnFormula>
    </tableColumn>
    <tableColumn id="30" xr3:uid="{9D3730B3-764F-40B5-AFFD-0DE5B5D858F3}" name="Q CASOS X REG." dataDxfId="324">
      <calculatedColumnFormula>COUNTIFS('CALENDARIO INGRESOS'!$G:$G,"&gt;="&amp;EOMONTH(Tabla7[[#This Row],[MES]],-1)+1,'CALENDARIO INGRESOS'!$G:$G,"&lt;="&amp;EOMONTH(Tabla7[[#This Row],[MES]],0),'CALENDARIO INGRESOS'!$D:$D,"¡REGULARIZAR!",'CALENDARIO INGRESOS'!$L:$L,"&lt;&gt;PAGADA")</calculatedColumnFormula>
    </tableColumn>
    <tableColumn id="32" xr3:uid="{363416F7-C637-484C-BBD7-ED121AFC28DF}" name="INCOBRABLE" dataDxfId="323">
      <calculatedColumnFormula>SUMIFS('CALENDARIO INGRESOS'!I:I,'CALENDARIO INGRESOS'!G:G,"&gt;="&amp;EOMONTH(Tabla7[[#This Row],[MES]],-1)+1,'CALENDARIO INGRESOS'!G:G,"&lt;="&amp;EOMONTH(Tabla7[[#This Row],[MES]],0),'CALENDARIO INGRESOS'!L:L, "&lt;&gt;PAGADA",'CALENDARIO INGRESOS'!D:D,"ELIMINADO")</calculatedColumnFormula>
    </tableColumn>
    <tableColumn id="4" xr3:uid="{CFF94426-938B-426C-8B70-9875C5907DEA}" name="% NO PAGO" dataDxfId="322">
      <calculatedColumnFormula>+IFERROR(Tabla7[[#This Row],[INCOBRABLE]]/Tabla7[[#This Row],[INGRESO TOTAL MES]],0)</calculatedColumnFormula>
    </tableColumn>
    <tableColumn id="31" xr3:uid="{3A79A88C-594D-4F25-BF23-523E27E7C212}" name="% CARGO" dataDxfId="321">
      <calculatedColumnFormula>IFERROR(AVERAGEIFS(INGRESOS!I:I,INGRESOS!A:A,"&gt;="&amp;Tabla7[[#This Row],[MES]],INGRESOS!A:A,"&lt;="&amp;MIN(TODAY(),EOMONTH(Tabla7[[#This Row],[MES]],0))),0)</calculatedColumnFormula>
    </tableColumn>
    <tableColumn id="12" xr3:uid="{19F84333-0139-4378-A22E-DC0AF31CA9DE}" name="INGRESO MES RECIBIDO NETO" dataDxfId="320">
      <calculatedColumnFormula>SUMIFS(INGRESOS!$J:$J,INGRESOS!$A:$A,"&gt;="&amp;Tabla7[[#This Row],[MES]],INGRESOS!$A:$A,"&lt;="&amp;MIN(TODAY(),EOMONTH(Tabla7[[#This Row],[MES]],0)))</calculatedColumnFormula>
    </tableColumn>
    <tableColumn id="10" xr3:uid="{D4B70669-6A42-4C60-B864-FB0B6B56F0F9}" name="TOTAL SALIDAS MES" dataDxfId="319">
      <calculatedColumnFormula>SUMIFS(SALIDAS!F:F,SALIDAS!A:A,"&gt;="&amp;Tabla7[[#This Row],[MES]],SALIDAS!A:A,"&lt;="&amp;MIN(TODAY(),EOMONTH(Tabla7[[#This Row],[MES]],0)))</calculatedColumnFormula>
    </tableColumn>
    <tableColumn id="6" xr3:uid="{C1279FC4-3160-4225-8DD2-8ADB1C66EF63}" name="COR" dataDxfId="318">
      <calculatedColumnFormula>SUMIFS(SALIDAS!F:F,SALIDAS!U:U,"COR",SALIDAS!A:A,"&gt;="&amp;Tabla7[[#This Row],[MES]],SALIDAS!A:A,"&lt;="&amp;MIN(TODAY(),EOMONTH(Tabla7[[#This Row],[MES]],0)))</calculatedColumnFormula>
    </tableColumn>
    <tableColumn id="11" xr3:uid="{740996D6-E496-4350-9AFC-5C764A05B678}" name="MARGEN BRUTO" dataDxfId="317">
      <calculatedColumnFormula>Tabla7[[#This Row],[INGRESO MES RECIBIDO NETO]]+Tabla7[[#This Row],[COR]]+Tabla7[[#This Row],[Customer Success]]</calculatedColumnFormula>
    </tableColumn>
    <tableColumn id="26" xr3:uid="{A18A165E-4B60-480C-80D0-A83E435DFC44}" name="%MARGEN BRUTO" dataDxfId="316">
      <calculatedColumnFormula>+Tabla7[[#This Row],[MARGEN BRUTO]]/Tabla7[[#This Row],[INGRESO MES RECIBIDO NETO]]</calculatedColumnFormula>
    </tableColumn>
    <tableColumn id="8" xr3:uid="{4A457772-5CEC-473A-B414-26520E7C8480}" name="Sales &amp; Marketing" dataDxfId="315">
      <calculatedColumnFormula>SUMIFS(SALIDAS!F:F,SALIDAS!U:U,"OPEX",SALIDAS!V:V,Tabla7[[#Headers],[Sales &amp; Marketing]],SALIDAS!A:A,"&gt;="&amp;Tabla7[[#This Row],[MES]],SALIDAS!A:A,"&lt;="&amp;MIN(TODAY(),EOMONTH(Tabla7[[#This Row],[MES]],0)))</calculatedColumnFormula>
    </tableColumn>
    <tableColumn id="7" xr3:uid="{58576FE6-5600-440A-915C-9845D6A29EA4}" name="Research &amp; Development" dataDxfId="314">
      <calculatedColumnFormula>SUMIFS(SALIDAS!F:F,SALIDAS!U:U,"OPEX",SALIDAS!V:V,Tabla7[[#Headers],[Research &amp; Development]],SALIDAS!A:A,"&gt;="&amp;Tabla7[[#This Row],[MES]],SALIDAS!A:A,"&lt;="&amp;MIN(TODAY(),EOMONTH(Tabla7[[#This Row],[MES]],0)))</calculatedColumnFormula>
    </tableColumn>
    <tableColumn id="13" xr3:uid="{89B2FA1E-F6E7-40C3-BBFA-45A534AC0598}" name="General &amp; Administrative" dataDxfId="313">
      <calculatedColumnFormula>SUMIFS(SALIDAS!F:F,SALIDAS!U:U,"OPEX",SALIDAS!V:V,Tabla7[[#Headers],[General &amp; Administrative]],SALIDAS!A:A,"&gt;="&amp;Tabla7[[#This Row],[MES]],SALIDAS!A:A,"&lt;="&amp;MIN(TODAY(),EOMONTH(Tabla7[[#This Row],[MES]],0)))</calculatedColumnFormula>
    </tableColumn>
    <tableColumn id="18" xr3:uid="{E615703A-CF8C-417F-BEBB-A980E422D143}" name="Customer Success" dataDxfId="312">
      <calculatedColumnFormula>SUMIFS(SALIDAS!F:F,SALIDAS!U:U,"OPEX",SALIDAS!V:V,Tabla7[[#Headers],[Customer Success]],SALIDAS!A:A,"&gt;="&amp;Tabla7[[#This Row],[MES]],SALIDAS!A:A,"&lt;="&amp;MIN(TODAY(),EOMONTH(Tabla7[[#This Row],[MES]],0)))</calculatedColumnFormula>
    </tableColumn>
    <tableColumn id="21" xr3:uid="{6661D502-6BF2-439F-AC76-97A3DD9E4974}" name="TOTAL OPEX" dataDxfId="311">
      <calculatedColumnFormula>SUMIFS(SALIDAS!F:F,SALIDAS!U:U,"OPEX",SALIDAS!A:A,"&gt;="&amp;Tabla7[[#This Row],[MES]],SALIDAS!A:A,"&lt;="&amp;MIN(TODAY(),EOMONTH(Tabla7[[#This Row],[MES]],0)))</calculatedColumnFormula>
    </tableColumn>
    <tableColumn id="17" xr3:uid="{835C9687-F3AA-4FB1-9274-999B42AE6081}" name="EBITDA" dataDxfId="310">
      <calculatedColumnFormula>+Tabla7[[#This Row],[MARGEN BRUTO]]+SUM(Tabla7[[#This Row],[Sales &amp; Marketing]:[General &amp; Administrative]])</calculatedColumnFormula>
    </tableColumn>
    <tableColumn id="25" xr3:uid="{A948B581-F513-4BE7-92F1-A2CDC3DA402C}" name="TOTAL CAPEX" dataDxfId="309">
      <calculatedColumnFormula>ABS(SUMIFS(SALIDAS!F:F,SALIDAS!U:U,"CAPEX",SALIDAS!A:A,"&gt;="&amp;Tabla7[[#This Row],[MES]],SALIDAS!A:A,"&lt;="&amp;MIN(TODAY(),EOMONTH(Tabla7[[#This Row],[MES]],0))))</calculatedColumnFormula>
    </tableColumn>
    <tableColumn id="23" xr3:uid="{618875CA-AFC2-4B55-A382-503DEA294970}" name="FCF" dataDxfId="308">
      <calculatedColumnFormula>+Tabla7[[#This Row],[EBITDA]]-Tabla7[[#This Row],[TOTAL CAPEX]]</calculatedColumnFormula>
    </tableColumn>
    <tableColumn id="33" xr3:uid="{2C7F03C1-628F-4F9F-871F-054FA7E67689}" name="FCF ACUMULADO" dataDxfId="307">
      <calculatedColumnFormula>+Tabla7[[#This Row],[FCF]]</calculatedColumnFormula>
    </tableColumn>
    <tableColumn id="9" xr3:uid="{100D5A9F-AF64-4D8E-9305-8DD192445AC1}" name="CAC" dataDxfId="306">
      <calculatedColumnFormula>IFERROR(SUMIFS(SALIDAS!F:F,SALIDAS!U:U,"OPEX",SALIDAS!V:V,Tabla7[[#Headers],[Sales &amp; Marketing]],SALIDAS!A:A,"&gt;="&amp;Tabla7[[#This Row],[MES]],SALIDAS!A:A,"&lt;="&amp;MIN(TODAY(),EOMONTH(Tabla7[[#This Row],[MES]],0)))/_xlfn.XLOOKUP(Tabla7[[#This Row],[MES]],'COHORTES INGRESO'!A:A,'COHORTES INGRESO'!C:C),0)</calculatedColumnFormula>
    </tableColumn>
    <tableColumn id="22" xr3:uid="{41BF209C-EAC0-4CC7-8D47-AA9B26796410}" name="COSTO SERVICIO UNIT." dataDxfId="305">
      <calculatedColumnFormula>+IFERROR(Tabla7[[#This Row],[COR]]/Tabla711[[#This Row],[NUEVOS CLIENTES TOTAL]],0)</calculatedColumnFormula>
    </tableColumn>
    <tableColumn id="24" xr3:uid="{C27C1AB7-EF1D-4D08-902A-18DAD5645FBF}" name="MARGEN CONTRIBUCION" dataDxfId="304">
      <calculatedColumnFormula>Tabla7[[#This Row],[INGRESO MES RECIBIDO NETO]]+SUMIFS(SALIDAS!F:F,SALIDAS!T:T,"Costo variable",SALIDAS!A:A,"&gt;="&amp;Tabla7[[#This Row],[MES]],SALIDAS!A:A,"&lt;="&amp;MIN(TODAY(),EOMONTH(Tabla7[[#This Row],[MES]],0)))</calculatedColumnFormula>
    </tableColumn>
    <tableColumn id="19" xr3:uid="{E7795FAE-AFAA-4101-B949-69D161401D87}" name="CASH IN NETO PROM MES" dataDxfId="303">
      <calculatedColumnFormula>+IFERROR(AVERAGEIFS(INGRESOS!J:J,INGRESOS!$A:$A,"&gt;="&amp;Tabla7[[#This Row],[MES]],INGRESOS!$A:$A,"&lt;="&amp;MIN(TODAY(),EOMONTH(Tabla7[[#This Row],[MES]],0))),0)</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DCD4D4-8BA1-4556-B732-295E1EF45498}" name="Tabla3" displayName="Tabla3" ref="A1:AB201" totalsRowShown="0" headerRowDxfId="302">
  <autoFilter ref="A1:AB201" xr:uid="{E2DCD4D4-8BA1-4556-B732-295E1EF45498}"/>
  <sortState xmlns:xlrd2="http://schemas.microsoft.com/office/spreadsheetml/2017/richdata2" ref="A2:AB200">
    <sortCondition ref="G1:G200"/>
  </sortState>
  <tableColumns count="28">
    <tableColumn id="1" xr3:uid="{96F077EC-9AEE-4DB7-88A4-D035538DA905}" name="NOMBRE" dataDxfId="301"/>
    <tableColumn id="2" xr3:uid="{CF6DB12B-905F-4A18-A29E-9A5359C8E592}" name="CORREO" dataDxfId="300"/>
    <tableColumn id="20" xr3:uid="{A45C5C57-782C-47FA-AFE1-AFADF7C4EE1E}" name="PAIS" dataDxfId="299"/>
    <tableColumn id="7" xr3:uid="{93E45B48-17DD-4EA1-8D60-4DA557D13C28}" name="ID STRIPE" dataDxfId="298"/>
    <tableColumn id="6" xr3:uid="{1AB913FB-85B2-40DA-BE6B-C79D7EF51B7D}" name="ID LINGODA" dataDxfId="297"/>
    <tableColumn id="26" xr3:uid="{3A8FE5CA-A90B-454C-859F-47574106CC17}" name="ID MICHAEL" dataDxfId="296"/>
    <tableColumn id="16" xr3:uid="{95EE8130-E2C3-4CE9-AF08-B788B9F15708}" name="FECHA INGRESO" dataDxfId="295">
      <calculatedColumnFormula>(_xlfn.MINIFS(INGRESOS!A:A,INGRESOS!C:C,Tabla3[[#This Row],[CORREO]]))</calculatedColumnFormula>
    </tableColumn>
    <tableColumn id="8" xr3:uid="{7154B363-AAAD-4B9E-9B2E-EF333E947446}" name="ABONO 1ER MES" dataDxfId="294">
      <calculatedColumnFormula>+SUMIFS(INGRESOS!J:J,INGRESOS!D:D,Tabla3[[#This Row],[ID STRIPE]],INGRESOS!A:A,"&gt;="&amp;DATE(YEAR(Tabla3[[#This Row],[FECHA INGRESO]]),MONTH(Tabla3[[#This Row],[FECHA INGRESO]]),1),INGRESOS!A:A,"&lt;="&amp;DATE(YEAR(Tabla3[[#This Row],[FECHA INGRESO]]),MONTH(Tabla3[[#This Row],[FECHA INGRESO]])+1,0))</calculatedColumnFormula>
    </tableColumn>
    <tableColumn id="18" xr3:uid="{0BD7307D-6833-493E-AFBE-681B22426BCA}" name="MESES ACT" dataDxfId="293">
      <calculatedColumnFormula>DATEDIF(Tabla3[[#This Row],[FECHA INGRESO]],IF(OR(Tabla3[[#This Row],[ESTADO]]="OK",Tabla3[[#This Row],[ESTADO]]="¡REGULARIZAR!")=TRUE,TODAY(),IF(Tabla3[[#This Row],[ULTIMO PAGO]]="",TODAY(),Tabla3[[#This Row],[ULTIMO PAGO]])),"m")</calculatedColumnFormula>
    </tableColumn>
    <tableColumn id="4" xr3:uid="{9E9938CB-75B5-48B0-B3B0-2AE12DCA91A9}" name="ULTIMO PAGO" dataDxfId="292">
      <calculatedColumnFormula>(_xlfn.MAXIFS(INGRESOS!A:A,INGRESOS!C:C,Tabla3[[#This Row],[CORREO]]))</calculatedColumnFormula>
    </tableColumn>
    <tableColumn id="24" xr3:uid="{B5F9FB16-FAAD-4261-8F55-863D916AD6F4}" name="PROM CASH IN" dataDxfId="291">
      <calculatedColumnFormula>+IFERROR(Tabla3[[#This Row],[ABONADO NETO ]]/Tabla3[[#This Row],[MESES ACT]],Tabla3[[#This Row],[ABONO 1ER MES]])</calculatedColumnFormula>
    </tableColumn>
    <tableColumn id="25" xr3:uid="{F1A5F3AB-77BB-4931-B4A1-C22B191A2957}" name="CHECKED" dataDxfId="290"/>
    <tableColumn id="13" xr3:uid="{E1AC1450-7551-4F67-89EB-314436493128}" name="ESTADO" dataDxfId="289"/>
    <tableColumn id="27" xr3:uid="{0C5B5155-7AAC-4E6F-97B3-87E137D7C511}" name="ABONADO NETO " dataDxfId="288">
      <calculatedColumnFormula>+SUMIF(INGRESOS!D:D,Tabla3[[#This Row],[ID STRIPE]],INGRESOS!J:J)</calculatedColumnFormula>
    </tableColumn>
    <tableColumn id="5" xr3:uid="{788DB223-8054-4AA6-AD6B-C6718FB10D22}" name="VALOR PROGRAMA" dataDxfId="287"/>
    <tableColumn id="14" xr3:uid="{2D7CFD03-EC6D-4865-B19E-2FB6BCABE0A2}" name="COMPROMETIDO" dataDxfId="286">
      <calculatedColumnFormula>+SUMIF('CALENDARIO INGRESOS'!A:A,Tabla3[[#This Row],[ID STRIPE]],'CALENDARIO INGRESOS'!I:I)</calculatedColumnFormula>
    </tableColumn>
    <tableColumn id="29" xr3:uid="{D4B90BAF-89FC-4079-938E-EBA0F215D9AD}" name="IMPORTE ABONADO" dataDxfId="285">
      <calculatedColumnFormula>+SUMIF(INGRESOS!D:D,Tabla3[[#This Row],[ID STRIPE]],INGRESOS!G:G)</calculatedColumnFormula>
    </tableColumn>
    <tableColumn id="21" xr3:uid="{E90BB5E9-332C-496B-871B-8B7C57A1FD21}" name="FASE" dataDxfId="284"/>
    <tableColumn id="15" xr3:uid="{2B8AD37C-EBEF-48AD-8BB8-4025F18B0CC8}" name="MONTO LATAM" dataDxfId="283">
      <calculatedColumnFormula>+SUMIFS('CALENDARIO INGRESOS'!I:I,'CALENDARIO INGRESOS'!A:A,Tabla3[[#This Row],[ID STRIPE]],'CALENDARIO INGRESOS'!H:H,"LATAM")</calculatedColumnFormula>
    </tableColumn>
    <tableColumn id="3" xr3:uid="{302DC2E2-FFFF-4BB9-A7EF-C48FD4748F03}" name="SALDO LATAM" dataDxfId="282">
      <calculatedColumnFormula>+IF(Tabla3[[#This Row],[MONTO LATAM]]-Tabla3[[#This Row],[IMPORTE ABONADO]]&gt;=0,Tabla3[[#This Row],[MONTO LATAM]]-Tabla3[[#This Row],[IMPORTE ABONADO]],0)</calculatedColumnFormula>
    </tableColumn>
    <tableColumn id="17" xr3:uid="{31BA7642-2FE6-4F92-B759-1DBACB6CEC6B}" name="MONTO ALEM" dataDxfId="281"/>
    <tableColumn id="19" xr3:uid="{15C285DF-1948-4D2A-AE58-166DCCD82B70}" name="MONTO VISA/FIRMA PA" dataDxfId="280"/>
    <tableColumn id="9" xr3:uid="{12C7841A-E896-46B5-A1FC-B7BA1B62239D}" name="SUSCRITO" dataDxfId="279"/>
    <tableColumn id="10" xr3:uid="{ED2835AB-59F1-4074-AF3A-4D29D5558F25}" name="RATING" dataDxfId="278">
      <calculatedColumnFormula>+IFERROR(AVERAGEIF('CALENDARIO INGRESOS'!A:A,Tabla3[[#This Row],[ID STRIPE]],'CALENDARIO INGRESOS'!M:M),"0")</calculatedColumnFormula>
    </tableColumn>
    <tableColumn id="12" xr3:uid="{2F3D0DB8-B4AB-496D-9886-53141A45AC2C}" name="FECHA MIGRACION" dataDxfId="277"/>
    <tableColumn id="23" xr3:uid="{8559DAFC-A9D5-4D1F-8977-C92739DC6781}" name="CLASES LING." dataDxfId="276">
      <calculatedColumnFormula>+IFERROR(_xlfn.XLOOKUP(Tabla3[[#This Row],[ID LINGODA]],LINGODA!D:D,LINGODA!S:S),0)</calculatedColumnFormula>
    </tableColumn>
    <tableColumn id="11" xr3:uid="{5BD832D3-3EF7-4398-8045-B49C439E0A98}" name="NIVEL INICIAL LING." dataDxfId="275">
      <calculatedColumnFormula>+IFERROR(_xlfn.XLOOKUP(Tabla3[[#This Row],[ID LINGODA]],LINGODA!D:D,LINGODA!F:F),"null")</calculatedColumnFormula>
    </tableColumn>
    <tableColumn id="22" xr3:uid="{205A4F15-0EBA-4F89-B34D-09E076DEF6BD}" name="NIVEL ACTUAL LING." dataDxfId="274">
      <calculatedColumnFormula>+IFERROR(_xlfn.XLOOKUP(Tabla3[[#This Row],[ID LINGODA]],LINGODA!D:D,LINGODA!G:G),"null")</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88FE64A-ABF3-4937-9F03-2FD7775A654A}" name="Tabla4" displayName="Tabla4" ref="A1:T1113" totalsRowShown="0" headerRowDxfId="273" dataDxfId="271" headerRowBorderDxfId="272" tableBorderDxfId="270" totalsRowBorderDxfId="269">
  <autoFilter ref="A1:T1113" xr:uid="{288FE64A-ABF3-4937-9F03-2FD7775A654A}"/>
  <sortState xmlns:xlrd2="http://schemas.microsoft.com/office/spreadsheetml/2017/richdata2" ref="A2:T1095">
    <sortCondition ref="A1:A1095"/>
  </sortState>
  <tableColumns count="20">
    <tableColumn id="1" xr3:uid="{8D477DA5-F60F-45E7-9F08-EE304BC89C38}" name="FECHA" dataDxfId="268"/>
    <tableColumn id="10" xr3:uid="{E70FDC75-D7A7-420C-B009-524E7A431521}" name="NOMBRE" dataDxfId="267">
      <calculatedColumnFormula>+_xlfn.XLOOKUP(Tabla4[[#This Row],[ID CLIENTE]],'RESUMEN CLIENTES'!D:D,'RESUMEN CLIENTES'!A:A)</calculatedColumnFormula>
    </tableColumn>
    <tableColumn id="2" xr3:uid="{5CDBDBCF-EDA0-4845-B7CA-82EDDF9C714A}" name="CORREO" dataDxfId="266"/>
    <tableColumn id="14" xr3:uid="{DF0BEEE5-FF62-439F-BB66-8C8D89AC07F5}" name="ID CLIENTE" dataDxfId="265"/>
    <tableColumn id="7" xr3:uid="{32A42EDA-DB81-441E-9F02-9A061F42458E}" name="ID FACTURA PAGADA" dataDxfId="264"/>
    <tableColumn id="15" xr3:uid="{A62028CF-5054-43E5-A4E6-7F4FF1FEE706}" name="N° FACTURA" dataDxfId="263"/>
    <tableColumn id="3" xr3:uid="{9A788B80-D961-404A-BB58-1E1C172FA57B}" name="IMPORTE" dataDxfId="262"/>
    <tableColumn id="4" xr3:uid="{2FA3C404-6025-4917-B6A2-1A32A0789198}" name="CARGO" dataDxfId="261"/>
    <tableColumn id="5" xr3:uid="{36B16A8F-D3D3-4E12-B69B-92BB3CA17F69}" name="% CARGO" dataDxfId="260">
      <calculatedColumnFormula>+IFERROR(-(H2)/G2,"")</calculatedColumnFormula>
    </tableColumn>
    <tableColumn id="6" xr3:uid="{3BE16191-40E7-4115-B2B5-F219C3400620}" name=" INGRESO NETO" dataDxfId="259">
      <calculatedColumnFormula>+G2+H2</calculatedColumnFormula>
    </tableColumn>
    <tableColumn id="8" xr3:uid="{A80D3C1F-63F5-4428-B1F4-E932C47E204E}" name="COMENTARIO" dataDxfId="258"/>
    <tableColumn id="13" xr3:uid="{B1EB1C57-B98D-47A8-AC1E-B76A2075A33A}" name="CL / DE" dataDxfId="257"/>
    <tableColumn id="19" xr3:uid="{32FD87FD-7E14-D749-8AC7-BC3581C80C66}" name="MONEDA" dataDxfId="256"/>
    <tableColumn id="16" xr3:uid="{78D5C9E9-1822-4DFC-B82E-117EF5F3DF4A}" name="PAGO NO EURO" dataDxfId="255"/>
    <tableColumn id="9" xr3:uid="{B123D9AA-F92A-45C5-8450-9A718C1F4EF1}" name="AUXILIAR" dataDxfId="254">
      <calculatedColumnFormula>+Tabla4[[#This Row],[PAGO NO EURO]]+Tabla4[[#This Row],[CARGO NO EURO]]</calculatedColumnFormula>
    </tableColumn>
    <tableColumn id="18" xr3:uid="{0E3FD934-B36B-4063-9860-EA59C0FCEC20}" name="CARGO NO EURO" dataDxfId="253"/>
    <tableColumn id="17" xr3:uid="{1B669EF1-115F-42F8-959B-2376FF936CAF}" name="CAMBIO" dataDxfId="252"/>
    <tableColumn id="20" xr3:uid="{F21ED8E9-E165-45C2-B319-7BD860F6516F}" name="COHORTE INGRESO" dataDxfId="251">
      <calculatedColumnFormula>+_xlfn.XLOOKUP(Tabla4[[#This Row],[ID CLIENTE]],'RESUMEN CLIENTES'!D:D,'RESUMEN CLIENTES'!G:G)</calculatedColumnFormula>
    </tableColumn>
    <tableColumn id="12" xr3:uid="{D88ABD5F-C623-469D-82DA-0F5C7C556978}" name="COHORTE IDIOMA" dataDxfId="250">
      <calculatedColumnFormula>+_xlfn.XLOOKUP(Tabla4[[#This Row],[ID CLIENTE]],'RESUMEN CLIENTES'!D:D,'RESUMEN CLIENTES'!AA:AA)</calculatedColumnFormula>
    </tableColumn>
    <tableColumn id="11" xr3:uid="{B9AE88B6-B7B3-47AB-B78E-F0C354CAEC71}" name="COHORTE PAIS" dataDxfId="249">
      <calculatedColumnFormula>+_xlfn.XLOOKUP(Tabla4[[#This Row],[ID CLIENTE]],'RESUMEN CLIENTES'!D:D,'RESUMEN CLIENTES'!C:C)</calculatedColumnFormula>
    </tableColumn>
  </tableColumns>
  <tableStyleInfo name="TableStyleLight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CF92A04-CA09-4F00-B6D0-EB07DA9E1910}" name="Tabla6" displayName="Tabla6" ref="A1:O2958" totalsRowShown="0" headerRowDxfId="248" dataDxfId="247">
  <autoFilter ref="A1:O2958" xr:uid="{3CF92A04-CA09-4F00-B6D0-EB07DA9E1910}"/>
  <sortState xmlns:xlrd2="http://schemas.microsoft.com/office/spreadsheetml/2017/richdata2" ref="A2:O2958">
    <sortCondition ref="G1:G2958"/>
  </sortState>
  <tableColumns count="15">
    <tableColumn id="1" xr3:uid="{D4EB357F-C2F3-4887-BD3A-BA3432476FE9}" name="ID CLIENTE" dataDxfId="246"/>
    <tableColumn id="2" xr3:uid="{194F83F3-953A-4E05-B6CF-95169EACF95B}" name="NOMBRE" dataDxfId="245">
      <calculatedColumnFormula>+_xlfn.XLOOKUP(Tabla6[[#This Row],[ID CLIENTE]],'RESUMEN CLIENTES'!D:D,'RESUMEN CLIENTES'!A:A)</calculatedColumnFormula>
    </tableColumn>
    <tableColumn id="15" xr3:uid="{6CC9C673-469F-4385-BF53-C2A2313E7394}" name="PAIS" dataDxfId="244">
      <calculatedColumnFormula>+_xlfn.XLOOKUP(Tabla6[[#This Row],[ID CLIENTE]],'RESUMEN CLIENTES'!D:D,'RESUMEN CLIENTES'!C:C)</calculatedColumnFormula>
    </tableColumn>
    <tableColumn id="12" xr3:uid="{4872A9DA-6129-460A-A827-A56626DAB3C7}" name="ESTADO" dataDxfId="243">
      <calculatedColumnFormula>+_xlfn.XLOOKUP(Tabla6[[#This Row],[ID CLIENTE]],'RESUMEN CLIENTES'!D:D,'RESUMEN CLIENTES'!M:M)</calculatedColumnFormula>
    </tableColumn>
    <tableColumn id="10" xr3:uid="{55809BDB-A297-4D0C-89D0-F52E7D1FC7FA}" name="AUX PROM" dataDxfId="242">
      <calculatedColumnFormula>+_xlfn.XLOOKUP(Tabla6[[#This Row],[NOMBRE]],'RESUMEN CLIENTES'!A:A,'RESUMEN CLIENTES'!X:X)</calculatedColumnFormula>
    </tableColumn>
    <tableColumn id="13" xr3:uid="{4C1F34EE-BB4D-45FC-9776-E992658F1B50}" name="SUSCR" dataDxfId="241">
      <calculatedColumnFormula>+_xlfn.XLOOKUP(Tabla6[[#This Row],[ID CLIENTE]],'RESUMEN CLIENTES'!D:D,'RESUMEN CLIENTES'!W:W)</calculatedColumnFormula>
    </tableColumn>
    <tableColumn id="3" xr3:uid="{6B660CA2-9F64-4EAA-BB2F-C5CFE4F7AD57}" name="FECHA" dataDxfId="240"/>
    <tableColumn id="11" xr3:uid="{35297F29-78EE-461A-87D8-F6B78565AC23}" name="FASE" dataDxfId="239"/>
    <tableColumn id="4" xr3:uid="{4E7F9BCC-430D-4F39-8113-4A40FF2A3790}" name="MONTO" dataDxfId="238"/>
    <tableColumn id="5" xr3:uid="{F0719AD9-08D3-46FC-A0DB-037C0B949672}" name="ID FACTURA" dataDxfId="237"/>
    <tableColumn id="8" xr3:uid="{25B5FD70-F655-4853-8BA7-7F7D1B9BC9D4}" name="N° FACTURA" dataDxfId="236"/>
    <tableColumn id="6" xr3:uid="{B7A61A63-243B-4895-84FF-6FE047DC8FF0}" name="ESTADO FACTURA" dataDxfId="235">
      <calculatedColumnFormula array="1">+_xlfn.IFS(COUNTIF(INGRESOS!E:E,Tabla6[[#This Row],[ID FACTURA]])=1,"PAGADA",Tabla6[[#This Row],[ID FACTURA]]&lt;&gt;0,"EMITIDA",Tabla6[[#This Row],[ID FACTURA]]=0,"POR EMITIR")</calculatedColumnFormula>
    </tableColumn>
    <tableColumn id="9" xr3:uid="{D0696F9D-5764-439D-991B-468CED9926C1}" name="RETRASO" dataDxfId="234">
      <calculatedColumnFormula>+IF(Tabla6[[#This Row],[ESTADO FACTURA]]="PAGADA",Tabla6[[#This Row],[FECHA]]-_xlfn.XLOOKUP(Tabla6[[#This Row],[N° FACTURA]],INGRESOS!F:F,INGRESOS!A:A),"-")</calculatedColumnFormula>
    </tableColumn>
    <tableColumn id="14" xr3:uid="{5E59FD1E-42B5-49E9-A545-D2F93F988D60}" name="DCTO DOC" dataDxfId="233"/>
    <tableColumn id="7" xr3:uid="{44A5144B-5DBA-4306-835E-00C4F78B11D0}" name="NOTA" dataDxfId="232"/>
  </tableColumns>
  <tableStyleInfo name="TableStyleMedium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335549B-3FAA-DC46-98D0-7D1D8ED22B6B}" name="Tabla5109" displayName="Tabla5109" ref="A1:X1476" totalsRowShown="0" headerRowDxfId="231" headerRowBorderDxfId="230" tableBorderDxfId="229" totalsRowBorderDxfId="228">
  <autoFilter ref="A1:X1476" xr:uid="{4A83F36F-B933-354D-A673-3825996C1C8D}">
    <filterColumn colId="0">
      <filters>
        <dateGroupItem year="2026" dateTimeGrouping="year"/>
      </filters>
    </filterColumn>
  </autoFilter>
  <sortState xmlns:xlrd2="http://schemas.microsoft.com/office/spreadsheetml/2017/richdata2" ref="A1018:X1476">
    <sortCondition ref="A1:A1476"/>
  </sortState>
  <tableColumns count="24">
    <tableColumn id="1" xr3:uid="{9F061346-01AF-304E-A0CA-55089675C072}" name="Date" dataDxfId="227"/>
    <tableColumn id="2" xr3:uid="{D6E1A945-69E5-FA44-9BA6-FF16ECD5A05C}" name="Invoice" dataDxfId="226"/>
    <tableColumn id="4" xr3:uid="{9D3A0E82-662C-7D40-BA84-9DF03DE08F8F}" name="Currency" dataDxfId="225"/>
    <tableColumn id="3" xr3:uid="{E643959B-29AE-8847-BC19-4E79CF927BB2}" name="Original Amount" dataDxfId="224"/>
    <tableColumn id="9" xr3:uid="{3B55B615-96CD-224A-A7E6-6326AB4B8DF0}" name="ER to EUR" dataDxfId="223"/>
    <tableColumn id="10" xr3:uid="{2833F4FC-CEA0-C844-8147-7356FD650262}" name="Amount in EUR" dataDxfId="222">
      <calculatedColumnFormula>Tabla5109[[#This Row],[Original Amount]]*Tabla5109[[#This Row],[ER to EUR]]</calculatedColumnFormula>
    </tableColumn>
    <tableColumn id="5" xr3:uid="{0A247A0E-CDC5-D443-B811-3FB896BB40C1}" name="Counterparty" dataDxfId="221"/>
    <tableColumn id="6" xr3:uid="{4857B37D-CE84-C148-A406-69B795A7265E}" name="Description" dataDxfId="220"/>
    <tableColumn id="7" xr3:uid="{80BA2ACE-7FF6-644A-BD5E-42B061CBF793}" name="Account" dataDxfId="219"/>
    <tableColumn id="20" xr3:uid="{23F5C033-9661-A14F-8536-0E8572564533}" name="Category" dataDxfId="218"/>
    <tableColumn id="8" xr3:uid="{3AA195BF-7A02-0244-8B2F-96647595CBC8}" name="Sub-Category 1" dataDxfId="217"/>
    <tableColumn id="17" xr3:uid="{DB85D2D4-5157-BC42-BACC-F43C052BE52E}" name="Sub-Category 2" dataDxfId="216"/>
    <tableColumn id="22" xr3:uid="{C5D013E3-A0A1-6545-9549-50F1A76C823D}" name="Compensado" dataDxfId="215"/>
    <tableColumn id="11" xr3:uid="{37B4B398-A811-BE47-9E4B-0A58F3BD8001}" name="Audited Zoho" dataDxfId="214"/>
    <tableColumn id="12" xr3:uid="{8211E6BE-356A-8F40-921E-6C252083D8F0}" name="Supported Invoice" dataDxfId="213"/>
    <tableColumn id="13" xr3:uid="{A1278CCF-BA22-814A-9EA3-293F0E690D49}" name="Cuatrimestre" dataDxfId="212">
      <calculatedColumnFormula>"C"&amp;INT((MONTH(A2)-1)/4)+1&amp;"-"&amp;YEAR(A2)</calculatedColumnFormula>
    </tableColumn>
    <tableColumn id="19" xr3:uid="{1B9444CC-E1C6-6F43-A3C6-EAAC7A641D6E}" name="Trimestre" dataDxfId="211">
      <calculatedColumnFormula>"T"&amp;INT((MONTH(A2)-1)/3)+1&amp;"-"&amp;YEAR(A2)</calculatedColumnFormula>
    </tableColumn>
    <tableColumn id="14" xr3:uid="{07F4B364-9979-724B-89BB-8C109CF116FE}" name="Responsible Employee" dataDxfId="210"/>
    <tableColumn id="15" xr3:uid="{5885FF36-00D4-B045-B752-853F0A8E6FE3}" name="Department" dataDxfId="209"/>
    <tableColumn id="16" xr3:uid="{983DC705-599E-CB42-A4DA-F7D7B4DA57C4}" name="Cost Behavior" dataDxfId="208"/>
    <tableColumn id="18" xr3:uid="{81BB28D3-A8BB-9D45-AC61-1F3D72D57F94}" name="Accounting Type" dataDxfId="207"/>
    <tableColumn id="25" xr3:uid="{5DB3E6F9-777D-A34D-859C-042C93BA0B79}" name="Business Function" dataDxfId="206"/>
    <tableColumn id="23" xr3:uid="{54EFB7D8-1A91-F843-9D88-3720767820C9}" name="Campaign" dataDxfId="205"/>
    <tableColumn id="21" xr3:uid="{535FD698-9D78-5547-8D8C-FF95F0326744}" name="Facturacion" dataDxfId="204"/>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DB70952-C0B7-45F3-B88E-61A41E441135}" name="Tabla14" displayName="Tabla14" ref="A1:B162" totalsRowShown="0" headerRowDxfId="203" headerRowBorderDxfId="202" tableBorderDxfId="201">
  <autoFilter ref="A1:B162" xr:uid="{DDB70952-C0B7-45F3-B88E-61A41E441135}"/>
  <tableColumns count="2">
    <tableColumn id="1" xr3:uid="{B5C0720F-8352-42C5-A04B-D31B71710144}" name="Counterparty" dataDxfId="200"/>
    <tableColumn id="2" xr3:uid="{6C9895D2-19C8-4F39-AE69-642135F68FE0}" name="VAT_TREATMENT" dataDxfId="19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3BF525F-914A-5B42-A00E-A507F42FD5F2}" name="Table12" displayName="Table12" ref="A1:W51" totalsRowShown="0" headerRowDxfId="198" headerRowBorderDxfId="197" tableBorderDxfId="196">
  <autoFilter ref="A1:W51" xr:uid="{B3BF525F-914A-5B42-A00E-A507F42FD5F2}"/>
  <tableColumns count="23">
    <tableColumn id="1" xr3:uid="{AF67321C-8AA6-7046-BF7A-31C59BF82A31}" name="Starting Date" dataDxfId="195"/>
    <tableColumn id="18" xr3:uid="{50CAC6E0-D7A5-2C4D-915F-CEADD3DB4F40}" name="Renewal Date" dataDxfId="194"/>
    <tableColumn id="19" xr3:uid="{057C166F-C118-024E-936F-47D65A6D7501}" name="Type Suscription"/>
    <tableColumn id="2" xr3:uid="{C9341982-A48D-1740-B05D-5F7B2FF86CA6}" name="Counterparty"/>
    <tableColumn id="4" xr3:uid="{A7233E64-F9E3-C340-9E83-2E953E7282FF}" name="Description"/>
    <tableColumn id="16" xr3:uid="{5E2D0CE0-45DF-0748-9D3B-A2C6240E5135}" name="Status" dataDxfId="193"/>
    <tableColumn id="15" xr3:uid="{74F60939-DFA7-6A4F-A9AE-F1463069BFA2}" name="Category"/>
    <tableColumn id="5" xr3:uid="{56836227-8AC1-5748-9058-1F37071ED8CB}" name="Currency" dataDxfId="192"/>
    <tableColumn id="6" xr3:uid="{0A11A664-DC79-D542-8BAB-ADF2D3B93DFB}" name="Original Amount" dataDxfId="191"/>
    <tableColumn id="7" xr3:uid="{1C410F9A-DA02-C645-858B-D2E078D2CD5D}" name="ER to EUR" dataDxfId="190"/>
    <tableColumn id="8" xr3:uid="{09590822-AFAB-B14F-9EC4-BEC2CF062BFE}" name="Amount in EUR" dataDxfId="189">
      <calculatedColumnFormula>Table12[[#This Row],[Original Amount]]*Table12[[#This Row],[ER to EUR]]</calculatedColumnFormula>
    </tableColumn>
    <tableColumn id="10" xr3:uid="{BF3F49EF-E217-0742-B8FF-2961F2CD5A28}" name="Monthly Price" dataDxfId="188"/>
    <tableColumn id="11" xr3:uid="{661CB7E8-B745-A943-A003-5AF01EF109AD}" name="Annual Price" dataDxfId="187"/>
    <tableColumn id="17" xr3:uid="{2C9799FE-8E46-0F4F-9F3A-5BC1D9AE2A90}" name="Savings" dataDxfId="186"/>
    <tableColumn id="12" xr3:uid="{89627376-F392-0048-AF6B-8CAB5CC7C817}" name="Responsible"/>
    <tableColumn id="13" xr3:uid="{70AAD481-9365-2E47-8EE6-AE121CE986A4}" name="Departament"/>
    <tableColumn id="20" xr3:uid="{9F0540A1-159D-9D4B-B58A-04853234F57F}" name="Observation " dataDxfId="185"/>
    <tableColumn id="3" xr3:uid="{BF20DF09-4F11-5148-A781-F593056E608D}" name="Decision" dataDxfId="184"/>
    <tableColumn id="24" xr3:uid="{9C641208-A378-2246-90FE-4035CE6CB7FC}" name="Seats" dataDxfId="183"/>
    <tableColumn id="23" xr3:uid="{44FEF4B1-98F1-B249-AED7-2C7CDD8DD0DA}" name="Occupied Seats " dataDxfId="182"/>
    <tableColumn id="21" xr3:uid="{1B6F5F59-C638-2F46-8A91-0975734876D0}" name="Utilization %" dataDxfId="181">
      <calculatedColumnFormula>Table12[[#This Row],[Occupied Seats ]]/Table12[[#This Row],[Seats]]</calculatedColumnFormula>
    </tableColumn>
    <tableColumn id="9" xr3:uid="{4A4D46CF-0615-E946-AC40-E8052B378FF6}" name="Account"/>
    <tableColumn id="14" xr3:uid="{CEF8BA1F-1963-344D-85C0-276CE78F3947}" name="Password"/>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475128D-8D27-461F-9E83-91F65B245135}" name="Tabla9" displayName="Tabla9" ref="A1:J16" totalsRowShown="0" headerRowDxfId="180" tableBorderDxfId="179">
  <autoFilter ref="A1:J16" xr:uid="{9475128D-8D27-461F-9E83-91F65B245135}"/>
  <tableColumns count="10">
    <tableColumn id="1" xr3:uid="{3CBF5344-69A6-41F1-A58C-2B6C4986AF7E}" name="PAIS"/>
    <tableColumn id="3" xr3:uid="{293542D0-3028-4FD1-BB9E-C906DFBC56CD}" name="ABONO NETO PAIS" dataDxfId="178">
      <calculatedColumnFormula>+SUMIFS(INGRESOS!J:J,INGRESOS!T:T,Tabla9[[#This Row],[PAIS]])</calculatedColumnFormula>
    </tableColumn>
    <tableColumn id="14" xr3:uid="{741C6B6E-C8FC-4D06-88A6-8CD6EDC15F44}" name="TOTAL CLIENTES" dataDxfId="177">
      <calculatedColumnFormula>+COUNTIF('RESUMEN CLIENTES'!C:C,Tabla9[[#This Row],[PAIS]])</calculatedColumnFormula>
    </tableColumn>
    <tableColumn id="11" xr3:uid="{5D5C2595-C4A1-499A-ADFD-8F406CF0831E}" name="ABONO NETO PAIS CLIENTES VIGENTES" dataDxfId="176">
      <calculatedColumnFormula>+SUMIFS(INGRESOS!J:J,INGRESOS!T:T,Tabla9[[#This Row],[PAIS]],'RESUMEN CLIENTES'!M:M,"&lt;&gt;ELIMINADO",'RESUMEN CLIENTES'!M:M,"&lt;&gt;SUSPENDIDO",'RESUMEN CLIENTES'!M:M,"&lt;&gt;EN PAUSA")</calculatedColumnFormula>
    </tableColumn>
    <tableColumn id="2" xr3:uid="{2C0F87ED-A4E1-4B62-8487-28F6F48489A4}" name="TOTAL CLIENTES VIGENTES" dataDxfId="175">
      <calculatedColumnFormula>+COUNTIFS('RESUMEN CLIENTES'!M:M, "&lt;&gt;ELIMINADO",'RESUMEN CLIENTES'!M:M, "&lt;&gt;SUSPENDIDO",'RESUMEN CLIENTES'!M:M, "&lt;&gt;EN PAUSA",'RESUMEN CLIENTES'!C:C,Tabla9[[#This Row],[PAIS]])</calculatedColumnFormula>
    </tableColumn>
    <tableColumn id="6" xr3:uid="{FEF31921-C723-4A02-A4E8-64E5F24CAA82}" name="CLIENTES OK" dataDxfId="174">
      <calculatedColumnFormula>+COUNTIFS('RESUMEN CLIENTES'!M:M,"OK",'RESUMEN CLIENTES'!C:C,Tabla9[[#This Row],[PAIS]])</calculatedColumnFormula>
    </tableColumn>
    <tableColumn id="7" xr3:uid="{9E87B8E7-96BD-4CEB-941A-B453551914C6}" name="CLIENTES PROBLEMATICOS" dataDxfId="173">
      <calculatedColumnFormula>+COUNTIFS('RESUMEN CLIENTES'!M:M, "&lt;&gt;OK",'RESUMEN CLIENTES'!M:M, "&lt;&gt;ELIMINADO",'RESUMEN CLIENTES'!M:M, "&lt;&gt;EVALUACION",'RESUMEN CLIENTES'!C:C,Tabla9[[#This Row],[PAIS]])</calculatedColumnFormula>
    </tableColumn>
    <tableColumn id="8" xr3:uid="{9B42EEFC-3F14-4B07-B533-F7AA8AD2BC49}" name="ELIMINADOS" dataDxfId="172">
      <calculatedColumnFormula>+COUNTIFS('RESUMEN CLIENTES'!M:M,"ELIMINADO",'RESUMEN CLIENTES'!C:C,Tabla9[[#This Row],[PAIS]])</calculatedColumnFormula>
    </tableColumn>
    <tableColumn id="9" xr3:uid="{26CFE5AD-9749-42CA-81D1-15A3764F6F04}" name="RATING PAIS" dataDxfId="171">
      <calculatedColumnFormula>+IFERROR(AVERAGEIF('RESUMEN CLIENTES'!C:C,Tabla9[[#This Row],[PAIS]],'RESUMEN CLIENTES'!X:X),0)</calculatedColumnFormula>
    </tableColumn>
    <tableColumn id="4" xr3:uid="{BCC24AEA-4B83-42C0-9F1C-7ED87509323C}" name="TICKET PROM PAIS" dataDxfId="170">
      <calculatedColumnFormula>+AVERAGEIF('RESUMEN CLIENTES'!C:C,Tabla9[[#This Row],[PAIS]],'RESUMEN CLIENTES'!K:K)</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C1B3343-F2F6-463B-A907-8A262B014C7F}" name="Tabla711" displayName="Tabla711" ref="A1:M18" totalsRowShown="0" headerRowDxfId="169" tableBorderDxfId="168">
  <autoFilter ref="A1:M18" xr:uid="{FC1B3343-F2F6-463B-A907-8A262B014C7F}"/>
  <sortState xmlns:xlrd2="http://schemas.microsoft.com/office/spreadsheetml/2017/richdata2" ref="A2:M13">
    <sortCondition ref="A1:A13"/>
  </sortState>
  <tableColumns count="13">
    <tableColumn id="1" xr3:uid="{C237CEFF-E8A1-406B-BC01-3F0DB9E7C7E6}" name="MES" dataDxfId="167"/>
    <tableColumn id="12" xr3:uid="{410005A8-DFFC-4D31-9974-282733E4689B}" name="CLIENTES ANTIGUOS" dataDxfId="166">
      <calculatedColumnFormula>+E1</calculatedColumnFormula>
    </tableColumn>
    <tableColumn id="3" xr3:uid="{AB8B70D8-9488-42EC-A35C-D0C2DE3DAD5D}" name="NUEVOS CLIENTES TOTAL" dataDxfId="165">
      <calculatedColumnFormula>IFERROR(
   COUNTIFS(
      'RESUMEN CLIENTES'!$G:$G, "&gt;="&amp;DATE(YEAR($A2),MONTH($A2),1),
      'RESUMEN CLIENTES'!$G:$G, "&lt;"&amp;EDATE(DATE(YEAR($A2),MONTH($A2),1),1)),
0)</calculatedColumnFormula>
    </tableColumn>
    <tableColumn id="9" xr3:uid="{D160239C-2536-4A9F-9145-D96A77FB1093}" name="NUEVOS CLIENTES VIGENTES" dataDxfId="164">
      <calculatedColumnFormula>IFERROR(
   COUNTIFS(
      'RESUMEN CLIENTES'!$G:$G, "&gt;="&amp;DATE(YEAR($A2),MONTH($A2),1),
      'RESUMEN CLIENTES'!$G:$G, "&lt;"&amp;EDATE(DATE(YEAR($A2),MONTH($A2),1),1),
      'RESUMEN CLIENTES'!$M:$M, "&lt;&gt;ELIMINADO",
      'RESUMEN CLIENTES'!$M:$M, "&lt;&gt;SUSPENDIDO",'RESUMEN CLIENTES'!$M:$M, "&lt;&gt;EN PAUSA"
   ),
0)</calculatedColumnFormula>
    </tableColumn>
    <tableColumn id="4" xr3:uid="{A78BAEAD-CEDE-4DC8-B8EF-A5AC70D66429}" name="CANTIDAD CLIENTES ACTIVOS X MES" dataDxfId="163">
      <calculatedColumnFormula>SUM(INDEX(Tabla711[NUEVOS CLIENTES TOTAL],1):Tabla711[[#This Row],[NUEVOS CLIENTES TOTAL]])-SUM(INDEX(Tabla711[ELIMINADOS X MES],1):Tabla711[[#This Row],[ELIMINADOS X MES]])-SUM(INDEX(Tabla711[PAUSA/SUSP X MES],1):Tabla711[[#This Row],[PAUSA/SUSP X MES]])</calculatedColumnFormula>
    </tableColumn>
    <tableColumn id="13" xr3:uid="{1BD8B8F0-15A3-4ECA-8791-32CB458B98A2}" name="TASA ABANDONO COHORTE" dataDxfId="162">
      <calculatedColumnFormula>+IFERROR(((Tabla711[[#This Row],[NUEVOS CLIENTES TOTAL]]-Tabla711[[#This Row],[NUEVOS CLIENTES VIGENTES]])/Tabla711[[#This Row],[NUEVOS CLIENTES TOTAL]]),0)</calculatedColumnFormula>
    </tableColumn>
    <tableColumn id="11" xr3:uid="{A4A865A6-79A5-41E5-BA8C-E4299A2EC54B}" name="ELIMINADOS X MES" dataDxfId="161">
      <calculatedColumnFormula>IFERROR(
   COUNTIFS('RESUMEN CLIENTES'!M:M,"ELIMINADO",'RESUMEN CLIENTES'!$J:$J, "&gt;="&amp;DATE(YEAR($A2),MONTH($A2),1),
      'RESUMEN CLIENTES'!$J:$J, "&lt;"&amp;EDATE(DATE(YEAR($A2),MONTH($A2),1),1)),
0)</calculatedColumnFormula>
    </tableColumn>
    <tableColumn id="8" xr3:uid="{8A6A7855-1176-49D6-9579-AAE5A2BE7901}" name="PAUSA/SUSP X MES" dataDxfId="160">
      <calculatedColumnFormula>COUNTIFS('RESUMEN CLIENTES'!M:M,"SUSPENDIDO",'RESUMEN CLIENTES'!$J:$J, "&gt;="&amp;DATE(YEAR(Tabla711[[#This Row],[MES]]),MONTH(Tabla711[[#This Row],[MES]]),1),
      'RESUMEN CLIENTES'!$J:$J, "&lt;"&amp;EDATE(DATE(YEAR(Tabla711[[#This Row],[MES]]),MONTH(Tabla711[[#This Row],[MES]]),1),1))+COUNTIFS('RESUMEN CLIENTES'!M:M,"EN PAUSA",'RESUMEN CLIENTES'!$J:$J, "&gt;="&amp;DATE(YEAR(Tabla711[[#This Row],[MES]]),MONTH(Tabla711[[#This Row],[MES]]),1),
      'RESUMEN CLIENTES'!$J:$J, "&lt;"&amp;EDATE(DATE(YEAR(Tabla711[[#This Row],[MES]]),MONTH(Tabla711[[#This Row],[MES]]),1),1))</calculatedColumnFormula>
    </tableColumn>
    <tableColumn id="10" xr3:uid="{16978BDD-E6E1-4B94-B2A5-C1BDEEAA83F5}" name="TASA ABANDONO MES" dataDxfId="159">
      <calculatedColumnFormula array="1">+IFERROR(SUM(Tabla711[[#This Row],[ELIMINADOS X MES]:[PAUSA/SUSP X MES]]/Tabla711[[#This Row],[CANTIDAD CLIENTES ACTIVOS X MES]]),0)</calculatedColumnFormula>
    </tableColumn>
    <tableColumn id="7" xr3:uid="{F217F7C0-7AAA-45AA-AFBC-1EB34A80C4D4}" name="INGRESO NUEVOS CLIENTES" dataDxfId="158">
      <calculatedColumnFormula>IFERROR(
   SUMIFS(
      'RESUMEN CLIENTES'!$H:$H,
      'RESUMEN CLIENTES'!$G:$G, "&gt;="&amp;DATE(YEAR($A2),MONTH($A2),1),
      'RESUMEN CLIENTES'!$G:$G, "&lt;"&amp;EDATE(DATE(YEAR($A2),MONTH($A2),1),1),
      'RESUMEN CLIENTES'!$M:$M, "&lt;&gt;NO CONTINUA",
      'RESUMEN CLIENTES'!$M:$M, "&lt;&gt;SUSPENDIDO",
      'RESUMEN CLIENTES'!$O:$O, "&lt;&gt;ELIMINADO"
   ),
0)</calculatedColumnFormula>
    </tableColumn>
    <tableColumn id="6" xr3:uid="{1F9EF9F3-2158-450D-AEE3-3CB6F83C7994}" name="INGRESO CLIENTES ANTIGUOS" dataDxfId="157">
      <calculatedColumnFormula>+Tabla7[[#This Row],[INGRESO MES RECIBIDO NETO]]-Tabla711[[#This Row],[INGRESO NUEVOS CLIENTES]]</calculatedColumnFormula>
    </tableColumn>
    <tableColumn id="2" xr3:uid="{84B98B29-A8D0-46D3-B413-CDBDF0F4144D}" name="% NUEVOS CLIENTES/TOTAL MES" dataDxfId="156">
      <calculatedColumnFormula>+IFERROR(Tabla711[[#This Row],[INGRESO NUEVOS CLIENTES]]/Tabla7[[#This Row],[INGRESO MES RECIBIDO]],0)</calculatedColumnFormula>
    </tableColumn>
    <tableColumn id="5" xr3:uid="{998B8E70-3504-4CAC-B9DC-9BCBD8363D8D}" name="TICKET PROMEDIO PRIMER MES" dataDxfId="155">
      <calculatedColumnFormula>+IFERROR(Tabla711[[#This Row],[INGRESO NUEVOS CLIENTES]]/Tabla711[[#This Row],[NUEVOS CLIENTES VIGENTES]],0)</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EF84038-2AF6-164F-A870-2E2CDDBF58E5}" name="Table1119" displayName="Table1119" ref="G60:K63" totalsRowShown="0" headerRowDxfId="154" headerRowBorderDxfId="153" tableBorderDxfId="152">
  <autoFilter ref="G60:K63" xr:uid="{BEF84038-2AF6-164F-A870-2E2CDDBF58E5}"/>
  <tableColumns count="5">
    <tableColumn id="1" xr3:uid="{001B6E04-E409-9148-8CA1-4745051C54DF}" name="Mes/Año"/>
    <tableColumn id="2" xr3:uid="{75121CEF-1AF9-0241-B3E0-5CB4094ED7C7}" name="Moneda" dataDxfId="151"/>
    <tableColumn id="5" xr3:uid="{F8A47077-5CF8-D74C-8AEA-0418AC9D5624}" name="Precio de 1 Eur para Abr. 2026" dataDxfId="150"/>
    <tableColumn id="3" xr3:uid="{6DC79881-5186-3540-B12A-B2714CA8C0C1}" name="Tipo de cambio a EUR" dataDxfId="149">
      <calculatedColumnFormula>1/Table1119[[#This Row],[Precio de 1 Eur para Abr. 2026]]</calculatedColumnFormula>
    </tableColumn>
    <tableColumn id="4" xr3:uid="{F60065AE-6100-094A-BD14-F7D06409C59B}" name="Fuente / Nota"/>
  </tableColumns>
  <tableStyleInfo name="TableStyleMedium15"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C96F9FF-7687-EC45-A9D4-B8D65D994D37}" name="Table1120" displayName="Table1120" ref="G67:K70" totalsRowShown="0" headerRowDxfId="148" headerRowBorderDxfId="147" tableBorderDxfId="146">
  <autoFilter ref="G67:K70" xr:uid="{DC96F9FF-7687-EC45-A9D4-B8D65D994D37}"/>
  <tableColumns count="5">
    <tableColumn id="1" xr3:uid="{CB0B03DC-5A8B-EE42-AC28-35F3C5FE1037}" name="Mes/Año"/>
    <tableColumn id="2" xr3:uid="{AB868DDC-6563-9245-8A13-E1B54F8F3BC2}" name="Moneda" dataDxfId="145"/>
    <tableColumn id="5" xr3:uid="{58B8A995-2FEC-1B4D-A3F2-6F2715F63321}" name="Precio de 1 Eur para May. 2026" dataDxfId="144"/>
    <tableColumn id="3" xr3:uid="{A53E2AAF-7555-DF4E-9A14-B8600B11EEA2}" name="Tipo de cambio a EUR" dataDxfId="143">
      <calculatedColumnFormula>1/Table1120[[#This Row],[Precio de 1 Eur para May. 2026]]</calculatedColumnFormula>
    </tableColumn>
    <tableColumn id="4" xr3:uid="{C143259F-2E23-324A-BF7F-16AA53D8E198}" name="Fuente / Nota"/>
  </tableColumns>
  <tableStyleInfo name="TableStyleMedium15"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5DA1AF-B4F8-504A-A181-89D83B69B45F}" name="Table11112" displayName="Table11112" ref="A4:E7" totalsRowShown="0" headerRowDxfId="142" headerRowBorderDxfId="141" tableBorderDxfId="140">
  <autoFilter ref="A4:E7" xr:uid="{A95DA1AF-B4F8-504A-A181-89D83B69B45F}"/>
  <tableColumns count="5">
    <tableColumn id="1" xr3:uid="{19E63E10-BED6-C745-B57F-0C4B7F438E03}" name="c"/>
    <tableColumn id="2" xr3:uid="{BEF00A11-2C0B-794D-98F4-1A8B671F1CA5}" name="Moneda"/>
    <tableColumn id="5" xr3:uid="{AF8E74A4-BAF2-E74C-A209-A6EB6BB53D23}" name="Precio de 1 Eur para Ago. 2025" dataDxfId="139"/>
    <tableColumn id="3" xr3:uid="{10EE129C-3A35-0A44-8C81-9E04AB8EFAC0}" name="Tipo de cambio a EUR" dataDxfId="138">
      <calculatedColumnFormula>1/Table11112[[#This Row],[Precio de 1 Eur para Ago. 2025]]</calculatedColumnFormula>
    </tableColumn>
    <tableColumn id="4" xr3:uid="{498D841A-5E03-AC48-AD2A-B569163E5AC4}" name="Fuente / Nota"/>
  </tableColumns>
  <tableStyleInfo name="TableStyleMedium15"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54EE69-BBF8-184B-B06E-C00B3B2CA252}" name="Table111124" displayName="Table111124" ref="A11:E14" totalsRowShown="0" headerRowDxfId="137" headerRowBorderDxfId="136" tableBorderDxfId="135">
  <autoFilter ref="A11:E14" xr:uid="{7854EE69-BBF8-184B-B06E-C00B3B2CA252}"/>
  <tableColumns count="5">
    <tableColumn id="1" xr3:uid="{6FC906EC-241C-C742-87EE-D5964E1E0862}" name="Mes/Año"/>
    <tableColumn id="2" xr3:uid="{052E6A3C-C679-7149-833E-403020981483}" name="Moneda"/>
    <tableColumn id="5" xr3:uid="{B9E39E6C-2FDD-5E4B-86C7-0CA42924020A}" name="Precio de 1 Eur para Ago. 2025" dataDxfId="134"/>
    <tableColumn id="3" xr3:uid="{F1494183-DEAD-C140-A8E9-013526DBA39D}" name="Tipo de cambio a EUR" dataDxfId="133">
      <calculatedColumnFormula>1/Table111124[[#This Row],[Precio de 1 Eur para Ago. 2025]]</calculatedColumnFormula>
    </tableColumn>
    <tableColumn id="4" xr3:uid="{4B1602F3-8A3C-C042-8785-3E917833A257}" name="Fuente / Nota"/>
  </tableColumns>
  <tableStyleInfo name="TableStyleMedium15"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1DB1ED4-BC15-8543-81E5-FB83D64BFE24}" name="Table1111221" displayName="Table1111221" ref="A18:E21" totalsRowShown="0" headerRowDxfId="132" headerRowBorderDxfId="131" tableBorderDxfId="130">
  <autoFilter ref="A18:E21" xr:uid="{61DB1ED4-BC15-8543-81E5-FB83D64BFE24}"/>
  <tableColumns count="5">
    <tableColumn id="1" xr3:uid="{D2F44446-D430-8A45-9E54-B5C051F2D6FF}" name="Mes/Año"/>
    <tableColumn id="2" xr3:uid="{137A5E21-6D62-FD4C-83F7-D18BD5D6B6EF}" name="Moneda"/>
    <tableColumn id="5" xr3:uid="{AB8F8839-51B5-4847-9017-3D2CED69424B}" name="Precio de 1 Eur para Ago. 2025" dataDxfId="129"/>
    <tableColumn id="3" xr3:uid="{86450C4D-6BEF-5048-81B6-16F9ED335C5E}" name="Tipo de cambio a EUR" dataDxfId="128">
      <calculatedColumnFormula>1/Table1111221[[#This Row],[Precio de 1 Eur para Ago. 2025]]</calculatedColumnFormula>
    </tableColumn>
    <tableColumn id="4" xr3:uid="{5226DD8D-9443-614E-B7C3-59AE44760E14}" name="Fuente / Nota"/>
  </tableColumns>
  <tableStyleInfo name="TableStyleMedium15"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BA71DA1-864D-C94C-AD27-68033CE00EFE}" name="Table1111222" displayName="Table1111222" ref="A25:E28" totalsRowShown="0" headerRowDxfId="127" headerRowBorderDxfId="126" tableBorderDxfId="125">
  <autoFilter ref="A25:E28" xr:uid="{4BA71DA1-864D-C94C-AD27-68033CE00EFE}"/>
  <tableColumns count="5">
    <tableColumn id="1" xr3:uid="{9FD8AAE3-F9F4-A645-8A71-D931309F110E}" name="Mes/Año"/>
    <tableColumn id="2" xr3:uid="{9EF4F55C-B733-3F45-8B0C-175CD898F894}" name="Moneda"/>
    <tableColumn id="5" xr3:uid="{41C927D5-A52A-654B-9416-B29519AFA2F7}" name="Precio de 1 Eur para Ago. 2025" dataDxfId="124"/>
    <tableColumn id="3" xr3:uid="{A40F708F-8137-1547-9B65-EB6D8D566BCF}" name="Tipo de cambio a EUR" dataDxfId="123">
      <calculatedColumnFormula>1/Table1111222[[#This Row],[Precio de 1 Eur para Ago. 2025]]</calculatedColumnFormula>
    </tableColumn>
    <tableColumn id="4" xr3:uid="{DC0791D5-7518-4B48-9FB2-5B9DD92E7726}" name="Fuente / Nota"/>
  </tableColumns>
  <tableStyleInfo name="TableStyleMedium15"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FCAB6F5-B73A-3C42-A71C-1CF9DE1FB2EB}" name="Table1111223" displayName="Table1111223" ref="A32:E35" totalsRowShown="0" headerRowDxfId="122" headerRowBorderDxfId="121" tableBorderDxfId="120">
  <autoFilter ref="A32:E35" xr:uid="{6FCAB6F5-B73A-3C42-A71C-1CF9DE1FB2EB}"/>
  <tableColumns count="5">
    <tableColumn id="1" xr3:uid="{B263E2D5-BD69-8B44-A586-4B20DD78DB4D}" name="Mes/Año"/>
    <tableColumn id="2" xr3:uid="{C3DD0C64-D9E6-864F-93DA-4784035C3E23}" name="Moneda"/>
    <tableColumn id="5" xr3:uid="{E18E7623-CE0F-BD46-BDC8-D70A94B7421E}" name="Precio de 1 Eur para Ago. 2025" dataDxfId="119"/>
    <tableColumn id="3" xr3:uid="{C986AC42-8FEF-834C-A6CF-ACC2365625E0}" name="Tipo de cambio a EUR" dataDxfId="118">
      <calculatedColumnFormula>1/Table1111223[[#This Row],[Precio de 1 Eur para Ago. 2025]]</calculatedColumnFormula>
    </tableColumn>
    <tableColumn id="4" xr3:uid="{C3B0326F-519D-6646-A514-59782318E002}" name="Fuente / Nota"/>
  </tableColumns>
  <tableStyleInfo name="TableStyleMedium15"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5ED26BA-29C9-904E-B460-7DDB95DCD95C}" name="Table1111224" displayName="Table1111224" ref="A39:E42" totalsRowShown="0" headerRowDxfId="117" headerRowBorderDxfId="116" tableBorderDxfId="115">
  <autoFilter ref="A39:E42" xr:uid="{A5ED26BA-29C9-904E-B460-7DDB95DCD95C}"/>
  <tableColumns count="5">
    <tableColumn id="1" xr3:uid="{A59C31AC-E8D5-C144-88D7-E816AFB026AF}" name="Mes/Año"/>
    <tableColumn id="2" xr3:uid="{256BED9C-9E7A-FE45-834E-0BDCBA9D6833}" name="Moneda"/>
    <tableColumn id="5" xr3:uid="{9B516522-4F99-F245-8A2E-1C5F7E9DBA15}" name="Precio de 1 Eur para Ago. 2025" dataDxfId="114"/>
    <tableColumn id="3" xr3:uid="{C98690C7-260B-2F4B-BCD8-4D03FA17310D}" name="Tipo de cambio a EUR" dataDxfId="113">
      <calculatedColumnFormula>1/Table1111224[[#This Row],[Precio de 1 Eur para Ago. 2025]]</calculatedColumnFormula>
    </tableColumn>
    <tableColumn id="4" xr3:uid="{8A5E485F-9E28-0C40-8F4A-61F269FFF0C7}" name="Fuente / Nota"/>
  </tableColumns>
  <tableStyleInfo name="TableStyleMedium15"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B59B06F-B7BB-0C43-BD7D-6E4CCB97454B}" name="Table1111225" displayName="Table1111225" ref="A46:E49" totalsRowShown="0" headerRowDxfId="112" headerRowBorderDxfId="111" tableBorderDxfId="110">
  <autoFilter ref="A46:E49" xr:uid="{BB59B06F-B7BB-0C43-BD7D-6E4CCB97454B}"/>
  <tableColumns count="5">
    <tableColumn id="1" xr3:uid="{B3EC702E-36FD-584B-9336-7B100D2358C4}" name="Mes/Año"/>
    <tableColumn id="2" xr3:uid="{F3E1C3F0-5F51-7244-9BB3-780134549467}" name="Moneda"/>
    <tableColumn id="5" xr3:uid="{20612674-FC7C-F543-B173-584C5EF12650}" name="Precio de 1 Eur para Ago. 2025" dataDxfId="109"/>
    <tableColumn id="3" xr3:uid="{6E01B096-49DF-C241-9C9D-7077DADD30CA}" name="Tipo de cambio a EUR" dataDxfId="108">
      <calculatedColumnFormula>1/Table1111225[[#This Row],[Precio de 1 Eur para Ago. 2025]]</calculatedColumnFormula>
    </tableColumn>
    <tableColumn id="4" xr3:uid="{40B73930-5791-DA49-8813-CED4CA4D7C1B}" name="Fuente / Nota"/>
  </tableColumns>
  <tableStyleInfo name="TableStyleMedium15"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4E85B59-8EA0-BD40-8B2C-FF84E5636992}" name="Table1111226" displayName="Table1111226" ref="A53:E56" totalsRowShown="0" headerRowDxfId="107" headerRowBorderDxfId="106" tableBorderDxfId="105">
  <autoFilter ref="A53:E56" xr:uid="{24E85B59-8EA0-BD40-8B2C-FF84E5636992}"/>
  <tableColumns count="5">
    <tableColumn id="1" xr3:uid="{128B9287-FE66-EE42-A808-835BDD4B0006}" name="Mes/Año"/>
    <tableColumn id="2" xr3:uid="{272F232E-B034-2F45-B173-EA133DE0957D}" name="Moneda"/>
    <tableColumn id="5" xr3:uid="{F377179F-99F3-3646-A03A-E87232BCBAAD}" name="Precio de 1 Eur para Ago. 2025" dataDxfId="104"/>
    <tableColumn id="3" xr3:uid="{D878832E-31AE-484D-A3E7-0378DB9FC4A0}" name="Tipo de cambio a EUR" dataDxfId="103">
      <calculatedColumnFormula>1/Table1111226[[#This Row],[Precio de 1 Eur para Ago. 2025]]</calculatedColumnFormula>
    </tableColumn>
    <tableColumn id="4" xr3:uid="{8D8F4C25-30A4-9E43-A0F4-C2314F12C17B}" name="Fuente / Nota"/>
  </tableColumns>
  <tableStyleInfo name="TableStyleMedium15"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57590C2-7D5B-C143-B55C-A0B9150CD15B}" name="Table111228" displayName="Table111228" ref="A60:E63" totalsRowShown="0" headerRowDxfId="102" headerRowBorderDxfId="101" tableBorderDxfId="100">
  <autoFilter ref="A60:E63" xr:uid="{E57590C2-7D5B-C143-B55C-A0B9150CD15B}"/>
  <tableColumns count="5">
    <tableColumn id="1" xr3:uid="{21B6BC4C-AAAE-1944-B15A-690B913EC67D}" name="Mes/Año"/>
    <tableColumn id="2" xr3:uid="{E1AA8D6F-314B-CD4B-BA5F-3156C4E893CA}" name="Moneda" dataDxfId="99"/>
    <tableColumn id="5" xr3:uid="{0151A4F4-954D-EC40-9F9F-7D7B89BE44D3}" name="Precio de 1 Eur para Sep. 2025" dataDxfId="98"/>
    <tableColumn id="3" xr3:uid="{496895F8-F089-E442-927D-4C95F6039D89}" name="Tipo de cambio a EUR" dataDxfId="97">
      <calculatedColumnFormula>1/Table111228[[#This Row],[Precio de 1 Eur para Sep. 2025]]</calculatedColumnFormula>
    </tableColumn>
    <tableColumn id="4" xr3:uid="{FC16CC7B-5A46-424A-B81C-82BFB3B97662}" name="Fuente / Nota"/>
  </tableColumns>
  <tableStyleInfo name="TableStyleMedium15"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D804BD0C-5537-2B4C-98E5-FBD1FD5BFF60}" name="Table111329" displayName="Table111329" ref="G4:K7" totalsRowShown="0" headerRowDxfId="96" headerRowBorderDxfId="95" tableBorderDxfId="94">
  <autoFilter ref="G4:K7" xr:uid="{D804BD0C-5537-2B4C-98E5-FBD1FD5BFF60}"/>
  <tableColumns count="5">
    <tableColumn id="1" xr3:uid="{43296FB8-9F7C-F64D-AC18-695613B9E297}" name="Mes/Año"/>
    <tableColumn id="2" xr3:uid="{51744F8C-DC76-D449-A736-67C7404CFC07}" name="Moneda" dataDxfId="93"/>
    <tableColumn id="5" xr3:uid="{3CC7F5AF-CFE0-A640-8E32-733F1522A64C}" name="Precio de 1 Eur para Oct. 2025" dataDxfId="92"/>
    <tableColumn id="3" xr3:uid="{D60263D6-80EF-FF40-832B-3903F59D8E8A}" name="Tipo de cambio a EUR" dataDxfId="91">
      <calculatedColumnFormula>1/Table111329[[#This Row],[Precio de 1 Eur para Oct. 2025]]</calculatedColumnFormula>
    </tableColumn>
    <tableColumn id="4" xr3:uid="{E6842FB5-06D9-5846-B16B-B45AB81AABC8}" name="Fuente / Nota"/>
  </tableColumns>
  <tableStyleInfo name="TableStyleMedium15"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51356B87-25A9-E94C-A115-29E95604A06E}" name="Table111430" displayName="Table111430" ref="G11:K14" totalsRowShown="0" headerRowDxfId="90" headerRowBorderDxfId="89" tableBorderDxfId="88">
  <autoFilter ref="G11:K14" xr:uid="{51356B87-25A9-E94C-A115-29E95604A06E}"/>
  <tableColumns count="5">
    <tableColumn id="1" xr3:uid="{0670E552-34D7-214F-B399-B32BCDD63552}" name="Mes/Año"/>
    <tableColumn id="2" xr3:uid="{30163829-508D-0449-A8AB-A468920C3B2F}" name="Moneda" dataDxfId="87"/>
    <tableColumn id="5" xr3:uid="{F17DE5EE-9B71-0745-959E-F90253819580}" name="Precio de 1 Eur para Nov. 2025" dataDxfId="86"/>
    <tableColumn id="3" xr3:uid="{3EFF03B3-E840-FC46-A205-670CCF67D6FF}" name="Tipo de cambio a EUR" dataDxfId="85">
      <calculatedColumnFormula>1/Table111430[[#This Row],[Precio de 1 Eur para Nov. 2025]]</calculatedColumnFormula>
    </tableColumn>
    <tableColumn id="4" xr3:uid="{8DC9B52C-2DDE-9141-A470-699AB7A0642B}" name="Fuente / Nota"/>
  </tableColumns>
  <tableStyleInfo name="TableStyleMedium15"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B52921B-A8EA-5D4D-8A15-8B58C17C7B0F}" name="Table111531" displayName="Table111531" ref="G18:K21" totalsRowShown="0" headerRowDxfId="84" headerRowBorderDxfId="83" tableBorderDxfId="82">
  <autoFilter ref="G18:K21" xr:uid="{CB52921B-A8EA-5D4D-8A15-8B58C17C7B0F}"/>
  <tableColumns count="5">
    <tableColumn id="1" xr3:uid="{E21E7775-EC5F-8740-BE81-524C112137D7}" name="Mes/Año"/>
    <tableColumn id="2" xr3:uid="{422995B7-166D-0247-A73F-0FDF680A5C43}" name="Moneda" dataDxfId="81"/>
    <tableColumn id="5" xr3:uid="{59F841B5-170C-8845-BB78-99C1E8E63E79}" name="Precio de 1 Eur para Dic. 2025" dataDxfId="80"/>
    <tableColumn id="3" xr3:uid="{133C614E-8A9A-924C-BB80-A48C8AB19CD2}" name="Tipo de cambio a EUR" dataDxfId="79">
      <calculatedColumnFormula>1/Table111531[[#This Row],[Precio de 1 Eur para Dic. 2025]]</calculatedColumnFormula>
    </tableColumn>
    <tableColumn id="4" xr3:uid="{F48CE329-26D5-2448-ACFC-541CB15CCCD0}" name="Fuente / Nota"/>
  </tableColumns>
  <tableStyleInfo name="TableStyleMedium15"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4DA92D9B-0637-DF42-B169-562F5E81D031}" name="Table111632" displayName="Table111632" ref="G25:K28" totalsRowShown="0" headerRowDxfId="78" headerRowBorderDxfId="77" tableBorderDxfId="76">
  <autoFilter ref="G25:K28" xr:uid="{4DA92D9B-0637-DF42-B169-562F5E81D031}"/>
  <tableColumns count="5">
    <tableColumn id="1" xr3:uid="{F12D4C23-0A8D-B94C-90E2-027132783FED}" name="Mes/Año"/>
    <tableColumn id="2" xr3:uid="{EB8D5641-DF52-E045-9FCE-30AF08F637AF}" name="Moneda" dataDxfId="75"/>
    <tableColumn id="5" xr3:uid="{934A57F7-9A90-2A46-B9F5-FC6311AAAA4D}" name="Precio de 1 Eur para Ene. 2026" dataDxfId="74"/>
    <tableColumn id="3" xr3:uid="{AC7985D0-AC3E-A44C-A2BA-45F6CDA2EDC1}" name="Tipo de cambio a EUR" dataDxfId="73">
      <calculatedColumnFormula>1/Table111632[[#This Row],[Precio de 1 Eur para Ene. 2026]]</calculatedColumnFormula>
    </tableColumn>
    <tableColumn id="4" xr3:uid="{6C585268-1C2E-6E40-8B13-1F12098D53BA}" name="Fuente / Nota"/>
  </tableColumns>
  <tableStyleInfo name="TableStyleMedium15"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486C458-D3F2-5E4A-895E-21C68B0A5F64}" name="Table111733" displayName="Table111733" ref="G32:K35" totalsRowShown="0" headerRowDxfId="72" headerRowBorderDxfId="71" tableBorderDxfId="70">
  <autoFilter ref="G32:K35" xr:uid="{7486C458-D3F2-5E4A-895E-21C68B0A5F64}"/>
  <tableColumns count="5">
    <tableColumn id="1" xr3:uid="{8A1DA7FD-4118-3E46-B647-C8FE2A1E8FE7}" name="Mes/Año"/>
    <tableColumn id="2" xr3:uid="{D18CC6BD-D78F-8F46-9017-6EE0CF875E6A}" name="Moneda" dataDxfId="69"/>
    <tableColumn id="5" xr3:uid="{F2DF6B90-4876-0144-9F3C-18C2F1D07776}" name="Precio de 1 Eur para Feb. 2026" dataDxfId="68"/>
    <tableColumn id="3" xr3:uid="{DE21FF3D-10D4-CC4D-8EF4-2B7B993BC988}" name="Tipo de cambio a EUR" dataDxfId="67">
      <calculatedColumnFormula>1/Table111733[[#This Row],[Precio de 1 Eur para Feb. 2026]]</calculatedColumnFormula>
    </tableColumn>
    <tableColumn id="4" xr3:uid="{36EFBA69-230C-3B48-ADE4-C5251B98C52E}" name="Fuente / Nota"/>
  </tableColumns>
  <tableStyleInfo name="TableStyleMedium15"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0603E5B-D4B8-B14C-A65A-FFD290610219}" name="Table111834" displayName="Table111834" ref="G39:K42" totalsRowShown="0" headerRowDxfId="66" headerRowBorderDxfId="65" tableBorderDxfId="64">
  <autoFilter ref="G39:K42" xr:uid="{A0603E5B-D4B8-B14C-A65A-FFD290610219}"/>
  <tableColumns count="5">
    <tableColumn id="1" xr3:uid="{B9FE4709-8B36-F44F-8E42-92180051B06E}" name="Mes/Año"/>
    <tableColumn id="2" xr3:uid="{9BE62270-85E9-9D4C-AF4F-628139EC25DF}" name="Moneda" dataDxfId="63"/>
    <tableColumn id="5" xr3:uid="{3CA8462B-A6E7-9D48-900D-F063F12BA69C}" name="Precio de 1 Eur para Mar. 2026" dataDxfId="62"/>
    <tableColumn id="3" xr3:uid="{9C801F95-28A4-0643-9C5E-2E03774A9D77}" name="Tipo de cambio a EUR" dataDxfId="61">
      <calculatedColumnFormula>1/Table111834[[#This Row],[Precio de 1 Eur para Mar. 2026]]</calculatedColumnFormula>
    </tableColumn>
    <tableColumn id="4" xr3:uid="{2C4A480F-047D-004F-896F-05456A722171}" name="Fuente / Nota"/>
  </tableColumns>
  <tableStyleInfo name="TableStyleMedium15"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8DD37E2-6FE5-944B-A70F-793988F5C9E8}" name="Table111935" displayName="Table111935" ref="G46:K49" totalsRowShown="0" headerRowDxfId="60" headerRowBorderDxfId="59" tableBorderDxfId="58">
  <autoFilter ref="G46:K49" xr:uid="{18DD37E2-6FE5-944B-A70F-793988F5C9E8}"/>
  <tableColumns count="5">
    <tableColumn id="1" xr3:uid="{1E99DE76-6857-B84C-9B49-B2B73804A938}" name="Mes/Año"/>
    <tableColumn id="2" xr3:uid="{262B12DF-BB53-CE45-99F1-0493BDD4233F}" name="Moneda" dataDxfId="57"/>
    <tableColumn id="5" xr3:uid="{B3EC6866-7422-3347-BEC5-D6179EDD3A2D}" name="Precio de 1 Eur para Abr. 2026" dataDxfId="56"/>
    <tableColumn id="3" xr3:uid="{5C462BFF-BA3D-2C4D-94B9-797C4894D419}" name="Tipo de cambio a EUR" dataDxfId="55">
      <calculatedColumnFormula>1/Table111935[[#This Row],[Precio de 1 Eur para Abr. 2026]]</calculatedColumnFormula>
    </tableColumn>
    <tableColumn id="4" xr3:uid="{E6867206-27B6-4341-B8DB-EBD86A614271}" name="Fuente / Nota"/>
  </tableColumns>
  <tableStyleInfo name="TableStyleMedium15"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CDE4BA3-D8F2-6741-B14B-3BC8FDA2A3A6}" name="Table112036" displayName="Table112036" ref="G53:K56" totalsRowShown="0" headerRowDxfId="54" headerRowBorderDxfId="53" tableBorderDxfId="52">
  <autoFilter ref="G53:K56" xr:uid="{ACDE4BA3-D8F2-6741-B14B-3BC8FDA2A3A6}"/>
  <tableColumns count="5">
    <tableColumn id="1" xr3:uid="{B9B1D020-9CE5-2845-9E6D-5D2649645D8F}" name="Mes/Año"/>
    <tableColumn id="2" xr3:uid="{46C6E6D5-BF34-0447-A85D-E6C9D435A685}" name="Moneda" dataDxfId="51"/>
    <tableColumn id="5" xr3:uid="{EF2D242D-B35F-A644-9692-252455761E38}" name="Precio de 1 Eur para May. 2026" dataDxfId="50"/>
    <tableColumn id="3" xr3:uid="{7EB46F5E-5CB6-BB40-85C9-12BB96CF4A10}" name="Tipo de cambio a EUR" dataDxfId="49">
      <calculatedColumnFormula>1/Table112036[[#This Row],[Precio de 1 Eur para May. 2026]]</calculatedColumnFormula>
    </tableColumn>
    <tableColumn id="4" xr3:uid="{ECBBB03A-95BD-7E42-916A-53D0F37F73A9}" name="Fuente / Nota"/>
  </tableColumns>
  <tableStyleInfo name="TableStyleMedium15"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2EDF9CE-208F-49AD-83BB-C24F33FF4577}" name="transaction_statement_01_Jan_2026_28_Feb_2026" displayName="transaction_statement_01_Jan_2026_28_Feb_2026" ref="A1:AC627" tableType="queryTable" totalsRowShown="0">
  <autoFilter ref="A1:AC627" xr:uid="{A2EDF9CE-208F-49AD-83BB-C24F33FF4577}">
    <filterColumn colId="7">
      <filters>
        <filter val="Drina Alejandra Bascon Scheffler"/>
        <filter val="Edward Ignacio Marinao Chacon"/>
        <filter val="Manuel Felisatti"/>
        <filter val="Sebastian Ignacio Arellano Villaseca"/>
      </filters>
    </filterColumn>
  </autoFilter>
  <tableColumns count="29">
    <tableColumn id="1" xr3:uid="{49FEF863-1D44-452C-8B99-24F9AC82388E}" uniqueName="1" name="Date started (UTC)" queryTableFieldId="1" dataDxfId="48"/>
    <tableColumn id="2" xr3:uid="{F32B155A-DD68-4A67-A842-A2F5E724BCDE}" uniqueName="2" name="Date completed (UTC)" queryTableFieldId="2" dataDxfId="47"/>
    <tableColumn id="3" xr3:uid="{BD0060D2-72CA-44F4-B290-DE9E359EEF72}" uniqueName="3" name="ID" queryTableFieldId="3" dataDxfId="46"/>
    <tableColumn id="4" xr3:uid="{D98FB5FF-9E92-4DC2-98D4-0030562DDC56}" uniqueName="4" name="Type" queryTableFieldId="4" dataDxfId="45"/>
    <tableColumn id="5" xr3:uid="{1E4324CC-3F3C-4B23-B6C4-91AF5BC7DE09}" uniqueName="5" name="State" queryTableFieldId="5" dataDxfId="44"/>
    <tableColumn id="6" xr3:uid="{5376820E-EA5D-4ACD-B874-909EACBD088D}" uniqueName="6" name="Description" queryTableFieldId="6" dataDxfId="43"/>
    <tableColumn id="7" xr3:uid="{8098B419-7913-4F40-A45F-ABD91B79EADC}" uniqueName="7" name="Reference" queryTableFieldId="7" dataDxfId="42"/>
    <tableColumn id="8" xr3:uid="{62B90237-01C2-44E8-8C6D-FAAA7134DD1A}" uniqueName="8" name="Payer" queryTableFieldId="8" dataDxfId="41"/>
    <tableColumn id="9" xr3:uid="{9DB11535-4685-4E59-B310-9FA62BDC9560}" uniqueName="9" name="Card number" queryTableFieldId="9" dataDxfId="40"/>
    <tableColumn id="10" xr3:uid="{467B7CA6-D308-4E6F-BD10-B96133C19927}" uniqueName="10" name="Card label" queryTableFieldId="10" dataDxfId="39"/>
    <tableColumn id="11" xr3:uid="{48B0A59F-2EE5-4F91-A6B0-C5FF7498AF29}" uniqueName="11" name="Card state" queryTableFieldId="11" dataDxfId="38"/>
    <tableColumn id="12" xr3:uid="{FA347110-E3F1-44A9-8C5B-B7CE9D8CFC07}" uniqueName="12" name="Orig currency" queryTableFieldId="12" dataDxfId="37"/>
    <tableColumn id="13" xr3:uid="{108C7DAB-3C17-41C8-8E01-85448BF73E2C}" uniqueName="13" name="Orig amount" queryTableFieldId="13"/>
    <tableColumn id="29" xr3:uid="{8466E469-9D81-4448-8D1E-D435D8C03672}" uniqueName="29" name="Amount" queryTableFieldId="29" dataDxfId="36">
      <calculatedColumnFormula>+transaction_statement_01_Jan_2026_28_Feb_2026[[#This Row],[Orig amount]]/100</calculatedColumnFormula>
    </tableColumn>
    <tableColumn id="14" xr3:uid="{96DE0637-631A-4416-9722-7E951FCA7984}" uniqueName="14" name="Payment currency" queryTableFieldId="14" dataDxfId="35"/>
    <tableColumn id="15" xr3:uid="{3A948E3C-75D0-4AB0-B5EA-06DA5D482849}" uniqueName="15" name="Amount2" queryTableFieldId="15"/>
    <tableColumn id="16" xr3:uid="{F2DEAD2C-B7C9-4FDD-9499-836B6F6733C5}" uniqueName="16" name="Total amount" queryTableFieldId="16"/>
    <tableColumn id="17" xr3:uid="{DE459BDC-18C6-48C5-8D51-0DFEBE1050FA}" uniqueName="17" name="Exchange rate" queryTableFieldId="17"/>
    <tableColumn id="18" xr3:uid="{CD45D7D1-9D03-46EF-959C-A4CE5F9878A0}" uniqueName="18" name="Fee" queryTableFieldId="18"/>
    <tableColumn id="19" xr3:uid="{7C8D02B6-35F3-4DDB-9EE0-20A2D7CD4691}" uniqueName="19" name="Fee currency" queryTableFieldId="19" dataDxfId="34"/>
    <tableColumn id="20" xr3:uid="{A4391624-0938-44B3-B7FF-480E8C7594C9}" uniqueName="20" name="Balance" queryTableFieldId="20"/>
    <tableColumn id="21" xr3:uid="{177D5995-CFCE-4C43-8E63-05B49FC61921}" uniqueName="21" name="Account" queryTableFieldId="21" dataDxfId="33"/>
    <tableColumn id="22" xr3:uid="{C1059E0D-6AB8-4104-B563-6F7F450716F9}" uniqueName="22" name="Beneficiary account number" queryTableFieldId="22"/>
    <tableColumn id="23" xr3:uid="{8394C335-5A27-4F28-99A2-A83814764145}" uniqueName="23" name="Beneficiary sort code or routing number" queryTableFieldId="23" dataDxfId="32"/>
    <tableColumn id="24" xr3:uid="{35CBE2F1-BB0E-4E2F-A5A6-1CDF0C49D5F0}" uniqueName="24" name="Beneficiary IBAN" queryTableFieldId="24" dataDxfId="31"/>
    <tableColumn id="25" xr3:uid="{A1204219-C0B1-436C-8C44-BA4887040E6E}" uniqueName="25" name="Beneficiary BIC" queryTableFieldId="25" dataDxfId="30"/>
    <tableColumn id="26" xr3:uid="{30B34594-FCE3-4059-B146-2225895BCBD3}" uniqueName="26" name="MCC" queryTableFieldId="26"/>
    <tableColumn id="27" xr3:uid="{03642983-6B74-4E57-BC60-BBCD0E251725}" uniqueName="27" name="Related transaction id" queryTableFieldId="27" dataDxfId="29"/>
    <tableColumn id="28" xr3:uid="{6E9B85DE-D867-4C18-A23D-0D1BD59933B9}" uniqueName="28" name="Spend program" queryTableFieldId="28" dataDxfId="28"/>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 dT="2026-03-05T00:19:43.46" personId="{6356091B-A9E3-BD4A-8E29-F9743B716371}" id="{5766D236-2C24-4649-B0A8-AFDB7E7A357A}">
    <text>Cantidad de doctores con contrato vigente y en proceso durante el mes. Fuente: CLIENTES X MES.</text>
  </threadedComment>
  <threadedComment ref="C2" dT="2026-03-05T00:20:21.16" personId="{6356091B-A9E3-BD4A-8E29-F9743B716371}" id="{0F1B1879-CDBA-A04C-A856-3223968B67DD}">
    <text>Doctores que firmaron contrato por primera vez en el mes. Fuente: CLIENTES X MES.</text>
  </threadedComment>
  <threadedComment ref="D2" dT="2026-03-05T00:20:41.71" personId="{6356091B-A9E3-BD4A-8E29-F9743B716371}" id="{4B1F2032-F1DD-1A45-8C4D-AE19638DAE0D}">
    <text>Ingresos del mes después de descontar cargos bancarios y comisiones de pasarela de pago (Stripe). Fuente: EERR.</text>
  </threadedComment>
  <threadedComment ref="E2" dT="2026-03-05T00:20:54.62" personId="{6356091B-A9E3-BD4A-8E29-F9743B716371}" id="{9AE98AC0-26A5-3D4D-9746-D8215E273EDE}">
    <text xml:space="preserve"> Ingreso neto del mes dividido por doctores activos. Indica cuánto genera en promedio cada doctor activo al mes.</text>
  </threadedComment>
  <threadedComment ref="F2" dT="2026-03-05T00:21:12.11" personId="{6356091B-A9E3-BD4A-8E29-F9743B716371}" id="{FE6F95E2-99A3-6A41-82E3-8E527AC77082}">
    <text>Pagos a Lingoda + Lingoking + Prof. Michael (clases de alemán y traducción) clasificados como COR, dividido por doctores activos.</text>
  </threadedComment>
  <threadedComment ref="G2" dT="2026-03-05T00:21:26.00" personId="{6356091B-A9E3-BD4A-8E29-F9743B716371}" id="{655D1CB8-6428-B24E-A8FA-160FC8361EF1}">
    <text>Pagos a Lecturio (plataforma e-learning médica) clasificados como COR, dividido por doctores activos.</text>
  </threadedComment>
  <threadedComment ref="H2" dT="2026-03-05T00:52:46.84" personId="{6356091B-A9E3-BD4A-8E29-F9743B716371}" id="{BA934570-96E8-914A-89B0-A53CCEA1171C}">
    <text>Resto del COR no atribuido a idioma ni formación médica (apoyo legal, honorarios, notaría, envíos, Aircall, Circle), dividido por doctores activos.</text>
  </threadedComment>
  <threadedComment ref="I2" dT="2026-03-05T00:52:59.94" personId="{6356091B-A9E3-BD4A-8E29-F9743B716371}" id="{1C8F32F4-DF9B-CA45-91B0-98BAE28FE4AA}">
    <text>Suma de Idioma + Form. Médica + Legal-Otros por doctor. Representa el costo directo del servicio por cada doctor activo.</text>
  </threadedComment>
  <threadedComment ref="J2" dT="2026-03-05T00:53:15.84" personId="{6356091B-A9E3-BD4A-8E29-F9743B716371}" id="{A7327DF9-F35F-414C-88FD-77D396AAC707}">
    <text>Customer Acquisition Cost. Total de Sales &amp; Marketing del mes dividido por doctores nuevos del mes. Mide cuánto cuesta adquirir cada doctor nuevo.</text>
  </threadedComment>
  <threadedComment ref="K2" dT="2026-03-05T00:53:31.06" personId="{6356091B-A9E3-BD4A-8E29-F9743B716371}" id="{F21291F7-21DF-3C4E-B1F1-CC61E56C29B9}">
    <text>Gastos General &amp; Administrative (oficina, sueldos admin, contabilidad, legal corporativo) dividido por doctores activos. Overhead administrativo por doctor.</text>
  </threadedComment>
  <threadedComment ref="L2" dT="2026-03-05T00:53:39.95" personId="{6356091B-A9E3-BD4A-8E29-F9743B716371}" id="{7A6408CE-2E8F-904A-8069-C63F9B2D102B}">
    <text>Gastos de Customer Success (soporte, onboarding, acompañamiento) dividido por doctores activos.</text>
  </threadedComment>
  <threadedComment ref="M2" dT="2026-03-05T00:54:06.81" personId="{6356091B-A9E3-BD4A-8E29-F9743B716371}" id="{D52C7017-9A0D-2A41-B430-BF4A24067BD3}">
    <text>Gastos de Research &amp; Development (herramientas tech, desarrollo) dividido por doctores activos.</text>
  </threadedComment>
  <threadedComment ref="N2" dT="2026-03-05T00:54:17.46" personId="{6356091B-A9E3-BD4A-8E29-F9743B716371}" id="{7DD087C8-C82A-C048-B727-D78C3377C4E7}">
    <text>COR/Dr + G&amp;A/Dr + CS/Dr + R&amp;D/Dr. Costo total mensual que representa cada doctor activo. No incluye CAC porque se mide sobre base distinta (nuevos vs activos).</text>
  </threadedComment>
  <threadedComment ref="O2" dT="2026-03-05T00:54:32.12" personId="{6356091B-A9E3-BD4A-8E29-F9743B716371}" id="{25832025-6B23-5644-9074-E24B323B83E2}">
    <text>Ingreso/Dr - Costo Total/Dr. Si es positivo, cada doctor genera valor neto. Si CAC &gt; Margen Contribución, el crecimiento no es rentable.</text>
  </threadedComment>
  <threadedComment ref="P2" dT="2026-03-05T00:54:32.12" personId="{6356091B-A9E3-BD4A-8E29-F9743B716371}" id="{7A346300-F5D4-4391-9915-FC92C287EAB0}">
    <text>Ingreso/Dr - Costo Total/Dr. Si es positivo, cada doctor genera valor neto. Si CAC &gt; Margen Contribución, el crecimiento no es rentable.</text>
  </threadedComment>
</ThreadedComments>
</file>

<file path=xl/threadedComments/threadedComment2.xml><?xml version="1.0" encoding="utf-8"?>
<ThreadedComments xmlns="http://schemas.microsoft.com/office/spreadsheetml/2018/threadedcomments" xmlns:x="http://schemas.openxmlformats.org/spreadsheetml/2006/main">
  <threadedComment ref="A5" dT="2026-02-09T23:33:12.00" personId="{7D9F0557-5BB7-4E74-87C8-D3BAC1C9137D}" id="{5CFBD8E6-9896-487C-9168-155C81A53533}">
    <text xml:space="preserve">% facturación semanal cobrada con éxito
</text>
  </threadedComment>
  <threadedComment ref="A6" dT="2026-01-30T00:21:56.16" personId="{6356091B-A9E3-BD4A-8E29-F9743B716371}" id="{1CD179CC-67BB-8547-85B5-05F684C94EEF}">
    <text>Dinero real que entró a la cuenta sin el descuento de Stripe.</text>
  </threadedComment>
  <threadedComment ref="A7" dT="2026-01-30T00:22:11.47" personId="{6356091B-A9E3-BD4A-8E29-F9743B716371}" id="{3453BBC1-5653-1544-9897-3630E09FDCA1}">
    <text>% de facturas pagadas sin retraso.</text>
  </threadedComment>
  <threadedComment ref="A8" dT="2026-02-10T14:27:45.20" personId="{7D9F0557-5BB7-4E74-87C8-D3BAC1C9137D}" id="{F11620EC-3160-4857-BCF8-53AD8B732D2B}">
    <text>Promedio de días de retraso de pagos, sobre el total de clientes atrasados del periodo (o podría dejarse solo el total de días de atraso de cada periodo)</text>
  </threadedComment>
  <threadedComment ref="A9" dT="2026-02-09T23:21:40.02" personId="{7D9F0557-5BB7-4E74-87C8-D3BAC1C9137D}" id="{EDBDE67E-95C7-4D34-80F6-C4667C601D34}">
    <text>Facturas que llevan más de 15 días sin pagarse desde su fecha de vencimiento.</text>
  </threadedComment>
  <threadedComment ref="A13" dT="2026-01-30T02:57:54.46" personId="{6356091B-A9E3-BD4A-8E29-F9743B716371}" id="{73A584AC-D7D6-F94D-8587-5FA7A70E2273}">
    <text>Número de clientes con estado "OK" en el sistema (no incluye eliminados, suspendidos o en pausa).</text>
  </threadedComment>
  <threadedComment ref="A14" dT="2026-01-30T02:58:08.13" personId="{6356091B-A9E3-BD4A-8E29-F9743B716371}" id="{BE8167EB-5DEC-3D43-B5E9-0453A6CD818F}">
    <text>Clientes que ingresaron durante el mes (fecha de ingreso dentro del período).</text>
  </threadedComment>
  <threadedComment ref="A15" dT="2026-01-30T02:58:29.55" personId="{6356091B-A9E3-BD4A-8E29-F9743B716371}" id="{75E2E4CD-6AA3-3446-8FD4-DB4400A8CF8B}">
    <text>Clientes que cesaron actividad de pago durante el período, sin considerar la fecha de oficialización de la baja.</text>
  </threadedComment>
  <threadedComment ref="A16" dT="2026-01-30T02:58:41.83" personId="{6356091B-A9E3-BD4A-8E29-F9743B716371}" id="{3F1BA9D5-6DF0-0648-AE9B-3729CC034A34}">
    <text>Porcentaje de clientes al día con sus pagos (estado "OK") sobre el total de clientes no eliminados.</text>
  </threadedComment>
  <threadedComment ref="A17" dT="2026-01-30T02:59:00.69" personId="{6356091B-A9E3-BD4A-8E29-F9743B716371}" id="{9AFC532A-FD1A-A541-B380-FABBDF8B466D}">
    <text>Porcentaje de clientes OK que tienen suscripción activa con pago automático (SUSCRITO=1).</text>
  </threadedComment>
  <threadedComment ref="A21" dT="2026-01-30T02:59:51.50" personId="{6356091B-A9E3-BD4A-8E29-F9743B716371}" id="{F1F203B0-01CD-B048-9A55-10BF8D38C6E3}">
    <text>Suma de todos los pagos recibidos de clientes en el período, descontando comisiones bancarias (Ingreso Neto).</text>
  </threadedComment>
  <threadedComment ref="A22" dT="2026-01-30T03:00:09.86" personId="{6356091B-A9E3-BD4A-8E29-F9743B716371}" id="{A7CAC1E3-C387-F643-A66B-90F554FE12BB}">
    <text>Beneficio operativo antes de intereses, impuestos, depreciación y amortización. Indica la rentabilidad operativa del negocio.</text>
  </threadedComment>
  <threadedComment ref="A23" dT="2026-01-30T03:00:27.44" personId="{6356091B-A9E3-BD4A-8E29-F9743B716371}" id="{462D4D19-630B-CF4D-BAF5-335E58FBAAFD}">
    <text>Gastos operativos: sueldos, marketing, administración, desarrollo, customer success. Son los costos de operar el negocio.</text>
  </threadedComment>
  <threadedComment ref="A28" dT="2026-02-10T04:00:47.20" personId="{7D9F0557-5BB7-4E74-87C8-D3BAC1C9137D}" id="{CEFDA991-92CD-450B-81BA-7DD4E723556F}">
    <text>Ingresos menos el costo directo de prestar el servicio: COR + Customer Success (OPEX). Muestra cuánto queda después de cubrir costos directos.</text>
  </threadedComment>
  <threadedComment ref="E29" dT="2026-02-02T22:25:02.58" personId="{6356091B-A9E3-BD4A-8E29-F9743B716371}" id="{A6AD872F-A2C6-CB41-B68D-274D877B2424}">
    <text>La Semana 3 del Margen Bruto Corregido muestra 4.5%, muy por debajo del 65%. Esto se debe a que hubo gastos significativos de Customer Success esa semana (€10,412) contra ingresos bajos (€14,351).</text>
  </threadedComment>
  <threadedComment ref="A33" dT="2026-01-30T03:02:00.67" personId="{6356091B-A9E3-BD4A-8E29-F9743B716371}" id="{41880D7D-0B2E-1E48-89B6-D63BBA869E11}">
    <text>Suma de todas las salidas de dinero del período (OPEX + COR). Incluye sueldos, proveedores, servicios, etc.</text>
  </threadedComment>
  <threadedComment ref="A34" dT="2026-01-30T03:02:28.68" personId="{6356091B-A9E3-BD4A-8E29-F9743B716371}" id="{6F77ACE3-BA10-F74E-9469-DB9C8DA03C08}">
    <text>Costo total de suscripciones a herramientas de software activas con fecha de inicio en el mes.</text>
  </threadedComment>
  <threadedComment ref="A35" dT="2026-01-30T03:02:41.67" personId="{6356091B-A9E3-BD4A-8E29-F9743B716371}" id="{37492EAF-D6AB-B942-8B46-6C655F1C2AB6}">
    <text>Porcentaje de uso real de cada herramienta SaaS contratada. Mide si estamos aprovechando lo que pagamos.</text>
  </threadedComment>
  <threadedComment ref="A36" dT="2026-01-30T03:02:59.03" personId="{6356091B-A9E3-BD4A-8E29-F9743B716371}" id="{C9C1F02E-5D4B-F049-96EF-164AD2A3DFAA}">
    <text>Dinero ahorrado por cancelar o renegociar suscripciones SaaS (herramientas dadas de baja = Status "Suspended").</text>
  </threadedComment>
  <threadedComment ref="A37" dT="2026-01-30T03:03:16.21" personId="{6356091B-A9E3-BD4A-8E29-F9743B716371}" id="{4D9CC64C-428A-7345-BE91-B3F4D916C291}">
    <text>Porcentaje de facturas a proveedores pagadas dentro del plazo acordado.</text>
  </threadedComment>
  <threadedComment ref="A38" dT="2026-01-30T03:03:36.14" personId="{6356091B-A9E3-BD4A-8E29-F9743B716371}" id="{F87DE023-2D1E-0744-B3A7-1B7AB1617C11}">
    <text>Porcentaje de pagos con errores (duplicados, montos incorrectos, destinatario equivocado).</text>
  </threadedComment>
  <threadedComment ref="G44" dT="2026-02-10T22:10:12.69" personId="{7D9F0557-5BB7-4E74-87C8-D3BAC1C9137D}" id="{E916642A-FA2E-4354-9E62-28B381B3ADB6}">
    <text>Contabilizando saldo Flujo Caja Neto Diciembre 2025</text>
  </threadedComment>
  <threadedComment ref="A51" dT="2026-02-09T23:33:12.00" personId="{7D9F0557-5BB7-4E74-87C8-D3BAC1C9137D}" id="{CB41E931-9D62-4BCC-90B6-F6E554886085}">
    <text xml:space="preserve">% facturación semanal cobrada con éxito
</text>
  </threadedComment>
  <threadedComment ref="A52" dT="2026-02-16T19:23:33.57" personId="{7D9F0557-5BB7-4E74-87C8-D3BAC1C9137D}" id="{F9B80CC2-15F3-45F5-8014-16A4F2D6CA5F}">
    <text>Importes brutos cobrados efectivamente a clientes, en concepto de cuota.</text>
  </threadedComment>
  <threadedComment ref="A55" dT="2026-01-30T00:22:11.47" personId="{6356091B-A9E3-BD4A-8E29-F9743B716371}" id="{8E111E33-39A7-43D1-9F34-1A071C0AFDCF}">
    <text>% de facturas pagadas sin retraso.</text>
  </threadedComment>
  <threadedComment ref="A56" dT="2026-02-10T14:27:45.20" personId="{7D9F0557-5BB7-4E74-87C8-D3BAC1C9137D}" id="{1CDDC7E4-C545-44EF-B9E6-CFC091039DD4}">
    <text>Promedio de días de retraso de pagos, sobre el total de clientes atrasados del periodo (o podría dejarse solo el total de días de atraso de cada periodo)</text>
  </threadedComment>
  <threadedComment ref="A57" dT="2026-02-09T23:21:40.02" personId="{7D9F0557-5BB7-4E74-87C8-D3BAC1C9137D}" id="{A67D9F86-4CD2-48C0-9287-2FB83FB1E7F9}">
    <text>Facturas que llevan más de 15 días sin pagarse desde su fecha de vencimiento.</text>
  </threadedComment>
  <threadedComment ref="A61" dT="2026-01-30T02:57:54.46" personId="{6356091B-A9E3-BD4A-8E29-F9743B716371}" id="{91B056E5-DAA4-47BE-8B68-6DA84A4262B8}">
    <text>Número de clientes con estado "OK" en el sistema (no incluye eliminados, suspendidos o en pausa).</text>
  </threadedComment>
  <threadedComment ref="A62" dT="2026-01-30T02:58:08.13" personId="{6356091B-A9E3-BD4A-8E29-F9743B716371}" id="{B330A539-A021-4EF4-BB07-4AB5F9C30FCE}">
    <text>Clientes que ingresaron durante el mes (fecha de ingreso dentro del período).</text>
  </threadedComment>
  <threadedComment ref="A63" dT="2026-01-30T02:58:29.55" personId="{6356091B-A9E3-BD4A-8E29-F9743B716371}" id="{665DF8FA-1A5E-440E-8A28-33D69A6CE586}">
    <text>Clientes que cesaron actividad de pago durante el período, sin considerar la fecha de oficialización de la baja.</text>
  </threadedComment>
  <threadedComment ref="A64" dT="2026-01-30T02:58:41.83" personId="{6356091B-A9E3-BD4A-8E29-F9743B716371}" id="{EEEA79D3-8C67-4CA5-BC18-7246B70A4C71}">
    <text>Porcentaje de clientes al día con sus pagos (estado "OK") sobre el total de clientes no eliminados.</text>
  </threadedComment>
  <threadedComment ref="A65" dT="2026-01-30T02:59:00.69" personId="{6356091B-A9E3-BD4A-8E29-F9743B716371}" id="{27007253-E0C6-4149-8C25-1EB17DD315D6}">
    <text>Porcentaje de clientes OK que tienen suscripción activa con pago automático (SUSCRITO=1).</text>
  </threadedComment>
  <threadedComment ref="A69" dT="2026-01-30T02:59:51.50" personId="{6356091B-A9E3-BD4A-8E29-F9743B716371}" id="{5A99F9C6-0CF7-4AE2-9C86-A88B48E648F5}">
    <text>Suma de todos los pagos recibidos de clientes en el período, descontando comisiones bancarias (Ingreso Neto).</text>
  </threadedComment>
  <threadedComment ref="A71" dT="2026-02-10T04:00:47.20" personId="{7D9F0557-5BB7-4E74-87C8-D3BAC1C9137D}" id="{E0BC000F-7E4A-47E3-BB8D-2920E3C5DEA5}">
    <text>Ingresos menos el costo directo de prestar el servicio: COR + Customer Success (OPEX). Muestra cuánto queda después de cubrir costos directos.</text>
  </threadedComment>
  <threadedComment ref="A73" dT="2026-01-30T03:00:09.86" personId="{6356091B-A9E3-BD4A-8E29-F9743B716371}" id="{BADE6685-DC2D-4F84-8DA5-5DA9E997F8F1}">
    <text>Beneficio operativo antes de intereses, impuestos, depreciación y amortización. Indica la rentabilidad operativa del negocio.</text>
  </threadedComment>
  <threadedComment ref="A74" dT="2026-01-30T03:00:27.44" personId="{6356091B-A9E3-BD4A-8E29-F9743B716371}" id="{05826755-AECA-419A-B225-A98C51623792}">
    <text>Gastos operativos: sueldos, marketing, administración, desarrollo, customer success. Son los costos de operar el negocio.</text>
  </threadedComment>
  <threadedComment ref="A82" dT="2026-01-30T03:02:00.67" personId="{6356091B-A9E3-BD4A-8E29-F9743B716371}" id="{11747B69-1651-468C-90B2-6499BD87F28E}">
    <text>Suma de todas las salidas de dinero del período (OPEX + COR). Incluye sueldos, proveedores, servicios, etc.</text>
  </threadedComment>
  <threadedComment ref="A83" dT="2026-01-30T03:02:28.68" personId="{6356091B-A9E3-BD4A-8E29-F9743B716371}" id="{FFDB8ED5-1384-4797-9A7F-53EC0F4D3CC0}">
    <text>Costo total de suscripciones a herramientas de software activas con fecha de inicio en el mes.</text>
  </threadedComment>
  <threadedComment ref="A84" dT="2026-01-30T03:02:41.67" personId="{6356091B-A9E3-BD4A-8E29-F9743B716371}" id="{D5ED8C93-9F41-4012-B536-4701A67228F9}">
    <text>Porcentaje de uso real de cada herramienta SaaS contratada. Mide si estamos aprovechando lo que pagamos.</text>
  </threadedComment>
  <threadedComment ref="G90" dT="2026-02-10T22:10:12.69" personId="{7D9F0557-5BB7-4E74-87C8-D3BAC1C9137D}" id="{66592CFF-22DE-4C5F-86DD-77B7DA07EB6C}">
    <text>Contabilizando saldo Flujo Caja Neto ENERO 2026</text>
  </threadedComment>
  <threadedComment ref="A97" dT="2026-02-09T23:33:12.00" personId="{7D9F0557-5BB7-4E74-87C8-D3BAC1C9137D}" id="{50B71BF2-D898-4D9C-AE95-B3CD455AB23B}">
    <text xml:space="preserve">% facturación semanal cobrada con éxito
</text>
  </threadedComment>
  <threadedComment ref="A98" dT="2026-02-16T19:23:33.57" personId="{7D9F0557-5BB7-4E74-87C8-D3BAC1C9137D}" id="{1606CD42-2E0F-473A-9780-5F2401D21CE6}">
    <text>Importes brutos cobrados efectivamente a clientes, en concepto de cuota.</text>
  </threadedComment>
  <threadedComment ref="A101" dT="2026-01-30T00:22:11.47" personId="{6356091B-A9E3-BD4A-8E29-F9743B716371}" id="{E4A5E78D-0B3E-46C7-80FB-BE90ED656812}">
    <text>% de facturas pagadas sin retraso.</text>
  </threadedComment>
  <threadedComment ref="A102" dT="2026-02-10T14:27:45.20" personId="{7D9F0557-5BB7-4E74-87C8-D3BAC1C9137D}" id="{630E3A46-91B0-4341-8B5D-C31C8F150B1C}">
    <text>Promedio de días de retraso de pagos, sobre el total de clientes atrasados del periodo (o podría dejarse solo el total de días de atraso de cada periodo)</text>
  </threadedComment>
  <threadedComment ref="A103" dT="2026-02-09T23:21:40.02" personId="{7D9F0557-5BB7-4E74-87C8-D3BAC1C9137D}" id="{FA30736C-48F8-4F8B-A915-9DD1B40CB7CE}">
    <text>Facturas que llevan más de 15 días sin pagarse desde su fecha de vencimiento.</text>
  </threadedComment>
  <threadedComment ref="A107" dT="2026-01-30T02:57:54.46" personId="{6356091B-A9E3-BD4A-8E29-F9743B716371}" id="{6A5A8330-88F1-407B-AEDD-5E09AAD21317}">
    <text>Número de clientes con estado "OK" en el sistema (no incluye eliminados, suspendidos o en pausa).</text>
  </threadedComment>
  <threadedComment ref="A108" dT="2026-01-30T02:58:08.13" personId="{6356091B-A9E3-BD4A-8E29-F9743B716371}" id="{BB31251B-48B5-4161-BACD-C310BF866983}">
    <text>Clientes que ingresaron durante el mes (fecha de ingreso dentro del período).</text>
  </threadedComment>
  <threadedComment ref="A109" dT="2026-01-30T02:58:29.55" personId="{6356091B-A9E3-BD4A-8E29-F9743B716371}" id="{32D28F35-B88C-432B-978E-4458EEEF800A}">
    <text>Clientes que cesaron actividad de pago durante el período, sin considerar la fecha de oficialización de la baja.</text>
  </threadedComment>
  <threadedComment ref="A110" dT="2026-01-30T02:58:41.83" personId="{6356091B-A9E3-BD4A-8E29-F9743B716371}" id="{D5A70F0C-00BC-4858-BA89-30C77A6B0645}">
    <text>Porcentaje de clientes al día con sus pagos (estado "OK") sobre el total de clientes no eliminados.</text>
  </threadedComment>
  <threadedComment ref="A111" dT="2026-01-30T02:59:00.69" personId="{6356091B-A9E3-BD4A-8E29-F9743B716371}" id="{A57C3B59-9558-4184-A4A1-9BF0373858C8}">
    <text>Porcentaje de clientes OK que tienen suscripción activa con pago automático (SUSCRITO=1).</text>
  </threadedComment>
  <threadedComment ref="A115" dT="2026-01-30T02:59:51.50" personId="{6356091B-A9E3-BD4A-8E29-F9743B716371}" id="{26812D43-7421-44C3-BCA9-C305B451B3E2}">
    <text>Suma de todos los pagos recibidos de clientes en el período, descontando comisiones bancarias (Ingreso Neto).</text>
  </threadedComment>
  <threadedComment ref="A117" dT="2026-02-10T04:00:47.20" personId="{7D9F0557-5BB7-4E74-87C8-D3BAC1C9137D}" id="{270C22CD-4B74-49F8-9C2B-CDF2E0DCE257}">
    <text>Ingresos menos el costo directo de prestar el servicio: COR + Customer Success (OPEX). Muestra cuánto queda después de cubrir costos directos.</text>
  </threadedComment>
  <threadedComment ref="A119" dT="2026-01-30T03:00:09.86" personId="{6356091B-A9E3-BD4A-8E29-F9743B716371}" id="{C84234BF-8011-4A3D-BD02-6426DB60AA31}">
    <text>Beneficio operativo antes de intereses, impuestos, depreciación y amortización. Indica la rentabilidad operativa del negocio.</text>
  </threadedComment>
  <threadedComment ref="A120" dT="2026-01-30T03:00:27.44" personId="{6356091B-A9E3-BD4A-8E29-F9743B716371}" id="{0A6FA8A3-B05A-4609-B41F-EA1ACD6C2379}">
    <text>Gastos operativos: sueldos, marketing, administración, desarrollo, customer success. Son los costos de operar el negocio.</text>
  </threadedComment>
  <threadedComment ref="A128" dT="2026-01-30T03:02:00.67" personId="{6356091B-A9E3-BD4A-8E29-F9743B716371}" id="{DB2BFF9E-DC63-4147-88BC-C991D1E4DC2A}">
    <text>Suma de todas las salidas de dinero del período (OPEX + COR). Incluye sueldos, proveedores, servicios, etc.</text>
  </threadedComment>
  <threadedComment ref="A129" dT="2026-01-30T03:02:28.68" personId="{6356091B-A9E3-BD4A-8E29-F9743B716371}" id="{6422FCB3-7C79-4547-AF37-7F759F3F202B}">
    <text>Costo total de suscripciones a herramientas de software activas con fecha de inicio en el mes.</text>
  </threadedComment>
  <threadedComment ref="A130" dT="2026-01-30T03:02:41.67" personId="{6356091B-A9E3-BD4A-8E29-F9743B716371}" id="{911D0CE6-4AC4-4E96-867B-87AC3BCDC134}">
    <text>Porcentaje de uso real de cada herramienta SaaS contratada. Mide si estamos aprovechando lo que pagamos.</text>
  </threadedComment>
  <threadedComment ref="G137" dT="2026-02-10T22:10:12.69" personId="{7D9F0557-5BB7-4E74-87C8-D3BAC1C9137D}" id="{90216CD9-8890-41E3-9C93-38999B3A21DC}">
    <text>Contabilizando saldo Flujo Caja Neto FEBRERO 2026</text>
  </threadedComment>
  <threadedComment ref="G142" dT="2026-02-10T22:10:12.69" personId="{7D9F0557-5BB7-4E74-87C8-D3BAC1C9137D}" id="{40C28BAC-FA40-4F46-9642-825674AC1210}">
    <text>Contabilizando saldo Flujo Caja Neto FEBRERO 2026</text>
  </threadedComment>
</ThreadedComments>
</file>

<file path=xl/threadedComments/threadedComment3.xml><?xml version="1.0" encoding="utf-8"?>
<ThreadedComments xmlns="http://schemas.microsoft.com/office/spreadsheetml/2018/threadedcomments" xmlns:x="http://schemas.openxmlformats.org/spreadsheetml/2006/main">
  <threadedComment ref="E11" dT="2025-07-25T15:13:14.90" personId="{6356091B-A9E3-BD4A-8E29-F9743B716371}" id="{44F67816-119C-4289-AEA1-D01408820206}">
    <text>No figura factura por ese monto/fecha</text>
  </threadedComment>
  <threadedComment ref="E17" dT="2025-07-25T15:14:15.65" personId="{6356091B-A9E3-BD4A-8E29-F9743B716371}" id="{F986841F-41FB-8141-BAE5-F4A662824F71}">
    <text>No figuran facturas para ese correo</text>
  </threadedComment>
  <threadedComment ref="E28" dT="2025-07-25T15:13:14.90" personId="{6356091B-A9E3-BD4A-8E29-F9743B716371}" id="{7118A718-81A5-FD48-A75E-F4EF4E494C98}">
    <text>No figura factura por ese monto/fecha</text>
  </threadedComment>
  <threadedComment ref="E36" dT="2025-07-25T15:13:14.90" personId="{6356091B-A9E3-BD4A-8E29-F9743B716371}" id="{5B037F89-4D99-384F-B62A-B5CCC754381A}">
    <text>No figura factura por ese monto/fecha</text>
  </threadedComment>
  <threadedComment ref="E38" dT="2025-07-25T15:13:14.90" personId="{6356091B-A9E3-BD4A-8E29-F9743B716371}" id="{F08972B6-BF80-CB42-BD0A-D176C7635DF3}">
    <text>No figura factura por ese monto/fecha</text>
  </threadedComment>
  <threadedComment ref="E43" dT="2025-07-25T15:14:15.65" personId="{6356091B-A9E3-BD4A-8E29-F9743B716371}" id="{4143A2F5-3CC2-674F-B737-24EC13B090EF}">
    <text>No figuran facturas para ese correo</text>
  </threadedComment>
  <threadedComment ref="E95" dT="2025-07-25T15:14:15.65" personId="{6356091B-A9E3-BD4A-8E29-F9743B716371}" id="{DBAC1C04-55C7-5040-B9FC-A1840EEFFBE5}">
    <text>No figuran facturas para ese correo</text>
  </threadedComment>
  <threadedComment ref="E106" dT="2025-07-25T15:13:14.90" personId="{6356091B-A9E3-BD4A-8E29-F9743B716371}" id="{E8E35EB6-F473-AF4F-B83B-466A72631A12}">
    <text>No figura factura por ese monto/fecha</text>
  </threadedComment>
  <threadedComment ref="E136" dT="2025-07-25T15:14:15.65" personId="{6356091B-A9E3-BD4A-8E29-F9743B716371}" id="{AD1E5237-0143-D84E-9364-A5D4178315ED}">
    <text>No figuran facturas para ese correo</text>
  </threadedComment>
</ThreadedComments>
</file>

<file path=xl/threadedComments/threadedComment4.xml><?xml version="1.0" encoding="utf-8"?>
<ThreadedComments xmlns="http://schemas.microsoft.com/office/spreadsheetml/2018/threadedcomments" xmlns:x="http://schemas.openxmlformats.org/spreadsheetml/2006/main">
  <threadedComment ref="A81" dT="2025-08-07T23:54:00.05" personId="{6356091B-A9E3-BD4A-8E29-F9743B716371}" id="{C40B6A7B-4F9B-8D42-BD1C-4AFC418E54B1}">
    <text xml:space="preserve">Figura otro ID Cliente en Facturas Stripe por otro monto </text>
  </threadedComment>
</ThreadedComments>
</file>

<file path=xl/threadedComments/threadedComment5.xml><?xml version="1.0" encoding="utf-8"?>
<ThreadedComments xmlns="http://schemas.microsoft.com/office/spreadsheetml/2018/threadedcomments" xmlns:x="http://schemas.openxmlformats.org/spreadsheetml/2006/main">
  <threadedComment ref="D10" dT="2026-01-15T19:59:19.07" personId="{6356091B-A9E3-BD4A-8E29-F9743B716371}" id="{A79F0CC6-1A0B-524C-A4ED-75A919DA56CF}">
    <text>Global</text>
  </threadedComment>
  <threadedComment ref="D39" dT="2026-01-15T20:18:08.07" personId="{6356091B-A9E3-BD4A-8E29-F9743B716371}" id="{A812EE32-C730-B841-A8A3-DA8666B3BBC8}">
    <text>Mercado Pago</text>
  </threadedComment>
  <threadedComment ref="D284" dT="2026-01-15T20:25:21.67" personId="{6356091B-A9E3-BD4A-8E29-F9743B716371}" id="{5C41C1C4-B10C-2942-A1E3-8845BD4A6E77}">
    <text>Scotiabank</text>
  </threadedComment>
  <threadedComment ref="D299" dT="2026-01-15T20:30:36.17" personId="{6356091B-A9E3-BD4A-8E29-F9743B716371}" id="{690F558B-45E3-0644-BB8A-05D2FC959C96}">
    <text>MercadoPago</text>
  </threadedComment>
  <threadedComment ref="D373" dT="2026-01-15T20:31:52.66" personId="{6356091B-A9E3-BD4A-8E29-F9743B716371}" id="{3CBEEF57-E3E2-3B49-876E-F9FA6C613326}">
    <text>MercadoPago</text>
  </threadedComment>
  <threadedComment ref="D439" dT="2026-01-15T20:14:00.49" personId="{6356091B-A9E3-BD4A-8E29-F9743B716371}" id="{21DE52A0-D918-2545-990B-59DFBA866974}">
    <text>JOF</text>
  </threadedComment>
  <threadedComment ref="D624" dT="2026-01-15T20:22:48.47" personId="{6356091B-A9E3-BD4A-8E29-F9743B716371}" id="{DE36CFDC-8781-8348-AEFD-8A34E76C4B3E}">
    <text>Scotiabank</text>
  </threadedComment>
  <threadedComment ref="D631" dT="2026-01-15T20:36:39.62" personId="{6356091B-A9E3-BD4A-8E29-F9743B716371}" id="{CAAECC4A-1856-2447-A998-C8B023E88236}">
    <text>Scotiabank</text>
  </threadedComment>
  <threadedComment ref="D733" dT="2026-01-15T20:37:05.34" personId="{6356091B-A9E3-BD4A-8E29-F9743B716371}" id="{8FD3E08F-D370-D548-8219-E00D6EFB8D65}">
    <text>Scotiabank</text>
  </threadedComment>
  <threadedComment ref="D746" dT="2026-01-15T20:22:56.16" personId="{6356091B-A9E3-BD4A-8E29-F9743B716371}" id="{F4B3BE9F-E9A8-8641-905F-0A840A9F8BC6}">
    <text>Scotiabank</text>
  </threadedComment>
  <threadedComment ref="D754" dT="2026-01-15T20:14:37.38" personId="{6356091B-A9E3-BD4A-8E29-F9743B716371}" id="{D122F954-E6C2-4249-B728-D6A8B858FDA0}">
    <text>JOF</text>
  </threadedComment>
  <threadedComment ref="D848" dT="2026-01-15T20:23:01.39" personId="{6356091B-A9E3-BD4A-8E29-F9743B716371}" id="{6012DA39-EE2E-3B45-B41D-41488B409E18}">
    <text>Scotiabank</text>
  </threadedComment>
  <threadedComment ref="D856" dT="2026-01-15T20:08:43.27" personId="{6356091B-A9E3-BD4A-8E29-F9743B716371}" id="{025DCF0B-906D-9E4F-A88D-3CCCEE7ED7C4}">
    <text>Scotiabank</text>
  </threadedComment>
  <threadedComment ref="D857" dT="2026-01-15T20:39:15.70" personId="{6356091B-A9E3-BD4A-8E29-F9743B716371}" id="{B252ECCC-FA1B-8F40-BBFF-517B30B1087F}">
    <text>Scotiabank</text>
  </threadedComment>
  <threadedComment ref="D878" dT="2026-01-15T20:39:40.54" personId="{6356091B-A9E3-BD4A-8E29-F9743B716371}" id="{5AA690D3-3657-344B-9919-0212DC932AED}">
    <text>Scotiabank</text>
  </threadedComment>
  <threadedComment ref="D939" dT="2026-01-15T20:23:04.63" personId="{6356091B-A9E3-BD4A-8E29-F9743B716371}" id="{84311EC1-E00B-9E47-8E0A-4F970ECCA189}">
    <text>Scotiabank</text>
  </threadedComment>
  <threadedComment ref="D956" dT="2026-01-15T20:04:48.61" personId="{6356091B-A9E3-BD4A-8E29-F9743B716371}" id="{F8D92C12-E37D-594D-BF7F-2A352752E93E}">
    <text>JOF</text>
  </threadedComment>
  <threadedComment ref="D1019" dT="2025-12-19T12:49:52.93" personId="{6356091B-A9E3-BD4A-8E29-F9743B716371}" id="{1BBBCD82-1334-AD45-9061-433C6AC844E2}">
    <text>-4043,46 EUR / No se registra a pedido de Nico</text>
  </threadedComment>
  <threadedComment ref="D1037" dT="2026-01-15T20:23:13.75" personId="{6356091B-A9E3-BD4A-8E29-F9743B716371}" id="{D5CC9058-45FD-C64A-9E6C-2E0E5E5C6779}">
    <text>Scotiabank</text>
  </threadedComment>
  <threadedComment ref="D1075" dT="2026-01-15T20:41:33.27" personId="{6356091B-A9E3-BD4A-8E29-F9743B716371}" id="{FE08E249-7E8A-0546-A068-161B3C6314BB}">
    <text>Scotiabank</text>
  </threadedComment>
  <threadedComment ref="D1243" dT="2026-02-09T21:16:54.28" personId="{6356091B-A9E3-BD4A-8E29-F9743B716371}" id="{17B4451E-CF5F-A947-8806-7D3EAF53C045}">
    <text>Positivo porque es un reembolso</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hyperlink" Target="mailto:julioadarosm@gmail.com" TargetMode="External"/><Relationship Id="rId13" Type="http://schemas.openxmlformats.org/officeDocument/2006/relationships/printerSettings" Target="../printerSettings/printerSettings1.bin"/><Relationship Id="rId3" Type="http://schemas.openxmlformats.org/officeDocument/2006/relationships/hyperlink" Target="mailto:gnga.93@gmail.com" TargetMode="External"/><Relationship Id="rId7" Type="http://schemas.openxmlformats.org/officeDocument/2006/relationships/hyperlink" Target="mailto:jcullaalvarez@gmail.com" TargetMode="External"/><Relationship Id="rId12" Type="http://schemas.openxmlformats.org/officeDocument/2006/relationships/hyperlink" Target="mailto:camila.sanchez.aravena@gmail.com" TargetMode="External"/><Relationship Id="rId2" Type="http://schemas.openxmlformats.org/officeDocument/2006/relationships/hyperlink" Target="mailto:miky_sisa@yahoo.com" TargetMode="External"/><Relationship Id="rId1" Type="http://schemas.openxmlformats.org/officeDocument/2006/relationships/hyperlink" Target="mailto:patochavez02ar@gmail.com" TargetMode="External"/><Relationship Id="rId6" Type="http://schemas.openxmlformats.org/officeDocument/2006/relationships/hyperlink" Target="mailto:nathalymasin@hotmail.com" TargetMode="External"/><Relationship Id="rId11" Type="http://schemas.openxmlformats.org/officeDocument/2006/relationships/hyperlink" Target="mailto:kim_frey19@hotmail.com" TargetMode="External"/><Relationship Id="rId5" Type="http://schemas.openxmlformats.org/officeDocument/2006/relationships/hyperlink" Target="mailto:angeles.gutierrezq@gmail.com" TargetMode="External"/><Relationship Id="rId10" Type="http://schemas.openxmlformats.org/officeDocument/2006/relationships/hyperlink" Target="mailto:dasp1104@gmail.com" TargetMode="External"/><Relationship Id="rId4" Type="http://schemas.openxmlformats.org/officeDocument/2006/relationships/hyperlink" Target="mailto:lilianamoreno0297@gmail.com" TargetMode="External"/><Relationship Id="rId9" Type="http://schemas.openxmlformats.org/officeDocument/2006/relationships/hyperlink" Target="mailto:bernarditaloboz@gmail.com" TargetMode="External"/><Relationship Id="rId1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hyperlink" Target="mailto:videla.cvm@gmail.com" TargetMode="External"/><Relationship Id="rId13" Type="http://schemas.openxmlformats.org/officeDocument/2006/relationships/hyperlink" Target="mailto:nandy.castro99@gmail.com" TargetMode="External"/><Relationship Id="rId18" Type="http://schemas.openxmlformats.org/officeDocument/2006/relationships/hyperlink" Target="mailto:lucerobarrios8@gmail.com" TargetMode="External"/><Relationship Id="rId3" Type="http://schemas.openxmlformats.org/officeDocument/2006/relationships/hyperlink" Target="mailto:gnga.93@gmail.com" TargetMode="External"/><Relationship Id="rId21" Type="http://schemas.openxmlformats.org/officeDocument/2006/relationships/printerSettings" Target="../printerSettings/printerSettings2.bin"/><Relationship Id="rId7" Type="http://schemas.openxmlformats.org/officeDocument/2006/relationships/hyperlink" Target="mailto:cervantesa1498@gmail.com" TargetMode="External"/><Relationship Id="rId12" Type="http://schemas.openxmlformats.org/officeDocument/2006/relationships/hyperlink" Target="mailto:juancsanchez.jcsr@gmail.com" TargetMode="External"/><Relationship Id="rId17" Type="http://schemas.openxmlformats.org/officeDocument/2006/relationships/hyperlink" Target="mailto:julianmedina_s@hotmail.com" TargetMode="External"/><Relationship Id="rId25" Type="http://schemas.microsoft.com/office/2017/10/relationships/threadedComment" Target="../threadedComments/threadedComment3.xml"/><Relationship Id="rId2" Type="http://schemas.openxmlformats.org/officeDocument/2006/relationships/hyperlink" Target="mailto:mauignacioar@gmail.com" TargetMode="External"/><Relationship Id="rId16" Type="http://schemas.openxmlformats.org/officeDocument/2006/relationships/hyperlink" Target="mailto:mpretell18.95@gmail.com" TargetMode="External"/><Relationship Id="rId20" Type="http://schemas.openxmlformats.org/officeDocument/2006/relationships/hyperlink" Target="mailto:julianmedina_s@hotmail.com" TargetMode="External"/><Relationship Id="rId1" Type="http://schemas.openxmlformats.org/officeDocument/2006/relationships/hyperlink" Target="mailto:patochavez02ar@gmail.com" TargetMode="External"/><Relationship Id="rId6" Type="http://schemas.openxmlformats.org/officeDocument/2006/relationships/hyperlink" Target="mailto:ricardojimenezc97@gmail.com" TargetMode="External"/><Relationship Id="rId11" Type="http://schemas.openxmlformats.org/officeDocument/2006/relationships/hyperlink" Target="mailto:acorpeno.95@gmail.com" TargetMode="External"/><Relationship Id="rId24" Type="http://schemas.openxmlformats.org/officeDocument/2006/relationships/comments" Target="../comments3.xml"/><Relationship Id="rId5" Type="http://schemas.openxmlformats.org/officeDocument/2006/relationships/hyperlink" Target="mailto:jpmartinezcabello@outlook.com" TargetMode="External"/><Relationship Id="rId15" Type="http://schemas.openxmlformats.org/officeDocument/2006/relationships/hyperlink" Target="mailto:julioadarosm@gmail.com" TargetMode="External"/><Relationship Id="rId23" Type="http://schemas.openxmlformats.org/officeDocument/2006/relationships/table" Target="../tables/table6.xml"/><Relationship Id="rId10" Type="http://schemas.openxmlformats.org/officeDocument/2006/relationships/hyperlink" Target="mailto:marroguz.17@gmail.com" TargetMode="External"/><Relationship Id="rId19" Type="http://schemas.openxmlformats.org/officeDocument/2006/relationships/hyperlink" Target="mailto:carlosjosue.escobar6@gmail.com" TargetMode="External"/><Relationship Id="rId4" Type="http://schemas.openxmlformats.org/officeDocument/2006/relationships/hyperlink" Target="mailto:mlaura0211@hotmail.com" TargetMode="External"/><Relationship Id="rId9" Type="http://schemas.openxmlformats.org/officeDocument/2006/relationships/hyperlink" Target="mailto:jcullaalvarez@gmail.com" TargetMode="External"/><Relationship Id="rId14" Type="http://schemas.openxmlformats.org/officeDocument/2006/relationships/hyperlink" Target="mailto:mauignacioar@gmail.com" TargetMode="External"/><Relationship Id="rId22"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9.xml.rels><?xml version="1.0" encoding="UTF-8" standalone="yes"?>
<Relationships xmlns="http://schemas.openxmlformats.org/package/2006/relationships"><Relationship Id="rId21" Type="http://schemas.openxmlformats.org/officeDocument/2006/relationships/hyperlink" Target="https://bearzt-my.sharepoint.com/:b:/g/personal/sarellano_no-mii_com/ER9dMg41KRhHgjlmJFLHpJ8BuEte-gA8FQbC5HmXJPDbnA?e=Xcu02z" TargetMode="External"/><Relationship Id="rId170" Type="http://schemas.openxmlformats.org/officeDocument/2006/relationships/hyperlink" Target="https://bearzt-my.sharepoint.com/:b:/g/personal/sarellano_no-mii_com/Ecamhl7VzhxLoDzJhoVsKWgB6DnUAaPv9BflrORB84IqZg?e=qgDFjt" TargetMode="External"/><Relationship Id="rId268" Type="http://schemas.openxmlformats.org/officeDocument/2006/relationships/hyperlink" Target="https://bearzt-my.sharepoint.com/:b:/g/personal/sarellano_no-mii_com/EeUSeAhur-lJlmk6lntA7mcBmPeQ21cbzEZM-zIsKoRY-w?e=gfXkz1" TargetMode="External"/><Relationship Id="rId475" Type="http://schemas.openxmlformats.org/officeDocument/2006/relationships/hyperlink" Target="https://bearzt-my.sharepoint.com/:b:/g/personal/sarellano_no-mii_com/EZuLeNuhVRRFgGiLYBUltHkBcX0JYCIc9EkBBuukG1Bd7A?e=Tm3RnZ" TargetMode="External"/><Relationship Id="rId682" Type="http://schemas.openxmlformats.org/officeDocument/2006/relationships/hyperlink" Target="https://bearzt-my.sharepoint.com/:b:/g/personal/sarellano_no-mii_com/EcGIPGxM8yVBoB1KJFkl0tcBWAwN0PS19LQwaGN3wup4Nw?e=0tX2r9" TargetMode="External"/><Relationship Id="rId128" Type="http://schemas.openxmlformats.org/officeDocument/2006/relationships/hyperlink" Target="https://bearzt-my.sharepoint.com/:b:/g/personal/sarellano_no-mii_com/EZSM5KvCEjlEgzGOmhWCdIkBR9irA0NWPnYNVq6MWD2K3g?e=KFuWtu" TargetMode="External"/><Relationship Id="rId335" Type="http://schemas.openxmlformats.org/officeDocument/2006/relationships/hyperlink" Target="https://bearzt-my.sharepoint.com/:b:/g/personal/sarellano_no-mii_com/ERvtfz69WQ5Fsm_xe1PaTzABWjlQd6oIdKM776yG7zPaIA?e=D3EO6r" TargetMode="External"/><Relationship Id="rId542" Type="http://schemas.openxmlformats.org/officeDocument/2006/relationships/hyperlink" Target="https://bearzt-my.sharepoint.com/:b:/g/personal/sarellano_no-mii_com/EQjYMvMh9RpLk5Gxm34BxYkBjytxfW3UL4AE2MySHM7b7Q?e=laU8cO" TargetMode="External"/><Relationship Id="rId987" Type="http://schemas.openxmlformats.org/officeDocument/2006/relationships/hyperlink" Target="https://bearzt-my.sharepoint.com/:b:/g/personal/sarellano_no-mii_com/IQB1OJJqNwcuSZpa7xzppkdhAXARw0HUWC_s4ljRvN7m-a0?e=EJewoP" TargetMode="External"/><Relationship Id="rId1172" Type="http://schemas.openxmlformats.org/officeDocument/2006/relationships/hyperlink" Target="https://bearzt-my.sharepoint.com/:b:/g/personal/sarellano_no-mii_com/IQAioKuV9KbSRb4IR4kvhu0yAZhE5zQJ_lbWy0ruuGzoMzA?e=TO8dny" TargetMode="External"/><Relationship Id="rId402" Type="http://schemas.openxmlformats.org/officeDocument/2006/relationships/hyperlink" Target="https://bearzt-my.sharepoint.com/:b:/g/personal/sarellano_no-mii_com/EQerfY-yoS5DtIQ2WdH5RFUBxwrgVG2n_uEbmdBjLUzNkw?e=G7hkRg" TargetMode="External"/><Relationship Id="rId847" Type="http://schemas.openxmlformats.org/officeDocument/2006/relationships/hyperlink" Target="https://bearzt-my.sharepoint.com/:b:/g/personal/sarellano_no-mii_com/IQAYVcY6mLytQ69lQsFs5z1XAZCGZmMMX72_6iXdHz7oxbQ?e=gBzxxr" TargetMode="External"/><Relationship Id="rId1032" Type="http://schemas.openxmlformats.org/officeDocument/2006/relationships/hyperlink" Target="https://bearzt-my.sharepoint.com/:b:/g/personal/sarellano_no-mii_com/IQD4OhiGBfoeQo0Q1g8GGH2UAajgSTXSejx9VlNn0rVjJBc?e=5DkztH" TargetMode="External"/><Relationship Id="rId707" Type="http://schemas.openxmlformats.org/officeDocument/2006/relationships/hyperlink" Target="https://bearzt-my.sharepoint.com/:b:/g/personal/sarellano_no-mii_com/EbzD6u6XPchJqGnHV0D8n3oBGUQhrW_Xq1CUPydGsIGm4w?e=u92EwZ" TargetMode="External"/><Relationship Id="rId914" Type="http://schemas.openxmlformats.org/officeDocument/2006/relationships/hyperlink" Target="https://bearzt-my.sharepoint.com/:b:/g/personal/sarellano_no-mii_com/IQB95xGuRhIyS6VegQpXzqXyAZHyQq4ZBQnildT1FWs07uY?e=98TzEU" TargetMode="External"/><Relationship Id="rId43" Type="http://schemas.openxmlformats.org/officeDocument/2006/relationships/hyperlink" Target="https://bearzt-my.sharepoint.com/:b:/g/personal/sarellano_no-mii_com/Ee_Z-9fyKmBFrnFjlcA21ZUBCJLW34t9XQG0ab4XIoYx7g?e=egzsfa" TargetMode="External"/><Relationship Id="rId192" Type="http://schemas.openxmlformats.org/officeDocument/2006/relationships/hyperlink" Target="https://bearzt-my.sharepoint.com/:b:/g/personal/sarellano_no-mii_com/EYNL6soDi4VKiiMh0Hijj6IB3lYY0EZTZGOoBhnYDmhiPQ?e=78RqpM" TargetMode="External"/><Relationship Id="rId497" Type="http://schemas.openxmlformats.org/officeDocument/2006/relationships/hyperlink" Target="https://bearzt-my.sharepoint.com/:b:/g/personal/sarellano_no-mii_com/EWezjky5AFlEjw96shAimasBpZupuA_sgj3NVwtGsQ-ynA?e=AnEPu5" TargetMode="External"/><Relationship Id="rId357" Type="http://schemas.openxmlformats.org/officeDocument/2006/relationships/hyperlink" Target="https://bearzt-my.sharepoint.com/:b:/g/personal/sarellano_no-mii_com/EW1dmouvughKrYI91EkoPlYBKN9aGhcmVAQiO5voTKa2nQ?e=glAW3d" TargetMode="External"/><Relationship Id="rId1194" Type="http://schemas.openxmlformats.org/officeDocument/2006/relationships/hyperlink" Target="https://bearzt-my.sharepoint.com/:b:/g/personal/sarellano_no-mii_com/IQAGBPNw1IlNSqjre0l4DaQOARNMd4Vdbt5y0Z25AwycTDI?e=MER0dJ" TargetMode="External"/><Relationship Id="rId217" Type="http://schemas.openxmlformats.org/officeDocument/2006/relationships/hyperlink" Target="https://bearzt-my.sharepoint.com/:b:/g/personal/sarellano_no-mii_com/EXC-deJzBudJh4gzORKwZkkBp8zDiniJPoisi_6n4AhxXw?e=HbEs9S" TargetMode="External"/><Relationship Id="rId564" Type="http://schemas.openxmlformats.org/officeDocument/2006/relationships/hyperlink" Target="https://bearzt-my.sharepoint.com/:b:/g/personal/sarellano_no-mii_com/EeTTdacF-UdCk_WsDUeqSKEB7YDxFun_55OglwBI_gwLEA?e=2W3Uoj" TargetMode="External"/><Relationship Id="rId771" Type="http://schemas.openxmlformats.org/officeDocument/2006/relationships/hyperlink" Target="https://bearzt-my.sharepoint.com/:b:/g/personal/sarellano_no-mii_com/IQAy5hADQtatT4X1l2w5KHEdAWsXoP2p5-cwKjC9U-j1u_s?e=aPz6CL" TargetMode="External"/><Relationship Id="rId869" Type="http://schemas.openxmlformats.org/officeDocument/2006/relationships/hyperlink" Target="https://bearzt-my.sharepoint.com/:b:/g/personal/sarellano_no-mii_com/IQDT1wGS6pkPR7OefkhSpahdAcgOjn9d8DuVRqrGKN8OJ9s?e=ThuZHt" TargetMode="External"/><Relationship Id="rId424" Type="http://schemas.openxmlformats.org/officeDocument/2006/relationships/hyperlink" Target="https://bearzt-my.sharepoint.com/:b:/g/personal/sarellano_no-mii_com/EeD69LTy4y1EkXxWUJa_JbYBLX6IYON3nNKSQJfSoixxuQ?e=OM2H2n" TargetMode="External"/><Relationship Id="rId631" Type="http://schemas.openxmlformats.org/officeDocument/2006/relationships/hyperlink" Target="https://bearzt-my.sharepoint.com/:b:/g/personal/sarellano_no-mii_com/EaZk5ckpGklPio_0uginCtQBDcznxXn4Ec5CE3bd5CZQuA?e=M2Rh1J" TargetMode="External"/><Relationship Id="rId729" Type="http://schemas.openxmlformats.org/officeDocument/2006/relationships/hyperlink" Target="https://bearzt-my.sharepoint.com/:b:/g/personal/sarellano_no-mii_com/EY3Hh4fE2KZKp0PluTde--MBIMroO3U6eRbF7NJekw5qEA?e=flKaZj" TargetMode="External"/><Relationship Id="rId1054" Type="http://schemas.openxmlformats.org/officeDocument/2006/relationships/hyperlink" Target="https://bearzt-my.sharepoint.com/:b:/g/personal/sarellano_no-mii_com/IQBU21KXTbY-T6bYCicW-NTlARcWQpIrsNTtGstEcW5EnHA?e=60POQh" TargetMode="External"/><Relationship Id="rId936" Type="http://schemas.openxmlformats.org/officeDocument/2006/relationships/hyperlink" Target="https://bearzt-my.sharepoint.com/:b:/g/personal/sarellano_no-mii_com/IQDeAs_AmgcmQrlpPc9QVwNBAYYSpbAXVvWJQXg466a_-g4?e=sNtOhl" TargetMode="External"/><Relationship Id="rId1121" Type="http://schemas.openxmlformats.org/officeDocument/2006/relationships/hyperlink" Target="https://bearzt-my.sharepoint.com/:i:/g/personal/sarellano_no-mii_com/IQCysQIusLKJQqq66Rp85PB4Acp6rNLPhHy795FM-7WPXI4?e=0tu4T7" TargetMode="External"/><Relationship Id="rId1219" Type="http://schemas.openxmlformats.org/officeDocument/2006/relationships/hyperlink" Target="https://bearzt-my.sharepoint.com/:b:/g/personal/sarellano_no-mii_com/IQDD49BZOw9mRpV2C7z8cT0AAaMKNc-wfKeypAV6a0VbXVk?e=5uaBBm" TargetMode="External"/><Relationship Id="rId65" Type="http://schemas.openxmlformats.org/officeDocument/2006/relationships/hyperlink" Target="https://bearzt-my.sharepoint.com/:b:/g/personal/sarellano_no-mii_com/EU02RyX818pKiy1wySnoCkMBXvp_JsFrpLpFYA-WzEwO6Q?e=4prleC" TargetMode="External"/><Relationship Id="rId281" Type="http://schemas.openxmlformats.org/officeDocument/2006/relationships/hyperlink" Target="https://bearzt-my.sharepoint.com/:b:/g/personal/sarellano_no-mii_com/EZ_o4rW60JFItflHOexiS3wB1Inqo9n16rQezLXV4zf5WQ?e=dzGxPa" TargetMode="External"/><Relationship Id="rId141" Type="http://schemas.openxmlformats.org/officeDocument/2006/relationships/hyperlink" Target="https://bearzt-my.sharepoint.com/:b:/g/personal/sarellano_no-mii_com/Ee2BiGFhvwxLqHRaSTqE5vwBqgOAX4eUN93yJRN4KnKXAA?e=XjMbg5" TargetMode="External"/><Relationship Id="rId379" Type="http://schemas.openxmlformats.org/officeDocument/2006/relationships/hyperlink" Target="https://bearzt-my.sharepoint.com/:b:/g/personal/sarellano_no-mii_com/EcdghnzxjM1Pry_FaX37uEMBTydzp8m8-9IC2U9DOdoYmw?e=hYkJkO" TargetMode="External"/><Relationship Id="rId586" Type="http://schemas.openxmlformats.org/officeDocument/2006/relationships/hyperlink" Target="https://bearzt-my.sharepoint.com/:b:/g/personal/sarellano_no-mii_com/EfSBMQj4rX5Fi6D1qBAarJsB24dVAOM8UqAG7XYNkcOlMw?e=bn444Z" TargetMode="External"/><Relationship Id="rId793" Type="http://schemas.openxmlformats.org/officeDocument/2006/relationships/hyperlink" Target="https://bearzt-my.sharepoint.com/:b:/g/personal/sarellano_no-mii_com/IQCs5hLlIobvT6bsTp2GGWmmAbO4uU_3YMMb9sgAzhJJrMo?e=Uvj56p" TargetMode="External"/><Relationship Id="rId7" Type="http://schemas.openxmlformats.org/officeDocument/2006/relationships/hyperlink" Target="https://bearzt-my.sharepoint.com/:b:/g/personal/sarellano_no-mii_com/Eb5OFrwZBdNBs5GLR-d98z8BmzgulBz7BHxvG7EzLd5zEA?e=BVm1ar" TargetMode="External"/><Relationship Id="rId239" Type="http://schemas.openxmlformats.org/officeDocument/2006/relationships/hyperlink" Target="https://bearzt-my.sharepoint.com/:b:/g/personal/sarellano_no-mii_com/Eal3Et4GamdNlnO80NxNi6YBliEPlqg_UwknNXETZ2onSQ?e=Gdscgp" TargetMode="External"/><Relationship Id="rId446" Type="http://schemas.openxmlformats.org/officeDocument/2006/relationships/hyperlink" Target="https://bearzt-my.sharepoint.com/:b:/g/personal/sarellano_no-mii_com/EaG8UnsJ1dZFk7qUAfrKHOsBFlEXJGfhmUPtK-5GFUEVzQ?e=QBphc9" TargetMode="External"/><Relationship Id="rId653" Type="http://schemas.openxmlformats.org/officeDocument/2006/relationships/hyperlink" Target="https://bearzt-my.sharepoint.com/:b:/g/personal/sarellano_no-mii_com/EckUVOmtUlVMhUMQgRbpCT4BhUZ4_EbdcziSo4IUF3UIqQ?e=BBHqxW" TargetMode="External"/><Relationship Id="rId1076" Type="http://schemas.openxmlformats.org/officeDocument/2006/relationships/hyperlink" Target="https://bearzt-my.sharepoint.com/:b:/g/personal/sarellano_no-mii_com/IQBGf0Goia-jR5jTd6U_C6r7ATwd8gCNCROL2tVOYzpoH-M?e=DwJ3yl" TargetMode="External"/><Relationship Id="rId306" Type="http://schemas.openxmlformats.org/officeDocument/2006/relationships/hyperlink" Target="https://bearzt-my.sharepoint.com/:b:/g/personal/sarellano_no-mii_com/EUe1KU-XRZ5IhMJHPMVUXxIBloF9-aw7pz3laNWP35BaSQ?e=fIashi" TargetMode="External"/><Relationship Id="rId860" Type="http://schemas.openxmlformats.org/officeDocument/2006/relationships/hyperlink" Target="https://bearzt-my.sharepoint.com/:b:/g/personal/sarellano_no-mii_com/IQCCsrHCzO1pQKE4jGzd-lIMAYYVnKOCbcI0nkOLUpa-E8s?e=CkROl0" TargetMode="External"/><Relationship Id="rId958" Type="http://schemas.openxmlformats.org/officeDocument/2006/relationships/hyperlink" Target="https://bearzt-my.sharepoint.com/:b:/g/personal/sarellano_no-mii_com/IQBGSr-lPn2fQr7v7dr2Guk6AYI8caxHFvRRE4LbDDbvvPo?e=nKAMSQ" TargetMode="External"/><Relationship Id="rId1143" Type="http://schemas.openxmlformats.org/officeDocument/2006/relationships/hyperlink" Target="https://bearzt-my.sharepoint.com/:b:/g/personal/sarellano_no-mii_com/IQC-_8RaEeHIQ5ldIPbs7UGBAQmokLaEkODDO8cGVKRAIZ8?e=o5MppD" TargetMode="External"/><Relationship Id="rId87" Type="http://schemas.openxmlformats.org/officeDocument/2006/relationships/hyperlink" Target="https://bearzt-my.sharepoint.com/:b:/g/personal/sarellano_no-mii_com/ERUIzHoueJpBvso9-y3pousBoXSqdzema5hPE-mLZKDc4w?e=ocB3qM" TargetMode="External"/><Relationship Id="rId513" Type="http://schemas.openxmlformats.org/officeDocument/2006/relationships/hyperlink" Target="https://bearzt-my.sharepoint.com/:b:/g/personal/sarellano_no-mii_com/ETWrsGSW40BCmErTjs3vSV0BGF1lN6hlfIUHeXTArT__sw?e=6bqcWu" TargetMode="External"/><Relationship Id="rId720" Type="http://schemas.openxmlformats.org/officeDocument/2006/relationships/hyperlink" Target="https://bearzt-my.sharepoint.com/:b:/g/personal/sarellano_no-mii_com/EbVuZqM2z9tEtlf6mVkCri0BRJFMdW9olYZ7mpXGE4pTwg?e=8LUxUI" TargetMode="External"/><Relationship Id="rId818" Type="http://schemas.openxmlformats.org/officeDocument/2006/relationships/hyperlink" Target="https://bearzt-my.sharepoint.com/:b:/g/personal/sarellano_no-mii_com/IQDDPZOvG6hXSoGkTaEH7r5_ATeA4LQIdqjtKDEXtijQpi8?e=zDMeDK" TargetMode="External"/><Relationship Id="rId1003" Type="http://schemas.openxmlformats.org/officeDocument/2006/relationships/hyperlink" Target="https://bearzt-my.sharepoint.com/:b:/g/personal/sarellano_no-mii_com/IQCNDVp47y0zQK14m2z0cPdYAXe2Db8_shrxi7Zt7yJLsjg?e=XZHJ9b" TargetMode="External"/><Relationship Id="rId1210" Type="http://schemas.openxmlformats.org/officeDocument/2006/relationships/hyperlink" Target="https://bearzt-my.sharepoint.com/:b:/g/personal/sarellano_no-mii_com/IQAf0gHoXFB_S4eubBlsHJFDAffnjPocspiUq80j308POYE?e=PV3hBg" TargetMode="External"/><Relationship Id="rId14" Type="http://schemas.openxmlformats.org/officeDocument/2006/relationships/hyperlink" Target="https://bearzt-my.sharepoint.com/:b:/g/personal/sarellano_no-mii_com/ERKwL7vb4dpHmIepqvZBG6ABBB1Td7x6nW3NbJ_kSPdq1g?e=Oltg64" TargetMode="External"/><Relationship Id="rId163" Type="http://schemas.openxmlformats.org/officeDocument/2006/relationships/hyperlink" Target="https://bearzt-my.sharepoint.com/:b:/g/personal/sarellano_no-mii_com/EVVoXq34SQxCjmDpLMOTluMBrFFg4yQUwf49OnAkkupeHg?e=k4db3r" TargetMode="External"/><Relationship Id="rId370" Type="http://schemas.openxmlformats.org/officeDocument/2006/relationships/hyperlink" Target="https://bearzt-my.sharepoint.com/:b:/g/personal/sarellano_no-mii_com/EWhtBkkuqFFHp4HyTrAwTk4BivxiBXx8K0Qxux2ZFBUW5w?e=xBQgct" TargetMode="External"/><Relationship Id="rId230" Type="http://schemas.openxmlformats.org/officeDocument/2006/relationships/hyperlink" Target="https://bearzt-my.sharepoint.com/:b:/g/personal/sarellano_no-mii_com/EUG3OpbgGDhPh1Z_vCYt3t4B2et3DOmQbt-ya_ExcFsYhQ?e=vmkBwv" TargetMode="External"/><Relationship Id="rId468" Type="http://schemas.openxmlformats.org/officeDocument/2006/relationships/hyperlink" Target="https://bearzt-my.sharepoint.com/:b:/g/personal/sarellano_no-mii_com/EfUu2mm4jPdArcdHObiHtxsB77dDNujPLzTPokFH7Ee5UQ?e=etJQ1d" TargetMode="External"/><Relationship Id="rId675" Type="http://schemas.openxmlformats.org/officeDocument/2006/relationships/hyperlink" Target="https://bearzt-my.sharepoint.com/:b:/g/personal/sarellano_no-mii_com/EeQBSIztlyJCopte3G4IGvkBFy7tvZkGufwIK9lgwPO09A?e=vYxKRP" TargetMode="External"/><Relationship Id="rId882" Type="http://schemas.openxmlformats.org/officeDocument/2006/relationships/hyperlink" Target="https://bearzt-my.sharepoint.com/:b:/g/personal/sarellano_no-mii_com/IQDb3iLPqoctRbi3RuVe4a68AZMHt5gwsm5GTeDtMuvmsBg?e=6fbyd7" TargetMode="External"/><Relationship Id="rId1098" Type="http://schemas.openxmlformats.org/officeDocument/2006/relationships/hyperlink" Target="https://bearzt-my.sharepoint.com/:b:/g/personal/sarellano_no-mii_com/IQA1pcQqdonyQ7w7167l3_mQAaXIUdvmvQmos1G9Xe_w6d4?e=zWE30e" TargetMode="External"/><Relationship Id="rId328" Type="http://schemas.openxmlformats.org/officeDocument/2006/relationships/hyperlink" Target="https://bearzt-my.sharepoint.com/:b:/g/personal/sarellano_no-mii_com/EWiG190tK1RGlUSv7DeIpY8Bw9a5wNJkcQxqWNg50YMOtg?e=WgabBa" TargetMode="External"/><Relationship Id="rId535" Type="http://schemas.openxmlformats.org/officeDocument/2006/relationships/hyperlink" Target="https://bearzt-my.sharepoint.com/:b:/g/personal/sarellano_no-mii_com/EcJAKP1foLRIrOka6Sxs5XUBBQR9ZH8OTfbwBHaObM56Vw?e=hskcab" TargetMode="External"/><Relationship Id="rId742" Type="http://schemas.openxmlformats.org/officeDocument/2006/relationships/hyperlink" Target="https://bearzt-my.sharepoint.com/:b:/g/personal/sarellano_no-mii_com/IQAxOXBGUYdHRLWip1KA-0daAZM5SY-uTbzFMuOca9Fx1fk?e=Rc632p" TargetMode="External"/><Relationship Id="rId1165" Type="http://schemas.openxmlformats.org/officeDocument/2006/relationships/hyperlink" Target="https://bearzt-my.sharepoint.com/:b:/g/personal/sarellano_no-mii_com/IQDjZJA4ggg1TZjOtCevFTR2AVimxf0aGPI-5k0bD78eagA?e=EGh3iS" TargetMode="External"/><Relationship Id="rId602" Type="http://schemas.openxmlformats.org/officeDocument/2006/relationships/hyperlink" Target="https://bearzt-my.sharepoint.com/:b:/g/personal/sarellano_no-mii_com/EZuIWnAU1lFCiFB5WRp9dScBixNWQcyizLyRUMKli7YJgA?e=SfkKCq" TargetMode="External"/><Relationship Id="rId1025" Type="http://schemas.openxmlformats.org/officeDocument/2006/relationships/hyperlink" Target="https://bearzt-my.sharepoint.com/:b:/g/personal/sarellano_no-mii_com/IQAUFtY24lyQSJvDuiuolvG5AZzvnZfIkjgsYmRHKj4NmBE?e=wVVCXc" TargetMode="External"/><Relationship Id="rId1232" Type="http://schemas.openxmlformats.org/officeDocument/2006/relationships/hyperlink" Target="https://bearzt-my.sharepoint.com/:b:/g/personal/sarellano_no-mii_com/IQCSpvWUF8q0TJQ6hxbphcUkAWjeDcW-T19gOwBGCNGH1vs?e=GLH1lw" TargetMode="External"/><Relationship Id="rId907" Type="http://schemas.openxmlformats.org/officeDocument/2006/relationships/hyperlink" Target="https://bearzt-my.sharepoint.com/:b:/g/personal/sarellano_no-mii_com/IQDs8Ul7A7blTaAttLrvy6hPAUQtj3olo9NaozIhxmxNedg?e=9jBMXc" TargetMode="External"/><Relationship Id="rId36" Type="http://schemas.openxmlformats.org/officeDocument/2006/relationships/hyperlink" Target="https://bearzt-my.sharepoint.com/:b:/g/personal/sarellano_no-mii_com/Eey8Z6tC8G5EnrpbT2q4YRcBmjTJwxQvbI9brPEp12rznw?e=b30Hli" TargetMode="External"/><Relationship Id="rId185" Type="http://schemas.openxmlformats.org/officeDocument/2006/relationships/hyperlink" Target="https://bearzt-my.sharepoint.com/:b:/g/personal/sarellano_no-mii_com/ERUgpcQRreZLllLtBugYJIkBRfVnFhVCe5h-tTC50kfqag?e=IVjx1T" TargetMode="External"/><Relationship Id="rId392" Type="http://schemas.openxmlformats.org/officeDocument/2006/relationships/hyperlink" Target="https://bearzt-my.sharepoint.com/:b:/g/personal/sarellano_no-mii_com/ESRBsvUh7OpErtRhwv2yh8EBZPJw_Ym8qwFRjB5lJOxz_A?e=IyeURI" TargetMode="External"/><Relationship Id="rId697" Type="http://schemas.openxmlformats.org/officeDocument/2006/relationships/hyperlink" Target="https://bearzt-my.sharepoint.com/:b:/g/personal/sarellano_no-mii_com/ESzrZIRhgUFEoVjonBvGThUBnc2NTdAubR9wz72RZzS9zA?e=EcCwX9" TargetMode="External"/><Relationship Id="rId252" Type="http://schemas.openxmlformats.org/officeDocument/2006/relationships/hyperlink" Target="https://bearzt-my.sharepoint.com/:b:/g/personal/sarellano_no-mii_com/ERzJTgCJ6dVDt64L_HrcG_0Bx5RoDA16_AUkx50xQARSqg?e=ASLwCQ" TargetMode="External"/><Relationship Id="rId1187" Type="http://schemas.openxmlformats.org/officeDocument/2006/relationships/hyperlink" Target="https://bearzt-my.sharepoint.com/:b:/g/personal/sarellano_no-mii_com/IQBTn223msMCQY-d5yA6RdNsAcqEl6SwIJlAoSDtH6vHjB4?e=SsY4rc" TargetMode="External"/><Relationship Id="rId112" Type="http://schemas.openxmlformats.org/officeDocument/2006/relationships/hyperlink" Target="https://bearzt-my.sharepoint.com/:b:/g/personal/sarellano_no-mii_com/EdAodPFRqvpIhw2nIYBuhKgBQoACv3FhaZoZFFbfqP6pzA?e=NdEHYl" TargetMode="External"/><Relationship Id="rId557" Type="http://schemas.openxmlformats.org/officeDocument/2006/relationships/hyperlink" Target="https://bearzt-my.sharepoint.com/:b:/g/personal/sarellano_no-mii_com/EScdSmOwbKhLp5bjXDbfMggBnjttBZrjcxguczzIPlN_ZQ?e=DqfWsD" TargetMode="External"/><Relationship Id="rId764" Type="http://schemas.openxmlformats.org/officeDocument/2006/relationships/hyperlink" Target="https://bearzt-my.sharepoint.com/:b:/g/personal/sarellano_no-mii_com/IQCksx9z277cTI3fInb431E2AeNjLiQd9vKiDvKjUp0Fhds?e=FrefpW" TargetMode="External"/><Relationship Id="rId971" Type="http://schemas.openxmlformats.org/officeDocument/2006/relationships/hyperlink" Target="https://bearzt-my.sharepoint.com/:b:/g/personal/sarellano_no-mii_com/IQDXI_0FJtpmQailzg4HcbMkATCokTgZPz9Rj83YrzxGc0c?e=oRtlph" TargetMode="External"/><Relationship Id="rId417" Type="http://schemas.openxmlformats.org/officeDocument/2006/relationships/hyperlink" Target="https://bearzt-my.sharepoint.com/:b:/g/personal/sarellano_no-mii_com/EZGzcv3DhCREkmwXXYT1tkIBAPtrwzqTes5T03ob8q9D2w?e=jifKe2" TargetMode="External"/><Relationship Id="rId624" Type="http://schemas.openxmlformats.org/officeDocument/2006/relationships/hyperlink" Target="https://bearzt-my.sharepoint.com/:b:/g/personal/sarellano_no-mii_com/EYB23cyd4rhPhbBNrnKNymQBXlXd65y9x9642hBwhiuu-A?e=RA2xeK" TargetMode="External"/><Relationship Id="rId831" Type="http://schemas.openxmlformats.org/officeDocument/2006/relationships/hyperlink" Target="https://bearzt-my.sharepoint.com/:b:/g/personal/sarellano_no-mii_com/IQDU67EuDPdtTb_Qoy_sGcR-AfVG809zfkk91f7LUmrA51I?e=9EPTYE" TargetMode="External"/><Relationship Id="rId1047" Type="http://schemas.openxmlformats.org/officeDocument/2006/relationships/hyperlink" Target="https://bearzt-my.sharepoint.com/:b:/g/personal/sarellano_no-mii_com/IQCW-EtWBqU7Q7ftEqsp0pCIAXXFhwjot2A-YqAG0gSK0Fw?e=MGCN4L" TargetMode="External"/><Relationship Id="rId929" Type="http://schemas.openxmlformats.org/officeDocument/2006/relationships/hyperlink" Target="https://bearzt-my.sharepoint.com/:b:/g/personal/sarellano_no-mii_com/IQCy0otpg5TDQpSKxiT6yOBfASBXV3NyqKkQvQGnOwpfLQM?e=2vRPum" TargetMode="External"/><Relationship Id="rId1114" Type="http://schemas.openxmlformats.org/officeDocument/2006/relationships/hyperlink" Target="https://bearzt-my.sharepoint.com/:i:/g/personal/sarellano_no-mii_com/IQDZYES2uehXS5cQTdTadOqdAeQUEHLIxybloVdt5MTlMr0?e=Aaerac" TargetMode="External"/><Relationship Id="rId58" Type="http://schemas.openxmlformats.org/officeDocument/2006/relationships/hyperlink" Target="https://bearzt-my.sharepoint.com/:b:/g/personal/sarellano_no-mii_com/EVTddVv9KYtOr36YJoIRPRkB88stednBQWW-1WUI20GLAg?e=suRLqi" TargetMode="External"/><Relationship Id="rId274" Type="http://schemas.openxmlformats.org/officeDocument/2006/relationships/hyperlink" Target="https://bearzt-my.sharepoint.com/:b:/g/personal/sarellano_no-mii_com/ESdqcVtYcLFLhrZcOQvxkJUBJiagPUDAQUhRvIqUQsLgQw?e=zhAfh3" TargetMode="External"/><Relationship Id="rId481" Type="http://schemas.openxmlformats.org/officeDocument/2006/relationships/hyperlink" Target="https://bearzt-my.sharepoint.com/:b:/g/personal/sarellano_no-mii_com/ES-leuZRLXpFknvuREtwKNsBJDpJZZP3sa85Myh7Ugogtw?e=bbbBG3" TargetMode="External"/><Relationship Id="rId134" Type="http://schemas.openxmlformats.org/officeDocument/2006/relationships/hyperlink" Target="https://bearzt-my.sharepoint.com/:b:/g/personal/sarellano_no-mii_com/EXcZiXbe7_5Kpn8rFQz9eokB7YQIplSw_QvBZUoeTxmrIQ?e=0IJ6JV" TargetMode="External"/><Relationship Id="rId579" Type="http://schemas.openxmlformats.org/officeDocument/2006/relationships/hyperlink" Target="https://bearzt-my.sharepoint.com/:b:/g/personal/sarellano_no-mii_com/EW2xiz8rpJNHqPQ5ziWGx9oB33kkmySWrnVPrk5tnoo3AA?e=mUTdhR" TargetMode="External"/><Relationship Id="rId786" Type="http://schemas.openxmlformats.org/officeDocument/2006/relationships/hyperlink" Target="https://bearzt-my.sharepoint.com/:i:/g/personal/sarellano_no-mii_com/IQCxDrgkRw9dSr434s1RphDBAQBMzGkREVfoPpquCTW0pvA?e=WFOerR" TargetMode="External"/><Relationship Id="rId993" Type="http://schemas.openxmlformats.org/officeDocument/2006/relationships/hyperlink" Target="https://bearzt-my.sharepoint.com/:b:/g/personal/sarellano_no-mii_com/IQCVwruf8KpBTox6QszIPlq7AZGIKZ5lves-muk-LFlSjI0?e=6TjrL2" TargetMode="External"/><Relationship Id="rId341" Type="http://schemas.openxmlformats.org/officeDocument/2006/relationships/hyperlink" Target="https://bearzt-my.sharepoint.com/:b:/g/personal/sarellano_no-mii_com/Ee5kyGaC_G5Ijuo3hKi8QMsB2B1gDV9B6lyeYepYHcE6-w?e=FK09Fa" TargetMode="External"/><Relationship Id="rId439" Type="http://schemas.openxmlformats.org/officeDocument/2006/relationships/hyperlink" Target="https://bearzt-my.sharepoint.com/:b:/g/personal/sarellano_no-mii_com/EdZ_6rFlMbBDphDTkrDDo0sBKBm3OppZb6WA124s97yZjw?e=hVQdyl" TargetMode="External"/><Relationship Id="rId646" Type="http://schemas.openxmlformats.org/officeDocument/2006/relationships/hyperlink" Target="https://bearzt-my.sharepoint.com/:b:/g/personal/sarellano_no-mii_com/ESiVqZIB3LRLrNzSPqiXU5sBdn5cWM1tAu8uAwcHt7NRkQ?e=iyhmTq" TargetMode="External"/><Relationship Id="rId1069" Type="http://schemas.openxmlformats.org/officeDocument/2006/relationships/hyperlink" Target="https://bearzt-my.sharepoint.com/:b:/g/personal/sarellano_no-mii_com/IQCR-xos6VCuTqiN6eA7KtbkAYGZpz-D-CfrxRLrz-C7M3M?e=SszWN1" TargetMode="External"/><Relationship Id="rId201" Type="http://schemas.openxmlformats.org/officeDocument/2006/relationships/hyperlink" Target="https://bearzt-my.sharepoint.com/:b:/g/personal/sarellano_no-mii_com/ETejm1lmoNhImR7hYleuZyoBt2FeCR0oZmyFGXz8FIMBOQ?e=97cFkm" TargetMode="External"/><Relationship Id="rId506" Type="http://schemas.openxmlformats.org/officeDocument/2006/relationships/hyperlink" Target="https://bearzt-my.sharepoint.com/:b:/g/personal/sarellano_no-mii_com/EfZ94mnvbX1LrM8DrkouEycBJ-Rl4A-hzC34V1JYUxtMPw?e=oSWrbr" TargetMode="External"/><Relationship Id="rId853" Type="http://schemas.openxmlformats.org/officeDocument/2006/relationships/hyperlink" Target="https://bearzt-my.sharepoint.com/:b:/g/personal/sarellano_no-mii_com/IQBMatttVKSORay9at3nQAzhAdgj1stgPugl9h_5WPvHCug?e=za60uc" TargetMode="External"/><Relationship Id="rId1136" Type="http://schemas.openxmlformats.org/officeDocument/2006/relationships/hyperlink" Target="https://bearzt-my.sharepoint.com/:b:/g/personal/sarellano_no-mii_com/IQA5BRQnTiPBQqBCZQ4CmeMrAZE6neSgFFPZIVl_l-t8miQ?e=mdBBmb" TargetMode="External"/><Relationship Id="rId713" Type="http://schemas.openxmlformats.org/officeDocument/2006/relationships/hyperlink" Target="https://bearzt-my.sharepoint.com/:b:/g/personal/sarellano_no-mii_com/EfvW6-L0QfBAsR6FLA3Y8ZIB7BmtLHrPIzm5IfiF7i0Zhg?e=xMFfWi" TargetMode="External"/><Relationship Id="rId920" Type="http://schemas.openxmlformats.org/officeDocument/2006/relationships/hyperlink" Target="https://bearzt-my.sharepoint.com/:b:/g/personal/sarellano_no-mii_com/EXwGuZHEwmZFgoH_ytmneUkBxusWDp0qad9QX6e9rgD75Q?e=FGsThX" TargetMode="External"/><Relationship Id="rId1203" Type="http://schemas.openxmlformats.org/officeDocument/2006/relationships/hyperlink" Target="https://bearzt-my.sharepoint.com/:b:/g/personal/sarellano_no-mii_com/IQAjwh3iBsUsSbW9ennxNN7LAekkQUaZI8-_t20MjjWyBFA?e=eQfbSz" TargetMode="External"/><Relationship Id="rId296" Type="http://schemas.openxmlformats.org/officeDocument/2006/relationships/hyperlink" Target="https://bearzt-my.sharepoint.com/:b:/g/personal/sarellano_no-mii_com/EV7CDIj8hIJKqRuahXLQfmoBGSfpdv5e57NTwHsdH8W7xQ?e=IlG9Q9" TargetMode="External"/><Relationship Id="rId156" Type="http://schemas.openxmlformats.org/officeDocument/2006/relationships/hyperlink" Target="https://bearzt-my.sharepoint.com/:b:/g/personal/sarellano_no-mii_com/ETwEygF_pjdKm2iMhtoxGy8BItDwxlXDX4JATaPW1_mRAw?e=9rKD9u" TargetMode="External"/><Relationship Id="rId363" Type="http://schemas.openxmlformats.org/officeDocument/2006/relationships/hyperlink" Target="https://bearzt-my.sharepoint.com/:b:/g/personal/sarellano_no-mii_com/ETlQUUY_HUFNuFf_tmrz21kBBoLcy7wO52c46HM6MmG7og?e=AfNA4g" TargetMode="External"/><Relationship Id="rId570" Type="http://schemas.openxmlformats.org/officeDocument/2006/relationships/hyperlink" Target="https://bearzt-my.sharepoint.com/:b:/g/personal/sarellano_no-mii_com/EUNxra_kCelMsYvnPfmQA-gBpsMN_KzSM5kp65FBcZFDpg?e=moD573" TargetMode="External"/><Relationship Id="rId223" Type="http://schemas.openxmlformats.org/officeDocument/2006/relationships/hyperlink" Target="https://bearzt-my.sharepoint.com/:b:/g/personal/sarellano_no-mii_com/ESQNS8QLSZpGsmTjHU0Ps9QBfDSM3OodJ4u5jwZ98BFpzg?e=QxfX4x" TargetMode="External"/><Relationship Id="rId430" Type="http://schemas.openxmlformats.org/officeDocument/2006/relationships/hyperlink" Target="https://bearzt-my.sharepoint.com/:b:/g/personal/sarellano_no-mii_com/EeGi_6GuZrRIrtgusNI45NABF3_4Wvp1O7lLFKPeVxvkgw?e=BWDj4H" TargetMode="External"/><Relationship Id="rId668" Type="http://schemas.openxmlformats.org/officeDocument/2006/relationships/hyperlink" Target="https://bearzt-my.sharepoint.com/:b:/g/personal/sarellano_no-mii_com/EWMqkMT9uxpDqAGf0Jzyu-gBlBQOFfk6wWzKm6DfWcIceQ?e=6Gl3VR" TargetMode="External"/><Relationship Id="rId875" Type="http://schemas.openxmlformats.org/officeDocument/2006/relationships/hyperlink" Target="https://bearzt-my.sharepoint.com/:b:/g/personal/sarellano_no-mii_com/IQC1v-4pQbk_RbU8P4ggn-CTASxvofARjJZYy84AfHqVD-0?e=1b9kov" TargetMode="External"/><Relationship Id="rId1060" Type="http://schemas.openxmlformats.org/officeDocument/2006/relationships/hyperlink" Target="https://bearzt-my.sharepoint.com/:b:/g/personal/sarellano_no-mii_com/IQB5FAAp768hTrbX2tGUtVS-AaXR0pdidI08W2k5UKKeoM4?e=23u6VE" TargetMode="External"/><Relationship Id="rId528" Type="http://schemas.openxmlformats.org/officeDocument/2006/relationships/hyperlink" Target="https://bearzt-my.sharepoint.com/:b:/g/personal/sarellano_no-mii_com/EYkPKLk3EjhKsmaxa4PiaugBkVGzRdcHCKKiCw7CL0V_mw?e=JZ5Zxh" TargetMode="External"/><Relationship Id="rId735" Type="http://schemas.openxmlformats.org/officeDocument/2006/relationships/hyperlink" Target="https://bearzt-my.sharepoint.com/:b:/g/personal/sarellano_no-mii_com/EcnDnZNrB9FNhFXcGkwWMAMBCnxWIxhtMW3OLotiqUtdAw?e=UfIux8" TargetMode="External"/><Relationship Id="rId942" Type="http://schemas.openxmlformats.org/officeDocument/2006/relationships/hyperlink" Target="https://bearzt-my.sharepoint.com/:b:/g/personal/sarellano_no-mii_com/IQA-MR6UTCNuTZRcfAtytR2tAY0NZzidrQD9IqAbTzgNHXk?e=EhoTnq" TargetMode="External"/><Relationship Id="rId1158" Type="http://schemas.openxmlformats.org/officeDocument/2006/relationships/hyperlink" Target="https://bearzt-my.sharepoint.com/:b:/g/personal/sarellano_no-mii_com/IQBD2sHAP4dNRqqhOaWWOm26AcehQf4MUm8UyarVckO61cg?e=Skihba" TargetMode="External"/><Relationship Id="rId1018" Type="http://schemas.openxmlformats.org/officeDocument/2006/relationships/hyperlink" Target="https://bearzt-my.sharepoint.com/:b:/g/personal/sarellano_no-mii_com/IQA74nOrwbFASrC0X0g5280LATTr_BcY7Tl-a9nz3REzR88?e=EV9QnE" TargetMode="External"/><Relationship Id="rId1225" Type="http://schemas.openxmlformats.org/officeDocument/2006/relationships/hyperlink" Target="https://bearzt-my.sharepoint.com/:b:/g/personal/sarellano_no-mii_com/IQD8_F67M2f5Qagt5SSZuApUAa9tX2nPbxrF758nkK5lVJk?e=uKsOFB" TargetMode="External"/><Relationship Id="rId71" Type="http://schemas.openxmlformats.org/officeDocument/2006/relationships/hyperlink" Target="https://bearzt-my.sharepoint.com/:b:/g/personal/sarellano_no-mii_com/EaSjM_jxCttLl4MaeSb_4g8BU7pF5xyAqcAS66RG-uBdbA?e=Efjlkr" TargetMode="External"/><Relationship Id="rId802" Type="http://schemas.openxmlformats.org/officeDocument/2006/relationships/hyperlink" Target="https://bearzt-my.sharepoint.com/:b:/g/personal/sarellano_no-mii_com/IQBjj8e0luIjQqcvhWX-GRa1AR6mMX36FcSP-1pH8hGns3o?e=69j1YC" TargetMode="External"/><Relationship Id="rId29" Type="http://schemas.openxmlformats.org/officeDocument/2006/relationships/hyperlink" Target="https://bearzt-my.sharepoint.com/:b:/g/personal/sarellano_no-mii_com/EU5hIed0QFxJsPFNpcDOAB0B1PTZmYabfXvVOoS2q76AbA?e=BPMvDy" TargetMode="External"/><Relationship Id="rId178" Type="http://schemas.openxmlformats.org/officeDocument/2006/relationships/hyperlink" Target="https://bearzt-my.sharepoint.com/:b:/g/personal/sarellano_no-mii_com/Efl1xyaADHhCrx9u0L3pzXUBU-xDjBMiUW2rO9ZWmpqRkw?e=wOzUlW" TargetMode="External"/><Relationship Id="rId385" Type="http://schemas.openxmlformats.org/officeDocument/2006/relationships/hyperlink" Target="https://bearzt-my.sharepoint.com/:b:/g/personal/sarellano_no-mii_com/EbFjPv2p3FlDt0QYZHyoNh4Bzl8F9woASI2KniRLrkwB9w?e=P60cRY" TargetMode="External"/><Relationship Id="rId592" Type="http://schemas.openxmlformats.org/officeDocument/2006/relationships/hyperlink" Target="https://bearzt-my.sharepoint.com/:b:/g/personal/sarellano_no-mii_com/EfwAUAxPPSxFjWiUZsWNwckB2SRc1-rM4tm9Nnr4-jTQRA?e=4ckmPj" TargetMode="External"/><Relationship Id="rId245" Type="http://schemas.openxmlformats.org/officeDocument/2006/relationships/hyperlink" Target="https://bearzt-my.sharepoint.com/:b:/g/personal/sarellano_no-mii_com/EfuMGCREyw1Btfhwz5Qan1ABJAtwvZgGNxK6m2qIoS6bmg?e=ep005L" TargetMode="External"/><Relationship Id="rId452" Type="http://schemas.openxmlformats.org/officeDocument/2006/relationships/hyperlink" Target="https://bearzt-my.sharepoint.com/:b:/g/personal/sarellano_no-mii_com/EQkAPlmSHt1JgZcwS7t2kPEB9jcNPSJSYyXdVQCRciKjKg?e=Fs6Nxx" TargetMode="External"/><Relationship Id="rId897" Type="http://schemas.openxmlformats.org/officeDocument/2006/relationships/hyperlink" Target="https://bearzt-my.sharepoint.com/:b:/g/personal/sarellano_no-mii_com/IQD31EafvSCoQLNAX9bXuhX_AX6tkXeibA6l3mlOy2t9PV0?e=h4apK5" TargetMode="External"/><Relationship Id="rId1082" Type="http://schemas.openxmlformats.org/officeDocument/2006/relationships/hyperlink" Target="https://bearzt-my.sharepoint.com/:i:/g/personal/sarellano_no-mii_com/IQBBbp7gCE_VSaGsus8N_WRGAf7fWUGN_9dcOEVA8Wree2Y?e=jqjMtW" TargetMode="External"/><Relationship Id="rId105" Type="http://schemas.openxmlformats.org/officeDocument/2006/relationships/hyperlink" Target="https://bearzt-my.sharepoint.com/:b:/g/personal/sarellano_no-mii_com/EYPYwFW7EhlLn5IR5nS0krkBTuOBgm2-VFgXYL4drV0WOQ?e=8zCMGy" TargetMode="External"/><Relationship Id="rId312" Type="http://schemas.openxmlformats.org/officeDocument/2006/relationships/hyperlink" Target="https://bearzt-my.sharepoint.com/:b:/g/personal/sarellano_no-mii_com/ERMdGapnR0VNokEP72Ydkp0BCSUVfQXOrDkm0JblKKSfew?e=AYR0Xr" TargetMode="External"/><Relationship Id="rId757" Type="http://schemas.openxmlformats.org/officeDocument/2006/relationships/hyperlink" Target="https://bearzt-my.sharepoint.com/:b:/g/personal/sarellano_no-mii_com/IQCSMsnZFdlCQJqx9kCKvtHaAWo3z268px487qqZmmd2jLs?e=A2qwcy" TargetMode="External"/><Relationship Id="rId964" Type="http://schemas.openxmlformats.org/officeDocument/2006/relationships/hyperlink" Target="https://bearzt-my.sharepoint.com/:b:/g/personal/sarellano_no-mii_com/IQCymwFTHt_bSJ37PfHdB9ZQAUYGvA2l48KcWtComiVz7-Y?e=4ldbeN" TargetMode="External"/><Relationship Id="rId93" Type="http://schemas.openxmlformats.org/officeDocument/2006/relationships/hyperlink" Target="https://bearzt-my.sharepoint.com/:b:/g/personal/sarellano_no-mii_com/ESr2-qVbibpCoZdJ9AVy0iEBmPdyxiUGL9qVKrZxncOwng?e=3S5kLC" TargetMode="External"/><Relationship Id="rId189" Type="http://schemas.openxmlformats.org/officeDocument/2006/relationships/hyperlink" Target="https://bearzt-my.sharepoint.com/:b:/g/personal/sarellano_no-mii_com/EQS_5iCUL2lKl6iPiRh17oIBKErFm6wjVSzahr7FQTzxSA?e=CvFJy1" TargetMode="External"/><Relationship Id="rId396" Type="http://schemas.openxmlformats.org/officeDocument/2006/relationships/hyperlink" Target="https://bearzt-my.sharepoint.com/:b:/g/personal/sarellano_no-mii_com/EVJZCCh4MzVPpr8cRD0L24kBslgyFP0Ae3IjQo6MDZrcdw?e=7hOVuC" TargetMode="External"/><Relationship Id="rId617" Type="http://schemas.openxmlformats.org/officeDocument/2006/relationships/hyperlink" Target="https://bearzt-my.sharepoint.com/:b:/g/personal/sarellano_no-mii_com/EanjiTSyWN9MmgFLC5y-xYQB3dmw_YMBQknfKTaKRfBsSw?e=hUXPX9" TargetMode="External"/><Relationship Id="rId824" Type="http://schemas.openxmlformats.org/officeDocument/2006/relationships/hyperlink" Target="https://bearzt-my.sharepoint.com/:b:/g/personal/sarellano_no-mii_com/IQCOMbDw3i1sR4bG8I_Fn6caAUu1mDXK02Z_HQVi-S7SMs8?e=p7SRSk" TargetMode="External"/><Relationship Id="rId256" Type="http://schemas.openxmlformats.org/officeDocument/2006/relationships/hyperlink" Target="https://bearzt-my.sharepoint.com/:b:/g/personal/sarellano_no-mii_com/EaAHMfDVTIdFlW3QQ5WaV7YBk4i-CohDGSHhM0Qe9glqvg?e=hebTnk" TargetMode="External"/><Relationship Id="rId463" Type="http://schemas.openxmlformats.org/officeDocument/2006/relationships/hyperlink" Target="https://bearzt-my.sharepoint.com/:b:/g/personal/sarellano_no-mii_com/EZVRDf3RBXBGizyE5psKiZcBg5ltvzJt21aOAlbK5E5Z9A?e=YaQfKa" TargetMode="External"/><Relationship Id="rId670" Type="http://schemas.openxmlformats.org/officeDocument/2006/relationships/hyperlink" Target="https://bearzt-my.sharepoint.com/:b:/g/personal/sarellano_no-mii_com/EY5wLgTQ5mxEl2_xm9C1bPEBPyDko4ox1My6I0aGbpNBig?e=Gjl5qf" TargetMode="External"/><Relationship Id="rId1093" Type="http://schemas.openxmlformats.org/officeDocument/2006/relationships/hyperlink" Target="https://bearzt-my.sharepoint.com/:b:/g/personal/sarellano_no-mii_com/IQCDQ0mhsQsYQLxhPNi18qKNAfvtze82VV8r7icawCNgg_Y?e=eYxTXz" TargetMode="External"/><Relationship Id="rId1107" Type="http://schemas.openxmlformats.org/officeDocument/2006/relationships/hyperlink" Target="https://bearzt-my.sharepoint.com/:i:/g/personal/sarellano_no-mii_com/IQAmxq56Eq1xS4agGbzRTSNRAUL3Al_4OA6dGSo9nD5UZvA?e=UvChow" TargetMode="External"/><Relationship Id="rId116" Type="http://schemas.openxmlformats.org/officeDocument/2006/relationships/hyperlink" Target="https://bearzt-my.sharepoint.com/:b:/g/personal/sarellano_no-mii_com/Ed8HXQDC85FOvSSKkjee7psBqHb5ucJ6KpVws8piSTVXbQ?e=HUrgEc" TargetMode="External"/><Relationship Id="rId323" Type="http://schemas.openxmlformats.org/officeDocument/2006/relationships/hyperlink" Target="https://bearzt-my.sharepoint.com/:b:/g/personal/sarellano_no-mii_com/EdCIewbc6MJLhp0ZHKWxjYQBpnYOX8eplpFfKcAG3jkcyg?e=9DhIKH" TargetMode="External"/><Relationship Id="rId530" Type="http://schemas.openxmlformats.org/officeDocument/2006/relationships/hyperlink" Target="https://bearzt-my.sharepoint.com/:b:/g/personal/sarellano_no-mii_com/EYC73Epm82lCgXPb70dxCc8BkxQLzFESHd4uDhJQ-9-66Q?e=WLFDAM" TargetMode="External"/><Relationship Id="rId768" Type="http://schemas.openxmlformats.org/officeDocument/2006/relationships/hyperlink" Target="https://bearzt-my.sharepoint.com/:b:/g/personal/sarellano_no-mii_com/IQDs1m7yHappR6Mq6-vs7pgaAdneShjrBliwHb3l7UGh3BI?e=2QO0gD" TargetMode="External"/><Relationship Id="rId975" Type="http://schemas.openxmlformats.org/officeDocument/2006/relationships/hyperlink" Target="https://bearzt-my.sharepoint.com/:b:/g/personal/sarellano_no-mii_com/IQBHY4iVi0TASLLpuEoaJMyYAabLciGG9DdvGa3VYWAuBxM?e=8hDsP0" TargetMode="External"/><Relationship Id="rId1160" Type="http://schemas.openxmlformats.org/officeDocument/2006/relationships/hyperlink" Target="https://bearzt-my.sharepoint.com/:b:/g/personal/sarellano_no-mii_com/IQB7Jy613VpWQoGWU0r-kJfQAWv8LG_7Kr7s-Cc38kD152s?e=KDzmoq" TargetMode="External"/><Relationship Id="rId20" Type="http://schemas.openxmlformats.org/officeDocument/2006/relationships/hyperlink" Target="https://bearzt-my.sharepoint.com/:b:/g/personal/sarellano_no-mii_com/EcKjQBW0QzVEtS5GYDjS8h0BHjLn_hqaIw1MzAAKKmv-hQ?e=LqWtB9" TargetMode="External"/><Relationship Id="rId628" Type="http://schemas.openxmlformats.org/officeDocument/2006/relationships/hyperlink" Target="https://bearzt-my.sharepoint.com/:b:/g/personal/sarellano_no-mii_com/EZspBXpuFV5JtthebYwfvowBM7sZVIN3c2d_277bhr_p6g?e=iOpC0u" TargetMode="External"/><Relationship Id="rId835" Type="http://schemas.openxmlformats.org/officeDocument/2006/relationships/hyperlink" Target="https://bearzt-my.sharepoint.com/:b:/g/personal/sarellano_no-mii_com/IQDJreQQq7lPTJHFUVhEcfzSAVyVNb5c7BEr20ObI6G_fp4?e=iOfbyJ" TargetMode="External"/><Relationship Id="rId267" Type="http://schemas.openxmlformats.org/officeDocument/2006/relationships/hyperlink" Target="https://bearzt-my.sharepoint.com/:b:/g/personal/sarellano_no-mii_com/EX3bTqMSbSpJux-AMFxrhmYBqhmRxEyGUBcA3gomh7hnJg?e=WK2MI9" TargetMode="External"/><Relationship Id="rId474" Type="http://schemas.openxmlformats.org/officeDocument/2006/relationships/hyperlink" Target="https://bearzt-my.sharepoint.com/:b:/g/personal/sarellano_no-mii_com/EcrsirGvLnpCtximl83SfVQB8IK59FBYofIlOPI_EvOsBA?e=WAxcEF" TargetMode="External"/><Relationship Id="rId1020" Type="http://schemas.openxmlformats.org/officeDocument/2006/relationships/hyperlink" Target="https://bearzt-my.sharepoint.com/:b:/g/personal/sarellano_no-mii_com/IQDRR0G4deiOQ6vIKkRlukbxAddAU4VLUMnydgxSErKpkqI?e=XaQuBQ" TargetMode="External"/><Relationship Id="rId1118" Type="http://schemas.openxmlformats.org/officeDocument/2006/relationships/hyperlink" Target="https://bearzt-my.sharepoint.com/:b:/g/personal/sarellano_no-mii_com/IQCagSOYGTgzSpl66HaqKPQtAcQ6UjE2g7Epdb4j452jS_8?e=bNLhr5" TargetMode="External"/><Relationship Id="rId127" Type="http://schemas.openxmlformats.org/officeDocument/2006/relationships/hyperlink" Target="https://bearzt-my.sharepoint.com/:b:/g/personal/sarellano_no-mii_com/ERlqLmz4HvZJgN5kvxnkeaIBHlqVcg39v5IJ3oLtyVQpPA?e=55CbvO" TargetMode="External"/><Relationship Id="rId681" Type="http://schemas.openxmlformats.org/officeDocument/2006/relationships/hyperlink" Target="https://bearzt-my.sharepoint.com/:b:/g/personal/sarellano_no-mii_com/EQQ_Yd4UZlBPhV33gMUvdocBJCuWPaY-X7AUFx7cKnLwTw?e=zexZL0" TargetMode="External"/><Relationship Id="rId779" Type="http://schemas.openxmlformats.org/officeDocument/2006/relationships/hyperlink" Target="https://bearzt-my.sharepoint.com/:b:/g/personal/sarellano_no-mii_com/IQDag85u4ereR6zutom_OSjTAaKotyX9vPFUuGl1q_zMg9g?e=Xqxy1b" TargetMode="External"/><Relationship Id="rId902" Type="http://schemas.openxmlformats.org/officeDocument/2006/relationships/hyperlink" Target="https://bearzt-my.sharepoint.com/:b:/g/personal/sarellano_no-mii_com/IQCZXUDrRlhfRY5o46wvS4CnAdQcJ1MTF2P6mOcZZuXQCRA?e=ERQiYp" TargetMode="External"/><Relationship Id="rId986" Type="http://schemas.openxmlformats.org/officeDocument/2006/relationships/hyperlink" Target="https://bearzt-my.sharepoint.com/:b:/g/personal/sarellano_no-mii_com/IQBduNY2MO0GTrBo-zf04GvZAWfxJFZUsRUxNda5zV43qXk?e=zBOTNK" TargetMode="External"/><Relationship Id="rId31" Type="http://schemas.openxmlformats.org/officeDocument/2006/relationships/hyperlink" Target="https://bearzt-my.sharepoint.com/:b:/g/personal/sarellano_no-mii_com/ERr-HHNDScpEhhBvNFfMDaYBn0a8aqAnfBa5-zPGt3UdrQ?e=0UR31B" TargetMode="External"/><Relationship Id="rId334" Type="http://schemas.openxmlformats.org/officeDocument/2006/relationships/hyperlink" Target="https://bearzt-my.sharepoint.com/:b:/g/personal/sarellano_no-mii_com/EZ_l19fDK6FMl0hfIyLXOTEBWcIb7dYFjB34dg2eho81yw?e=B6xkJY" TargetMode="External"/><Relationship Id="rId541" Type="http://schemas.openxmlformats.org/officeDocument/2006/relationships/hyperlink" Target="https://bearzt-my.sharepoint.com/:b:/g/personal/sarellano_no-mii_com/EeYYdVLtSX5Js5qsKoB2-z0B0MZPkh5YhTQBHQD50pR7fw?e=Lwsbkh" TargetMode="External"/><Relationship Id="rId639" Type="http://schemas.openxmlformats.org/officeDocument/2006/relationships/hyperlink" Target="https://bearzt-my.sharepoint.com/:b:/g/personal/sarellano_no-mii_com/EZsZltV20kBAnxZxVlouV4EBKSnqFbiBgI4Els9MaxspLw?e=ZhaZ2d" TargetMode="External"/><Relationship Id="rId1171" Type="http://schemas.openxmlformats.org/officeDocument/2006/relationships/hyperlink" Target="https://bearzt-my.sharepoint.com/:b:/g/personal/sarellano_no-mii_com/IQAKzlao1XbARZK5k5wph5f_Ad1bEjiINH_imRwz3ManPcw?e=SfqMJj" TargetMode="External"/><Relationship Id="rId180" Type="http://schemas.openxmlformats.org/officeDocument/2006/relationships/hyperlink" Target="https://bearzt-my.sharepoint.com/:b:/g/personal/sarellano_no-mii_com/EaKXCMg2rhhJl2zXsDVeg4QBnRXow62INeRjt0ArbbmDtw?e=sufyPk" TargetMode="External"/><Relationship Id="rId278" Type="http://schemas.openxmlformats.org/officeDocument/2006/relationships/hyperlink" Target="https://bearzt-my.sharepoint.com/:b:/g/personal/sarellano_no-mii_com/ETEWUvxdWH9GqsYz6HyNHGkBSmdGlFmTk6XXLgYbNssLGA?e=93m6l1" TargetMode="External"/><Relationship Id="rId401" Type="http://schemas.openxmlformats.org/officeDocument/2006/relationships/hyperlink" Target="https://bearzt-my.sharepoint.com/:b:/g/personal/sarellano_no-mii_com/Ee8KBMSXaxlPsL82jhzcYy0BLCU8Esx84cPrSdmyomcp0A?e=035AM4" TargetMode="External"/><Relationship Id="rId846" Type="http://schemas.openxmlformats.org/officeDocument/2006/relationships/hyperlink" Target="https://bearzt-my.sharepoint.com/:b:/g/personal/sarellano_no-mii_com/IQAhUdeE_G1BSJimx8mxWRN4AV01O-QvhbZGWyrEWpEGlx4?e=xVChXy" TargetMode="External"/><Relationship Id="rId1031" Type="http://schemas.openxmlformats.org/officeDocument/2006/relationships/hyperlink" Target="https://bearzt-my.sharepoint.com/:b:/g/personal/sarellano_no-mii_com/IQCpaKQQMaJXQL18bw6Yq0BgAXlp6dCoknDN6Ae93Wsj194?e=fY9Fcs" TargetMode="External"/><Relationship Id="rId1129" Type="http://schemas.openxmlformats.org/officeDocument/2006/relationships/hyperlink" Target="https://bearzt-my.sharepoint.com/:b:/g/personal/sarellano_no-mii_com/IQChNK67zT_jQJL638x9Pf-aAciGc7UMWmzHR2aAV035cKI?e=liDW7H" TargetMode="External"/><Relationship Id="rId485" Type="http://schemas.openxmlformats.org/officeDocument/2006/relationships/hyperlink" Target="https://bearzt-my.sharepoint.com/:b:/g/personal/sarellano_no-mii_com/EQkm6mstMO1Lqn0LHBJ4mjABF4nJs0wVxoCmgW1Z0TVWNA?e=cewkEV" TargetMode="External"/><Relationship Id="rId692" Type="http://schemas.openxmlformats.org/officeDocument/2006/relationships/hyperlink" Target="https://bearzt-my.sharepoint.com/:b:/g/personal/sarellano_no-mii_com/ETPGSsvOxpVGpQ9Q6CTz4l0BnmcU23uSJM4zjXdMxNdFsQ?e=Q2TWv3" TargetMode="External"/><Relationship Id="rId706" Type="http://schemas.openxmlformats.org/officeDocument/2006/relationships/hyperlink" Target="https://bearzt-my.sharepoint.com/:b:/g/personal/sarellano_no-mii_com/EaJqgdWgASpLgvHnbCe6wCoB1l31N5XCWzZ6yDYZDCfzLg?e=2fquHe" TargetMode="External"/><Relationship Id="rId913" Type="http://schemas.openxmlformats.org/officeDocument/2006/relationships/hyperlink" Target="https://bearzt-my.sharepoint.com/:b:/g/personal/sarellano_no-mii_com/IQCOMVtdu0raTpRU8HZjP2UnAVmtga12pRyqSRGMOrzTKO4?e=FSyZ2t" TargetMode="External"/><Relationship Id="rId42" Type="http://schemas.openxmlformats.org/officeDocument/2006/relationships/hyperlink" Target="https://bearzt-my.sharepoint.com/:b:/g/personal/sarellano_no-mii_com/EetZkrhnah1Gse4Hfnlrfd8BmPwwBGbSIN7M57Xnjr5RNQ?e=YWU1pi" TargetMode="External"/><Relationship Id="rId138" Type="http://schemas.openxmlformats.org/officeDocument/2006/relationships/hyperlink" Target="https://bearzt-my.sharepoint.com/:b:/g/personal/sarellano_no-mii_com/ESI-i-asouxPlruPyxtu_HUBT0Ybfb1L8p7Vkrjy0pmTnA?e=PLAs2Z" TargetMode="External"/><Relationship Id="rId345" Type="http://schemas.openxmlformats.org/officeDocument/2006/relationships/hyperlink" Target="https://bearzt-my.sharepoint.com/:b:/g/personal/sarellano_no-mii_com/EY8-JfDYfYFMsWb3Nv2Vp38B-fP0ewHqJyaBes_orIdVFg?e=3ZQnbj" TargetMode="External"/><Relationship Id="rId552" Type="http://schemas.openxmlformats.org/officeDocument/2006/relationships/hyperlink" Target="https://bearzt-my.sharepoint.com/:b:/g/personal/sarellano_no-mii_com/ETOCmWztkgNJtjkypGEENJIBQD6XIkI5I5u7VdG60pq83Q?e=8n1E4g" TargetMode="External"/><Relationship Id="rId997" Type="http://schemas.openxmlformats.org/officeDocument/2006/relationships/hyperlink" Target="https://bearzt-my.sharepoint.com/:b:/g/personal/sarellano_no-mii_com/IQBaJkEfHUzqTKHS_JjqxwUnAbiMU1j106qzwc-7NIh15VU?e=3MjnfP" TargetMode="External"/><Relationship Id="rId1182" Type="http://schemas.openxmlformats.org/officeDocument/2006/relationships/hyperlink" Target="https://bearzt-my.sharepoint.com/:b:/g/personal/sarellano_no-mii_com/IQCaoYJLai2aT6lBdjAi9I5xAV1wjQPuv-CbQhakkXfIvas?e=p0UgNl" TargetMode="External"/><Relationship Id="rId191" Type="http://schemas.openxmlformats.org/officeDocument/2006/relationships/hyperlink" Target="https://bearzt-my.sharepoint.com/:b:/g/personal/sarellano_no-mii_com/EZIMFruqji1Ij3z3aM8dLxEBwDnG6qzup-tgJKNIP0YvqA?e=26bgie" TargetMode="External"/><Relationship Id="rId205" Type="http://schemas.openxmlformats.org/officeDocument/2006/relationships/hyperlink" Target="https://bearzt-my.sharepoint.com/:b:/g/personal/sarellano_no-mii_com/EYeP1uNyAfxNohBRM1SIkIEBP-7Vb-FEbMxdeGl817RX3A?e=6zPfsy" TargetMode="External"/><Relationship Id="rId412" Type="http://schemas.openxmlformats.org/officeDocument/2006/relationships/hyperlink" Target="https://bearzt-my.sharepoint.com/:b:/g/personal/sarellano_no-mii_com/EVct5I8lpilLu7LDwptmHGABaVkltfSdAWsRbNa3QkQQMA?e=ItagtS" TargetMode="External"/><Relationship Id="rId857" Type="http://schemas.openxmlformats.org/officeDocument/2006/relationships/hyperlink" Target="https://bearzt-my.sharepoint.com/:b:/g/personal/sarellano_no-mii_com/IQBKJ8RIGiQUQ6YKBq1obee3AROwHmlzFmEfwdPkKWCyJt0?e=0YsXe5" TargetMode="External"/><Relationship Id="rId1042" Type="http://schemas.openxmlformats.org/officeDocument/2006/relationships/hyperlink" Target="https://bearzt-my.sharepoint.com/:b:/g/personal/sarellano_no-mii_com/IQAOu39eowuhSZTr-kCzpcwaAf2onaGkBNcRiFPFX6ga8LQ?e=XdyRHU" TargetMode="External"/><Relationship Id="rId289" Type="http://schemas.openxmlformats.org/officeDocument/2006/relationships/hyperlink" Target="https://bearzt-my.sharepoint.com/:b:/g/personal/sarellano_no-mii_com/Edb74XHDjIhPhy_7Yb_FeLMBoofOKnA_tbBo_BtFsteI8g?e=zmOop5" TargetMode="External"/><Relationship Id="rId496" Type="http://schemas.openxmlformats.org/officeDocument/2006/relationships/hyperlink" Target="https://bearzt-my.sharepoint.com/:b:/g/personal/sarellano_no-mii_com/EWPlWBwFBYhHlTR2IrtzTTkBDcfvcLUPzVC1Rf28z9DXyA?e=fS638x" TargetMode="External"/><Relationship Id="rId717" Type="http://schemas.openxmlformats.org/officeDocument/2006/relationships/hyperlink" Target="https://bearzt-my.sharepoint.com/:b:/g/personal/sarellano_no-mii_com/EZfqa5gdiBtNoAKXy14nQGcBpb3x1PKGsKnoyJCc0Z7U9w?e=g0fMFd" TargetMode="External"/><Relationship Id="rId924" Type="http://schemas.openxmlformats.org/officeDocument/2006/relationships/hyperlink" Target="https://bearzt-my.sharepoint.com/:b:/g/personal/sarellano_no-mii_com/IQDzWITahYvFQoQBAOctjR0vAYaZYgqTodMHXLSfab5Gpcg?e=OEEdaH" TargetMode="External"/><Relationship Id="rId53" Type="http://schemas.openxmlformats.org/officeDocument/2006/relationships/hyperlink" Target="https://bearzt-my.sharepoint.com/:b:/g/personal/sarellano_no-mii_com/Eb99Hu1mI-1IpRyzJpB85lcB1Vw0BDqMU3cVY-Jv-m-ogg?e=Ulb4kf" TargetMode="External"/><Relationship Id="rId149" Type="http://schemas.openxmlformats.org/officeDocument/2006/relationships/hyperlink" Target="https://bearzt-my.sharepoint.com/:b:/g/personal/sarellano_no-mii_com/EfFCWbAHjvJIo3seFn2_UTcByG87cV3brinR39ElTZ-oww?e=koyEeS" TargetMode="External"/><Relationship Id="rId356" Type="http://schemas.openxmlformats.org/officeDocument/2006/relationships/hyperlink" Target="https://bearzt-my.sharepoint.com/:b:/g/personal/sarellano_no-mii_com/Ee7FANKxHBhMp3qacbPgv54BDM0Ohaif5JDHX2nVrN_D6A?e=QUPX4I" TargetMode="External"/><Relationship Id="rId563" Type="http://schemas.openxmlformats.org/officeDocument/2006/relationships/hyperlink" Target="https://bearzt-my.sharepoint.com/:b:/g/personal/sarellano_no-mii_com/EXlxJxf_3thPhwm7ZzRQe7EBIPjDMbRK1MGnrmTXiflrLQ?e=SXxT9Z" TargetMode="External"/><Relationship Id="rId770" Type="http://schemas.openxmlformats.org/officeDocument/2006/relationships/hyperlink" Target="https://bearzt-my.sharepoint.com/:b:/g/personal/sarellano_no-mii_com/IQCzpYztRmihQLLUnJGQV99zAd6vLJtfseLJE2FMYPy240A?e=anFelH" TargetMode="External"/><Relationship Id="rId1193" Type="http://schemas.openxmlformats.org/officeDocument/2006/relationships/hyperlink" Target="https://bearzt-my.sharepoint.com/:b:/g/personal/sarellano_no-mii_com/IQCFnTtBFWKZRIjg1ExMH0vQAe3b_vznTjmAatZYklXF-CQ?e=f3C4IP" TargetMode="External"/><Relationship Id="rId1207" Type="http://schemas.openxmlformats.org/officeDocument/2006/relationships/hyperlink" Target="https://bearzt-my.sharepoint.com/:b:/g/personal/sarellano_no-mii_com/IQBXe6vtQ-AiQ5ywI4lHEj53AdDvKtKT0vkIX646LtluXB8?e=cbeAMt" TargetMode="External"/><Relationship Id="rId216" Type="http://schemas.openxmlformats.org/officeDocument/2006/relationships/hyperlink" Target="https://bearzt-my.sharepoint.com/:b:/g/personal/sarellano_no-mii_com/EVc3DpfqMvtIvHvlM7uLL1YBWdbYgvncPXHBS8CMdMiSMQ?e=6eSjBW" TargetMode="External"/><Relationship Id="rId423" Type="http://schemas.openxmlformats.org/officeDocument/2006/relationships/hyperlink" Target="https://bearzt-my.sharepoint.com/:b:/g/personal/sarellano_no-mii_com/EcJ_c9SQHz5JsnDzRVnEdFAB3NXyvHbXc73GqnZ7kncHNw?e=xDHAym" TargetMode="External"/><Relationship Id="rId868" Type="http://schemas.openxmlformats.org/officeDocument/2006/relationships/hyperlink" Target="https://bearzt-my.sharepoint.com/:i:/g/personal/sarellano_no-mii_com/IQCOzDE-U280S7HWW-qzSpW8ARuM7qN6gpxpRvzWPcSMGV4?e=ypZr25" TargetMode="External"/><Relationship Id="rId1053" Type="http://schemas.openxmlformats.org/officeDocument/2006/relationships/hyperlink" Target="https://bearzt-my.sharepoint.com/:b:/g/personal/sarellano_no-mii_com/IQDpuaPB5ZGcSI0yWqHsgHpwAVYPA9kz-sKAZsw6FO0vPvM?e=QTBFSr" TargetMode="External"/><Relationship Id="rId630" Type="http://schemas.openxmlformats.org/officeDocument/2006/relationships/hyperlink" Target="https://bearzt-my.sharepoint.com/:b:/g/personal/sarellano_no-mii_com/EXAl8sko9nJPvsg3jNjWS5cBy-OZQu6bAS90snDPvtWjQw?e=4Bqytg" TargetMode="External"/><Relationship Id="rId728" Type="http://schemas.openxmlformats.org/officeDocument/2006/relationships/hyperlink" Target="https://bearzt-my.sharepoint.com/:b:/g/personal/sarellano_no-mii_com/EUWv-bm6485LoVPzO9s2QHsBXjAT6HTxfLgK0DtiZ0-_Xw?e=DSH0Eg" TargetMode="External"/><Relationship Id="rId935" Type="http://schemas.openxmlformats.org/officeDocument/2006/relationships/hyperlink" Target="https://bearzt-my.sharepoint.com/:b:/g/personal/sarellano_no-mii_com/IQCTuWaWd3AMRryFzfnpIqPbAW7qYKtIHOCnMCKk8tRoKAE?e=QG1ENu" TargetMode="External"/><Relationship Id="rId64" Type="http://schemas.openxmlformats.org/officeDocument/2006/relationships/hyperlink" Target="https://bearzt-my.sharepoint.com/:b:/g/personal/sarellano_no-mii_com/EWPPdLXrU1JLm7qmL6Jar1QBcuBRBcEIw16QO_rnmh0a2Q?e=Pra7S8" TargetMode="External"/><Relationship Id="rId367" Type="http://schemas.openxmlformats.org/officeDocument/2006/relationships/hyperlink" Target="https://bearzt-my.sharepoint.com/:b:/g/personal/sarellano_no-mii_com/EXm-8LGGiZ1Po7H_sdTMO14BAZ-ZSEA18Y6k8EvlHq26Qw?e=lfEc7o" TargetMode="External"/><Relationship Id="rId574" Type="http://schemas.openxmlformats.org/officeDocument/2006/relationships/hyperlink" Target="https://bearzt-my.sharepoint.com/:b:/g/personal/sarellano_no-mii_com/EUp8AjCI3pFGlmPrBUTRVVEBVYGv-__ppdrlQfdY43Az1Q?e=ex3ZfN" TargetMode="External"/><Relationship Id="rId1120" Type="http://schemas.openxmlformats.org/officeDocument/2006/relationships/hyperlink" Target="https://bearzt-my.sharepoint.com/:b:/g/personal/sarellano_no-mii_com/IQDZVwHn4POFTapJzo6Q_md_AaiKON1tFoc54NxiQIxWhnY?e=5tfUJf" TargetMode="External"/><Relationship Id="rId1218" Type="http://schemas.openxmlformats.org/officeDocument/2006/relationships/hyperlink" Target="https://bearzt-my.sharepoint.com/:b:/g/personal/sarellano_no-mii_com/IQCJpBQLbysDQYl7mfDefKe5ARVxozoTLZK62RfXxudCJEA?e=XlVDiJ" TargetMode="External"/><Relationship Id="rId227" Type="http://schemas.openxmlformats.org/officeDocument/2006/relationships/hyperlink" Target="https://bearzt-my.sharepoint.com/:b:/g/personal/sarellano_no-mii_com/EdiqZYQRLaBKjpiFEMhIZggBT1Sfksl7PYHViuwseG91rw?e=kuw0LJ" TargetMode="External"/><Relationship Id="rId781" Type="http://schemas.openxmlformats.org/officeDocument/2006/relationships/hyperlink" Target="https://bearzt-my.sharepoint.com/:b:/g/personal/sarellano_no-mii_com/IQBaFqtc8ESYT5OJFZ2tiH6aAcUs0ywNH3KJQoMZUBwOEV0?e=Q1BuCR" TargetMode="External"/><Relationship Id="rId879" Type="http://schemas.openxmlformats.org/officeDocument/2006/relationships/hyperlink" Target="https://bearzt-my.sharepoint.com/:b:/g/personal/sarellano_no-mii_com/IQB5tXgn5XvIT5ISLKw_Y6QkAYXecXUJZuc59RgCo7Ng4qU?e=XguIPv" TargetMode="External"/><Relationship Id="rId434" Type="http://schemas.openxmlformats.org/officeDocument/2006/relationships/hyperlink" Target="https://bearzt-my.sharepoint.com/:b:/g/personal/sarellano_no-mii_com/EY_zav9sEfVBoWogpRE1uiUBDny4Ulw1qYAc5GIZt0KykQ?e=XCqPuS" TargetMode="External"/><Relationship Id="rId641" Type="http://schemas.openxmlformats.org/officeDocument/2006/relationships/hyperlink" Target="https://bearzt-my.sharepoint.com/:b:/g/personal/sarellano_no-mii_com/EdhGEnwj7OhKrfenxDmZccYBlvcr0PMFMeHGd65w6m50IA?e=2a1puC" TargetMode="External"/><Relationship Id="rId739" Type="http://schemas.openxmlformats.org/officeDocument/2006/relationships/hyperlink" Target="https://bearzt-my.sharepoint.com/:b:/g/personal/sarellano_no-mii_com/IQA3oUF9ZpkRQbYvtq_RYcrIAYWTEMENdNayx5GrEj2GODM?e=TQPYIL" TargetMode="External"/><Relationship Id="rId1064" Type="http://schemas.openxmlformats.org/officeDocument/2006/relationships/hyperlink" Target="https://bearzt-my.sharepoint.com/:b:/g/personal/sarellano_no-mii_com/IQC7RnvrPsSGSpGSufQbKVm-AfNF5AMzVttgUAypIvlv4cY?e=gucg2L" TargetMode="External"/><Relationship Id="rId280" Type="http://schemas.openxmlformats.org/officeDocument/2006/relationships/hyperlink" Target="https://bearzt-my.sharepoint.com/:b:/g/personal/sarellano_no-mii_com/ERx9L-jjYnNMv8EosntWl0YBNcc-fTEn2GWcLau8qKN58w?e=vqhyO9" TargetMode="External"/><Relationship Id="rId501" Type="http://schemas.openxmlformats.org/officeDocument/2006/relationships/hyperlink" Target="https://bearzt-my.sharepoint.com/:b:/g/personal/sarellano_no-mii_com/EZIW1g-EIVpOlXRsVZeq72oBt2OINash8ykFwjgrxBOjzg?e=Yto0Bg" TargetMode="External"/><Relationship Id="rId946" Type="http://schemas.openxmlformats.org/officeDocument/2006/relationships/hyperlink" Target="https://bearzt-my.sharepoint.com/:b:/g/personal/sarellano_no-mii_com/IQAn3f3BKOycQLCcboKsSwgeAQ5mg30e9ib0jKKbZeGTnXE?e=tjxNYj" TargetMode="External"/><Relationship Id="rId1131" Type="http://schemas.openxmlformats.org/officeDocument/2006/relationships/hyperlink" Target="https://bearzt-my.sharepoint.com/:b:/g/personal/sarellano_no-mii_com/IQB3IYfOSiLPQ5eGstgOLihCAQRjrZHmczURb8nNXI393h8?e=vJkzEF" TargetMode="External"/><Relationship Id="rId1229" Type="http://schemas.openxmlformats.org/officeDocument/2006/relationships/hyperlink" Target="https://bearzt-my.sharepoint.com/:b:/g/personal/sarellano_no-mii_com/IQC7s9h2SHrdTpFLfc7yd-nIAf6s6SKTR6gejZO3CmusnfM?e=svwRss" TargetMode="External"/><Relationship Id="rId75" Type="http://schemas.openxmlformats.org/officeDocument/2006/relationships/hyperlink" Target="https://bearzt-my.sharepoint.com/:b:/g/personal/sarellano_no-mii_com/EaQk16lYlMlAhgoivUt6Ni4B2MiKqVmhpvy6pupNfmcWNg?e=pJW3OJ" TargetMode="External"/><Relationship Id="rId140" Type="http://schemas.openxmlformats.org/officeDocument/2006/relationships/hyperlink" Target="https://bearzt-my.sharepoint.com/:b:/g/personal/sarellano_no-mii_com/EfqGq4py-ARDrImA5BILqmIB31Md9aavzayjxK6QSoGR2A?e=V5JOrX" TargetMode="External"/><Relationship Id="rId378" Type="http://schemas.openxmlformats.org/officeDocument/2006/relationships/hyperlink" Target="https://bearzt-my.sharepoint.com/:b:/g/personal/sarellano_no-mii_com/EdcJeJQ-3RtItKr2rHB2HVkBRxNE3M6LV30ddulKmFNr4Q?e=QQDTq9" TargetMode="External"/><Relationship Id="rId585" Type="http://schemas.openxmlformats.org/officeDocument/2006/relationships/hyperlink" Target="https://bearzt-my.sharepoint.com/:b:/g/personal/sarellano_no-mii_com/EduHHfGghAFBoRn9QTOftAsBUcIDAx5bwpdp7-TRHIsdRw?e=AT8zeG" TargetMode="External"/><Relationship Id="rId792" Type="http://schemas.openxmlformats.org/officeDocument/2006/relationships/hyperlink" Target="https://bearzt-my.sharepoint.com/:b:/g/personal/sarellano_no-mii_com/IQAa1bCAEEk8RriWboq8j1J2AQLGjCRTTxB7Trxl6LXonNE?e=mxrUtw" TargetMode="External"/><Relationship Id="rId806" Type="http://schemas.openxmlformats.org/officeDocument/2006/relationships/hyperlink" Target="https://bearzt-my.sharepoint.com/:b:/g/personal/sarellano_no-mii_com/IQBCdtRxnduJSaxHIynEZ8kBAd6KX3WEAZ86YHoOffeA0y8?e=fujMlT" TargetMode="External"/><Relationship Id="rId6" Type="http://schemas.openxmlformats.org/officeDocument/2006/relationships/hyperlink" Target="https://bearzt-my.sharepoint.com/:b:/g/personal/sarellano_no-mii_com/EXXjMpCMLaxFkAYgq-RqezoBVJ0-Cc25qrnS3bMmZj9PJQ?e=aNeV5f" TargetMode="External"/><Relationship Id="rId238" Type="http://schemas.openxmlformats.org/officeDocument/2006/relationships/hyperlink" Target="https://bearzt-my.sharepoint.com/:b:/g/personal/sarellano_no-mii_com/EYBzreChMgxAirbp8NplDh4BzJN1Ijzty4w59dGPzgnZXg?e=9OLw1K" TargetMode="External"/><Relationship Id="rId445" Type="http://schemas.openxmlformats.org/officeDocument/2006/relationships/hyperlink" Target="https://bearzt-my.sharepoint.com/:b:/g/personal/sarellano_no-mii_com/EfOY8Bh1vn1ApUQTmK1ogtoBSNbWZl1VhyRJcBOOaqlgFg?e=EukHbh" TargetMode="External"/><Relationship Id="rId652" Type="http://schemas.openxmlformats.org/officeDocument/2006/relationships/hyperlink" Target="https://bearzt-my.sharepoint.com/:b:/g/personal/sarellano_no-mii_com/EROSBFF9iCFOowFkpUnvjfEBfNHg517jFsoH9Q9uE1-CKg?e=iaVufe" TargetMode="External"/><Relationship Id="rId1075" Type="http://schemas.openxmlformats.org/officeDocument/2006/relationships/hyperlink" Target="https://bearzt-my.sharepoint.com/:b:/g/personal/sarellano_no-mii_com/IQBBTOECqbF3QrY1UJDYsMSJAaBQK80AAdllQdkGXBwq6rw?e=2tk3sa" TargetMode="External"/><Relationship Id="rId291" Type="http://schemas.openxmlformats.org/officeDocument/2006/relationships/hyperlink" Target="https://bearzt-my.sharepoint.com/:b:/g/personal/sarellano_no-mii_com/Ef3mYcP_BqdPgNrDLfITFmMBxAbbCu9SKDQ4sRog_m8Oaw?e=TKdNLu" TargetMode="External"/><Relationship Id="rId305" Type="http://schemas.openxmlformats.org/officeDocument/2006/relationships/hyperlink" Target="https://bearzt-my.sharepoint.com/:b:/g/personal/sarellano_no-mii_com/EWiTn-N1EehPoFf_jO0Ea4sBFXwg7PdxDoNIvt2iQdzmFA?e=ibMyEN" TargetMode="External"/><Relationship Id="rId512" Type="http://schemas.openxmlformats.org/officeDocument/2006/relationships/hyperlink" Target="https://bearzt-my.sharepoint.com/:b:/g/personal/sarellano_no-mii_com/EQzlh2k8OyZFqcJAZAPFcXwBhJr8y4TZqTaB3SAxVXhpyw?e=N15PbG" TargetMode="External"/><Relationship Id="rId957" Type="http://schemas.openxmlformats.org/officeDocument/2006/relationships/hyperlink" Target="https://bearzt-my.sharepoint.com/:b:/g/personal/sarellano_no-mii_com/IQAGXjnyTqBOQI1s1GIzEZHlAUz6Et3D08TZOKqYr_PVrsw?e=HupaSL" TargetMode="External"/><Relationship Id="rId1142" Type="http://schemas.openxmlformats.org/officeDocument/2006/relationships/hyperlink" Target="https://bearzt-my.sharepoint.com/:b:/g/personal/sarellano_no-mii_com/IQAykmBdBf71Qr1BdRIg7ElkAa3M9sqFV7vW03YNa2lBzRc?e=gIwC2v" TargetMode="External"/><Relationship Id="rId86" Type="http://schemas.openxmlformats.org/officeDocument/2006/relationships/hyperlink" Target="https://bearzt-my.sharepoint.com/:b:/g/personal/sarellano_no-mii_com/EbDoQ079tyxHo9nKhGOHDIQBAUWbr4_zQ7HMeXLfz9oGGw?e=KaR8RS" TargetMode="External"/><Relationship Id="rId151" Type="http://schemas.openxmlformats.org/officeDocument/2006/relationships/hyperlink" Target="https://bearzt-my.sharepoint.com/:b:/g/personal/sarellano_no-mii_com/Ear8K-VJNG5ArWCu_S6byd8BcWP1LumHd1ZUyUR857Y4bg?e=InOUQu" TargetMode="External"/><Relationship Id="rId389" Type="http://schemas.openxmlformats.org/officeDocument/2006/relationships/hyperlink" Target="https://bearzt-my.sharepoint.com/:b:/g/personal/sarellano_no-mii_com/EUJU3gR2AdRElzRI8nHb8ugB1ohRmtZes8snQmdhPcU17A?e=GRning" TargetMode="External"/><Relationship Id="rId596" Type="http://schemas.openxmlformats.org/officeDocument/2006/relationships/hyperlink" Target="https://bearzt-my.sharepoint.com/:b:/g/personal/sarellano_no-mii_com/EQFOf_XwWwREkkPxoGQaEnUBNLyPau0NtFWZ2VjY4uBYyw?e=UeocMM" TargetMode="External"/><Relationship Id="rId817" Type="http://schemas.openxmlformats.org/officeDocument/2006/relationships/hyperlink" Target="https://bearzt-my.sharepoint.com/:b:/g/personal/sarellano_no-mii_com/IQCXjWtk2kL-SqD6lDwPgAR1AfkphNK0fC_96eFwPBQUCFo?e=KovikM" TargetMode="External"/><Relationship Id="rId1002" Type="http://schemas.openxmlformats.org/officeDocument/2006/relationships/hyperlink" Target="https://bearzt-my.sharepoint.com/:b:/g/personal/sarellano_no-mii_com/IQDbBCHzcm66R7J23Dx2r783ARLaoMnVH5hgrHRj49n5Rlw?e=0cDONO" TargetMode="External"/><Relationship Id="rId249" Type="http://schemas.openxmlformats.org/officeDocument/2006/relationships/hyperlink" Target="https://bearzt-my.sharepoint.com/:b:/g/personal/sarellano_no-mii_com/ES2xpy2kKN9FswQCMJ9zxf4BxlnlqqzWZpKiI6vLC2N92w?e=EUYN1V" TargetMode="External"/><Relationship Id="rId456" Type="http://schemas.openxmlformats.org/officeDocument/2006/relationships/hyperlink" Target="https://bearzt-my.sharepoint.com/:b:/g/personal/sarellano_no-mii_com/EXzgNSuIVDBNnaEBaGKtwiQB0sB1w2Jr3MS8_314LcYGTw?e=feVbCO" TargetMode="External"/><Relationship Id="rId663" Type="http://schemas.openxmlformats.org/officeDocument/2006/relationships/hyperlink" Target="https://bearzt-my.sharepoint.com/:b:/g/personal/sarellano_no-mii_com/EX_jsvkRqZRDhlYbeSJT2TQBEe1VyYxm5sMapSOoNgn92w?e=Rudqw4" TargetMode="External"/><Relationship Id="rId870" Type="http://schemas.openxmlformats.org/officeDocument/2006/relationships/hyperlink" Target="https://bearzt-my.sharepoint.com/:b:/g/personal/sarellano_no-mii_com/IQDBD__xGHyBToF0jp0ZcWd4AeGkAiE3Jt43Suih_-TsPFM?e=eMq5pz" TargetMode="External"/><Relationship Id="rId1086" Type="http://schemas.openxmlformats.org/officeDocument/2006/relationships/hyperlink" Target="https://bearzt-my.sharepoint.com/:b:/g/personal/sarellano_no-mii_com/IQCbf54rOkPfQKG-mLUi2ABqAdFZj15tgs4qGuoqfhftfes?e=7qt2iC" TargetMode="External"/><Relationship Id="rId13" Type="http://schemas.openxmlformats.org/officeDocument/2006/relationships/hyperlink" Target="https://bearzt-my.sharepoint.com/:b:/g/personal/sarellano_no-mii_com/EapKHNSW47xJggctCzzO8kEB8zyqwaHKHJfgyvyAvn-rjA?e=5QiPBG" TargetMode="External"/><Relationship Id="rId109" Type="http://schemas.openxmlformats.org/officeDocument/2006/relationships/hyperlink" Target="https://bearzt-my.sharepoint.com/:b:/g/personal/sarellano_no-mii_com/EfKQYVh6asRAgfrKw2L8LgEBPl7s9Rx5g-wFrFC8fKr4FQ?e=9UsFPQ" TargetMode="External"/><Relationship Id="rId316" Type="http://schemas.openxmlformats.org/officeDocument/2006/relationships/hyperlink" Target="https://bearzt-my.sharepoint.com/:b:/g/personal/sarellano_no-mii_com/EYQuslvBeBdLkrb1D_Ty5wIBiBZNqPXm7_m1aiJHrbHRXw?e=N3wRQ6" TargetMode="External"/><Relationship Id="rId523" Type="http://schemas.openxmlformats.org/officeDocument/2006/relationships/hyperlink" Target="https://bearzt-my.sharepoint.com/:b:/g/personal/sarellano_no-mii_com/EWe-gd544nBDtP6D17ZYJWYBPLs4hH6DodjrNRcia_HSpA?e=mf8s2n" TargetMode="External"/><Relationship Id="rId968" Type="http://schemas.openxmlformats.org/officeDocument/2006/relationships/hyperlink" Target="https://bearzt-my.sharepoint.com/:b:/g/personal/sarellano_no-mii_com/IQCagL2hYP6aT5RUz4BizL_lAXk-n7gDcFzGT95kWUhAjlU?e=AsK4gM" TargetMode="External"/><Relationship Id="rId1153" Type="http://schemas.openxmlformats.org/officeDocument/2006/relationships/hyperlink" Target="https://bearzt-my.sharepoint.com/:b:/g/personal/sarellano_no-mii_com/IQBJ3PnYQG_BQ5rtE9JiBl2hAXW4wA06HIbQKVZtkV7kFDY?e=K3WvDC" TargetMode="External"/><Relationship Id="rId97" Type="http://schemas.openxmlformats.org/officeDocument/2006/relationships/hyperlink" Target="https://bearzt-my.sharepoint.com/:b:/g/personal/sarellano_no-mii_com/EfNgXsMDUuJDkZZfLYzSMd4BgxMGkRqTDU_lfSSI1ImLlg?e=9CK8Ot" TargetMode="External"/><Relationship Id="rId730" Type="http://schemas.openxmlformats.org/officeDocument/2006/relationships/hyperlink" Target="https://bearzt-my.sharepoint.com/:b:/g/personal/sarellano_no-mii_com/EapiTPssm0xFvGEZTiCvINsBgQVdHllfW6ublshAw3W_0w?e=IIP9lH" TargetMode="External"/><Relationship Id="rId828" Type="http://schemas.openxmlformats.org/officeDocument/2006/relationships/hyperlink" Target="https://bearzt-my.sharepoint.com/:b:/g/personal/sarellano_no-mii_com/IQB_esiESXq1R64S-TlN6E-YAc9bTOfBEKMZWzXtnyRhniQ?e=qLe0Pk" TargetMode="External"/><Relationship Id="rId1013" Type="http://schemas.openxmlformats.org/officeDocument/2006/relationships/hyperlink" Target="https://bearzt-my.sharepoint.com/:b:/g/personal/sarellano_no-mii_com/IQCp1j2U1NvDTJRA7dZBVyenAYvOkpz6qfmS2-m43ABNgO4?e=kmb5jk" TargetMode="External"/><Relationship Id="rId162" Type="http://schemas.openxmlformats.org/officeDocument/2006/relationships/hyperlink" Target="https://bearzt-my.sharepoint.com/:b:/g/personal/sarellano_no-mii_com/EXpnUy3YG0ZDiFWcEWgPXl8BohOEoEBIZUGTvtoUZra4VQ?e=laFved" TargetMode="External"/><Relationship Id="rId467" Type="http://schemas.openxmlformats.org/officeDocument/2006/relationships/hyperlink" Target="https://bearzt-my.sharepoint.com/:b:/g/personal/sarellano_no-mii_com/EbyNCWrGZTVLgXdNulrUnIMBxex-G_fn9gjyw3wsdkFJJg?e=VD3mUT" TargetMode="External"/><Relationship Id="rId1097" Type="http://schemas.openxmlformats.org/officeDocument/2006/relationships/hyperlink" Target="https://bearzt-my.sharepoint.com/:b:/g/personal/sarellano_no-mii_com/IQBLEVkuLqHbTJP9NCOM7T5EAbtg_GssuuB5I7QMYT1S0WE?e=jIq4G4" TargetMode="External"/><Relationship Id="rId1220" Type="http://schemas.openxmlformats.org/officeDocument/2006/relationships/hyperlink" Target="https://bearzt-my.sharepoint.com/:b:/g/personal/sarellano_no-mii_com/IQCa82aEykDuQKxg6AXN9LJ6AZJeJ08pXQvVHsdd38mCIOQ?e=Pe1hNd" TargetMode="External"/><Relationship Id="rId674" Type="http://schemas.openxmlformats.org/officeDocument/2006/relationships/hyperlink" Target="https://bearzt-my.sharepoint.com/:b:/g/personal/sarellano_no-mii_com/EZH3ybuiJQBGkf-88vEDiS4B4rObVEPuf4wk5PhzYORVdA?e=8O1DnG" TargetMode="External"/><Relationship Id="rId881" Type="http://schemas.openxmlformats.org/officeDocument/2006/relationships/hyperlink" Target="https://bearzt-my.sharepoint.com/:b:/g/personal/sarellano_no-mii_com/IQDZa6rImd2aRIXkQBniUW2jAW8aZktpeHOw7AaCNSulWcI?e=U9anGe" TargetMode="External"/><Relationship Id="rId979" Type="http://schemas.openxmlformats.org/officeDocument/2006/relationships/hyperlink" Target="https://bearzt-my.sharepoint.com/:b:/g/personal/sarellano_no-mii_com/IQAz79L6CkbWSqD8o5y33VhAAXZ-yYGuDt-l0t-IwDx7O3M?e=hHGej3" TargetMode="External"/><Relationship Id="rId24" Type="http://schemas.openxmlformats.org/officeDocument/2006/relationships/hyperlink" Target="https://bearzt-my.sharepoint.com/:b:/g/personal/sarellano_no-mii_com/EfWv6UV9MbpHtaC4nXcIfVcBjTTzxbkCXM2OBRtLS7qHuA?e=aVGZPF" TargetMode="External"/><Relationship Id="rId327" Type="http://schemas.openxmlformats.org/officeDocument/2006/relationships/hyperlink" Target="https://bearzt-my.sharepoint.com/:b:/g/personal/sarellano_no-mii_com/EdYuHOPs0mdBpBjrIAkci2gBqm1qvotmchQEBvoQm-0L6A?e=bzvGrc" TargetMode="External"/><Relationship Id="rId534" Type="http://schemas.openxmlformats.org/officeDocument/2006/relationships/hyperlink" Target="https://bearzt-my.sharepoint.com/:b:/g/personal/sarellano_no-mii_com/EXJMWJ9lmhdPscOirVcuXOcB77KC2_YpOuT9IZWCuEr4Ig?e=nE2aFb" TargetMode="External"/><Relationship Id="rId741" Type="http://schemas.openxmlformats.org/officeDocument/2006/relationships/hyperlink" Target="https://bearzt-my.sharepoint.com/:b:/g/personal/sarellano_no-mii_com/IQCuwA2eg9GZQ6rrzkBIy69GATgBSu4EX7QNUFBBi_89_F0?e=5LSLBI" TargetMode="External"/><Relationship Id="rId839" Type="http://schemas.openxmlformats.org/officeDocument/2006/relationships/hyperlink" Target="https://bearzt-my.sharepoint.com/:b:/g/personal/sarellano_no-mii_com/IQBoSfQJrucxTpvl2tlMsOrOAR59UA60TwMZE6MqOaqT654?e=aW1AH7" TargetMode="External"/><Relationship Id="rId1164" Type="http://schemas.openxmlformats.org/officeDocument/2006/relationships/hyperlink" Target="https://bearzt-my.sharepoint.com/:b:/g/personal/sarellano_no-mii_com/IQAZwA4sAXJnRa-JK8NFHqPtAZDK9c9Q_KIFsOpcCYf7CHM?e=3qTUbE" TargetMode="External"/><Relationship Id="rId173" Type="http://schemas.openxmlformats.org/officeDocument/2006/relationships/hyperlink" Target="https://bearzt-my.sharepoint.com/:b:/g/personal/sarellano_no-mii_com/EfJauY5PhJREhY-EDE1u0QUBFGrxUnUOg83Gg-YaqrPcyg?e=3j6Qp5" TargetMode="External"/><Relationship Id="rId380" Type="http://schemas.openxmlformats.org/officeDocument/2006/relationships/hyperlink" Target="https://bearzt-my.sharepoint.com/:b:/g/personal/sarellano_no-mii_com/ETeMqlDhDnREi-pvFa-byeYBx7yP3M_7yqFglQcrthi_Zg?e=z3aNap" TargetMode="External"/><Relationship Id="rId601" Type="http://schemas.openxmlformats.org/officeDocument/2006/relationships/hyperlink" Target="https://bearzt-my.sharepoint.com/:b:/g/personal/sarellano_no-mii_com/EYC4TMD_LmZKmdLzElZB0IoBDP-Xnf-8De25Rky8h-9zGQ?e=XlRxHm" TargetMode="External"/><Relationship Id="rId1024" Type="http://schemas.openxmlformats.org/officeDocument/2006/relationships/hyperlink" Target="https://bearzt-my.sharepoint.com/:b:/g/personal/sarellano_no-mii_com/IQDEnwDEwYFvT4OvcxdJLQRLAa3DdDZWd3aPBklO7M_EuoU?e=D4ldw3" TargetMode="External"/><Relationship Id="rId1231" Type="http://schemas.openxmlformats.org/officeDocument/2006/relationships/hyperlink" Target="https://bearzt-my.sharepoint.com/:b:/g/personal/sarellano_no-mii_com/IQCSpvWUF8q0TJQ6hxbphcUkAWjeDcW-T19gOwBGCNGH1vs?e=WcmXdN" TargetMode="External"/><Relationship Id="rId240" Type="http://schemas.openxmlformats.org/officeDocument/2006/relationships/hyperlink" Target="https://bearzt-my.sharepoint.com/:b:/g/personal/sarellano_no-mii_com/EXm803gnmIRLqDP7DWlXjbABz5op_Dlv8mnkjGNONEoIgA?e=zAPshG" TargetMode="External"/><Relationship Id="rId478" Type="http://schemas.openxmlformats.org/officeDocument/2006/relationships/hyperlink" Target="https://bearzt-my.sharepoint.com/:b:/g/personal/sarellano_no-mii_com/ESAthvEc0BZJuz9N1n8HQYwBPk82BiuF3wk_8qjdSlltDw?e=7oo9f6" TargetMode="External"/><Relationship Id="rId685" Type="http://schemas.openxmlformats.org/officeDocument/2006/relationships/hyperlink" Target="https://bearzt-my.sharepoint.com/:b:/g/personal/sarellano_no-mii_com/EeUuAonZnjVMvpAOZNx2NkYB8kbIwSAejQY8RDLpW-m8HQ?e=5Fkv1Y" TargetMode="External"/><Relationship Id="rId892" Type="http://schemas.openxmlformats.org/officeDocument/2006/relationships/hyperlink" Target="https://bearzt-my.sharepoint.com/:b:/g/personal/sarellano_no-mii_com/IQDC-yYuph8qRZsP2K3sZZ6tAWKkna9CGpvaxCiYmlYB8W4?e=Bw1bNg" TargetMode="External"/><Relationship Id="rId906" Type="http://schemas.openxmlformats.org/officeDocument/2006/relationships/hyperlink" Target="https://bearzt-my.sharepoint.com/:b:/g/personal/sarellano_no-mii_com/IQDUidxKnZm1SpGwA-avRUaMAUgsIm5F8LiN0jxsyu8P-Q0?e=OvxdyG" TargetMode="External"/><Relationship Id="rId35" Type="http://schemas.openxmlformats.org/officeDocument/2006/relationships/hyperlink" Target="https://bearzt-my.sharepoint.com/:b:/g/personal/sarellano_no-mii_com/EXVrzWPjx9dPqntTCk4exSIBj46XnTPCpjZXN9OmCqx-fA?e=s2j9ES" TargetMode="External"/><Relationship Id="rId100" Type="http://schemas.openxmlformats.org/officeDocument/2006/relationships/hyperlink" Target="https://bearzt-my.sharepoint.com/:b:/g/personal/sarellano_no-mii_com/EUa135IUIHhOgRI90jhXigQB_eB-s8oKvTQfOUIJRCwWzg?e=OV5wua" TargetMode="External"/><Relationship Id="rId338" Type="http://schemas.openxmlformats.org/officeDocument/2006/relationships/hyperlink" Target="https://bearzt-my.sharepoint.com/:b:/g/personal/sarellano_no-mii_com/EX8myfElpShEtBZ4JnbrJ28BqKB9DcWBsc9852wKsvVPWw?e=l4Qe2E" TargetMode="External"/><Relationship Id="rId545" Type="http://schemas.openxmlformats.org/officeDocument/2006/relationships/hyperlink" Target="https://bearzt-my.sharepoint.com/:b:/g/personal/sarellano_no-mii_com/EaOUmK998_hLoJSQgpgQwDcB_Y00klbspGjZIgi4IQApGA?e=WshEn8" TargetMode="External"/><Relationship Id="rId752" Type="http://schemas.openxmlformats.org/officeDocument/2006/relationships/hyperlink" Target="https://bearzt-my.sharepoint.com/:b:/g/personal/sarellano_no-mii_com/IQA8cQaTqOuxR4VwHMMWx3FPAU59VJ7FbWSgq0cDt4TClXA?e=x1SCpQ" TargetMode="External"/><Relationship Id="rId1175" Type="http://schemas.openxmlformats.org/officeDocument/2006/relationships/hyperlink" Target="https://bearzt-my.sharepoint.com/:b:/g/personal/sarellano_no-mii_com/IQAdSzHLDEd1QJGa1cQ2Vow-AYl9CUHtRiNWb01Up0dPz4g?e=PqaMOX" TargetMode="External"/><Relationship Id="rId184" Type="http://schemas.openxmlformats.org/officeDocument/2006/relationships/hyperlink" Target="https://bearzt-my.sharepoint.com/:b:/g/personal/sarellano_no-mii_com/EflDLVEsFUVJv2RZyakvHNIB1yJtD8-AcvixMXm74fszpQ?e=4WxcYW" TargetMode="External"/><Relationship Id="rId391" Type="http://schemas.openxmlformats.org/officeDocument/2006/relationships/hyperlink" Target="https://bearzt-my.sharepoint.com/:b:/g/personal/sarellano_no-mii_com/EeInNQxNgvBPhU-caoQ8YNgBwTEt6uxSK6k92zmwpipWRg?e=5z2iPk" TargetMode="External"/><Relationship Id="rId405" Type="http://schemas.openxmlformats.org/officeDocument/2006/relationships/hyperlink" Target="https://bearzt-my.sharepoint.com/:b:/g/personal/sarellano_no-mii_com/EWhrznFruPFBnd4LuDfnOOwBuWTTMcfNt5VPYSyFAp9iKQ?e=EDXCdr" TargetMode="External"/><Relationship Id="rId612" Type="http://schemas.openxmlformats.org/officeDocument/2006/relationships/hyperlink" Target="https://bearzt-my.sharepoint.com/:b:/g/personal/sarellano_no-mii_com/EVe8nOIpP3VLkhFvTDS4s8IB1PKia2Bl-MUpNDjHL42GAg?e=lcGNBQ" TargetMode="External"/><Relationship Id="rId1035" Type="http://schemas.openxmlformats.org/officeDocument/2006/relationships/hyperlink" Target="https://bearzt-my.sharepoint.com/:b:/g/personal/sarellano_no-mii_com/IQBfVfDostgTQIdhyZ90QvukAbhnJoHgJA3lm_3xa_YACBU?e=9v4f09" TargetMode="External"/><Relationship Id="rId251" Type="http://schemas.openxmlformats.org/officeDocument/2006/relationships/hyperlink" Target="https://bearzt-my.sharepoint.com/:b:/g/personal/sarellano_no-mii_com/EZYhnb0EQBVMhgIB5xfWmpgBkwNJ1wZkS0xt7LyrwMQiGQ?e=BpTBse" TargetMode="External"/><Relationship Id="rId489" Type="http://schemas.openxmlformats.org/officeDocument/2006/relationships/hyperlink" Target="https://bearzt-my.sharepoint.com/:b:/g/personal/sarellano_no-mii_com/EdG-LIS-jA9Mg8cWITzH2qIBqwOSqpd98xXSWbGYoSB17w?e=6rd3Lc" TargetMode="External"/><Relationship Id="rId696" Type="http://schemas.openxmlformats.org/officeDocument/2006/relationships/hyperlink" Target="https://bearzt-my.sharepoint.com/:b:/g/personal/sarellano_no-mii_com/EW6jqaqeWDZPowplVSAexocBc6AgP88FqkFDy4UMve1-UA?e=5yUdi2" TargetMode="External"/><Relationship Id="rId917" Type="http://schemas.openxmlformats.org/officeDocument/2006/relationships/hyperlink" Target="https://bearzt-my.sharepoint.com/:b:/g/personal/sarellano_no-mii_com/IQAcdCEtCpq8RJhoydlewjx-Afa7APG8F_rrcX_KifltPpg?e=agn2gz" TargetMode="External"/><Relationship Id="rId1102" Type="http://schemas.openxmlformats.org/officeDocument/2006/relationships/hyperlink" Target="https://bearzt-my.sharepoint.com/:b:/g/personal/sarellano_no-mii_com/IQBXhrY0J7AAR7D3K4eGi65bAf7k_l3rkmX3K_FYgRNxVKs?e=pYgcme" TargetMode="External"/><Relationship Id="rId46" Type="http://schemas.openxmlformats.org/officeDocument/2006/relationships/hyperlink" Target="https://bearzt-my.sharepoint.com/:b:/g/personal/sarellano_no-mii_com/ETBtl6TPJgJCtjfvCOGjB_UB7RPcL1gYaAu1jvoKYYaThw?e=Wf67A7" TargetMode="External"/><Relationship Id="rId349" Type="http://schemas.openxmlformats.org/officeDocument/2006/relationships/hyperlink" Target="https://bearzt-my.sharepoint.com/:b:/g/personal/sarellano_no-mii_com/EbmKyT-YAIpBu4LB-mZwrB0BXXzI6CSSqKz-_fMQ4lYerw?e=e2TrPw" TargetMode="External"/><Relationship Id="rId556" Type="http://schemas.openxmlformats.org/officeDocument/2006/relationships/hyperlink" Target="https://bearzt-my.sharepoint.com/:b:/g/personal/sarellano_no-mii_com/EcKGzmcYtJRKsczSjG_gkfEBAiYP0WrAe8nJ37M_fOj0kw?e=Yrd3hB" TargetMode="External"/><Relationship Id="rId763" Type="http://schemas.openxmlformats.org/officeDocument/2006/relationships/hyperlink" Target="https://bearzt-my.sharepoint.com/:b:/g/personal/sarellano_no-mii_com/IQAaDtOrCH6ESJGTmAYUZ_shAbT3ies0x7Bl19Z78QpN75A?e=ogwxSc" TargetMode="External"/><Relationship Id="rId1186" Type="http://schemas.openxmlformats.org/officeDocument/2006/relationships/hyperlink" Target="https://bearzt-my.sharepoint.com/:b:/g/personal/sarellano_no-mii_com/IQCrt7As_Qh_SaaT6f1OMVXCAZeRYY7s6n4G9oJBsYXeRDc?e=RhNUuf" TargetMode="External"/><Relationship Id="rId111" Type="http://schemas.openxmlformats.org/officeDocument/2006/relationships/hyperlink" Target="https://bearzt-my.sharepoint.com/:b:/g/personal/sarellano_no-mii_com/EcD_uc4INkJMgLWgXbbGJOAB5TLD9N_DtCle3_zHjnhUAw?e=baF4JI" TargetMode="External"/><Relationship Id="rId195" Type="http://schemas.openxmlformats.org/officeDocument/2006/relationships/hyperlink" Target="https://bearzt-my.sharepoint.com/:b:/g/personal/sarellano_no-mii_com/EX9MO21qiZBNpgH3QViJIlsBnfNa1z3pw4ZuFdbp3wzjeg?e=RNUXS8" TargetMode="External"/><Relationship Id="rId209" Type="http://schemas.openxmlformats.org/officeDocument/2006/relationships/hyperlink" Target="https://bearzt-my.sharepoint.com/:b:/g/personal/sarellano_no-mii_com/ESCRaKAx5jlPqRVyaOLl-WEBvD_4MaVLcPpgo4Ow2U5V1A?e=Tdguzx" TargetMode="External"/><Relationship Id="rId416" Type="http://schemas.openxmlformats.org/officeDocument/2006/relationships/hyperlink" Target="https://bearzt-my.sharepoint.com/:b:/g/personal/sarellano_no-mii_com/EaB_ChMEhl5MlLDRU2ckz3gBvJtAAuZjjIlGOG8cJGSyiQ?e=KVnzNn" TargetMode="External"/><Relationship Id="rId970" Type="http://schemas.openxmlformats.org/officeDocument/2006/relationships/hyperlink" Target="https://bearzt-my.sharepoint.com/:b:/g/personal/sarellano_no-mii_com/IQAUBUITae9_QKlmwdxpE85FAfmTyEJvEabVE-qgS0ISCvw?e=i6DjPE" TargetMode="External"/><Relationship Id="rId1046" Type="http://schemas.openxmlformats.org/officeDocument/2006/relationships/hyperlink" Target="https://bearzt-my.sharepoint.com/:b:/g/personal/sarellano_no-mii_com/IQA_JMC7HBgJSpdfyEdbZ428AfAMgZ7B-fw4nPLwo6ChRtQ?e=w93pbS" TargetMode="External"/><Relationship Id="rId623" Type="http://schemas.openxmlformats.org/officeDocument/2006/relationships/hyperlink" Target="https://bearzt-my.sharepoint.com/:b:/g/personal/sarellano_no-mii_com/EW5HDyB144lMqLt-5qKsUj0BFjXMrP388N0CGgg3s6rwnA?e=996PZV" TargetMode="External"/><Relationship Id="rId830" Type="http://schemas.openxmlformats.org/officeDocument/2006/relationships/hyperlink" Target="https://bearzt-my.sharepoint.com/:b:/g/personal/sarellano_no-mii_com/IQAIsXeZOBJqR4cwWiG8gkDuAbdy5k1-GleSESFS-YntgNw?e=JhDYbi" TargetMode="External"/><Relationship Id="rId928" Type="http://schemas.openxmlformats.org/officeDocument/2006/relationships/hyperlink" Target="https://bearzt-my.sharepoint.com/:b:/g/personal/sarellano_no-mii_com/IQBF3ri54Y2sTr5wdOo_IN-JAaF0agfyW4hTpyD71hCus_I?e=ZItOE3" TargetMode="External"/><Relationship Id="rId57" Type="http://schemas.openxmlformats.org/officeDocument/2006/relationships/hyperlink" Target="https://bearzt-my.sharepoint.com/:b:/g/personal/sarellano_no-mii_com/EcMXSIfco2tBsuAKm2jKWYoBRTpYmefXaBD56jtpIoxKuw?e=KEqla3" TargetMode="External"/><Relationship Id="rId262" Type="http://schemas.openxmlformats.org/officeDocument/2006/relationships/hyperlink" Target="https://bearzt-my.sharepoint.com/:b:/g/personal/sarellano_no-mii_com/EVVF6nz_ImJPgKPoHblF3rUBBKWXyAj1dELgHtjbxRsyhQ?e=sfDb7j" TargetMode="External"/><Relationship Id="rId567" Type="http://schemas.openxmlformats.org/officeDocument/2006/relationships/hyperlink" Target="https://bearzt-my.sharepoint.com/:b:/g/personal/sarellano_no-mii_com/EdWQPE_Y5oRJhllxmuC_EQ0B3C5hc9rSmok3m3X-MIrs5w?e=Uf8cRV" TargetMode="External"/><Relationship Id="rId1113" Type="http://schemas.openxmlformats.org/officeDocument/2006/relationships/hyperlink" Target="https://bearzt-my.sharepoint.com/:i:/g/personal/sarellano_no-mii_com/IQAqDAthD6wcQq3KKxitYtknATqKyfJaSp44ykmdwfVVc7w?e=wXv7qR" TargetMode="External"/><Relationship Id="rId1197" Type="http://schemas.openxmlformats.org/officeDocument/2006/relationships/hyperlink" Target="https://bearzt-my.sharepoint.com/:b:/g/personal/sarellano_no-mii_com/IQC7tZWPQ8NQQLVhVxt45RziAf9D1jC5858U3dJi-bS6qAI?e=Vq476a" TargetMode="External"/><Relationship Id="rId122" Type="http://schemas.openxmlformats.org/officeDocument/2006/relationships/hyperlink" Target="https://bearzt-my.sharepoint.com/:b:/g/personal/sarellano_no-mii_com/ET0FdzwP1nxHkeOwCrlKwsEByYXErjTAw_faSEpi47IS4A?e=FcpyfC" TargetMode="External"/><Relationship Id="rId774" Type="http://schemas.openxmlformats.org/officeDocument/2006/relationships/hyperlink" Target="https://bearzt-my.sharepoint.com/:b:/g/personal/sarellano_no-mii_com/IQCeqpSBPFx6QIHmrVVVrHkjAfxArXCV5VU7cgf7h62YPGc?e=W2fJDk" TargetMode="External"/><Relationship Id="rId981" Type="http://schemas.openxmlformats.org/officeDocument/2006/relationships/hyperlink" Target="https://bearzt-my.sharepoint.com/:b:/g/personal/sarellano_no-mii_com/IQCEB8rz8SJ1SZkn4elR2EleAUSrqf_J24IhP1xqE_GLxZs?e=xfXqU2" TargetMode="External"/><Relationship Id="rId1057" Type="http://schemas.openxmlformats.org/officeDocument/2006/relationships/hyperlink" Target="https://bearzt-my.sharepoint.com/:i:/g/personal/sarellano_no-mii_com/IQDkJVhch9DBRaDxOOmOYuJWAe-zvMLvvUbyLbZepEmc2Do?e=I9JjBr" TargetMode="External"/><Relationship Id="rId427" Type="http://schemas.openxmlformats.org/officeDocument/2006/relationships/hyperlink" Target="https://bearzt-my.sharepoint.com/:b:/g/personal/sarellano_no-mii_com/EbU0dgdUCfpOrJNS84DziVoB1iMy4rFG2H--I1Cvni4m6A?e=LkaeUO" TargetMode="External"/><Relationship Id="rId634" Type="http://schemas.openxmlformats.org/officeDocument/2006/relationships/hyperlink" Target="https://bearzt-my.sharepoint.com/:b:/g/personal/sarellano_no-mii_com/EZygTD1CM81NjHthfGEE7rABXk5p4iglphhkd-5VmCPPgQ?e=NZR2UM" TargetMode="External"/><Relationship Id="rId841" Type="http://schemas.openxmlformats.org/officeDocument/2006/relationships/hyperlink" Target="https://bearzt-my.sharepoint.com/:b:/g/personal/sarellano_no-mii_com/IQBA87EN6PlHSq31Z_qGsVMNAaUPsv9J9HLa3jrbkwIb-dY?e=HuRpFI" TargetMode="External"/><Relationship Id="rId273" Type="http://schemas.openxmlformats.org/officeDocument/2006/relationships/hyperlink" Target="https://bearzt-my.sharepoint.com/:b:/g/personal/sarellano_no-mii_com/EZeUYx0Md3VKvO2h1q3iZtcBufQkUp1PaoqdupqSvxGC5Q?e=oagxJc" TargetMode="External"/><Relationship Id="rId480" Type="http://schemas.openxmlformats.org/officeDocument/2006/relationships/hyperlink" Target="https://bearzt-my.sharepoint.com/:b:/g/personal/sarellano_no-mii_com/Ea3Y-8iVbhxEqBBjD4y6jnoB427VL6oE4BFeQgvoP3hjpA?e=4bvqIE" TargetMode="External"/><Relationship Id="rId701" Type="http://schemas.openxmlformats.org/officeDocument/2006/relationships/hyperlink" Target="https://bearzt-my.sharepoint.com/:b:/g/personal/sarellano_no-mii_com/EeIw2LzZ5mhCs2kkny9_guMBh4mgqKlD-BnwL0m8UyBZIA?e=8itPLC" TargetMode="External"/><Relationship Id="rId939" Type="http://schemas.openxmlformats.org/officeDocument/2006/relationships/hyperlink" Target="https://bearzt-my.sharepoint.com/:b:/g/personal/sarellano_no-mii_com/IQB4ZAO9nli0SYzAed6TK1hfAYDqB9i2h6liS1dMVViBvmE?e=lmhfdB" TargetMode="External"/><Relationship Id="rId1124" Type="http://schemas.openxmlformats.org/officeDocument/2006/relationships/hyperlink" Target="https://bearzt-my.sharepoint.com/:b:/g/personal/sarellano_no-mii_com/IQCV5A1wTOfpS4AnTs1gqWURAZnPgcZ363OUIW6If3l_Mig?e=HdaW2b" TargetMode="External"/><Relationship Id="rId68" Type="http://schemas.openxmlformats.org/officeDocument/2006/relationships/hyperlink" Target="https://bearzt-my.sharepoint.com/:b:/g/personal/sarellano_no-mii_com/EXOBzCo16qlLms0NRaGgi2QBswaTDZdDxFUEp_slv9YtDA?e=JIlEN0" TargetMode="External"/><Relationship Id="rId133" Type="http://schemas.openxmlformats.org/officeDocument/2006/relationships/hyperlink" Target="https://bearzt-my.sharepoint.com/:b:/g/personal/sarellano_no-mii_com/ESzqzrORDItNr0ijFWWzFP0BzfQKGmW-ypharPpYZIwr6g?e=byd2Uu" TargetMode="External"/><Relationship Id="rId340" Type="http://schemas.openxmlformats.org/officeDocument/2006/relationships/hyperlink" Target="https://bearzt-my.sharepoint.com/:b:/g/personal/sarellano_no-mii_com/Ee5kyGaC_G5Ijuo3hKi8QMsB2B1gDV9B6lyeYepYHcE6-w?e=FK09Fa" TargetMode="External"/><Relationship Id="rId578" Type="http://schemas.openxmlformats.org/officeDocument/2006/relationships/hyperlink" Target="https://bearzt-my.sharepoint.com/:b:/g/personal/sarellano_no-mii_com/ERJi0OQrmNxPlNzOXje3X5EBIqVA6xeJFxJxd1TccmPoVw?e=SladN1" TargetMode="External"/><Relationship Id="rId785" Type="http://schemas.openxmlformats.org/officeDocument/2006/relationships/hyperlink" Target="https://bearzt-my.sharepoint.com/:b:/g/personal/sarellano_no-mii_com/IQCt6c74C2MuQp04enR_X0ETAeK7KKR7rxMko_X8otsvZ7I?e=24sEFG" TargetMode="External"/><Relationship Id="rId992" Type="http://schemas.openxmlformats.org/officeDocument/2006/relationships/hyperlink" Target="https://bearzt-my.sharepoint.com/:b:/g/personal/sarellano_no-mii_com/IQAajngIfxYyTa8E8QfEqe5nAdRerdX_AFArVOruzl8iXlI?e=Mwc3Ov" TargetMode="External"/><Relationship Id="rId200" Type="http://schemas.openxmlformats.org/officeDocument/2006/relationships/hyperlink" Target="https://bearzt-my.sharepoint.com/:b:/g/personal/sarellano_no-mii_com/Ecr8mt4355lGqtX-ljc-dXwBPXVjvyutR8OUAVZxr1D1Uw?e=PrAzHQ" TargetMode="External"/><Relationship Id="rId438" Type="http://schemas.openxmlformats.org/officeDocument/2006/relationships/hyperlink" Target="https://bearzt-my.sharepoint.com/:b:/g/personal/sarellano_no-mii_com/Eb3hrd729FNBjAsrsCOazdUBxubot8kzW3I9z2NJH7Auew?e=8nVeNF" TargetMode="External"/><Relationship Id="rId645" Type="http://schemas.openxmlformats.org/officeDocument/2006/relationships/hyperlink" Target="https://bearzt-my.sharepoint.com/:b:/g/personal/sarellano_no-mii_com/EQCegFAzPA9PtARMvbAcIFUBt5fGEInplMpKoHoK0Mt-Jw?e=jfLPk1" TargetMode="External"/><Relationship Id="rId852" Type="http://schemas.openxmlformats.org/officeDocument/2006/relationships/hyperlink" Target="https://bearzt-my.sharepoint.com/:b:/g/personal/sarellano_no-mii_com/IQDow7GhgKyESpSB4EDR7mpLASzAp8Rs--Q5DcFHOBoQbfQ?e=kQEgH3" TargetMode="External"/><Relationship Id="rId1068" Type="http://schemas.openxmlformats.org/officeDocument/2006/relationships/hyperlink" Target="https://bearzt-my.sharepoint.com/:i:/g/personal/sarellano_no-mii_com/IQBvw3aQlfXrTKVwwT-UztPGARaxaZXQxmchILdw6ndzQOs?e=OdU8Sz" TargetMode="External"/><Relationship Id="rId284" Type="http://schemas.openxmlformats.org/officeDocument/2006/relationships/hyperlink" Target="https://bearzt-my.sharepoint.com/:b:/g/personal/sarellano_no-mii_com/EdBADINHaARBgjEyKXw0ThsBqmJlze4E4HCx27OI0pvWTw?e=EZcx4A" TargetMode="External"/><Relationship Id="rId491" Type="http://schemas.openxmlformats.org/officeDocument/2006/relationships/hyperlink" Target="https://bearzt-my.sharepoint.com/:b:/g/personal/sarellano_no-mii_com/Eaei_DVSUuBMoU0DHXoie-0BHQ3bu5gYO0padFHuOEIVDg?e=PdJMfv" TargetMode="External"/><Relationship Id="rId505" Type="http://schemas.openxmlformats.org/officeDocument/2006/relationships/hyperlink" Target="https://bearzt-my.sharepoint.com/:b:/g/personal/sarellano_no-mii_com/EZQKaXqcb1FIl01rUdOibJwBDfCp-B3-vS8psFHFE2EwIg?e=NMsrl0" TargetMode="External"/><Relationship Id="rId712" Type="http://schemas.openxmlformats.org/officeDocument/2006/relationships/hyperlink" Target="https://bearzt-my.sharepoint.com/:b:/g/personal/sarellano_no-mii_com/ERexRstyDqdOqt8Yjshry6MBCYOg7LEEnL57kB68np9egA?e=230QTp" TargetMode="External"/><Relationship Id="rId1135" Type="http://schemas.openxmlformats.org/officeDocument/2006/relationships/hyperlink" Target="https://bearzt-my.sharepoint.com/:b:/g/personal/sarellano_no-mii_com/IQDHSjCDrMwqRKdYnZXxJlWBAXBXULpYsCO2WsCdiI3ABeE?e=Lba4HO" TargetMode="External"/><Relationship Id="rId79" Type="http://schemas.openxmlformats.org/officeDocument/2006/relationships/hyperlink" Target="https://bearzt-my.sharepoint.com/:b:/g/personal/sarellano_no-mii_com/EctCUy4Go2pJkSHPeYBIeSwBMGF87yLSfxDeSGx2sI0Rew?e=rJ4FMj" TargetMode="External"/><Relationship Id="rId144" Type="http://schemas.openxmlformats.org/officeDocument/2006/relationships/hyperlink" Target="https://bearzt-my.sharepoint.com/:b:/g/personal/sarellano_no-mii_com/EUTJ_UTKXWlOsNJyZaV_cvEBXngJb2mziSozr54FqNVktg?e=uflkUW" TargetMode="External"/><Relationship Id="rId589" Type="http://schemas.openxmlformats.org/officeDocument/2006/relationships/hyperlink" Target="https://bearzt-my.sharepoint.com/:b:/g/personal/sarellano_no-mii_com/Ed64n5b0BlxDovGoY6R9BcsBKBaEbKF3ciJRPjy4n9V_CQ?e=5j1ZuN" TargetMode="External"/><Relationship Id="rId796" Type="http://schemas.openxmlformats.org/officeDocument/2006/relationships/hyperlink" Target="https://bearzt-my.sharepoint.com/:b:/g/personal/sarellano_no-mii_com/IQBZrddSUPg9RIZtleipwpkSAULdO_0gkpiVLVEVgSCIgEQ?e=YknWHr" TargetMode="External"/><Relationship Id="rId1202" Type="http://schemas.openxmlformats.org/officeDocument/2006/relationships/hyperlink" Target="https://bearzt-my.sharepoint.com/:b:/g/personal/sarellano_no-mii_com/IQBT1mFeIcdNS42O9yMXFfI1AYmT7eouUqtclvmxIjMr96U?e=gGdAx9" TargetMode="External"/><Relationship Id="rId351" Type="http://schemas.openxmlformats.org/officeDocument/2006/relationships/hyperlink" Target="https://bearzt-my.sharepoint.com/:b:/g/personal/sarellano_no-mii_com/EcOn7P3DD1JIhZYg7hpokzwBukZNVM8lTEzsaTQ9UAN44Q?e=te0fZ2" TargetMode="External"/><Relationship Id="rId449" Type="http://schemas.openxmlformats.org/officeDocument/2006/relationships/hyperlink" Target="https://bearzt-my.sharepoint.com/:b:/g/personal/sarellano_no-mii_com/EY4MSSH_DJ9NhIlhYxnRnxIBR91XkyOnSmsLiOkAC9OwKw?e=gkOvhJ" TargetMode="External"/><Relationship Id="rId656" Type="http://schemas.openxmlformats.org/officeDocument/2006/relationships/hyperlink" Target="https://bearzt-my.sharepoint.com/:b:/g/personal/sarellano_no-mii_com/EXz91z_pl2hJkyO6nkQh-ssBKbQs51IMvuBD-dtGYrohfQ?e=dGMFQg" TargetMode="External"/><Relationship Id="rId863" Type="http://schemas.openxmlformats.org/officeDocument/2006/relationships/hyperlink" Target="https://bearzt-my.sharepoint.com/:b:/g/personal/sarellano_no-mii_com/IQA6FPNBkB7gQLw3F52tNylaAWjRZiNoMdaSc7h2KF9R7VU?e=cUB50W" TargetMode="External"/><Relationship Id="rId1079" Type="http://schemas.openxmlformats.org/officeDocument/2006/relationships/hyperlink" Target="https://bearzt-my.sharepoint.com/:i:/g/personal/sarellano_no-mii_com/IQDqEDFXtXZpRZhdUza8wIS6AQgsVnFlAKFbv9pBGLKW91Q?e=GFBHQ6" TargetMode="External"/><Relationship Id="rId211" Type="http://schemas.openxmlformats.org/officeDocument/2006/relationships/hyperlink" Target="https://bearzt-my.sharepoint.com/:b:/g/personal/sarellano_no-mii_com/EQjcH_WMtplIh_itvHx0nicBFucMTxBViK9qzGo-QqpP8w?e=xDxNKA" TargetMode="External"/><Relationship Id="rId295" Type="http://schemas.openxmlformats.org/officeDocument/2006/relationships/hyperlink" Target="https://bearzt-my.sharepoint.com/:b:/g/personal/sarellano_no-mii_com/Eda4rnS9GR9CkLPkDtAkpRcB41sUWSRGwBVgDMYLeOWNcQ?e=yjCday" TargetMode="External"/><Relationship Id="rId309" Type="http://schemas.openxmlformats.org/officeDocument/2006/relationships/hyperlink" Target="https://bearzt-my.sharepoint.com/:b:/g/personal/sarellano_no-mii_com/EcppqRB8nUNGoDNE0lH8seIBP_xE6TAI7zoxGMuD03pLnQ?e=V5vffp" TargetMode="External"/><Relationship Id="rId516" Type="http://schemas.openxmlformats.org/officeDocument/2006/relationships/hyperlink" Target="https://bearzt-my.sharepoint.com/:b:/g/personal/sarellano_no-mii_com/EVk6hL4Kga5CsIiclPrXrz4BIuTrQpggKnOIP3thFG0E6A?e=YvyZ3A" TargetMode="External"/><Relationship Id="rId1146" Type="http://schemas.openxmlformats.org/officeDocument/2006/relationships/hyperlink" Target="https://bearzt-my.sharepoint.com/:b:/g/personal/sarellano_no-mii_com/IQBdYE2vXrAxSYaOxxfpjcUWAbbliulEd3RcCA1XuaE0aTY?e=s9UTlA" TargetMode="External"/><Relationship Id="rId723" Type="http://schemas.openxmlformats.org/officeDocument/2006/relationships/hyperlink" Target="https://bearzt-my.sharepoint.com/:b:/g/personal/sarellano_no-mii_com/EeGXKRvv_DFAsBtbxc3eIm4BEWHxxDXJe50YzTb67GYF0Q?e=Rjtjqn" TargetMode="External"/><Relationship Id="rId930" Type="http://schemas.openxmlformats.org/officeDocument/2006/relationships/hyperlink" Target="https://bearzt-my.sharepoint.com/:b:/g/personal/sarellano_no-mii_com/IQBOsUpvSmd1RIdEEJ7Ntj1vATm1ES3-J1RrQGgtnXgSUWY?e=qNRQaB" TargetMode="External"/><Relationship Id="rId1006" Type="http://schemas.openxmlformats.org/officeDocument/2006/relationships/hyperlink" Target="https://bearzt-my.sharepoint.com/:b:/g/personal/sarellano_no-mii_com/IQDj7KSC3atjSojmeuzSZ8f0AbodreojGBrYr_aMw3slSqw?e=mnIION" TargetMode="External"/><Relationship Id="rId155" Type="http://schemas.openxmlformats.org/officeDocument/2006/relationships/hyperlink" Target="https://bearzt-my.sharepoint.com/:b:/g/personal/sarellano_no-mii_com/ET0rMYtuWi1Jk2hNFHi7wPUBaarBaSQzOV3JSNWuX6CxcA?e=Gk7Ifi" TargetMode="External"/><Relationship Id="rId362" Type="http://schemas.openxmlformats.org/officeDocument/2006/relationships/hyperlink" Target="https://bearzt-my.sharepoint.com/:b:/g/personal/sarellano_no-mii_com/EX_F0izmihlBn6l2yYi2cQABWFGUnX2_VHs6-Sw3tGdENA?e=3wvzf6" TargetMode="External"/><Relationship Id="rId1213" Type="http://schemas.openxmlformats.org/officeDocument/2006/relationships/hyperlink" Target="https://bearzt-my.sharepoint.com/:b:/g/personal/sarellano_no-mii_com/IQAaMKbW0ncQS5OeQakvRW3AAdiE6nkH5CdUfO5OdwuQjzw?e=mcifKZ" TargetMode="External"/><Relationship Id="rId222" Type="http://schemas.openxmlformats.org/officeDocument/2006/relationships/hyperlink" Target="https://bearzt-my.sharepoint.com/:b:/g/personal/sarellano_no-mii_com/ESiWxNqQ1ahOoJ0UwHn33ScBGFEsCFds6-Ho-_OFkK78sg?e=uLtKrO" TargetMode="External"/><Relationship Id="rId667" Type="http://schemas.openxmlformats.org/officeDocument/2006/relationships/hyperlink" Target="https://bearzt-my.sharepoint.com/:b:/g/personal/sarellano_no-mii_com/EWvatJL_IsdNvS5Jil7e58MBpjYw-DYizv2846sWJ6AyCg?e=GUjGTv" TargetMode="External"/><Relationship Id="rId874" Type="http://schemas.openxmlformats.org/officeDocument/2006/relationships/hyperlink" Target="https://bearzt-my.sharepoint.com/:b:/g/personal/sarellano_no-mii_com/IQDE4LSgey3ASKr-XoL6VdfhAUsdw570Jm3AJi9P_fXu00A?e=XcwABI" TargetMode="External"/><Relationship Id="rId17" Type="http://schemas.openxmlformats.org/officeDocument/2006/relationships/hyperlink" Target="https://bearzt-my.sharepoint.com/:b:/g/personal/sarellano_no-mii_com/ES7bnr07KNNGlp0--lQuIDEBvCluJmpps1tSdcXPmi_BLA?e=z6PWNl" TargetMode="External"/><Relationship Id="rId527" Type="http://schemas.openxmlformats.org/officeDocument/2006/relationships/hyperlink" Target="https://bearzt-my.sharepoint.com/:b:/g/personal/sarellano_no-mii_com/EfI1ygHaLh5CuQSjliAjoMkByYxr7wG8J3rBX24D9ud_pg?e=kJyAj4" TargetMode="External"/><Relationship Id="rId734" Type="http://schemas.openxmlformats.org/officeDocument/2006/relationships/hyperlink" Target="https://bearzt-my.sharepoint.com/:b:/g/personal/sarellano_no-mii_com/EYqNo2UHkDdIkcmYgu_HTKQBqVX8dOKvkoL7PiEq-UHB2A?e=57eBSy" TargetMode="External"/><Relationship Id="rId941" Type="http://schemas.openxmlformats.org/officeDocument/2006/relationships/hyperlink" Target="https://bearzt-my.sharepoint.com/:b:/g/personal/sarellano_no-mii_com/IQAkpe5MMnQLSbfgHDeoQXVFATbnvt1tmWM_vsa0L8xaBsc?e=CkaGBz" TargetMode="External"/><Relationship Id="rId1157" Type="http://schemas.openxmlformats.org/officeDocument/2006/relationships/hyperlink" Target="https://bearzt-my.sharepoint.com/:b:/g/personal/sarellano_no-mii_com/IQD6rIisYahBSZhVmnCtJQVVAREusvazjmkqZR2aWWrzzAo?e=GfhxLt" TargetMode="External"/><Relationship Id="rId70" Type="http://schemas.openxmlformats.org/officeDocument/2006/relationships/hyperlink" Target="https://bearzt-my.sharepoint.com/:b:/g/personal/sarellano_no-mii_com/EVpRmsTgseFJk6S7i9yJ6xcBtWKmA78zpsaip02tdwdIPw?e=EoMhZj" TargetMode="External"/><Relationship Id="rId166" Type="http://schemas.openxmlformats.org/officeDocument/2006/relationships/hyperlink" Target="https://bearzt-my.sharepoint.com/:b:/g/personal/sarellano_no-mii_com/EYFV8q2eYZ9BoiSOepqdkXMB-J7hwgmDUJpT4JAc8nrptA?e=8P0R95" TargetMode="External"/><Relationship Id="rId373" Type="http://schemas.openxmlformats.org/officeDocument/2006/relationships/hyperlink" Target="https://bearzt-my.sharepoint.com/:b:/g/personal/sarellano_no-mii_com/Ebb7HhVWV4tGobcNJzY0ZlYBfk2OsOkfPVxrPzkwBF4Spw?e=lPbbsD" TargetMode="External"/><Relationship Id="rId580" Type="http://schemas.openxmlformats.org/officeDocument/2006/relationships/hyperlink" Target="https://bearzt-my.sharepoint.com/:b:/g/personal/sarellano_no-mii_com/EVuPQkaKxfBHsx2d8gL0ackBARxCMr9aqnoo0BKPJM5_hw?e=hcFUYZ" TargetMode="External"/><Relationship Id="rId801" Type="http://schemas.openxmlformats.org/officeDocument/2006/relationships/hyperlink" Target="https://bearzt-my.sharepoint.com/:b:/g/personal/sarellano_no-mii_com/IQDJGs1URpdDSYi3IRVO3dk2AUbI23qOfMkuVWVcwgzaCW0?e=xEuuqR" TargetMode="External"/><Relationship Id="rId1017" Type="http://schemas.openxmlformats.org/officeDocument/2006/relationships/hyperlink" Target="https://bearzt-my.sharepoint.com/:b:/g/personal/sarellano_no-mii_com/IQD1bSkXwnD4RL0DQ-ek3MyKAV2Pod1_GD48efKTo2BTeTw?e=36TR4y" TargetMode="External"/><Relationship Id="rId1224" Type="http://schemas.openxmlformats.org/officeDocument/2006/relationships/hyperlink" Target="https://bearzt-my.sharepoint.com/:b:/g/personal/sarellano_no-mii_com/IQBM_4cTJVC8Q6jKHsPPQ3CKAWHgxkrabKY9PgwCru4KxD0?e=JyrWhG" TargetMode="External"/><Relationship Id="rId1" Type="http://schemas.openxmlformats.org/officeDocument/2006/relationships/hyperlink" Target="https://bearzt-my.sharepoint.com/:b:/g/personal/sarellano_no-mii_com/EfLka6TMEIJCqx7hntTAhrMBe26NJPSkBYJIXS9ETdfbAQ?e=PLYD0T" TargetMode="External"/><Relationship Id="rId233" Type="http://schemas.openxmlformats.org/officeDocument/2006/relationships/hyperlink" Target="https://bearzt-my.sharepoint.com/:b:/g/personal/sarellano_no-mii_com/EYQ5gFsmxtlFuSsxR_s6ynwBvOdTTYB7MBW0B5oXRd-oFQ?e=3TuROs" TargetMode="External"/><Relationship Id="rId440" Type="http://schemas.openxmlformats.org/officeDocument/2006/relationships/hyperlink" Target="https://bearzt-my.sharepoint.com/:b:/g/personal/sarellano_no-mii_com/EfIVYD0u52xHrW7ZlykLzqwBgwlB8qoqwKEAQWk0HHm2yw?e=VKsgHc" TargetMode="External"/><Relationship Id="rId678" Type="http://schemas.openxmlformats.org/officeDocument/2006/relationships/hyperlink" Target="https://bearzt-my.sharepoint.com/:b:/g/personal/sarellano_no-mii_com/EZ0vHgrifedAuBdWpkCoi3sBlWAr-4lHDn2T2uljXI98Tg?e=NDAsDr" TargetMode="External"/><Relationship Id="rId885" Type="http://schemas.openxmlformats.org/officeDocument/2006/relationships/hyperlink" Target="https://bearzt-my.sharepoint.com/:b:/g/personal/sarellano_no-mii_com/IQA9S0t552IJRaZqeGrBxX19AYeXbbECnl6oliAr7QS00SU?e=Rz5dl5" TargetMode="External"/><Relationship Id="rId1070" Type="http://schemas.openxmlformats.org/officeDocument/2006/relationships/hyperlink" Target="https://bearzt-my.sharepoint.com/:b:/g/personal/sarellano_no-mii_com/IQDKGWiQCLefR5jkAHwxuzyyAWofgn6bay2LurnhXue_uD4?e=xwThnG" TargetMode="External"/><Relationship Id="rId28" Type="http://schemas.openxmlformats.org/officeDocument/2006/relationships/hyperlink" Target="https://bearzt-my.sharepoint.com/:b:/g/personal/sarellano_no-mii_com/Ebt6PGEp0NhBldXpc1NegQsBjxjS1hd8KZf7y9E5AKc41A?e=6XIYQS" TargetMode="External"/><Relationship Id="rId300" Type="http://schemas.openxmlformats.org/officeDocument/2006/relationships/hyperlink" Target="https://bearzt-my.sharepoint.com/:b:/g/personal/sarellano_no-mii_com/EQ53zDR6rJhLjc2vYGZTthEBvhgxPA3yBrwBonBWgtqTtQ?e=S0AqSb" TargetMode="External"/><Relationship Id="rId538" Type="http://schemas.openxmlformats.org/officeDocument/2006/relationships/hyperlink" Target="https://bearzt-my.sharepoint.com/:b:/g/personal/sarellano_no-mii_com/Eb3HzL5yqctGsBXpuSIgbFIB4acQ9O5DTz12IE5fxr6j6Q?e=4qSU8h" TargetMode="External"/><Relationship Id="rId745" Type="http://schemas.openxmlformats.org/officeDocument/2006/relationships/hyperlink" Target="https://bearzt-my.sharepoint.com/:b:/g/personal/sarellano_no-mii_com/IQBQSmGhizqwTYafPTGnmoUFAVLTlW0T-fk_AGizVCX5tnc?e=NHcCM6" TargetMode="External"/><Relationship Id="rId952" Type="http://schemas.openxmlformats.org/officeDocument/2006/relationships/hyperlink" Target="https://bearzt-my.sharepoint.com/:b:/g/personal/sarellano_no-mii_com/IQBAQeYCzfYgRYGhcF79LmH0AeliYk48t3KuN-kVemaGW2c?e=CgMs74" TargetMode="External"/><Relationship Id="rId1168" Type="http://schemas.openxmlformats.org/officeDocument/2006/relationships/hyperlink" Target="https://bearzt-my.sharepoint.com/:b:/g/personal/sarellano_no-mii_com/IQAgIQ0Au_EiRoLS8NMjQxiDATqT3LdMgzovRN4N7AivYm8?e=mifOhO" TargetMode="External"/><Relationship Id="rId81" Type="http://schemas.openxmlformats.org/officeDocument/2006/relationships/hyperlink" Target="https://bearzt-my.sharepoint.com/:b:/g/personal/sarellano_no-mii_com/ER9Yjx3iDLVGocOlulXc2FIBf0JYwKoQHWCbYOPvnD4u_Q?e=hG0Dpp" TargetMode="External"/><Relationship Id="rId177" Type="http://schemas.openxmlformats.org/officeDocument/2006/relationships/hyperlink" Target="https://bearzt-my.sharepoint.com/:b:/g/personal/sarellano_no-mii_com/EVwZkj8Ida5AqvvqSgFSukoBokpRSgonTNb_sDYGminnxA?e=lQ33wy" TargetMode="External"/><Relationship Id="rId384" Type="http://schemas.openxmlformats.org/officeDocument/2006/relationships/hyperlink" Target="https://bearzt-my.sharepoint.com/:b:/g/personal/sarellano_no-mii_com/EcK5plA6nBBHrP45gYglzoUBwPw-wRMplktlb9YtlMsI9Q?e=A2D0mu" TargetMode="External"/><Relationship Id="rId591" Type="http://schemas.openxmlformats.org/officeDocument/2006/relationships/hyperlink" Target="https://bearzt-my.sharepoint.com/:b:/g/personal/sarellano_no-mii_com/EbUJYw_oj4tHu5b2K2jsewABy0ztkiPhPS5I_Lc5vgxBPA?e=obVLAR" TargetMode="External"/><Relationship Id="rId605" Type="http://schemas.openxmlformats.org/officeDocument/2006/relationships/hyperlink" Target="https://bearzt-my.sharepoint.com/:b:/g/personal/sarellano_no-mii_com/Eblb-O-GpZVDjrmN-WP0N80BeXPUhCNJVwrvPBGk3v1dgw?e=OCnXEH" TargetMode="External"/><Relationship Id="rId812" Type="http://schemas.openxmlformats.org/officeDocument/2006/relationships/hyperlink" Target="https://bearzt-my.sharepoint.com/:b:/g/personal/sarellano_no-mii_com/IQB-Je5IZXZOSLy3bdU_bj0WAV3At4cnsHDYurZJhtRmHwM?e=QDvXdV" TargetMode="External"/><Relationship Id="rId1028" Type="http://schemas.openxmlformats.org/officeDocument/2006/relationships/hyperlink" Target="https://bearzt-my.sharepoint.com/:b:/g/personal/sarellano_no-mii_com/IQBgCIAkn-CaSJL3aky3mof0AQi-HrWo6HT-11RiN8zQgpU?e=Zhswj6" TargetMode="External"/><Relationship Id="rId1235" Type="http://schemas.openxmlformats.org/officeDocument/2006/relationships/table" Target="../tables/table8.xml"/><Relationship Id="rId244" Type="http://schemas.openxmlformats.org/officeDocument/2006/relationships/hyperlink" Target="https://bearzt-my.sharepoint.com/:b:/g/personal/sarellano_no-mii_com/EWDnMYypODRPgp6Ce41-fqABDf13lNMmYIDqbwdFPM0G3w?e=LBd5Vu" TargetMode="External"/><Relationship Id="rId689" Type="http://schemas.openxmlformats.org/officeDocument/2006/relationships/hyperlink" Target="https://bearzt-my.sharepoint.com/:b:/g/personal/sarellano_no-mii_com/Ed-2VBrWsoFGuGJadtYSG6MBLveeXdmFkMVgxya50ATiJw?e=tixUnY" TargetMode="External"/><Relationship Id="rId896" Type="http://schemas.openxmlformats.org/officeDocument/2006/relationships/hyperlink" Target="https://bearzt-my.sharepoint.com/:b:/g/personal/sarellano_no-mii_com/IQC3n0f3G4RJS78pg-soIAK3AU825Ma_pPPmOJxi7CMPC_k?e=4Rg933" TargetMode="External"/><Relationship Id="rId1081" Type="http://schemas.openxmlformats.org/officeDocument/2006/relationships/hyperlink" Target="https://bearzt-my.sharepoint.com/:i:/g/personal/sarellano_no-mii_com/IQDijS-Vyb7gSLFHrJsWtD1RAfTIUaF0_UHdpjCmmRe92ZQ?e=XZVB6r" TargetMode="External"/><Relationship Id="rId39" Type="http://schemas.openxmlformats.org/officeDocument/2006/relationships/hyperlink" Target="https://bearzt-my.sharepoint.com/:b:/g/personal/sarellano_no-mii_com/EfvzMnNwtPJFpe_ZvuE83hkBfXBr_nrZeD5id5XzBujTjw?e=5JfzN3" TargetMode="External"/><Relationship Id="rId451" Type="http://schemas.openxmlformats.org/officeDocument/2006/relationships/hyperlink" Target="https://bearzt-my.sharepoint.com/:b:/g/personal/sarellano_no-mii_com/Ef-Tm0XQNltGsYf2xYrgWYoBJVgkVXixULxw14oO4Da9nA?e=K8M97O" TargetMode="External"/><Relationship Id="rId549" Type="http://schemas.openxmlformats.org/officeDocument/2006/relationships/hyperlink" Target="https://bearzt-my.sharepoint.com/:b:/g/personal/sarellano_no-mii_com/ESLoqpT5faJEq4Hpq25DcYQB06XsluKA4mM-EEJjsnXanA?e=Y6dI9U" TargetMode="External"/><Relationship Id="rId756" Type="http://schemas.openxmlformats.org/officeDocument/2006/relationships/hyperlink" Target="https://bearzt-my.sharepoint.com/:i:/g/personal/sarellano_no-mii_com/IQCJgsSFjvH1S7nRfn5LwmPqAaWYQt9wrzjty6xCmQy3gXs?e=iJingK" TargetMode="External"/><Relationship Id="rId1179" Type="http://schemas.openxmlformats.org/officeDocument/2006/relationships/hyperlink" Target="https://bearzt-my.sharepoint.com/:b:/g/personal/sarellano_no-mii_com/IQD6b09e1-U_RrYnnX0jyD6CAephYjQ9sOGjnRoKrp0lZA0?e=Zpe6xb" TargetMode="External"/><Relationship Id="rId104" Type="http://schemas.openxmlformats.org/officeDocument/2006/relationships/hyperlink" Target="https://bearzt-my.sharepoint.com/:b:/g/personal/sarellano_no-mii_com/EROTYTO7t59AvIGgpvqEjnIBjE5sdnYgQ5NUf_yknkpG3g?e=IVSerM" TargetMode="External"/><Relationship Id="rId188" Type="http://schemas.openxmlformats.org/officeDocument/2006/relationships/hyperlink" Target="https://bearzt-my.sharepoint.com/:b:/g/personal/sarellano_no-mii_com/EVtcZfjYWelGk4hCg_eup2ABh9xRDzM5nZmBmsI1NcEF0A?e=qhazNf" TargetMode="External"/><Relationship Id="rId311" Type="http://schemas.openxmlformats.org/officeDocument/2006/relationships/hyperlink" Target="https://bearzt-my.sharepoint.com/:b:/g/personal/sarellano_no-mii_com/EZcZgcnGoa9FuhsM785HkuIB49bzVJdhrpKVE0rvWeM5YA?e=Bzmavq" TargetMode="External"/><Relationship Id="rId395" Type="http://schemas.openxmlformats.org/officeDocument/2006/relationships/hyperlink" Target="https://bearzt-my.sharepoint.com/:b:/g/personal/sarellano_no-mii_com/EVMcsSdYaMtDs4ZVxZpr-VMBSRGhIoCCCL-8s8p7e_8O6A?e=2inlih" TargetMode="External"/><Relationship Id="rId409" Type="http://schemas.openxmlformats.org/officeDocument/2006/relationships/hyperlink" Target="https://bearzt-my.sharepoint.com/:b:/g/personal/sarellano_no-mii_com/EUYeJbfEDqtBnPuvITai-20Bqn0Ke2yyR0uhv3ktnkbFZQ?e=PXgioO" TargetMode="External"/><Relationship Id="rId963" Type="http://schemas.openxmlformats.org/officeDocument/2006/relationships/hyperlink" Target="https://bearzt-my.sharepoint.com/:b:/g/personal/sarellano_no-mii_com/IQAGSr3o-MvNSY93pKwjK7obASyaG1jqK88Olr33RWGx6tM?e=bFDijz" TargetMode="External"/><Relationship Id="rId1039" Type="http://schemas.openxmlformats.org/officeDocument/2006/relationships/hyperlink" Target="https://bearzt-my.sharepoint.com/:b:/g/personal/sarellano_no-mii_com/IQCGqyphG-8iRJhc_PNnuepwAXlvrx6LEumldPxqeRlavIQ?e=ybPeRS" TargetMode="External"/><Relationship Id="rId92" Type="http://schemas.openxmlformats.org/officeDocument/2006/relationships/hyperlink" Target="https://bearzt-my.sharepoint.com/:b:/g/personal/sarellano_no-mii_com/EcWkZL_RuEVJqU_OKWrxvWgBDECuFyd5cvrB2E6Xs9sp4A?e=mfxJ0T" TargetMode="External"/><Relationship Id="rId616" Type="http://schemas.openxmlformats.org/officeDocument/2006/relationships/hyperlink" Target="https://bearzt-my.sharepoint.com/:b:/g/personal/sarellano_no-mii_com/EcPcxU-gCFFJoeX4iYiuzogBa7YLDj4mu9sFBVdF6GrkHQ?e=veKguT" TargetMode="External"/><Relationship Id="rId823" Type="http://schemas.openxmlformats.org/officeDocument/2006/relationships/hyperlink" Target="https://bearzt-my.sharepoint.com/:b:/g/personal/sarellano_no-mii_com/IQDKiyJHDD-PQph_D3SIdFCKAZjLlyC0ZTVsf0IPx5p5GpU?e=aLODt7" TargetMode="External"/><Relationship Id="rId255" Type="http://schemas.openxmlformats.org/officeDocument/2006/relationships/hyperlink" Target="https://bearzt-my.sharepoint.com/:b:/g/personal/sarellano_no-mii_com/EcgiWPuDCu5BjWaRwp75eHwB9IfOLzKPoM_A_FIZ7jh7Bg?e=BfwjvL" TargetMode="External"/><Relationship Id="rId462" Type="http://schemas.openxmlformats.org/officeDocument/2006/relationships/hyperlink" Target="https://bearzt-my.sharepoint.com/:b:/g/personal/sarellano_no-mii_com/EeZ0FxJUbE9Jp3AYPXsJubMB2S0SdW-O6GwKdSPoQDcLBg?e=ikZSty" TargetMode="External"/><Relationship Id="rId1092" Type="http://schemas.openxmlformats.org/officeDocument/2006/relationships/hyperlink" Target="https://bearzt-my.sharepoint.com/:b:/g/personal/sarellano_no-mii_com/IQDTTQ1VslY4ToW7xXeDrqkmAYAwR-gBJyvOMTRItqvxAjw?e=vxhS8s" TargetMode="External"/><Relationship Id="rId1106" Type="http://schemas.openxmlformats.org/officeDocument/2006/relationships/hyperlink" Target="https://bearzt-my.sharepoint.com/:b:/g/personal/sarellano_no-mii_com/IQAa-bgCM3MXS4rftlUkge7wAU27Oq3kbpQPfAFqqwKr6AY?e=CzB2S6" TargetMode="External"/><Relationship Id="rId115" Type="http://schemas.openxmlformats.org/officeDocument/2006/relationships/hyperlink" Target="https://bearzt-my.sharepoint.com/:b:/g/personal/sarellano_no-mii_com/EVsRcf9SHPBGlwJytL3YR64BMSo1MWI_VySeYY_XrIa2Wg?e=YclsxQ" TargetMode="External"/><Relationship Id="rId322" Type="http://schemas.openxmlformats.org/officeDocument/2006/relationships/hyperlink" Target="https://bearzt-my.sharepoint.com/:b:/g/personal/sarellano_no-mii_com/Eap2Nyb4eipJqHrjMBxODVQBPn72nucUsDhNd1irEEPvgA?e=NDIow4" TargetMode="External"/><Relationship Id="rId767" Type="http://schemas.openxmlformats.org/officeDocument/2006/relationships/hyperlink" Target="https://bearzt-my.sharepoint.com/:b:/g/personal/sarellano_no-mii_com/IQCqRG90I8jETL6KwMlldHItAVtBQCzHu-pmQD0i0IJ2-mc?e=PDmc3t" TargetMode="External"/><Relationship Id="rId974" Type="http://schemas.openxmlformats.org/officeDocument/2006/relationships/hyperlink" Target="https://bearzt-my.sharepoint.com/:b:/g/personal/sarellano_no-mii_com/IQB4n9-Xv-CbTJzngo-k7EcOAV2ow5YAQr11PrHF3TqanXA?e=dZDqB1" TargetMode="External"/><Relationship Id="rId199" Type="http://schemas.openxmlformats.org/officeDocument/2006/relationships/hyperlink" Target="https://bearzt-my.sharepoint.com/:b:/g/personal/sarellano_no-mii_com/ESa7WB8G0fZPpuz66hRj2MABmzAwIZA5_fnb--65pK-rMg?e=uWaEFw" TargetMode="External"/><Relationship Id="rId627" Type="http://schemas.openxmlformats.org/officeDocument/2006/relationships/hyperlink" Target="https://bearzt-my.sharepoint.com/:b:/g/personal/sarellano_no-mii_com/Ecc8a_jxs_FBujKQp8s_5WABsydbcYCZSHGGERbrTeX-bQ?e=DigU9q" TargetMode="External"/><Relationship Id="rId834" Type="http://schemas.openxmlformats.org/officeDocument/2006/relationships/hyperlink" Target="https://bearzt-my.sharepoint.com/:i:/g/personal/sarellano_no-mii_com/IQAgjXAFIMHYRoylz11VWDmRAZKvF_DJddk5_uXTLnwRTU8?e=qNicFK" TargetMode="External"/><Relationship Id="rId266" Type="http://schemas.openxmlformats.org/officeDocument/2006/relationships/hyperlink" Target="https://bearzt-my.sharepoint.com/:b:/g/personal/sarellano_no-mii_com/EQOLdHID_ptEl4bX5S90NFwBZYaFLYAomnzndj-BoLbjnA?e=6OoecG" TargetMode="External"/><Relationship Id="rId473" Type="http://schemas.openxmlformats.org/officeDocument/2006/relationships/hyperlink" Target="https://bearzt-my.sharepoint.com/:b:/g/personal/sarellano_no-mii_com/ERnmQt2xvjNJvjbt1fOCnLABHAA4ywK6GA_8z4OLw0QCog?e=iGolBD" TargetMode="External"/><Relationship Id="rId680" Type="http://schemas.openxmlformats.org/officeDocument/2006/relationships/hyperlink" Target="https://bearzt-my.sharepoint.com/:b:/g/personal/sarellano_no-mii_com/EVca8AJotzFEtsVLmUkUC2wBLZkTinfjDn_Va7A_Bpm4SQ?e=iKLzTn" TargetMode="External"/><Relationship Id="rId901" Type="http://schemas.openxmlformats.org/officeDocument/2006/relationships/hyperlink" Target="https://bearzt-my.sharepoint.com/:b:/g/personal/sarellano_no-mii_com/IQDcD6jl68v-R5ASbFTFfWtOAXQkYUQL-eL8V6zEz4-F9rE?e=iQKrKL" TargetMode="External"/><Relationship Id="rId1117" Type="http://schemas.openxmlformats.org/officeDocument/2006/relationships/hyperlink" Target="https://bearzt-my.sharepoint.com/:b:/g/personal/sarellano_no-mii_com/IQAjxVPY5DLYSb8GHexkShTAAaZBRS0lM0TlvE41IeSzrYU?e=E4EHr6" TargetMode="External"/><Relationship Id="rId30" Type="http://schemas.openxmlformats.org/officeDocument/2006/relationships/hyperlink" Target="https://bearzt-my.sharepoint.com/:b:/g/personal/sarellano_no-mii_com/EU9xhNJDN8RHjZUmzd33cYIBiXjAf12jbncVzKp0-Pz3Aw?e=F4137Z" TargetMode="External"/><Relationship Id="rId126" Type="http://schemas.openxmlformats.org/officeDocument/2006/relationships/hyperlink" Target="https://bearzt-my.sharepoint.com/:b:/g/personal/sarellano_no-mii_com/EaT0NeZ0rR5DgPbin1YsTgEB1OyYoBaTcHiRzqjNj9Rrvw?e=bH51QB" TargetMode="External"/><Relationship Id="rId333" Type="http://schemas.openxmlformats.org/officeDocument/2006/relationships/hyperlink" Target="https://bearzt-my.sharepoint.com/:b:/g/personal/sarellano_no-mii_com/EaV1776yLldFtGgK_gg-aFcBmeGaacs-4ZyodekVXKRReA?e=a4OhrA" TargetMode="External"/><Relationship Id="rId540" Type="http://schemas.openxmlformats.org/officeDocument/2006/relationships/hyperlink" Target="https://bearzt-my.sharepoint.com/:b:/g/personal/sarellano_no-mii_com/EY2pnqeQvtRFkKUFnOTQ-zkBEP9IqepFNvkEKpRvWHTw5A?e=SGNQjK" TargetMode="External"/><Relationship Id="rId778" Type="http://schemas.openxmlformats.org/officeDocument/2006/relationships/hyperlink" Target="https://bearzt-my.sharepoint.com/:b:/g/personal/sarellano_no-mii_com/IQDSWTAGe6oaRYKdJQvTT-u1ATwywjgB-ku-bDkdbZLe2Fk?e=8rM1Pc" TargetMode="External"/><Relationship Id="rId985" Type="http://schemas.openxmlformats.org/officeDocument/2006/relationships/hyperlink" Target="https://bearzt-my.sharepoint.com/:b:/g/personal/sarellano_no-mii_com/IQA6Zv6vhul-RK_C_daqIPBFAQoHDOZz1vybCTYPQ4qT4IA?e=FbJ7sh" TargetMode="External"/><Relationship Id="rId1170" Type="http://schemas.openxmlformats.org/officeDocument/2006/relationships/hyperlink" Target="https://bearzt-my.sharepoint.com/:b:/g/personal/sarellano_no-mii_com/IQACYpWT9CreTIHOyuA0h6zzAXyL0GFOekIS8GMoKxeOm-k?e=Sq0Ufy" TargetMode="External"/><Relationship Id="rId638" Type="http://schemas.openxmlformats.org/officeDocument/2006/relationships/hyperlink" Target="https://bearzt-my.sharepoint.com/:b:/g/personal/sarellano_no-mii_com/EaTj8Qg9srNAtl99gx3hAAMB3C2LDIJ_3HSHMY1k4L5zRg?e=4l52Db" TargetMode="External"/><Relationship Id="rId845" Type="http://schemas.openxmlformats.org/officeDocument/2006/relationships/hyperlink" Target="https://bearzt-my.sharepoint.com/:b:/g/personal/sarellano_no-mii_com/IQANSduWDsHdSoiP-BogqBt7AQR7LnrNsOJZY_42xhmZAPY?e=Doyk4q" TargetMode="External"/><Relationship Id="rId1030" Type="http://schemas.openxmlformats.org/officeDocument/2006/relationships/hyperlink" Target="https://bearzt-my.sharepoint.com/:b:/g/personal/sarellano_no-mii_com/IQBWn-lgmGkbTp76cmxto1q-AeHVrAbN0FeKnxjIYH_GG0Q?e=voW3Bg" TargetMode="External"/><Relationship Id="rId277" Type="http://schemas.openxmlformats.org/officeDocument/2006/relationships/hyperlink" Target="https://bearzt-my.sharepoint.com/:b:/g/personal/sarellano_no-mii_com/EZCQqdRkYdZBjNJF6KCLGSEBPsbIpKPkxFF-Jnbhfs_8rg?e=1fnGwO" TargetMode="External"/><Relationship Id="rId400" Type="http://schemas.openxmlformats.org/officeDocument/2006/relationships/hyperlink" Target="https://bearzt-my.sharepoint.com/:b:/g/personal/sarellano_no-mii_com/EV3-SZmoavVAt2qMeaKnXxYBmWfmU-W2QzeqmCE7v4TPCQ?e=ceB3Dc" TargetMode="External"/><Relationship Id="rId484" Type="http://schemas.openxmlformats.org/officeDocument/2006/relationships/hyperlink" Target="https://bearzt-my.sharepoint.com/:b:/g/personal/sarellano_no-mii_com/EWurjSMqPsZMgIdFOwN3UkABZkFvkT0TfAgY_KjYJdQYgg?e=5STOvo" TargetMode="External"/><Relationship Id="rId705" Type="http://schemas.openxmlformats.org/officeDocument/2006/relationships/hyperlink" Target="https://bearzt-my.sharepoint.com/:b:/g/personal/sarellano_no-mii_com/Ea8Fa7F_ajtPjqaCyJPq8iYBINFeOewWCu_P2Ba4Ls2pbQ?e=6wgmtQ" TargetMode="External"/><Relationship Id="rId1128" Type="http://schemas.openxmlformats.org/officeDocument/2006/relationships/hyperlink" Target="https://bearzt-my.sharepoint.com/:b:/g/personal/sarellano_no-mii_com/IQD1lzzqGQz_Tq15DdOPo0BPAWoGQI8Wdi8ppEPMrKGmJAU?e=kQcZr2" TargetMode="External"/><Relationship Id="rId137" Type="http://schemas.openxmlformats.org/officeDocument/2006/relationships/hyperlink" Target="https://bearzt-my.sharepoint.com/:b:/g/personal/sarellano_no-mii_com/EfGV7oKdx75AikPaemTCDU0BG1LPGkiPjLZbBn9NsmlTfA?e=iqoEAL" TargetMode="External"/><Relationship Id="rId344" Type="http://schemas.openxmlformats.org/officeDocument/2006/relationships/hyperlink" Target="https://bearzt-my.sharepoint.com/:b:/g/personal/sarellano_no-mii_com/EVCTAta-9JFIlKcxtSJyCyMBLgHpbNDgBFedc6zuTr3Cog?e=d0nHRl" TargetMode="External"/><Relationship Id="rId691" Type="http://schemas.openxmlformats.org/officeDocument/2006/relationships/hyperlink" Target="https://bearzt-my.sharepoint.com/:b:/g/personal/sarellano_no-mii_com/ETjasaK3z8xArn9TrswqoDIBZOnEHAcVS9c1JwrCcEuQGw?e=lgj2SA" TargetMode="External"/><Relationship Id="rId789" Type="http://schemas.openxmlformats.org/officeDocument/2006/relationships/hyperlink" Target="https://bearzt-my.sharepoint.com/:b:/g/personal/sarellano_no-mii_com/IQCTJmdqKkaRSZQdL2MX0i4uAda-YcuDMSyc7CWTh6kqNMo?e=c48fTO" TargetMode="External"/><Relationship Id="rId912" Type="http://schemas.openxmlformats.org/officeDocument/2006/relationships/hyperlink" Target="https://bearzt-my.sharepoint.com/:b:/g/personal/sarellano_no-mii_com/IQD1XxKzQfw9QoNOwE1ULjhvARNT-mbikfTkbC6VV4lspa4?e=ayt7dx" TargetMode="External"/><Relationship Id="rId996" Type="http://schemas.openxmlformats.org/officeDocument/2006/relationships/hyperlink" Target="https://bearzt-my.sharepoint.com/:b:/g/personal/sarellano_no-mii_com/IQB4hcx06RMbTIffjbZ-oQ_HAcUDMhudpphiitIiBDlkHL8?e=d75f22" TargetMode="External"/><Relationship Id="rId41" Type="http://schemas.openxmlformats.org/officeDocument/2006/relationships/hyperlink" Target="https://bearzt-my.sharepoint.com/:b:/g/personal/sarellano_no-mii_com/EXpf4wTyMZVMsymkCNrV5DwB-7Ji7veDA2EV9KUBVcaNvA?e=6RrRL5" TargetMode="External"/><Relationship Id="rId551" Type="http://schemas.openxmlformats.org/officeDocument/2006/relationships/hyperlink" Target="https://bearzt-my.sharepoint.com/:b:/g/personal/sarellano_no-mii_com/Eehp2t0U4CFBgp2XKeGuGmcBJQRUEJu3caMxVPPaXJ_Zbw?e=mCENbs" TargetMode="External"/><Relationship Id="rId649" Type="http://schemas.openxmlformats.org/officeDocument/2006/relationships/hyperlink" Target="https://bearzt-my.sharepoint.com/:b:/g/personal/sarellano_no-mii_com/EdUHBwDxURdFkOqcG1h_cMgBE_HKJPAnwSpnKpAHePa1PA?e=SMdOIa" TargetMode="External"/><Relationship Id="rId856" Type="http://schemas.openxmlformats.org/officeDocument/2006/relationships/hyperlink" Target="https://bearzt-my.sharepoint.com/:b:/g/personal/sarellano_no-mii_com/IQDRWLdGkDV4TpQZjCMr72-tAYKwxTUqYzyuoQLyJgZU_FE?e=ftdSUn" TargetMode="External"/><Relationship Id="rId1181" Type="http://schemas.openxmlformats.org/officeDocument/2006/relationships/hyperlink" Target="https://bearzt-my.sharepoint.com/:b:/g/personal/sarellano_no-mii_com/IQDmy0Pty8FfTbKxEjmtZ8h1AZbCF_6c0A3AvrcEEByKmro?e=fG1Tpr" TargetMode="External"/><Relationship Id="rId190" Type="http://schemas.openxmlformats.org/officeDocument/2006/relationships/hyperlink" Target="https://bearzt-my.sharepoint.com/:b:/g/personal/sarellano_no-mii_com/EfNRD8Cx5llNtJwv_3sGDiMBAWcj_3Zb8seRVzKkMy3D_A?e=tEfaE2" TargetMode="External"/><Relationship Id="rId204" Type="http://schemas.openxmlformats.org/officeDocument/2006/relationships/hyperlink" Target="https://bearzt-my.sharepoint.com/:b:/g/personal/sarellano_no-mii_com/EQTrLWUqT8pOnA81EqCio48BuF2voltPd8fTqJYtORvPYg?e=www4hJ" TargetMode="External"/><Relationship Id="rId288" Type="http://schemas.openxmlformats.org/officeDocument/2006/relationships/hyperlink" Target="https://bearzt-my.sharepoint.com/:b:/g/personal/sarellano_no-mii_com/EfL_H41LnMlBgeOBGKnsddUB4ARfS86emMpbywK43IV_Gw?e=d2F1H5" TargetMode="External"/><Relationship Id="rId411" Type="http://schemas.openxmlformats.org/officeDocument/2006/relationships/hyperlink" Target="https://bearzt-my.sharepoint.com/:b:/g/personal/sarellano_no-mii_com/EVAi1iCpRvBNp2ztcOQELM8BUvFKIzXphokVOrqpCZViAw?e=ZeAYt0" TargetMode="External"/><Relationship Id="rId509" Type="http://schemas.openxmlformats.org/officeDocument/2006/relationships/hyperlink" Target="https://bearzt-my.sharepoint.com/:b:/g/personal/sarellano_no-mii_com/EU6L_g_ehl9MjCoxIB2LI3QBOXQrP4D6EUiaIaY-tzSyVw?e=E51AIG" TargetMode="External"/><Relationship Id="rId1041" Type="http://schemas.openxmlformats.org/officeDocument/2006/relationships/hyperlink" Target="https://bearzt-my.sharepoint.com/:b:/g/personal/sarellano_no-mii_com/IQBG3fr183kvRZD5Xma6gXfFAZ-GIBPSpT6f6iK6pe96izA?e=mj2tdc" TargetMode="External"/><Relationship Id="rId1139" Type="http://schemas.openxmlformats.org/officeDocument/2006/relationships/hyperlink" Target="https://bearzt-my.sharepoint.com/:b:/g/personal/sarellano_no-mii_com/IQDCfDzIn4_7SLGeWbeYVSB3AU76TgfUPTEYmy8EoLZj7tU?e=M5Ja6e" TargetMode="External"/><Relationship Id="rId495" Type="http://schemas.openxmlformats.org/officeDocument/2006/relationships/hyperlink" Target="https://bearzt-my.sharepoint.com/:b:/g/personal/sarellano_no-mii_com/EfJkWwReiRdGkUkINzoFuGYBufbI-OT8ges4ivvgUJEgIg?e=F8QnXY" TargetMode="External"/><Relationship Id="rId716" Type="http://schemas.openxmlformats.org/officeDocument/2006/relationships/hyperlink" Target="https://bearzt-my.sharepoint.com/:b:/g/personal/sarellano_no-mii_com/EeMz9-2TvoxKtoOEpmG1iDUBXukrB-vA0ES0ZMJk7fq-Yw?e=xMvS1s" TargetMode="External"/><Relationship Id="rId923" Type="http://schemas.openxmlformats.org/officeDocument/2006/relationships/hyperlink" Target="https://bearzt-my.sharepoint.com/:b:/g/personal/sarellano_no-mii_com/IQDUdZiLgmAqS6Gd-AKzMJl3AbpfD4ceNp8LT6N8yhKztpY?e=pkHKTa" TargetMode="External"/><Relationship Id="rId52" Type="http://schemas.openxmlformats.org/officeDocument/2006/relationships/hyperlink" Target="https://bearzt-my.sharepoint.com/:b:/g/personal/sarellano_no-mii_com/ET1Jjh2Lfg1Jsv3lO3X3NysBRobtrxPIPeJI4dE7-lDzpQ?e=FpqjRy" TargetMode="External"/><Relationship Id="rId148" Type="http://schemas.openxmlformats.org/officeDocument/2006/relationships/hyperlink" Target="https://bearzt-my.sharepoint.com/:b:/g/personal/sarellano_no-mii_com/ETgA8AVQhlJIhU8u25qJwoABED8qBq4D3Twd5tPlG4XMyA?e=7sr8gS" TargetMode="External"/><Relationship Id="rId355" Type="http://schemas.openxmlformats.org/officeDocument/2006/relationships/hyperlink" Target="https://bearzt-my.sharepoint.com/:b:/g/personal/sarellano_no-mii_com/EXRRSNlt3y9MpR1dzmyIHcYBJu4gPpUobUXEWcvbN4vhEg?e=bWr6t7" TargetMode="External"/><Relationship Id="rId562" Type="http://schemas.openxmlformats.org/officeDocument/2006/relationships/hyperlink" Target="https://bearzt-my.sharepoint.com/:b:/g/personal/sarellano_no-mii_com/EZPLqq5rbWpLuXxPQv7EnIcBMtY8jMnmMvoTTYDhU-Pz5w?e=wbbPdo" TargetMode="External"/><Relationship Id="rId1192" Type="http://schemas.openxmlformats.org/officeDocument/2006/relationships/hyperlink" Target="https://bearzt-my.sharepoint.com/:b:/g/personal/sarellano_no-mii_com/IQBU1WULqjvQQJwyrr0guJzXAePNHpf-JyCl58GPCcHYNCo?e=ELmsCc" TargetMode="External"/><Relationship Id="rId1206" Type="http://schemas.openxmlformats.org/officeDocument/2006/relationships/hyperlink" Target="https://bearzt-my.sharepoint.com/:b:/g/personal/sarellano_no-mii_com/IQAMvsV_VGcuQYKTD4inu1RPAYTqCU-q8_UqhxnHDw0mPm8?e=7gzuH0" TargetMode="External"/><Relationship Id="rId215" Type="http://schemas.openxmlformats.org/officeDocument/2006/relationships/hyperlink" Target="https://bearzt-my.sharepoint.com/:b:/g/personal/sarellano_no-mii_com/EbQ_s8ZU23hAnsnvtj9u5d4B1bMYzk7bnK6jyP8eKO64Ow?e=1ma2Qd" TargetMode="External"/><Relationship Id="rId422" Type="http://schemas.openxmlformats.org/officeDocument/2006/relationships/hyperlink" Target="https://bearzt-my.sharepoint.com/:b:/g/personal/sarellano_no-mii_com/EcNUoZaYJjVKsKTh2UPiDzMBYAIPt4CAWFWxk5K1-QB5Jg?e=wVqH05" TargetMode="External"/><Relationship Id="rId867" Type="http://schemas.openxmlformats.org/officeDocument/2006/relationships/hyperlink" Target="https://bearzt-my.sharepoint.com/:b:/g/personal/sarellano_no-mii_com/IQD2OSctK1m8SbLNQU4BMMLAAXly4A5sqw3Up5nS0XYwxSg?e=MGa37D" TargetMode="External"/><Relationship Id="rId1052" Type="http://schemas.openxmlformats.org/officeDocument/2006/relationships/hyperlink" Target="https://bearzt-my.sharepoint.com/:b:/g/personal/sarellano_no-mii_com/IQDfXnXbpKJ4Q4dPkY5n-nmnAYRYAt_kE8fbstukIaOoR-o?e=rkQnbZ" TargetMode="External"/><Relationship Id="rId299" Type="http://schemas.openxmlformats.org/officeDocument/2006/relationships/hyperlink" Target="https://bearzt-my.sharepoint.com/:b:/g/personal/sarellano_no-mii_com/EY9BavpkrzdBgjL5_jk78igBzbbihi32SfxdlZQodzqYRA?e=RuFfX7" TargetMode="External"/><Relationship Id="rId727" Type="http://schemas.openxmlformats.org/officeDocument/2006/relationships/hyperlink" Target="https://bearzt-my.sharepoint.com/:b:/g/personal/sarellano_no-mii_com/EX2LWfU_LQ1NtkGmO8VlAE8BgcxATSCNznUcMULpQQtfDg?e=og3c0N" TargetMode="External"/><Relationship Id="rId934" Type="http://schemas.openxmlformats.org/officeDocument/2006/relationships/hyperlink" Target="https://bearzt-my.sharepoint.com/:i:/g/personal/sarellano_no-mii_com/IQBZhc1km7k3RbL90eXN5fBlAcQsPWNK0iLR4zItBh-AYhU?e=MX9HqA" TargetMode="External"/><Relationship Id="rId63" Type="http://schemas.openxmlformats.org/officeDocument/2006/relationships/hyperlink" Target="https://bearzt-my.sharepoint.com/:b:/g/personal/sarellano_no-mii_com/EbSS9y9ctrVLq5OU7ZSBM6gBW6VgqQf65oO1R2UjzqPFDA?e=DEAYnG" TargetMode="External"/><Relationship Id="rId159" Type="http://schemas.openxmlformats.org/officeDocument/2006/relationships/hyperlink" Target="https://bearzt-my.sharepoint.com/:b:/g/personal/sarellano_no-mii_com/EeEAvEKKRMhInHDg1HYQm28Bz22lNBfqNeEEPXkJ5AldFw?e=Zo4Dtp" TargetMode="External"/><Relationship Id="rId366" Type="http://schemas.openxmlformats.org/officeDocument/2006/relationships/hyperlink" Target="https://bearzt-my.sharepoint.com/:b:/g/personal/sarellano_no-mii_com/EQQOtPIkJ81FhLKEi6hAfMkB9DiVMwuzZMNql7EV8esBhQ?e=Fy1cZC" TargetMode="External"/><Relationship Id="rId573" Type="http://schemas.openxmlformats.org/officeDocument/2006/relationships/hyperlink" Target="https://bearzt-my.sharepoint.com/:b:/g/personal/sarellano_no-mii_com/EYIug9Znx1lCpvWu19JCjYMBoCJnM6jHC2hLc55mDD4IDA?e=150YTd" TargetMode="External"/><Relationship Id="rId780" Type="http://schemas.openxmlformats.org/officeDocument/2006/relationships/hyperlink" Target="https://bearzt-my.sharepoint.com/:b:/g/personal/sarellano_no-mii_com/IQA-I-ESZlNHSoy9Fi_IhKArAdJpSotGbL-SlHXMu0jvoCY?e=4YgnpA" TargetMode="External"/><Relationship Id="rId1217" Type="http://schemas.openxmlformats.org/officeDocument/2006/relationships/hyperlink" Target="https://bearzt-my.sharepoint.com/:b:/g/personal/sarellano_no-mii_com/IQAxP_Xk88KjSZt6YB-b8TNHAfL2Bc226FZJoSSFuiZ7G6k?e=552Sa4" TargetMode="External"/><Relationship Id="rId226" Type="http://schemas.openxmlformats.org/officeDocument/2006/relationships/hyperlink" Target="https://bearzt-my.sharepoint.com/:b:/g/personal/sarellano_no-mii_com/Eeo920CiGWVFvxaxZ34kvL0BCdelpir0xUZ2oQmLJm0dgg?e=KUAA9Z" TargetMode="External"/><Relationship Id="rId433" Type="http://schemas.openxmlformats.org/officeDocument/2006/relationships/hyperlink" Target="https://bearzt-my.sharepoint.com/:b:/g/personal/sarellano_no-mii_com/EbQOUCPknVVNllbEyiP52MYBFT9cVLL-gPTpNl68nbl6Bg?e=untAV9" TargetMode="External"/><Relationship Id="rId878" Type="http://schemas.openxmlformats.org/officeDocument/2006/relationships/hyperlink" Target="https://bearzt-my.sharepoint.com/:b:/g/personal/sarellano_no-mii_com/IQDEZhdVfpGXTa2u3UYOj3QaAUangcNHjIZnttm0Z12zXHA?e=SyOaC7" TargetMode="External"/><Relationship Id="rId1063" Type="http://schemas.openxmlformats.org/officeDocument/2006/relationships/hyperlink" Target="https://bearzt-my.sharepoint.com/:b:/g/personal/sarellano_no-mii_com/IQBEyGkuBO6WQ7VTvmAbOjQPATBZhqVKMCP1m4h3uXeiTLU?e=RYFulo" TargetMode="External"/><Relationship Id="rId640" Type="http://schemas.openxmlformats.org/officeDocument/2006/relationships/hyperlink" Target="https://bearzt-my.sharepoint.com/:i:/g/personal/sarellano_no-mii_com/Ef6yW5ugvmBCu42ssBwJOz8B8PD7nLJXqDeDfaJqwviqYA?e=Qm3GAE" TargetMode="External"/><Relationship Id="rId738" Type="http://schemas.openxmlformats.org/officeDocument/2006/relationships/hyperlink" Target="https://bearzt-my.sharepoint.com/:b:/g/personal/sarellano_no-mii_com/IQDzHD_x6k31TbdoVFxtDriPAbtW0GrNOcvXOOpcylO7FsI?e=y7OrnX" TargetMode="External"/><Relationship Id="rId945" Type="http://schemas.openxmlformats.org/officeDocument/2006/relationships/hyperlink" Target="https://bearzt-my.sharepoint.com/:b:/g/personal/sarellano_no-mii_com/IQD53LiifN-NSJirjG5Wf9n6AcL4gUa8YXPrQxqAFhHLgYU?e=MfwFrf" TargetMode="External"/><Relationship Id="rId74" Type="http://schemas.openxmlformats.org/officeDocument/2006/relationships/hyperlink" Target="https://bearzt-my.sharepoint.com/:b:/g/personal/sarellano_no-mii_com/EaKkvf-JbiNLqujhdoydoDABr7vRTHY-lUEGdWjtINqYeg?e=iFVbZD" TargetMode="External"/><Relationship Id="rId377" Type="http://schemas.openxmlformats.org/officeDocument/2006/relationships/hyperlink" Target="https://bearzt-my.sharepoint.com/:b:/g/personal/sarellano_no-mii_com/EaC51r5TnRtKn1qgIZ8m2O8Bv6a5mX3rYR48uvOjojCAbw?e=W6sel8" TargetMode="External"/><Relationship Id="rId500" Type="http://schemas.openxmlformats.org/officeDocument/2006/relationships/hyperlink" Target="https://bearzt-my.sharepoint.com/:b:/g/personal/sarellano_no-mii_com/EYHnPbMfwbtHlLzu2HhH1oEB1MXW1Zl4oKGyFvzOFy1HNQ?e=1hDfcL" TargetMode="External"/><Relationship Id="rId584" Type="http://schemas.openxmlformats.org/officeDocument/2006/relationships/hyperlink" Target="https://bearzt-my.sharepoint.com/:b:/g/personal/sarellano_no-mii_com/EcpP-qDBbXFGuMt_3wCwCYQBvsXHTsTFL5Y4EkUiDErYsQ?e=VEaNgd" TargetMode="External"/><Relationship Id="rId805" Type="http://schemas.openxmlformats.org/officeDocument/2006/relationships/hyperlink" Target="https://bearzt-my.sharepoint.com/:b:/g/personal/sarellano_no-mii_com/IQCS9en7khd2RrwAzgGFEkXCASFhWRnUmswC5CJgsqNtS2A?e=0vhJ6Y" TargetMode="External"/><Relationship Id="rId1130" Type="http://schemas.openxmlformats.org/officeDocument/2006/relationships/hyperlink" Target="https://bearzt-my.sharepoint.com/:b:/g/personal/sarellano_no-mii_com/IQCnUHVJ5mDzTaJ9gglSw-P2AVxWsa23G7BFEV-9ziinVlc?e=CH9nM5" TargetMode="External"/><Relationship Id="rId1228" Type="http://schemas.openxmlformats.org/officeDocument/2006/relationships/hyperlink" Target="https://bearzt-my.sharepoint.com/:b:/g/personal/sarellano_no-mii_com/IQB0QSC1Xhx8Tr9Ye76Ez2UHASMuYbgG1uqebyKz20IQjWo?e=bDHgct" TargetMode="External"/><Relationship Id="rId5" Type="http://schemas.openxmlformats.org/officeDocument/2006/relationships/hyperlink" Target="https://bearzt-my.sharepoint.com/:b:/g/personal/sarellano_no-mii_com/EZN6Kq4BB4ZCmtDaEEAQMzABKH0yYMCkiv3WV0kf02UkIQ?e=WHj5RB" TargetMode="External"/><Relationship Id="rId237" Type="http://schemas.openxmlformats.org/officeDocument/2006/relationships/hyperlink" Target="https://bearzt-my.sharepoint.com/:b:/g/personal/sarellano_no-mii_com/EX4uoDjOFxBKkRre9uhtqoABnlzvTZiBUj1gONcAvKj6Pw?e=ubBIrX" TargetMode="External"/><Relationship Id="rId791" Type="http://schemas.openxmlformats.org/officeDocument/2006/relationships/hyperlink" Target="https://bearzt-my.sharepoint.com/:b:/g/personal/sarellano_no-mii_com/IQCfcXPxQEGnQ7YG9HDI_tr6ASy02-I1NPVJWFmkuopgD18?e=oEFi6V" TargetMode="External"/><Relationship Id="rId889" Type="http://schemas.openxmlformats.org/officeDocument/2006/relationships/hyperlink" Target="https://bearzt-my.sharepoint.com/:b:/g/personal/sarellano_no-mii_com/IQAbs6UQNAIoSIEf7HVD7NNrAZWMuuCr1F5IOz_hTQB13Eo?e=klXg6r" TargetMode="External"/><Relationship Id="rId1074" Type="http://schemas.openxmlformats.org/officeDocument/2006/relationships/hyperlink" Target="https://bearzt-my.sharepoint.com/:b:/g/personal/sarellano_no-mii_com/IQBTuQMLVc4aTY7BCbejknEuAZn33lOXyRU3Y7W3RWkrKIs?e=nd6EPm" TargetMode="External"/><Relationship Id="rId444" Type="http://schemas.openxmlformats.org/officeDocument/2006/relationships/hyperlink" Target="https://bearzt-my.sharepoint.com/:b:/g/personal/sarellano_no-mii_com/ER37hBnkmPFGu6qzYd2HmnIBzIWBclTqyzSvw3MAYR5jxQ?e=yWOG7x" TargetMode="External"/><Relationship Id="rId651" Type="http://schemas.openxmlformats.org/officeDocument/2006/relationships/hyperlink" Target="https://bearzt-my.sharepoint.com/:b:/g/personal/sarellano_no-mii_com/EZXK5pGTl65BtcjmkNH5F-EBlAmTGGO6oz7DV95X3_-xBQ?e=teGnAP" TargetMode="External"/><Relationship Id="rId749" Type="http://schemas.openxmlformats.org/officeDocument/2006/relationships/hyperlink" Target="https://bearzt-my.sharepoint.com/:b:/g/personal/sarellano_no-mii_com/IQAWgqbD4qjIR630II9S6VqSAUKng6VnKJT62m4o0_DOmWU?e=gQJ7Hw" TargetMode="External"/><Relationship Id="rId290" Type="http://schemas.openxmlformats.org/officeDocument/2006/relationships/hyperlink" Target="https://bearzt-my.sharepoint.com/:b:/g/personal/sarellano_no-mii_com/ERzOH2I1nDdPnInM1jHlhooBcze_kAlW1Puk1WVPnb9f5w?e=ce76D1" TargetMode="External"/><Relationship Id="rId304" Type="http://schemas.openxmlformats.org/officeDocument/2006/relationships/hyperlink" Target="https://bearzt-my.sharepoint.com/:b:/g/personal/sarellano_no-mii_com/EQUaaNx3AFNDvAXvp-yItPgBk9JE9nf1tbJCwDg-_gZZ8w?e=b7tPfJ" TargetMode="External"/><Relationship Id="rId388" Type="http://schemas.openxmlformats.org/officeDocument/2006/relationships/hyperlink" Target="https://bearzt-my.sharepoint.com/:b:/g/personal/sarellano_no-mii_com/EYbesO4yZ8xLseue3T0bQjcBCiTNY2a4x41zOORx3Uxw7w?e=CxCcmI" TargetMode="External"/><Relationship Id="rId511" Type="http://schemas.openxmlformats.org/officeDocument/2006/relationships/hyperlink" Target="https://bearzt-my.sharepoint.com/:b:/g/personal/sarellano_no-mii_com/ESoVa-6ajT1Mo3uqJqdLMSYBIeZ44kJK_NBl5q8MFB_Cqg?e=wAn8Qh" TargetMode="External"/><Relationship Id="rId609" Type="http://schemas.openxmlformats.org/officeDocument/2006/relationships/hyperlink" Target="https://bearzt-my.sharepoint.com/:b:/g/personal/sarellano_no-mii_com/EaynfIfk8jJGtIbfUulqC4sB1Yjynv0ekR2bV1bo9CfWYg?e=nWLGfe" TargetMode="External"/><Relationship Id="rId956" Type="http://schemas.openxmlformats.org/officeDocument/2006/relationships/hyperlink" Target="https://bearzt-my.sharepoint.com/:b:/g/personal/sarellano_no-mii_com/IQDhvigaK6g8QZo2PyjD3ENdAaoe4ICbAMf2WNxPriS_4mw?e=ncbLve" TargetMode="External"/><Relationship Id="rId1141" Type="http://schemas.openxmlformats.org/officeDocument/2006/relationships/hyperlink" Target="https://bearzt-my.sharepoint.com/:b:/g/personal/sarellano_no-mii_com/IQCRONTWnAVLTIveQG-vujs5AShTREzGMRISZMtXjyF06QY?e=dmWxNB" TargetMode="External"/><Relationship Id="rId85" Type="http://schemas.openxmlformats.org/officeDocument/2006/relationships/hyperlink" Target="https://bearzt-my.sharepoint.com/:b:/g/personal/sarellano_no-mii_com/EVNYmEQ_aetBgQhSV5fKSWIB1JK2fqbMDDueS19Q7QvcXQ?e=5enl8S" TargetMode="External"/><Relationship Id="rId150" Type="http://schemas.openxmlformats.org/officeDocument/2006/relationships/hyperlink" Target="https://bearzt-my.sharepoint.com/:b:/g/personal/sarellano_no-mii_com/EfAPpVQtYINEsXRvoG_rRp0Bu2o7d6gqcpdwvm66ocg08w?e=ibGUqy" TargetMode="External"/><Relationship Id="rId595" Type="http://schemas.openxmlformats.org/officeDocument/2006/relationships/hyperlink" Target="https://bearzt-my.sharepoint.com/:b:/g/personal/sarellano_no-mii_com/EQBmNFf6JLFOil7zAeE4P-IBWdSXLl3rWHyOnrQW4W16lQ?e=lnhx2k" TargetMode="External"/><Relationship Id="rId816" Type="http://schemas.openxmlformats.org/officeDocument/2006/relationships/hyperlink" Target="https://bearzt-my.sharepoint.com/:b:/g/personal/sarellano_no-mii_com/IQD2rNUsQH1_Tr-weqQ1GZMHAZL5Izh0P1SQrh7LSAlZ2ks?e=DTQT5F" TargetMode="External"/><Relationship Id="rId1001" Type="http://schemas.openxmlformats.org/officeDocument/2006/relationships/hyperlink" Target="https://bearzt-my.sharepoint.com/:i:/g/personal/sarellano_no-mii_com/IQDxiS_N5ZnKQKiOoBHYJ759AQ5__7LOxt2xTZjHLPCKdbI?e=3otmrb" TargetMode="External"/><Relationship Id="rId248" Type="http://schemas.openxmlformats.org/officeDocument/2006/relationships/hyperlink" Target="https://bearzt-my.sharepoint.com/:b:/g/personal/sarellano_no-mii_com/EfAOC4EGnRZIv4_BRnNilvQBmrxgbiQB3b8GnQeVUqDM2w?e=oN7KFE" TargetMode="External"/><Relationship Id="rId455" Type="http://schemas.openxmlformats.org/officeDocument/2006/relationships/hyperlink" Target="https://bearzt-my.sharepoint.com/:b:/g/personal/sarellano_no-mii_com/ER2bCNhnc8BHgQq-OuA48u4B3TFu_3S1YbDaCSnbExWuEw?e=r2qSYe" TargetMode="External"/><Relationship Id="rId662" Type="http://schemas.openxmlformats.org/officeDocument/2006/relationships/hyperlink" Target="https://bearzt-my.sharepoint.com/:b:/g/personal/sarellano_no-mii_com/EVIjKMujubdHhrlpnTTfTeABZcd91BU2L_NIe5Cqj-t_AA?e=GLpmwr" TargetMode="External"/><Relationship Id="rId1085" Type="http://schemas.openxmlformats.org/officeDocument/2006/relationships/hyperlink" Target="https://bearzt-my.sharepoint.com/:b:/g/personal/sarellano_no-mii_com/IQBVLe2PfzezS7VpqkfBQhbJAUZuWcowpnb2rEfuX2E2TiQ?e=jDLWJx" TargetMode="External"/><Relationship Id="rId12" Type="http://schemas.openxmlformats.org/officeDocument/2006/relationships/hyperlink" Target="https://bearzt-my.sharepoint.com/:b:/g/personal/sarellano_no-mii_com/EdJsxy7AJ3RClXIzBGi37tYB3mEa-SZSpM4UN4ishwseqQ?e=0eaa85" TargetMode="External"/><Relationship Id="rId108" Type="http://schemas.openxmlformats.org/officeDocument/2006/relationships/hyperlink" Target="https://bearzt-my.sharepoint.com/:b:/g/personal/sarellano_no-mii_com/EbWKOUiV3PRGtmZEGySn5oYBSHT-9IMw-Mi8GpvD7uCJiA?e=JK8pkZ" TargetMode="External"/><Relationship Id="rId315" Type="http://schemas.openxmlformats.org/officeDocument/2006/relationships/hyperlink" Target="https://bearzt-my.sharepoint.com/:b:/g/personal/sarellano_no-mii_com/EY8_IBUGr5lCnTbl_otV4FUBXpamBLfg2OY6di0SzIswGg?e=jJdBwQ" TargetMode="External"/><Relationship Id="rId522" Type="http://schemas.openxmlformats.org/officeDocument/2006/relationships/hyperlink" Target="https://bearzt-my.sharepoint.com/:b:/g/personal/sarellano_no-mii_com/EUgIgRJK_ZRLnGVvBvr9FKwBSrJUi6vIAK_zj0ggqK-RGA?e=8XVY82" TargetMode="External"/><Relationship Id="rId967" Type="http://schemas.openxmlformats.org/officeDocument/2006/relationships/hyperlink" Target="https://bearzt-my.sharepoint.com/:b:/g/personal/sarellano_no-mii_com/IQCG5lQYSRMER5eo6ICon3xJAe7u_PVnu5keHrfYeyYBF2M?e=eMNahU" TargetMode="External"/><Relationship Id="rId1152" Type="http://schemas.openxmlformats.org/officeDocument/2006/relationships/hyperlink" Target="https://bearzt-my.sharepoint.com/:i:/g/personal/sarellano_no-mii_com/IQDG4mGvBECDQqyU2c6byMcYAYTQ66R_d-n5yFUldh8pEAE?e=4kjPwS" TargetMode="External"/><Relationship Id="rId96" Type="http://schemas.openxmlformats.org/officeDocument/2006/relationships/hyperlink" Target="https://bearzt-my.sharepoint.com/:b:/g/personal/sarellano_no-mii_com/Ee-c7UvU_4JMvPn5sLFoIiMBL1QoZShRmsYK49yhDW8LkA?e=dNdj5T" TargetMode="External"/><Relationship Id="rId161" Type="http://schemas.openxmlformats.org/officeDocument/2006/relationships/hyperlink" Target="https://bearzt-my.sharepoint.com/:b:/g/personal/sarellano_no-mii_com/EfT2Ps2W5odMvNPZ7QKUAD8BPvaVC00dS9jO-6-UgoBS3A?e=jkkTJI" TargetMode="External"/><Relationship Id="rId399" Type="http://schemas.openxmlformats.org/officeDocument/2006/relationships/hyperlink" Target="https://bearzt-my.sharepoint.com/:b:/g/personal/sarellano_no-mii_com/ERrXXmfsy7BOoIhP16YidRMBcdU1Wv85l2Ko2J7VTMVAlA?e=RjiJn1" TargetMode="External"/><Relationship Id="rId827" Type="http://schemas.openxmlformats.org/officeDocument/2006/relationships/hyperlink" Target="https://bearzt-my.sharepoint.com/:b:/g/personal/sarellano_no-mii_com/IQCaFeyjGHF8RKrmBrq7ALfWAWMrERsOchHa9OWDExhvJMY?e=FhNKJh" TargetMode="External"/><Relationship Id="rId1012" Type="http://schemas.openxmlformats.org/officeDocument/2006/relationships/hyperlink" Target="https://bearzt-my.sharepoint.com/:b:/g/personal/sarellano_no-mii_com/IQD4Uu__4LPbSI4whDeGAjnEAXlUPCSzGKZ2ec6iV8zZ5C4?e=MTupJD" TargetMode="External"/><Relationship Id="rId259" Type="http://schemas.openxmlformats.org/officeDocument/2006/relationships/hyperlink" Target="https://bearzt-my.sharepoint.com/:b:/g/personal/sarellano_no-mii_com/EQK_zn26HjJNmP4_w2QNga0BLUXuj781OR4ToeYLHlm12Q?e=5ZCLgV" TargetMode="External"/><Relationship Id="rId466" Type="http://schemas.openxmlformats.org/officeDocument/2006/relationships/hyperlink" Target="https://bearzt-my.sharepoint.com/:b:/g/personal/sarellano_no-mii_com/EUquccLYioJCmLv0BSUuM8oBODGxAvS2b6TaakH99wQpbA?e=SzqqK8" TargetMode="External"/><Relationship Id="rId673" Type="http://schemas.openxmlformats.org/officeDocument/2006/relationships/hyperlink" Target="https://bearzt-my.sharepoint.com/:b:/g/personal/sarellano_no-mii_com/EeN4gxcViphPsh8naXhLPOUBLaA8SeoCBocDhEVJObIJ2w?e=WNeVaU" TargetMode="External"/><Relationship Id="rId880" Type="http://schemas.openxmlformats.org/officeDocument/2006/relationships/hyperlink" Target="https://bearzt-my.sharepoint.com/:b:/g/personal/sarellano_no-mii_com/IQDJWePknl5lSKiaTj5sv2BYAe8QHBMJOF--XMKafrHzWNM?e=pnRV5l" TargetMode="External"/><Relationship Id="rId1096" Type="http://schemas.openxmlformats.org/officeDocument/2006/relationships/hyperlink" Target="https://bearzt-my.sharepoint.com/:b:/g/personal/sarellano_no-mii_com/IQAeTMI0INpFSbUMe3fdznpjAcFyJjx194VBTsYHjfd2vpY?e=V6rzR4" TargetMode="External"/><Relationship Id="rId23" Type="http://schemas.openxmlformats.org/officeDocument/2006/relationships/hyperlink" Target="https://bearzt-my.sharepoint.com/:b:/g/personal/sarellano_no-mii_com/ESM-aRLwCL9Mn65mK9RsvMEBpuuG4f9BiRZG6tDompRHLQ?e=YeGeJv" TargetMode="External"/><Relationship Id="rId119" Type="http://schemas.openxmlformats.org/officeDocument/2006/relationships/hyperlink" Target="https://bearzt-my.sharepoint.com/:b:/g/personal/sarellano_no-mii_com/EVwXY9Hyh1FNpmGTCjlS574BjduX06h-tMYNxnaPOfVARw?e=5Jh47X" TargetMode="External"/><Relationship Id="rId326" Type="http://schemas.openxmlformats.org/officeDocument/2006/relationships/hyperlink" Target="https://bearzt-my.sharepoint.com/:b:/g/personal/sarellano_no-mii_com/EQ2CM8K30odAss_ugUws3VMBDGJiN-K3pIYqciKEJ0Rtuw?e=7qJIfp" TargetMode="External"/><Relationship Id="rId533" Type="http://schemas.openxmlformats.org/officeDocument/2006/relationships/hyperlink" Target="https://bearzt-my.sharepoint.com/:b:/g/personal/sarellano_no-mii_com/EQukOSr59_dAgyS51WO4vU0Bhz0zr8GOUiNFSCwqgEJ5Zw?e=oYaZdI" TargetMode="External"/><Relationship Id="rId978" Type="http://schemas.openxmlformats.org/officeDocument/2006/relationships/hyperlink" Target="https://bearzt-my.sharepoint.com/:b:/g/personal/sarellano_no-mii_com/IQD6-GgVjgAgR5v5XMXi5-ugAeRzvzPqCS17rWqWdSOxj4k?e=CAHRam" TargetMode="External"/><Relationship Id="rId1163" Type="http://schemas.openxmlformats.org/officeDocument/2006/relationships/hyperlink" Target="https://bearzt-my.sharepoint.com/:b:/g/personal/sarellano_no-mii_com/IQAMoARZYzb7S4IUDm7YVu_aAagJUyo6t0Pem78YFwlT414?e=FDFyni" TargetMode="External"/><Relationship Id="rId740" Type="http://schemas.openxmlformats.org/officeDocument/2006/relationships/hyperlink" Target="https://bearzt-my.sharepoint.com/:b:/g/personal/sarellano_no-mii_com/IQAqlWjAYWQmRJ1EU1HexWGkAXjvttSbCpNKsC5itD2aZ30?e=c3had5" TargetMode="External"/><Relationship Id="rId838" Type="http://schemas.openxmlformats.org/officeDocument/2006/relationships/hyperlink" Target="https://bearzt-my.sharepoint.com/:b:/g/personal/sarellano_no-mii_com/IQBYN-6eHIxrQY50fPAa9xo5AS3F-9FBZ_hVSsZUFBUgByI?e=EbGQ8x" TargetMode="External"/><Relationship Id="rId1023" Type="http://schemas.openxmlformats.org/officeDocument/2006/relationships/hyperlink" Target="https://bearzt-my.sharepoint.com/:b:/g/personal/sarellano_no-mii_com/IQCs4ux6V0OUSJL_ojMJJaOyAcqc8E0nix5sMLq3u_E3qUU?e=9MQfjz" TargetMode="External"/><Relationship Id="rId172" Type="http://schemas.openxmlformats.org/officeDocument/2006/relationships/hyperlink" Target="https://bearzt-my.sharepoint.com/:b:/g/personal/sarellano_no-mii_com/EQ3kxCY-pblEqQeAaz-O5CcBrf7yHjpBOpGcFr2hpNGV4w?e=aCuP2k" TargetMode="External"/><Relationship Id="rId477" Type="http://schemas.openxmlformats.org/officeDocument/2006/relationships/hyperlink" Target="https://bearzt-my.sharepoint.com/:b:/g/personal/sarellano_no-mii_com/ESsq50NmbUpCqgsQrKznJcYBRkqUiiv7ZQ0NUDJRp1DI_w?e=M6X6Sm" TargetMode="External"/><Relationship Id="rId600" Type="http://schemas.openxmlformats.org/officeDocument/2006/relationships/hyperlink" Target="https://bearzt-my.sharepoint.com/:b:/g/personal/sarellano_no-mii_com/EQmpsHp9a0dNm680MG7qtqgBooExgkkUIt7Z56tfBqbL6w?e=5b9kBI" TargetMode="External"/><Relationship Id="rId684" Type="http://schemas.openxmlformats.org/officeDocument/2006/relationships/hyperlink" Target="https://bearzt-my.sharepoint.com/:b:/g/personal/sarellano_no-mii_com/EXocHTqeYN1ArtfT4b680k8BNsrDLaCxnijY7C97w6k4Bg?e=7pyIcw" TargetMode="External"/><Relationship Id="rId1230" Type="http://schemas.openxmlformats.org/officeDocument/2006/relationships/hyperlink" Target="https://bearzt-my.sharepoint.com/:i:/g/personal/sarellano_no-mii_com/IQD6JFY4YA0xSYrt5CPgOfW7AYvBSA7FjJfIjz0UTo-PShU?e=XZ82Lq" TargetMode="External"/><Relationship Id="rId337" Type="http://schemas.openxmlformats.org/officeDocument/2006/relationships/hyperlink" Target="https://bearzt-my.sharepoint.com/:b:/g/personal/sarellano_no-mii_com/EQzKkFM7GNlAkCQdmCjaIakBscjD7w4z_04XF-Fz8AAgyw?e=cs9ceN" TargetMode="External"/><Relationship Id="rId891" Type="http://schemas.openxmlformats.org/officeDocument/2006/relationships/hyperlink" Target="https://bearzt-my.sharepoint.com/:b:/g/personal/sarellano_no-mii_com/IQBbG1jAviSoR7DV4ypfQOVjARDuF9vXiP0GKZ8E1Mar3D8?e=ORF6Zb" TargetMode="External"/><Relationship Id="rId905" Type="http://schemas.openxmlformats.org/officeDocument/2006/relationships/hyperlink" Target="https://bearzt-my.sharepoint.com/:b:/g/personal/sarellano_no-mii_com/IQA86KqMWaaKT40_Kg-BSStFARW60GIOrsYYsuSE05G2kpY?e=yWGUU3" TargetMode="External"/><Relationship Id="rId989" Type="http://schemas.openxmlformats.org/officeDocument/2006/relationships/hyperlink" Target="https://bearzt-my.sharepoint.com/:b:/g/personal/sarellano_no-mii_com/IQANG4HdTNN-SL-PuliP9SF2Ad4jBMpogvbb7A8GI-0ltVs?e=m63fFm" TargetMode="External"/><Relationship Id="rId34" Type="http://schemas.openxmlformats.org/officeDocument/2006/relationships/hyperlink" Target="https://bearzt-my.sharepoint.com/:b:/g/personal/sarellano_no-mii_com/Ef7ZDSsRzSxDl0HbDbWlpbABsU0yRH-LVPTO-jyWKyHgLg?e=29QlT9" TargetMode="External"/><Relationship Id="rId544" Type="http://schemas.openxmlformats.org/officeDocument/2006/relationships/hyperlink" Target="https://bearzt-my.sharepoint.com/:b:/g/personal/sarellano_no-mii_com/EdIVnUAfPVFHrGZgVqp0xYIB848M55nkFiEYhb0PeztLjg?e=Xto8Ne" TargetMode="External"/><Relationship Id="rId751" Type="http://schemas.openxmlformats.org/officeDocument/2006/relationships/hyperlink" Target="https://bearzt-my.sharepoint.com/:b:/g/personal/sarellano_no-mii_com/IQDJCo9HNDmqRKqypSzU20tmASy5sNKhbk4luIiKAvNSB4I?e=dKVNsW" TargetMode="External"/><Relationship Id="rId849" Type="http://schemas.openxmlformats.org/officeDocument/2006/relationships/hyperlink" Target="https://bearzt-my.sharepoint.com/:b:/g/personal/sarellano_no-mii_com/IQAuFsO1EosXS7P7mI7H7GnKAXcS-mcDQjQmRe4Bc0jdXhw?e=HeMZQu" TargetMode="External"/><Relationship Id="rId1174" Type="http://schemas.openxmlformats.org/officeDocument/2006/relationships/hyperlink" Target="https://bearzt-my.sharepoint.com/:b:/g/personal/sarellano_no-mii_com/IQCsEeo_wXDAR75QfSTn8LeXAQ585mT74dOovYwL2FDv5Xw?e=DBYlcA" TargetMode="External"/><Relationship Id="rId183" Type="http://schemas.openxmlformats.org/officeDocument/2006/relationships/hyperlink" Target="https://bearzt-my.sharepoint.com/:b:/g/personal/sarellano_no-mii_com/EWFbxWuqzjFMueYWmQdXcN0Bi0IBxxQLM59mjvwtcVne7A?e=WnDvVS" TargetMode="External"/><Relationship Id="rId390" Type="http://schemas.openxmlformats.org/officeDocument/2006/relationships/hyperlink" Target="https://bearzt-my.sharepoint.com/:b:/g/personal/sarellano_no-mii_com/EYKe2EuXU3tFkSfBWiMO_0gBVFxldW0niPhhbJipDVH1Ww?e=PGn2NC" TargetMode="External"/><Relationship Id="rId404" Type="http://schemas.openxmlformats.org/officeDocument/2006/relationships/hyperlink" Target="https://bearzt-my.sharepoint.com/:b:/g/personal/sarellano_no-mii_com/ETJLCtuNUTNHoPY2m-NEjBwBYjJOsWyyHwwEmGiUneqzhQ?e=kvKudx" TargetMode="External"/><Relationship Id="rId611" Type="http://schemas.openxmlformats.org/officeDocument/2006/relationships/hyperlink" Target="https://bearzt-my.sharepoint.com/:b:/g/personal/sarellano_no-mii_com/EfkDMs21yY5Or3qT4mmhdVgBwmnoNTY1SYcaB0tLvUl77g?e=4nk1hb" TargetMode="External"/><Relationship Id="rId1034" Type="http://schemas.openxmlformats.org/officeDocument/2006/relationships/hyperlink" Target="https://bearzt-my.sharepoint.com/:b:/g/personal/sarellano_no-mii_com/IQC8E3EPck4TSqM77VxgaFcWAWSabh2UkHP5Qc1sOXY1GRs?e=tMmge7" TargetMode="External"/><Relationship Id="rId250" Type="http://schemas.openxmlformats.org/officeDocument/2006/relationships/hyperlink" Target="https://bearzt-my.sharepoint.com/:b:/g/personal/sarellano_no-mii_com/EQ3HZZ2PJFBCtBYwQSgsgp4BZf8A0Kh_h-rGrUMXINGH8w?e=wc9f6z" TargetMode="External"/><Relationship Id="rId488" Type="http://schemas.openxmlformats.org/officeDocument/2006/relationships/hyperlink" Target="https://bearzt-my.sharepoint.com/:b:/g/personal/sarellano_no-mii_com/Eemq-9CRejxBqLnDnOQuagYBElOIFguFhF6gsw88z9HlUg?e=JKll19" TargetMode="External"/><Relationship Id="rId695" Type="http://schemas.openxmlformats.org/officeDocument/2006/relationships/hyperlink" Target="https://bearzt-my.sharepoint.com/:b:/g/personal/sarellano_no-mii_com/EeaBpI1n97BNq6tuZd2dFEgBlMT_deyv4V69DnkSzrsnfA?e=1VIzN3" TargetMode="External"/><Relationship Id="rId709" Type="http://schemas.openxmlformats.org/officeDocument/2006/relationships/hyperlink" Target="https://bearzt-my.sharepoint.com/:b:/g/personal/sarellano_no-mii_com/EZ1OTMIh7qVOj1phaWbQ_TkBSTg6_4JM-fNi1lZiyBm-Sw?e=gDvLA9" TargetMode="External"/><Relationship Id="rId916" Type="http://schemas.openxmlformats.org/officeDocument/2006/relationships/hyperlink" Target="https://bearzt-my.sharepoint.com/:b:/g/personal/sarellano_no-mii_com/IQCGiPXs3XubT7ejumkIMnXFAQD5BN-PMYV0rDgYyXeCgv4?e=I0EB8p" TargetMode="External"/><Relationship Id="rId1101" Type="http://schemas.openxmlformats.org/officeDocument/2006/relationships/hyperlink" Target="https://bearzt-my.sharepoint.com/:b:/g/personal/sarellano_no-mii_com/IQDvFznXr0stTLI7npPEPJrdAf4hCs61d8mkFqaDv9S9L0Q?e=Pr0CY9" TargetMode="External"/><Relationship Id="rId45" Type="http://schemas.openxmlformats.org/officeDocument/2006/relationships/hyperlink" Target="https://bearzt-my.sharepoint.com/:b:/g/personal/sarellano_no-mii_com/EeIVh2AtwApDhC3GsTrrtyAB5b-sR7s5WVpM7ek5Oe5tMw?e=K0g2sU" TargetMode="External"/><Relationship Id="rId110" Type="http://schemas.openxmlformats.org/officeDocument/2006/relationships/hyperlink" Target="https://bearzt-my.sharepoint.com/:b:/g/personal/sarellano_no-mii_com/EWDqAxnZ9MREsTHY-iLZu_gBrnktVFHgllWKtQEHYmRfwg?e=3nNhbE" TargetMode="External"/><Relationship Id="rId348" Type="http://schemas.openxmlformats.org/officeDocument/2006/relationships/hyperlink" Target="https://bearzt-my.sharepoint.com/:b:/g/personal/sarellano_no-mii_com/EeS3ll3L8YRKpkjZSjhiBugBbEyFuM1gVI4qQY42vHoiLg?e=MeTKUJ" TargetMode="External"/><Relationship Id="rId555" Type="http://schemas.openxmlformats.org/officeDocument/2006/relationships/hyperlink" Target="https://bearzt-my.sharepoint.com/:b:/g/personal/sarellano_no-mii_com/EbyqV3CtxDtPta3eur75KzQBcQKgqgn-So5fZBXG-aMcJQ?e=RUV45a" TargetMode="External"/><Relationship Id="rId762" Type="http://schemas.openxmlformats.org/officeDocument/2006/relationships/hyperlink" Target="https://bearzt-my.sharepoint.com/:b:/g/personal/sarellano_no-mii_com/IQB1Q9A9sz7uTri1dYKF1HvCASOdIbIxXAH_olSgoR3dsWU?e=O6zzw8" TargetMode="External"/><Relationship Id="rId1185" Type="http://schemas.openxmlformats.org/officeDocument/2006/relationships/hyperlink" Target="https://bearzt-my.sharepoint.com/:b:/g/personal/sarellano_no-mii_com/IQBniVL7GmZPSoSVlOytNcjZAYCspEhivmD5psmb4S5axZc?e=WMX71Z" TargetMode="External"/><Relationship Id="rId194" Type="http://schemas.openxmlformats.org/officeDocument/2006/relationships/hyperlink" Target="https://bearzt-my.sharepoint.com/:b:/g/personal/sarellano_no-mii_com/EYeqaKzRzDFButIM0MNtdXgBQcSEz1as2gO0nlUSaC8kYw?e=rbEJWr" TargetMode="External"/><Relationship Id="rId208" Type="http://schemas.openxmlformats.org/officeDocument/2006/relationships/hyperlink" Target="https://bearzt-my.sharepoint.com/:b:/g/personal/sarellano_no-mii_com/Eb0ZJ20X2dBEnt9GNcN09rkBJaT5U2yQ2ZGbFY0pUysmyg?e=Xd53K4" TargetMode="External"/><Relationship Id="rId415" Type="http://schemas.openxmlformats.org/officeDocument/2006/relationships/hyperlink" Target="https://bearzt-my.sharepoint.com/:b:/g/personal/sarellano_no-mii_com/ERoWKBg-3HVLpd-2ONa2QEwBaQevt0SKWWzPE57io16FHg?e=PK1e2c" TargetMode="External"/><Relationship Id="rId622" Type="http://schemas.openxmlformats.org/officeDocument/2006/relationships/hyperlink" Target="https://bearzt-my.sharepoint.com/:b:/g/personal/sarellano_no-mii_com/EQQduXeQ3l1CmpiNAiOKYv4BhR6eM5kiXrOAOJQw7O-qKg?e=o4mC2e" TargetMode="External"/><Relationship Id="rId1045" Type="http://schemas.openxmlformats.org/officeDocument/2006/relationships/hyperlink" Target="https://bearzt-my.sharepoint.com/:b:/g/personal/sarellano_no-mii_com/IQBxL1X9YBOjQKNdAy21LDtgATO6qg7-A9lr28zjVY7NBa4?e=KCSHNv" TargetMode="External"/><Relationship Id="rId261" Type="http://schemas.openxmlformats.org/officeDocument/2006/relationships/hyperlink" Target="https://bearzt-my.sharepoint.com/:b:/g/personal/sarellano_no-mii_com/EauWs3b7oMdFj5txhNsANCABnD_byxvh1BvO4ku0W1kkvw?e=SyYXv7" TargetMode="External"/><Relationship Id="rId499" Type="http://schemas.openxmlformats.org/officeDocument/2006/relationships/hyperlink" Target="https://bearzt-my.sharepoint.com/:b:/g/personal/sarellano_no-mii_com/Ea8d58HGJk1Gp0a8ekWqMAwBA92nr6viJ-tWy162R_Yjrw?e=O3oA70" TargetMode="External"/><Relationship Id="rId927" Type="http://schemas.openxmlformats.org/officeDocument/2006/relationships/hyperlink" Target="https://bearzt-my.sharepoint.com/:b:/g/personal/sarellano_no-mii_com/EaBaeufV5zVOizyZmqZPgo8B5UJnx4LOYb8B6YF_ZA003A?e=6R9ib9" TargetMode="External"/><Relationship Id="rId1112" Type="http://schemas.openxmlformats.org/officeDocument/2006/relationships/hyperlink" Target="https://bearzt-my.sharepoint.com/:i:/g/personal/sarellano_no-mii_com/IQCb4PjiyAV2RKqLA1XpxN5sAaIcqRj6WIk7LHJFMKG7dTI?e=35caOY" TargetMode="External"/><Relationship Id="rId56" Type="http://schemas.openxmlformats.org/officeDocument/2006/relationships/hyperlink" Target="https://bearzt-my.sharepoint.com/:b:/g/personal/sarellano_no-mii_com/EVf8oCgkJllGgDaGx98na9oBjBOPb7U8KiTO_lmj-IyEDQ?e=Zb9kZP" TargetMode="External"/><Relationship Id="rId359" Type="http://schemas.openxmlformats.org/officeDocument/2006/relationships/hyperlink" Target="https://bearzt-my.sharepoint.com/:b:/g/personal/sarellano_no-mii_com/EajlvRYNJ7ROgCVn49VMVPMBMvuPmmqXPLhVfElfD98uVA?e=odjSfd" TargetMode="External"/><Relationship Id="rId566" Type="http://schemas.openxmlformats.org/officeDocument/2006/relationships/hyperlink" Target="https://bearzt-my.sharepoint.com/:b:/g/personal/sarellano_no-mii_com/EbV7_m0Ga_RCo9S_YDJeBsoBalCCKKFeI1SWouHBAjFbAg?e=AFcih7" TargetMode="External"/><Relationship Id="rId773" Type="http://schemas.openxmlformats.org/officeDocument/2006/relationships/hyperlink" Target="https://bearzt-my.sharepoint.com/:b:/g/personal/sarellano_no-mii_com/IQBHlXRp5OIfRqhS4s5AxtKGAWT703Ad-Wpu2eGoA5Y6hEg?e=yQn18k" TargetMode="External"/><Relationship Id="rId1196" Type="http://schemas.openxmlformats.org/officeDocument/2006/relationships/hyperlink" Target="https://bearzt-my.sharepoint.com/:b:/g/personal/sarellano_no-mii_com/IQAqqI1Rs5pRQ5GTYHb6Clr6AXMFJkyw_j33t0UKAft_NXQ?e=FAHOmN" TargetMode="External"/><Relationship Id="rId121" Type="http://schemas.openxmlformats.org/officeDocument/2006/relationships/hyperlink" Target="https://bearzt-my.sharepoint.com/:b:/g/personal/sarellano_no-mii_com/EZq86TMPTq1PrhhU_syrpPwBYHyqmK--l65Jh7LvA6Oj-w?e=QmqK5Q" TargetMode="External"/><Relationship Id="rId219" Type="http://schemas.openxmlformats.org/officeDocument/2006/relationships/hyperlink" Target="https://bearzt-my.sharepoint.com/:b:/g/personal/sarellano_no-mii_com/ETVYuvzTRypCquj83xps-nwBUsQjQXhjQltbqE8WECylfg?e=1zHbIB" TargetMode="External"/><Relationship Id="rId426" Type="http://schemas.openxmlformats.org/officeDocument/2006/relationships/hyperlink" Target="https://bearzt-my.sharepoint.com/:b:/g/personal/sarellano_no-mii_com/EUtInxyzR_9OqDiraDNcYcoBgFbCFGwQLgKKCnKAwBAR9A?e=aa5H6F" TargetMode="External"/><Relationship Id="rId633" Type="http://schemas.openxmlformats.org/officeDocument/2006/relationships/hyperlink" Target="https://bearzt-my.sharepoint.com/:b:/g/personal/sarellano_no-mii_com/EW3JoXtEGONKo4VSIl7fox0BivgKPBYqSoN9044VGBUSBA?e=7yuf34" TargetMode="External"/><Relationship Id="rId980" Type="http://schemas.openxmlformats.org/officeDocument/2006/relationships/hyperlink" Target="https://bearzt-my.sharepoint.com/:b:/g/personal/sarellano_no-mii_com/IQCvMko8CzYwS5XnjBk7uB2gAeLqTmD0B5YYETNREg8Iz40?e=UIbqZz" TargetMode="External"/><Relationship Id="rId1056" Type="http://schemas.openxmlformats.org/officeDocument/2006/relationships/hyperlink" Target="https://bearzt-my.sharepoint.com/:b:/g/personal/sarellano_no-mii_com/IQBgnCL0Zw6vQZdEkd7mTKqGAaH_bYAfKzJz8l-XzNutYHw?e=ECSUXg" TargetMode="External"/><Relationship Id="rId840" Type="http://schemas.openxmlformats.org/officeDocument/2006/relationships/hyperlink" Target="https://bearzt-my.sharepoint.com/:b:/g/personal/sarellano_no-mii_com/IQCjsfWoW_khRJRamz2zzQCZAd9Z2O55F7mRiFrFCF264Fk?e=gc3KFU" TargetMode="External"/><Relationship Id="rId938" Type="http://schemas.openxmlformats.org/officeDocument/2006/relationships/hyperlink" Target="https://bearzt-my.sharepoint.com/:b:/g/personal/sarellano_no-mii_com/IQAo3NawYqCtQaq2hRLVAzQcAbCzOmbGiNQvDQST038FXPI?e=PbW9p9" TargetMode="External"/><Relationship Id="rId67" Type="http://schemas.openxmlformats.org/officeDocument/2006/relationships/hyperlink" Target="https://bearzt-my.sharepoint.com/:b:/g/personal/sarellano_no-mii_com/EYoRS9Ij-ihLuezvOMdZGcgBRfL4stUXoFDVQieoBo6_gQ?e=BWxzWZ" TargetMode="External"/><Relationship Id="rId272" Type="http://schemas.openxmlformats.org/officeDocument/2006/relationships/hyperlink" Target="https://bearzt-my.sharepoint.com/:b:/g/personal/sarellano_no-mii_com/EXs9B4TrAitPsMvRY9IwSC8Bn1ddBzfBGOlBFzGHKYfM_Q?e=MmtEfM" TargetMode="External"/><Relationship Id="rId577" Type="http://schemas.openxmlformats.org/officeDocument/2006/relationships/hyperlink" Target="https://bearzt-my.sharepoint.com/:b:/g/personal/sarellano_no-mii_com/EaUEEquSzb1FkcR5-6tPJ-gBmig4oXHy8YjheDuT6Dm_xw?e=fTDEH3" TargetMode="External"/><Relationship Id="rId700" Type="http://schemas.openxmlformats.org/officeDocument/2006/relationships/hyperlink" Target="https://bearzt-my.sharepoint.com/:b:/g/personal/sarellano_no-mii_com/Ed5RBDl12klGoSG-NrE6d-sB10vDQyMqppj47X0oZWxWmw?e=pVL7zc" TargetMode="External"/><Relationship Id="rId1123" Type="http://schemas.openxmlformats.org/officeDocument/2006/relationships/hyperlink" Target="https://bearzt-my.sharepoint.com/:b:/g/personal/sarellano_no-mii_com/IQCi4-TrLEuzRpgtvMdQqilxAZcNdh631bQejSXd3op-JhM?e=iN7sZR" TargetMode="External"/><Relationship Id="rId132" Type="http://schemas.openxmlformats.org/officeDocument/2006/relationships/hyperlink" Target="https://bearzt-my.sharepoint.com/:b:/g/personal/sarellano_no-mii_com/EXqgtbpFr9hPrxZuXXRKNTgB0yH_80oMp3vHnufjIeNnkw?e=jTyCPe" TargetMode="External"/><Relationship Id="rId784" Type="http://schemas.openxmlformats.org/officeDocument/2006/relationships/hyperlink" Target="https://bearzt-my.sharepoint.com/:b:/g/personal/sarellano_no-mii_com/IQDb7bzMlqkJRom5WukRZUuNAfoNdhcNBVV0ZwtUIjgqDh4?e=Nqy2An" TargetMode="External"/><Relationship Id="rId991" Type="http://schemas.openxmlformats.org/officeDocument/2006/relationships/hyperlink" Target="https://bearzt-my.sharepoint.com/:b:/g/personal/sarellano_no-mii_com/IQDHpQtt0fw4QqPudKZY9mt2AdDflN_i21-gpl6YmwvJ3Qo?e=QmV5D5" TargetMode="External"/><Relationship Id="rId1067" Type="http://schemas.openxmlformats.org/officeDocument/2006/relationships/hyperlink" Target="https://bearzt-my.sharepoint.com/:b:/g/personal/sarellano_no-mii_com/IQCMsErdnzsGQIiWK4RuQOZLAWRgZqNhz8QsHFm3eYdEJ44?e=uKUAT1" TargetMode="External"/><Relationship Id="rId437" Type="http://schemas.openxmlformats.org/officeDocument/2006/relationships/hyperlink" Target="https://bearzt-my.sharepoint.com/:b:/g/personal/sarellano_no-mii_com/EaNO0qCtNfhJiyCirQM08cwBpNnMkNZ9071tZKpi8Ix6Zg?e=RaCeZc" TargetMode="External"/><Relationship Id="rId644" Type="http://schemas.openxmlformats.org/officeDocument/2006/relationships/hyperlink" Target="https://bearzt-my.sharepoint.com/:b:/g/personal/sarellano_no-mii_com/EQI8XTLBKDJAqQYsX1K6Zb8BpsH6sWs0wAlvYnx1WV_wrQ?e=aCgGhZ" TargetMode="External"/><Relationship Id="rId851" Type="http://schemas.openxmlformats.org/officeDocument/2006/relationships/hyperlink" Target="https://bearzt-my.sharepoint.com/:b:/g/personal/sarellano_no-mii_com/IQCL3ipdBSr-T5VPRND74n7HAT4ZrnY5ZrC1D9lyWzT7m_U?e=tuifvg" TargetMode="External"/><Relationship Id="rId283" Type="http://schemas.openxmlformats.org/officeDocument/2006/relationships/hyperlink" Target="https://bearzt-my.sharepoint.com/:b:/g/personal/sarellano_no-mii_com/EeGv48lfD5VEp-eI5XfprNQBQEg1yqrCbIMlnAUVP4Ry2g?e=JhvkNM" TargetMode="External"/><Relationship Id="rId490" Type="http://schemas.openxmlformats.org/officeDocument/2006/relationships/hyperlink" Target="https://bearzt-my.sharepoint.com/:b:/g/personal/sarellano_no-mii_com/EdnOqtipw0RHuOPaFe84OkABHHX7oVb95RT0eiLZWbbsCw?e=3BHkx9" TargetMode="External"/><Relationship Id="rId504" Type="http://schemas.openxmlformats.org/officeDocument/2006/relationships/hyperlink" Target="https://bearzt-my.sharepoint.com/:b:/g/personal/sarellano_no-mii_com/EfL_H41LnMlBgeOBGKnsddUB4ARfS86emMpbywK43IV_Gw?e=d2F1H5" TargetMode="External"/><Relationship Id="rId711" Type="http://schemas.openxmlformats.org/officeDocument/2006/relationships/hyperlink" Target="https://bearzt-my.sharepoint.com/:b:/g/personal/sarellano_no-mii_com/ES61XT7-pBRCuNQ8m93JnB0BnlDA7QtTiExVu0cM_XtWKA?e=UPoZo0" TargetMode="External"/><Relationship Id="rId949" Type="http://schemas.openxmlformats.org/officeDocument/2006/relationships/hyperlink" Target="https://bearzt-my.sharepoint.com/:b:/g/personal/sarellano_no-mii_com/IQC3B5W7fwi6RYrNlfSABx5SAXZ4XH-DFKx65x5rILw_MkM?e=NXy4qV" TargetMode="External"/><Relationship Id="rId1134" Type="http://schemas.openxmlformats.org/officeDocument/2006/relationships/hyperlink" Target="https://bearzt-my.sharepoint.com/:b:/g/personal/sarellano_no-mii_com/IQDA6aidqrKARYY30stkII_LAfBVxVyPxx6lFOKOktAPBH8?e=4BEtIX" TargetMode="External"/><Relationship Id="rId78" Type="http://schemas.openxmlformats.org/officeDocument/2006/relationships/hyperlink" Target="https://bearzt-my.sharepoint.com/:b:/g/personal/sarellano_no-mii_com/ET29Ukxt6WxCtX3q0wnP9ygB0NQy7npW807kKy-VVClV5g?e=yq3m8Y" TargetMode="External"/><Relationship Id="rId143" Type="http://schemas.openxmlformats.org/officeDocument/2006/relationships/hyperlink" Target="https://bearzt-my.sharepoint.com/:b:/g/personal/sarellano_no-mii_com/Ec--F9AHhxNIlqtVFd7t6uYBzUuRuI3iS7Xfam7ovXX9kw?e=ksV292" TargetMode="External"/><Relationship Id="rId350" Type="http://schemas.openxmlformats.org/officeDocument/2006/relationships/hyperlink" Target="https://bearzt-my.sharepoint.com/:b:/g/personal/sarellano_no-mii_com/EboT1ivC5cRHm0XEdvmZ4aMBgv1ybS020ANP9F4GeReu3A?e=idKYyI" TargetMode="External"/><Relationship Id="rId588" Type="http://schemas.openxmlformats.org/officeDocument/2006/relationships/hyperlink" Target="https://bearzt-my.sharepoint.com/:b:/g/personal/sarellano_no-mii_com/ESUOtsMSRfxAniZ5L2camLIBddiFok6mgSXGrrJi2DGCbw?e=dwPnqc" TargetMode="External"/><Relationship Id="rId795" Type="http://schemas.openxmlformats.org/officeDocument/2006/relationships/hyperlink" Target="https://bearzt-my.sharepoint.com/:b:/g/personal/sarellano_no-mii_com/IQBIWTsgVkrvQJtLh6J69nflAbwEk22ZCgNT7mU60I1fj0M?e=UOYpt9" TargetMode="External"/><Relationship Id="rId809" Type="http://schemas.openxmlformats.org/officeDocument/2006/relationships/hyperlink" Target="https://bearzt-my.sharepoint.com/:b:/g/personal/sarellano_no-mii_com/IQD6guTIXq4RSqOnndHjJdXjAXKfH4N0RkAt2Khf4Woijao?e=YCFHRK" TargetMode="External"/><Relationship Id="rId1201" Type="http://schemas.openxmlformats.org/officeDocument/2006/relationships/hyperlink" Target="https://bearzt-my.sharepoint.com/:i:/g/personal/sarellano_no-mii_com/IQCjlwtJkmbXSoF6RgZ50hyzAQKbQrUcXSnEVazYaBzUJ6I?e=Y9Vtmq" TargetMode="External"/><Relationship Id="rId9" Type="http://schemas.openxmlformats.org/officeDocument/2006/relationships/hyperlink" Target="https://bearzt-my.sharepoint.com/:b:/g/personal/sarellano_no-mii_com/EVv7BYlmrVxOiVQ4SLUYuG4B-hH5kjO5_TSxr31wx6XIpg?e=VoyJcY" TargetMode="External"/><Relationship Id="rId210" Type="http://schemas.openxmlformats.org/officeDocument/2006/relationships/hyperlink" Target="https://bearzt-my.sharepoint.com/:b:/g/personal/sarellano_no-mii_com/EQJIqq5M6YZMk3S5Cmm0r0oBq5nCuP-raVdYWToK2faIVg?e=OmoeS7" TargetMode="External"/><Relationship Id="rId448" Type="http://schemas.openxmlformats.org/officeDocument/2006/relationships/hyperlink" Target="https://bearzt-my.sharepoint.com/:b:/g/personal/sarellano_no-mii_com/EYYdeOQ1AhtDtex2QYPoebAB_JCJgHjyjC9nlTeDFw-qfg?e=LU1LGI" TargetMode="External"/><Relationship Id="rId655" Type="http://schemas.openxmlformats.org/officeDocument/2006/relationships/hyperlink" Target="https://bearzt-my.sharepoint.com/:b:/g/personal/sarellano_no-mii_com/EfRmZKFLTYBEvuN3tiRANzkBSjEiU56CUUwayfcieTsRsg?e=ee7ehz" TargetMode="External"/><Relationship Id="rId862" Type="http://schemas.openxmlformats.org/officeDocument/2006/relationships/hyperlink" Target="https://bearzt-my.sharepoint.com/:b:/g/personal/sarellano_no-mii_com/IQBP6waiNvkvQa8zm5ex9ttrAQYWb1eKh44HaL6qshessNI?e=nwErQx" TargetMode="External"/><Relationship Id="rId1078" Type="http://schemas.openxmlformats.org/officeDocument/2006/relationships/hyperlink" Target="https://bearzt-my.sharepoint.com/:i:/g/personal/sarellano_no-mii_com/IQCsmKD9liyMSJIrIH1A7VE7AeAsUMN-Jmx74GtvAmDVZRY?e=kIZLPe" TargetMode="External"/><Relationship Id="rId294" Type="http://schemas.openxmlformats.org/officeDocument/2006/relationships/hyperlink" Target="https://bearzt-my.sharepoint.com/:b:/g/personal/sarellano_no-mii_com/EdY1ZuuwDIpGj74pMxNbPxAB7VkMBCOqlVtszPD4Bc764Q?e=OLvTfn" TargetMode="External"/><Relationship Id="rId308" Type="http://schemas.openxmlformats.org/officeDocument/2006/relationships/hyperlink" Target="https://bearzt-my.sharepoint.com/:b:/g/personal/sarellano_no-mii_com/EXDR5hWlQHhIpXACOV0A15UBGjltI05qz6HRfJ2I1F55cQ?e=2R9Vb9" TargetMode="External"/><Relationship Id="rId515" Type="http://schemas.openxmlformats.org/officeDocument/2006/relationships/hyperlink" Target="https://bearzt-my.sharepoint.com/:b:/g/personal/sarellano_no-mii_com/EaHTYQzlVjlNhcvmL8iQsbkB7s6hlw_qXE5CY_StvRHV_w?e=Ue8UI9" TargetMode="External"/><Relationship Id="rId722" Type="http://schemas.openxmlformats.org/officeDocument/2006/relationships/hyperlink" Target="https://bearzt-my.sharepoint.com/:b:/g/personal/sarellano_no-mii_com/EVaLecBfV0lGviBL88ytR_4BwHMCIT4nRBb_7LGVtzsZbA?e=Z8ohfp" TargetMode="External"/><Relationship Id="rId1145" Type="http://schemas.openxmlformats.org/officeDocument/2006/relationships/hyperlink" Target="https://bearzt-my.sharepoint.com/:b:/g/personal/sarellano_no-mii_com/IQAqPYfJH2XqTreL8MlOTHYBATn1lfMSTqMemlggZR6ZcUM?e=bE8OHm" TargetMode="External"/><Relationship Id="rId89" Type="http://schemas.openxmlformats.org/officeDocument/2006/relationships/hyperlink" Target="https://bearzt-my.sharepoint.com/:b:/g/personal/sarellano_no-mii_com/EUHnDtuTzvFMgxdbAaNJ-yoBFNyjwteSGLfIp-EaS1z3cQ?e=wTd8gm" TargetMode="External"/><Relationship Id="rId154" Type="http://schemas.openxmlformats.org/officeDocument/2006/relationships/hyperlink" Target="https://bearzt-my.sharepoint.com/:b:/g/personal/sarellano_no-mii_com/EdJfz-ZvnRBDmy9SJNgYs9YBD5ZEg3X_mN8pGlvNJDvgeQ?e=wNaKME" TargetMode="External"/><Relationship Id="rId361" Type="http://schemas.openxmlformats.org/officeDocument/2006/relationships/hyperlink" Target="https://bearzt-my.sharepoint.com/:b:/g/personal/sarellano_no-mii_com/EaqxiDiKeF5BgX5eTiN_HdQB1E810jKHc1pTaho4XMRWdA?e=Gmqxa7" TargetMode="External"/><Relationship Id="rId599" Type="http://schemas.openxmlformats.org/officeDocument/2006/relationships/hyperlink" Target="https://bearzt-my.sharepoint.com/:b:/g/personal/sarellano_no-mii_com/ESNRJUCwpmtBilPDSBM-pcABafTTWWMUq1Y_uh8RW2j3eA?e=oV3Pax" TargetMode="External"/><Relationship Id="rId1005" Type="http://schemas.openxmlformats.org/officeDocument/2006/relationships/hyperlink" Target="https://bearzt-my.sharepoint.com/:b:/g/personal/sarellano_no-mii_com/IQBjRtbEoCQuQ5xBf2asbODbAXEH3ym49Jm91SfVLvvhkqw?e=gWE3j9" TargetMode="External"/><Relationship Id="rId1212" Type="http://schemas.openxmlformats.org/officeDocument/2006/relationships/hyperlink" Target="https://bearzt-my.sharepoint.com/:b:/g/personal/sarellano_no-mii_com/IQCBn8ra5vlRQYyoGBLv-Cl8AR8WpVEJcUTtXD4LGV2jCq4?e=hUg9RN" TargetMode="External"/><Relationship Id="rId459" Type="http://schemas.openxmlformats.org/officeDocument/2006/relationships/hyperlink" Target="https://bearzt-my.sharepoint.com/:b:/g/personal/sarellano_no-mii_com/EZwMedJxOfFBjd04yc9Ie_0BZVWrJt5yHXswaWkZeqKrVg?e=dun0dd" TargetMode="External"/><Relationship Id="rId666" Type="http://schemas.openxmlformats.org/officeDocument/2006/relationships/hyperlink" Target="https://bearzt-my.sharepoint.com/:b:/g/personal/sarellano_no-mii_com/EXxTi38HQBhAhzsyZVY-qbUBJGFgAuabDhVrEUl3fp1C1g?e=Z8tgjW" TargetMode="External"/><Relationship Id="rId873" Type="http://schemas.openxmlformats.org/officeDocument/2006/relationships/hyperlink" Target="https://bearzt-my.sharepoint.com/:b:/g/personal/sarellano_no-mii_com/IQAQF3ltlbjYRqJrlCJWflvfAeQH0TlDFug6XSrWcsGWz-U?e=jtGlCW" TargetMode="External"/><Relationship Id="rId1089" Type="http://schemas.openxmlformats.org/officeDocument/2006/relationships/hyperlink" Target="https://bearzt-my.sharepoint.com/:b:/g/personal/sarellano_no-mii_com/IQBebCUk-BPITL1jv106QsZ6AXMThvXJ_Kcd2-_ZCsZPBWU?e=egHxGj" TargetMode="External"/><Relationship Id="rId16" Type="http://schemas.openxmlformats.org/officeDocument/2006/relationships/hyperlink" Target="https://bearzt-my.sharepoint.com/:b:/g/personal/sarellano_no-mii_com/EeUcTUQktvxHofqlT-RXsZcBeUceKjAMZ5Req3UrXT3ahg?e=Q1tYgd" TargetMode="External"/><Relationship Id="rId221" Type="http://schemas.openxmlformats.org/officeDocument/2006/relationships/hyperlink" Target="https://bearzt-my.sharepoint.com/:b:/g/personal/sarellano_no-mii_com/EaOlOhAV9KtHhMr7Wiw2zZ4ByJVdip9U2Vl9mhywteMv_A?e=5Owxv6" TargetMode="External"/><Relationship Id="rId319" Type="http://schemas.openxmlformats.org/officeDocument/2006/relationships/hyperlink" Target="https://bearzt-my.sharepoint.com/:b:/g/personal/sarellano_no-mii_com/EVCh6Z1xxMNGojln7zoBiSwBHrwyTSV58TcluF9VjS4Z3A?e=152kZb" TargetMode="External"/><Relationship Id="rId526" Type="http://schemas.openxmlformats.org/officeDocument/2006/relationships/hyperlink" Target="https://bearzt-my.sharepoint.com/:b:/g/personal/sarellano_no-mii_com/Ed43SDbqmshAv7Ikc-unbg8B8AUR72nDiEiSA0A-8t7mOA?e=lNDwgw" TargetMode="External"/><Relationship Id="rId1156" Type="http://schemas.openxmlformats.org/officeDocument/2006/relationships/hyperlink" Target="https://bearzt-my.sharepoint.com/:b:/g/personal/sarellano_no-mii_com/IQBVFqSSWONeSpm-O308FBvYAexMQCiwuXQCzxHKYT917FA?e=XoGKgW" TargetMode="External"/><Relationship Id="rId733" Type="http://schemas.openxmlformats.org/officeDocument/2006/relationships/hyperlink" Target="https://bearzt-my.sharepoint.com/:b:/g/personal/sarellano_no-mii_com/EXLbo8uO4fpAuln88iklPs4B85-LRLR0oVlSGa4nC3a6Dg?e=ygGFI2" TargetMode="External"/><Relationship Id="rId940" Type="http://schemas.openxmlformats.org/officeDocument/2006/relationships/hyperlink" Target="https://bearzt-my.sharepoint.com/:b:/g/personal/sarellano_no-mii_com/IQAkpe5MMnQLSbfgHDeoQXVFATbnvt1tmWM_vsa0L8xaBsc?e=eTLosP" TargetMode="External"/><Relationship Id="rId1016" Type="http://schemas.openxmlformats.org/officeDocument/2006/relationships/hyperlink" Target="https://bearzt-my.sharepoint.com/:b:/g/personal/sarellano_no-mii_com/IQBLynRIgAShQJRTrgS6mLBsAbN0nO1sLx6krBWBCEq78uU?e=i3kJnu" TargetMode="External"/><Relationship Id="rId165" Type="http://schemas.openxmlformats.org/officeDocument/2006/relationships/hyperlink" Target="https://bearzt-my.sharepoint.com/:b:/g/personal/sarellano_no-mii_com/EbMEegi_jt1AkZYvK-Szk-UBGflHAb-6CIFrgRy_R4jkDQ?e=zSFwoI" TargetMode="External"/><Relationship Id="rId372" Type="http://schemas.openxmlformats.org/officeDocument/2006/relationships/hyperlink" Target="https://bearzt-my.sharepoint.com/:b:/g/personal/sarellano_no-mii_com/EbjNSkBKgOlJh3GJeezgIMUBkbvOGRsycpDtEdieG1fX6Q?e=V0VTA3" TargetMode="External"/><Relationship Id="rId677" Type="http://schemas.openxmlformats.org/officeDocument/2006/relationships/hyperlink" Target="https://bearzt-my.sharepoint.com/:b:/g/personal/sarellano_no-mii_com/EWDdAN7nWqZBuKcBpo4TMvQBChdQV6uFngqoAlJjdr5sAA?e=QcfPBS" TargetMode="External"/><Relationship Id="rId800" Type="http://schemas.openxmlformats.org/officeDocument/2006/relationships/hyperlink" Target="https://bearzt-my.sharepoint.com/:b:/g/personal/sarellano_no-mii_com/IQAitHWP6rhuS5RkUeunrilsASrEhGjfzhGvxquD1rQ1FMY?e=Ot6Vvz" TargetMode="External"/><Relationship Id="rId1223" Type="http://schemas.openxmlformats.org/officeDocument/2006/relationships/hyperlink" Target="https://bearzt-my.sharepoint.com/:b:/g/personal/sarellano_no-mii_com/IQCr-TT7OdQlS6Q2z7l8V8GvASF6-fo2Q2jn_SCqn4k7EXQ?e=wS1sjw" TargetMode="External"/><Relationship Id="rId232" Type="http://schemas.openxmlformats.org/officeDocument/2006/relationships/hyperlink" Target="https://bearzt-my.sharepoint.com/:b:/g/personal/sarellano_no-mii_com/EdYwGc5djj9PgJko3K9Mwl4BGbhWWOcS08HIr49eyVbzRA?e=ggBpOU" TargetMode="External"/><Relationship Id="rId884" Type="http://schemas.openxmlformats.org/officeDocument/2006/relationships/hyperlink" Target="https://bearzt-my.sharepoint.com/:b:/g/personal/sarellano_no-mii_com/IQBGrPDsXpJkRqRy-rXqUxBBAWwg_-ahU34yGdwpHCrRL-8?e=ygNepj" TargetMode="External"/><Relationship Id="rId27" Type="http://schemas.openxmlformats.org/officeDocument/2006/relationships/hyperlink" Target="https://bearzt-my.sharepoint.com/:b:/g/personal/sarellano_no-mii_com/EVgY5FftJdpMgD2xgAeS4hABmfnN17O8TbMNIJz8_dbARQ?e=9UUxPp" TargetMode="External"/><Relationship Id="rId537" Type="http://schemas.openxmlformats.org/officeDocument/2006/relationships/hyperlink" Target="https://bearzt-my.sharepoint.com/:b:/g/personal/sarellano_no-mii_com/EdKRS_HbET5Ko-JXcMxaKfEBUIxJLqxVdw-tjX2bq9wd2g?e=cJw4w7" TargetMode="External"/><Relationship Id="rId744" Type="http://schemas.openxmlformats.org/officeDocument/2006/relationships/hyperlink" Target="https://bearzt-my.sharepoint.com/:b:/g/personal/sarellano_no-mii_com/IQBQSmGhizqwTYafPTGnmoUFAVLTlW0T-fk_AGizVCX5tnc?e=qIgU57" TargetMode="External"/><Relationship Id="rId951" Type="http://schemas.openxmlformats.org/officeDocument/2006/relationships/hyperlink" Target="https://bearzt-my.sharepoint.com/:b:/g/personal/sarellano_no-mii_com/IQDs0xKFO8qbTb6sVBOhLfxrAX0SRyocxFG0gJ1mZwsNg-o?e=TkSOxA" TargetMode="External"/><Relationship Id="rId1167" Type="http://schemas.openxmlformats.org/officeDocument/2006/relationships/hyperlink" Target="https://bearzt-my.sharepoint.com/:b:/g/personal/sarellano_no-mii_com/IQDnkx0N-zpJTqnLouZd8eN6AYeUJ5vYYz4mVgF6CGJNxXs?e=cCQ7oH" TargetMode="External"/><Relationship Id="rId80" Type="http://schemas.openxmlformats.org/officeDocument/2006/relationships/hyperlink" Target="https://bearzt-my.sharepoint.com/:b:/g/personal/sarellano_no-mii_com/ESXYA6Sntq1JmeXKsferr9UB8rX0Aa6DzQxNpnvI2TAp8g?e=vtuj5m" TargetMode="External"/><Relationship Id="rId176" Type="http://schemas.openxmlformats.org/officeDocument/2006/relationships/hyperlink" Target="https://bearzt-my.sharepoint.com/:b:/g/personal/sarellano_no-mii_com/Ee--ppZXHYZJm4wk03AhJE4B2cGGG2TJ64GSZadOqBROLw?e=sdHQXo" TargetMode="External"/><Relationship Id="rId383" Type="http://schemas.openxmlformats.org/officeDocument/2006/relationships/hyperlink" Target="https://bearzt-my.sharepoint.com/:b:/g/personal/sarellano_no-mii_com/EYDrEnHyMIBIppXM71lg2Q8BaspWWZp5mse2NjZCAwp-UQ?e=k87Bbq" TargetMode="External"/><Relationship Id="rId590" Type="http://schemas.openxmlformats.org/officeDocument/2006/relationships/hyperlink" Target="https://bearzt-my.sharepoint.com/:b:/g/personal/sarellano_no-mii_com/ESVKWzk-IZpItE6znXzFI3MBtmNRg4EjoisfzXh1zdi2Ew?e=uE5rED" TargetMode="External"/><Relationship Id="rId604" Type="http://schemas.openxmlformats.org/officeDocument/2006/relationships/hyperlink" Target="https://bearzt-my.sharepoint.com/:b:/g/personal/sarellano_no-mii_com/ERvho0OA-_ZFq1CRy8zyJT4BNTvRglreC5HiVTRx1xYl_w?e=B8oyYC" TargetMode="External"/><Relationship Id="rId811" Type="http://schemas.openxmlformats.org/officeDocument/2006/relationships/hyperlink" Target="https://bearzt-my.sharepoint.com/:b:/g/personal/sarellano_no-mii_com/IQBAHgBE3znYTbhzhpZfygnUAW_z-iPpJwEOM8xuM6LknPc?e=ZxGD04" TargetMode="External"/><Relationship Id="rId1027" Type="http://schemas.openxmlformats.org/officeDocument/2006/relationships/hyperlink" Target="https://bearzt-my.sharepoint.com/:b:/g/personal/sarellano_no-mii_com/IQBMn-mw71avS6u7r4EsAe9yASWeYQy2riqBqtvaFAmcou4?e=Y64kpb" TargetMode="External"/><Relationship Id="rId1234" Type="http://schemas.openxmlformats.org/officeDocument/2006/relationships/vmlDrawing" Target="../drawings/vmlDrawing5.vml"/><Relationship Id="rId243" Type="http://schemas.openxmlformats.org/officeDocument/2006/relationships/hyperlink" Target="https://bearzt-my.sharepoint.com/:b:/g/personal/sarellano_no-mii_com/EY0WILnavltIu3XTjR2zd1wBZA81RELADLulaXSeqf4mjQ?e=u1jTSD" TargetMode="External"/><Relationship Id="rId450" Type="http://schemas.openxmlformats.org/officeDocument/2006/relationships/hyperlink" Target="https://bearzt-my.sharepoint.com/:b:/g/personal/sarellano_no-mii_com/EQz7mcebtqxOnnskoRSkKz8B_PYDX5Vt-Sj9IEWeTyXBbQ?e=O4jJQ9" TargetMode="External"/><Relationship Id="rId688" Type="http://schemas.openxmlformats.org/officeDocument/2006/relationships/hyperlink" Target="https://bearzt-my.sharepoint.com/:b:/g/personal/sarellano_no-mii_com/Eb7xKqeVAndBlxOA7_uCgG0BMVB1APCX6w_VFKtlw565Ng?e=Y3iv9e" TargetMode="External"/><Relationship Id="rId895" Type="http://schemas.openxmlformats.org/officeDocument/2006/relationships/hyperlink" Target="https://bearzt-my.sharepoint.com/:b:/g/personal/sarellano_no-mii_com/IQCfcDdV_3YZS5eOcOJZrB0jAUFoV-Dv4ocpeJ0Wo3bKcHM?e=g6S2jG" TargetMode="External"/><Relationship Id="rId909" Type="http://schemas.openxmlformats.org/officeDocument/2006/relationships/hyperlink" Target="https://bearzt-my.sharepoint.com/:b:/g/personal/sarellano_no-mii_com/IQDWtdJZpwdfT6NG08ytL6ZwASHsGPKgvg1phZErgZspXwM?e=MHh1AA" TargetMode="External"/><Relationship Id="rId1080" Type="http://schemas.openxmlformats.org/officeDocument/2006/relationships/hyperlink" Target="https://bearzt-my.sharepoint.com/:i:/g/personal/sarellano_no-mii_com/IQC_OTArfdlRR7Wgr3nPZUzlATmHKAVw6J_ZI0JadpkZlck?e=dPIbjG" TargetMode="External"/><Relationship Id="rId38" Type="http://schemas.openxmlformats.org/officeDocument/2006/relationships/hyperlink" Target="https://bearzt-my.sharepoint.com/:b:/g/personal/sarellano_no-mii_com/Ef-_o69C_1BFhUqJoZKIZYQBy0LBTm251wFuIsvlkj3sRQ?e=04gZki" TargetMode="External"/><Relationship Id="rId103" Type="http://schemas.openxmlformats.org/officeDocument/2006/relationships/hyperlink" Target="https://bearzt-my.sharepoint.com/:b:/g/personal/sarellano_no-mii_com/ERC2kv9KyeJIhBRnXfEhrr8BUzSBWl4JU4I6H5vfFo-xaA?e=tNcFeR" TargetMode="External"/><Relationship Id="rId310" Type="http://schemas.openxmlformats.org/officeDocument/2006/relationships/hyperlink" Target="https://bearzt-my.sharepoint.com/:b:/g/personal/sarellano_no-mii_com/EVD-gI_ywshOjhS_akIbnHcBmUxzwp3S_b1zvodRrHJaVA?e=lxkyvZ" TargetMode="External"/><Relationship Id="rId548" Type="http://schemas.openxmlformats.org/officeDocument/2006/relationships/hyperlink" Target="https://bearzt-my.sharepoint.com/:b:/g/personal/sarellano_no-mii_com/EQ6vNlnGsLtNqIRDe3uudv0BFDdC_9-Q5n2bvTan87p3xw?e=9eSofk" TargetMode="External"/><Relationship Id="rId755" Type="http://schemas.openxmlformats.org/officeDocument/2006/relationships/hyperlink" Target="https://bearzt-my.sharepoint.com/:b:/g/personal/sarellano_no-mii_com/IQCML3kQHlfBSod941VY-Sc9AUi0M5jDgzRZG9ezyDQ3flE?e=VRellb" TargetMode="External"/><Relationship Id="rId962" Type="http://schemas.openxmlformats.org/officeDocument/2006/relationships/hyperlink" Target="https://bearzt-my.sharepoint.com/:b:/g/personal/sarellano_no-mii_com/IQC5AUBoavWxRLMsJlyafCVGASBE0-UHeYYgFVYxAixcwKU?e=zsy0fX" TargetMode="External"/><Relationship Id="rId1178" Type="http://schemas.openxmlformats.org/officeDocument/2006/relationships/hyperlink" Target="https://bearzt-my.sharepoint.com/:b:/g/personal/sarellano_no-mii_com/IQAeN-a_of_TSYidByCApUJwAbjKgsOe-JR7pD778UgP-rc?e=bLdF3R" TargetMode="External"/><Relationship Id="rId91" Type="http://schemas.openxmlformats.org/officeDocument/2006/relationships/hyperlink" Target="https://bearzt-my.sharepoint.com/:b:/g/personal/sarellano_no-mii_com/EdnqaTTLpt9GuvQGecKPXwgBZxHtDhy8KC8rM44kmN5VHw?e=FUEckq" TargetMode="External"/><Relationship Id="rId187" Type="http://schemas.openxmlformats.org/officeDocument/2006/relationships/hyperlink" Target="https://bearzt-my.sharepoint.com/:b:/g/personal/sarellano_no-mii_com/ERAVNvGx_tdDlwsi4bW-oQUB4Ug0FL-SdfyVPRGDDDkyGw?e=1F3NMo" TargetMode="External"/><Relationship Id="rId394" Type="http://schemas.openxmlformats.org/officeDocument/2006/relationships/hyperlink" Target="https://bearzt-my.sharepoint.com/:b:/g/personal/sarellano_no-mii_com/EQKHyD1ugZpNmphn-tAM4-MBBaH86GEEtDPTTrb5kNB3mw?e=Nbe0ud" TargetMode="External"/><Relationship Id="rId408" Type="http://schemas.openxmlformats.org/officeDocument/2006/relationships/hyperlink" Target="https://bearzt-my.sharepoint.com/:b:/g/personal/sarellano_no-mii_com/EYv72qrGtklJkn4xnGyflg8B7n1iEglJF_dc3dB8EGOAdA?e=1UduPs" TargetMode="External"/><Relationship Id="rId615" Type="http://schemas.openxmlformats.org/officeDocument/2006/relationships/hyperlink" Target="https://bearzt-my.sharepoint.com/:b:/g/personal/sarellano_no-mii_com/EYlVmzoij3pDjOJY1OaTdO8BeqXkrn1eVildVmFiKV__3w?e=KbHz7G" TargetMode="External"/><Relationship Id="rId822" Type="http://schemas.openxmlformats.org/officeDocument/2006/relationships/hyperlink" Target="https://bearzt-my.sharepoint.com/:b:/g/personal/sarellano_no-mii_com/IQCcanhAbB3NQrKqbzbodQKQAZ8iFdiE1uoiO5WIY6aovzo?e=13d7rc" TargetMode="External"/><Relationship Id="rId1038" Type="http://schemas.openxmlformats.org/officeDocument/2006/relationships/hyperlink" Target="https://bearzt-my.sharepoint.com/:b:/g/personal/sarellano_no-mii_com/IQBYeT_8BBLnSo7uQDJGlAaDAbclf_oFjWU9LQfIs5s7Xag?e=1ohHPv" TargetMode="External"/><Relationship Id="rId254" Type="http://schemas.openxmlformats.org/officeDocument/2006/relationships/hyperlink" Target="https://bearzt-my.sharepoint.com/:b:/g/personal/sarellano_no-mii_com/EWF7LOvTwk5Nj41ALeE5Ui0BFFrxjAWofsIiD4R6cMOJZA?e=UHW1LB" TargetMode="External"/><Relationship Id="rId699" Type="http://schemas.openxmlformats.org/officeDocument/2006/relationships/hyperlink" Target="https://bearzt-my.sharepoint.com/:b:/g/personal/sarellano_no-mii_com/ERxYugfTlXpEsGjnxTzOmYkBV2Jkx6QxXWefUH2qpVWdKA?e=aPKo5b" TargetMode="External"/><Relationship Id="rId1091" Type="http://schemas.openxmlformats.org/officeDocument/2006/relationships/hyperlink" Target="https://bearzt-my.sharepoint.com/:b:/g/personal/sarellano_no-mii_com/IQBW87vKo1cwQogFohDJjAo2AUtnXMxjDk44z4PL80H-TA4?e=KM5gJG" TargetMode="External"/><Relationship Id="rId1105" Type="http://schemas.openxmlformats.org/officeDocument/2006/relationships/hyperlink" Target="https://bearzt-my.sharepoint.com/:b:/g/personal/sarellano_no-mii_com/IQDqAKswiWogTba0resp1X2cAVz-EBXOVhV8gLH49ROmAIA?e=Bbx68S" TargetMode="External"/><Relationship Id="rId49" Type="http://schemas.openxmlformats.org/officeDocument/2006/relationships/hyperlink" Target="https://bearzt-my.sharepoint.com/:b:/g/personal/sarellano_no-mii_com/EVeutUp6dutMlNSOl4HOFF4BNA1d8IiW3Vk29ioedyMHeA?e=TzTD38" TargetMode="External"/><Relationship Id="rId114" Type="http://schemas.openxmlformats.org/officeDocument/2006/relationships/hyperlink" Target="https://bearzt-my.sharepoint.com/:b:/g/personal/sarellano_no-mii_com/ESG04CevQKpCswY5nRIu7CoByOPNxleadBGWvXXXhQbfYw?e=GhD13t" TargetMode="External"/><Relationship Id="rId461" Type="http://schemas.openxmlformats.org/officeDocument/2006/relationships/hyperlink" Target="https://bearzt-my.sharepoint.com/:b:/g/personal/sarellano_no-mii_com/EVS1FpNtcHBKikMmKhach10BbKiT6pnfBe2IeOEyK3rc7A?e=1mm8PE" TargetMode="External"/><Relationship Id="rId559" Type="http://schemas.openxmlformats.org/officeDocument/2006/relationships/hyperlink" Target="https://bearzt-my.sharepoint.com/:b:/g/personal/sarellano_no-mii_com/EctjI-7OZLFAjcf0j2uyrpsBPUpmclFlUGoACEGUmwTThA?e=5kYrxh" TargetMode="External"/><Relationship Id="rId766" Type="http://schemas.openxmlformats.org/officeDocument/2006/relationships/hyperlink" Target="https://bearzt-my.sharepoint.com/:b:/g/personal/sarellano_no-mii_com/IQBxD_SWK3ZRQq7NM5iUv-WeAXPHHPcJV0S1MIedyV8owsQ?e=38ZNUl" TargetMode="External"/><Relationship Id="rId1189" Type="http://schemas.openxmlformats.org/officeDocument/2006/relationships/hyperlink" Target="https://bearzt-my.sharepoint.com/:b:/g/personal/sarellano_no-mii_com/IQDA2u_rbVToR6siYQdBAxKYAfMUd1hS_G3RYzlxIvk-1Nc?e=NJgw9c" TargetMode="External"/><Relationship Id="rId198" Type="http://schemas.openxmlformats.org/officeDocument/2006/relationships/hyperlink" Target="https://bearzt-my.sharepoint.com/:b:/g/personal/sarellano_no-mii_com/EdZuNhFzraFLrd1zPN_C56IBV878WeHa3RV28HAHy_TFmQ?e=jRPXcr" TargetMode="External"/><Relationship Id="rId321" Type="http://schemas.openxmlformats.org/officeDocument/2006/relationships/hyperlink" Target="https://bearzt-my.sharepoint.com/:b:/g/personal/sarellano_no-mii_com/EZ1WWR1csbNAvt1kWrDwOFgBg8lRbm0MW9Q-QGuK6hLGWg?e=y1FbdL" TargetMode="External"/><Relationship Id="rId419" Type="http://schemas.openxmlformats.org/officeDocument/2006/relationships/hyperlink" Target="https://bearzt-my.sharepoint.com/:b:/g/personal/sarellano_no-mii_com/EfkOdMjIAa5Hk5DiBwt0EXcBCrVoOO96bFS2Vsq-dX-0Cw?e=ePufYZ" TargetMode="External"/><Relationship Id="rId626" Type="http://schemas.openxmlformats.org/officeDocument/2006/relationships/hyperlink" Target="https://bearzt-my.sharepoint.com/:b:/g/personal/sarellano_no-mii_com/EbH2RsJXMTBBpGUNWQ1yHksBsIN427lHjW6OAcC_JuVUWQ?e=Hl8wr7" TargetMode="External"/><Relationship Id="rId973" Type="http://schemas.openxmlformats.org/officeDocument/2006/relationships/hyperlink" Target="https://bearzt-my.sharepoint.com/:b:/g/personal/sarellano_no-mii_com/IQC-9ZPEWFMySbHYPirTH0I7AfXNMycqecOnEvSru5q5H2s?e=Eiwe1z" TargetMode="External"/><Relationship Id="rId1049" Type="http://schemas.openxmlformats.org/officeDocument/2006/relationships/hyperlink" Target="https://bearzt-my.sharepoint.com/:b:/g/personal/sarellano_no-mii_com/IQDWjr01BEjOQbrQdAwGva0CAVko3F-18BTev7YwmGFlCHA?e=mrxxIg" TargetMode="External"/><Relationship Id="rId833" Type="http://schemas.openxmlformats.org/officeDocument/2006/relationships/hyperlink" Target="https://bearzt-my.sharepoint.com/:b:/g/personal/sarellano_no-mii_com/IQCXsjwxTdslS5jh3A3aDr3fAaztAVIjU4RYNYlgM4d4fo4?e=4z1cw7" TargetMode="External"/><Relationship Id="rId1116" Type="http://schemas.openxmlformats.org/officeDocument/2006/relationships/hyperlink" Target="https://bearzt-my.sharepoint.com/:i:/g/personal/sarellano_no-mii_com/IQBd2adTfdOdTbR9Q3PljZ42AR6Rr2V2HLoaGidfnRhvDhU?e=pTiczp" TargetMode="External"/><Relationship Id="rId265" Type="http://schemas.openxmlformats.org/officeDocument/2006/relationships/hyperlink" Target="https://bearzt-my.sharepoint.com/:b:/g/personal/sarellano_no-mii_com/EeUX-KaZ8QlGslDzZyBkI0EBijLgbb3302T34O0o3HquKw?e=pi5WOa" TargetMode="External"/><Relationship Id="rId472" Type="http://schemas.openxmlformats.org/officeDocument/2006/relationships/hyperlink" Target="https://bearzt-my.sharepoint.com/:b:/g/personal/sarellano_no-mii_com/ES_jMQmsUeVMooiwWuaRQVcBscgxL4Ch7D2qidpFNfcs7g?e=HY9WvY" TargetMode="External"/><Relationship Id="rId900" Type="http://schemas.openxmlformats.org/officeDocument/2006/relationships/hyperlink" Target="https://bearzt-my.sharepoint.com/:b:/g/personal/sarellano_no-mii_com/IQBCo3CkmREJToUp1nTKhsWyAU4k_7-Ykw9a2X9QXMJhlsM?e=06R3Bf" TargetMode="External"/><Relationship Id="rId125" Type="http://schemas.openxmlformats.org/officeDocument/2006/relationships/hyperlink" Target="https://bearzt-my.sharepoint.com/:b:/g/personal/sarellano_no-mii_com/EW6HSL_aFypAvSIXpyTtOZMBMBJfKr1FscX0Ht7W9aWaUA?e=7GY7Y0" TargetMode="External"/><Relationship Id="rId332" Type="http://schemas.openxmlformats.org/officeDocument/2006/relationships/hyperlink" Target="https://bearzt-my.sharepoint.com/:b:/g/personal/sarellano_no-mii_com/EU4dfLIcO1pHuTHSWvR1LMMBqPGhkkZBrlOr5w8eJVDkEQ?e=q5UhMA" TargetMode="External"/><Relationship Id="rId777" Type="http://schemas.openxmlformats.org/officeDocument/2006/relationships/hyperlink" Target="https://bearzt-my.sharepoint.com/:b:/g/personal/sarellano_no-mii_com/IQB2CZ02_rZ9T6NOt3IBNXTFAUYGjG-og6fmg6fyDGEy9SA?e=iIcQzG" TargetMode="External"/><Relationship Id="rId984" Type="http://schemas.openxmlformats.org/officeDocument/2006/relationships/hyperlink" Target="https://bearzt-my.sharepoint.com/:b:/g/personal/sarellano_no-mii_com/IQAVttA_SAiwR6ecq7oc-saQAfC78BYQwiTgIBQghHYHkNQ?e=g8oHCE" TargetMode="External"/><Relationship Id="rId637" Type="http://schemas.openxmlformats.org/officeDocument/2006/relationships/hyperlink" Target="https://bearzt-my.sharepoint.com/:b:/g/personal/sarellano_no-mii_com/EeuGWkW1LYtGkGLAN5g73F0B8Ni06qxwLwVHFJZjk4WC-Q?e=L64n0t" TargetMode="External"/><Relationship Id="rId844" Type="http://schemas.openxmlformats.org/officeDocument/2006/relationships/hyperlink" Target="https://bearzt-my.sharepoint.com/:b:/g/personal/sarellano_no-mii_com/IQA4aimNozdiQ6SB4CkqgHdgAboo9wkJNak0tgy4TvvdhaM?e=lSIxlK" TargetMode="External"/><Relationship Id="rId276" Type="http://schemas.openxmlformats.org/officeDocument/2006/relationships/hyperlink" Target="https://bearzt-my.sharepoint.com/:b:/g/personal/sarellano_no-mii_com/EcbE-7vqSBdGtlzr8DaIBD0BwAp6gA9IXl1-v3LfOouU8A?e=aMo7Hc" TargetMode="External"/><Relationship Id="rId483" Type="http://schemas.openxmlformats.org/officeDocument/2006/relationships/hyperlink" Target="https://bearzt-my.sharepoint.com/:b:/g/personal/sarellano_no-mii_com/EcsJvgIZP7FElIY06gX4fR8By_XBFz4hG__M_tHLcPVi2Q?e=cQn9aX" TargetMode="External"/><Relationship Id="rId690" Type="http://schemas.openxmlformats.org/officeDocument/2006/relationships/hyperlink" Target="https://bearzt-my.sharepoint.com/:b:/g/personal/sarellano_no-mii_com/EaC8E_dGcb5EqGn6qsp8l-UBt9UymwryCvA0dJoBCxahWg?e=D42OJ3" TargetMode="External"/><Relationship Id="rId704" Type="http://schemas.openxmlformats.org/officeDocument/2006/relationships/hyperlink" Target="https://bearzt-my.sharepoint.com/:b:/g/personal/sarellano_no-mii_com/EVWuEC9U3z5Hk6BotcwQW2cBk3Z4fXspTM5TgFL2wEnhgg?e=rgP5kj" TargetMode="External"/><Relationship Id="rId911" Type="http://schemas.openxmlformats.org/officeDocument/2006/relationships/hyperlink" Target="https://bearzt-my.sharepoint.com/:b:/g/personal/sarellano_no-mii_com/IQDIm-l4Y9PxTKlGnykVNpR-AZTk1pkC9Mutu1L7jRmchtc?e=xhAGtm" TargetMode="External"/><Relationship Id="rId1127" Type="http://schemas.openxmlformats.org/officeDocument/2006/relationships/hyperlink" Target="https://bearzt-my.sharepoint.com/:b:/g/personal/sarellano_no-mii_com/IQDKHqNqZNxuS4nTjWnqpLXwAcBZbz81f2K_SXTf-tpjpzY?e=V4KHkG" TargetMode="External"/><Relationship Id="rId40" Type="http://schemas.openxmlformats.org/officeDocument/2006/relationships/hyperlink" Target="https://bearzt-my.sharepoint.com/:b:/g/personal/sarellano_no-mii_com/EU843NDeqJRNmvPnYC0h8q4B7SnTuQAJR0Bjgw3cESOOkA?e=YMYVfz" TargetMode="External"/><Relationship Id="rId136" Type="http://schemas.openxmlformats.org/officeDocument/2006/relationships/hyperlink" Target="https://bearzt-my.sharepoint.com/:b:/g/personal/sarellano_no-mii_com/EQrOyCgKPgBHiCjqBBPNOTEBd6FY4d2l01Mtrcv_ZuHmMQ?e=039ZEd" TargetMode="External"/><Relationship Id="rId343" Type="http://schemas.openxmlformats.org/officeDocument/2006/relationships/hyperlink" Target="https://bearzt-my.sharepoint.com/:b:/g/personal/sarellano_no-mii_com/ERe2P7J4kkpHmZqhn7XS3lYB68ZBmtcBB2fKkF3WS2yWSw?e=TBfSjO" TargetMode="External"/><Relationship Id="rId550" Type="http://schemas.openxmlformats.org/officeDocument/2006/relationships/hyperlink" Target="https://bearzt-my.sharepoint.com/:b:/g/personal/sarellano_no-mii_com/EZ8yMIskmUhKiIMxUc-5RlwB8BopoYlXWxOl5H5sa7hLmw?e=XnR80s" TargetMode="External"/><Relationship Id="rId788" Type="http://schemas.openxmlformats.org/officeDocument/2006/relationships/hyperlink" Target="https://bearzt-my.sharepoint.com/:b:/g/personal/sarellano_no-mii_com/IQD11zPEkPW0QI4PtVJL2x1WAXjSB5d2UiErXMzVYH41mhc?e=qAZlRK" TargetMode="External"/><Relationship Id="rId995" Type="http://schemas.openxmlformats.org/officeDocument/2006/relationships/hyperlink" Target="https://bearzt-my.sharepoint.com/:b:/g/personal/sarellano_no-mii_com/IQBdzJ9-CaxWQ6_dJB7nzjbfAR-JykH7WpMKYaBhUCzU3xw?e=9oXEwy" TargetMode="External"/><Relationship Id="rId1180" Type="http://schemas.openxmlformats.org/officeDocument/2006/relationships/hyperlink" Target="https://bearzt-my.sharepoint.com/:b:/g/personal/sarellano_no-mii_com/IQB5RX1E5-b7RLhL0JRYDnC0AQM9oERQTGeBxOOFbOC-0_M?e=Y7DKDp" TargetMode="External"/><Relationship Id="rId203" Type="http://schemas.openxmlformats.org/officeDocument/2006/relationships/hyperlink" Target="https://bearzt-my.sharepoint.com/:b:/g/personal/sarellano_no-mii_com/EZGZjxd6mFBBitrKOYJVetIBkxVEenT1WFx3ru9imrqDBg?e=DrSBTd" TargetMode="External"/><Relationship Id="rId648" Type="http://schemas.openxmlformats.org/officeDocument/2006/relationships/hyperlink" Target="https://bearzt-my.sharepoint.com/:b:/g/personal/sarellano_no-mii_com/EYJVQyTf04RDvHjDyisGbLEBvxw-WybaX7us72v8_pSgTw?e=kFXRku" TargetMode="External"/><Relationship Id="rId855" Type="http://schemas.openxmlformats.org/officeDocument/2006/relationships/hyperlink" Target="https://bearzt-my.sharepoint.com/:b:/g/personal/sarellano_no-mii_com/IQC1LFxqTjZTS6q8rF-5iEizAWzAm2HK28y81ykL0q7PSMU?e=YDh68z" TargetMode="External"/><Relationship Id="rId1040" Type="http://schemas.openxmlformats.org/officeDocument/2006/relationships/hyperlink" Target="https://bearzt-my.sharepoint.com/:b:/g/personal/sarellano_no-mii_com/IQDfgyoLcUUTSJbVtMaySzClAcviJZQ9Mig5VIO-KYgYt8s?e=eScbeH" TargetMode="External"/><Relationship Id="rId287" Type="http://schemas.openxmlformats.org/officeDocument/2006/relationships/hyperlink" Target="https://bearzt-my.sharepoint.com/:b:/g/personal/sarellano_no-mii_com/EfL_H41LnMlBgeOBGKnsddUB4ARfS86emMpbywK43IV_Gw?e=d2F1H5" TargetMode="External"/><Relationship Id="rId410" Type="http://schemas.openxmlformats.org/officeDocument/2006/relationships/hyperlink" Target="https://bearzt-my.sharepoint.com/:b:/g/personal/sarellano_no-mii_com/EQ5CMKJJB-NFrMEWpy6ScQ4BmyCueoRYFrIQzzHmB-cQsg?e=Y0cLrD" TargetMode="External"/><Relationship Id="rId494" Type="http://schemas.openxmlformats.org/officeDocument/2006/relationships/hyperlink" Target="https://bearzt-my.sharepoint.com/:b:/g/personal/sarellano_no-mii_com/EUqD6rC-r0lAhX9LGh5YqzsBgmXSPop0p5-IRO0cGOWfkQ?e=pkIorl" TargetMode="External"/><Relationship Id="rId508" Type="http://schemas.openxmlformats.org/officeDocument/2006/relationships/hyperlink" Target="https://bearzt-my.sharepoint.com/:b:/g/personal/sarellano_no-mii_com/Edc5r8jOmRpDkDneAPPViH0B2rDxdmiBN9FcWG3kgmHPVg?e=BaD6rv" TargetMode="External"/><Relationship Id="rId715" Type="http://schemas.openxmlformats.org/officeDocument/2006/relationships/hyperlink" Target="https://bearzt-my.sharepoint.com/:b:/g/personal/sarellano_no-mii_com/EaH002WnSPtFjw14FZbDgfMBgn8lbUe6N3Rp46N2xbPiqQ?e=frislt" TargetMode="External"/><Relationship Id="rId922" Type="http://schemas.openxmlformats.org/officeDocument/2006/relationships/hyperlink" Target="https://bearzt-my.sharepoint.com/:b:/g/personal/sarellano_no-mii_com/IQDPKXOJb2_5SbG9QkvyLhFTAWbkmXDPcrUmXQa7dUQXbP0?e=Ntfk8x" TargetMode="External"/><Relationship Id="rId1138" Type="http://schemas.openxmlformats.org/officeDocument/2006/relationships/hyperlink" Target="https://bearzt-my.sharepoint.com/:b:/g/personal/sarellano_no-mii_com/IQCgeo_JtLP5QaJZehpDcv_5ASWnuEn-LcWcR1iak4YFRJk?e=iXPk4l" TargetMode="External"/><Relationship Id="rId147" Type="http://schemas.openxmlformats.org/officeDocument/2006/relationships/hyperlink" Target="https://bearzt-my.sharepoint.com/:b:/g/personal/sarellano_no-mii_com/Edvz4otPlXRKuFZT1603BMYBk_kGFIJe5pYUNL22FSSI9w?e=ss1rkv" TargetMode="External"/><Relationship Id="rId354" Type="http://schemas.openxmlformats.org/officeDocument/2006/relationships/hyperlink" Target="https://bearzt-my.sharepoint.com/:b:/g/personal/sarellano_no-mii_com/EewddJ4Rc2pJmDNq3Df-EP0ByRV9dqb2eRPxSeerS9ZB4g?e=lyGeTS" TargetMode="External"/><Relationship Id="rId799" Type="http://schemas.openxmlformats.org/officeDocument/2006/relationships/hyperlink" Target="https://bearzt-my.sharepoint.com/:b:/g/personal/sarellano_no-mii_com/IQB2DMVebf3EQYNPD24Plos2AU3aV85TDanJgkIp_QH0_zc?e=S7bGrR" TargetMode="External"/><Relationship Id="rId1191" Type="http://schemas.openxmlformats.org/officeDocument/2006/relationships/hyperlink" Target="https://bearzt-my.sharepoint.com/:b:/g/personal/sarellano_no-mii_com/IQCGC172yssVQKzp6-HlwAvEAdxEugKIVabnlZmCTwzGOyE?e=ujuvyJ" TargetMode="External"/><Relationship Id="rId1205" Type="http://schemas.openxmlformats.org/officeDocument/2006/relationships/hyperlink" Target="https://bearzt-my.sharepoint.com/:b:/g/personal/sarellano_no-mii_com/IQArQbPM6gb6QaaijvamtaX8AbCGLFaX8tnReeUwvou5Aww?e=FQdpZc" TargetMode="External"/><Relationship Id="rId51" Type="http://schemas.openxmlformats.org/officeDocument/2006/relationships/hyperlink" Target="https://bearzt-my.sharepoint.com/:b:/g/personal/sarellano_no-mii_com/EZS8JkkWw4JEu3xkTLhjXw8BZF3qBQDdN7wlD7knfVfOpw?e=OiJvXe" TargetMode="External"/><Relationship Id="rId561" Type="http://schemas.openxmlformats.org/officeDocument/2006/relationships/hyperlink" Target="https://bearzt-my.sharepoint.com/:b:/g/personal/sarellano_no-mii_com/EViKwsbjFzBNlIzGSXTzPlQBQRqhNMdx06NhpJY8F-hQ-A?e=OFeXyA" TargetMode="External"/><Relationship Id="rId659" Type="http://schemas.openxmlformats.org/officeDocument/2006/relationships/hyperlink" Target="https://bearzt-my.sharepoint.com/:b:/g/personal/sarellano_no-mii_com/Ee4OozA3IFdBoH_9zeUJdi0BJ-pS_d2ZFqhc5ZDif-D5Qw?e=D1KkyY" TargetMode="External"/><Relationship Id="rId866" Type="http://schemas.openxmlformats.org/officeDocument/2006/relationships/hyperlink" Target="https://bearzt-my.sharepoint.com/:b:/g/personal/sarellano_no-mii_com/IQBa1zR8DW9qS4BodqhMU6PeAdls3f_x5ATdJSzxWxJaXvw?e=HyNw59" TargetMode="External"/><Relationship Id="rId214" Type="http://schemas.openxmlformats.org/officeDocument/2006/relationships/hyperlink" Target="https://bearzt-my.sharepoint.com/:b:/g/personal/sarellano_no-mii_com/EbLEHZSXx6NEhSAFbnSSFrkB6cISUi6TkWwzUDBginyYUw?e=5FP4zn" TargetMode="External"/><Relationship Id="rId298" Type="http://schemas.openxmlformats.org/officeDocument/2006/relationships/hyperlink" Target="https://bearzt-my.sharepoint.com/:b:/g/personal/sarellano_no-mii_com/EUtkLFLNsAxGr-WI0IcNmosBfdPcQ8dhkIX2K_XK9ZPedw?e=kK1G5S" TargetMode="External"/><Relationship Id="rId421" Type="http://schemas.openxmlformats.org/officeDocument/2006/relationships/hyperlink" Target="https://bearzt-my.sharepoint.com/:b:/g/personal/sarellano_no-mii_com/EbVdcbdU8lxPlGwtevmpvV4B6gAnIOhK7EnYXpBh2sOd0Q?e=7d5Xms" TargetMode="External"/><Relationship Id="rId519" Type="http://schemas.openxmlformats.org/officeDocument/2006/relationships/hyperlink" Target="https://bearzt-my.sharepoint.com/:b:/g/personal/sarellano_no-mii_com/EQkRV7kTeVlGnhbfovbL4ngBw1pkcGfA2lDZCrSBtzXkqQ?e=0C9Unu" TargetMode="External"/><Relationship Id="rId1051" Type="http://schemas.openxmlformats.org/officeDocument/2006/relationships/hyperlink" Target="https://bearzt-my.sharepoint.com/:b:/g/personal/sarellano_no-mii_com/IQBWsuUbIsEuRrq_ME0OEzngAS-Dy0g10ImjMe1po3tvr88?e=1phFAC" TargetMode="External"/><Relationship Id="rId1149" Type="http://schemas.openxmlformats.org/officeDocument/2006/relationships/hyperlink" Target="https://bearzt-my.sharepoint.com/:b:/g/personal/sarellano_no-mii_com/IQCWOqFRzoXXQamgmLBexpE2AdMxlu0-aSSferTvz5RPQHU?e=idsdZl" TargetMode="External"/><Relationship Id="rId158" Type="http://schemas.openxmlformats.org/officeDocument/2006/relationships/hyperlink" Target="https://bearzt-my.sharepoint.com/:b:/g/personal/sarellano_no-mii_com/EdLjSQ9wZWNOo4AbQs69AXUByMG5dUHVOdd900WT5h28yQ?e=xplQlF" TargetMode="External"/><Relationship Id="rId726" Type="http://schemas.openxmlformats.org/officeDocument/2006/relationships/hyperlink" Target="https://bearzt-my.sharepoint.com/:b:/g/personal/sarellano_no-mii_com/EXrAu50VcCBAsBwlexIleOABahJXXia2IezUwuM_Jr-jgA?e=LmQesK" TargetMode="External"/><Relationship Id="rId933" Type="http://schemas.openxmlformats.org/officeDocument/2006/relationships/hyperlink" Target="https://bearzt-my.sharepoint.com/:b:/g/personal/sarellano_no-mii_com/IQCS-Jk1UjaVRKDwibUNfd-wARhebGn-9zJy299iY3nasd8?e=AC9N7h" TargetMode="External"/><Relationship Id="rId1009" Type="http://schemas.openxmlformats.org/officeDocument/2006/relationships/hyperlink" Target="https://bearzt-my.sharepoint.com/:b:/g/personal/sarellano_no-mii_com/IQAJl86dd5BGQohgtXSkfQkEARCoIb7vWkBGO6pW8eLIzcQ?e=G45Xzz" TargetMode="External"/><Relationship Id="rId62" Type="http://schemas.openxmlformats.org/officeDocument/2006/relationships/hyperlink" Target="https://bearzt-my.sharepoint.com/:b:/g/personal/sarellano_no-mii_com/ESAk44ETb1FMlTidMSIvLYcBgUz0zr4EV4BnxP2_32-Mhw?e=dfxHqs" TargetMode="External"/><Relationship Id="rId365" Type="http://schemas.openxmlformats.org/officeDocument/2006/relationships/hyperlink" Target="https://bearzt-my.sharepoint.com/:b:/g/personal/sarellano_no-mii_com/EQnDEyoqP95ItRkM4fc0t6QBAzIl5dnq_reA2kvFew2qXg?e=rGLuzo" TargetMode="External"/><Relationship Id="rId572" Type="http://schemas.openxmlformats.org/officeDocument/2006/relationships/hyperlink" Target="https://bearzt-my.sharepoint.com/:b:/g/personal/sarellano_no-mii_com/EXOIeSmRoY1NlrSy02ccN3UBL9-KG_gtBumk7bJV8n6bzA?e=wepMHS" TargetMode="External"/><Relationship Id="rId1216" Type="http://schemas.openxmlformats.org/officeDocument/2006/relationships/hyperlink" Target="https://bearzt-my.sharepoint.com/:b:/g/personal/sarellano_no-mii_com/IQBG1-KiKghOQ72Qxd0NhIgoAZBgkSmpBek55VBRTDAkYiM?e=WkItpX" TargetMode="External"/><Relationship Id="rId225" Type="http://schemas.openxmlformats.org/officeDocument/2006/relationships/hyperlink" Target="https://bearzt-my.sharepoint.com/:b:/g/personal/sarellano_no-mii_com/Ec-sYr5MYSlEtK5fb6nNTkoBExqCHpbdewdMqGZundX25g?e=fd6wkb" TargetMode="External"/><Relationship Id="rId432" Type="http://schemas.openxmlformats.org/officeDocument/2006/relationships/hyperlink" Target="https://bearzt-my.sharepoint.com/:b:/g/personal/sarellano_no-mii_com/EVjwjgF1wzBOtG-00qsKAMcB7hcqevoj3yRr1ZdPjMy3EA?e=SEN3xE" TargetMode="External"/><Relationship Id="rId877" Type="http://schemas.openxmlformats.org/officeDocument/2006/relationships/hyperlink" Target="https://bearzt-my.sharepoint.com/:b:/g/personal/sarellano_no-mii_com/IQCOh-zKqRqDRKzf0f7oUh0qATuJgcQHe7KV9bU8mw1r7hU?e=qsWJMn" TargetMode="External"/><Relationship Id="rId1062" Type="http://schemas.openxmlformats.org/officeDocument/2006/relationships/hyperlink" Target="https://bearzt-my.sharepoint.com/:b:/g/personal/sarellano_no-mii_com/IQDPwKh3msmQQqM_JTeAL5j4AebQ1LiqKlgkviGRUTTPZcg?e=fu2OcW" TargetMode="External"/><Relationship Id="rId737" Type="http://schemas.openxmlformats.org/officeDocument/2006/relationships/hyperlink" Target="https://bearzt-my.sharepoint.com/:b:/g/personal/sarellano_no-mii_com/IQDK143tDgx4S74BxLgwUOWVAeNNIvM0kj18hXh3e5sS6zM?e=ZPZkah" TargetMode="External"/><Relationship Id="rId944" Type="http://schemas.openxmlformats.org/officeDocument/2006/relationships/hyperlink" Target="https://bearzt-my.sharepoint.com/:b:/g/personal/sarellano_no-mii_com/IQDrUFx64ckcT6pdqW2uX9tvAaw8aKE2Uq91qteWXlWp5KE?e=n018dW" TargetMode="External"/><Relationship Id="rId73" Type="http://schemas.openxmlformats.org/officeDocument/2006/relationships/hyperlink" Target="https://bearzt-my.sharepoint.com/:b:/g/personal/sarellano_no-mii_com/ERLkrD3OYVpMo2RAYEuFBXoBeyAx0dE2qEW76W3Dwa7buw?e=xBH410" TargetMode="External"/><Relationship Id="rId169" Type="http://schemas.openxmlformats.org/officeDocument/2006/relationships/hyperlink" Target="https://bearzt-my.sharepoint.com/:b:/g/personal/sarellano_no-mii_com/EVWg3lurR0lCmGRtVKizBBkBIkYe4dOBw5GMXI3YNaAtCw?e=XWWF4e" TargetMode="External"/><Relationship Id="rId376" Type="http://schemas.openxmlformats.org/officeDocument/2006/relationships/hyperlink" Target="https://bearzt-my.sharepoint.com/:b:/g/personal/sarellano_no-mii_com/ETQWkFs9oKJDiDLOr8ooyqABHbZzQ-zrqicrXHxIMa7aEw?e=dsO6Eq" TargetMode="External"/><Relationship Id="rId583" Type="http://schemas.openxmlformats.org/officeDocument/2006/relationships/hyperlink" Target="https://bearzt-my.sharepoint.com/:b:/g/personal/sarellano_no-mii_com/EdO3oQA7ZhBBt0O-62hAeuYB8G-CyWdqStfL7CXsqOqZ3w?e=GIF85z" TargetMode="External"/><Relationship Id="rId790" Type="http://schemas.openxmlformats.org/officeDocument/2006/relationships/hyperlink" Target="https://bearzt-my.sharepoint.com/:b:/g/personal/sarellano_no-mii_com/IQA3Kxx_JCgKSpsB9bUJbprMASu7i_iBJu1cIKHm9zZ1D_k?e=pcgxDg" TargetMode="External"/><Relationship Id="rId804" Type="http://schemas.openxmlformats.org/officeDocument/2006/relationships/hyperlink" Target="https://bearzt-my.sharepoint.com/:b:/g/personal/sarellano_no-mii_com/IQBfXc-oBkmCQopZRKnT8gZkAX6NfxCbMtSBKXn8pB4E4q0?e=DGj4HO" TargetMode="External"/><Relationship Id="rId1227" Type="http://schemas.openxmlformats.org/officeDocument/2006/relationships/hyperlink" Target="https://bearzt-my.sharepoint.com/:b:/g/personal/sarellano_no-mii_com/IQBgYKyrL2ZnSJrV4xwHbmNWAVw50KgYvEluGh7xDeYw6mM?e=iJ8FTh" TargetMode="External"/><Relationship Id="rId4" Type="http://schemas.openxmlformats.org/officeDocument/2006/relationships/hyperlink" Target="https://bearzt-my.sharepoint.com/:b:/g/personal/sarellano_no-mii_com/EXn76CVOD3lAor7yD1zGW3IBlNafMHILmFtIYGfXJy4RzQ?e=yycnvh" TargetMode="External"/><Relationship Id="rId236" Type="http://schemas.openxmlformats.org/officeDocument/2006/relationships/hyperlink" Target="https://bearzt-my.sharepoint.com/:b:/g/personal/sarellano_no-mii_com/ERxfJM3RAGRMsPoG9-ImO1cBJgZMgW9zKSrbCmcA1XsdFA?e=4QB583" TargetMode="External"/><Relationship Id="rId443" Type="http://schemas.openxmlformats.org/officeDocument/2006/relationships/hyperlink" Target="https://bearzt-my.sharepoint.com/:b:/g/personal/sarellano_no-mii_com/EZJsYJ6BxJ9Hgn0Qr3PMYwoBklhtwUGczs2h_p0hQdB-Gg?e=OYGXa7" TargetMode="External"/><Relationship Id="rId650" Type="http://schemas.openxmlformats.org/officeDocument/2006/relationships/hyperlink" Target="https://bearzt-my.sharepoint.com/:b:/g/personal/sarellano_no-mii_com/EQu1CVN36UNIs-RbLYV_-fwBIVs8GGfkbFFS-HuHTH1gpw?e=cEFyRD" TargetMode="External"/><Relationship Id="rId888" Type="http://schemas.openxmlformats.org/officeDocument/2006/relationships/hyperlink" Target="https://bearzt-my.sharepoint.com/:b:/g/personal/sarellano_no-mii_com/IQB6eQmd2mdWT4vyfoTPUFk5Ac6VR1GsnBrTbxrpAYhplJc?e=RkBUfd" TargetMode="External"/><Relationship Id="rId1073" Type="http://schemas.openxmlformats.org/officeDocument/2006/relationships/hyperlink" Target="https://bearzt-my.sharepoint.com/:b:/g/personal/sarellano_no-mii_com/IQDmgt5xSf-QQrIcskhPend3AcNi-qg-ylHWUFzwuU3cqu8?e=pZB8bJ" TargetMode="External"/><Relationship Id="rId303" Type="http://schemas.openxmlformats.org/officeDocument/2006/relationships/hyperlink" Target="https://bearzt-my.sharepoint.com/:b:/g/personal/sarellano_no-mii_com/EV7bdLeyqNdDrjcSaU-IshkB8tkl-14aZGOqAaEa6p-FjA?e=tYRv3e" TargetMode="External"/><Relationship Id="rId748" Type="http://schemas.openxmlformats.org/officeDocument/2006/relationships/hyperlink" Target="https://bearzt-my.sharepoint.com/:b:/g/personal/sarellano_no-mii_com/IQCPYHemJV9KSaB_Mk9LtHqYAaIVMsB2Hf5X8B-wwn90gv0?e=0bjRC5" TargetMode="External"/><Relationship Id="rId955" Type="http://schemas.openxmlformats.org/officeDocument/2006/relationships/hyperlink" Target="https://bearzt-my.sharepoint.com/:b:/g/personal/sarellano_no-mii_com/IQBK5hS02_stT5edDUa2jvldAc1LddVkDma6WNQGROfL2Tg?e=gU0bxI" TargetMode="External"/><Relationship Id="rId1140" Type="http://schemas.openxmlformats.org/officeDocument/2006/relationships/hyperlink" Target="https://bearzt-my.sharepoint.com/:b:/g/personal/sarellano_no-mii_com/IQAvt-fVqBT7RJEuoxAzagJbAaEDoFmX1t54ppYFtu5rN9U?e=7qllS6" TargetMode="External"/><Relationship Id="rId84" Type="http://schemas.openxmlformats.org/officeDocument/2006/relationships/hyperlink" Target="https://bearzt-my.sharepoint.com/:b:/g/personal/sarellano_no-mii_com/EbhPSI6WFD5PtwOa2YWfPtABEKgOM2_QS9fdi_SnmaXRcA?e=IQm407" TargetMode="External"/><Relationship Id="rId387" Type="http://schemas.openxmlformats.org/officeDocument/2006/relationships/hyperlink" Target="https://bearzt-my.sharepoint.com/:b:/g/personal/sarellano_no-mii_com/EQYBDwGU4PlKlGx6zEorOUsBXdei17TvHEYRPIgY67__5w?e=gK1QEr" TargetMode="External"/><Relationship Id="rId510" Type="http://schemas.openxmlformats.org/officeDocument/2006/relationships/hyperlink" Target="https://bearzt-my.sharepoint.com/:b:/g/personal/sarellano_no-mii_com/ETvCN4NccSZIjieFfdz_sEoBAnAaKYbV0qG3UIXM751adg?e=ixIuVW" TargetMode="External"/><Relationship Id="rId594" Type="http://schemas.openxmlformats.org/officeDocument/2006/relationships/hyperlink" Target="https://bearzt-my.sharepoint.com/:b:/g/personal/sarellano_no-mii_com/ESrjhnwApTFArxduFylwwhoB9uQ2Y_xnkrBbg7RgqXTW3g?e=0mvfu6" TargetMode="External"/><Relationship Id="rId608" Type="http://schemas.openxmlformats.org/officeDocument/2006/relationships/hyperlink" Target="https://bearzt-my.sharepoint.com/:b:/g/personal/sarellano_no-mii_com/EaYqBQeGG59BnEwHxFHJZeQBOK1VVNWzfdMxNNxx2uyYZQ?e=uT5NfY" TargetMode="External"/><Relationship Id="rId815" Type="http://schemas.openxmlformats.org/officeDocument/2006/relationships/hyperlink" Target="https://bearzt-my.sharepoint.com/:b:/g/personal/sarellano_no-mii_com/IQB_xNCiaU6IRrNtE4Df_dThAVqbz-DVL_ayZ8RrYXIJ_UQ?e=2tQQdq" TargetMode="External"/><Relationship Id="rId1238" Type="http://schemas.microsoft.com/office/2019/04/relationships/namedSheetView" Target="../namedSheetViews/namedSheetView1.xml"/><Relationship Id="rId247" Type="http://schemas.openxmlformats.org/officeDocument/2006/relationships/hyperlink" Target="https://bearzt-my.sharepoint.com/:b:/g/personal/sarellano_no-mii_com/EUINJyGsT_RLqAW-72TAdH8B5OWGxqpUKwzE7UdURiklZQ?e=gwx0kZ" TargetMode="External"/><Relationship Id="rId899" Type="http://schemas.openxmlformats.org/officeDocument/2006/relationships/hyperlink" Target="https://bearzt-my.sharepoint.com/:b:/g/personal/sarellano_no-mii_com/IQDTRhf0-QCtQKfp6jQxqXFrAcrlQFbmRGvPCgoeAe3yOBE?e=H3hih0" TargetMode="External"/><Relationship Id="rId1000" Type="http://schemas.openxmlformats.org/officeDocument/2006/relationships/hyperlink" Target="https://bearzt-my.sharepoint.com/:b:/g/personal/sarellano_no-mii_com/IQDWBDR88eiHQZF9UYhGU2a4AbSbNnx0rBKD7rK45VPe6t4?e=87Bra0" TargetMode="External"/><Relationship Id="rId1084" Type="http://schemas.openxmlformats.org/officeDocument/2006/relationships/hyperlink" Target="https://bearzt-my.sharepoint.com/:b:/g/personal/sarellano_no-mii_com/IQA-DFPR2ntiRbNHo6VGdwNbAUIV4ppYfZSu0Tdl0OGEVH0?e=nXnecu" TargetMode="External"/><Relationship Id="rId107" Type="http://schemas.openxmlformats.org/officeDocument/2006/relationships/hyperlink" Target="https://bearzt-my.sharepoint.com/:b:/g/personal/sarellano_no-mii_com/ERfHqXsQU_1Kjyf0hdEmeqkBT7oTfpAwt6JeZpB4WY6mzQ?e=n6IiCZ" TargetMode="External"/><Relationship Id="rId454" Type="http://schemas.openxmlformats.org/officeDocument/2006/relationships/hyperlink" Target="https://bearzt-my.sharepoint.com/:b:/g/personal/sarellano_no-mii_com/EWVNawbz6_5HnVIw2ygagSYBv7oyuJ3P6mBUm8D-R7jxnw?e=vNKkDW" TargetMode="External"/><Relationship Id="rId661" Type="http://schemas.openxmlformats.org/officeDocument/2006/relationships/hyperlink" Target="https://bearzt-my.sharepoint.com/:b:/g/personal/sarellano_no-mii_com/EeLD4iwwuVhOsgVDMuR_G78BNReBapdyFnW32wnKnMb_Mw?e=X6oIur" TargetMode="External"/><Relationship Id="rId759" Type="http://schemas.openxmlformats.org/officeDocument/2006/relationships/hyperlink" Target="https://bearzt-my.sharepoint.com/:b:/g/personal/sarellano_no-mii_com/IQC7wsl09f_YQoRfzCypqmtVAYpBIWzyab2qmRjrWhdRQZg?e=rmV2p5" TargetMode="External"/><Relationship Id="rId966" Type="http://schemas.openxmlformats.org/officeDocument/2006/relationships/hyperlink" Target="https://bearzt-my.sharepoint.com/:b:/g/personal/sarellano_no-mii_com/IQA256IJg3cPQYbbgC1S0atiAaSYchbDm5FfgnvQxSJY8VY?e=xOUSB4" TargetMode="External"/><Relationship Id="rId11" Type="http://schemas.openxmlformats.org/officeDocument/2006/relationships/hyperlink" Target="https://bearzt-my.sharepoint.com/:b:/g/personal/sarellano_no-mii_com/EejcL3RqKZtLk_4o8i6b8VsBcwZOlY_hrGQyNxTBksv7_Q?e=HmAINd" TargetMode="External"/><Relationship Id="rId314" Type="http://schemas.openxmlformats.org/officeDocument/2006/relationships/hyperlink" Target="https://bearzt-my.sharepoint.com/:b:/g/personal/sarellano_no-mii_com/EcswVqXxwOlIvL-fIJd_lJIBwz5HzvpRoXthLL-y6rlR7Q?e=nN1t6b" TargetMode="External"/><Relationship Id="rId398" Type="http://schemas.openxmlformats.org/officeDocument/2006/relationships/hyperlink" Target="https://bearzt-my.sharepoint.com/:b:/g/personal/sarellano_no-mii_com/ERjpLt4QhI9JgCb8rw-X2I8BbppISdIoN11ocbs5jOVHow?e=lSO8Rd" TargetMode="External"/><Relationship Id="rId521" Type="http://schemas.openxmlformats.org/officeDocument/2006/relationships/hyperlink" Target="https://bearzt-my.sharepoint.com/:b:/g/personal/sarellano_no-mii_com/Ea8syR_IU4VFhnO-RX5k-_UB5iHkTOa1Zf0y9UdNovPBgg?e=cPUjZR" TargetMode="External"/><Relationship Id="rId619" Type="http://schemas.openxmlformats.org/officeDocument/2006/relationships/hyperlink" Target="https://bearzt-my.sharepoint.com/:b:/g/personal/sarellano_no-mii_com/EWYw7qmhcWdKovooC6m24W0BxV6Gwje5jTs8C78H1DCnjA?e=ikXJ2a" TargetMode="External"/><Relationship Id="rId1151" Type="http://schemas.openxmlformats.org/officeDocument/2006/relationships/hyperlink" Target="https://bearzt-my.sharepoint.com/:b:/g/personal/sarellano_no-mii_com/IQCMEkWrd7AwTZW1uUNlgP8rAbexRInQ8DCtgjZgwQzJxmo?e=EnJpG3" TargetMode="External"/><Relationship Id="rId95" Type="http://schemas.openxmlformats.org/officeDocument/2006/relationships/hyperlink" Target="https://bearzt-my.sharepoint.com/:b:/g/personal/sarellano_no-mii_com/EczJhN2-MrhHgz5y6OcNrogBmBCERpIyROIJnQX8HwoKpw?e=jIyaZ6" TargetMode="External"/><Relationship Id="rId160" Type="http://schemas.openxmlformats.org/officeDocument/2006/relationships/hyperlink" Target="https://bearzt-my.sharepoint.com/:b:/g/personal/sarellano_no-mii_com/EWLd-QWL4EZBhkMcxLNfPiYBPHHvBq6kuXYhUrZzfoRJRA?e=EhfRCb" TargetMode="External"/><Relationship Id="rId826" Type="http://schemas.openxmlformats.org/officeDocument/2006/relationships/hyperlink" Target="https://bearzt-my.sharepoint.com/:b:/g/personal/sarellano_no-mii_com/IQBN-UIToHIyTYJHpLCMu_bhATNiKwaJHBQ6E3zop_4QbHo?e=1RGALr" TargetMode="External"/><Relationship Id="rId1011" Type="http://schemas.openxmlformats.org/officeDocument/2006/relationships/hyperlink" Target="https://bearzt-my.sharepoint.com/:b:/g/personal/sarellano_no-mii_com/IQAcVQyDycnmSK1NZA905BWDAQuXtQKy64B3wkhgg3JeYmU?e=qdhVzM" TargetMode="External"/><Relationship Id="rId1109" Type="http://schemas.openxmlformats.org/officeDocument/2006/relationships/hyperlink" Target="https://bearzt-my.sharepoint.com/:b:/g/personal/sarellano_no-mii_com/IQAYqvIS3yf-QqQukV0glspOAfGSf6vEg9F4HU2jZNkQa6E?e=p30iPd" TargetMode="External"/><Relationship Id="rId258" Type="http://schemas.openxmlformats.org/officeDocument/2006/relationships/hyperlink" Target="https://bearzt-my.sharepoint.com/:b:/g/personal/sarellano_no-mii_com/EZMg71Um0yBBufEKxxdHfs4Blt8Sw-4Fv_7PV_KspFdrHg?e=L0QW3V" TargetMode="External"/><Relationship Id="rId465" Type="http://schemas.openxmlformats.org/officeDocument/2006/relationships/hyperlink" Target="https://bearzt-my.sharepoint.com/:b:/g/personal/sarellano_no-mii_com/EUmb1-KDPy5PoVZuu1q2ZO8BkLwv3hMEE9wUc6it7jW8uw?e=pLkJaG" TargetMode="External"/><Relationship Id="rId672" Type="http://schemas.openxmlformats.org/officeDocument/2006/relationships/hyperlink" Target="https://bearzt-my.sharepoint.com/:b:/g/personal/sarellano_no-mii_com/EeX4Mj2HO2dGsP4FHfoVPI4BfFvvGLpx0Hh_xuIBbD_hgg?e=vnt3z8" TargetMode="External"/><Relationship Id="rId1095" Type="http://schemas.openxmlformats.org/officeDocument/2006/relationships/hyperlink" Target="https://bearzt-my.sharepoint.com/:b:/g/personal/sarellano_no-mii_com/IQAN-tj9wKZ6TZqPv9SyZJ0DAZ3tmOfBBArE4O2uALRrZDQ?e=qTqc1H" TargetMode="External"/><Relationship Id="rId22" Type="http://schemas.openxmlformats.org/officeDocument/2006/relationships/hyperlink" Target="https://bearzt-my.sharepoint.com/:b:/g/personal/sarellano_no-mii_com/EXPq0loxsddAsqeK8IbGN4wBrWZFfZs3cBtY-1q5sWgb2A?e=OoBtZp" TargetMode="External"/><Relationship Id="rId118" Type="http://schemas.openxmlformats.org/officeDocument/2006/relationships/hyperlink" Target="https://bearzt-my.sharepoint.com/:b:/g/personal/sarellano_no-mii_com/EZpfP8n-hXpAht53qhWwWCoBMCT3E5-eo4nLft5mU5BN7A?e=u1epSr" TargetMode="External"/><Relationship Id="rId325" Type="http://schemas.openxmlformats.org/officeDocument/2006/relationships/hyperlink" Target="https://bearzt-my.sharepoint.com/:b:/g/personal/sarellano_no-mii_com/EbtYb7uNk3RDqmiMgx6wlxYBiQ7VRbZ3QhuhxP0ckSe5PQ?e=qU6JDK" TargetMode="External"/><Relationship Id="rId532" Type="http://schemas.openxmlformats.org/officeDocument/2006/relationships/hyperlink" Target="https://bearzt-my.sharepoint.com/:b:/g/personal/sarellano_no-mii_com/EUH5CGha4spCiFu__IfHBEsBkSE1gQwVPFNPwP6VgeMEUQ?e=mAw460" TargetMode="External"/><Relationship Id="rId977" Type="http://schemas.openxmlformats.org/officeDocument/2006/relationships/hyperlink" Target="https://bearzt-my.sharepoint.com/:b:/g/personal/sarellano_no-mii_com/IQAguLBzX1dYTaNAPduxcc7iAef5GjzdlfTyMmD3a-UINR0?e=qgqfHW" TargetMode="External"/><Relationship Id="rId1162" Type="http://schemas.openxmlformats.org/officeDocument/2006/relationships/hyperlink" Target="https://bearzt-my.sharepoint.com/:b:/g/personal/sarellano_no-mii_com/IQCn9s21OcFeQo5q_OZXTo5VAQ8zKjpJYvb_bzFgof6sWQs?e=LG8EaM" TargetMode="External"/><Relationship Id="rId171" Type="http://schemas.openxmlformats.org/officeDocument/2006/relationships/hyperlink" Target="https://bearzt-my.sharepoint.com/:b:/g/personal/sarellano_no-mii_com/Ednz78if3NBAhN88nZOvqJcB4bMrcUkS3RwRG3YkBpdOgQ?e=lyhns1" TargetMode="External"/><Relationship Id="rId837" Type="http://schemas.openxmlformats.org/officeDocument/2006/relationships/hyperlink" Target="https://bearzt-my.sharepoint.com/:b:/g/personal/sarellano_no-mii_com/IQBY1c8yq3h9RJtCsZpxepglAeQZswD0UJ_BNdDtkaDnyLk?e=g7jKYr" TargetMode="External"/><Relationship Id="rId1022" Type="http://schemas.openxmlformats.org/officeDocument/2006/relationships/hyperlink" Target="https://bearzt-my.sharepoint.com/:b:/g/personal/sarellano_no-mii_com/IQBxwMwX_pvhTrYPTb21-4R9AV4wvbel9t6UfDGswFk6lDI?e=jZ6LKG" TargetMode="External"/><Relationship Id="rId269" Type="http://schemas.openxmlformats.org/officeDocument/2006/relationships/hyperlink" Target="https://bearzt-my.sharepoint.com/:b:/g/personal/sarellano_no-mii_com/EQkBMmI2EBZJqjiv0CT6bOEBm-3Zn9hSqiEVdGrtaUaXgA?e=6SuE0P" TargetMode="External"/><Relationship Id="rId476" Type="http://schemas.openxmlformats.org/officeDocument/2006/relationships/hyperlink" Target="https://bearzt-my.sharepoint.com/:b:/g/personal/sarellano_no-mii_com/ETYaSlylWDBFmW45vJJaPIIBo5h2z1bYg3ou7IS5N2ezMQ?e=ALjfDT" TargetMode="External"/><Relationship Id="rId683" Type="http://schemas.openxmlformats.org/officeDocument/2006/relationships/hyperlink" Target="https://bearzt-my.sharepoint.com/:b:/g/personal/sarellano_no-mii_com/EXBHLf-xng9HhPjjEebGRnwBEDrIWdwhl58Ms0PWwRXIHg?e=lMvxed" TargetMode="External"/><Relationship Id="rId890" Type="http://schemas.openxmlformats.org/officeDocument/2006/relationships/hyperlink" Target="https://bearzt-my.sharepoint.com/:b:/g/personal/sarellano_no-mii_com/IQBq0DCv0JuvRJDT_xyM2Z5MAQI5s50WDk43qKw9zS4Kyj4?e=mrmfPx" TargetMode="External"/><Relationship Id="rId904" Type="http://schemas.openxmlformats.org/officeDocument/2006/relationships/hyperlink" Target="https://bearzt-my.sharepoint.com/:b:/g/personal/sarellano_no-mii_com/IQDju9q3WfORTbq0eVlsPrvKATHtFjSvyYAULwwB11Y1ALM?e=Dh60g6" TargetMode="External"/><Relationship Id="rId33" Type="http://schemas.openxmlformats.org/officeDocument/2006/relationships/hyperlink" Target="https://bearzt-my.sharepoint.com/:b:/g/personal/sarellano_no-mii_com/EVzQic4nf_RPhg9ceckwFE4BU87DhCXkkyHAW8e51_XgzQ?e=d5fbGv" TargetMode="External"/><Relationship Id="rId129" Type="http://schemas.openxmlformats.org/officeDocument/2006/relationships/hyperlink" Target="https://bearzt-my.sharepoint.com/:b:/g/personal/sarellano_no-mii_com/ETXavqyjuc5Pg4IIwnY2l3oBYWAvPjDK7PAHAaQ3txQMYA?e=OLsqjh" TargetMode="External"/><Relationship Id="rId336" Type="http://schemas.openxmlformats.org/officeDocument/2006/relationships/hyperlink" Target="https://bearzt-my.sharepoint.com/:b:/g/personal/sarellano_no-mii_com/EZthWDeSe9dDkPt242q1ym0BtvfrG8huTWqSOt3BzZtVig?e=3PVUOe" TargetMode="External"/><Relationship Id="rId543" Type="http://schemas.openxmlformats.org/officeDocument/2006/relationships/hyperlink" Target="https://bearzt-my.sharepoint.com/:b:/g/personal/sarellano_no-mii_com/ES2yfYWAO2VJowCxIicBBekBHIqsSubhEOrv1fQz9QiyEA?e=Cge9wX" TargetMode="External"/><Relationship Id="rId988" Type="http://schemas.openxmlformats.org/officeDocument/2006/relationships/hyperlink" Target="https://bearzt-my.sharepoint.com/:b:/g/personal/sarellano_no-mii_com/IQAOowAzyiY5TqljMYhuaiZeAUbLsbQK2YQnoblCrJ02Fj8?e=dvduYr" TargetMode="External"/><Relationship Id="rId1173" Type="http://schemas.openxmlformats.org/officeDocument/2006/relationships/hyperlink" Target="https://bearzt-my.sharepoint.com/:b:/g/personal/sarellano_no-mii_com/IQCjWHN3U9e0QIgC-WKY3tv3AZHP23-h516vwfjqGfASVQc?e=FVAvY6" TargetMode="External"/><Relationship Id="rId182" Type="http://schemas.openxmlformats.org/officeDocument/2006/relationships/hyperlink" Target="https://bearzt-my.sharepoint.com/:b:/g/personal/sarellano_no-mii_com/EdP80TbxW41LuYwIC7ySN7EBJCS2iV40sV3fH3PL9z2ENg?e=h5bpYB" TargetMode="External"/><Relationship Id="rId403" Type="http://schemas.openxmlformats.org/officeDocument/2006/relationships/hyperlink" Target="https://bearzt-my.sharepoint.com/:b:/g/personal/sarellano_no-mii_com/EUe3y5ac_BBGhZbfyqCUohEBkNH97dUZlveS7GQRQx6IWw?e=AnU12H" TargetMode="External"/><Relationship Id="rId750" Type="http://schemas.openxmlformats.org/officeDocument/2006/relationships/hyperlink" Target="https://bearzt-my.sharepoint.com/:b:/g/personal/sarellano_no-mii_com/IQBjCp3Q_W6hQ4hBe_DkH0fHAc08ss8YJrTQjWAMLELtej8?e=u5dnOT" TargetMode="External"/><Relationship Id="rId848" Type="http://schemas.openxmlformats.org/officeDocument/2006/relationships/hyperlink" Target="https://bearzt-my.sharepoint.com/:b:/g/personal/sarellano_no-mii_com/IQDArD571P6NRav9uSwk30yOAQWcqQZaP8Tx0kd0DFeCH4c?e=ZI4tBN" TargetMode="External"/><Relationship Id="rId1033" Type="http://schemas.openxmlformats.org/officeDocument/2006/relationships/hyperlink" Target="https://bearzt-my.sharepoint.com/:b:/g/personal/sarellano_no-mii_com/IQA1I3uUu7wUQ4eaZDZDNT4RAQzhcU9ur_CQk42HeH34ktA?e=koxvdL" TargetMode="External"/><Relationship Id="rId487" Type="http://schemas.openxmlformats.org/officeDocument/2006/relationships/hyperlink" Target="https://bearzt-my.sharepoint.com/:b:/g/personal/sarellano_no-mii_com/EaIwLw1Ea3NCqr4xU5ww3Y0Bk05OboKMsFMGiEuPefka-Q?e=nDzSK5" TargetMode="External"/><Relationship Id="rId610" Type="http://schemas.openxmlformats.org/officeDocument/2006/relationships/hyperlink" Target="https://bearzt-my.sharepoint.com/:b:/g/personal/sarellano_no-mii_com/EV4oVeNP6B1CtXyUqoihXGgBeYRMc-tXCIcioMvVYoaf9g?e=khys5j" TargetMode="External"/><Relationship Id="rId694" Type="http://schemas.openxmlformats.org/officeDocument/2006/relationships/hyperlink" Target="https://bearzt-my.sharepoint.com/:b:/g/personal/sarellano_no-mii_com/EdubxpvIohJHrZCMacnscYsBK9Msv44yg38YfFdAB2JMsw?e=vAtXuW" TargetMode="External"/><Relationship Id="rId708" Type="http://schemas.openxmlformats.org/officeDocument/2006/relationships/hyperlink" Target="https://bearzt-my.sharepoint.com/:b:/g/personal/sarellano_no-mii_com/EWE2n_iReC5HsRilQDFhsxYBICk1d01ueRmYeNI_wM2MiA?e=gLhNrQ" TargetMode="External"/><Relationship Id="rId915" Type="http://schemas.openxmlformats.org/officeDocument/2006/relationships/hyperlink" Target="https://bearzt-my.sharepoint.com/:b:/g/personal/sarellano_no-mii_com/IQAbknoOezIvRK1x8uBS87qrAYO3ikPndmSQyIKuk4fGauE?e=X2E2xg" TargetMode="External"/><Relationship Id="rId347" Type="http://schemas.openxmlformats.org/officeDocument/2006/relationships/hyperlink" Target="https://bearzt-my.sharepoint.com/:b:/g/personal/sarellano_no-mii_com/EYh3sQ0cs3tOo2mE3y4BreEBlOReTUrM6zfOU6z3lVFFsg?e=rptfR2" TargetMode="External"/><Relationship Id="rId999" Type="http://schemas.openxmlformats.org/officeDocument/2006/relationships/hyperlink" Target="https://bearzt-my.sharepoint.com/:b:/g/personal/sarellano_no-mii_com/IQDQWVffYIPQRJksYwh0fPOkATUfsoZcLajzI3KnxbIYPoo?e=itar74" TargetMode="External"/><Relationship Id="rId1100" Type="http://schemas.openxmlformats.org/officeDocument/2006/relationships/hyperlink" Target="https://bearzt-my.sharepoint.com/:b:/g/personal/sarellano_no-mii_com/IQBU5ukzOnikQqtWV5rN6WeEATkp0RY4EXEyUcWkZiLFruE?e=Mq8oiV" TargetMode="External"/><Relationship Id="rId1184" Type="http://schemas.openxmlformats.org/officeDocument/2006/relationships/hyperlink" Target="https://bearzt-my.sharepoint.com/:b:/g/personal/sarellano_no-mii_com/IQBtvAWPy0XmSaob0bNPLZD0AQp05SFQ89KJucChF8jdL7c?e=e84VwN" TargetMode="External"/><Relationship Id="rId44" Type="http://schemas.openxmlformats.org/officeDocument/2006/relationships/hyperlink" Target="https://bearzt-my.sharepoint.com/:b:/g/personal/sarellano_no-mii_com/EV9Mhx3NH7BJh0siLbiUVTgBrQs0wwdjymcU_yQlDZoTQA?e=6aFBUd" TargetMode="External"/><Relationship Id="rId554" Type="http://schemas.openxmlformats.org/officeDocument/2006/relationships/hyperlink" Target="https://bearzt-my.sharepoint.com/:b:/g/personal/sarellano_no-mii_com/EToa85b3zFRHgXNVidn88UMBKxfaPatkJQj_szzxgI1X_Q?e=TyRgoR" TargetMode="External"/><Relationship Id="rId761" Type="http://schemas.openxmlformats.org/officeDocument/2006/relationships/hyperlink" Target="https://bearzt-my.sharepoint.com/:b:/g/personal/sarellano_no-mii_com/IQCiIZtedYYhQaW-WZoDkaeTAY-y_SVkL0cGBixhYcIOEqQ?e=pUcAIC" TargetMode="External"/><Relationship Id="rId859" Type="http://schemas.openxmlformats.org/officeDocument/2006/relationships/hyperlink" Target="https://bearzt-my.sharepoint.com/:b:/g/personal/sarellano_no-mii_com/IQCgaCqbV88iRr54ufjkI7RaAWVLx-R1z6DHyX1MUV1KRNY?e=ZU6vF1" TargetMode="External"/><Relationship Id="rId193" Type="http://schemas.openxmlformats.org/officeDocument/2006/relationships/hyperlink" Target="https://bearzt-my.sharepoint.com/:b:/g/personal/sarellano_no-mii_com/EQXwWErVy9xAjrhnkv0ElrYB_d7MQdPbtMBEY8U6aabgCw?e=OdyA1i" TargetMode="External"/><Relationship Id="rId207" Type="http://schemas.openxmlformats.org/officeDocument/2006/relationships/hyperlink" Target="https://bearzt-my.sharepoint.com/:b:/g/personal/sarellano_no-mii_com/EZ96Cjme5ytMmA16itsxprEBSkG9vVuCzAd3PO9oti64vg?e=W3aeam" TargetMode="External"/><Relationship Id="rId414" Type="http://schemas.openxmlformats.org/officeDocument/2006/relationships/hyperlink" Target="https://bearzt-my.sharepoint.com/:b:/g/personal/sarellano_no-mii_com/ESKI6jmmC5BDt-e05AqrYfQBmTtccYh0CxuW4S6M7o8TBQ?e=joKdNu" TargetMode="External"/><Relationship Id="rId498" Type="http://schemas.openxmlformats.org/officeDocument/2006/relationships/hyperlink" Target="https://bearzt-my.sharepoint.com/:b:/g/personal/sarellano_no-mii_com/EYP4i_6AH2ZOkTjj_R_2xEEBr2RWsy7_S7GU5HaD3JA44g?e=365KXE" TargetMode="External"/><Relationship Id="rId621" Type="http://schemas.openxmlformats.org/officeDocument/2006/relationships/hyperlink" Target="https://bearzt-my.sharepoint.com/:b:/g/personal/sarellano_no-mii_com/ERoAnqobZWpPkuDR9SmpST8Be67aUQjLLvj_ImBGo0xVgg?e=2quOFq" TargetMode="External"/><Relationship Id="rId1044" Type="http://schemas.openxmlformats.org/officeDocument/2006/relationships/hyperlink" Target="https://bearzt-my.sharepoint.com/:b:/g/personal/sarellano_no-mii_com/IQBtbmD4pkVgSq-4EB1yNu0CAekinSLg4DadsuEFmZd4kFo?e=m0oFHa" TargetMode="External"/><Relationship Id="rId260" Type="http://schemas.openxmlformats.org/officeDocument/2006/relationships/hyperlink" Target="https://bearzt-my.sharepoint.com/:b:/g/personal/sarellano_no-mii_com/EVMpf0Vq-MVLsVVARiO1sG0B4bv0WOTdyCDqg3MnZdiulA?e=kmWive" TargetMode="External"/><Relationship Id="rId719" Type="http://schemas.openxmlformats.org/officeDocument/2006/relationships/hyperlink" Target="https://bearzt-my.sharepoint.com/:b:/g/personal/sarellano_no-mii_com/EbeTsJK-XCJJpQ-rSLEbewoBX02hQBE2yw9xAZRWqDyy1g?e=Rvx4Gp" TargetMode="External"/><Relationship Id="rId926" Type="http://schemas.openxmlformats.org/officeDocument/2006/relationships/hyperlink" Target="https://bearzt-my.sharepoint.com/:b:/g/personal/sarellano_no-mii_com/EW2azKkEAGFBmIIIqJxNBdoBk8SFAQ22tMMne4C3W1J_5w?e=fPoqxX" TargetMode="External"/><Relationship Id="rId1111" Type="http://schemas.openxmlformats.org/officeDocument/2006/relationships/hyperlink" Target="https://bearzt-my.sharepoint.com/:b:/g/personal/sarellano_no-mii_com/IQDyzCeqA-mZToFXgvDGAVfwAdEuw-oqJmI_YF1ggUNpT4o?e=dYtGbO" TargetMode="External"/><Relationship Id="rId55" Type="http://schemas.openxmlformats.org/officeDocument/2006/relationships/hyperlink" Target="https://bearzt-my.sharepoint.com/:b:/g/personal/sarellano_no-mii_com/EX_BO1Dw0dBEmntbFpz_w54BN5g3ojDY_tFQ9tEU59J84Q?e=5qpaNO" TargetMode="External"/><Relationship Id="rId120" Type="http://schemas.openxmlformats.org/officeDocument/2006/relationships/hyperlink" Target="https://bearzt-my.sharepoint.com/:b:/g/personal/sarellano_no-mii_com/EW7hjNrquqFMpPsakJY_THYBRJFGnDetl-98EYRWozY6vQ?e=gIEO07" TargetMode="External"/><Relationship Id="rId358" Type="http://schemas.openxmlformats.org/officeDocument/2006/relationships/hyperlink" Target="https://bearzt-my.sharepoint.com/:b:/g/personal/sarellano_no-mii_com/EfGDezNgr9ZDs0nT0VhzztcBUJg_Ps3lqoQWTGHNHI3o-Q?e=dYqXwP" TargetMode="External"/><Relationship Id="rId565" Type="http://schemas.openxmlformats.org/officeDocument/2006/relationships/hyperlink" Target="https://bearzt-my.sharepoint.com/:b:/g/personal/sarellano_no-mii_com/EYr1m3WRkM9GuWjGhZLJn2ABViVVqvN02DWcMuwzQL5foQ?e=vvJiwJ" TargetMode="External"/><Relationship Id="rId772" Type="http://schemas.openxmlformats.org/officeDocument/2006/relationships/hyperlink" Target="https://bearzt-my.sharepoint.com/:b:/g/personal/sarellano_no-mii_com/IQCG-Nrc6Ct8S70UfxxhwKezAYTHL48STGCn0tLfcU0wWh8?e=eaNm2t" TargetMode="External"/><Relationship Id="rId1195" Type="http://schemas.openxmlformats.org/officeDocument/2006/relationships/hyperlink" Target="https://bearzt-my.sharepoint.com/:b:/g/personal/sarellano_no-mii_com/IQA4gVeZDbegTpxYtClZPybMAXOoF3CovGM4BaxA1Ycu4eM?e=PNtU2W" TargetMode="External"/><Relationship Id="rId1209" Type="http://schemas.openxmlformats.org/officeDocument/2006/relationships/hyperlink" Target="https://bearzt-my.sharepoint.com/:b:/g/personal/sarellano_no-mii_com/IQA0D9bO2qg9Sa_WnjjkgQ9WAaqxSwQBcXtSYA2iTm4iSm4?e=h9lAgE" TargetMode="External"/><Relationship Id="rId218" Type="http://schemas.openxmlformats.org/officeDocument/2006/relationships/hyperlink" Target="https://bearzt-my.sharepoint.com/:b:/g/personal/sarellano_no-mii_com/ETSBVDj25MdLkNh-PX2MLcgBTM_mzo0kyZcG8v2F84PZwQ?e=yI1v2c" TargetMode="External"/><Relationship Id="rId425" Type="http://schemas.openxmlformats.org/officeDocument/2006/relationships/hyperlink" Target="https://bearzt-my.sharepoint.com/:b:/g/personal/sarellano_no-mii_com/EfWtmz8Mxn1Eha7j1fg90sUBNU_4kgg-tjnon63G48mzfA?e=Z1KvB0" TargetMode="External"/><Relationship Id="rId632" Type="http://schemas.openxmlformats.org/officeDocument/2006/relationships/hyperlink" Target="https://bearzt-my.sharepoint.com/:b:/g/personal/sarellano_no-mii_com/EXMTC-DPCRRPt2l9_bwGX8gBy1LE288XPjSAivOPzwxGBQ?e=2RYNA2" TargetMode="External"/><Relationship Id="rId1055" Type="http://schemas.openxmlformats.org/officeDocument/2006/relationships/hyperlink" Target="https://bearzt-my.sharepoint.com/:b:/g/personal/sarellano_no-mii_com/IQD_DVp9-3HGSZzFW7d9vp7SAT2MnquUM9nA2gBHmK53NUg?e=7ccnUJ" TargetMode="External"/><Relationship Id="rId271" Type="http://schemas.openxmlformats.org/officeDocument/2006/relationships/hyperlink" Target="https://bearzt-my.sharepoint.com/:b:/g/personal/sarellano_no-mii_com/EZB_kp--nGJApFdP4JHdd7UBIOXty-YsjgP-LaKzzq5MOw?e=fWOrIy" TargetMode="External"/><Relationship Id="rId937" Type="http://schemas.openxmlformats.org/officeDocument/2006/relationships/hyperlink" Target="https://bearzt-my.sharepoint.com/:b:/g/personal/sarellano_no-mii_com/IQA3pmbasZ53Sq4t9u0EVL3WAcxSsKxL-8knmUBXR0iMXsM?e=7SJr9T" TargetMode="External"/><Relationship Id="rId1122" Type="http://schemas.openxmlformats.org/officeDocument/2006/relationships/hyperlink" Target="https://bearzt-my.sharepoint.com/:b:/g/personal/sarellano_no-mii_com/IQAZZ14kBUFSSpiXec2G7GqdAdp3-xM2P5uVZtakb5WMBNg?e=FXDTeb" TargetMode="External"/><Relationship Id="rId66" Type="http://schemas.openxmlformats.org/officeDocument/2006/relationships/hyperlink" Target="https://bearzt-my.sharepoint.com/:b:/g/personal/sarellano_no-mii_com/ETkKvucP7oZEsMnd-sPQYRsBkRIL6ipl0ck1H9C-uj-EuA?e=4KfLdl" TargetMode="External"/><Relationship Id="rId131" Type="http://schemas.openxmlformats.org/officeDocument/2006/relationships/hyperlink" Target="https://bearzt-my.sharepoint.com/:b:/g/personal/sarellano_no-mii_com/EeWvWOY_Cx1Hv0h0DkWt3bcB_FdwWy9eUk166RlqRUqiZA?e=s4FQh0" TargetMode="External"/><Relationship Id="rId369" Type="http://schemas.openxmlformats.org/officeDocument/2006/relationships/hyperlink" Target="https://bearzt-my.sharepoint.com/:b:/g/personal/sarellano_no-mii_com/EWuso2sta0RCowTMvZyB6GgBfRvs4bPr26yt7B_Yr86Mhg?e=gRXPQU" TargetMode="External"/><Relationship Id="rId576" Type="http://schemas.openxmlformats.org/officeDocument/2006/relationships/hyperlink" Target="https://bearzt-my.sharepoint.com/:b:/g/personal/sarellano_no-mii_com/EehSxSxZanRDrTPQVZ8zqGEBHt6O53lpzrZi8kL60vzLRQ?e=MaQevH" TargetMode="External"/><Relationship Id="rId783" Type="http://schemas.openxmlformats.org/officeDocument/2006/relationships/hyperlink" Target="https://bearzt-my.sharepoint.com/:i:/g/personal/sarellano_no-mii_com/IQA8OJef8y_5SpPOeescrHSvAQbuOMIyMhjZDS-g4q8g2Rc?e=A2QKlA" TargetMode="External"/><Relationship Id="rId990" Type="http://schemas.openxmlformats.org/officeDocument/2006/relationships/hyperlink" Target="https://bearzt-my.sharepoint.com/:b:/g/personal/sarellano_no-mii_com/IQCbp9YqGvopQJnfx1j2ixOIAT6kx55Xiy0iQ6BVvZSFLaA?e=enG4BG" TargetMode="External"/><Relationship Id="rId229" Type="http://schemas.openxmlformats.org/officeDocument/2006/relationships/hyperlink" Target="https://bearzt-my.sharepoint.com/:b:/g/personal/sarellano_no-mii_com/EfmldJdTF-ZJrY_lm2ySwVUBj2HFKWG-3tUjlOcEr1K5DQ?e=zBHHze" TargetMode="External"/><Relationship Id="rId436" Type="http://schemas.openxmlformats.org/officeDocument/2006/relationships/hyperlink" Target="https://bearzt-my.sharepoint.com/:b:/g/personal/sarellano_no-mii_com/Ed9M9uFftLZNjSxUS3zF6fAB3Vwdaax8D3iRNFM2W5Pzkg?e=lftN11" TargetMode="External"/><Relationship Id="rId643" Type="http://schemas.openxmlformats.org/officeDocument/2006/relationships/hyperlink" Target="https://bearzt-my.sharepoint.com/:b:/g/personal/sarellano_no-mii_com/EdSeNhnQllVMgpCXDm7khT0BMar-o56BtgGRKJPH82fW6w?e=tqhGwD" TargetMode="External"/><Relationship Id="rId1066" Type="http://schemas.openxmlformats.org/officeDocument/2006/relationships/hyperlink" Target="https://bearzt-my.sharepoint.com/:b:/g/personal/sarellano_no-mii_com/IQBU2evuDxz_RqZ0Jtn6XMJxAQCSAAQX0gNkQLwxyAUzxxE?e=5hdLG7" TargetMode="External"/><Relationship Id="rId850" Type="http://schemas.openxmlformats.org/officeDocument/2006/relationships/hyperlink" Target="https://bearzt-my.sharepoint.com/:b:/g/personal/sarellano_no-mii_com/IQDR4VDPb9BTSqlsxe1prkHwATxFZS9UzdWnQI2Zs7cmjoI?e=Nc9Wvi" TargetMode="External"/><Relationship Id="rId948" Type="http://schemas.openxmlformats.org/officeDocument/2006/relationships/hyperlink" Target="https://bearzt-my.sharepoint.com/:b:/g/personal/sarellano_no-mii_com/IQBNhoLiG2vtSr11QIueqiXCASJapv92h-lqlAmFxMOdBts?e=vG8xel" TargetMode="External"/><Relationship Id="rId1133" Type="http://schemas.openxmlformats.org/officeDocument/2006/relationships/hyperlink" Target="https://bearzt-my.sharepoint.com/:b:/g/personal/sarellano_no-mii_com/IQBNTr9nizvWQqS5IB0Vq4BhAX5R3euCw07bETMuN6cwxhk?e=2Aac6F" TargetMode="External"/><Relationship Id="rId77" Type="http://schemas.openxmlformats.org/officeDocument/2006/relationships/hyperlink" Target="https://bearzt-my.sharepoint.com/:b:/g/personal/sarellano_no-mii_com/ESmPejWivIFKrtY4ahGAm8cBlhzLSXEP21IW8T0lssbkCg?e=SdW0Zj" TargetMode="External"/><Relationship Id="rId282" Type="http://schemas.openxmlformats.org/officeDocument/2006/relationships/hyperlink" Target="https://bearzt-my.sharepoint.com/:b:/g/personal/sarellano_no-mii_com/ETBTyQD7QiBEpiJiCEP8-rEBNeyJ-16aykfSIPZMfXC40Q?e=IXvTja" TargetMode="External"/><Relationship Id="rId503" Type="http://schemas.openxmlformats.org/officeDocument/2006/relationships/hyperlink" Target="https://bearzt-my.sharepoint.com/:b:/g/personal/sarellano_no-mii_com/EUF2K9Oso7JMnILNPmJg9IcBAwUjkbChHMXe1TdfpHekGQ?e=lSIDKq" TargetMode="External"/><Relationship Id="rId587" Type="http://schemas.openxmlformats.org/officeDocument/2006/relationships/hyperlink" Target="https://bearzt-my.sharepoint.com/:b:/g/personal/sarellano_no-mii_com/ER8igaE8xVZBnIRSWfkeCL4B66z4J391mgZqF-zPKt6Kcw?e=Lv7Duh" TargetMode="External"/><Relationship Id="rId710" Type="http://schemas.openxmlformats.org/officeDocument/2006/relationships/hyperlink" Target="https://bearzt-my.sharepoint.com/:b:/g/personal/sarellano_no-mii_com/EUJjeyw3VtRDhi9Weivx1e0B7l6V8rm__VGa00E56aNhZA?e=g4e2gp" TargetMode="External"/><Relationship Id="rId808" Type="http://schemas.openxmlformats.org/officeDocument/2006/relationships/hyperlink" Target="https://bearzt-my.sharepoint.com/:b:/g/personal/sarellano_no-mii_com/IQBHHGfDda7GSJcxCb9YbJ9UAbUIkiDI9CRs_0zXRxeB3l8?e=RgXMA6" TargetMode="External"/><Relationship Id="rId8" Type="http://schemas.openxmlformats.org/officeDocument/2006/relationships/hyperlink" Target="https://bearzt-my.sharepoint.com/:b:/g/personal/sarellano_no-mii_com/EbguYbsBXPBGtpF65vf7QegBDWu4v9gUDT-0UwBB_Jj1ZA?e=CeaGXb" TargetMode="External"/><Relationship Id="rId142" Type="http://schemas.openxmlformats.org/officeDocument/2006/relationships/hyperlink" Target="https://bearzt-my.sharepoint.com/:b:/g/personal/sarellano_no-mii_com/Ef2yFgI-lPhEot-CLoJTMpYBQzyx4wJPr6MFsnhmC86reQ?e=8bshyl" TargetMode="External"/><Relationship Id="rId447" Type="http://schemas.openxmlformats.org/officeDocument/2006/relationships/hyperlink" Target="https://bearzt-my.sharepoint.com/:b:/g/personal/sarellano_no-mii_com/EbuWMT5_b4xAiuxu7T2LSlUB4BIK7ENbURDUftMtmeICSQ?e=GjAWLb" TargetMode="External"/><Relationship Id="rId794" Type="http://schemas.openxmlformats.org/officeDocument/2006/relationships/hyperlink" Target="https://bearzt-my.sharepoint.com/:b:/g/personal/sarellano_no-mii_com/IQCIJhVheljESbJVNTOqowu2AbCetTsXF2SOI-uxOCiSn2w?e=jyvhyh" TargetMode="External"/><Relationship Id="rId1077" Type="http://schemas.openxmlformats.org/officeDocument/2006/relationships/hyperlink" Target="https://bearzt-my.sharepoint.com/:b:/g/personal/sarellano_no-mii_com/IQAh2rp2eox9SZLBLleGHwQdAeIvmJHRb069aWb3eAtz4ik?e=vziuh0" TargetMode="External"/><Relationship Id="rId1200" Type="http://schemas.openxmlformats.org/officeDocument/2006/relationships/hyperlink" Target="https://bearzt-my.sharepoint.com/:b:/g/personal/sarellano_no-mii_com/IQC80ZoMmfVeRocpcEBUYJkcAUujFfvH7vDAonolcQn02A8?e=hhqiAY" TargetMode="External"/><Relationship Id="rId654" Type="http://schemas.openxmlformats.org/officeDocument/2006/relationships/hyperlink" Target="https://bearzt-my.sharepoint.com/:b:/g/personal/sarellano_no-mii_com/EaItcNtj4glErnUUzNSmjkMBupoFJn5rgUuyOCaXmTatKw?e=1T9aTa" TargetMode="External"/><Relationship Id="rId861" Type="http://schemas.openxmlformats.org/officeDocument/2006/relationships/hyperlink" Target="https://bearzt-my.sharepoint.com/:b:/g/personal/sarellano_no-mii_com/IQA1IabQAckKT7PUnBeyrpeFAe1753W0ehefe1G8ha59JI4?e=vimFjF" TargetMode="External"/><Relationship Id="rId959" Type="http://schemas.openxmlformats.org/officeDocument/2006/relationships/hyperlink" Target="https://bearzt-my.sharepoint.com/:b:/g/personal/sarellano_no-mii_com/IQCFTke_6IMdR5FcttiF4d7xAfct9bpgytUlONbwmMvtyC0?e=rgqXxs" TargetMode="External"/><Relationship Id="rId293" Type="http://schemas.openxmlformats.org/officeDocument/2006/relationships/hyperlink" Target="https://bearzt-my.sharepoint.com/:b:/g/personal/sarellano_no-mii_com/ESJiPsl1JXNDrpc3XrhnslkBWEgCWoxdFGkPlgPCyYQpLg?e=6UhCn2" TargetMode="External"/><Relationship Id="rId307" Type="http://schemas.openxmlformats.org/officeDocument/2006/relationships/hyperlink" Target="https://bearzt-my.sharepoint.com/:b:/g/personal/sarellano_no-mii_com/EfK2f6SWBE5MkpKIdRNke9UBXQb1sW4YDZ6C68m7wNtCiw?e=2xOT7d" TargetMode="External"/><Relationship Id="rId514" Type="http://schemas.openxmlformats.org/officeDocument/2006/relationships/hyperlink" Target="https://bearzt-my.sharepoint.com/:b:/g/personal/sarellano_no-mii_com/ES2BhRsEexhFjLRWbRHj-CwB33JK6E8mJ4wq4UOy4M0_Ow?e=b4GZVX" TargetMode="External"/><Relationship Id="rId721" Type="http://schemas.openxmlformats.org/officeDocument/2006/relationships/hyperlink" Target="https://bearzt-my.sharepoint.com/:b:/g/personal/sarellano_no-mii_com/EaIqFMnQBspMrv_pvvBhqBsBMNxEvWYHWztX8Mmba0JPYQ?e=uZnTn4" TargetMode="External"/><Relationship Id="rId1144" Type="http://schemas.openxmlformats.org/officeDocument/2006/relationships/hyperlink" Target="https://bearzt-my.sharepoint.com/:b:/g/personal/sarellano_no-mii_com/IQBHu9Q6GBTUQa8ycqSeuTSgAYkjIs4qbqDN7SaONr_a-LE?e=DzgWob" TargetMode="External"/><Relationship Id="rId88" Type="http://schemas.openxmlformats.org/officeDocument/2006/relationships/hyperlink" Target="https://bearzt-my.sharepoint.com/:b:/g/personal/sarellano_no-mii_com/EU7aaQCi3JhPtXhhGtTgqFsBoe_VOFVc0gvDnF0P1BCr2w?e=OX3Ql3" TargetMode="External"/><Relationship Id="rId153" Type="http://schemas.openxmlformats.org/officeDocument/2006/relationships/hyperlink" Target="https://bearzt-my.sharepoint.com/:b:/g/personal/sarellano_no-mii_com/EW5bNwqBww1NqTT91tOjEggB5kjpAew296Y0Gi0ok7i4bQ?e=OHompe" TargetMode="External"/><Relationship Id="rId360" Type="http://schemas.openxmlformats.org/officeDocument/2006/relationships/hyperlink" Target="https://bearzt-my.sharepoint.com/:b:/g/personal/sarellano_no-mii_com/EXtz1CPFaTZJlqbpsaDg6MQBnnMf4VkOZGSMAzsDdZiMzg?e=JduN2n" TargetMode="External"/><Relationship Id="rId598" Type="http://schemas.openxmlformats.org/officeDocument/2006/relationships/hyperlink" Target="https://bearzt-my.sharepoint.com/:b:/g/personal/sarellano_no-mii_com/ESak78Vt8WREhPSQhj1SbF8B0OMzQB3j37k7alfZsjUr2g?e=fxu4xf" TargetMode="External"/><Relationship Id="rId819" Type="http://schemas.openxmlformats.org/officeDocument/2006/relationships/hyperlink" Target="https://bearzt-my.sharepoint.com/:b:/g/personal/sarellano_no-mii_com/IQDmpAOIEr0TS5BDrYGnsfo9AfqrBo2nFlpw0d1yuHDgWjo?e=OlXLFH" TargetMode="External"/><Relationship Id="rId1004" Type="http://schemas.openxmlformats.org/officeDocument/2006/relationships/hyperlink" Target="https://bearzt-my.sharepoint.com/:b:/g/personal/sarellano_no-mii_com/IQD5f5NEQqurTLSX0l6E8NzeAUDv_fprZz38Tfmh0xlE7-I?e=aXj115" TargetMode="External"/><Relationship Id="rId1211" Type="http://schemas.openxmlformats.org/officeDocument/2006/relationships/hyperlink" Target="https://bearzt-my.sharepoint.com/:b:/g/personal/sarellano_no-mii_com/IQDm-56lZAU3QYP_pgX6PrHoAZyYi6X2oyIABcCxwLfUJdo?e=mGFE00" TargetMode="External"/><Relationship Id="rId220" Type="http://schemas.openxmlformats.org/officeDocument/2006/relationships/hyperlink" Target="https://bearzt-my.sharepoint.com/:b:/g/personal/sarellano_no-mii_com/EVmv9Vyf-hdBnrODHl6M2ekBr6h1GrVvpO4Gl9fDOMn3yA?e=aXi3iA" TargetMode="External"/><Relationship Id="rId458" Type="http://schemas.openxmlformats.org/officeDocument/2006/relationships/hyperlink" Target="https://bearzt-my.sharepoint.com/:b:/g/personal/sarellano_no-mii_com/EQS3k1o4aRxFqWzrweR3RUMB-_-tkdzJsrKQ-B711a5leA?e=Buw5El" TargetMode="External"/><Relationship Id="rId665" Type="http://schemas.openxmlformats.org/officeDocument/2006/relationships/hyperlink" Target="https://bearzt-my.sharepoint.com/:b:/g/personal/sarellano_no-mii_com/ERBRzWtw3c9DubSrM9dq5u0BUHGNe3QPzwNcdOGu0o8vpg?e=dLwrCi" TargetMode="External"/><Relationship Id="rId872" Type="http://schemas.openxmlformats.org/officeDocument/2006/relationships/hyperlink" Target="https://bearzt-my.sharepoint.com/:b:/g/personal/sarellano_no-mii_com/IQCb3yDyuOxvSbRY-A7ooWoaAXqcQSk8P5wiUczF4btcjgA?e=LLqqUq" TargetMode="External"/><Relationship Id="rId1088" Type="http://schemas.openxmlformats.org/officeDocument/2006/relationships/hyperlink" Target="https://bearzt-my.sharepoint.com/:b:/g/personal/sarellano_no-mii_com/IQAGvtR3qeYqSpjbLPXSPg4iAa7UuAhpUXo3rLYGKg1GPNw?e=v6KdEZ" TargetMode="External"/><Relationship Id="rId15" Type="http://schemas.openxmlformats.org/officeDocument/2006/relationships/hyperlink" Target="https://bearzt-my.sharepoint.com/:b:/g/personal/sarellano_no-mii_com/EfNXGkEMnFBBolgHxlExc1IBan7NsovuFAkQIbdfRc7tNQ?e=2cv8ST" TargetMode="External"/><Relationship Id="rId318" Type="http://schemas.openxmlformats.org/officeDocument/2006/relationships/hyperlink" Target="https://bearzt-my.sharepoint.com/:b:/g/personal/sarellano_no-mii_com/EcExH5K5UJ1NgqAnztrA-EoBJhrWhqsxaRRltLY9pm1eyw?e=hIHB9V" TargetMode="External"/><Relationship Id="rId525" Type="http://schemas.openxmlformats.org/officeDocument/2006/relationships/hyperlink" Target="https://bearzt-my.sharepoint.com/:b:/g/personal/sarellano_no-mii_com/Efd7PWAhYlpCqKyFjO8DGt4BkABUsIp2txXL_jHEEro3dQ?e=21du30" TargetMode="External"/><Relationship Id="rId732" Type="http://schemas.openxmlformats.org/officeDocument/2006/relationships/hyperlink" Target="https://bearzt-my.sharepoint.com/:b:/g/personal/sarellano_no-mii_com/ETBD-ePb7oNDnyoQF942tNoBt37YYQoPxqYbeDbgUmswfg?e=QuGU4o" TargetMode="External"/><Relationship Id="rId1155" Type="http://schemas.openxmlformats.org/officeDocument/2006/relationships/hyperlink" Target="https://bearzt-my.sharepoint.com/:b:/g/personal/sarellano_no-mii_com/IQAOE39LozuzTomikGx_hNTHATUo0SUc7mqxwFUGCN2ljBo?e=PuSEY4" TargetMode="External"/><Relationship Id="rId99" Type="http://schemas.openxmlformats.org/officeDocument/2006/relationships/hyperlink" Target="https://bearzt-my.sharepoint.com/:b:/g/personal/sarellano_no-mii_com/EWGacC_bxs9MmL9T0IwlPegBz_5dEDaSYgs_-AdrXJ9Cjw?e=F3GQJN" TargetMode="External"/><Relationship Id="rId164" Type="http://schemas.openxmlformats.org/officeDocument/2006/relationships/hyperlink" Target="https://bearzt-my.sharepoint.com/:b:/g/personal/sarellano_no-mii_com/EQ46SKhi6o9BhkzjuQrraXMBZWzPal--SWTXaPa6009Jfw?e=nbRFfB" TargetMode="External"/><Relationship Id="rId371" Type="http://schemas.openxmlformats.org/officeDocument/2006/relationships/hyperlink" Target="https://bearzt-my.sharepoint.com/:b:/g/personal/sarellano_no-mii_com/EesD5wUwb05BpblYtQghvTMBx06CYETOAdSfoOsS1PDSlQ?e=M1FeF7" TargetMode="External"/><Relationship Id="rId1015" Type="http://schemas.openxmlformats.org/officeDocument/2006/relationships/hyperlink" Target="https://bearzt-my.sharepoint.com/:b:/g/personal/sarellano_no-mii_com/IQCVwruf8KpBTox6QszIPlq7AZGIKZ5lves-muk-LFlSjI0?e=jqAg9t" TargetMode="External"/><Relationship Id="rId1222" Type="http://schemas.openxmlformats.org/officeDocument/2006/relationships/hyperlink" Target="https://bearzt-my.sharepoint.com/:b:/g/personal/sarellano_no-mii_com/IQD8m-jcuUHSR6OOfkM7PZY8AT5KINstmuowSRQJeqBrTtE?e=BpzExb" TargetMode="External"/><Relationship Id="rId469" Type="http://schemas.openxmlformats.org/officeDocument/2006/relationships/hyperlink" Target="https://bearzt-my.sharepoint.com/:b:/g/personal/sarellano_no-mii_com/EapOwye4B89Lkx45aWYBOeABrBaGoR1ExNcLBjxpQbKZNA?e=4Mux9k" TargetMode="External"/><Relationship Id="rId676" Type="http://schemas.openxmlformats.org/officeDocument/2006/relationships/hyperlink" Target="https://bearzt-my.sharepoint.com/:b:/g/personal/sarellano_no-mii_com/Ef5rO_tCdWtFnTfJujcKUxMB2ywnGX1gld306MhG95x1cg?e=3Yilgu" TargetMode="External"/><Relationship Id="rId883" Type="http://schemas.openxmlformats.org/officeDocument/2006/relationships/hyperlink" Target="https://bearzt-my.sharepoint.com/:b:/g/personal/sarellano_no-mii_com/IQDox5eU__zcSoLe9upCJENjAU3XiUg-4imgEpOKdHhy5Jw?e=yUU5I3" TargetMode="External"/><Relationship Id="rId1099" Type="http://schemas.openxmlformats.org/officeDocument/2006/relationships/hyperlink" Target="https://bearzt-my.sharepoint.com/:b:/g/personal/sarellano_no-mii_com/IQC8DCdGGhi3RaqnCYXtbB1QAXnp5pzh84tfK0KUSyZm7N0?e=3zSkrv" TargetMode="External"/><Relationship Id="rId26" Type="http://schemas.openxmlformats.org/officeDocument/2006/relationships/hyperlink" Target="https://bearzt-my.sharepoint.com/:b:/g/personal/sarellano_no-mii_com/EZyadozlcg5OrgNHoH70fw8B26iTRh-vKCArrmWkREIv9A?e=FFVVHM" TargetMode="External"/><Relationship Id="rId231" Type="http://schemas.openxmlformats.org/officeDocument/2006/relationships/hyperlink" Target="https://bearzt-my.sharepoint.com/:b:/g/personal/sarellano_no-mii_com/EUjpZT8v5GBEmjHwYBVI0Y8Betv9CH3g8fIbXKBqK3jUpg?e=gjfOKm" TargetMode="External"/><Relationship Id="rId329" Type="http://schemas.openxmlformats.org/officeDocument/2006/relationships/hyperlink" Target="https://bearzt-my.sharepoint.com/:b:/g/personal/sarellano_no-mii_com/EXjXuSqytAxDiK1RSPno1jIBYYtMf1lq4pFfJRrIZZTUVw?e=t1jSnc" TargetMode="External"/><Relationship Id="rId536" Type="http://schemas.openxmlformats.org/officeDocument/2006/relationships/hyperlink" Target="https://bearzt-my.sharepoint.com/:b:/g/personal/sarellano_no-mii_com/ESo3rM4gIgdAiXibKCJyVlwBtyWyfhKqNu8fsa3HOcSuhA?e=lLmCAc" TargetMode="External"/><Relationship Id="rId1166" Type="http://schemas.openxmlformats.org/officeDocument/2006/relationships/hyperlink" Target="https://bearzt-my.sharepoint.com/:b:/g/personal/sarellano_no-mii_com/IQBsCyuD6giySY_bnLpeD3i3ASCj66Vorbxedc4aB5fFqYE?e=QvrcbQ" TargetMode="External"/><Relationship Id="rId175" Type="http://schemas.openxmlformats.org/officeDocument/2006/relationships/hyperlink" Target="https://bearzt-my.sharepoint.com/:b:/g/personal/sarellano_no-mii_com/EbMxcyfp4LNAi9Gh_f32sp4BdpXpDmwNA1GWlH_wqL76gg?e=VP252a" TargetMode="External"/><Relationship Id="rId743" Type="http://schemas.openxmlformats.org/officeDocument/2006/relationships/hyperlink" Target="https://bearzt-my.sharepoint.com/:b:/g/personal/sarellano_no-mii_com/IQCMDGP_ZdDvQp9Rxlu1nLA2ARnykBfwu0Whvc0QcRNRgcY?e=LQRYfM" TargetMode="External"/><Relationship Id="rId950" Type="http://schemas.openxmlformats.org/officeDocument/2006/relationships/hyperlink" Target="https://bearzt-my.sharepoint.com/:b:/g/personal/sarellano_no-mii_com/IQAIHRA9yXDHSLpN2lHQeenXAUkc5eSNEqynontK2Rcoack?e=HBiGDo" TargetMode="External"/><Relationship Id="rId1026" Type="http://schemas.openxmlformats.org/officeDocument/2006/relationships/hyperlink" Target="https://bearzt-my.sharepoint.com/:b:/g/personal/sarellano_no-mii_com/IQAAnpSBQ--DRLfwF0I9TuMNAcjRV-mJAKEewDklsDw0wvQ?e=jIYXj1" TargetMode="External"/><Relationship Id="rId382" Type="http://schemas.openxmlformats.org/officeDocument/2006/relationships/hyperlink" Target="https://bearzt-my.sharepoint.com/:b:/g/personal/sarellano_no-mii_com/EUjEGlEmCllMi2tEuXSffnwBsoc9ZfERPzYKGpV8NxpgZg?e=sBEr3N" TargetMode="External"/><Relationship Id="rId603" Type="http://schemas.openxmlformats.org/officeDocument/2006/relationships/hyperlink" Target="https://bearzt-my.sharepoint.com/:b:/g/personal/sarellano_no-mii_com/EWvC_IvyDZNLmYfqNwKEH4IBieGcN6x2Mm5h2NjLoVBEcA?e=inMme8" TargetMode="External"/><Relationship Id="rId687" Type="http://schemas.openxmlformats.org/officeDocument/2006/relationships/hyperlink" Target="https://bearzt-my.sharepoint.com/:b:/g/personal/sarellano_no-mii_com/EVcksfyiaCdDmY4ZqmeedvUBVwdw0C8BzH1iLM2eOSOazw?e=DUvRVB" TargetMode="External"/><Relationship Id="rId810" Type="http://schemas.openxmlformats.org/officeDocument/2006/relationships/hyperlink" Target="https://bearzt-my.sharepoint.com/:b:/g/personal/sarellano_no-mii_com/IQCimsAYhWulR707qttbOxfdAeLXJhqbBxqdAzyyUN5wD84?e=Z3wom1" TargetMode="External"/><Relationship Id="rId908" Type="http://schemas.openxmlformats.org/officeDocument/2006/relationships/hyperlink" Target="https://bearzt-my.sharepoint.com/:b:/g/personal/sarellano_no-mii_com/IQCB5PzP3O6VSq83EHION7SyAdLY6UTJ71xY3HWyKbh1FGE?e=8i6FIU" TargetMode="External"/><Relationship Id="rId1233" Type="http://schemas.openxmlformats.org/officeDocument/2006/relationships/hyperlink" Target="https://bearzt-my.sharepoint.com/:b:/g/personal/sarellano_no-mii_com/IQDXcMk-5kijS4uQGUMuJBpVAdVIW910L3oIP9YOzCVlYO4?e=xwhSu2" TargetMode="External"/><Relationship Id="rId242" Type="http://schemas.openxmlformats.org/officeDocument/2006/relationships/hyperlink" Target="https://bearzt-my.sharepoint.com/:b:/g/personal/sarellano_no-mii_com/EYDOjEqkHahAk43bXkP2CfoBZlrD1kFz_TfCvG55rUWwDA?e=1FGXIZ" TargetMode="External"/><Relationship Id="rId894" Type="http://schemas.openxmlformats.org/officeDocument/2006/relationships/hyperlink" Target="https://bearzt-my.sharepoint.com/:b:/g/personal/sarellano_no-mii_com/IQBSnBISSm3_Q7Y9JQ_U1DsvAd1SpMcymLMYeEOVwSyHP2o?e=JWqEld" TargetMode="External"/><Relationship Id="rId1177" Type="http://schemas.openxmlformats.org/officeDocument/2006/relationships/hyperlink" Target="https://bearzt-my.sharepoint.com/:b:/g/personal/sarellano_no-mii_com/IQAl5Ql6WZH4TYY3LTzxmfiwAbt5T8jckJ2NWgujZraDVMo?e=5DITlR" TargetMode="External"/><Relationship Id="rId37" Type="http://schemas.openxmlformats.org/officeDocument/2006/relationships/hyperlink" Target="https://bearzt-my.sharepoint.com/:b:/g/personal/sarellano_no-mii_com/EaonStvkjadEiv2ZpYryZKkBT7hnsFle4p30jP3ToluinQ?e=P6Jvvv" TargetMode="External"/><Relationship Id="rId102" Type="http://schemas.openxmlformats.org/officeDocument/2006/relationships/hyperlink" Target="https://bearzt-my.sharepoint.com/:b:/g/personal/sarellano_no-mii_com/EYUO8fD_KL9GrEsKdGKwlEgBoVkgKTR8nDbKS5x2QLJCvQ?e=vVTHBW" TargetMode="External"/><Relationship Id="rId547" Type="http://schemas.openxmlformats.org/officeDocument/2006/relationships/hyperlink" Target="https://bearzt-my.sharepoint.com/:b:/g/personal/sarellano_no-mii_com/EWwgqmkeAdNAszm_BU2649QBpeQZeo_DVM6iyUg2B3K5cw?e=8bcX7O" TargetMode="External"/><Relationship Id="rId754" Type="http://schemas.openxmlformats.org/officeDocument/2006/relationships/hyperlink" Target="https://bearzt-my.sharepoint.com/:b:/g/personal/sarellano_no-mii_com/IQD2BO6z08pqTpl7tU21EJ8mATfuxIF3lVV2rO3BB8V3eCk?e=CyeWt4" TargetMode="External"/><Relationship Id="rId961" Type="http://schemas.openxmlformats.org/officeDocument/2006/relationships/hyperlink" Target="https://bearzt-my.sharepoint.com/:b:/g/personal/sarellano_no-mii_com/IQD3Wgl7DBX5Qo8_LGHpTQJaAeqTl8O__7hjMY2otQ66ywc?e=XXFX6N" TargetMode="External"/><Relationship Id="rId90" Type="http://schemas.openxmlformats.org/officeDocument/2006/relationships/hyperlink" Target="https://bearzt-my.sharepoint.com/:b:/g/personal/sarellano_no-mii_com/ERdRxt9Y3j9PmedKPn05uI0BwFF-9tnotNoHnjqk5_HR2A?e=PhJkzv" TargetMode="External"/><Relationship Id="rId186" Type="http://schemas.openxmlformats.org/officeDocument/2006/relationships/hyperlink" Target="https://bearzt-my.sharepoint.com/:b:/g/personal/sarellano_no-mii_com/EctAXECFf0tHm3v6xOvhiTABwt48YkvC_L1h8Kgtca4Mew?e=99uzBz" TargetMode="External"/><Relationship Id="rId393" Type="http://schemas.openxmlformats.org/officeDocument/2006/relationships/hyperlink" Target="https://bearzt-my.sharepoint.com/:b:/g/personal/sarellano_no-mii_com/EdBrSXFNuEhCphS8b9CW1XkBJfQLsi0e_6MlSIWi2ICNxA?e=KIjv4F" TargetMode="External"/><Relationship Id="rId407" Type="http://schemas.openxmlformats.org/officeDocument/2006/relationships/hyperlink" Target="https://bearzt-my.sharepoint.com/:b:/g/personal/sarellano_no-mii_com/ERN55a89cO1PuZ83l6_vdqwB88MAOiLV17lwtBPbqKMyow?e=Nt9Jhp" TargetMode="External"/><Relationship Id="rId614" Type="http://schemas.openxmlformats.org/officeDocument/2006/relationships/hyperlink" Target="https://bearzt-my.sharepoint.com/:b:/g/personal/sarellano_no-mii_com/EdbWT2XqHsZHtTgnPeq0CPMBZ6Yy4fmCdLOMDNtJIKAqKA?e=DsbS6k" TargetMode="External"/><Relationship Id="rId821" Type="http://schemas.openxmlformats.org/officeDocument/2006/relationships/hyperlink" Target="https://bearzt-my.sharepoint.com/:b:/g/personal/sarellano_no-mii_com/IQCHK1JjviYETYKu7gJ9IunlASnbgSoffrXtP7kGXImX624?e=c9bpse" TargetMode="External"/><Relationship Id="rId1037" Type="http://schemas.openxmlformats.org/officeDocument/2006/relationships/hyperlink" Target="https://bearzt-my.sharepoint.com/:b:/g/personal/sarellano_no-mii_com/IQDqJRui85tcSpXFy2Fil_XHAW-Ggh7qy_axfUvQob7lX-k?e=PfbXBG" TargetMode="External"/><Relationship Id="rId253" Type="http://schemas.openxmlformats.org/officeDocument/2006/relationships/hyperlink" Target="https://bearzt-my.sharepoint.com/:b:/g/personal/sarellano_no-mii_com/Ecw0rtH0igNJg_nLm46yEi8BvpWIFoHIj8Kfkb4i8PvouA?e=3U6kdW" TargetMode="External"/><Relationship Id="rId460" Type="http://schemas.openxmlformats.org/officeDocument/2006/relationships/hyperlink" Target="https://bearzt-my.sharepoint.com/:b:/g/personal/sarellano_no-mii_com/ES_F6RhpmHpGuViLL38jicsBTwAQqUESyl29LWQNrZYjZg?e=EQkdpZ" TargetMode="External"/><Relationship Id="rId698" Type="http://schemas.openxmlformats.org/officeDocument/2006/relationships/hyperlink" Target="https://bearzt-my.sharepoint.com/:b:/g/personal/sarellano_no-mii_com/EXuxsrPx0zFCoQ2y4aHU7igBKEMiyIzeVJWdIzUEVU28ig?e=yWNcIm" TargetMode="External"/><Relationship Id="rId919" Type="http://schemas.openxmlformats.org/officeDocument/2006/relationships/hyperlink" Target="https://bearzt-my.sharepoint.com/:b:/g/personal/sarellano_no-mii_com/IQBxUUwvJ6NLT4eef2ra_P2uAVKpYDu8HAJ9qVwb9Bcc4Ug?e=NpbNOI" TargetMode="External"/><Relationship Id="rId1090" Type="http://schemas.openxmlformats.org/officeDocument/2006/relationships/hyperlink" Target="https://bearzt-my.sharepoint.com/:b:/g/personal/sarellano_no-mii_com/IQD00-qQlGlpRoVRa_SIK0uUAV18brEFtgRyoRRWUX5Jt-I?e=fo7Y6U" TargetMode="External"/><Relationship Id="rId1104" Type="http://schemas.openxmlformats.org/officeDocument/2006/relationships/hyperlink" Target="https://bearzt-my.sharepoint.com/:b:/g/personal/sarellano_no-mii_com/IQD6GeKYPmyXTLX-9Bu76iSCAajc5M1Z2y4qPlj1kfp3cTk?e=Ud4AIU" TargetMode="External"/><Relationship Id="rId48" Type="http://schemas.openxmlformats.org/officeDocument/2006/relationships/hyperlink" Target="https://bearzt-my.sharepoint.com/:b:/g/personal/sarellano_no-mii_com/EZH5_ZdVCxFCu0ekb8ytChQBb3hFujyEQfHlydt4id5yug?e=FHZrfC" TargetMode="External"/><Relationship Id="rId113" Type="http://schemas.openxmlformats.org/officeDocument/2006/relationships/hyperlink" Target="https://bearzt-my.sharepoint.com/:b:/g/personal/sarellano_no-mii_com/EXOdobrM_sxBlG4roEAnfJsBk_eYy07HJZ-EQpybAGhpiw?e=LzneLR" TargetMode="External"/><Relationship Id="rId320" Type="http://schemas.openxmlformats.org/officeDocument/2006/relationships/hyperlink" Target="https://bearzt-my.sharepoint.com/:b:/g/personal/sarellano_no-mii_com/EWaYmHoCIcpOg5-mBzO_XZYBQJdFdHTDEwg4EW4_N4dk9w?e=q6xIA5" TargetMode="External"/><Relationship Id="rId558" Type="http://schemas.openxmlformats.org/officeDocument/2006/relationships/hyperlink" Target="https://bearzt-my.sharepoint.com/:b:/g/personal/sarellano_no-mii_com/EdBC_bV7ScNKglQtlBGWqQYBkVTTDe9NeD5kCwqWKOrluw?e=QhBhas" TargetMode="External"/><Relationship Id="rId765" Type="http://schemas.openxmlformats.org/officeDocument/2006/relationships/hyperlink" Target="https://bearzt-my.sharepoint.com/:b:/g/personal/sarellano_no-mii_com/IQD07r47k678Sbyu0JdAUjfNAUVVTCYWNdOjPHHgHi_-HZc?e=ECZqsE" TargetMode="External"/><Relationship Id="rId972" Type="http://schemas.openxmlformats.org/officeDocument/2006/relationships/hyperlink" Target="https://bearzt-my.sharepoint.com/:b:/g/personal/sarellano_no-mii_com/IQDEGB4aX4fFR7ifAKJJ5JsoARaUxUHBzORIlnKcMqfQTBo?e=Zlm3pq" TargetMode="External"/><Relationship Id="rId1188" Type="http://schemas.openxmlformats.org/officeDocument/2006/relationships/hyperlink" Target="https://bearzt-my.sharepoint.com/:b:/g/personal/sarellano_no-mii_com/IQAHAPNFCqJpRY_sOr-2mIPmAXzv8QhTbM33VocXznAwNRs?e=LT7D78" TargetMode="External"/><Relationship Id="rId197" Type="http://schemas.openxmlformats.org/officeDocument/2006/relationships/hyperlink" Target="https://bearzt-my.sharepoint.com/:b:/g/personal/sarellano_no-mii_com/EQ8pW8en4xhFp8S7w9ROzykB4n1ITL93PUdp-iHu_Ed3HA?e=eut1IN" TargetMode="External"/><Relationship Id="rId418" Type="http://schemas.openxmlformats.org/officeDocument/2006/relationships/hyperlink" Target="https://bearzt-my.sharepoint.com/:b:/g/personal/sarellano_no-mii_com/ESjtnJnSfjxFnp--dd7DuggBoerDocQrMTD3bnGXwaRBug?e=8hiPEh" TargetMode="External"/><Relationship Id="rId625" Type="http://schemas.openxmlformats.org/officeDocument/2006/relationships/hyperlink" Target="https://bearzt-my.sharepoint.com/:b:/g/personal/sarellano_no-mii_com/EfH1DtmqGL5HghbxqNl55dwBpFoWD80bi2KQ9_cVlw_BCA?e=ONRs1s" TargetMode="External"/><Relationship Id="rId832" Type="http://schemas.openxmlformats.org/officeDocument/2006/relationships/hyperlink" Target="https://bearzt-my.sharepoint.com/:b:/g/personal/sarellano_no-mii_com/IQAmkbt7itsURrFivxGwAnjmAQmcd_W0LsjGv4gEjPIO0-c?e=CLTHeK" TargetMode="External"/><Relationship Id="rId1048" Type="http://schemas.openxmlformats.org/officeDocument/2006/relationships/hyperlink" Target="https://bearzt-my.sharepoint.com/:b:/g/personal/sarellano_no-mii_com/IQAcnl7Y1PHsRq1xBo734jSOATTa_Dkc3ta02sUAmvj4BAM?e=GNRWvg" TargetMode="External"/><Relationship Id="rId264" Type="http://schemas.openxmlformats.org/officeDocument/2006/relationships/hyperlink" Target="https://bearzt-my.sharepoint.com/:b:/g/personal/sarellano_no-mii_com/EWBrqOpF6jNNmK5JYbDY8HIBC7Zq0zf6AodoiH0feJQFvg?e=Yf3yeF" TargetMode="External"/><Relationship Id="rId471" Type="http://schemas.openxmlformats.org/officeDocument/2006/relationships/hyperlink" Target="https://bearzt-my.sharepoint.com/:b:/g/personal/sarellano_no-mii_com/EQuev4ZjxQVKoGJUMYhWhFsBo32RDi_eBjTQXV4UnizVFA?e=FlU1T3" TargetMode="External"/><Relationship Id="rId1115" Type="http://schemas.openxmlformats.org/officeDocument/2006/relationships/hyperlink" Target="https://bearzt-my.sharepoint.com/:i:/g/personal/sarellano_no-mii_com/IQBmHmz_idhURKlfcwEpKBEFAQmRyBRt49PtxcDeibzNv0k?e=8eEmcK" TargetMode="External"/><Relationship Id="rId59" Type="http://schemas.openxmlformats.org/officeDocument/2006/relationships/hyperlink" Target="https://bearzt-my.sharepoint.com/:b:/g/personal/sarellano_no-mii_com/EcoLTSH0GpNOgcVv3Qlb2iQBSxVV-7kCNJzOlG2hlITsrQ?e=pbhbvX" TargetMode="External"/><Relationship Id="rId124" Type="http://schemas.openxmlformats.org/officeDocument/2006/relationships/hyperlink" Target="https://bearzt-my.sharepoint.com/:b:/g/personal/sarellano_no-mii_com/EcY9J6ts3mFIsO-EhlWP9YEBVNsvlGYPFvyqSxASLs3otw?e=qS8jet" TargetMode="External"/><Relationship Id="rId569" Type="http://schemas.openxmlformats.org/officeDocument/2006/relationships/hyperlink" Target="https://bearzt-my.sharepoint.com/:b:/g/personal/sarellano_no-mii_com/Ea4v_DVi36tAtDH8dMqUHP0B6GEcnoKQJjtBC9TfnM4qvw?e=fvOG1l" TargetMode="External"/><Relationship Id="rId776" Type="http://schemas.openxmlformats.org/officeDocument/2006/relationships/hyperlink" Target="https://bearzt-my.sharepoint.com/:b:/g/personal/sarellano_no-mii_com/IQCS_rBSroNyS6brODUzYIthAfic2JJfPFTdj_we8jEo72k?e=JyCDLV" TargetMode="External"/><Relationship Id="rId983" Type="http://schemas.openxmlformats.org/officeDocument/2006/relationships/hyperlink" Target="https://bearzt-my.sharepoint.com/:b:/g/personal/sarellano_no-mii_com/IQDPaSt2qJYxS7J66HydRJCjAb3c-pDmKt9bTZSXqiDPEzs?e=E2MPxH" TargetMode="External"/><Relationship Id="rId1199" Type="http://schemas.openxmlformats.org/officeDocument/2006/relationships/hyperlink" Target="https://bearzt-my.sharepoint.com/:i:/g/personal/sarellano_no-mii_com/IQCiq7PUlZgaRomzdTo69kUSAbk4g-ABqrLJVE9WETtKXM0?e=1kJIpb" TargetMode="External"/><Relationship Id="rId331" Type="http://schemas.openxmlformats.org/officeDocument/2006/relationships/hyperlink" Target="https://bearzt-my.sharepoint.com/:b:/g/personal/sarellano_no-mii_com/ETMxfqJsvUJAvT8a0Q9FB30Bd8Y2Cv5vCqTLXGh1QiCsnw?e=1Or9Kr" TargetMode="External"/><Relationship Id="rId429" Type="http://schemas.openxmlformats.org/officeDocument/2006/relationships/hyperlink" Target="https://bearzt-my.sharepoint.com/:b:/g/personal/sarellano_no-mii_com/ESqUAhU3dN1Hhtn3AWcHcvoB9CqA7gOmfhZVB06h_4sMrw?e=aFP7D3" TargetMode="External"/><Relationship Id="rId636" Type="http://schemas.openxmlformats.org/officeDocument/2006/relationships/hyperlink" Target="https://bearzt-my.sharepoint.com/:b:/g/personal/sarellano_no-mii_com/ES74VLbI40RCiSmWaRXNjFsBxWea8znb5pfSV77rWwnOKA?e=pxEY18" TargetMode="External"/><Relationship Id="rId1059" Type="http://schemas.openxmlformats.org/officeDocument/2006/relationships/hyperlink" Target="https://bearzt-my.sharepoint.com/:i:/g/personal/sarellano_no-mii_com/IQDJGkUZcgYhQ6fGlwlraEudATW7tA6HuV4UFGlNO0S2TJg?e=OfTOf0" TargetMode="External"/><Relationship Id="rId843" Type="http://schemas.openxmlformats.org/officeDocument/2006/relationships/hyperlink" Target="https://bearzt-my.sharepoint.com/:b:/g/personal/sarellano_no-mii_com/IQDzdRFgUkaxTaaoKwCn5A0mATNDF5R6WFrVeUYCgDMqRZM?e=lvoafl" TargetMode="External"/><Relationship Id="rId1126" Type="http://schemas.openxmlformats.org/officeDocument/2006/relationships/hyperlink" Target="https://bearzt-my.sharepoint.com/:b:/g/personal/sarellano_no-mii_com/IQAy5iwePf1ZTYotgrOIqnZsAUkoJ1pJ7j_83GS5WsSdkqI?e=eg0vxa" TargetMode="External"/><Relationship Id="rId275" Type="http://schemas.openxmlformats.org/officeDocument/2006/relationships/hyperlink" Target="https://bearzt-my.sharepoint.com/:b:/g/personal/sarellano_no-mii_com/EVhtx0OaUntGnlJgPXQQ7hwBNE-DLIaUb2fGHMyycHFF2A?e=h0d2R0" TargetMode="External"/><Relationship Id="rId482" Type="http://schemas.openxmlformats.org/officeDocument/2006/relationships/hyperlink" Target="https://bearzt-my.sharepoint.com/:b:/g/personal/sarellano_no-mii_com/EbgFizjudOxDt4oxt-Ja7v4BZkEWZ8e3-pO30or7cVG_ow?e=IMH0Rb" TargetMode="External"/><Relationship Id="rId703" Type="http://schemas.openxmlformats.org/officeDocument/2006/relationships/hyperlink" Target="https://bearzt-my.sharepoint.com/:b:/g/personal/sarellano_no-mii_com/EQvBNOBlAiRKk58YWLP1vl0BLzNDRVxgrEa4hlyBpzba7g?e=2zzLC1" TargetMode="External"/><Relationship Id="rId910" Type="http://schemas.openxmlformats.org/officeDocument/2006/relationships/hyperlink" Target="https://bearzt-my.sharepoint.com/:b:/g/personal/sarellano_no-mii_com/IQC-T3qUfKqSTJWV3yjtXVF1AfSZ8mu6zqqNFOrLiEUTUYs?e=fw3BuH" TargetMode="External"/><Relationship Id="rId135" Type="http://schemas.openxmlformats.org/officeDocument/2006/relationships/hyperlink" Target="https://bearzt-my.sharepoint.com/:b:/g/personal/sarellano_no-mii_com/EfjLI68q80tLgqBCzFtAG4EBdppgm8SwW_SnWYc52yD0nw?e=k1Dq5f" TargetMode="External"/><Relationship Id="rId342" Type="http://schemas.openxmlformats.org/officeDocument/2006/relationships/hyperlink" Target="https://bearzt-my.sharepoint.com/:b:/g/personal/sarellano_no-mii_com/Ee5kyGaC_G5Ijuo3hKi8QMsB2B1gDV9B6lyeYepYHcE6-w?e=FK09Fa" TargetMode="External"/><Relationship Id="rId787" Type="http://schemas.openxmlformats.org/officeDocument/2006/relationships/hyperlink" Target="https://bearzt-my.sharepoint.com/:b:/g/personal/sarellano_no-mii_com/IQA4erlG1ZdZSZFbRenPaN75AbJfGfW34euphFLBCraFR3w?e=buCpPO" TargetMode="External"/><Relationship Id="rId994" Type="http://schemas.openxmlformats.org/officeDocument/2006/relationships/hyperlink" Target="https://bearzt-my.sharepoint.com/:b:/g/personal/sarellano_no-mii_com/IQCbk3kWKW5tQpbn2MXQft4oAdMf8JR47o3Tk0yQMxnEoqQ?e=HucQ8o" TargetMode="External"/><Relationship Id="rId202" Type="http://schemas.openxmlformats.org/officeDocument/2006/relationships/hyperlink" Target="https://bearzt-my.sharepoint.com/:b:/g/personal/sarellano_no-mii_com/EblE206bLLdBo7MJmNk4XzMBbu8-ZBb8g_gG4wyht3SPpQ?e=B08a7d" TargetMode="External"/><Relationship Id="rId647" Type="http://schemas.openxmlformats.org/officeDocument/2006/relationships/hyperlink" Target="https://bearzt-my.sharepoint.com/:b:/g/personal/sarellano_no-mii_com/EXzhjJzBX1pEvPnvUUjsfksBcB_cIbOdWng1xtoPkHp9uw?e=30vcDs" TargetMode="External"/><Relationship Id="rId854" Type="http://schemas.openxmlformats.org/officeDocument/2006/relationships/hyperlink" Target="https://bearzt-my.sharepoint.com/:b:/g/personal/sarellano_no-mii_com/IQDbAvanje0cQKTfnSUmhmflAapTs8OLR3ERc73zRk0n21s?e=7HnBKJ" TargetMode="External"/><Relationship Id="rId286" Type="http://schemas.openxmlformats.org/officeDocument/2006/relationships/hyperlink" Target="https://bearzt-my.sharepoint.com/:b:/g/personal/sarellano_no-mii_com/EfL_H41LnMlBgeOBGKnsddUB4ARfS86emMpbywK43IV_Gw?e=d2F1H5" TargetMode="External"/><Relationship Id="rId493" Type="http://schemas.openxmlformats.org/officeDocument/2006/relationships/hyperlink" Target="https://bearzt-my.sharepoint.com/:b:/g/personal/sarellano_no-mii_com/Ed7n4ITlJLNBv8cQQJNPVmEBFoYUd9OZBmVNI5LazOHBgg?e=xdRxMO" TargetMode="External"/><Relationship Id="rId507" Type="http://schemas.openxmlformats.org/officeDocument/2006/relationships/hyperlink" Target="https://bearzt-my.sharepoint.com/:b:/g/personal/sarellano_no-mii_com/EYfquj6xVldHl3qQsDF39ykBJNkbLwzoZ2S5_XXc6ZNi8g?e=2hLBm8" TargetMode="External"/><Relationship Id="rId714" Type="http://schemas.openxmlformats.org/officeDocument/2006/relationships/hyperlink" Target="https://bearzt-my.sharepoint.com/:b:/g/personal/sarellano_no-mii_com/EZ_Y0-oHhX9InzzIkub6AZIB-da_UfM38oC_GyBrP60H6Q?e=TgLvVU" TargetMode="External"/><Relationship Id="rId921" Type="http://schemas.openxmlformats.org/officeDocument/2006/relationships/hyperlink" Target="https://bearzt-my.sharepoint.com/:b:/g/personal/sarellano_no-mii_com/IQCY8jJEgNqaToGOjY-NPjQHAVRA6N3S5kx98EN2LbajfrQ?e=MSGtgI" TargetMode="External"/><Relationship Id="rId1137" Type="http://schemas.openxmlformats.org/officeDocument/2006/relationships/hyperlink" Target="https://bearzt-my.sharepoint.com/:b:/g/personal/sarellano_no-mii_com/IQD4ccEBoOsXRZ3w4BuMT2swAWa3ciHmSXGny8kBAF3pPY8?e=y5RuFf" TargetMode="External"/><Relationship Id="rId50" Type="http://schemas.openxmlformats.org/officeDocument/2006/relationships/hyperlink" Target="https://bearzt-my.sharepoint.com/:b:/g/personal/sarellano_no-mii_com/EehFIJZjFZlEpjphwRoqYIUBTlHzqEow8kgBGekWtecxUA?e=eY9dib" TargetMode="External"/><Relationship Id="rId146" Type="http://schemas.openxmlformats.org/officeDocument/2006/relationships/hyperlink" Target="https://bearzt-my.sharepoint.com/:b:/g/personal/sarellano_no-mii_com/EZZ3X8oOTOBNmWcOXMlw0aIB5rCr38MlhDsoDkfqrfWO5g?e=FWLjnx" TargetMode="External"/><Relationship Id="rId353" Type="http://schemas.openxmlformats.org/officeDocument/2006/relationships/hyperlink" Target="https://bearzt-my.sharepoint.com/:b:/g/personal/sarellano_no-mii_com/EV6DQAjmGtBJvof5Li-ehYUBGNDabb-aVnKlOZMR_2ri0A?e=yQ1e6S" TargetMode="External"/><Relationship Id="rId560" Type="http://schemas.openxmlformats.org/officeDocument/2006/relationships/hyperlink" Target="https://bearzt-my.sharepoint.com/:b:/g/personal/sarellano_no-mii_com/EYs1p85DZxxNsFINiZ15B6wBUXNDDdzpmIGpGfUVWFJ0Dw?e=TWHycm" TargetMode="External"/><Relationship Id="rId798" Type="http://schemas.openxmlformats.org/officeDocument/2006/relationships/hyperlink" Target="https://bearzt-my.sharepoint.com/:b:/g/personal/sarellano_no-mii_com/IQCBkzMdbM6pTbxCAqc_IbO8ATw9nODJP04FYQX2Q8DSnMs?e=ux1Mn2" TargetMode="External"/><Relationship Id="rId1190" Type="http://schemas.openxmlformats.org/officeDocument/2006/relationships/hyperlink" Target="https://bearzt-my.sharepoint.com/:b:/g/personal/sarellano_no-mii_com/IQArqV7DxJvVQZ1mKfXgQP0ZAT4LIq8rc_72VSfGuCAKr94?e=21D2Ex" TargetMode="External"/><Relationship Id="rId1204" Type="http://schemas.openxmlformats.org/officeDocument/2006/relationships/hyperlink" Target="https://bearzt-my.sharepoint.com/:i:/g/personal/sarellano_no-mii_com/IQCTqplNoN1HRr16gZfMkuDHAWZeL4YH3TPpj45JM9sw6o8?e=hpLBao" TargetMode="External"/><Relationship Id="rId213" Type="http://schemas.openxmlformats.org/officeDocument/2006/relationships/hyperlink" Target="https://bearzt-my.sharepoint.com/:b:/g/personal/sarellano_no-mii_com/Ee-GCwyTbzhKpf4rzfAnLvUBFh7esDdfaVzEEbeT2t8tQw?e=sxoxM9" TargetMode="External"/><Relationship Id="rId420" Type="http://schemas.openxmlformats.org/officeDocument/2006/relationships/hyperlink" Target="https://bearzt-my.sharepoint.com/:b:/g/personal/sarellano_no-mii_com/EVUrJizkXJBIoJYlQOMMGEkBaf9OsSZM5SAzcs_6KVPk_Q?e=pXUHk5" TargetMode="External"/><Relationship Id="rId658" Type="http://schemas.openxmlformats.org/officeDocument/2006/relationships/hyperlink" Target="https://bearzt-my.sharepoint.com/:b:/g/personal/sarellano_no-mii_com/EaPfLMhIWTNMv9tPE1AVy5YB80yjgZ9xU0h1ck1ZG3m3Lw?e=EGaUJi" TargetMode="External"/><Relationship Id="rId865" Type="http://schemas.openxmlformats.org/officeDocument/2006/relationships/hyperlink" Target="https://bearzt-my.sharepoint.com/:b:/g/personal/sarellano_no-mii_com/IQDArbmkbr1RSIv1CtQ685bdAZuQJxMSs1I-O3fzKvxTRi8?e=fIKgE7" TargetMode="External"/><Relationship Id="rId1050" Type="http://schemas.openxmlformats.org/officeDocument/2006/relationships/hyperlink" Target="https://bearzt-my.sharepoint.com/:b:/g/personal/sarellano_no-mii_com/IQAZDtkm57uxSLy3sILFxJLJAftrlrd7ZzHBSeYsin5JvEU?e=05b2nK" TargetMode="External"/><Relationship Id="rId297" Type="http://schemas.openxmlformats.org/officeDocument/2006/relationships/hyperlink" Target="https://bearzt-my.sharepoint.com/:b:/g/personal/sarellano_no-mii_com/EbTCmCV1OfdJgbTkXyvL3_8BqC3cKYhSmbZt8NvfLRxupA?e=HdY91N" TargetMode="External"/><Relationship Id="rId518" Type="http://schemas.openxmlformats.org/officeDocument/2006/relationships/hyperlink" Target="https://bearzt-my.sharepoint.com/:b:/g/personal/sarellano_no-mii_com/ESLjCqiR5k9CoyIcjsRLrR4B4xL7TMYYLcrl8tvI95sprg?e=SuOoJO" TargetMode="External"/><Relationship Id="rId725" Type="http://schemas.openxmlformats.org/officeDocument/2006/relationships/hyperlink" Target="https://bearzt-my.sharepoint.com/:b:/g/personal/sarellano_no-mii_com/EfMIG5ajHthDiw1coTq9pBkBWywZ4LQ9QKRFoQvSORHbUw?e=5LP450" TargetMode="External"/><Relationship Id="rId932" Type="http://schemas.openxmlformats.org/officeDocument/2006/relationships/hyperlink" Target="https://bearzt-my.sharepoint.com/:b:/g/personal/sarellano_no-mii_com/IQDPC4g8QamETr4UoLmSCmA1AUutf-bITwt3ZB_XQUpJH-I?e=J8jLaz" TargetMode="External"/><Relationship Id="rId1148" Type="http://schemas.openxmlformats.org/officeDocument/2006/relationships/hyperlink" Target="https://bearzt-my.sharepoint.com/:b:/g/personal/sarellano_no-mii_com/IQB7Az1bCvDdSoV_QrjfRMwxASvVTjuBIZP2fqCxuUfLidM?e=Qd4Irs" TargetMode="External"/><Relationship Id="rId157" Type="http://schemas.openxmlformats.org/officeDocument/2006/relationships/hyperlink" Target="https://bearzt-my.sharepoint.com/:b:/g/personal/sarellano_no-mii_com/EfFr28OgMDdKtV_WqSccEGsBa1w7hz9K4Kwx_ho88mbicQ?e=J6ZGUf" TargetMode="External"/><Relationship Id="rId364" Type="http://schemas.openxmlformats.org/officeDocument/2006/relationships/hyperlink" Target="https://bearzt-my.sharepoint.com/:b:/g/personal/sarellano_no-mii_com/EQFnZfm4UO1MizMoMSvFjvUB0EQYxELpHRUdS4NP_D0rCA?e=xgvZQk" TargetMode="External"/><Relationship Id="rId1008" Type="http://schemas.openxmlformats.org/officeDocument/2006/relationships/hyperlink" Target="https://bearzt-my.sharepoint.com/:b:/g/personal/sarellano_no-mii_com/IQCgA1N0McusTrchYifM1tW1Ad_Bg9XuMFezDwNZqLT1rBY?e=b9bjyM" TargetMode="External"/><Relationship Id="rId1215" Type="http://schemas.openxmlformats.org/officeDocument/2006/relationships/hyperlink" Target="https://bearzt-my.sharepoint.com/:b:/g/personal/sarellano_no-mii_com/IQB1ieAhofpJTKWYgmTITIOwAXRfdwicArusFlPno3DUp5c?e=IJyuFz" TargetMode="External"/><Relationship Id="rId61" Type="http://schemas.openxmlformats.org/officeDocument/2006/relationships/hyperlink" Target="https://bearzt-my.sharepoint.com/:b:/g/personal/sarellano_no-mii_com/ET8AI0OuKYdBsHiR6qWPkgMBp5EOnkSUKIL8HdtPnREttw?e=nTt5z6" TargetMode="External"/><Relationship Id="rId571" Type="http://schemas.openxmlformats.org/officeDocument/2006/relationships/hyperlink" Target="https://bearzt-my.sharepoint.com/:b:/g/personal/sarellano_no-mii_com/EToRMjLw_49LtdWMPX-2nkQB_K2T2DYGg77LbGNJ70sLig?e=6nAHyW" TargetMode="External"/><Relationship Id="rId669" Type="http://schemas.openxmlformats.org/officeDocument/2006/relationships/hyperlink" Target="https://bearzt-my.sharepoint.com/:b:/g/personal/sarellano_no-mii_com/ESozpxvXyWtFnPZgzn4cKp8Bl-iVP9LCKHeeq7BHQXah9A?e=73pVYl" TargetMode="External"/><Relationship Id="rId876" Type="http://schemas.openxmlformats.org/officeDocument/2006/relationships/hyperlink" Target="https://bearzt-my.sharepoint.com/:b:/g/personal/sarellano_no-mii_com/IQBJOulagNA6SLpwK9Tg64SzAV1p3Qr4layYds3VvtGJ8G0?e=LixAZc" TargetMode="External"/><Relationship Id="rId19" Type="http://schemas.openxmlformats.org/officeDocument/2006/relationships/hyperlink" Target="https://bearzt-my.sharepoint.com/:b:/g/personal/sarellano_no-mii_com/ES9xP0oghkBEmYGlXTfvr_IBlxnevgIsqbLuqMvQG04hUw?e=dQmtGi" TargetMode="External"/><Relationship Id="rId224" Type="http://schemas.openxmlformats.org/officeDocument/2006/relationships/hyperlink" Target="https://bearzt-my.sharepoint.com/:b:/g/personal/sarellano_no-mii_com/EVJx45-wrAtBlsH0E_W0vuABays3r8kgmYSYtMmSkH8UNw?e=xGp4wV" TargetMode="External"/><Relationship Id="rId431" Type="http://schemas.openxmlformats.org/officeDocument/2006/relationships/hyperlink" Target="https://bearzt-my.sharepoint.com/:b:/g/personal/sarellano_no-mii_com/EbZRG9nOuhtJp2eAO8XfcbQBwJNPSm8_ijwJ9-2ywfrg9g?e=8n3nkr" TargetMode="External"/><Relationship Id="rId529" Type="http://schemas.openxmlformats.org/officeDocument/2006/relationships/hyperlink" Target="https://bearzt-my.sharepoint.com/:b:/g/personal/sarellano_no-mii_com/ERLZaSH8mNpNkeRSbVOqJWYBYMyTc5DvqzR0Qn1tge0Ezw?e=HXotki" TargetMode="External"/><Relationship Id="rId736" Type="http://schemas.openxmlformats.org/officeDocument/2006/relationships/hyperlink" Target="https://bearzt-my.sharepoint.com/:b:/g/personal/sarellano_no-mii_com/IQCie1TRpnvsS6jDXtvlt3R4ATkMX5BMfnkc13IekDcrA7s?e=XtmbUg" TargetMode="External"/><Relationship Id="rId1061" Type="http://schemas.openxmlformats.org/officeDocument/2006/relationships/hyperlink" Target="https://bearzt-my.sharepoint.com/:i:/g/personal/sarellano_no-mii_com/IQDDUsURyqcmRrRT6Gv5X2zZASlxFXMTZVLA98hDKv3TD74?e=HlExYf" TargetMode="External"/><Relationship Id="rId1159" Type="http://schemas.openxmlformats.org/officeDocument/2006/relationships/hyperlink" Target="https://bearzt-my.sharepoint.com/:b:/g/personal/sarellano_no-mii_com/IQDS57Zy9LxoQInPe8tzo9i4AeUTOmmq1mtg5ijfYvJKg6A?e=I2bUxC" TargetMode="External"/><Relationship Id="rId168" Type="http://schemas.openxmlformats.org/officeDocument/2006/relationships/hyperlink" Target="https://bearzt-my.sharepoint.com/:b:/g/personal/sarellano_no-mii_com/ETbHsndNzfVCvB7OHPCkQsgB3Xr5qblElgrVn9E2ApC7PA?e=HO2Ii9" TargetMode="External"/><Relationship Id="rId943" Type="http://schemas.openxmlformats.org/officeDocument/2006/relationships/hyperlink" Target="https://bearzt-my.sharepoint.com/:b:/g/personal/sarellano_no-mii_com/IQBbLaH6thnoQZ8u7K9C4BjlARY44fU42hN8X4axrb6nplI?e=yPGz8s" TargetMode="External"/><Relationship Id="rId1019" Type="http://schemas.openxmlformats.org/officeDocument/2006/relationships/hyperlink" Target="https://bearzt-my.sharepoint.com/:b:/g/personal/sarellano_no-mii_com/IQDpd7QSqpMLQ4PFIiGcWyIcAboJ236NGm3vkn42MOzdkso?e=6CHlH6" TargetMode="External"/><Relationship Id="rId72" Type="http://schemas.openxmlformats.org/officeDocument/2006/relationships/hyperlink" Target="https://bearzt-my.sharepoint.com/:b:/g/personal/sarellano_no-mii_com/EaFBgaoRN_NJuqDWtn94sqABE3lIMjZWtJRLzOzj3kVdkg?e=G7ET1Q" TargetMode="External"/><Relationship Id="rId375" Type="http://schemas.openxmlformats.org/officeDocument/2006/relationships/hyperlink" Target="https://bearzt-my.sharepoint.com/:b:/g/personal/sarellano_no-mii_com/Eb-S4Z_GtyFNhECY_2GkEPIB3UlvTPT1ET2m6xRNIKtIeg?e=Q4iktA" TargetMode="External"/><Relationship Id="rId582" Type="http://schemas.openxmlformats.org/officeDocument/2006/relationships/hyperlink" Target="https://bearzt-my.sharepoint.com/:b:/g/personal/sarellano_no-mii_com/EQ2UgQEq_gNPlDbmlimuuy0Ba_6Jgg9jmsZIkTqSP8TiWQ?e=8SuYkP" TargetMode="External"/><Relationship Id="rId803" Type="http://schemas.openxmlformats.org/officeDocument/2006/relationships/hyperlink" Target="https://bearzt-my.sharepoint.com/:b:/g/personal/sarellano_no-mii_com/IQClJ4EliyNwTK3heO8a8880AbAfdvNTu-JmLknIkTPoirQ?e=jhMIYD" TargetMode="External"/><Relationship Id="rId1226" Type="http://schemas.openxmlformats.org/officeDocument/2006/relationships/hyperlink" Target="https://bearzt-my.sharepoint.com/:b:/g/personal/sarellano_no-mii_com/IQCSpvWUF8q0TJQ6hxbphcUkAWjeDcW-T19gOwBGCNGH1vs?e=vFScZt" TargetMode="External"/><Relationship Id="rId3" Type="http://schemas.openxmlformats.org/officeDocument/2006/relationships/hyperlink" Target="https://bearzt-my.sharepoint.com/:b:/g/personal/sarellano_no-mii_com/EQjCYvh6WfBJpn90pTBmhhIBmO6SKakvIIYUmPPzHG0row?e=gf2ZVs" TargetMode="External"/><Relationship Id="rId235" Type="http://schemas.openxmlformats.org/officeDocument/2006/relationships/hyperlink" Target="https://bearzt-my.sharepoint.com/:b:/g/personal/sarellano_no-mii_com/EWDgpi3Mo_BDv5M_63FMmY4BmV8zSP0O1v6EHQiSrzfz_Q?e=buvwa6" TargetMode="External"/><Relationship Id="rId442" Type="http://schemas.openxmlformats.org/officeDocument/2006/relationships/hyperlink" Target="https://bearzt-my.sharepoint.com/:b:/g/personal/sarellano_no-mii_com/Ecnd7PYqUxROvh1fCw16AgcBb7B5m_-SQneA_836EV8rVQ?e=z9cK7B" TargetMode="External"/><Relationship Id="rId887" Type="http://schemas.openxmlformats.org/officeDocument/2006/relationships/hyperlink" Target="https://bearzt-my.sharepoint.com/:b:/g/personal/sarellano_no-mii_com/IQCNm7fs8fIyTKjMOFU4tMdAATmFKJJnsg7tt8XNldiY_NI?e=1iZ3Iu" TargetMode="External"/><Relationship Id="rId1072" Type="http://schemas.openxmlformats.org/officeDocument/2006/relationships/hyperlink" Target="https://bearzt-my.sharepoint.com/:b:/g/personal/sarellano_no-mii_com/IQCksnBaX6MqQIPN7H45mFVqAcX19CKl3QiiU6fWrJPZd0c?e=1VquXr" TargetMode="External"/><Relationship Id="rId302" Type="http://schemas.openxmlformats.org/officeDocument/2006/relationships/hyperlink" Target="https://bearzt-my.sharepoint.com/:b:/g/personal/sarellano_no-mii_com/EXNqCqfBOSxEshIOKdzzk-8BVr3t5ixtZ31sXSuwkGRazg?e=55fu0S" TargetMode="External"/><Relationship Id="rId747" Type="http://schemas.openxmlformats.org/officeDocument/2006/relationships/hyperlink" Target="https://bearzt-my.sharepoint.com/:b:/g/personal/sarellano_no-mii_com/IQAdZOTW51Q7R45dg2gnxO52AVWUQSfCDnCLqQ3WjFM5OLQ?e=DReGNy" TargetMode="External"/><Relationship Id="rId954" Type="http://schemas.openxmlformats.org/officeDocument/2006/relationships/hyperlink" Target="https://bearzt-my.sharepoint.com/:i:/g/personal/sarellano_no-mii_com/IQA5kSQ8_z3DSZceyP4pJ0cuAYmWguQ-jy9p51ogjo5QFJE?e=bfwQxK" TargetMode="External"/><Relationship Id="rId83" Type="http://schemas.openxmlformats.org/officeDocument/2006/relationships/hyperlink" Target="https://bearzt-my.sharepoint.com/:b:/g/personal/sarellano_no-mii_com/EVvIEQBukypHrVRuTEQ0pfIBG7eE36kXXKwl8gUq_Paq-A?e=FbCzJa" TargetMode="External"/><Relationship Id="rId179" Type="http://schemas.openxmlformats.org/officeDocument/2006/relationships/hyperlink" Target="https://bearzt-my.sharepoint.com/:b:/g/personal/sarellano_no-mii_com/EYqMGDHqMPhAn7g3F-N6rN8BRnAd9b96lDbZOutfj2xAFw?e=zudsYQ" TargetMode="External"/><Relationship Id="rId386" Type="http://schemas.openxmlformats.org/officeDocument/2006/relationships/hyperlink" Target="https://bearzt-my.sharepoint.com/:b:/g/personal/sarellano_no-mii_com/ESnG8Vv5lkdGkoIpx_mTE-IBFG3wZ4S0-HKbmFbmzx4LfA?e=xbNdWe" TargetMode="External"/><Relationship Id="rId593" Type="http://schemas.openxmlformats.org/officeDocument/2006/relationships/hyperlink" Target="https://bearzt-my.sharepoint.com/:b:/g/personal/sarellano_no-mii_com/ERdwSZnstVBKna38UND7NLsBlEdIhqVhgopg5aAkpr9m6w?e=v3NaxU" TargetMode="External"/><Relationship Id="rId607" Type="http://schemas.openxmlformats.org/officeDocument/2006/relationships/hyperlink" Target="https://bearzt-my.sharepoint.com/:b:/g/personal/sarellano_no-mii_com/EUzeObyruRNMttYZch-3TtUBQvotsKFnfLKVdJIh_MYQ2A?e=c6IOTX" TargetMode="External"/><Relationship Id="rId814" Type="http://schemas.openxmlformats.org/officeDocument/2006/relationships/hyperlink" Target="https://bearzt-my.sharepoint.com/:b:/g/personal/sarellano_no-mii_com/IQDs_uDYVbV1TZUDktJut-2TAcXArIcoS8m5SjiV6Lao-cs?e=F4CsRt" TargetMode="External"/><Relationship Id="rId1237" Type="http://schemas.microsoft.com/office/2017/10/relationships/threadedComment" Target="../threadedComments/threadedComment5.xml"/><Relationship Id="rId246" Type="http://schemas.openxmlformats.org/officeDocument/2006/relationships/hyperlink" Target="https://bearzt-my.sharepoint.com/:b:/g/personal/sarellano_no-mii_com/ESrPmuN9ZjZCh6E_6MJfYdwBmxhGf67zbCZi9WNpObDCzA?e=TmmEL8" TargetMode="External"/><Relationship Id="rId453" Type="http://schemas.openxmlformats.org/officeDocument/2006/relationships/hyperlink" Target="https://bearzt-my.sharepoint.com/:b:/g/personal/sarellano_no-mii_com/ESjvN0P1RMxMpGFBoaC3otwBi13FgMDwZi5tPIcyVf4qAA?e=WqWeHq" TargetMode="External"/><Relationship Id="rId660" Type="http://schemas.openxmlformats.org/officeDocument/2006/relationships/hyperlink" Target="https://bearzt-my.sharepoint.com/:b:/g/personal/sarellano_no-mii_com/Ea5VH90EbsJFgqbuoEIf1t0B5UMlR_tVNydj-ZbbpMENxQ?e=H1eIdZ" TargetMode="External"/><Relationship Id="rId898" Type="http://schemas.openxmlformats.org/officeDocument/2006/relationships/hyperlink" Target="https://bearzt-my.sharepoint.com/:b:/g/personal/sarellano_no-mii_com/IQBkHQbYELeSR6ucepA2_cWGAfZ0etApKCE8sqWfW18vC8Q?e=7CJ99V" TargetMode="External"/><Relationship Id="rId1083" Type="http://schemas.openxmlformats.org/officeDocument/2006/relationships/hyperlink" Target="https://bearzt-my.sharepoint.com/:i:/g/personal/sarellano_no-mii_com/IQB8tjP5m5YdRJHDEcxF7fupAZVA8JlH-lGVZKGQWmopwKQ?e=vquFTX" TargetMode="External"/><Relationship Id="rId106" Type="http://schemas.openxmlformats.org/officeDocument/2006/relationships/hyperlink" Target="https://bearzt-my.sharepoint.com/:b:/g/personal/sarellano_no-mii_com/Ed22VAcUmNBFp42idVV0WWcBsvs7ODFARAvqe7cxQ-DJpw?e=LYhFDN" TargetMode="External"/><Relationship Id="rId313" Type="http://schemas.openxmlformats.org/officeDocument/2006/relationships/hyperlink" Target="https://bearzt-my.sharepoint.com/:b:/g/personal/sarellano_no-mii_com/EbUzMmj9F51Fm_iAVS2GLGcB5DqF7be9J2k6gXzMTUtixA?e=Mx0lYK" TargetMode="External"/><Relationship Id="rId758" Type="http://schemas.openxmlformats.org/officeDocument/2006/relationships/hyperlink" Target="https://bearzt-my.sharepoint.com/:b:/g/personal/sarellano_no-mii_com/IQBnVUEXygDJRreqFu9NCpKVAWuVTM9uin-fYywJStU9NzA?e=AoEMqE" TargetMode="External"/><Relationship Id="rId965" Type="http://schemas.openxmlformats.org/officeDocument/2006/relationships/hyperlink" Target="https://bearzt-my.sharepoint.com/:b:/g/personal/sarellano_no-mii_com/IQBHHUHDqPLEToYZ3j9FMNzpAYCHzfsvthN9JfKJSRByUbo?e=JfRyMB" TargetMode="External"/><Relationship Id="rId1150" Type="http://schemas.openxmlformats.org/officeDocument/2006/relationships/hyperlink" Target="https://bearzt-my.sharepoint.com/:b:/g/personal/sarellano_no-mii_com/IQAiEsJD4lcyS5o8V7CDBDcLAbij8DpurzK-Hkkd8lEUfjM?e=VbY8ox" TargetMode="External"/><Relationship Id="rId10" Type="http://schemas.openxmlformats.org/officeDocument/2006/relationships/hyperlink" Target="https://bearzt-my.sharepoint.com/:b:/g/personal/sarellano_no-mii_com/EQZugv6NKhVIuZzDnpJ3GHUBMfSkVxevcGMCRWemrSO31A?e=IMEfx6" TargetMode="External"/><Relationship Id="rId94" Type="http://schemas.openxmlformats.org/officeDocument/2006/relationships/hyperlink" Target="https://bearzt-my.sharepoint.com/:b:/g/personal/sarellano_no-mii_com/EU7PuAaumhpEkZ3-1oAuwB4Ba_imTsd6fIp6PNDPY6l9CQ?e=WwAiak" TargetMode="External"/><Relationship Id="rId397" Type="http://schemas.openxmlformats.org/officeDocument/2006/relationships/hyperlink" Target="https://bearzt-my.sharepoint.com/:b:/g/personal/sarellano_no-mii_com/EU7XXuK_PVBNgAVvKg1WrU8BeqecD_TFYFWZhyhH_wG2NQ?e=DQukDw" TargetMode="External"/><Relationship Id="rId520" Type="http://schemas.openxmlformats.org/officeDocument/2006/relationships/hyperlink" Target="https://bearzt-my.sharepoint.com/:b:/g/personal/sarellano_no-mii_com/EXme2QFj_LpNpo0DrR5jqVUBtDHjsJ-2vynWVeAu9vnVtg?e=8nR4e2" TargetMode="External"/><Relationship Id="rId618" Type="http://schemas.openxmlformats.org/officeDocument/2006/relationships/hyperlink" Target="https://bearzt-my.sharepoint.com/:b:/g/personal/sarellano_no-mii_com/EV5CdqE8ntZBr0wBpZ2zX4IB1EB-p1kIQwhtSV6_ijepQQ?e=6gCLOd" TargetMode="External"/><Relationship Id="rId825" Type="http://schemas.openxmlformats.org/officeDocument/2006/relationships/hyperlink" Target="https://bearzt-my.sharepoint.com/:b:/g/personal/sarellano_no-mii_com/IQC_oIH7rnbrRLtLI2ZUy7bdAY91AfUWecNAQFVr_G_cCVc?e=dVlRwq" TargetMode="External"/><Relationship Id="rId257" Type="http://schemas.openxmlformats.org/officeDocument/2006/relationships/hyperlink" Target="https://bearzt-my.sharepoint.com/:b:/g/personal/sarellano_no-mii_com/EdipTiD8kRpNmvxgEzAAbmQBr8e3w_BJK8Sa7wIceulwxg?e=ZB4Atb" TargetMode="External"/><Relationship Id="rId464" Type="http://schemas.openxmlformats.org/officeDocument/2006/relationships/hyperlink" Target="https://bearzt-my.sharepoint.com/:b:/g/personal/sarellano_no-mii_com/EdOk1Jiyj15PrS3sJQp7wNAB0k1xJl0LIiFJoIdcFA4-Rw?e=AGQsWQ" TargetMode="External"/><Relationship Id="rId1010" Type="http://schemas.openxmlformats.org/officeDocument/2006/relationships/hyperlink" Target="https://bearzt-my.sharepoint.com/:b:/g/personal/sarellano_no-mii_com/IQC-8NUchy3fQrzSztBZbn57AZoB1loAN9scSfP2H_DJ3AU?e=7XVAQE" TargetMode="External"/><Relationship Id="rId1094" Type="http://schemas.openxmlformats.org/officeDocument/2006/relationships/hyperlink" Target="https://bearzt-my.sharepoint.com/:b:/g/personal/sarellano_no-mii_com/IQDRBGMzjuyPQJLkot3L02U_AZwXB-995vEA9-NEDYpv73g?e=AcMe0P" TargetMode="External"/><Relationship Id="rId1108" Type="http://schemas.openxmlformats.org/officeDocument/2006/relationships/hyperlink" Target="https://bearzt-my.sharepoint.com/:b:/g/personal/sarellano_no-mii_com/IQDJ8F_IUHSoQ7JQ11U_kP6_AdnRdVv3V-V6UiQndUcqdVk?e=45bw0a" TargetMode="External"/><Relationship Id="rId117" Type="http://schemas.openxmlformats.org/officeDocument/2006/relationships/hyperlink" Target="https://bearzt-my.sharepoint.com/:b:/g/personal/sarellano_no-mii_com/EcXGJHhP1ThNrRIRig5OIywBYINFMMqg_yfnJmaTfaCeEw?e=3VsOqd" TargetMode="External"/><Relationship Id="rId671" Type="http://schemas.openxmlformats.org/officeDocument/2006/relationships/hyperlink" Target="https://bearzt-my.sharepoint.com/:b:/g/personal/sarellano_no-mii_com/EYqPxN_bTDdMk8k13M8YojUB7Zb3X7bmHJcKqsF1mRB3Nw?e=iG4HUv" TargetMode="External"/><Relationship Id="rId769" Type="http://schemas.openxmlformats.org/officeDocument/2006/relationships/hyperlink" Target="https://bearzt-my.sharepoint.com/:b:/g/personal/sarellano_no-mii_com/IQBe92ekQWXcS62PIiXdH4_HARkircsXuGSjIqTCtnWx7JM?e=GSWZmV" TargetMode="External"/><Relationship Id="rId976" Type="http://schemas.openxmlformats.org/officeDocument/2006/relationships/hyperlink" Target="https://bearzt-my.sharepoint.com/:b:/g/personal/sarellano_no-mii_com/IQCslVYZz96PSrQFb1ItpAPqAd7v9-8WQqH_gYj8pEREjes?e=92zhF7" TargetMode="External"/><Relationship Id="rId324" Type="http://schemas.openxmlformats.org/officeDocument/2006/relationships/hyperlink" Target="https://bearzt-my.sharepoint.com/:b:/g/personal/sarellano_no-mii_com/Ed_KIireySNDps6PdYHSd1gBQDDibOjk7Tk0UU54kD5zTw?e=Wfml98" TargetMode="External"/><Relationship Id="rId531" Type="http://schemas.openxmlformats.org/officeDocument/2006/relationships/hyperlink" Target="https://bearzt-my.sharepoint.com/:b:/g/personal/sarellano_no-mii_com/EbxSmCpRS59DntvNZQJFhp0BW4BoUUW0Y4J_fMg9_zZ0hQ?e=XDBB31" TargetMode="External"/><Relationship Id="rId629" Type="http://schemas.openxmlformats.org/officeDocument/2006/relationships/hyperlink" Target="https://bearzt-my.sharepoint.com/:b:/g/personal/sarellano_no-mii_com/ETHpEzxZrSBLrf0unREaoj0BhvuDvqdfAbUgzzJ-GBXZrQ?e=m7b3EY" TargetMode="External"/><Relationship Id="rId1161" Type="http://schemas.openxmlformats.org/officeDocument/2006/relationships/hyperlink" Target="https://bearzt-my.sharepoint.com/:b:/g/personal/sarellano_no-mii_com/IQAJm6YXriUpS59quhumlQhlAU-i9Ri3NXp-Crh2b7OT1eg?e=dnJB8K" TargetMode="External"/><Relationship Id="rId836" Type="http://schemas.openxmlformats.org/officeDocument/2006/relationships/hyperlink" Target="https://bearzt-my.sharepoint.com/:b:/g/personal/sarellano_no-mii_com/IQDraNzhuF0KSboEOfnMPgmvAdK8iQCiziYXX4NfBvn1nE4?e=PTsK1w" TargetMode="External"/><Relationship Id="rId1021" Type="http://schemas.openxmlformats.org/officeDocument/2006/relationships/hyperlink" Target="https://bearzt-my.sharepoint.com/:b:/g/personal/sarellano_no-mii_com/IQBmlp195bIjSYLgydA2YatiAc5j4vKpE9WvgYgPCuqSs5A?e=3GTiG8" TargetMode="External"/><Relationship Id="rId1119" Type="http://schemas.openxmlformats.org/officeDocument/2006/relationships/hyperlink" Target="https://bearzt-my.sharepoint.com/:b:/g/personal/sarellano_no-mii_com/IQAPivfsrNuGT7JBweWJmB19ARh1sERd8t6c0FJLRGBVNTI?e=VZD582" TargetMode="External"/><Relationship Id="rId903" Type="http://schemas.openxmlformats.org/officeDocument/2006/relationships/hyperlink" Target="https://bearzt-my.sharepoint.com/:b:/g/personal/sarellano_no-mii_com/IQDNhBb23ENlR4-Pm9toqCg9AVlMmpfdwgMEOv6dZ75_n_M?e=pe5hRf" TargetMode="External"/><Relationship Id="rId32" Type="http://schemas.openxmlformats.org/officeDocument/2006/relationships/hyperlink" Target="https://bearzt-my.sharepoint.com/:b:/g/personal/sarellano_no-mii_com/ET4e4Be9UJRBh4ruUkVwxnwBglBCbCn2JkG1I8hwN51EAw?e=k4JFjz" TargetMode="External"/><Relationship Id="rId181" Type="http://schemas.openxmlformats.org/officeDocument/2006/relationships/hyperlink" Target="https://bearzt-my.sharepoint.com/:b:/g/personal/sarellano_no-mii_com/EbQR1xfvmttEvsrp5n9Fj2UBO-O7zTm-fpMKgG1KkRx0Sw?e=MStdTC" TargetMode="External"/><Relationship Id="rId279" Type="http://schemas.openxmlformats.org/officeDocument/2006/relationships/hyperlink" Target="https://bearzt-my.sharepoint.com/:b:/g/personal/sarellano_no-mii_com/EfXKGRqG_o1Olk1UejMpvEwBZeGTSbw1WGp9JBfO1cYc_g?e=hoNGVW" TargetMode="External"/><Relationship Id="rId486" Type="http://schemas.openxmlformats.org/officeDocument/2006/relationships/hyperlink" Target="https://bearzt-my.sharepoint.com/:b:/g/personal/sarellano_no-mii_com/ETALjU_7LWlBmr1WbfghQD4BGCgiTxlwm2H48sQR2ycS7g?e=7EsvXG" TargetMode="External"/><Relationship Id="rId693" Type="http://schemas.openxmlformats.org/officeDocument/2006/relationships/hyperlink" Target="https://bearzt-my.sharepoint.com/:b:/g/personal/sarellano_no-mii_com/EWvXt5aPyZxAtRg7QIrsSN8B114x54g2o82gUX-h6nLWuw?e=LVTUgJ" TargetMode="External"/><Relationship Id="rId139" Type="http://schemas.openxmlformats.org/officeDocument/2006/relationships/hyperlink" Target="https://bearzt-my.sharepoint.com/:b:/g/personal/sarellano_no-mii_com/ETwBGW9vn21AlD8ddiv2uVEBgdcNB6G-xcvEfIGJCRIEuw?e=chtvYY" TargetMode="External"/><Relationship Id="rId346" Type="http://schemas.openxmlformats.org/officeDocument/2006/relationships/hyperlink" Target="https://bearzt-my.sharepoint.com/:b:/g/personal/sarellano_no-mii_com/ETp4bDiDM31EhmYXig-bBcYBEojz283TQMcqTsaJHfeyXw?e=JsTqUA" TargetMode="External"/><Relationship Id="rId553" Type="http://schemas.openxmlformats.org/officeDocument/2006/relationships/hyperlink" Target="https://bearzt-my.sharepoint.com/:b:/g/personal/sarellano_no-mii_com/EW4bN0hLILdCtglrEpQkQLYBbypAn-VCf3726R1sIqwx2w?e=rKPygx" TargetMode="External"/><Relationship Id="rId760" Type="http://schemas.openxmlformats.org/officeDocument/2006/relationships/hyperlink" Target="https://bearzt-my.sharepoint.com/:i:/g/personal/sarellano_no-mii_com/IQCOflOygJszRoqa6rvzvuyxAczOEUMyS5GX3cs15_oveZs?e=bFq5Rf" TargetMode="External"/><Relationship Id="rId998" Type="http://schemas.openxmlformats.org/officeDocument/2006/relationships/hyperlink" Target="https://bearzt-my.sharepoint.com/:b:/g/personal/sarellano_no-mii_com/IQCcV5W4i696RZ_2frZIZjI0AUwwUEBFvaPc4HYTuZ4wRcw?e=18PHha" TargetMode="External"/><Relationship Id="rId1183" Type="http://schemas.openxmlformats.org/officeDocument/2006/relationships/hyperlink" Target="https://bearzt-my.sharepoint.com/:b:/g/personal/sarellano_no-mii_com/IQAXKA0pCtmPRrkycVVwQvjcATrAXkEzgl5l04cQoR9_uY0?e=8iGQyR" TargetMode="External"/><Relationship Id="rId206" Type="http://schemas.openxmlformats.org/officeDocument/2006/relationships/hyperlink" Target="https://bearzt-my.sharepoint.com/:b:/g/personal/sarellano_no-mii_com/EZe_mEykKYdKh27Qb5_ZklEB7gmHaaCn2lfnEbD1UYN_iA?e=QtmIOf" TargetMode="External"/><Relationship Id="rId413" Type="http://schemas.openxmlformats.org/officeDocument/2006/relationships/hyperlink" Target="https://bearzt-my.sharepoint.com/:b:/g/personal/sarellano_no-mii_com/EYP-wR8UADpBk8TjySkHzU4B75MKjq0GBEEzmby35pdI4Q?e=2GGkzW" TargetMode="External"/><Relationship Id="rId858" Type="http://schemas.openxmlformats.org/officeDocument/2006/relationships/hyperlink" Target="https://bearzt-my.sharepoint.com/:b:/g/personal/sarellano_no-mii_com/IQD_PDfYg5bmTLYnlSG34IhLAetpb06rPY3GhFdF31WOeCk?e=M0Jcdh" TargetMode="External"/><Relationship Id="rId1043" Type="http://schemas.openxmlformats.org/officeDocument/2006/relationships/hyperlink" Target="https://bearzt-my.sharepoint.com/:b:/g/personal/sarellano_no-mii_com/IQA-7RWwIE8VTpHHg4sf2_ViAa7UoIzGohXeQntJO3_QY4g?e=Tdeq2P" TargetMode="External"/><Relationship Id="rId620" Type="http://schemas.openxmlformats.org/officeDocument/2006/relationships/hyperlink" Target="https://bearzt-my.sharepoint.com/:b:/g/personal/sarellano_no-mii_com/ESDGvSbU9UBMlpdQK4OlsIcB3YYgHyfL_2F_e29PePmdjA?e=lZMooY" TargetMode="External"/><Relationship Id="rId718" Type="http://schemas.openxmlformats.org/officeDocument/2006/relationships/hyperlink" Target="https://bearzt-my.sharepoint.com/:b:/g/personal/sarellano_no-mii_com/EbsenMM2FClKlN5TB3YDY1wB7BhWuztsZNNsFgOdY6GfBw?e=qL1FRf" TargetMode="External"/><Relationship Id="rId925" Type="http://schemas.openxmlformats.org/officeDocument/2006/relationships/hyperlink" Target="https://bearzt-my.sharepoint.com/:b:/g/personal/sarellano_no-mii_com/EQcChykMTUJEk-KoDg2ZXUsBbAxdZ1oI_WurtMrWvdLaIQ?e=L5QdPy" TargetMode="External"/><Relationship Id="rId1110" Type="http://schemas.openxmlformats.org/officeDocument/2006/relationships/hyperlink" Target="https://bearzt-my.sharepoint.com/:b:/g/personal/sarellano_no-mii_com/IQBogDXFzrDvTrFvDEMlP1qAAU91icgroZedamcNkRCbtkg?e=mztI93" TargetMode="External"/><Relationship Id="rId1208" Type="http://schemas.openxmlformats.org/officeDocument/2006/relationships/hyperlink" Target="https://bearzt-my.sharepoint.com/:b:/g/personal/sarellano_no-mii_com/IQBH_DJ-83kaQ4iPh8VtEaUfAQIDmCBwqEj4mE7LIwcbv04?e=tizZip" TargetMode="External"/><Relationship Id="rId54" Type="http://schemas.openxmlformats.org/officeDocument/2006/relationships/hyperlink" Target="https://bearzt-my.sharepoint.com/:b:/g/personal/sarellano_no-mii_com/Ef24y2tviKVLsKlAhkOvRjEB3ZZFlJ0KaKQHPv9VW_n2sQ?e=802ybb" TargetMode="External"/><Relationship Id="rId270" Type="http://schemas.openxmlformats.org/officeDocument/2006/relationships/hyperlink" Target="https://bearzt-my.sharepoint.com/:b:/g/personal/sarellano_no-mii_com/Ec5Bp3cycyRKjE7Qn8UhpisB7kst2RRPZcIe-IF3ARE2uA?e=crKwbX" TargetMode="External"/><Relationship Id="rId130" Type="http://schemas.openxmlformats.org/officeDocument/2006/relationships/hyperlink" Target="https://bearzt-my.sharepoint.com/:b:/g/personal/sarellano_no-mii_com/EfnMbXsFm05EuXw2c_Xad-UBk50HBLxHcsxz6Z484bn_nw?e=GYmB1P" TargetMode="External"/><Relationship Id="rId368" Type="http://schemas.openxmlformats.org/officeDocument/2006/relationships/hyperlink" Target="https://bearzt-my.sharepoint.com/:b:/g/personal/sarellano_no-mii_com/EQIE5bv485pKukEsW2EwqjABMjroKbWTth7cTlUp47GADg?e=ARLw37" TargetMode="External"/><Relationship Id="rId575" Type="http://schemas.openxmlformats.org/officeDocument/2006/relationships/hyperlink" Target="https://bearzt-my.sharepoint.com/:b:/g/personal/sarellano_no-mii_com/EWmmzLWU6L9GviAhJzpxX9gBKkXtwUtTWCpL_gfdEMGc2Q?e=KtGkmE" TargetMode="External"/><Relationship Id="rId782" Type="http://schemas.openxmlformats.org/officeDocument/2006/relationships/hyperlink" Target="https://bearzt-my.sharepoint.com/:b:/g/personal/sarellano_no-mii_com/IQCPVkRlmhEQTaDXTQlmYU3AAfI8b-V-eSR_U-zsMhP9ZIs?e=hEeqb7" TargetMode="External"/><Relationship Id="rId228" Type="http://schemas.openxmlformats.org/officeDocument/2006/relationships/hyperlink" Target="https://bearzt-my.sharepoint.com/:b:/g/personal/sarellano_no-mii_com/EYyJt6_hlltGmmt8QnxNeiEB3RK7lbfdnjVx6NNgjQqmkA?e=ecWW7q" TargetMode="External"/><Relationship Id="rId435" Type="http://schemas.openxmlformats.org/officeDocument/2006/relationships/hyperlink" Target="https://bearzt-my.sharepoint.com/:b:/g/personal/sarellano_no-mii_com/EQlw4dUXAStFkJoHF8i8wWUBdlxcBop_0PDLbgWoHnTq2Q?e=BEehof" TargetMode="External"/><Relationship Id="rId642" Type="http://schemas.openxmlformats.org/officeDocument/2006/relationships/hyperlink" Target="https://bearzt-my.sharepoint.com/:b:/g/personal/sarellano_no-mii_com/EaxlD0iNupdHlAbH_5yks10B8pzKXxGvwJzZjaDNTp_wiQ?e=Om9qsn" TargetMode="External"/><Relationship Id="rId1065" Type="http://schemas.openxmlformats.org/officeDocument/2006/relationships/hyperlink" Target="https://bearzt-my.sharepoint.com/:b:/g/personal/sarellano_no-mii_com/IQCtHaP6JD_rQ6h6aBi5q7AqAe3rdPrZPhl2633gTAM9P5g?e=pSvAAv" TargetMode="External"/><Relationship Id="rId502" Type="http://schemas.openxmlformats.org/officeDocument/2006/relationships/hyperlink" Target="https://bearzt-my.sharepoint.com/:b:/g/personal/sarellano_no-mii_com/ER0XR-BAO_hDtP-7nttjx0sB4y-Ugert18p2aBcHsrc3Aw?e=qBrjsj" TargetMode="External"/><Relationship Id="rId947" Type="http://schemas.openxmlformats.org/officeDocument/2006/relationships/hyperlink" Target="https://bearzt-my.sharepoint.com/:b:/g/personal/sarellano_no-mii_com/IQD3A5eZq9DYS5FyyZjsmhLvAaLC5sjUeDv-Hd4hAmP67Cs?e=4g0agZ" TargetMode="External"/><Relationship Id="rId1132" Type="http://schemas.openxmlformats.org/officeDocument/2006/relationships/hyperlink" Target="https://bearzt-my.sharepoint.com/:b:/g/personal/sarellano_no-mii_com/IQBXQeR7Gbu8RobLD4zPpAOOAT8ncqUet8em3UznChlwVRA?e=is4Ykj" TargetMode="External"/><Relationship Id="rId76" Type="http://schemas.openxmlformats.org/officeDocument/2006/relationships/hyperlink" Target="https://bearzt-my.sharepoint.com/:b:/g/personal/sarellano_no-mii_com/EQ8NXJg6VPxOlbUJJVxCQlsB3ujzTPiW3-Qx4gc07L22pQ?e=0Wuwc4" TargetMode="External"/><Relationship Id="rId807" Type="http://schemas.openxmlformats.org/officeDocument/2006/relationships/hyperlink" Target="https://bearzt-my.sharepoint.com/:b:/g/personal/sarellano_no-mii_com/IQBfXs5W-5BFTbAdAweB9NBmAcMCDUuqS9h6uxkSvu1_3l0?e=8lSgux" TargetMode="External"/><Relationship Id="rId292" Type="http://schemas.openxmlformats.org/officeDocument/2006/relationships/hyperlink" Target="https://bearzt-my.sharepoint.com/:b:/g/personal/sarellano_no-mii_com/EazenOZ3GDZFq-2cVqxo6ZAB0YG16VAZY5JooMsw25yVmA?e=Bh9YPQ" TargetMode="External"/><Relationship Id="rId597" Type="http://schemas.openxmlformats.org/officeDocument/2006/relationships/hyperlink" Target="https://bearzt-my.sharepoint.com/:b:/g/personal/sarellano_no-mii_com/Een5lvaByzRCsJuTsvFEqjcB2nG0N-q_Oxnh9KzL3R3H1Q?e=Y1Kdho" TargetMode="External"/><Relationship Id="rId152" Type="http://schemas.openxmlformats.org/officeDocument/2006/relationships/hyperlink" Target="https://bearzt-my.sharepoint.com/:b:/g/personal/sarellano_no-mii_com/ER0rWYJFFDRKqLAK_6vd8dYBxQbfu4oWEnX1gl-e8UIEgw?e=wENvrs" TargetMode="External"/><Relationship Id="rId457" Type="http://schemas.openxmlformats.org/officeDocument/2006/relationships/hyperlink" Target="https://bearzt-my.sharepoint.com/:b:/g/personal/sarellano_no-mii_com/EeC4jeFxnApAoJ-s157b1IMBVHdvhTahDgX-X5QpYj38Tg?e=yBoOo2" TargetMode="External"/><Relationship Id="rId1087" Type="http://schemas.openxmlformats.org/officeDocument/2006/relationships/hyperlink" Target="https://bearzt-my.sharepoint.com/:b:/g/personal/sarellano_no-mii_com/IQC5CsVrkPuwTK9hXu_-zk6nAQtCza1mooNjB3tt8qf7_Gs?e=oLndpf" TargetMode="External"/><Relationship Id="rId664" Type="http://schemas.openxmlformats.org/officeDocument/2006/relationships/hyperlink" Target="https://bearzt-my.sharepoint.com/:b:/g/personal/sarellano_no-mii_com/ESo4xFVFbKNEmuj8lcnEcdkBeNpOn5lG1JLQvYqp1TmGxQ?e=lYmFYs" TargetMode="External"/><Relationship Id="rId871" Type="http://schemas.openxmlformats.org/officeDocument/2006/relationships/hyperlink" Target="https://bearzt-my.sharepoint.com/:b:/g/personal/sarellano_no-mii_com/IQCF6uG4XoNjT7vEmqmf99OaAVSn-xiCNRv-jsVuHt-ybQ0?e=pSkdJn" TargetMode="External"/><Relationship Id="rId969" Type="http://schemas.openxmlformats.org/officeDocument/2006/relationships/hyperlink" Target="https://bearzt-my.sharepoint.com/:b:/g/personal/sarellano_no-mii_com/IQChxI-oHfF5Q7gBY3E562bNAZsBeWeldpxrzPR2Ncvt8p0?e=z8ThHF" TargetMode="External"/><Relationship Id="rId317" Type="http://schemas.openxmlformats.org/officeDocument/2006/relationships/hyperlink" Target="https://bearzt-my.sharepoint.com/:b:/g/personal/sarellano_no-mii_com/EYWBLLffXKNDjbKxAqp9QIkBmayf2y3o6u-1Bf3Suqzygg?e=SOa2yz" TargetMode="External"/><Relationship Id="rId524" Type="http://schemas.openxmlformats.org/officeDocument/2006/relationships/hyperlink" Target="https://bearzt-my.sharepoint.com/:b:/g/personal/sarellano_no-mii_com/EStZQOmxN0VOqGvWkKxyBEgBb1Y4a4sdP4RkZduc_mJDHw?e=ukxTDw" TargetMode="External"/><Relationship Id="rId731" Type="http://schemas.openxmlformats.org/officeDocument/2006/relationships/hyperlink" Target="https://bearzt-my.sharepoint.com/:b:/g/personal/sarellano_no-mii_com/EfzHWFPd0xZGrN7RhPxt0roBR5iP1pIJZy-zXoCNVKbMWQ?e=Ut9Nuw" TargetMode="External"/><Relationship Id="rId1154" Type="http://schemas.openxmlformats.org/officeDocument/2006/relationships/hyperlink" Target="https://bearzt-my.sharepoint.com/:b:/g/personal/sarellano_no-mii_com/IQD8rWuo_timRYDjkMeKQnwDAZ19_MhtxjxoCiv4VIV4fzM?e=6eIAV1" TargetMode="External"/><Relationship Id="rId98" Type="http://schemas.openxmlformats.org/officeDocument/2006/relationships/hyperlink" Target="https://bearzt-my.sharepoint.com/:b:/g/personal/sarellano_no-mii_com/Eam0f8rUTehPl_RMwWhuyC8BsH7KEscjycl9tXkeuv3GfA?e=cvKUJn" TargetMode="External"/><Relationship Id="rId829" Type="http://schemas.openxmlformats.org/officeDocument/2006/relationships/hyperlink" Target="https://bearzt-my.sharepoint.com/:b:/g/personal/sarellano_no-mii_com/IQBCQzcyHXsrSZY2c47pqLpAAWYHhol0O4kYAxO1opYy9pI?e=NZudaO" TargetMode="External"/><Relationship Id="rId1014" Type="http://schemas.openxmlformats.org/officeDocument/2006/relationships/hyperlink" Target="https://bearzt-my.sharepoint.com/:b:/g/personal/sarellano_no-mii_com/IQCpioafwjeUTKInIXt8fnenAV-gDIvxZD7txDMoqXrepk8?e=rXnlAB" TargetMode="External"/><Relationship Id="rId1221" Type="http://schemas.openxmlformats.org/officeDocument/2006/relationships/hyperlink" Target="https://bearzt-my.sharepoint.com/:b:/g/personal/sarellano_no-mii_com/IQBnsfiq_qQcS44BMmhqR9keATnlXzNgu78dFyHBom8AQdw?e=ifOUHu" TargetMode="External"/><Relationship Id="rId25" Type="http://schemas.openxmlformats.org/officeDocument/2006/relationships/hyperlink" Target="https://bearzt-my.sharepoint.com/:b:/g/personal/sarellano_no-mii_com/EQHuoGxJPENKtRX4Yibw4akBwSn7lOOAFWrT--en8LqVsA?e=y6mVCu" TargetMode="External"/><Relationship Id="rId174" Type="http://schemas.openxmlformats.org/officeDocument/2006/relationships/hyperlink" Target="https://bearzt-my.sharepoint.com/:b:/g/personal/sarellano_no-mii_com/EeR4x_14IYJFpNryPsYqXvMBoDsIXCrjuXKJwyCGb3smVg?e=40FGAF" TargetMode="External"/><Relationship Id="rId381" Type="http://schemas.openxmlformats.org/officeDocument/2006/relationships/hyperlink" Target="https://bearzt-my.sharepoint.com/:b:/g/personal/sarellano_no-mii_com/Ear9EogUrERHsPpdoVVR-hwBLWhE5iZLdw-YqwTAdg32XA?e=2bmOIg" TargetMode="External"/><Relationship Id="rId241" Type="http://schemas.openxmlformats.org/officeDocument/2006/relationships/hyperlink" Target="https://bearzt-my.sharepoint.com/:b:/g/personal/sarellano_no-mii_com/Eby0F7PMvalInguVgzTtQ-4B7Fp_6RZ_8vBt-XcdgGgxTg?e=deCgiU" TargetMode="External"/><Relationship Id="rId479" Type="http://schemas.openxmlformats.org/officeDocument/2006/relationships/hyperlink" Target="https://bearzt-my.sharepoint.com/:b:/g/personal/sarellano_no-mii_com/Ed-nVqE2jd1NuOVTSZCeUB4BIK5Rr79CPRDs76cPQZDiJg?e=nhbOsM" TargetMode="External"/><Relationship Id="rId686" Type="http://schemas.openxmlformats.org/officeDocument/2006/relationships/hyperlink" Target="https://bearzt-my.sharepoint.com/:b:/g/personal/sarellano_no-mii_com/EUtvGRSAT7tMle7CullV2o8BN8pnDyFRQe_esVyjFaTqmQ?e=vLQCSf" TargetMode="External"/><Relationship Id="rId893" Type="http://schemas.openxmlformats.org/officeDocument/2006/relationships/hyperlink" Target="https://bearzt-my.sharepoint.com/:b:/g/personal/sarellano_no-mii_com/IQCum2THMPr0Qb7bdwHoLOyVAZxZsf4UIkIQZJKgJ2wKlHY?e=T2l9Do" TargetMode="External"/><Relationship Id="rId339" Type="http://schemas.openxmlformats.org/officeDocument/2006/relationships/hyperlink" Target="https://bearzt-my.sharepoint.com/:b:/g/personal/sarellano_no-mii_com/Ee5kyGaC_G5Ijuo3hKi8QMsB2B1gDV9B6lyeYepYHcE6-w?e=FK09Fa" TargetMode="External"/><Relationship Id="rId546" Type="http://schemas.openxmlformats.org/officeDocument/2006/relationships/hyperlink" Target="https://bearzt-my.sharepoint.com/:b:/g/personal/sarellano_no-mii_com/EVtXPxMjYo9AnjbFAilmT_MBf7npbHRsGi1xDBSoRTLFqA?e=vBYmQa" TargetMode="External"/><Relationship Id="rId753" Type="http://schemas.openxmlformats.org/officeDocument/2006/relationships/hyperlink" Target="https://bearzt-my.sharepoint.com/:b:/g/personal/sarellano_no-mii_com/IQDEml5xlin4RqvezGklsPy_AUXiNzTqgaBSJ1hT8BJeXdA?e=w6uw0r" TargetMode="External"/><Relationship Id="rId1176" Type="http://schemas.openxmlformats.org/officeDocument/2006/relationships/hyperlink" Target="https://bearzt-my.sharepoint.com/:b:/g/personal/sarellano_no-mii_com/IQAdwRkMEWoZS7iVQt5HsgwWATU3aOeW-t4JriTMKyEFMjM?e=85goJb" TargetMode="External"/><Relationship Id="rId101" Type="http://schemas.openxmlformats.org/officeDocument/2006/relationships/hyperlink" Target="https://bearzt-my.sharepoint.com/:b:/g/personal/sarellano_no-mii_com/ETDlDEIQFEhJvULdmlvEeY0BFOxyMUkWeM4ONUGjEHp7yQ?e=jlJZQz" TargetMode="External"/><Relationship Id="rId406" Type="http://schemas.openxmlformats.org/officeDocument/2006/relationships/hyperlink" Target="https://bearzt-my.sharepoint.com/:b:/g/personal/sarellano_no-mii_com/EdcNYJdxixxIod7VbuluuUoBQrVWP0pvq9V7ha_RjY_COw?e=XJhcnm" TargetMode="External"/><Relationship Id="rId960" Type="http://schemas.openxmlformats.org/officeDocument/2006/relationships/hyperlink" Target="https://bearzt-my.sharepoint.com/:b:/g/personal/sarellano_no-mii_com/IQDFo4giMkoOT4QbluVqVFq0AWs89B4yYvYWOh01nqdT5e0?e=HoVLnO" TargetMode="External"/><Relationship Id="rId1036" Type="http://schemas.openxmlformats.org/officeDocument/2006/relationships/hyperlink" Target="https://bearzt-my.sharepoint.com/:b:/g/personal/sarellano_no-mii_com/IQCDumFgFOmsRaSNW95nukdFAepwoRKsr-fNNSfwNJBB7Do?e=pZSvLm" TargetMode="External"/><Relationship Id="rId613" Type="http://schemas.openxmlformats.org/officeDocument/2006/relationships/hyperlink" Target="https://bearzt-my.sharepoint.com/:b:/g/personal/sarellano_no-mii_com/EULO1SVt521PuFpNuW9jq8cBYFH4TiMd6AYEQd_IE0N3mA?e=eJFuc7" TargetMode="External"/><Relationship Id="rId820" Type="http://schemas.openxmlformats.org/officeDocument/2006/relationships/hyperlink" Target="https://bearzt-my.sharepoint.com/:b:/g/personal/sarellano_no-mii_com/IQC-zsmXEMbPSbl98wDzXidJAV644E-n4zWrEmG8KSqi67g?e=voMtav" TargetMode="External"/><Relationship Id="rId918" Type="http://schemas.openxmlformats.org/officeDocument/2006/relationships/hyperlink" Target="https://bearzt-my.sharepoint.com/:b:/g/personal/sarellano_no-mii_com/IQDzIh4kaMkqT5eUVnVdMyTZAYGdZ_QHBMvxkCEZ_RoYxjE?e=gTuD6O" TargetMode="External"/><Relationship Id="rId1103" Type="http://schemas.openxmlformats.org/officeDocument/2006/relationships/hyperlink" Target="https://bearzt-my.sharepoint.com/:b:/g/personal/sarellano_no-mii_com/IQA2Rn3cmyIDRYxsyWaVo4BVAUUlHDXNxE9X5lvCRotHHXk?e=XksUTa" TargetMode="External"/><Relationship Id="rId47" Type="http://schemas.openxmlformats.org/officeDocument/2006/relationships/hyperlink" Target="https://bearzt-my.sharepoint.com/:b:/g/personal/sarellano_no-mii_com/EboRzKemPdNLvcOFThjolbwBr4wCjGOazNLw6yAo_blSAg?e=DATxhx" TargetMode="External"/><Relationship Id="rId196" Type="http://schemas.openxmlformats.org/officeDocument/2006/relationships/hyperlink" Target="https://bearzt-my.sharepoint.com/:b:/g/personal/sarellano_no-mii_com/EbwPMvA08zJDn6eQcUGZ-jYBtPNcsS66mAnaHjSiMlxIyg?e=Oghhzm" TargetMode="External"/><Relationship Id="rId263" Type="http://schemas.openxmlformats.org/officeDocument/2006/relationships/hyperlink" Target="https://bearzt-my.sharepoint.com/:b:/g/personal/sarellano_no-mii_com/EVQZg5jleyJGkGyoA5BWdbEBPDKx4YKyKqeKdGODaK4RNw?e=yuGOvj" TargetMode="External"/><Relationship Id="rId470" Type="http://schemas.openxmlformats.org/officeDocument/2006/relationships/hyperlink" Target="https://bearzt-my.sharepoint.com/:b:/g/personal/sarellano_no-mii_com/EXnoiiyfMvdOpCYTsmiXVoQBCj1Xc796vv4jVBOAQSzmtg?e=NgkqVz" TargetMode="External"/><Relationship Id="rId123" Type="http://schemas.openxmlformats.org/officeDocument/2006/relationships/hyperlink" Target="https://bearzt-my.sharepoint.com/:b:/g/personal/sarellano_no-mii_com/EVWB5cW3gr5OhHiDgna4Ib8BGjwkFN0xhadVEjTCfPmDcw?e=4MScQt" TargetMode="External"/><Relationship Id="rId330" Type="http://schemas.openxmlformats.org/officeDocument/2006/relationships/hyperlink" Target="https://bearzt-my.sharepoint.com/:b:/g/personal/sarellano_no-mii_com/EY1gCaLae2BHvq1allDboWUBAq0Ytl_n7VoOC5aqZRMiaQ?e=Zdhr0g" TargetMode="External"/><Relationship Id="rId568" Type="http://schemas.openxmlformats.org/officeDocument/2006/relationships/hyperlink" Target="https://bearzt-my.sharepoint.com/:b:/g/personal/sarellano_no-mii_com/Eb3tBbiEqM1Irz0ZVtMJ_5UB9vdn32juwf0q7t0qalI2og?e=wcaYo2" TargetMode="External"/><Relationship Id="rId775" Type="http://schemas.openxmlformats.org/officeDocument/2006/relationships/hyperlink" Target="https://bearzt-my.sharepoint.com/:b:/g/personal/sarellano_no-mii_com/IQClAJiISvapTZwz3oQcwCiRAYKV-ZKnWNTUeeZPBQoSN40?e=XtAH6d" TargetMode="External"/><Relationship Id="rId982" Type="http://schemas.openxmlformats.org/officeDocument/2006/relationships/hyperlink" Target="https://bearzt-my.sharepoint.com/:b:/g/personal/sarellano_no-mii_com/IQC1ykSqgVAKToSVf4Dl264hAR0uUc3BqDAvuL0okm1DhB4?e=YZ37VZ" TargetMode="External"/><Relationship Id="rId1198" Type="http://schemas.openxmlformats.org/officeDocument/2006/relationships/hyperlink" Target="https://bearzt-my.sharepoint.com/:b:/g/personal/sarellano_no-mii_com/IQAVq943ERsPTLNetoYCt9oeAdGPjFf6skqWNxVwQ3j3MlM?e=xiS8k8" TargetMode="External"/><Relationship Id="rId428" Type="http://schemas.openxmlformats.org/officeDocument/2006/relationships/hyperlink" Target="https://bearzt-my.sharepoint.com/:b:/g/personal/sarellano_no-mii_com/Ee0xE20Hd0BAkVc-HUFAcOAB3Mmq-yoSKajP6IVUiAEHFw?e=51k9Pb" TargetMode="External"/><Relationship Id="rId635" Type="http://schemas.openxmlformats.org/officeDocument/2006/relationships/hyperlink" Target="https://bearzt-my.sharepoint.com/:b:/g/personal/sarellano_no-mii_com/EXWjk1dne11EudGyLpPgGScBvZvAF4z6zbwwjk4ucDsykQ?e=3Ok7HA" TargetMode="External"/><Relationship Id="rId842" Type="http://schemas.openxmlformats.org/officeDocument/2006/relationships/hyperlink" Target="https://bearzt-my.sharepoint.com/:b:/g/personal/sarellano_no-mii_com/IQBnZZOOyWt4QZSH9X18MyHJARcKjGi4-KESdPnMy_c_sqI?e=HS4e0y" TargetMode="External"/><Relationship Id="rId1058" Type="http://schemas.openxmlformats.org/officeDocument/2006/relationships/hyperlink" Target="https://bearzt-my.sharepoint.com/:i:/g/personal/sarellano_no-mii_com/IQBVZ91Qy1TCQq5Bpch1WCW4AclZ8kMORMqADP2pXtXktPM?e=Hfxahx" TargetMode="External"/><Relationship Id="rId702" Type="http://schemas.openxmlformats.org/officeDocument/2006/relationships/hyperlink" Target="https://bearzt-my.sharepoint.com/:b:/g/personal/sarellano_no-mii_com/ESaPgyD-oqdJmEgRfzK4Aw8BujOjkoEQrL24JO1guqUPgg?e=sDLdWs" TargetMode="External"/><Relationship Id="rId1125" Type="http://schemas.openxmlformats.org/officeDocument/2006/relationships/hyperlink" Target="https://bearzt-my.sharepoint.com/:b:/g/personal/sarellano_no-mii_com/IQDC_1QGzhK-TpfOeEB4zFutAcOHtsqFGZyASLCLI1kcPok?e=grRBpn" TargetMode="External"/><Relationship Id="rId69" Type="http://schemas.openxmlformats.org/officeDocument/2006/relationships/hyperlink" Target="https://bearzt-my.sharepoint.com/:b:/g/personal/sarellano_no-mii_com/EWqQ3pbyBwVLuDLkLlLnFCcB5n_NQsIjq_-CA1TdTEIokw?e=YXSjAj" TargetMode="External"/><Relationship Id="rId285" Type="http://schemas.openxmlformats.org/officeDocument/2006/relationships/hyperlink" Target="https://bearzt-my.sharepoint.com/:b:/g/personal/sarellano_no-mii_com/EWv8RjBgG1hLknummlFq1h8BaOy0BOykBP6TebtTD4CjqA?e=OBaKwx" TargetMode="External"/><Relationship Id="rId492" Type="http://schemas.openxmlformats.org/officeDocument/2006/relationships/hyperlink" Target="https://bearzt-my.sharepoint.com/:b:/g/personal/sarellano_no-mii_com/EcS70f8QVhtItQwr62lpHxoBlsBWW2BUy01eIOOldhFHZg?e=ILdGF4" TargetMode="External"/><Relationship Id="rId797" Type="http://schemas.openxmlformats.org/officeDocument/2006/relationships/hyperlink" Target="https://bearzt-my.sharepoint.com/:b:/g/personal/sarellano_no-mii_com/IQAEVZje0Rv3RaZD79EHIKJhAUA3g9vFKInFw2lBgi8AJ6Q?e=dZMU3x" TargetMode="External"/><Relationship Id="rId145" Type="http://schemas.openxmlformats.org/officeDocument/2006/relationships/hyperlink" Target="https://bearzt-my.sharepoint.com/:b:/g/personal/sarellano_no-mii_com/EdsLoHM-xvtCsslRKBola1kBC6I6q3vcA8XxHtSZJJETyw?e=QdMizj" TargetMode="External"/><Relationship Id="rId352" Type="http://schemas.openxmlformats.org/officeDocument/2006/relationships/hyperlink" Target="https://bearzt-my.sharepoint.com/:b:/g/personal/sarellano_no-mii_com/EUDDmcgQpo5KjfmjcBW_QCgBkjrl2LQp59EdpB71mWArpA?e=UgpXxH" TargetMode="External"/><Relationship Id="rId212" Type="http://schemas.openxmlformats.org/officeDocument/2006/relationships/hyperlink" Target="https://bearzt-my.sharepoint.com/:b:/g/personal/sarellano_no-mii_com/EZQZZ5kySWhBkzsJKRREhFAB6ME5JUs9Rh4t3L-fW9YKkA?e=Os4eeg" TargetMode="External"/><Relationship Id="rId657" Type="http://schemas.openxmlformats.org/officeDocument/2006/relationships/hyperlink" Target="https://bearzt-my.sharepoint.com/:b:/g/personal/sarellano_no-mii_com/Ec-7Z3teGW5Im8KLB4KYF5YBWX5z6RcUvI4qbgB2sgOgKw?e=NWa996" TargetMode="External"/><Relationship Id="rId864" Type="http://schemas.openxmlformats.org/officeDocument/2006/relationships/hyperlink" Target="https://bearzt-my.sharepoint.com/:b:/g/personal/sarellano_no-mii_com/IQAehu0sEyjGR7Vb4Bc71Sn-AZwJXAvup44U6vNJYLZxzzE?e=2U6ElO" TargetMode="External"/><Relationship Id="rId517" Type="http://schemas.openxmlformats.org/officeDocument/2006/relationships/hyperlink" Target="https://bearzt-my.sharepoint.com/:b:/g/personal/sarellano_no-mii_com/EVKcfTCYpxVIvfsrdGYJtTwB44FJV3sg4yyW7Sh2j_HDPw?e=cRxCza" TargetMode="External"/><Relationship Id="rId724" Type="http://schemas.openxmlformats.org/officeDocument/2006/relationships/hyperlink" Target="https://bearzt-my.sharepoint.com/:b:/g/personal/sarellano_no-mii_com/EV8JUlDvmV5LsTe5Nofy2b0BFweLAG6sYmCRG_ylS46dOg?e=kEIiKu" TargetMode="External"/><Relationship Id="rId931" Type="http://schemas.openxmlformats.org/officeDocument/2006/relationships/hyperlink" Target="https://bearzt-my.sharepoint.com/:b:/g/personal/sarellano_no-mii_com/IQB_-3qBprirTK58ls0ANAsZAbb3bfWldkqQi-ZDboctH6M?e=FSYkaL" TargetMode="External"/><Relationship Id="rId1147" Type="http://schemas.openxmlformats.org/officeDocument/2006/relationships/hyperlink" Target="https://bearzt-my.sharepoint.com/:b:/g/personal/sarellano_no-mii_com/IQAqCNygR4M4Qqcfjm8yeaHwAd9i1s-jbjevNtLv6raFr20?e=hmx4pl" TargetMode="External"/><Relationship Id="rId60" Type="http://schemas.openxmlformats.org/officeDocument/2006/relationships/hyperlink" Target="https://bearzt-my.sharepoint.com/:b:/g/personal/sarellano_no-mii_com/EYzAHtK8SlRNp4usOhIF9xkBAy4L5o2Ty2IgKvXgMcMKIA?e=UhA4Wc" TargetMode="External"/><Relationship Id="rId1007" Type="http://schemas.openxmlformats.org/officeDocument/2006/relationships/hyperlink" Target="https://bearzt-my.sharepoint.com/:b:/g/personal/sarellano_no-mii_com/IQByXYDclmX2SIceD3LNSUEmAQMUR9aCCLQLZ78hz9-aEuU?e=Mu2SuQ" TargetMode="External"/><Relationship Id="rId1214" Type="http://schemas.openxmlformats.org/officeDocument/2006/relationships/hyperlink" Target="https://bearzt-my.sharepoint.com/:b:/g/personal/sarellano_no-mii_com/IQDF-tfscjlETZ2bhM-HUuhUAb9Ig3_j0cHbWbueoKQ6IzM?e=qVCYZW" TargetMode="External"/><Relationship Id="rId18" Type="http://schemas.openxmlformats.org/officeDocument/2006/relationships/hyperlink" Target="https://bearzt-my.sharepoint.com/:b:/g/personal/sarellano_no-mii_com/EWQRBKVkFGVJnKBfRJ69v94Bt7uvvWxbFAOWlsWbRrI6gg?e=0XWAiF" TargetMode="External"/><Relationship Id="rId167" Type="http://schemas.openxmlformats.org/officeDocument/2006/relationships/hyperlink" Target="https://bearzt-my.sharepoint.com/:b:/g/personal/sarellano_no-mii_com/EfY4Y002sABHtNLwwTcKmzQBUMvdrFOfpK6fMY8-r4Q5Mg?e=9pDZRL" TargetMode="External"/><Relationship Id="rId374" Type="http://schemas.openxmlformats.org/officeDocument/2006/relationships/hyperlink" Target="https://bearzt-my.sharepoint.com/:b:/g/personal/sarellano_no-mii_com/ET68UOA8ioZHpHki07DMXl8BYxTPdS7Si4yHIgSv-S6IyQ?e=ZD5b8C" TargetMode="External"/><Relationship Id="rId581" Type="http://schemas.openxmlformats.org/officeDocument/2006/relationships/hyperlink" Target="https://bearzt-my.sharepoint.com/:b:/g/personal/sarellano_no-mii_com/EVnqt5AkMThLkeVx518M1TgBM_YRg-iWBVV1rAycXX_8Ow?e=Mk40Je" TargetMode="External"/><Relationship Id="rId234" Type="http://schemas.openxmlformats.org/officeDocument/2006/relationships/hyperlink" Target="https://bearzt-my.sharepoint.com/:b:/g/personal/sarellano_no-mii_com/EQYr80kn179AiNYhIuwNhzkBxt_ky0QdMKBxfO5SxJZTWw?e=Odx7uf" TargetMode="External"/><Relationship Id="rId679" Type="http://schemas.openxmlformats.org/officeDocument/2006/relationships/hyperlink" Target="https://bearzt-my.sharepoint.com/:b:/g/personal/sarellano_no-mii_com/Ec4yrxIiqChAjj-e_EXuO-YBqTmPUCOCjM0JmPMRP3_25w?e=sy0WXI" TargetMode="External"/><Relationship Id="rId886" Type="http://schemas.openxmlformats.org/officeDocument/2006/relationships/hyperlink" Target="https://bearzt-my.sharepoint.com/:b:/g/personal/sarellano_no-mii_com/IQA2U4RrQT7xT4lYJEleHt8EAV-yFQ8WNA1MNNXdHEUH9j0?e=xJCKoh" TargetMode="External"/><Relationship Id="rId2" Type="http://schemas.openxmlformats.org/officeDocument/2006/relationships/hyperlink" Target="https://bearzt-my.sharepoint.com/:b:/g/personal/sarellano_no-mii_com/ES65XGIDRytHtGSVR00l2FgBDFohLpKdNLpw7bhcVriAFg?e=IdGpeN" TargetMode="External"/><Relationship Id="rId441" Type="http://schemas.openxmlformats.org/officeDocument/2006/relationships/hyperlink" Target="https://bearzt-my.sharepoint.com/:b:/g/personal/sarellano_no-mii_com/EVG7lLX6L81LpWhDs3xzRj4BI3Q0JGdtiupnQOEFPzfKNw?e=qPpOut" TargetMode="External"/><Relationship Id="rId539" Type="http://schemas.openxmlformats.org/officeDocument/2006/relationships/hyperlink" Target="https://bearzt-my.sharepoint.com/:b:/g/personal/sarellano_no-mii_com/EYOhwVgn3dxNsQf5F_9pAWQB2cUXd_zz4G5dl6bJmiwPDA?e=PNhyaX" TargetMode="External"/><Relationship Id="rId746" Type="http://schemas.openxmlformats.org/officeDocument/2006/relationships/hyperlink" Target="https://bearzt-my.sharepoint.com/:b:/g/personal/sarellano_no-mii_com/IQA-QhLT7KcOQqHQagUr77rjAdZbMlHdYC-NCMZ1Uhh_WF4?e=d0PLc9" TargetMode="External"/><Relationship Id="rId1071" Type="http://schemas.openxmlformats.org/officeDocument/2006/relationships/hyperlink" Target="https://bearzt-my.sharepoint.com/:b:/g/personal/sarellano_no-mii_com/IQDEs2TBvUEIQaIZmkVExktDASJtOfN58hk5w9iwA6EjcEM?e=BM0Zgh" TargetMode="External"/><Relationship Id="rId1169" Type="http://schemas.openxmlformats.org/officeDocument/2006/relationships/hyperlink" Target="https://bearzt-my.sharepoint.com/:b:/g/personal/sarellano_no-mii_com/IQDGILOirGHeQ7NzBNFLzyf2ASgriavyQ8cw34FYxq6GLEg?e=pcEtHv" TargetMode="External"/><Relationship Id="rId301" Type="http://schemas.openxmlformats.org/officeDocument/2006/relationships/hyperlink" Target="https://bearzt-my.sharepoint.com/:b:/g/personal/sarellano_no-mii_com/EextcFO7k7VOsIxJOaEQ-f4BGXvhg9HSidtGQ7iZASuFNg?e=h7QJpC" TargetMode="External"/><Relationship Id="rId953" Type="http://schemas.openxmlformats.org/officeDocument/2006/relationships/hyperlink" Target="https://bearzt-my.sharepoint.com/:b:/g/personal/sarellano_no-mii_com/IQDz_Ztm3G55QZdJhqCKeoq4AeKsmJNCVIDeFcO1aRIqfJI?e=3Ytplf" TargetMode="External"/><Relationship Id="rId1029" Type="http://schemas.openxmlformats.org/officeDocument/2006/relationships/hyperlink" Target="https://bearzt-my.sharepoint.com/:b:/g/personal/sarellano_no-mii_com/IQDL4zoYbhYvRrGP-_8y9aMIAUD4ARh13BBpuIlLIifQ8CI?e=Svfbrb" TargetMode="External"/><Relationship Id="rId1236" Type="http://schemas.openxmlformats.org/officeDocument/2006/relationships/comments" Target="../comments5.xml"/><Relationship Id="rId82" Type="http://schemas.openxmlformats.org/officeDocument/2006/relationships/hyperlink" Target="https://bearzt-my.sharepoint.com/:b:/g/personal/sarellano_no-mii_com/EdjcgCNjgW1EpXwzLAFOvp8BP97Ghf3Fs4cbPqEpBB_AVw?e=1GwkUH" TargetMode="External"/><Relationship Id="rId606" Type="http://schemas.openxmlformats.org/officeDocument/2006/relationships/hyperlink" Target="https://bearzt-my.sharepoint.com/:b:/g/personal/sarellano_no-mii_com/EbVrwbSykn1CnK1yq8lyBR4B87LHZM1JTDUQUIfDbGslgw?e=p3fmmU" TargetMode="External"/><Relationship Id="rId813" Type="http://schemas.openxmlformats.org/officeDocument/2006/relationships/hyperlink" Target="https://bearzt-my.sharepoint.com/:b:/g/personal/sarellano_no-mii_com/IQDfctG35VXES6se9vPUGgQ9AZr1LYe1jklvTix3WLLDaZ0?e=jskl5U" TargetMode="Externa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3" Type="http://schemas.openxmlformats.org/officeDocument/2006/relationships/hyperlink" Target="https://www.exchange-rates.org/exchange-rate-history/eur-usd-2025" TargetMode="External"/><Relationship Id="rId18" Type="http://schemas.openxmlformats.org/officeDocument/2006/relationships/hyperlink" Target="https://www.exchange-rates.org/exchange-rate-history/eur-clp-2025" TargetMode="External"/><Relationship Id="rId26" Type="http://schemas.openxmlformats.org/officeDocument/2006/relationships/hyperlink" Target="https://www.exchange-rates.org/exchange-rate-history/eur-usd-2026" TargetMode="External"/><Relationship Id="rId39" Type="http://schemas.openxmlformats.org/officeDocument/2006/relationships/table" Target="../tables/table21.xml"/><Relationship Id="rId21" Type="http://schemas.openxmlformats.org/officeDocument/2006/relationships/hyperlink" Target="https://www.exchange-rates.org/exchange-rate-history/eur-usd-2025" TargetMode="External"/><Relationship Id="rId34" Type="http://schemas.openxmlformats.org/officeDocument/2006/relationships/table" Target="../tables/table16.xml"/><Relationship Id="rId42" Type="http://schemas.openxmlformats.org/officeDocument/2006/relationships/table" Target="../tables/table24.xml"/><Relationship Id="rId47" Type="http://schemas.openxmlformats.org/officeDocument/2006/relationships/table" Target="../tables/table29.xml"/><Relationship Id="rId7" Type="http://schemas.openxmlformats.org/officeDocument/2006/relationships/hyperlink" Target="https://www.exchange-rates.org/exchange-rate-history/eur-usd-2025" TargetMode="External"/><Relationship Id="rId2" Type="http://schemas.openxmlformats.org/officeDocument/2006/relationships/hyperlink" Target="https://www.exchange-rates.org/exchange-rate-history/eur-clp-2025" TargetMode="External"/><Relationship Id="rId16" Type="http://schemas.openxmlformats.org/officeDocument/2006/relationships/hyperlink" Target="https://www.exchange-rates.org/exchange-rate-history/eur-clp-2025" TargetMode="External"/><Relationship Id="rId29" Type="http://schemas.openxmlformats.org/officeDocument/2006/relationships/hyperlink" Target="https://www.exchange-rates.org/exchange-rate-history/eur-clp-2026" TargetMode="External"/><Relationship Id="rId11" Type="http://schemas.openxmlformats.org/officeDocument/2006/relationships/hyperlink" Target="https://www.exchange-rates.org/exchange-rate-history/eur-usd-2025" TargetMode="External"/><Relationship Id="rId24" Type="http://schemas.openxmlformats.org/officeDocument/2006/relationships/hyperlink" Target="https://www.exchange-rates.org/exchange-rate-history/eur-clp-2025" TargetMode="External"/><Relationship Id="rId32" Type="http://schemas.openxmlformats.org/officeDocument/2006/relationships/table" Target="../tables/table14.xml"/><Relationship Id="rId37" Type="http://schemas.openxmlformats.org/officeDocument/2006/relationships/table" Target="../tables/table19.xml"/><Relationship Id="rId40" Type="http://schemas.openxmlformats.org/officeDocument/2006/relationships/table" Target="../tables/table22.xml"/><Relationship Id="rId45" Type="http://schemas.openxmlformats.org/officeDocument/2006/relationships/table" Target="../tables/table27.xml"/><Relationship Id="rId5" Type="http://schemas.openxmlformats.org/officeDocument/2006/relationships/hyperlink" Target="https://www.exchange-rates.org/exchange-rate-history/eur-usd-2025" TargetMode="External"/><Relationship Id="rId15" Type="http://schemas.openxmlformats.org/officeDocument/2006/relationships/hyperlink" Target="https://www.exchange-rates.org/exchange-rate-history/eur-usd-2025" TargetMode="External"/><Relationship Id="rId23" Type="http://schemas.openxmlformats.org/officeDocument/2006/relationships/hyperlink" Target="https://www.exchange-rates.org/exchange-rate-history/eur-usd-2025" TargetMode="External"/><Relationship Id="rId28" Type="http://schemas.openxmlformats.org/officeDocument/2006/relationships/hyperlink" Target="https://www.exchange-rates.org/exchange-rate-history/eur-usd-2026" TargetMode="External"/><Relationship Id="rId36" Type="http://schemas.openxmlformats.org/officeDocument/2006/relationships/table" Target="../tables/table18.xml"/><Relationship Id="rId49" Type="http://schemas.openxmlformats.org/officeDocument/2006/relationships/table" Target="../tables/table31.xml"/><Relationship Id="rId10" Type="http://schemas.openxmlformats.org/officeDocument/2006/relationships/hyperlink" Target="https://www.exchange-rates.org/exchange-rate-history/eur-clp-2025" TargetMode="External"/><Relationship Id="rId19" Type="http://schemas.openxmlformats.org/officeDocument/2006/relationships/hyperlink" Target="https://www.exchange-rates.org/exchange-rate-history/eur-usd-2025" TargetMode="External"/><Relationship Id="rId31" Type="http://schemas.openxmlformats.org/officeDocument/2006/relationships/table" Target="../tables/table13.xml"/><Relationship Id="rId44" Type="http://schemas.openxmlformats.org/officeDocument/2006/relationships/table" Target="../tables/table26.xml"/><Relationship Id="rId4" Type="http://schemas.openxmlformats.org/officeDocument/2006/relationships/hyperlink" Target="https://www.exchange-rates.org/exchange-rate-history/eur-clp-2025" TargetMode="External"/><Relationship Id="rId9" Type="http://schemas.openxmlformats.org/officeDocument/2006/relationships/hyperlink" Target="https://www.exchange-rates.org/exchange-rate-history/eur-usd-2025" TargetMode="External"/><Relationship Id="rId14" Type="http://schemas.openxmlformats.org/officeDocument/2006/relationships/hyperlink" Target="https://www.exchange-rates.org/exchange-rate-history/eur-clp-2025" TargetMode="External"/><Relationship Id="rId22" Type="http://schemas.openxmlformats.org/officeDocument/2006/relationships/hyperlink" Target="https://www.exchange-rates.org/exchange-rate-history/eur-clp-2025" TargetMode="External"/><Relationship Id="rId27" Type="http://schemas.openxmlformats.org/officeDocument/2006/relationships/hyperlink" Target="https://www.exchange-rates.org/exchange-rate-history/eur-clp-2026" TargetMode="External"/><Relationship Id="rId30" Type="http://schemas.openxmlformats.org/officeDocument/2006/relationships/hyperlink" Target="https://www.exchange-rates.org/exchange-rate-history/eur-usd-2026" TargetMode="External"/><Relationship Id="rId35" Type="http://schemas.openxmlformats.org/officeDocument/2006/relationships/table" Target="../tables/table17.xml"/><Relationship Id="rId43" Type="http://schemas.openxmlformats.org/officeDocument/2006/relationships/table" Target="../tables/table25.xml"/><Relationship Id="rId48" Type="http://schemas.openxmlformats.org/officeDocument/2006/relationships/table" Target="../tables/table30.xml"/><Relationship Id="rId8" Type="http://schemas.openxmlformats.org/officeDocument/2006/relationships/hyperlink" Target="https://www.exchange-rates.org/exchange-rate-history/eur-clp-2025" TargetMode="External"/><Relationship Id="rId3" Type="http://schemas.openxmlformats.org/officeDocument/2006/relationships/hyperlink" Target="https://www.exchange-rates.org/exchange-rate-history/eur-usd-2025" TargetMode="External"/><Relationship Id="rId12" Type="http://schemas.openxmlformats.org/officeDocument/2006/relationships/hyperlink" Target="https://www.exchange-rates.org/exchange-rate-history/eur-clp-2025" TargetMode="External"/><Relationship Id="rId17" Type="http://schemas.openxmlformats.org/officeDocument/2006/relationships/hyperlink" Target="https://www.exchange-rates.org/exchange-rate-history/eur-usd-2025" TargetMode="External"/><Relationship Id="rId25" Type="http://schemas.openxmlformats.org/officeDocument/2006/relationships/hyperlink" Target="https://www.exchange-rates.org/exchange-rate-history/eur-clp-2026" TargetMode="External"/><Relationship Id="rId33" Type="http://schemas.openxmlformats.org/officeDocument/2006/relationships/table" Target="../tables/table15.xml"/><Relationship Id="rId38" Type="http://schemas.openxmlformats.org/officeDocument/2006/relationships/table" Target="../tables/table20.xml"/><Relationship Id="rId46" Type="http://schemas.openxmlformats.org/officeDocument/2006/relationships/table" Target="../tables/table28.xml"/><Relationship Id="rId20" Type="http://schemas.openxmlformats.org/officeDocument/2006/relationships/hyperlink" Target="https://www.exchange-rates.org/exchange-rate-history/eur-clp-2025" TargetMode="External"/><Relationship Id="rId41" Type="http://schemas.openxmlformats.org/officeDocument/2006/relationships/table" Target="../tables/table23.xml"/><Relationship Id="rId1" Type="http://schemas.openxmlformats.org/officeDocument/2006/relationships/hyperlink" Target="https://www.exchange-rates.org/exchange-rate-history/eur-usd-2025" TargetMode="External"/><Relationship Id="rId6" Type="http://schemas.openxmlformats.org/officeDocument/2006/relationships/hyperlink" Target="https://www.exchange-rates.org/exchange-rate-history/eur-clp-2025" TargetMode="External"/></Relationships>
</file>

<file path=xl/worksheets/_rels/sheet16.xml.rels><?xml version="1.0" encoding="UTF-8" standalone="yes"?>
<Relationships xmlns="http://schemas.openxmlformats.org/package/2006/relationships"><Relationship Id="rId1" Type="http://schemas.openxmlformats.org/officeDocument/2006/relationships/table" Target="../tables/table3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662AC-3DEE-4768-AECA-18CD231484F3}">
  <dimension ref="A1:Q42"/>
  <sheetViews>
    <sheetView topLeftCell="A9" zoomScale="91" workbookViewId="0">
      <selection activeCell="A8" sqref="A8:A11"/>
    </sheetView>
  </sheetViews>
  <sheetFormatPr baseColWidth="10" defaultColWidth="15.6640625" defaultRowHeight="15"/>
  <cols>
    <col min="1" max="1" width="16.6640625" bestFit="1" customWidth="1"/>
  </cols>
  <sheetData>
    <row r="1" spans="1:17" ht="16" thickBot="1">
      <c r="A1" s="255" t="s">
        <v>25</v>
      </c>
      <c r="B1" s="256" t="s">
        <v>10</v>
      </c>
      <c r="C1" s="256" t="s">
        <v>11</v>
      </c>
      <c r="D1" s="256" t="s">
        <v>12</v>
      </c>
      <c r="E1" s="256" t="s">
        <v>13</v>
      </c>
      <c r="F1" s="256" t="s">
        <v>14</v>
      </c>
      <c r="G1" s="256" t="s">
        <v>15</v>
      </c>
      <c r="H1" s="256" t="s">
        <v>16</v>
      </c>
      <c r="I1" s="256" t="s">
        <v>17</v>
      </c>
      <c r="J1" s="256" t="s">
        <v>18</v>
      </c>
      <c r="K1" s="256" t="s">
        <v>19</v>
      </c>
      <c r="L1" s="256" t="s">
        <v>20</v>
      </c>
      <c r="M1" s="256" t="s">
        <v>21</v>
      </c>
      <c r="N1" s="256" t="s">
        <v>22</v>
      </c>
      <c r="O1" s="256" t="s">
        <v>23</v>
      </c>
      <c r="P1" s="256" t="s">
        <v>24</v>
      </c>
      <c r="Q1" s="257" t="s">
        <v>38</v>
      </c>
    </row>
    <row r="2" spans="1:17">
      <c r="A2" s="253">
        <v>45658</v>
      </c>
      <c r="B2" s="2">
        <f>IFERROR(SUMIFS(INGRESOS!$J:$J,INGRESOS!$T:$T,B$1,INGRESOS!$A:$A,"&gt;="&amp;$A2,INGRESOS!$A:$A,"&lt;="&amp;EOMONTH($A2,0)),0)</f>
        <v>5970</v>
      </c>
      <c r="C2" s="2">
        <f>IFERROR(SUMIFS(INGRESOS!$J:$J,INGRESOS!$T:$T,C$1,INGRESOS!$A:$A,"&gt;="&amp;$A2,INGRESOS!$A:$A,"&lt;="&amp;EOMONTH($A2,0)),0)</f>
        <v>4983.5962712473829</v>
      </c>
      <c r="D2" s="2">
        <f>IFERROR(SUMIFS(INGRESOS!$J:$J,INGRESOS!$T:$T,D$1,INGRESOS!$A:$A,"&gt;="&amp;$A2,INGRESOS!$A:$A,"&lt;="&amp;EOMONTH($A2,0)),0)</f>
        <v>0</v>
      </c>
      <c r="E2" s="2">
        <f>IFERROR(SUMIFS(INGRESOS!$J:$J,INGRESOS!$T:$T,E$1,INGRESOS!$A:$A,"&gt;="&amp;$A2,INGRESOS!$A:$A,"&lt;="&amp;EOMONTH($A2,0)),0)</f>
        <v>0</v>
      </c>
      <c r="F2" s="2">
        <f>IFERROR(SUMIFS(INGRESOS!$J:$J,INGRESOS!$T:$T,F$1,INGRESOS!$A:$A,"&gt;="&amp;$A2,INGRESOS!$A:$A,"&lt;="&amp;EOMONTH($A2,0)),0)</f>
        <v>0</v>
      </c>
      <c r="G2" s="2">
        <f>IFERROR(SUMIFS(INGRESOS!$J:$J,INGRESOS!$T:$T,G$1,INGRESOS!$A:$A,"&gt;="&amp;$A2,INGRESOS!$A:$A,"&lt;="&amp;EOMONTH($A2,0)),0)</f>
        <v>0</v>
      </c>
      <c r="H2" s="2">
        <f>IFERROR(SUMIFS(INGRESOS!$J:$J,INGRESOS!$T:$T,H$1,INGRESOS!$A:$A,"&gt;="&amp;$A2,INGRESOS!$A:$A,"&lt;="&amp;EOMONTH($A2,0)),0)</f>
        <v>0</v>
      </c>
      <c r="I2" s="2">
        <f>IFERROR(SUMIFS(INGRESOS!$J:$J,INGRESOS!$T:$T,I$1,INGRESOS!$A:$A,"&gt;="&amp;$A2,INGRESOS!$A:$A,"&lt;="&amp;EOMONTH($A2,0)),0)</f>
        <v>0</v>
      </c>
      <c r="J2" s="2">
        <f>IFERROR(SUMIFS(INGRESOS!$J:$J,INGRESOS!$T:$T,J$1,INGRESOS!$A:$A,"&gt;="&amp;$A2,INGRESOS!$A:$A,"&lt;="&amp;EOMONTH($A2,0)),0)</f>
        <v>0</v>
      </c>
      <c r="K2" s="2">
        <f>IFERROR(SUMIFS(INGRESOS!$J:$J,INGRESOS!$T:$T,K$1,INGRESOS!$A:$A,"&gt;="&amp;$A2,INGRESOS!$A:$A,"&lt;="&amp;EOMONTH($A2,0)),0)</f>
        <v>0</v>
      </c>
      <c r="L2" s="2">
        <f>IFERROR(SUMIFS(INGRESOS!$J:$J,INGRESOS!$T:$T,L$1,INGRESOS!$A:$A,"&gt;="&amp;$A2,INGRESOS!$A:$A,"&lt;="&amp;EOMONTH($A2,0)),0)</f>
        <v>0</v>
      </c>
      <c r="M2" s="2">
        <f>IFERROR(SUMIFS(INGRESOS!$J:$J,INGRESOS!$T:$T,M$1,INGRESOS!$A:$A,"&gt;="&amp;$A2,INGRESOS!$A:$A,"&lt;="&amp;EOMONTH($A2,0)),0)</f>
        <v>0</v>
      </c>
      <c r="N2" s="2">
        <f>IFERROR(SUMIFS(INGRESOS!$J:$J,INGRESOS!$T:$T,N$1,INGRESOS!$A:$A,"&gt;="&amp;$A2,INGRESOS!$A:$A,"&lt;="&amp;EOMONTH($A2,0)),0)</f>
        <v>0</v>
      </c>
      <c r="O2" s="2">
        <f>IFERROR(SUMIFS(INGRESOS!$J:$J,INGRESOS!$T:$T,O$1,INGRESOS!$A:$A,"&gt;="&amp;$A2,INGRESOS!$A:$A,"&lt;="&amp;EOMONTH($A2,0)),0)</f>
        <v>0</v>
      </c>
      <c r="P2" s="2">
        <f>IFERROR(SUMIFS(INGRESOS!$J:$J,INGRESOS!$T:$T,P$1,INGRESOS!$A:$A,"&gt;="&amp;$A2,INGRESOS!$A:$A,"&lt;="&amp;EOMONTH($A2,0)),0)</f>
        <v>0</v>
      </c>
      <c r="Q2" s="2">
        <f>+SUM(Tabla8[[#This Row],[El Salvador]:[Nicaragua]])</f>
        <v>10953.596271247383</v>
      </c>
    </row>
    <row r="3" spans="1:17">
      <c r="A3" s="254">
        <v>45689</v>
      </c>
      <c r="B3" s="2">
        <f>IFERROR(SUMIFS(INGRESOS!$J:$J,INGRESOS!$T:$T,B$1,INGRESOS!$A:$A,"&gt;="&amp;$A3,INGRESOS!$A:$A,"&lt;="&amp;EOMONTH($A3,0)),0)</f>
        <v>0</v>
      </c>
      <c r="C3" s="2">
        <f>IFERROR(SUMIFS(INGRESOS!$J:$J,INGRESOS!$T:$T,C$1,INGRESOS!$A:$A,"&gt;="&amp;$A3,INGRESOS!$A:$A,"&lt;="&amp;EOMONTH($A3,0)),0)</f>
        <v>10194.845567790571</v>
      </c>
      <c r="D3" s="2">
        <f>IFERROR(SUMIFS(INGRESOS!$J:$J,INGRESOS!$T:$T,D$1,INGRESOS!$A:$A,"&gt;="&amp;$A3,INGRESOS!$A:$A,"&lt;="&amp;EOMONTH($A3,0)),0)</f>
        <v>0</v>
      </c>
      <c r="E3" s="2">
        <f>IFERROR(SUMIFS(INGRESOS!$J:$J,INGRESOS!$T:$T,E$1,INGRESOS!$A:$A,"&gt;="&amp;$A3,INGRESOS!$A:$A,"&lt;="&amp;EOMONTH($A3,0)),0)</f>
        <v>0</v>
      </c>
      <c r="F3" s="2">
        <f>IFERROR(SUMIFS(INGRESOS!$J:$J,INGRESOS!$T:$T,F$1,INGRESOS!$A:$A,"&gt;="&amp;$A3,INGRESOS!$A:$A,"&lt;="&amp;EOMONTH($A3,0)),0)</f>
        <v>0</v>
      </c>
      <c r="G3" s="2">
        <f>IFERROR(SUMIFS(INGRESOS!$J:$J,INGRESOS!$T:$T,G$1,INGRESOS!$A:$A,"&gt;="&amp;$A3,INGRESOS!$A:$A,"&lt;="&amp;EOMONTH($A3,0)),0)</f>
        <v>0</v>
      </c>
      <c r="H3" s="2">
        <f>IFERROR(SUMIFS(INGRESOS!$J:$J,INGRESOS!$T:$T,H$1,INGRESOS!$A:$A,"&gt;="&amp;$A3,INGRESOS!$A:$A,"&lt;="&amp;EOMONTH($A3,0)),0)</f>
        <v>0</v>
      </c>
      <c r="I3" s="2">
        <f>IFERROR(SUMIFS(INGRESOS!$J:$J,INGRESOS!$T:$T,I$1,INGRESOS!$A:$A,"&gt;="&amp;$A3,INGRESOS!$A:$A,"&lt;="&amp;EOMONTH($A3,0)),0)</f>
        <v>0</v>
      </c>
      <c r="J3" s="2">
        <f>IFERROR(SUMIFS(INGRESOS!$J:$J,INGRESOS!$T:$T,J$1,INGRESOS!$A:$A,"&gt;="&amp;$A3,INGRESOS!$A:$A,"&lt;="&amp;EOMONTH($A3,0)),0)</f>
        <v>0</v>
      </c>
      <c r="K3" s="2">
        <f>IFERROR(SUMIFS(INGRESOS!$J:$J,INGRESOS!$T:$T,K$1,INGRESOS!$A:$A,"&gt;="&amp;$A3,INGRESOS!$A:$A,"&lt;="&amp;EOMONTH($A3,0)),0)</f>
        <v>0</v>
      </c>
      <c r="L3" s="2">
        <f>IFERROR(SUMIFS(INGRESOS!$J:$J,INGRESOS!$T:$T,L$1,INGRESOS!$A:$A,"&gt;="&amp;$A3,INGRESOS!$A:$A,"&lt;="&amp;EOMONTH($A3,0)),0)</f>
        <v>0</v>
      </c>
      <c r="M3" s="2">
        <f>IFERROR(SUMIFS(INGRESOS!$J:$J,INGRESOS!$T:$T,M$1,INGRESOS!$A:$A,"&gt;="&amp;$A3,INGRESOS!$A:$A,"&lt;="&amp;EOMONTH($A3,0)),0)</f>
        <v>0</v>
      </c>
      <c r="N3" s="2">
        <f>IFERROR(SUMIFS(INGRESOS!$J:$J,INGRESOS!$T:$T,N$1,INGRESOS!$A:$A,"&gt;="&amp;$A3,INGRESOS!$A:$A,"&lt;="&amp;EOMONTH($A3,0)),0)</f>
        <v>0</v>
      </c>
      <c r="O3" s="2">
        <f>IFERROR(SUMIFS(INGRESOS!$J:$J,INGRESOS!$T:$T,O$1,INGRESOS!$A:$A,"&gt;="&amp;$A3,INGRESOS!$A:$A,"&lt;="&amp;EOMONTH($A3,0)),0)</f>
        <v>0</v>
      </c>
      <c r="P3" s="2">
        <f>IFERROR(SUMIFS(INGRESOS!$J:$J,INGRESOS!$T:$T,P$1,INGRESOS!$A:$A,"&gt;="&amp;$A3,INGRESOS!$A:$A,"&lt;="&amp;EOMONTH($A3,0)),0)</f>
        <v>0</v>
      </c>
      <c r="Q3" s="2">
        <f>+SUM(Tabla8[[#This Row],[El Salvador]:[Nicaragua]])</f>
        <v>10194.845567790571</v>
      </c>
    </row>
    <row r="4" spans="1:17">
      <c r="A4" s="253">
        <v>45717</v>
      </c>
      <c r="B4" s="2">
        <f>IFERROR(SUMIFS(INGRESOS!$J:$J,INGRESOS!$T:$T,B$1,INGRESOS!$A:$A,"&gt;="&amp;$A4,INGRESOS!$A:$A,"&lt;="&amp;EOMONTH($A4,0)),0)</f>
        <v>773.5</v>
      </c>
      <c r="C4" s="2">
        <f>IFERROR(SUMIFS(INGRESOS!$J:$J,INGRESOS!$T:$T,C$1,INGRESOS!$A:$A,"&gt;="&amp;$A4,INGRESOS!$A:$A,"&lt;="&amp;EOMONTH($A4,0)),0)</f>
        <v>9141.7075519999999</v>
      </c>
      <c r="D4" s="2">
        <f>IFERROR(SUMIFS(INGRESOS!$J:$J,INGRESOS!$T:$T,D$1,INGRESOS!$A:$A,"&gt;="&amp;$A4,INGRESOS!$A:$A,"&lt;="&amp;EOMONTH($A4,0)),0)</f>
        <v>5570.0412999999999</v>
      </c>
      <c r="E4" s="2">
        <f>IFERROR(SUMIFS(INGRESOS!$J:$J,INGRESOS!$T:$T,E$1,INGRESOS!$A:$A,"&gt;="&amp;$A4,INGRESOS!$A:$A,"&lt;="&amp;EOMONTH($A4,0)),0)</f>
        <v>7651.42</v>
      </c>
      <c r="F4" s="2">
        <f>IFERROR(SUMIFS(INGRESOS!$J:$J,INGRESOS!$T:$T,F$1,INGRESOS!$A:$A,"&gt;="&amp;$A4,INGRESOS!$A:$A,"&lt;="&amp;EOMONTH($A4,0)),0)</f>
        <v>1451</v>
      </c>
      <c r="G4" s="2">
        <f>IFERROR(SUMIFS(INGRESOS!$J:$J,INGRESOS!$T:$T,G$1,INGRESOS!$A:$A,"&gt;="&amp;$A4,INGRESOS!$A:$A,"&lt;="&amp;EOMONTH($A4,0)),0)</f>
        <v>483.5</v>
      </c>
      <c r="H4" s="2">
        <f>IFERROR(SUMIFS(INGRESOS!$J:$J,INGRESOS!$T:$T,H$1,INGRESOS!$A:$A,"&gt;="&amp;$A4,INGRESOS!$A:$A,"&lt;="&amp;EOMONTH($A4,0)),0)</f>
        <v>0</v>
      </c>
      <c r="I4" s="2">
        <f>IFERROR(SUMIFS(INGRESOS!$J:$J,INGRESOS!$T:$T,I$1,INGRESOS!$A:$A,"&gt;="&amp;$A4,INGRESOS!$A:$A,"&lt;="&amp;EOMONTH($A4,0)),0)</f>
        <v>0</v>
      </c>
      <c r="J4" s="2">
        <f>IFERROR(SUMIFS(INGRESOS!$J:$J,INGRESOS!$T:$T,J$1,INGRESOS!$A:$A,"&gt;="&amp;$A4,INGRESOS!$A:$A,"&lt;="&amp;EOMONTH($A4,0)),0)</f>
        <v>0</v>
      </c>
      <c r="K4" s="2">
        <f>IFERROR(SUMIFS(INGRESOS!$J:$J,INGRESOS!$T:$T,K$1,INGRESOS!$A:$A,"&gt;="&amp;$A4,INGRESOS!$A:$A,"&lt;="&amp;EOMONTH($A4,0)),0)</f>
        <v>0</v>
      </c>
      <c r="L4" s="2">
        <f>IFERROR(SUMIFS(INGRESOS!$J:$J,INGRESOS!$T:$T,L$1,INGRESOS!$A:$A,"&gt;="&amp;$A4,INGRESOS!$A:$A,"&lt;="&amp;EOMONTH($A4,0)),0)</f>
        <v>0</v>
      </c>
      <c r="M4" s="2">
        <f>IFERROR(SUMIFS(INGRESOS!$J:$J,INGRESOS!$T:$T,M$1,INGRESOS!$A:$A,"&gt;="&amp;$A4,INGRESOS!$A:$A,"&lt;="&amp;EOMONTH($A4,0)),0)</f>
        <v>0</v>
      </c>
      <c r="N4" s="2">
        <f>IFERROR(SUMIFS(INGRESOS!$J:$J,INGRESOS!$T:$T,N$1,INGRESOS!$A:$A,"&gt;="&amp;$A4,INGRESOS!$A:$A,"&lt;="&amp;EOMONTH($A4,0)),0)</f>
        <v>0</v>
      </c>
      <c r="O4" s="2">
        <f>IFERROR(SUMIFS(INGRESOS!$J:$J,INGRESOS!$T:$T,O$1,INGRESOS!$A:$A,"&gt;="&amp;$A4,INGRESOS!$A:$A,"&lt;="&amp;EOMONTH($A4,0)),0)</f>
        <v>0</v>
      </c>
      <c r="P4" s="2">
        <f>IFERROR(SUMIFS(INGRESOS!$J:$J,INGRESOS!$T:$T,P$1,INGRESOS!$A:$A,"&gt;="&amp;$A4,INGRESOS!$A:$A,"&lt;="&amp;EOMONTH($A4,0)),0)</f>
        <v>0</v>
      </c>
      <c r="Q4" s="2">
        <f>+SUM(Tabla8[[#This Row],[El Salvador]:[Nicaragua]])</f>
        <v>25071.168852000003</v>
      </c>
    </row>
    <row r="5" spans="1:17">
      <c r="A5" s="254">
        <v>45748</v>
      </c>
      <c r="B5" s="2">
        <f>IFERROR(SUMIFS(INGRESOS!$J:$J,INGRESOS!$T:$T,B$1,INGRESOS!$A:$A,"&gt;="&amp;$A5,INGRESOS!$A:$A,"&lt;="&amp;EOMONTH($A5,0)),0)</f>
        <v>773.5</v>
      </c>
      <c r="C5" s="2">
        <f>IFERROR(SUMIFS(INGRESOS!$J:$J,INGRESOS!$T:$T,C$1,INGRESOS!$A:$A,"&gt;="&amp;$A5,INGRESOS!$A:$A,"&lt;="&amp;EOMONTH($A5,0)),0)</f>
        <v>31289.041263618772</v>
      </c>
      <c r="D5" s="2">
        <f>IFERROR(SUMIFS(INGRESOS!$J:$J,INGRESOS!$T:$T,D$1,INGRESOS!$A:$A,"&gt;="&amp;$A5,INGRESOS!$A:$A,"&lt;="&amp;EOMONTH($A5,0)),0)</f>
        <v>241.62</v>
      </c>
      <c r="E5" s="2">
        <f>IFERROR(SUMIFS(INGRESOS!$J:$J,INGRESOS!$T:$T,E$1,INGRESOS!$A:$A,"&gt;="&amp;$A5,INGRESOS!$A:$A,"&lt;="&amp;EOMONTH($A5,0)),0)</f>
        <v>12871.23</v>
      </c>
      <c r="F5" s="2">
        <f>IFERROR(SUMIFS(INGRESOS!$J:$J,INGRESOS!$T:$T,F$1,INGRESOS!$A:$A,"&gt;="&amp;$A5,INGRESOS!$A:$A,"&lt;="&amp;EOMONTH($A5,0)),0)</f>
        <v>5200</v>
      </c>
      <c r="G5" s="2">
        <f>IFERROR(SUMIFS(INGRESOS!$J:$J,INGRESOS!$T:$T,G$1,INGRESOS!$A:$A,"&gt;="&amp;$A5,INGRESOS!$A:$A,"&lt;="&amp;EOMONTH($A5,0)),0)</f>
        <v>0</v>
      </c>
      <c r="H5" s="2">
        <f>IFERROR(SUMIFS(INGRESOS!$J:$J,INGRESOS!$T:$T,H$1,INGRESOS!$A:$A,"&gt;="&amp;$A5,INGRESOS!$A:$A,"&lt;="&amp;EOMONTH($A5,0)),0)</f>
        <v>2934.75</v>
      </c>
      <c r="I5" s="2">
        <f>IFERROR(SUMIFS(INGRESOS!$J:$J,INGRESOS!$T:$T,I$1,INGRESOS!$A:$A,"&gt;="&amp;$A5,INGRESOS!$A:$A,"&lt;="&amp;EOMONTH($A5,0)),0)</f>
        <v>3871.91</v>
      </c>
      <c r="J5" s="2">
        <f>IFERROR(SUMIFS(INGRESOS!$J:$J,INGRESOS!$T:$T,J$1,INGRESOS!$A:$A,"&gt;="&amp;$A5,INGRESOS!$A:$A,"&lt;="&amp;EOMONTH($A5,0)),0)</f>
        <v>1500</v>
      </c>
      <c r="K5" s="2">
        <f>IFERROR(SUMIFS(INGRESOS!$J:$J,INGRESOS!$T:$T,K$1,INGRESOS!$A:$A,"&gt;="&amp;$A5,INGRESOS!$A:$A,"&lt;="&amp;EOMONTH($A5,0)),0)</f>
        <v>497.07213670150236</v>
      </c>
      <c r="L5" s="2">
        <f>IFERROR(SUMIFS(INGRESOS!$J:$J,INGRESOS!$T:$T,L$1,INGRESOS!$A:$A,"&gt;="&amp;$A5,INGRESOS!$A:$A,"&lt;="&amp;EOMONTH($A5,0)),0)</f>
        <v>0</v>
      </c>
      <c r="M5" s="2">
        <f>IFERROR(SUMIFS(INGRESOS!$J:$J,INGRESOS!$T:$T,M$1,INGRESOS!$A:$A,"&gt;="&amp;$A5,INGRESOS!$A:$A,"&lt;="&amp;EOMONTH($A5,0)),0)</f>
        <v>0</v>
      </c>
      <c r="N5" s="2">
        <f>IFERROR(SUMIFS(INGRESOS!$J:$J,INGRESOS!$T:$T,N$1,INGRESOS!$A:$A,"&gt;="&amp;$A5,INGRESOS!$A:$A,"&lt;="&amp;EOMONTH($A5,0)),0)</f>
        <v>0</v>
      </c>
      <c r="O5" s="2">
        <f>IFERROR(SUMIFS(INGRESOS!$J:$J,INGRESOS!$T:$T,O$1,INGRESOS!$A:$A,"&gt;="&amp;$A5,INGRESOS!$A:$A,"&lt;="&amp;EOMONTH($A5,0)),0)</f>
        <v>0</v>
      </c>
      <c r="P5" s="2">
        <f>IFERROR(SUMIFS(INGRESOS!$J:$J,INGRESOS!$T:$T,P$1,INGRESOS!$A:$A,"&gt;="&amp;$A5,INGRESOS!$A:$A,"&lt;="&amp;EOMONTH($A5,0)),0)</f>
        <v>0</v>
      </c>
      <c r="Q5" s="2">
        <f>+SUM(Tabla8[[#This Row],[El Salvador]:[Nicaragua]])</f>
        <v>59179.123400320277</v>
      </c>
    </row>
    <row r="6" spans="1:17">
      <c r="A6" s="253">
        <v>45778</v>
      </c>
      <c r="B6" s="2">
        <f>IFERROR(SUMIFS(INGRESOS!$J:$J,INGRESOS!$T:$T,B$1,INGRESOS!$A:$A,"&gt;="&amp;$A6,INGRESOS!$A:$A,"&lt;="&amp;EOMONTH($A6,0)),0)</f>
        <v>4000</v>
      </c>
      <c r="C6" s="2">
        <f>IFERROR(SUMIFS(INGRESOS!$J:$J,INGRESOS!$T:$T,C$1,INGRESOS!$A:$A,"&gt;="&amp;$A6,INGRESOS!$A:$A,"&lt;="&amp;EOMONTH($A6,0)),0)</f>
        <v>6253.16</v>
      </c>
      <c r="D6" s="2">
        <f>IFERROR(SUMIFS(INGRESOS!$J:$J,INGRESOS!$T:$T,D$1,INGRESOS!$A:$A,"&gt;="&amp;$A6,INGRESOS!$A:$A,"&lt;="&amp;EOMONTH($A6,0)),0)</f>
        <v>6288.2</v>
      </c>
      <c r="E6" s="2">
        <f>IFERROR(SUMIFS(INGRESOS!$J:$J,INGRESOS!$T:$T,E$1,INGRESOS!$A:$A,"&gt;="&amp;$A6,INGRESOS!$A:$A,"&lt;="&amp;EOMONTH($A6,0)),0)</f>
        <v>16864.5</v>
      </c>
      <c r="F6" s="2">
        <f>IFERROR(SUMIFS(INGRESOS!$J:$J,INGRESOS!$T:$T,F$1,INGRESOS!$A:$A,"&gt;="&amp;$A6,INGRESOS!$A:$A,"&lt;="&amp;EOMONTH($A6,0)),0)</f>
        <v>7515</v>
      </c>
      <c r="G6" s="2">
        <f>IFERROR(SUMIFS(INGRESOS!$J:$J,INGRESOS!$T:$T,G$1,INGRESOS!$A:$A,"&gt;="&amp;$A6,INGRESOS!$A:$A,"&lt;="&amp;EOMONTH($A6,0)),0)</f>
        <v>0</v>
      </c>
      <c r="H6" s="2">
        <f>IFERROR(SUMIFS(INGRESOS!$J:$J,INGRESOS!$T:$T,H$1,INGRESOS!$A:$A,"&gt;="&amp;$A6,INGRESOS!$A:$A,"&lt;="&amp;EOMONTH($A6,0)),0)</f>
        <v>9427.7099999999991</v>
      </c>
      <c r="I6" s="2">
        <f>IFERROR(SUMIFS(INGRESOS!$J:$J,INGRESOS!$T:$T,I$1,INGRESOS!$A:$A,"&gt;="&amp;$A6,INGRESOS!$A:$A,"&lt;="&amp;EOMONTH($A6,0)),0)</f>
        <v>0</v>
      </c>
      <c r="J6" s="2">
        <f>IFERROR(SUMIFS(INGRESOS!$J:$J,INGRESOS!$T:$T,J$1,INGRESOS!$A:$A,"&gt;="&amp;$A6,INGRESOS!$A:$A,"&lt;="&amp;EOMONTH($A6,0)),0)</f>
        <v>3000</v>
      </c>
      <c r="K6" s="2">
        <f>IFERROR(SUMIFS(INGRESOS!$J:$J,INGRESOS!$T:$T,K$1,INGRESOS!$A:$A,"&gt;="&amp;$A6,INGRESOS!$A:$A,"&lt;="&amp;EOMONTH($A6,0)),0)</f>
        <v>3860.07</v>
      </c>
      <c r="L6" s="2">
        <f>IFERROR(SUMIFS(INGRESOS!$J:$J,INGRESOS!$T:$T,L$1,INGRESOS!$A:$A,"&gt;="&amp;$A6,INGRESOS!$A:$A,"&lt;="&amp;EOMONTH($A6,0)),0)</f>
        <v>0</v>
      </c>
      <c r="M6" s="2">
        <f>IFERROR(SUMIFS(INGRESOS!$J:$J,INGRESOS!$T:$T,M$1,INGRESOS!$A:$A,"&gt;="&amp;$A6,INGRESOS!$A:$A,"&lt;="&amp;EOMONTH($A6,0)),0)</f>
        <v>0</v>
      </c>
      <c r="N6" s="2">
        <f>IFERROR(SUMIFS(INGRESOS!$J:$J,INGRESOS!$T:$T,N$1,INGRESOS!$A:$A,"&gt;="&amp;$A6,INGRESOS!$A:$A,"&lt;="&amp;EOMONTH($A6,0)),0)</f>
        <v>0</v>
      </c>
      <c r="O6" s="2">
        <f>IFERROR(SUMIFS(INGRESOS!$J:$J,INGRESOS!$T:$T,O$1,INGRESOS!$A:$A,"&gt;="&amp;$A6,INGRESOS!$A:$A,"&lt;="&amp;EOMONTH($A6,0)),0)</f>
        <v>0</v>
      </c>
      <c r="P6" s="2">
        <f>IFERROR(SUMIFS(INGRESOS!$J:$J,INGRESOS!$T:$T,P$1,INGRESOS!$A:$A,"&gt;="&amp;$A6,INGRESOS!$A:$A,"&lt;="&amp;EOMONTH($A6,0)),0)</f>
        <v>0</v>
      </c>
      <c r="Q6" s="2">
        <f>+SUM(Tabla8[[#This Row],[El Salvador]:[Nicaragua]])</f>
        <v>57208.639999999999</v>
      </c>
    </row>
    <row r="7" spans="1:17">
      <c r="A7" s="254">
        <v>45809</v>
      </c>
      <c r="B7" s="2">
        <f>IFERROR(SUMIFS(INGRESOS!$J:$J,INGRESOS!$T:$T,B$1,INGRESOS!$A:$A,"&gt;="&amp;$A7,INGRESOS!$A:$A,"&lt;="&amp;EOMONTH($A7,0)),0)</f>
        <v>5828.16</v>
      </c>
      <c r="C7" s="2">
        <f>IFERROR(SUMIFS(INGRESOS!$J:$J,INGRESOS!$T:$T,C$1,INGRESOS!$A:$A,"&gt;="&amp;$A7,INGRESOS!$A:$A,"&lt;="&amp;EOMONTH($A7,0)),0)</f>
        <v>33923.676804140734</v>
      </c>
      <c r="D7" s="2">
        <f>IFERROR(SUMIFS(INGRESOS!$J:$J,INGRESOS!$T:$T,D$1,INGRESOS!$A:$A,"&gt;="&amp;$A7,INGRESOS!$A:$A,"&lt;="&amp;EOMONTH($A7,0)),0)</f>
        <v>7028.5999999999995</v>
      </c>
      <c r="E7" s="2">
        <f>IFERROR(SUMIFS(INGRESOS!$J:$J,INGRESOS!$T:$T,E$1,INGRESOS!$A:$A,"&gt;="&amp;$A7,INGRESOS!$A:$A,"&lt;="&amp;EOMONTH($A7,0)),0)</f>
        <v>13509.11</v>
      </c>
      <c r="F7" s="2">
        <f>IFERROR(SUMIFS(INGRESOS!$J:$J,INGRESOS!$T:$T,F$1,INGRESOS!$A:$A,"&gt;="&amp;$A7,INGRESOS!$A:$A,"&lt;="&amp;EOMONTH($A7,0)),0)</f>
        <v>1934.75</v>
      </c>
      <c r="G7" s="2">
        <f>IFERROR(SUMIFS(INGRESOS!$J:$J,INGRESOS!$T:$T,G$1,INGRESOS!$A:$A,"&gt;="&amp;$A7,INGRESOS!$A:$A,"&lt;="&amp;EOMONTH($A7,0)),0)</f>
        <v>3869.75</v>
      </c>
      <c r="H7" s="2">
        <f>IFERROR(SUMIFS(INGRESOS!$J:$J,INGRESOS!$T:$T,H$1,INGRESOS!$A:$A,"&gt;="&amp;$A7,INGRESOS!$A:$A,"&lt;="&amp;EOMONTH($A7,0)),0)</f>
        <v>9228.380000000001</v>
      </c>
      <c r="I7" s="2">
        <f>IFERROR(SUMIFS(INGRESOS!$J:$J,INGRESOS!$T:$T,I$1,INGRESOS!$A:$A,"&gt;="&amp;$A7,INGRESOS!$A:$A,"&lt;="&amp;EOMONTH($A7,0)),0)</f>
        <v>0</v>
      </c>
      <c r="J7" s="2">
        <f>IFERROR(SUMIFS(INGRESOS!$J:$J,INGRESOS!$T:$T,J$1,INGRESOS!$A:$A,"&gt;="&amp;$A7,INGRESOS!$A:$A,"&lt;="&amp;EOMONTH($A7,0)),0)</f>
        <v>0</v>
      </c>
      <c r="K7" s="2">
        <f>IFERROR(SUMIFS(INGRESOS!$J:$J,INGRESOS!$T:$T,K$1,INGRESOS!$A:$A,"&gt;="&amp;$A7,INGRESOS!$A:$A,"&lt;="&amp;EOMONTH($A7,0)),0)</f>
        <v>4202.8571201310324</v>
      </c>
      <c r="L7" s="2">
        <f>IFERROR(SUMIFS(INGRESOS!$J:$J,INGRESOS!$T:$T,L$1,INGRESOS!$A:$A,"&gt;="&amp;$A7,INGRESOS!$A:$A,"&lt;="&amp;EOMONTH($A7,0)),0)</f>
        <v>483.24</v>
      </c>
      <c r="M7" s="2">
        <f>IFERROR(SUMIFS(INGRESOS!$J:$J,INGRESOS!$T:$T,M$1,INGRESOS!$A:$A,"&gt;="&amp;$A7,INGRESOS!$A:$A,"&lt;="&amp;EOMONTH($A7,0)),0)</f>
        <v>483.5</v>
      </c>
      <c r="N7" s="2">
        <f>IFERROR(SUMIFS(INGRESOS!$J:$J,INGRESOS!$T:$T,N$1,INGRESOS!$A:$A,"&gt;="&amp;$A7,INGRESOS!$A:$A,"&lt;="&amp;EOMONTH($A7,0)),0)</f>
        <v>0</v>
      </c>
      <c r="O7" s="2">
        <f>IFERROR(SUMIFS(INGRESOS!$J:$J,INGRESOS!$T:$T,O$1,INGRESOS!$A:$A,"&gt;="&amp;$A7,INGRESOS!$A:$A,"&lt;="&amp;EOMONTH($A7,0)),0)</f>
        <v>0</v>
      </c>
      <c r="P7" s="2">
        <f>IFERROR(SUMIFS(INGRESOS!$J:$J,INGRESOS!$T:$T,P$1,INGRESOS!$A:$A,"&gt;="&amp;$A7,INGRESOS!$A:$A,"&lt;="&amp;EOMONTH($A7,0)),0)</f>
        <v>0</v>
      </c>
      <c r="Q7" s="2">
        <f>+SUM(Tabla8[[#This Row],[El Salvador]:[Nicaragua]])</f>
        <v>80492.023924271765</v>
      </c>
    </row>
    <row r="8" spans="1:17">
      <c r="A8" s="253">
        <v>45839</v>
      </c>
      <c r="B8" s="2">
        <f>IFERROR(SUMIFS(INGRESOS!$J:$J,INGRESOS!$T:$T,B$1,INGRESOS!$A:$A,"&gt;="&amp;$A8,INGRESOS!$A:$A,"&lt;="&amp;EOMONTH($A8,0)),0)</f>
        <v>2224</v>
      </c>
      <c r="C8" s="2">
        <f>IFERROR(SUMIFS(INGRESOS!$J:$J,INGRESOS!$T:$T,C$1,INGRESOS!$A:$A,"&gt;="&amp;$A8,INGRESOS!$A:$A,"&lt;="&amp;EOMONTH($A8,0)),0)</f>
        <v>33461.017211902596</v>
      </c>
      <c r="D8" s="2">
        <f>IFERROR(SUMIFS(INGRESOS!$J:$J,INGRESOS!$T:$T,D$1,INGRESOS!$A:$A,"&gt;="&amp;$A8,INGRESOS!$A:$A,"&lt;="&amp;EOMONTH($A8,0)),0)</f>
        <v>18819.599999999999</v>
      </c>
      <c r="E8" s="2">
        <f>IFERROR(SUMIFS(INGRESOS!$J:$J,INGRESOS!$T:$T,E$1,INGRESOS!$A:$A,"&gt;="&amp;$A8,INGRESOS!$A:$A,"&lt;="&amp;EOMONTH($A8,0)),0)</f>
        <v>27679.19</v>
      </c>
      <c r="F8" s="2">
        <f>IFERROR(SUMIFS(INGRESOS!$J:$J,INGRESOS!$T:$T,F$1,INGRESOS!$A:$A,"&gt;="&amp;$A8,INGRESOS!$A:$A,"&lt;="&amp;EOMONTH($A8,0)),0)</f>
        <v>15852.610000000002</v>
      </c>
      <c r="G8" s="2">
        <f>IFERROR(SUMIFS(INGRESOS!$J:$J,INGRESOS!$T:$T,G$1,INGRESOS!$A:$A,"&gt;="&amp;$A8,INGRESOS!$A:$A,"&lt;="&amp;EOMONTH($A8,0)),0)</f>
        <v>1783.8000000000002</v>
      </c>
      <c r="H8" s="2">
        <f>IFERROR(SUMIFS(INGRESOS!$J:$J,INGRESOS!$T:$T,H$1,INGRESOS!$A:$A,"&gt;="&amp;$A8,INGRESOS!$A:$A,"&lt;="&amp;EOMONTH($A8,0)),0)</f>
        <v>13293.749100642399</v>
      </c>
      <c r="I8" s="2">
        <f>IFERROR(SUMIFS(INGRESOS!$J:$J,INGRESOS!$T:$T,I$1,INGRESOS!$A:$A,"&gt;="&amp;$A8,INGRESOS!$A:$A,"&lt;="&amp;EOMONTH($A8,0)),0)</f>
        <v>0</v>
      </c>
      <c r="J8" s="2">
        <f>IFERROR(SUMIFS(INGRESOS!$J:$J,INGRESOS!$T:$T,J$1,INGRESOS!$A:$A,"&gt;="&amp;$A8,INGRESOS!$A:$A,"&lt;="&amp;EOMONTH($A8,0)),0)</f>
        <v>2813.81</v>
      </c>
      <c r="K8" s="2">
        <f>IFERROR(SUMIFS(INGRESOS!$J:$J,INGRESOS!$T:$T,K$1,INGRESOS!$A:$A,"&gt;="&amp;$A8,INGRESOS!$A:$A,"&lt;="&amp;EOMONTH($A8,0)),0)</f>
        <v>9432.0726954056099</v>
      </c>
      <c r="L8" s="2">
        <f>IFERROR(SUMIFS(INGRESOS!$J:$J,INGRESOS!$T:$T,L$1,INGRESOS!$A:$A,"&gt;="&amp;$A8,INGRESOS!$A:$A,"&lt;="&amp;EOMONTH($A8,0)),0)</f>
        <v>1941.37</v>
      </c>
      <c r="M8" s="2">
        <f>IFERROR(SUMIFS(INGRESOS!$J:$J,INGRESOS!$T:$T,M$1,INGRESOS!$A:$A,"&gt;="&amp;$A8,INGRESOS!$A:$A,"&lt;="&amp;EOMONTH($A8,0)),0)</f>
        <v>2176.37</v>
      </c>
      <c r="N8" s="2">
        <f>IFERROR(SUMIFS(INGRESOS!$J:$J,INGRESOS!$T:$T,N$1,INGRESOS!$A:$A,"&gt;="&amp;$A8,INGRESOS!$A:$A,"&lt;="&amp;EOMONTH($A8,0)),0)</f>
        <v>8019.6516455126875</v>
      </c>
      <c r="O8" s="2">
        <f>IFERROR(SUMIFS(INGRESOS!$J:$J,INGRESOS!$T:$T,O$1,INGRESOS!$A:$A,"&gt;="&amp;$A8,INGRESOS!$A:$A,"&lt;="&amp;EOMONTH($A8,0)),0)</f>
        <v>0</v>
      </c>
      <c r="P8" s="2">
        <f>IFERROR(SUMIFS(INGRESOS!$J:$J,INGRESOS!$T:$T,P$1,INGRESOS!$A:$A,"&gt;="&amp;$A8,INGRESOS!$A:$A,"&lt;="&amp;EOMONTH($A8,0)),0)</f>
        <v>0</v>
      </c>
      <c r="Q8" s="2">
        <f>+SUM(Tabla8[[#This Row],[El Salvador]:[Nicaragua]])</f>
        <v>137497.24065346329</v>
      </c>
    </row>
    <row r="9" spans="1:17">
      <c r="A9" s="254">
        <v>45870</v>
      </c>
      <c r="B9" s="2">
        <f>IFERROR(SUMIFS(INGRESOS!$J:$J,INGRESOS!$T:$T,B$1,INGRESOS!$A:$A,"&gt;="&amp;$A9,INGRESOS!$A:$A,"&lt;="&amp;EOMONTH($A9,0)),0)</f>
        <v>2284.9499999999998</v>
      </c>
      <c r="C9" s="2">
        <f>IFERROR(SUMIFS(INGRESOS!$J:$J,INGRESOS!$T:$T,C$1,INGRESOS!$A:$A,"&gt;="&amp;$A9,INGRESOS!$A:$A,"&lt;="&amp;EOMONTH($A9,0)),0)</f>
        <v>20911.007459012748</v>
      </c>
      <c r="D9" s="2">
        <f>IFERROR(SUMIFS(INGRESOS!$J:$J,INGRESOS!$T:$T,D$1,INGRESOS!$A:$A,"&gt;="&amp;$A9,INGRESOS!$A:$A,"&lt;="&amp;EOMONTH($A9,0)),0)</f>
        <v>18711.716824034334</v>
      </c>
      <c r="E9" s="2">
        <f>IFERROR(SUMIFS(INGRESOS!$J:$J,INGRESOS!$T:$T,E$1,INGRESOS!$A:$A,"&gt;="&amp;$A9,INGRESOS!$A:$A,"&lt;="&amp;EOMONTH($A9,0)),0)</f>
        <v>25697.329999999998</v>
      </c>
      <c r="F9" s="2">
        <f>IFERROR(SUMIFS(INGRESOS!$J:$J,INGRESOS!$T:$T,F$1,INGRESOS!$A:$A,"&gt;="&amp;$A9,INGRESOS!$A:$A,"&lt;="&amp;EOMONTH($A9,0)),0)</f>
        <v>24522.35</v>
      </c>
      <c r="G9" s="2">
        <f>IFERROR(SUMIFS(INGRESOS!$J:$J,INGRESOS!$T:$T,G$1,INGRESOS!$A:$A,"&gt;="&amp;$A9,INGRESOS!$A:$A,"&lt;="&amp;EOMONTH($A9,0)),0)</f>
        <v>1547.5</v>
      </c>
      <c r="H9" s="2">
        <f>IFERROR(SUMIFS(INGRESOS!$J:$J,INGRESOS!$T:$T,H$1,INGRESOS!$A:$A,"&gt;="&amp;$A9,INGRESOS!$A:$A,"&lt;="&amp;EOMONTH($A9,0)),0)</f>
        <v>13018.944592274678</v>
      </c>
      <c r="I9" s="2">
        <f>IFERROR(SUMIFS(INGRESOS!$J:$J,INGRESOS!$T:$T,I$1,INGRESOS!$A:$A,"&gt;="&amp;$A9,INGRESOS!$A:$A,"&lt;="&amp;EOMONTH($A9,0)),0)</f>
        <v>241.62</v>
      </c>
      <c r="J9" s="2">
        <f>IFERROR(SUMIFS(INGRESOS!$J:$J,INGRESOS!$T:$T,J$1,INGRESOS!$A:$A,"&gt;="&amp;$A9,INGRESOS!$A:$A,"&lt;="&amp;EOMONTH($A9,0)),0)</f>
        <v>1813.81</v>
      </c>
      <c r="K9" s="2">
        <f>IFERROR(SUMIFS(INGRESOS!$J:$J,INGRESOS!$T:$T,K$1,INGRESOS!$A:$A,"&gt;="&amp;$A9,INGRESOS!$A:$A,"&lt;="&amp;EOMONTH($A9,0)),0)</f>
        <v>7414.24</v>
      </c>
      <c r="L9" s="2">
        <f>IFERROR(SUMIFS(INGRESOS!$J:$J,INGRESOS!$T:$T,L$1,INGRESOS!$A:$A,"&gt;="&amp;$A9,INGRESOS!$A:$A,"&lt;="&amp;EOMONTH($A9,0)),0)</f>
        <v>17623.359999999997</v>
      </c>
      <c r="M9" s="2">
        <f>IFERROR(SUMIFS(INGRESOS!$J:$J,INGRESOS!$T:$T,M$1,INGRESOS!$A:$A,"&gt;="&amp;$A9,INGRESOS!$A:$A,"&lt;="&amp;EOMONTH($A9,0)),0)</f>
        <v>2611.75</v>
      </c>
      <c r="N9" s="2">
        <f>IFERROR(SUMIFS(INGRESOS!$J:$J,INGRESOS!$T:$T,N$1,INGRESOS!$A:$A,"&gt;="&amp;$A9,INGRESOS!$A:$A,"&lt;="&amp;EOMONTH($A9,0)),0)</f>
        <v>4000</v>
      </c>
      <c r="O9" s="2">
        <f>IFERROR(SUMIFS(INGRESOS!$J:$J,INGRESOS!$T:$T,O$1,INGRESOS!$A:$A,"&gt;="&amp;$A9,INGRESOS!$A:$A,"&lt;="&amp;EOMONTH($A9,0)),0)</f>
        <v>241.62</v>
      </c>
      <c r="P9" s="2">
        <f>IFERROR(SUMIFS(INGRESOS!$J:$J,INGRESOS!$T:$T,P$1,INGRESOS!$A:$A,"&gt;="&amp;$A9,INGRESOS!$A:$A,"&lt;="&amp;EOMONTH($A9,0)),0)</f>
        <v>0</v>
      </c>
      <c r="Q9" s="2">
        <f>+SUM(Tabla8[[#This Row],[El Salvador]:[Nicaragua]])</f>
        <v>140640.19887532174</v>
      </c>
    </row>
    <row r="10" spans="1:17">
      <c r="A10" s="253">
        <v>45901</v>
      </c>
      <c r="B10" s="2">
        <f>IFERROR(SUMIFS(INGRESOS!$J:$J,INGRESOS!$T:$T,B$1,INGRESOS!$A:$A,"&gt;="&amp;$A10,INGRESOS!$A:$A,"&lt;="&amp;EOMONTH($A10,0)),0)</f>
        <v>8404.35</v>
      </c>
      <c r="C10" s="2">
        <f>IFERROR(SUMIFS(INGRESOS!$J:$J,INGRESOS!$T:$T,C$1,INGRESOS!$A:$A,"&gt;="&amp;$A10,INGRESOS!$A:$A,"&lt;="&amp;EOMONTH($A10,0)),0)</f>
        <v>47474.003437222433</v>
      </c>
      <c r="D10" s="2">
        <f>IFERROR(SUMIFS(INGRESOS!$J:$J,INGRESOS!$T:$T,D$1,INGRESOS!$A:$A,"&gt;="&amp;$A10,INGRESOS!$A:$A,"&lt;="&amp;EOMONTH($A10,0)),0)</f>
        <v>10735.849672131148</v>
      </c>
      <c r="E10" s="2">
        <f>IFERROR(SUMIFS(INGRESOS!$J:$J,INGRESOS!$T:$T,E$1,INGRESOS!$A:$A,"&gt;="&amp;$A10,INGRESOS!$A:$A,"&lt;="&amp;EOMONTH($A10,0)),0)</f>
        <v>22794.6</v>
      </c>
      <c r="F10" s="2">
        <f>IFERROR(SUMIFS(INGRESOS!$J:$J,INGRESOS!$T:$T,F$1,INGRESOS!$A:$A,"&gt;="&amp;$A10,INGRESOS!$A:$A,"&lt;="&amp;EOMONTH($A10,0)),0)</f>
        <v>6528.61</v>
      </c>
      <c r="G10" s="2">
        <f>IFERROR(SUMIFS(INGRESOS!$J:$J,INGRESOS!$T:$T,G$1,INGRESOS!$A:$A,"&gt;="&amp;$A10,INGRESOS!$A:$A,"&lt;="&amp;EOMONTH($A10,0)),0)</f>
        <v>1426.56</v>
      </c>
      <c r="H10" s="2">
        <f>IFERROR(SUMIFS(INGRESOS!$J:$J,INGRESOS!$T:$T,H$1,INGRESOS!$A:$A,"&gt;="&amp;$A10,INGRESOS!$A:$A,"&lt;="&amp;EOMONTH($A10,0)),0)</f>
        <v>10634.458114754098</v>
      </c>
      <c r="I10" s="2">
        <f>IFERROR(SUMIFS(INGRESOS!$J:$J,INGRESOS!$T:$T,I$1,INGRESOS!$A:$A,"&gt;="&amp;$A10,INGRESOS!$A:$A,"&lt;="&amp;EOMONTH($A10,0)),0)</f>
        <v>0</v>
      </c>
      <c r="J10" s="2">
        <f>IFERROR(SUMIFS(INGRESOS!$J:$J,INGRESOS!$T:$T,J$1,INGRESOS!$A:$A,"&gt;="&amp;$A10,INGRESOS!$A:$A,"&lt;="&amp;EOMONTH($A10,0)),0)</f>
        <v>2160.75</v>
      </c>
      <c r="K10" s="2">
        <f>IFERROR(SUMIFS(INGRESOS!$J:$J,INGRESOS!$T:$T,K$1,INGRESOS!$A:$A,"&gt;="&amp;$A10,INGRESOS!$A:$A,"&lt;="&amp;EOMONTH($A10,0)),0)</f>
        <v>483.5</v>
      </c>
      <c r="L10" s="2">
        <f>IFERROR(SUMIFS(INGRESOS!$J:$J,INGRESOS!$T:$T,L$1,INGRESOS!$A:$A,"&gt;="&amp;$A10,INGRESOS!$A:$A,"&lt;="&amp;EOMONTH($A10,0)),0)</f>
        <v>5353.0127595628419</v>
      </c>
      <c r="M10" s="2">
        <f>IFERROR(SUMIFS(INGRESOS!$J:$J,INGRESOS!$T:$T,M$1,INGRESOS!$A:$A,"&gt;="&amp;$A10,INGRESOS!$A:$A,"&lt;="&amp;EOMONTH($A10,0)),0)</f>
        <v>1982.87</v>
      </c>
      <c r="N10" s="2">
        <f>IFERROR(SUMIFS(INGRESOS!$J:$J,INGRESOS!$T:$T,N$1,INGRESOS!$A:$A,"&gt;="&amp;$A10,INGRESOS!$A:$A,"&lt;="&amp;EOMONTH($A10,0)),0)</f>
        <v>1000</v>
      </c>
      <c r="O10" s="2">
        <f>IFERROR(SUMIFS(INGRESOS!$J:$J,INGRESOS!$T:$T,O$1,INGRESOS!$A:$A,"&gt;="&amp;$A10,INGRESOS!$A:$A,"&lt;="&amp;EOMONTH($A10,0)),0)</f>
        <v>1730</v>
      </c>
      <c r="P10" s="2">
        <f>IFERROR(SUMIFS(INGRESOS!$J:$J,INGRESOS!$T:$T,P$1,INGRESOS!$A:$A,"&gt;="&amp;$A10,INGRESOS!$A:$A,"&lt;="&amp;EOMONTH($A10,0)),0)</f>
        <v>2900.74</v>
      </c>
      <c r="Q10" s="2">
        <f>+SUM(Tabla8[[#This Row],[El Salvador]:[Nicaragua]])</f>
        <v>123609.30398367053</v>
      </c>
    </row>
    <row r="11" spans="1:17">
      <c r="A11" s="254">
        <v>45931</v>
      </c>
      <c r="B11" s="2">
        <f>IFERROR(SUMIFS(INGRESOS!$J:$J,INGRESOS!$T:$T,B$1,INGRESOS!$A:$A,"&gt;="&amp;$A11,INGRESOS!$A:$A,"&lt;="&amp;EOMONTH($A11,0)),0)</f>
        <v>4013.37</v>
      </c>
      <c r="C11" s="2">
        <f>IFERROR(SUMIFS(INGRESOS!$J:$J,INGRESOS!$T:$T,C$1,INGRESOS!$A:$A,"&gt;="&amp;$A11,INGRESOS!$A:$A,"&lt;="&amp;EOMONTH($A11,0)),0)</f>
        <v>26303.995999999999</v>
      </c>
      <c r="D11" s="2">
        <f>IFERROR(SUMIFS(INGRESOS!$J:$J,INGRESOS!$T:$T,D$1,INGRESOS!$A:$A,"&gt;="&amp;$A11,INGRESOS!$A:$A,"&lt;="&amp;EOMONTH($A11,0)),0)</f>
        <v>15883.216298031864</v>
      </c>
      <c r="E11" s="2">
        <f>IFERROR(SUMIFS(INGRESOS!$J:$J,INGRESOS!$T:$T,E$1,INGRESOS!$A:$A,"&gt;="&amp;$A11,INGRESOS!$A:$A,"&lt;="&amp;EOMONTH($A11,0)),0)</f>
        <v>23294.359999999997</v>
      </c>
      <c r="F11" s="2">
        <f>IFERROR(SUMIFS(INGRESOS!$J:$J,INGRESOS!$T:$T,F$1,INGRESOS!$A:$A,"&gt;="&amp;$A11,INGRESOS!$A:$A,"&lt;="&amp;EOMONTH($A11,0)),0)</f>
        <v>15330.87</v>
      </c>
      <c r="G11" s="2">
        <f>IFERROR(SUMIFS(INGRESOS!$J:$J,INGRESOS!$T:$T,G$1,INGRESOS!$A:$A,"&gt;="&amp;$A11,INGRESOS!$A:$A,"&lt;="&amp;EOMONTH($A11,0)),0)</f>
        <v>2393.5700000000002</v>
      </c>
      <c r="H11" s="2">
        <f>IFERROR(SUMIFS(INGRESOS!$J:$J,INGRESOS!$T:$T,H$1,INGRESOS!$A:$A,"&gt;="&amp;$A11,INGRESOS!$A:$A,"&lt;="&amp;EOMONTH($A11,0)),0)</f>
        <v>11247.574673255516</v>
      </c>
      <c r="I11" s="2">
        <f>IFERROR(SUMIFS(INGRESOS!$J:$J,INGRESOS!$T:$T,I$1,INGRESOS!$A:$A,"&gt;="&amp;$A11,INGRESOS!$A:$A,"&lt;="&amp;EOMONTH($A11,0)),0)</f>
        <v>0</v>
      </c>
      <c r="J11" s="2">
        <f>IFERROR(SUMIFS(INGRESOS!$J:$J,INGRESOS!$T:$T,J$1,INGRESOS!$A:$A,"&gt;="&amp;$A11,INGRESOS!$A:$A,"&lt;="&amp;EOMONTH($A11,0)),0)</f>
        <v>1160.75</v>
      </c>
      <c r="K11" s="2">
        <f>IFERROR(SUMIFS(INGRESOS!$J:$J,INGRESOS!$T:$T,K$1,INGRESOS!$A:$A,"&gt;="&amp;$A11,INGRESOS!$A:$A,"&lt;="&amp;EOMONTH($A11,0)),0)</f>
        <v>49</v>
      </c>
      <c r="L11" s="2">
        <f>IFERROR(SUMIFS(INGRESOS!$J:$J,INGRESOS!$T:$T,L$1,INGRESOS!$A:$A,"&gt;="&amp;$A11,INGRESOS!$A:$A,"&lt;="&amp;EOMONTH($A11,0)),0)</f>
        <v>2639</v>
      </c>
      <c r="M11" s="2">
        <f>IFERROR(SUMIFS(INGRESOS!$J:$J,INGRESOS!$T:$T,M$1,INGRESOS!$A:$A,"&gt;="&amp;$A11,INGRESOS!$A:$A,"&lt;="&amp;EOMONTH($A11,0)),0)</f>
        <v>1644.25</v>
      </c>
      <c r="N11" s="2">
        <f>IFERROR(SUMIFS(INGRESOS!$J:$J,INGRESOS!$T:$T,N$1,INGRESOS!$A:$A,"&gt;="&amp;$A11,INGRESOS!$A:$A,"&lt;="&amp;EOMONTH($A11,0)),0)</f>
        <v>7796.7999999999993</v>
      </c>
      <c r="O11" s="2">
        <f>IFERROR(SUMIFS(INGRESOS!$J:$J,INGRESOS!$T:$T,O$1,INGRESOS!$A:$A,"&gt;="&amp;$A11,INGRESOS!$A:$A,"&lt;="&amp;EOMONTH($A11,0)),0)</f>
        <v>0</v>
      </c>
      <c r="P11" s="2">
        <f>IFERROR(SUMIFS(INGRESOS!$J:$J,INGRESOS!$T:$T,P$1,INGRESOS!$A:$A,"&gt;="&amp;$A11,INGRESOS!$A:$A,"&lt;="&amp;EOMONTH($A11,0)),0)</f>
        <v>3579.5</v>
      </c>
      <c r="Q11" s="2">
        <f>+SUM(Tabla8[[#This Row],[El Salvador]:[Nicaragua]])</f>
        <v>115336.25697128738</v>
      </c>
    </row>
    <row r="12" spans="1:17">
      <c r="A12" s="253">
        <v>45962</v>
      </c>
      <c r="B12" s="2">
        <f>IFERROR(SUMIFS(INGRESOS!$J:$J,INGRESOS!$T:$T,B$1,INGRESOS!$A:$A,"&gt;="&amp;$A12,INGRESOS!$A:$A,"&lt;="&amp;EOMONTH($A12,0)),0)</f>
        <v>3626.62</v>
      </c>
      <c r="C12" s="2">
        <f>IFERROR(SUMIFS(INGRESOS!$J:$J,INGRESOS!$T:$T,C$1,INGRESOS!$A:$A,"&gt;="&amp;$A12,INGRESOS!$A:$A,"&lt;="&amp;EOMONTH($A12,0)),0)</f>
        <v>34104.14</v>
      </c>
      <c r="D12" s="2">
        <f>IFERROR(SUMIFS(INGRESOS!$J:$J,INGRESOS!$T:$T,D$1,INGRESOS!$A:$A,"&gt;="&amp;$A12,INGRESOS!$A:$A,"&lt;="&amp;EOMONTH($A12,0)),0)</f>
        <v>35237.232645055607</v>
      </c>
      <c r="E12" s="2">
        <f>IFERROR(SUMIFS(INGRESOS!$J:$J,INGRESOS!$T:$T,E$1,INGRESOS!$A:$A,"&gt;="&amp;$A12,INGRESOS!$A:$A,"&lt;="&amp;EOMONTH($A12,0)),0)</f>
        <v>17004.599999999999</v>
      </c>
      <c r="F12" s="2">
        <f>IFERROR(SUMIFS(INGRESOS!$J:$J,INGRESOS!$T:$T,F$1,INGRESOS!$A:$A,"&gt;="&amp;$A12,INGRESOS!$A:$A,"&lt;="&amp;EOMONTH($A12,0)),0)</f>
        <v>11079.7</v>
      </c>
      <c r="G12" s="2">
        <f>IFERROR(SUMIFS(INGRESOS!$J:$J,INGRESOS!$T:$T,G$1,INGRESOS!$A:$A,"&gt;="&amp;$A12,INGRESOS!$A:$A,"&lt;="&amp;EOMONTH($A12,0)),0)</f>
        <v>2393.5700000000002</v>
      </c>
      <c r="H12" s="2">
        <f>IFERROR(SUMIFS(INGRESOS!$J:$J,INGRESOS!$T:$T,H$1,INGRESOS!$A:$A,"&gt;="&amp;$A12,INGRESOS!$A:$A,"&lt;="&amp;EOMONTH($A12,0)),0)</f>
        <v>8569.74</v>
      </c>
      <c r="I12" s="2">
        <f>IFERROR(SUMIFS(INGRESOS!$J:$J,INGRESOS!$T:$T,I$1,INGRESOS!$A:$A,"&gt;="&amp;$A12,INGRESOS!$A:$A,"&lt;="&amp;EOMONTH($A12,0)),0)</f>
        <v>0</v>
      </c>
      <c r="J12" s="2">
        <f>IFERROR(SUMIFS(INGRESOS!$J:$J,INGRESOS!$T:$T,J$1,INGRESOS!$A:$A,"&gt;="&amp;$A12,INGRESOS!$A:$A,"&lt;="&amp;EOMONTH($A12,0)),0)</f>
        <v>2160.75</v>
      </c>
      <c r="K12" s="2">
        <f>IFERROR(SUMIFS(INGRESOS!$J:$J,INGRESOS!$T:$T,K$1,INGRESOS!$A:$A,"&gt;="&amp;$A12,INGRESOS!$A:$A,"&lt;="&amp;EOMONTH($A12,0)),0)</f>
        <v>8967</v>
      </c>
      <c r="L12" s="2">
        <f>IFERROR(SUMIFS(INGRESOS!$J:$J,INGRESOS!$T:$T,L$1,INGRESOS!$A:$A,"&gt;="&amp;$A12,INGRESOS!$A:$A,"&lt;="&amp;EOMONTH($A12,0)),0)</f>
        <v>2633.2046943702044</v>
      </c>
      <c r="M12" s="2">
        <f>IFERROR(SUMIFS(INGRESOS!$J:$J,INGRESOS!$T:$T,M$1,INGRESOS!$A:$A,"&gt;="&amp;$A12,INGRESOS!$A:$A,"&lt;="&amp;EOMONTH($A12,0)),0)</f>
        <v>1644.25</v>
      </c>
      <c r="N12" s="2">
        <f>IFERROR(SUMIFS(INGRESOS!$J:$J,INGRESOS!$T:$T,N$1,INGRESOS!$A:$A,"&gt;="&amp;$A12,INGRESOS!$A:$A,"&lt;="&amp;EOMONTH($A12,0)),0)</f>
        <v>0</v>
      </c>
      <c r="O12" s="2">
        <f>IFERROR(SUMIFS(INGRESOS!$J:$J,INGRESOS!$T:$T,O$1,INGRESOS!$A:$A,"&gt;="&amp;$A12,INGRESOS!$A:$A,"&lt;="&amp;EOMONTH($A12,0)),0)</f>
        <v>0</v>
      </c>
      <c r="P12" s="2">
        <f>IFERROR(SUMIFS(INGRESOS!$J:$J,INGRESOS!$T:$T,P$1,INGRESOS!$A:$A,"&gt;="&amp;$A12,INGRESOS!$A:$A,"&lt;="&amp;EOMONTH($A12,0)),0)</f>
        <v>3578.76</v>
      </c>
      <c r="Q12" s="2">
        <f>+SUM(Tabla8[[#This Row],[El Salvador]:[Nicaragua]])</f>
        <v>130999.56733942582</v>
      </c>
    </row>
    <row r="13" spans="1:17">
      <c r="A13" s="254">
        <v>45992</v>
      </c>
      <c r="B13" s="2">
        <f>IFERROR(SUMIFS(INGRESOS!$J:$J,INGRESOS!$T:$T,B$1,INGRESOS!$A:$A,"&gt;="&amp;$A13,INGRESOS!$A:$A,"&lt;="&amp;EOMONTH($A13,0)),0)</f>
        <v>3529.87</v>
      </c>
      <c r="C13" s="2">
        <f>IFERROR(SUMIFS(INGRESOS!$J:$J,INGRESOS!$T:$T,C$1,INGRESOS!$A:$A,"&gt;="&amp;$A13,INGRESOS!$A:$A,"&lt;="&amp;EOMONTH($A13,0)),0)</f>
        <v>31175.859999999993</v>
      </c>
      <c r="D13" s="2">
        <f>IFERROR(SUMIFS(INGRESOS!$J:$J,INGRESOS!$T:$T,D$1,INGRESOS!$A:$A,"&gt;="&amp;$A13,INGRESOS!$A:$A,"&lt;="&amp;EOMONTH($A13,0)),0)</f>
        <v>21465.789999999997</v>
      </c>
      <c r="E13" s="2">
        <f>IFERROR(SUMIFS(INGRESOS!$J:$J,INGRESOS!$T:$T,E$1,INGRESOS!$A:$A,"&gt;="&amp;$A13,INGRESOS!$A:$A,"&lt;="&amp;EOMONTH($A13,0)),0)</f>
        <v>26188.469999999998</v>
      </c>
      <c r="F13" s="2">
        <f>IFERROR(SUMIFS(INGRESOS!$J:$J,INGRESOS!$T:$T,F$1,INGRESOS!$A:$A,"&gt;="&amp;$A13,INGRESOS!$A:$A,"&lt;="&amp;EOMONTH($A13,0)),0)</f>
        <v>12817.37</v>
      </c>
      <c r="G13" s="2">
        <f>IFERROR(SUMIFS(INGRESOS!$J:$J,INGRESOS!$T:$T,G$1,INGRESOS!$A:$A,"&gt;="&amp;$A13,INGRESOS!$A:$A,"&lt;="&amp;EOMONTH($A13,0)),0)</f>
        <v>2393.5700000000002</v>
      </c>
      <c r="H13" s="2">
        <f>IFERROR(SUMIFS(INGRESOS!$J:$J,INGRESOS!$T:$T,H$1,INGRESOS!$A:$A,"&gt;="&amp;$A13,INGRESOS!$A:$A,"&lt;="&amp;EOMONTH($A13,0)),0)</f>
        <v>7743.7911103454217</v>
      </c>
      <c r="I13" s="2">
        <f>IFERROR(SUMIFS(INGRESOS!$J:$J,INGRESOS!$T:$T,I$1,INGRESOS!$A:$A,"&gt;="&amp;$A13,INGRESOS!$A:$A,"&lt;="&amp;EOMONTH($A13,0)),0)</f>
        <v>0</v>
      </c>
      <c r="J13" s="2">
        <f>IFERROR(SUMIFS(INGRESOS!$J:$J,INGRESOS!$T:$T,J$1,INGRESOS!$A:$A,"&gt;="&amp;$A13,INGRESOS!$A:$A,"&lt;="&amp;EOMONTH($A13,0)),0)</f>
        <v>1660.75</v>
      </c>
      <c r="K13" s="2">
        <f>IFERROR(SUMIFS(INGRESOS!$J:$J,INGRESOS!$T:$T,K$1,INGRESOS!$A:$A,"&gt;="&amp;$A13,INGRESOS!$A:$A,"&lt;="&amp;EOMONTH($A13,0)),0)</f>
        <v>0</v>
      </c>
      <c r="L13" s="2">
        <f>IFERROR(SUMIFS(INGRESOS!$J:$J,INGRESOS!$T:$T,L$1,INGRESOS!$A:$A,"&gt;="&amp;$A13,INGRESOS!$A:$A,"&lt;="&amp;EOMONTH($A13,0)),0)</f>
        <v>5782.37</v>
      </c>
      <c r="M13" s="2">
        <f>IFERROR(SUMIFS(INGRESOS!$J:$J,INGRESOS!$T:$T,M$1,INGRESOS!$A:$A,"&gt;="&amp;$A13,INGRESOS!$A:$A,"&lt;="&amp;EOMONTH($A13,0)),0)</f>
        <v>1644.25</v>
      </c>
      <c r="N13" s="2">
        <f>IFERROR(SUMIFS(INGRESOS!$J:$J,INGRESOS!$T:$T,N$1,INGRESOS!$A:$A,"&gt;="&amp;$A13,INGRESOS!$A:$A,"&lt;="&amp;EOMONTH($A13,0)),0)</f>
        <v>241.62</v>
      </c>
      <c r="O13" s="2">
        <f>IFERROR(SUMIFS(INGRESOS!$J:$J,INGRESOS!$T:$T,O$1,INGRESOS!$A:$A,"&gt;="&amp;$A13,INGRESOS!$A:$A,"&lt;="&amp;EOMONTH($A13,0)),0)</f>
        <v>0</v>
      </c>
      <c r="P13" s="2">
        <f>IFERROR(SUMIFS(INGRESOS!$J:$J,INGRESOS!$T:$T,P$1,INGRESOS!$A:$A,"&gt;="&amp;$A13,INGRESOS!$A:$A,"&lt;="&amp;EOMONTH($A13,0)),0)</f>
        <v>3578.76</v>
      </c>
      <c r="Q13" s="2">
        <f>+SUM(Tabla8[[#This Row],[El Salvador]:[Nicaragua]])</f>
        <v>118222.4711103454</v>
      </c>
    </row>
    <row r="14" spans="1:17" ht="16" thickBot="1">
      <c r="A14" s="253">
        <v>46023</v>
      </c>
      <c r="B14" s="2">
        <f>IFERROR(SUMIFS(INGRESOS!$J:$J,INGRESOS!$T:$T,B$1,INGRESOS!$A:$A,"&gt;="&amp;$A14,INGRESOS!$A:$A,"&lt;="&amp;EOMONTH($A14,0)),0)</f>
        <v>2949.62</v>
      </c>
      <c r="C14" s="2">
        <f>IFERROR(SUMIFS(INGRESOS!$J:$J,INGRESOS!$T:$T,C$1,INGRESOS!$A:$A,"&gt;="&amp;$A14,INGRESOS!$A:$A,"&lt;="&amp;EOMONTH($A14,0)),0)</f>
        <v>25315.13307564328</v>
      </c>
      <c r="D14" s="2">
        <f>IFERROR(SUMIFS(INGRESOS!$J:$J,INGRESOS!$T:$T,D$1,INGRESOS!$A:$A,"&gt;="&amp;$A14,INGRESOS!$A:$A,"&lt;="&amp;EOMONTH($A14,0)),0)</f>
        <v>22004.30908231889</v>
      </c>
      <c r="E14" s="2">
        <f>IFERROR(SUMIFS(INGRESOS!$J:$J,INGRESOS!$T:$T,E$1,INGRESOS!$A:$A,"&gt;="&amp;$A14,INGRESOS!$A:$A,"&lt;="&amp;EOMONTH($A14,0)),0)</f>
        <v>24673.729999999996</v>
      </c>
      <c r="F14" s="2">
        <f>IFERROR(SUMIFS(INGRESOS!$J:$J,INGRESOS!$T:$T,F$1,INGRESOS!$A:$A,"&gt;="&amp;$A14,INGRESOS!$A:$A,"&lt;="&amp;EOMONTH($A14,0)),0)</f>
        <v>27620.28</v>
      </c>
      <c r="G14" s="2">
        <f>IFERROR(SUMIFS(INGRESOS!$J:$J,INGRESOS!$T:$T,G$1,INGRESOS!$A:$A,"&gt;="&amp;$A14,INGRESOS!$A:$A,"&lt;="&amp;EOMONTH($A14,0)),0)</f>
        <v>3118.94</v>
      </c>
      <c r="H14" s="2">
        <f>IFERROR(SUMIFS(INGRESOS!$J:$J,INGRESOS!$T:$T,H$1,INGRESOS!$A:$A,"&gt;="&amp;$A14,INGRESOS!$A:$A,"&lt;="&amp;EOMONTH($A14,0)),0)</f>
        <v>12047.526696528555</v>
      </c>
      <c r="I14" s="2">
        <f>IFERROR(SUMIFS(INGRESOS!$J:$J,INGRESOS!$T:$T,I$1,INGRESOS!$A:$A,"&gt;="&amp;$A14,INGRESOS!$A:$A,"&lt;="&amp;EOMONTH($A14,0)),0)</f>
        <v>0</v>
      </c>
      <c r="J14" s="2">
        <f>IFERROR(SUMIFS(INGRESOS!$J:$J,INGRESOS!$T:$T,J$1,INGRESOS!$A:$A,"&gt;="&amp;$A14,INGRESOS!$A:$A,"&lt;="&amp;EOMONTH($A14,0)),0)</f>
        <v>2160.75</v>
      </c>
      <c r="K14" s="2">
        <f>IFERROR(SUMIFS(INGRESOS!$J:$J,INGRESOS!$T:$T,K$1,INGRESOS!$A:$A,"&gt;="&amp;$A14,INGRESOS!$A:$A,"&lt;="&amp;EOMONTH($A14,0)),0)</f>
        <v>899.94413816866222</v>
      </c>
      <c r="L14" s="2">
        <f>IFERROR(SUMIFS(INGRESOS!$J:$J,INGRESOS!$T:$T,L$1,INGRESOS!$A:$A,"&gt;="&amp;$A14,INGRESOS!$A:$A,"&lt;="&amp;EOMONTH($A14,0)),0)</f>
        <v>10567.248382565762</v>
      </c>
      <c r="M14" s="2">
        <f>IFERROR(SUMIFS(INGRESOS!$J:$J,INGRESOS!$T:$T,M$1,INGRESOS!$A:$A,"&gt;="&amp;$A14,INGRESOS!$A:$A,"&lt;="&amp;EOMONTH($A14,0)),0)</f>
        <v>3221.27</v>
      </c>
      <c r="N14" s="2">
        <f>IFERROR(SUMIFS(INGRESOS!$J:$J,INGRESOS!$T:$T,N$1,INGRESOS!$A:$A,"&gt;="&amp;$A14,INGRESOS!$A:$A,"&lt;="&amp;EOMONTH($A14,0)),0)</f>
        <v>1692.36</v>
      </c>
      <c r="O14" s="2">
        <f>IFERROR(SUMIFS(INGRESOS!$J:$J,INGRESOS!$T:$T,O$1,INGRESOS!$A:$A,"&gt;="&amp;$A14,INGRESOS!$A:$A,"&lt;="&amp;EOMONTH($A14,0)),0)</f>
        <v>0</v>
      </c>
      <c r="P14" s="2">
        <f>IFERROR(SUMIFS(INGRESOS!$J:$J,INGRESOS!$T:$T,P$1,INGRESOS!$A:$A,"&gt;="&amp;$A14,INGRESOS!$A:$A,"&lt;="&amp;EOMONTH($A14,0)),0)</f>
        <v>0</v>
      </c>
      <c r="Q14" s="2">
        <f>+SUM(Tabla8[[#This Row],[El Salvador]:[Nicaragua]])</f>
        <v>136271.11137522513</v>
      </c>
    </row>
    <row r="15" spans="1:17" ht="16" thickBot="1">
      <c r="A15" s="297" t="s">
        <v>39</v>
      </c>
      <c r="B15" s="296">
        <f>+AVERAGE(B9:B14)</f>
        <v>4134.7966666666662</v>
      </c>
      <c r="C15" s="296">
        <f t="shared" ref="C15:P15" si="0">+AVERAGE(C9:C14)</f>
        <v>30880.689995313074</v>
      </c>
      <c r="D15" s="296">
        <f t="shared" si="0"/>
        <v>20673.019086928642</v>
      </c>
      <c r="E15" s="296">
        <f t="shared" si="0"/>
        <v>23275.514999999996</v>
      </c>
      <c r="F15" s="296">
        <f t="shared" si="0"/>
        <v>16316.529999999999</v>
      </c>
      <c r="G15" s="296">
        <f t="shared" si="0"/>
        <v>2212.2850000000003</v>
      </c>
      <c r="H15" s="296">
        <f t="shared" si="0"/>
        <v>10543.672531193046</v>
      </c>
      <c r="I15" s="296">
        <f t="shared" si="0"/>
        <v>40.270000000000003</v>
      </c>
      <c r="J15" s="296">
        <f t="shared" si="0"/>
        <v>1852.9266666666665</v>
      </c>
      <c r="K15" s="296">
        <f t="shared" si="0"/>
        <v>2968.9473563614433</v>
      </c>
      <c r="L15" s="296">
        <f t="shared" si="0"/>
        <v>7433.0326394164667</v>
      </c>
      <c r="M15" s="296">
        <f t="shared" si="0"/>
        <v>2124.7733333333331</v>
      </c>
      <c r="N15" s="296">
        <f t="shared" si="0"/>
        <v>2455.13</v>
      </c>
      <c r="O15" s="296">
        <f t="shared" si="0"/>
        <v>328.6033333333333</v>
      </c>
      <c r="P15" s="296">
        <f t="shared" si="0"/>
        <v>2272.96</v>
      </c>
      <c r="Q15" s="296"/>
    </row>
    <row r="16" spans="1:17" ht="16" thickBot="1"/>
    <row r="17" spans="1:17" ht="16" thickBot="1">
      <c r="A17" s="727" t="s">
        <v>4582</v>
      </c>
      <c r="B17" s="728"/>
      <c r="C17" s="728"/>
      <c r="D17" s="728"/>
      <c r="E17" s="728"/>
      <c r="F17" s="728"/>
      <c r="G17" s="728"/>
      <c r="H17" s="728"/>
      <c r="I17" s="728"/>
      <c r="J17" s="728"/>
      <c r="K17" s="728"/>
      <c r="L17" s="728"/>
      <c r="M17" s="728"/>
      <c r="N17" s="728"/>
      <c r="O17" s="728"/>
      <c r="P17" s="728"/>
      <c r="Q17" s="728"/>
    </row>
    <row r="18" spans="1:17" ht="16" thickBot="1">
      <c r="A18" s="255" t="s">
        <v>25</v>
      </c>
      <c r="B18" s="256" t="s">
        <v>10</v>
      </c>
      <c r="C18" s="256" t="s">
        <v>11</v>
      </c>
      <c r="D18" s="256" t="s">
        <v>12</v>
      </c>
      <c r="E18" s="256" t="s">
        <v>13</v>
      </c>
      <c r="F18" s="256" t="s">
        <v>14</v>
      </c>
      <c r="G18" s="256" t="s">
        <v>15</v>
      </c>
      <c r="H18" s="256" t="s">
        <v>16</v>
      </c>
      <c r="I18" s="256" t="s">
        <v>17</v>
      </c>
      <c r="J18" s="256" t="s">
        <v>18</v>
      </c>
      <c r="K18" s="256" t="s">
        <v>19</v>
      </c>
      <c r="L18" s="256" t="s">
        <v>20</v>
      </c>
      <c r="M18" s="256" t="s">
        <v>21</v>
      </c>
      <c r="N18" s="256" t="s">
        <v>22</v>
      </c>
      <c r="O18" s="256" t="s">
        <v>23</v>
      </c>
      <c r="P18" s="256" t="s">
        <v>24</v>
      </c>
      <c r="Q18" s="257" t="s">
        <v>38</v>
      </c>
    </row>
    <row r="19" spans="1:17">
      <c r="A19" s="254">
        <v>46054</v>
      </c>
      <c r="B19" s="2">
        <f>IFERROR(SUMIFS('CALENDARIO INGRESOS'!$I:$I,'CALENDARIO INGRESOS'!$C:$C,Tabla814[[#Headers],[El Salvador]],'CALENDARIO INGRESOS'!$G:$G,"&gt;="&amp;$A19,'CALENDARIO INGRESOS'!$G:$G,"&lt;="&amp;EOMONTH($A19,0)),0)</f>
        <v>2650</v>
      </c>
      <c r="C19" s="2">
        <f>IFERROR(SUMIFS('CALENDARIO INGRESOS'!$I:$I,'CALENDARIO INGRESOS'!$C:$C,Tabla814[[#Headers],[Chile]],'CALENDARIO INGRESOS'!$G:$G,"&gt;="&amp;$A19,'CALENDARIO INGRESOS'!$G:$G,"&lt;="&amp;EOMONTH($A19,0)),0)</f>
        <v>34354.54</v>
      </c>
      <c r="D19" s="2">
        <f>IFERROR(SUMIFS('CALENDARIO INGRESOS'!$I:$I,'CALENDARIO INGRESOS'!$C:$C,Tabla814[[#Headers],[Ecuador]],'CALENDARIO INGRESOS'!$G:$G,"&gt;="&amp;$A19,'CALENDARIO INGRESOS'!$G:$G,"&lt;="&amp;EOMONTH($A19,0)),0)</f>
        <v>25524</v>
      </c>
      <c r="E19" s="2">
        <f>IFERROR(SUMIFS('CALENDARIO INGRESOS'!$I:$I,'CALENDARIO INGRESOS'!$C:$C,Tabla814[[#Headers],[México]],'CALENDARIO INGRESOS'!$G:$G,"&gt;="&amp;$A19,'CALENDARIO INGRESOS'!$G:$G,"&lt;="&amp;EOMONTH($A19,0)),0)</f>
        <v>25039.63</v>
      </c>
      <c r="F19" s="2">
        <f>IFERROR(SUMIFS('CALENDARIO INGRESOS'!$I:$I,'CALENDARIO INGRESOS'!$C:$C,Tabla814[[#Headers],[Colombia]],'CALENDARIO INGRESOS'!$G:$G,"&gt;="&amp;$A19,'CALENDARIO INGRESOS'!$G:$G,"&lt;="&amp;EOMONTH($A19,0)),0)</f>
        <v>8350</v>
      </c>
      <c r="G19" s="2">
        <f>IFERROR(SUMIFS('CALENDARIO INGRESOS'!$I:$I,'CALENDARIO INGRESOS'!$C:$C,Tabla814[[#Headers],[República Dominicana]],'CALENDARIO INGRESOS'!$G:$G,"&gt;="&amp;$A19,'CALENDARIO INGRESOS'!$G:$G,"&lt;="&amp;EOMONTH($A19,0)),0)</f>
        <v>3475</v>
      </c>
      <c r="H19" s="2">
        <f>IFERROR(SUMIFS('CALENDARIO INGRESOS'!$I:$I,'CALENDARIO INGRESOS'!$C:$C,Tabla814[[#Headers],[Perú]],'CALENDARIO INGRESOS'!$G:$G,"&gt;="&amp;$A19,'CALENDARIO INGRESOS'!$G:$G,"&lt;="&amp;EOMONTH($A19,0)),0)</f>
        <v>9600</v>
      </c>
      <c r="I19" s="2">
        <f>IFERROR(SUMIFS('CALENDARIO INGRESOS'!$I:$I,'CALENDARIO INGRESOS'!$C:$C,Tabla814[[#Headers],[Paraguay]],'CALENDARIO INGRESOS'!$G:$G,"&gt;="&amp;$A19,'CALENDARIO INGRESOS'!$G:$G,"&lt;="&amp;EOMONTH($A19,0)),0)</f>
        <v>0</v>
      </c>
      <c r="J19" s="2">
        <f>IFERROR(SUMIFS('CALENDARIO INGRESOS'!$I:$I,'CALENDARIO INGRESOS'!$C:$C,Tabla814[[#Headers],[Honduras]],'CALENDARIO INGRESOS'!$G:$G,"&gt;="&amp;$A19,'CALENDARIO INGRESOS'!$G:$G,"&lt;="&amp;EOMONTH($A19,0)),0)</f>
        <v>1560</v>
      </c>
      <c r="K19" s="2">
        <f>IFERROR(SUMIFS('CALENDARIO INGRESOS'!$I:$I,'CALENDARIO INGRESOS'!$C:$C,Tabla814[[#Headers],[Bolivia]],'CALENDARIO INGRESOS'!$G:$G,"&gt;="&amp;$A19,'CALENDARIO INGRESOS'!$G:$G,"&lt;="&amp;EOMONTH($A19,0)),0)</f>
        <v>500</v>
      </c>
      <c r="L19" s="2">
        <f>IFERROR(SUMIFS('CALENDARIO INGRESOS'!$I:$I,'CALENDARIO INGRESOS'!$C:$C,Tabla814[[#Headers],[Argentina]],'CALENDARIO INGRESOS'!$G:$G,"&gt;="&amp;$A19,'CALENDARIO INGRESOS'!$G:$G,"&lt;="&amp;EOMONTH($A19,0)),0)</f>
        <v>2200</v>
      </c>
      <c r="M19" s="2">
        <f>IFERROR(SUMIFS('CALENDARIO INGRESOS'!$I:$I,'CALENDARIO INGRESOS'!$C:$C,Tabla814[[#Headers],[Guatemala]],'CALENDARIO INGRESOS'!$G:$G,"&gt;="&amp;$A19,'CALENDARIO INGRESOS'!$G:$G,"&lt;="&amp;EOMONTH($A19,0)),0)</f>
        <v>3450</v>
      </c>
      <c r="N19" s="2">
        <f>IFERROR(SUMIFS('CALENDARIO INGRESOS'!$I:$I,'CALENDARIO INGRESOS'!$C:$C,Tabla814[[#Headers],[Venezuela]],'CALENDARIO INGRESOS'!$G:$G,"&gt;="&amp;$A19,'CALENDARIO INGRESOS'!$G:$G,"&lt;="&amp;EOMONTH($A19,0)),0)</f>
        <v>12500</v>
      </c>
      <c r="O19" s="2">
        <f>IFERROR(SUMIFS('CALENDARIO INGRESOS'!$I:$I,'CALENDARIO INGRESOS'!$C:$C,Tabla814[[#Headers],[Uruguay]],'CALENDARIO INGRESOS'!$G:$G,"&gt;="&amp;$A19,'CALENDARIO INGRESOS'!$G:$G,"&lt;="&amp;EOMONTH($A19,0)),0)</f>
        <v>0</v>
      </c>
      <c r="P19" s="2">
        <f>IFERROR(SUMIFS('CALENDARIO INGRESOS'!$I:$I,'CALENDARIO INGRESOS'!$C:$C,Tabla814[[#Headers],[Nicaragua]],'CALENDARIO INGRESOS'!$G:$G,"&gt;="&amp;$A19,'CALENDARIO INGRESOS'!$G:$G,"&lt;="&amp;EOMONTH($A19,0)),0)</f>
        <v>0</v>
      </c>
      <c r="Q19" s="2">
        <f>+SUM(Tabla814[[#This Row],[El Salvador]:[Nicaragua]])</f>
        <v>129203.17</v>
      </c>
    </row>
    <row r="20" spans="1:17">
      <c r="A20" s="253">
        <v>46082</v>
      </c>
      <c r="B20" s="2">
        <f>IFERROR(SUMIFS('CALENDARIO INGRESOS'!$I:$I,'CALENDARIO INGRESOS'!$C:$C,Tabla814[[#Headers],[El Salvador]],'CALENDARIO INGRESOS'!$G:$G,"&gt;="&amp;$A20,'CALENDARIO INGRESOS'!$G:$G,"&lt;="&amp;EOMONTH($A20,0)),0)</f>
        <v>2522</v>
      </c>
      <c r="C20" s="2">
        <f>IFERROR(SUMIFS('CALENDARIO INGRESOS'!$I:$I,'CALENDARIO INGRESOS'!$C:$C,Tabla814[[#Headers],[Chile]],'CALENDARIO INGRESOS'!$G:$G,"&gt;="&amp;$A20,'CALENDARIO INGRESOS'!$G:$G,"&lt;="&amp;EOMONTH($A20,0)),0)</f>
        <v>15515</v>
      </c>
      <c r="D20" s="2">
        <f>IFERROR(SUMIFS('CALENDARIO INGRESOS'!$I:$I,'CALENDARIO INGRESOS'!$C:$C,Tabla814[[#Headers],[Ecuador]],'CALENDARIO INGRESOS'!$G:$G,"&gt;="&amp;$A20,'CALENDARIO INGRESOS'!$G:$G,"&lt;="&amp;EOMONTH($A20,0)),0)</f>
        <v>17245</v>
      </c>
      <c r="E20" s="2">
        <f>IFERROR(SUMIFS('CALENDARIO INGRESOS'!$I:$I,'CALENDARIO INGRESOS'!$C:$C,Tabla814[[#Headers],[México]],'CALENDARIO INGRESOS'!$G:$G,"&gt;="&amp;$A20,'CALENDARIO INGRESOS'!$G:$G,"&lt;="&amp;EOMONTH($A20,0)),0)</f>
        <v>26888.63</v>
      </c>
      <c r="F20" s="2">
        <f>IFERROR(SUMIFS('CALENDARIO INGRESOS'!$I:$I,'CALENDARIO INGRESOS'!$C:$C,Tabla814[[#Headers],[Colombia]],'CALENDARIO INGRESOS'!$G:$G,"&gt;="&amp;$A20,'CALENDARIO INGRESOS'!$G:$G,"&lt;="&amp;EOMONTH($A20,0)),0)</f>
        <v>8350</v>
      </c>
      <c r="G20" s="2">
        <f>IFERROR(SUMIFS('CALENDARIO INGRESOS'!$I:$I,'CALENDARIO INGRESOS'!$C:$C,Tabla814[[#Headers],[República Dominicana]],'CALENDARIO INGRESOS'!$G:$G,"&gt;="&amp;$A20,'CALENDARIO INGRESOS'!$G:$G,"&lt;="&amp;EOMONTH($A20,0)),0)</f>
        <v>3475</v>
      </c>
      <c r="H20" s="2">
        <f>IFERROR(SUMIFS('CALENDARIO INGRESOS'!$I:$I,'CALENDARIO INGRESOS'!$C:$C,Tabla814[[#Headers],[Perú]],'CALENDARIO INGRESOS'!$G:$G,"&gt;="&amp;$A20,'CALENDARIO INGRESOS'!$G:$G,"&lt;="&amp;EOMONTH($A20,0)),0)</f>
        <v>13487</v>
      </c>
      <c r="I20" s="2">
        <f>IFERROR(SUMIFS('CALENDARIO INGRESOS'!$I:$I,'CALENDARIO INGRESOS'!$C:$C,Tabla814[[#Headers],[Paraguay]],'CALENDARIO INGRESOS'!$G:$G,"&gt;="&amp;$A20,'CALENDARIO INGRESOS'!$G:$G,"&lt;="&amp;EOMONTH($A20,0)),0)</f>
        <v>0</v>
      </c>
      <c r="J20" s="2">
        <f>IFERROR(SUMIFS('CALENDARIO INGRESOS'!$I:$I,'CALENDARIO INGRESOS'!$C:$C,Tabla814[[#Headers],[Honduras]],'CALENDARIO INGRESOS'!$G:$G,"&gt;="&amp;$A20,'CALENDARIO INGRESOS'!$G:$G,"&lt;="&amp;EOMONTH($A20,0)),0)</f>
        <v>1560</v>
      </c>
      <c r="K20" s="2">
        <f>IFERROR(SUMIFS('CALENDARIO INGRESOS'!$I:$I,'CALENDARIO INGRESOS'!$C:$C,Tabla814[[#Headers],[Bolivia]],'CALENDARIO INGRESOS'!$G:$G,"&gt;="&amp;$A20,'CALENDARIO INGRESOS'!$G:$G,"&lt;="&amp;EOMONTH($A20,0)),0)</f>
        <v>500</v>
      </c>
      <c r="L20" s="2">
        <f>IFERROR(SUMIFS('CALENDARIO INGRESOS'!$I:$I,'CALENDARIO INGRESOS'!$C:$C,Tabla814[[#Headers],[Argentina]],'CALENDARIO INGRESOS'!$G:$G,"&gt;="&amp;$A20,'CALENDARIO INGRESOS'!$G:$G,"&lt;="&amp;EOMONTH($A20,0)),0)</f>
        <v>2200</v>
      </c>
      <c r="M20" s="2">
        <f>IFERROR(SUMIFS('CALENDARIO INGRESOS'!$I:$I,'CALENDARIO INGRESOS'!$C:$C,Tabla814[[#Headers],[Guatemala]],'CALENDARIO INGRESOS'!$G:$G,"&gt;="&amp;$A20,'CALENDARIO INGRESOS'!$G:$G,"&lt;="&amp;EOMONTH($A20,0)),0)</f>
        <v>700</v>
      </c>
      <c r="N20" s="2">
        <f>IFERROR(SUMIFS('CALENDARIO INGRESOS'!$I:$I,'CALENDARIO INGRESOS'!$C:$C,Tabla814[[#Headers],[Venezuela]],'CALENDARIO INGRESOS'!$G:$G,"&gt;="&amp;$A20,'CALENDARIO INGRESOS'!$G:$G,"&lt;="&amp;EOMONTH($A20,0)),0)</f>
        <v>2000</v>
      </c>
      <c r="O20" s="2">
        <f>IFERROR(SUMIFS('CALENDARIO INGRESOS'!$I:$I,'CALENDARIO INGRESOS'!$C:$C,Tabla814[[#Headers],[Uruguay]],'CALENDARIO INGRESOS'!$G:$G,"&gt;="&amp;$A20,'CALENDARIO INGRESOS'!$G:$G,"&lt;="&amp;EOMONTH($A20,0)),0)</f>
        <v>0</v>
      </c>
      <c r="P20" s="2">
        <f>IFERROR(SUMIFS('CALENDARIO INGRESOS'!$I:$I,'CALENDARIO INGRESOS'!$C:$C,Tabla814[[#Headers],[Nicaragua]],'CALENDARIO INGRESOS'!$G:$G,"&gt;="&amp;$A20,'CALENDARIO INGRESOS'!$G:$G,"&lt;="&amp;EOMONTH($A20,0)),0)</f>
        <v>0</v>
      </c>
      <c r="Q20" s="2">
        <f>+SUM(Tabla814[[#This Row],[El Salvador]:[Nicaragua]])</f>
        <v>94442.63</v>
      </c>
    </row>
    <row r="21" spans="1:17">
      <c r="A21" s="254">
        <v>46113</v>
      </c>
      <c r="B21" s="2">
        <f>IFERROR(SUMIFS('CALENDARIO INGRESOS'!$I:$I,'CALENDARIO INGRESOS'!$C:$C,Tabla814[[#Headers],[El Salvador]],'CALENDARIO INGRESOS'!$G:$G,"&gt;="&amp;$A21,'CALENDARIO INGRESOS'!$G:$G,"&lt;="&amp;EOMONTH($A21,0)),0)</f>
        <v>7850</v>
      </c>
      <c r="C21" s="2">
        <f>IFERROR(SUMIFS('CALENDARIO INGRESOS'!$I:$I,'CALENDARIO INGRESOS'!$C:$C,Tabla814[[#Headers],[Chile]],'CALENDARIO INGRESOS'!$G:$G,"&gt;="&amp;$A21,'CALENDARIO INGRESOS'!$G:$G,"&lt;="&amp;EOMONTH($A21,0)),0)</f>
        <v>16245</v>
      </c>
      <c r="D21" s="2">
        <f>IFERROR(SUMIFS('CALENDARIO INGRESOS'!$I:$I,'CALENDARIO INGRESOS'!$C:$C,Tabla814[[#Headers],[Ecuador]],'CALENDARIO INGRESOS'!$G:$G,"&gt;="&amp;$A21,'CALENDARIO INGRESOS'!$G:$G,"&lt;="&amp;EOMONTH($A21,0)),0)</f>
        <v>30404</v>
      </c>
      <c r="E21" s="2">
        <f>IFERROR(SUMIFS('CALENDARIO INGRESOS'!$I:$I,'CALENDARIO INGRESOS'!$C:$C,Tabla814[[#Headers],[México]],'CALENDARIO INGRESOS'!$G:$G,"&gt;="&amp;$A21,'CALENDARIO INGRESOS'!$G:$G,"&lt;="&amp;EOMONTH($A21,0)),0)</f>
        <v>25420.63</v>
      </c>
      <c r="F21" s="2">
        <f>IFERROR(SUMIFS('CALENDARIO INGRESOS'!$I:$I,'CALENDARIO INGRESOS'!$C:$C,Tabla814[[#Headers],[Colombia]],'CALENDARIO INGRESOS'!$G:$G,"&gt;="&amp;$A21,'CALENDARIO INGRESOS'!$G:$G,"&lt;="&amp;EOMONTH($A21,0)),0)</f>
        <v>14934</v>
      </c>
      <c r="G21" s="2">
        <f>IFERROR(SUMIFS('CALENDARIO INGRESOS'!$I:$I,'CALENDARIO INGRESOS'!$C:$C,Tabla814[[#Headers],[República Dominicana]],'CALENDARIO INGRESOS'!$G:$G,"&gt;="&amp;$A21,'CALENDARIO INGRESOS'!$G:$G,"&lt;="&amp;EOMONTH($A21,0)),0)</f>
        <v>2475</v>
      </c>
      <c r="H21" s="2">
        <f>IFERROR(SUMIFS('CALENDARIO INGRESOS'!$I:$I,'CALENDARIO INGRESOS'!$C:$C,Tabla814[[#Headers],[Perú]],'CALENDARIO INGRESOS'!$G:$G,"&gt;="&amp;$A21,'CALENDARIO INGRESOS'!$G:$G,"&lt;="&amp;EOMONTH($A21,0)),0)</f>
        <v>12200</v>
      </c>
      <c r="I21" s="2">
        <f>IFERROR(SUMIFS('CALENDARIO INGRESOS'!$I:$I,'CALENDARIO INGRESOS'!$C:$C,Tabla814[[#Headers],[Paraguay]],'CALENDARIO INGRESOS'!$G:$G,"&gt;="&amp;$A21,'CALENDARIO INGRESOS'!$G:$G,"&lt;="&amp;EOMONTH($A21,0)),0)</f>
        <v>0</v>
      </c>
      <c r="J21" s="2">
        <f>IFERROR(SUMIFS('CALENDARIO INGRESOS'!$I:$I,'CALENDARIO INGRESOS'!$C:$C,Tabla814[[#Headers],[Honduras]],'CALENDARIO INGRESOS'!$G:$G,"&gt;="&amp;$A21,'CALENDARIO INGRESOS'!$G:$G,"&lt;="&amp;EOMONTH($A21,0)),0)</f>
        <v>1560</v>
      </c>
      <c r="K21" s="2">
        <f>IFERROR(SUMIFS('CALENDARIO INGRESOS'!$I:$I,'CALENDARIO INGRESOS'!$C:$C,Tabla814[[#Headers],[Bolivia]],'CALENDARIO INGRESOS'!$G:$G,"&gt;="&amp;$A21,'CALENDARIO INGRESOS'!$G:$G,"&lt;="&amp;EOMONTH($A21,0)),0)</f>
        <v>500</v>
      </c>
      <c r="L21" s="2">
        <f>IFERROR(SUMIFS('CALENDARIO INGRESOS'!$I:$I,'CALENDARIO INGRESOS'!$C:$C,Tabla814[[#Headers],[Argentina]],'CALENDARIO INGRESOS'!$G:$G,"&gt;="&amp;$A21,'CALENDARIO INGRESOS'!$G:$G,"&lt;="&amp;EOMONTH($A21,0)),0)</f>
        <v>2200</v>
      </c>
      <c r="M21" s="2">
        <f>IFERROR(SUMIFS('CALENDARIO INGRESOS'!$I:$I,'CALENDARIO INGRESOS'!$C:$C,Tabla814[[#Headers],[Guatemala]],'CALENDARIO INGRESOS'!$G:$G,"&gt;="&amp;$A21,'CALENDARIO INGRESOS'!$G:$G,"&lt;="&amp;EOMONTH($A21,0)),0)</f>
        <v>700</v>
      </c>
      <c r="N21" s="2">
        <f>IFERROR(SUMIFS('CALENDARIO INGRESOS'!$I:$I,'CALENDARIO INGRESOS'!$C:$C,Tabla814[[#Headers],[Venezuela]],'CALENDARIO INGRESOS'!$G:$G,"&gt;="&amp;$A21,'CALENDARIO INGRESOS'!$G:$G,"&lt;="&amp;EOMONTH($A21,0)),0)</f>
        <v>2000</v>
      </c>
      <c r="O21" s="2">
        <f>IFERROR(SUMIFS('CALENDARIO INGRESOS'!$I:$I,'CALENDARIO INGRESOS'!$C:$C,Tabla814[[#Headers],[Uruguay]],'CALENDARIO INGRESOS'!$G:$G,"&gt;="&amp;$A21,'CALENDARIO INGRESOS'!$G:$G,"&lt;="&amp;EOMONTH($A21,0)),0)</f>
        <v>0</v>
      </c>
      <c r="P21" s="2">
        <f>IFERROR(SUMIFS('CALENDARIO INGRESOS'!$I:$I,'CALENDARIO INGRESOS'!$C:$C,Tabla814[[#Headers],[Nicaragua]],'CALENDARIO INGRESOS'!$G:$G,"&gt;="&amp;$A21,'CALENDARIO INGRESOS'!$G:$G,"&lt;="&amp;EOMONTH($A21,0)),0)</f>
        <v>0</v>
      </c>
      <c r="Q21" s="2">
        <f>+SUM(Tabla814[[#This Row],[El Salvador]:[Nicaragua]])</f>
        <v>116488.63</v>
      </c>
    </row>
    <row r="22" spans="1:17">
      <c r="A22" s="253">
        <v>46143</v>
      </c>
      <c r="B22" s="2">
        <f>IFERROR(SUMIFS('CALENDARIO INGRESOS'!$I:$I,'CALENDARIO INGRESOS'!$C:$C,Tabla814[[#Headers],[El Salvador]],'CALENDARIO INGRESOS'!$G:$G,"&gt;="&amp;$A22,'CALENDARIO INGRESOS'!$G:$G,"&lt;="&amp;EOMONTH($A22,0)),0)</f>
        <v>1850</v>
      </c>
      <c r="C22" s="2">
        <f>IFERROR(SUMIFS('CALENDARIO INGRESOS'!$I:$I,'CALENDARIO INGRESOS'!$C:$C,Tabla814[[#Headers],[Chile]],'CALENDARIO INGRESOS'!$G:$G,"&gt;="&amp;$A22,'CALENDARIO INGRESOS'!$G:$G,"&lt;="&amp;EOMONTH($A22,0)),0)</f>
        <v>14750</v>
      </c>
      <c r="D22" s="2">
        <f>IFERROR(SUMIFS('CALENDARIO INGRESOS'!$I:$I,'CALENDARIO INGRESOS'!$C:$C,Tabla814[[#Headers],[Ecuador]],'CALENDARIO INGRESOS'!$G:$G,"&gt;="&amp;$A22,'CALENDARIO INGRESOS'!$G:$G,"&lt;="&amp;EOMONTH($A22,0)),0)</f>
        <v>15225</v>
      </c>
      <c r="E22" s="2">
        <f>IFERROR(SUMIFS('CALENDARIO INGRESOS'!$I:$I,'CALENDARIO INGRESOS'!$C:$C,Tabla814[[#Headers],[México]],'CALENDARIO INGRESOS'!$G:$G,"&gt;="&amp;$A22,'CALENDARIO INGRESOS'!$G:$G,"&lt;="&amp;EOMONTH($A22,0)),0)</f>
        <v>24720.63</v>
      </c>
      <c r="F22" s="2">
        <f>IFERROR(SUMIFS('CALENDARIO INGRESOS'!$I:$I,'CALENDARIO INGRESOS'!$C:$C,Tabla814[[#Headers],[Colombia]],'CALENDARIO INGRESOS'!$G:$G,"&gt;="&amp;$A22,'CALENDARIO INGRESOS'!$G:$G,"&lt;="&amp;EOMONTH($A22,0)),0)</f>
        <v>23061</v>
      </c>
      <c r="G22" s="2">
        <f>IFERROR(SUMIFS('CALENDARIO INGRESOS'!$I:$I,'CALENDARIO INGRESOS'!$C:$C,Tabla814[[#Headers],[República Dominicana]],'CALENDARIO INGRESOS'!$G:$G,"&gt;="&amp;$A22,'CALENDARIO INGRESOS'!$G:$G,"&lt;="&amp;EOMONTH($A22,0)),0)</f>
        <v>2600</v>
      </c>
      <c r="H22" s="2">
        <f>IFERROR(SUMIFS('CALENDARIO INGRESOS'!$I:$I,'CALENDARIO INGRESOS'!$C:$C,Tabla814[[#Headers],[Perú]],'CALENDARIO INGRESOS'!$G:$G,"&gt;="&amp;$A22,'CALENDARIO INGRESOS'!$G:$G,"&lt;="&amp;EOMONTH($A22,0)),0)</f>
        <v>12600</v>
      </c>
      <c r="I22" s="2">
        <f>IFERROR(SUMIFS('CALENDARIO INGRESOS'!$I:$I,'CALENDARIO INGRESOS'!$C:$C,Tabla814[[#Headers],[Paraguay]],'CALENDARIO INGRESOS'!$G:$G,"&gt;="&amp;$A22,'CALENDARIO INGRESOS'!$G:$G,"&lt;="&amp;EOMONTH($A22,0)),0)</f>
        <v>0</v>
      </c>
      <c r="J22" s="2">
        <f>IFERROR(SUMIFS('CALENDARIO INGRESOS'!$I:$I,'CALENDARIO INGRESOS'!$C:$C,Tabla814[[#Headers],[Honduras]],'CALENDARIO INGRESOS'!$G:$G,"&gt;="&amp;$A22,'CALENDARIO INGRESOS'!$G:$G,"&lt;="&amp;EOMONTH($A22,0)),0)</f>
        <v>1570</v>
      </c>
      <c r="K22" s="2">
        <f>IFERROR(SUMIFS('CALENDARIO INGRESOS'!$I:$I,'CALENDARIO INGRESOS'!$C:$C,Tabla814[[#Headers],[Bolivia]],'CALENDARIO INGRESOS'!$G:$G,"&gt;="&amp;$A22,'CALENDARIO INGRESOS'!$G:$G,"&lt;="&amp;EOMONTH($A22,0)),0)</f>
        <v>500</v>
      </c>
      <c r="L22" s="2">
        <f>IFERROR(SUMIFS('CALENDARIO INGRESOS'!$I:$I,'CALENDARIO INGRESOS'!$C:$C,Tabla814[[#Headers],[Argentina]],'CALENDARIO INGRESOS'!$G:$G,"&gt;="&amp;$A22,'CALENDARIO INGRESOS'!$G:$G,"&lt;="&amp;EOMONTH($A22,0)),0)</f>
        <v>2200</v>
      </c>
      <c r="M22" s="2">
        <f>IFERROR(SUMIFS('CALENDARIO INGRESOS'!$I:$I,'CALENDARIO INGRESOS'!$C:$C,Tabla814[[#Headers],[Guatemala]],'CALENDARIO INGRESOS'!$G:$G,"&gt;="&amp;$A22,'CALENDARIO INGRESOS'!$G:$G,"&lt;="&amp;EOMONTH($A22,0)),0)</f>
        <v>700</v>
      </c>
      <c r="N22" s="2">
        <f>IFERROR(SUMIFS('CALENDARIO INGRESOS'!$I:$I,'CALENDARIO INGRESOS'!$C:$C,Tabla814[[#Headers],[Venezuela]],'CALENDARIO INGRESOS'!$G:$G,"&gt;="&amp;$A22,'CALENDARIO INGRESOS'!$G:$G,"&lt;="&amp;EOMONTH($A22,0)),0)</f>
        <v>2000</v>
      </c>
      <c r="O22" s="2">
        <f>IFERROR(SUMIFS('CALENDARIO INGRESOS'!$I:$I,'CALENDARIO INGRESOS'!$C:$C,Tabla814[[#Headers],[Uruguay]],'CALENDARIO INGRESOS'!$G:$G,"&gt;="&amp;$A22,'CALENDARIO INGRESOS'!$G:$G,"&lt;="&amp;EOMONTH($A22,0)),0)</f>
        <v>0</v>
      </c>
      <c r="P22" s="2">
        <f>IFERROR(SUMIFS('CALENDARIO INGRESOS'!$I:$I,'CALENDARIO INGRESOS'!$C:$C,Tabla814[[#Headers],[Nicaragua]],'CALENDARIO INGRESOS'!$G:$G,"&gt;="&amp;$A22,'CALENDARIO INGRESOS'!$G:$G,"&lt;="&amp;EOMONTH($A22,0)),0)</f>
        <v>0</v>
      </c>
      <c r="Q22" s="2">
        <f>+SUM(Tabla814[[#This Row],[El Salvador]:[Nicaragua]])</f>
        <v>101776.63</v>
      </c>
    </row>
    <row r="23" spans="1:17">
      <c r="A23" s="254">
        <v>46174</v>
      </c>
      <c r="B23" s="2">
        <f>IFERROR(SUMIFS('CALENDARIO INGRESOS'!$I:$I,'CALENDARIO INGRESOS'!$C:$C,Tabla814[[#Headers],[El Salvador]],'CALENDARIO INGRESOS'!$G:$G,"&gt;="&amp;$A23,'CALENDARIO INGRESOS'!$G:$G,"&lt;="&amp;EOMONTH($A23,0)),0)</f>
        <v>16850</v>
      </c>
      <c r="C23" s="2">
        <f>IFERROR(SUMIFS('CALENDARIO INGRESOS'!$I:$I,'CALENDARIO INGRESOS'!$C:$C,Tabla814[[#Headers],[Chile]],'CALENDARIO INGRESOS'!$G:$G,"&gt;="&amp;$A23,'CALENDARIO INGRESOS'!$G:$G,"&lt;="&amp;EOMONTH($A23,0)),0)</f>
        <v>14700</v>
      </c>
      <c r="D23" s="2">
        <f>IFERROR(SUMIFS('CALENDARIO INGRESOS'!$I:$I,'CALENDARIO INGRESOS'!$C:$C,Tabla814[[#Headers],[Ecuador]],'CALENDARIO INGRESOS'!$G:$G,"&gt;="&amp;$A23,'CALENDARIO INGRESOS'!$G:$G,"&lt;="&amp;EOMONTH($A23,0)),0)</f>
        <v>21245</v>
      </c>
      <c r="E23" s="2">
        <f>IFERROR(SUMIFS('CALENDARIO INGRESOS'!$I:$I,'CALENDARIO INGRESOS'!$C:$C,Tabla814[[#Headers],[México]],'CALENDARIO INGRESOS'!$G:$G,"&gt;="&amp;$A23,'CALENDARIO INGRESOS'!$G:$G,"&lt;="&amp;EOMONTH($A23,0)),0)</f>
        <v>30970.63</v>
      </c>
      <c r="F23" s="2">
        <f>IFERROR(SUMIFS('CALENDARIO INGRESOS'!$I:$I,'CALENDARIO INGRESOS'!$C:$C,Tabla814[[#Headers],[Colombia]],'CALENDARIO INGRESOS'!$G:$G,"&gt;="&amp;$A23,'CALENDARIO INGRESOS'!$G:$G,"&lt;="&amp;EOMONTH($A23,0)),0)</f>
        <v>9061</v>
      </c>
      <c r="G23" s="2">
        <f>IFERROR(SUMIFS('CALENDARIO INGRESOS'!$I:$I,'CALENDARIO INGRESOS'!$C:$C,Tabla814[[#Headers],[República Dominicana]],'CALENDARIO INGRESOS'!$G:$G,"&gt;="&amp;$A23,'CALENDARIO INGRESOS'!$G:$G,"&lt;="&amp;EOMONTH($A23,0)),0)</f>
        <v>1600</v>
      </c>
      <c r="H23" s="2">
        <f>IFERROR(SUMIFS('CALENDARIO INGRESOS'!$I:$I,'CALENDARIO INGRESOS'!$C:$C,Tabla814[[#Headers],[Perú]],'CALENDARIO INGRESOS'!$G:$G,"&gt;="&amp;$A23,'CALENDARIO INGRESOS'!$G:$G,"&lt;="&amp;EOMONTH($A23,0)),0)</f>
        <v>8600</v>
      </c>
      <c r="I23" s="2">
        <f>IFERROR(SUMIFS('CALENDARIO INGRESOS'!$I:$I,'CALENDARIO INGRESOS'!$C:$C,Tabla814[[#Headers],[Paraguay]],'CALENDARIO INGRESOS'!$G:$G,"&gt;="&amp;$A23,'CALENDARIO INGRESOS'!$G:$G,"&lt;="&amp;EOMONTH($A23,0)),0)</f>
        <v>0</v>
      </c>
      <c r="J23" s="2">
        <f>IFERROR(SUMIFS('CALENDARIO INGRESOS'!$I:$I,'CALENDARIO INGRESOS'!$C:$C,Tabla814[[#Headers],[Honduras]],'CALENDARIO INGRESOS'!$G:$G,"&gt;="&amp;$A23,'CALENDARIO INGRESOS'!$G:$G,"&lt;="&amp;EOMONTH($A23,0)),0)</f>
        <v>0</v>
      </c>
      <c r="K23" s="2">
        <f>IFERROR(SUMIFS('CALENDARIO INGRESOS'!$I:$I,'CALENDARIO INGRESOS'!$C:$C,Tabla814[[#Headers],[Bolivia]],'CALENDARIO INGRESOS'!$G:$G,"&gt;="&amp;$A23,'CALENDARIO INGRESOS'!$G:$G,"&lt;="&amp;EOMONTH($A23,0)),0)</f>
        <v>500</v>
      </c>
      <c r="L23" s="2">
        <f>IFERROR(SUMIFS('CALENDARIO INGRESOS'!$I:$I,'CALENDARIO INGRESOS'!$C:$C,Tabla814[[#Headers],[Argentina]],'CALENDARIO INGRESOS'!$G:$G,"&gt;="&amp;$A23,'CALENDARIO INGRESOS'!$G:$G,"&lt;="&amp;EOMONTH($A23,0)),0)</f>
        <v>2200</v>
      </c>
      <c r="M23" s="2">
        <f>IFERROR(SUMIFS('CALENDARIO INGRESOS'!$I:$I,'CALENDARIO INGRESOS'!$C:$C,Tabla814[[#Headers],[Guatemala]],'CALENDARIO INGRESOS'!$G:$G,"&gt;="&amp;$A23,'CALENDARIO INGRESOS'!$G:$G,"&lt;="&amp;EOMONTH($A23,0)),0)</f>
        <v>700</v>
      </c>
      <c r="N23" s="2">
        <f>IFERROR(SUMIFS('CALENDARIO INGRESOS'!$I:$I,'CALENDARIO INGRESOS'!$C:$C,Tabla814[[#Headers],[Venezuela]],'CALENDARIO INGRESOS'!$G:$G,"&gt;="&amp;$A23,'CALENDARIO INGRESOS'!$G:$G,"&lt;="&amp;EOMONTH($A23,0)),0)</f>
        <v>2000</v>
      </c>
      <c r="O23" s="2">
        <f>IFERROR(SUMIFS('CALENDARIO INGRESOS'!$I:$I,'CALENDARIO INGRESOS'!$C:$C,Tabla814[[#Headers],[Uruguay]],'CALENDARIO INGRESOS'!$G:$G,"&gt;="&amp;$A23,'CALENDARIO INGRESOS'!$G:$G,"&lt;="&amp;EOMONTH($A23,0)),0)</f>
        <v>0</v>
      </c>
      <c r="P23" s="2">
        <f>IFERROR(SUMIFS('CALENDARIO INGRESOS'!$I:$I,'CALENDARIO INGRESOS'!$C:$C,Tabla814[[#Headers],[Nicaragua]],'CALENDARIO INGRESOS'!$G:$G,"&gt;="&amp;$A23,'CALENDARIO INGRESOS'!$G:$G,"&lt;="&amp;EOMONTH($A23,0)),0)</f>
        <v>0</v>
      </c>
      <c r="Q23" s="2">
        <f>+SUM(Tabla814[[#This Row],[El Salvador]:[Nicaragua]])</f>
        <v>108426.63</v>
      </c>
    </row>
    <row r="24" spans="1:17">
      <c r="A24" s="253">
        <v>46204</v>
      </c>
      <c r="B24" s="2">
        <f>IFERROR(SUMIFS('CALENDARIO INGRESOS'!$I:$I,'CALENDARIO INGRESOS'!$C:$C,Tabla814[[#Headers],[El Salvador]],'CALENDARIO INGRESOS'!$G:$G,"&gt;="&amp;$A24,'CALENDARIO INGRESOS'!$G:$G,"&lt;="&amp;EOMONTH($A24,0)),0)</f>
        <v>850</v>
      </c>
      <c r="C24" s="2">
        <f>IFERROR(SUMIFS('CALENDARIO INGRESOS'!$I:$I,'CALENDARIO INGRESOS'!$C:$C,Tabla814[[#Headers],[Chile]],'CALENDARIO INGRESOS'!$G:$G,"&gt;="&amp;$A24,'CALENDARIO INGRESOS'!$G:$G,"&lt;="&amp;EOMONTH($A24,0)),0)</f>
        <v>17700</v>
      </c>
      <c r="D24" s="2">
        <f>IFERROR(SUMIFS('CALENDARIO INGRESOS'!$I:$I,'CALENDARIO INGRESOS'!$C:$C,Tabla814[[#Headers],[Ecuador]],'CALENDARIO INGRESOS'!$G:$G,"&gt;="&amp;$A24,'CALENDARIO INGRESOS'!$G:$G,"&lt;="&amp;EOMONTH($A24,0)),0)</f>
        <v>23475</v>
      </c>
      <c r="E24" s="2">
        <f>IFERROR(SUMIFS('CALENDARIO INGRESOS'!$I:$I,'CALENDARIO INGRESOS'!$C:$C,Tabla814[[#Headers],[México]],'CALENDARIO INGRESOS'!$G:$G,"&gt;="&amp;$A24,'CALENDARIO INGRESOS'!$G:$G,"&lt;="&amp;EOMONTH($A24,0)),0)</f>
        <v>20534</v>
      </c>
      <c r="F24" s="2">
        <f>IFERROR(SUMIFS('CALENDARIO INGRESOS'!$I:$I,'CALENDARIO INGRESOS'!$C:$C,Tabla814[[#Headers],[Colombia]],'CALENDARIO INGRESOS'!$G:$G,"&gt;="&amp;$A24,'CALENDARIO INGRESOS'!$G:$G,"&lt;="&amp;EOMONTH($A24,0)),0)</f>
        <v>8261</v>
      </c>
      <c r="G24" s="2">
        <f>IFERROR(SUMIFS('CALENDARIO INGRESOS'!$I:$I,'CALENDARIO INGRESOS'!$C:$C,Tabla814[[#Headers],[República Dominicana]],'CALENDARIO INGRESOS'!$G:$G,"&gt;="&amp;$A24,'CALENDARIO INGRESOS'!$G:$G,"&lt;="&amp;EOMONTH($A24,0)),0)</f>
        <v>5800</v>
      </c>
      <c r="H24" s="2">
        <f>IFERROR(SUMIFS('CALENDARIO INGRESOS'!$I:$I,'CALENDARIO INGRESOS'!$C:$C,Tabla814[[#Headers],[Perú]],'CALENDARIO INGRESOS'!$G:$G,"&gt;="&amp;$A24,'CALENDARIO INGRESOS'!$G:$G,"&lt;="&amp;EOMONTH($A24,0)),0)</f>
        <v>8250</v>
      </c>
      <c r="I24" s="2">
        <f>IFERROR(SUMIFS('CALENDARIO INGRESOS'!$I:$I,'CALENDARIO INGRESOS'!$C:$C,Tabla814[[#Headers],[Paraguay]],'CALENDARIO INGRESOS'!$G:$G,"&gt;="&amp;$A24,'CALENDARIO INGRESOS'!$G:$G,"&lt;="&amp;EOMONTH($A24,0)),0)</f>
        <v>0</v>
      </c>
      <c r="J24" s="2">
        <f>IFERROR(SUMIFS('CALENDARIO INGRESOS'!$I:$I,'CALENDARIO INGRESOS'!$C:$C,Tabla814[[#Headers],[Honduras]],'CALENDARIO INGRESOS'!$G:$G,"&gt;="&amp;$A24,'CALENDARIO INGRESOS'!$G:$G,"&lt;="&amp;EOMONTH($A24,0)),0)</f>
        <v>0</v>
      </c>
      <c r="K24" s="2">
        <f>IFERROR(SUMIFS('CALENDARIO INGRESOS'!$I:$I,'CALENDARIO INGRESOS'!$C:$C,Tabla814[[#Headers],[Bolivia]],'CALENDARIO INGRESOS'!$G:$G,"&gt;="&amp;$A24,'CALENDARIO INGRESOS'!$G:$G,"&lt;="&amp;EOMONTH($A24,0)),0)</f>
        <v>500</v>
      </c>
      <c r="L24" s="2">
        <f>IFERROR(SUMIFS('CALENDARIO INGRESOS'!$I:$I,'CALENDARIO INGRESOS'!$C:$C,Tabla814[[#Headers],[Argentina]],'CALENDARIO INGRESOS'!$G:$G,"&gt;="&amp;$A24,'CALENDARIO INGRESOS'!$G:$G,"&lt;="&amp;EOMONTH($A24,0)),0)</f>
        <v>2200</v>
      </c>
      <c r="M24" s="2">
        <f>IFERROR(SUMIFS('CALENDARIO INGRESOS'!$I:$I,'CALENDARIO INGRESOS'!$C:$C,Tabla814[[#Headers],[Guatemala]],'CALENDARIO INGRESOS'!$G:$G,"&gt;="&amp;$A24,'CALENDARIO INGRESOS'!$G:$G,"&lt;="&amp;EOMONTH($A24,0)),0)</f>
        <v>700</v>
      </c>
      <c r="N24" s="2">
        <f>IFERROR(SUMIFS('CALENDARIO INGRESOS'!$I:$I,'CALENDARIO INGRESOS'!$C:$C,Tabla814[[#Headers],[Venezuela]],'CALENDARIO INGRESOS'!$G:$G,"&gt;="&amp;$A24,'CALENDARIO INGRESOS'!$G:$G,"&lt;="&amp;EOMONTH($A24,0)),0)</f>
        <v>2000</v>
      </c>
      <c r="O24" s="2">
        <f>IFERROR(SUMIFS('CALENDARIO INGRESOS'!$I:$I,'CALENDARIO INGRESOS'!$C:$C,Tabla814[[#Headers],[Uruguay]],'CALENDARIO INGRESOS'!$G:$G,"&gt;="&amp;$A24,'CALENDARIO INGRESOS'!$G:$G,"&lt;="&amp;EOMONTH($A24,0)),0)</f>
        <v>0</v>
      </c>
      <c r="P24" s="2">
        <f>IFERROR(SUMIFS('CALENDARIO INGRESOS'!$I:$I,'CALENDARIO INGRESOS'!$C:$C,Tabla814[[#Headers],[Nicaragua]],'CALENDARIO INGRESOS'!$G:$G,"&gt;="&amp;$A24,'CALENDARIO INGRESOS'!$G:$G,"&lt;="&amp;EOMONTH($A24,0)),0)</f>
        <v>0</v>
      </c>
      <c r="Q24" s="2">
        <f>+SUM(Tabla814[[#This Row],[El Salvador]:[Nicaragua]])</f>
        <v>90270</v>
      </c>
    </row>
    <row r="25" spans="1:17">
      <c r="A25" s="254">
        <v>46235</v>
      </c>
      <c r="B25" s="2">
        <f>IFERROR(SUMIFS('CALENDARIO INGRESOS'!$I:$I,'CALENDARIO INGRESOS'!$C:$C,Tabla814[[#Headers],[El Salvador]],'CALENDARIO INGRESOS'!$G:$G,"&gt;="&amp;$A25,'CALENDARIO INGRESOS'!$G:$G,"&lt;="&amp;EOMONTH($A25,0)),0)</f>
        <v>850</v>
      </c>
      <c r="C25" s="2">
        <f>IFERROR(SUMIFS('CALENDARIO INGRESOS'!$I:$I,'CALENDARIO INGRESOS'!$C:$C,Tabla814[[#Headers],[Chile]],'CALENDARIO INGRESOS'!$G:$G,"&gt;="&amp;$A25,'CALENDARIO INGRESOS'!$G:$G,"&lt;="&amp;EOMONTH($A25,0)),0)</f>
        <v>12100</v>
      </c>
      <c r="D25" s="2">
        <f>IFERROR(SUMIFS('CALENDARIO INGRESOS'!$I:$I,'CALENDARIO INGRESOS'!$C:$C,Tabla814[[#Headers],[Ecuador]],'CALENDARIO INGRESOS'!$G:$G,"&gt;="&amp;$A25,'CALENDARIO INGRESOS'!$G:$G,"&lt;="&amp;EOMONTH($A25,0)),0)</f>
        <v>13100</v>
      </c>
      <c r="E25" s="2">
        <f>IFERROR(SUMIFS('CALENDARIO INGRESOS'!$I:$I,'CALENDARIO INGRESOS'!$C:$C,Tabla814[[#Headers],[México]],'CALENDARIO INGRESOS'!$G:$G,"&gt;="&amp;$A25,'CALENDARIO INGRESOS'!$G:$G,"&lt;="&amp;EOMONTH($A25,0)),0)</f>
        <v>18534</v>
      </c>
      <c r="F25" s="2">
        <f>IFERROR(SUMIFS('CALENDARIO INGRESOS'!$I:$I,'CALENDARIO INGRESOS'!$C:$C,Tabla814[[#Headers],[Colombia]],'CALENDARIO INGRESOS'!$G:$G,"&gt;="&amp;$A25,'CALENDARIO INGRESOS'!$G:$G,"&lt;="&amp;EOMONTH($A25,0)),0)</f>
        <v>10511</v>
      </c>
      <c r="G25" s="2">
        <f>IFERROR(SUMIFS('CALENDARIO INGRESOS'!$I:$I,'CALENDARIO INGRESOS'!$C:$C,Tabla814[[#Headers],[República Dominicana]],'CALENDARIO INGRESOS'!$G:$G,"&gt;="&amp;$A25,'CALENDARIO INGRESOS'!$G:$G,"&lt;="&amp;EOMONTH($A25,0)),0)</f>
        <v>1000</v>
      </c>
      <c r="H25" s="2">
        <f>IFERROR(SUMIFS('CALENDARIO INGRESOS'!$I:$I,'CALENDARIO INGRESOS'!$C:$C,Tabla814[[#Headers],[Perú]],'CALENDARIO INGRESOS'!$G:$G,"&gt;="&amp;$A25,'CALENDARIO INGRESOS'!$G:$G,"&lt;="&amp;EOMONTH($A25,0)),0)</f>
        <v>10216</v>
      </c>
      <c r="I25" s="2">
        <f>IFERROR(SUMIFS('CALENDARIO INGRESOS'!$I:$I,'CALENDARIO INGRESOS'!$C:$C,Tabla814[[#Headers],[Paraguay]],'CALENDARIO INGRESOS'!$G:$G,"&gt;="&amp;$A25,'CALENDARIO INGRESOS'!$G:$G,"&lt;="&amp;EOMONTH($A25,0)),0)</f>
        <v>0</v>
      </c>
      <c r="J25" s="2">
        <f>IFERROR(SUMIFS('CALENDARIO INGRESOS'!$I:$I,'CALENDARIO INGRESOS'!$C:$C,Tabla814[[#Headers],[Honduras]],'CALENDARIO INGRESOS'!$G:$G,"&gt;="&amp;$A25,'CALENDARIO INGRESOS'!$G:$G,"&lt;="&amp;EOMONTH($A25,0)),0)</f>
        <v>0</v>
      </c>
      <c r="K25" s="2">
        <f>IFERROR(SUMIFS('CALENDARIO INGRESOS'!$I:$I,'CALENDARIO INGRESOS'!$C:$C,Tabla814[[#Headers],[Bolivia]],'CALENDARIO INGRESOS'!$G:$G,"&gt;="&amp;$A25,'CALENDARIO INGRESOS'!$G:$G,"&lt;="&amp;EOMONTH($A25,0)),0)</f>
        <v>500</v>
      </c>
      <c r="L25" s="2">
        <f>IFERROR(SUMIFS('CALENDARIO INGRESOS'!$I:$I,'CALENDARIO INGRESOS'!$C:$C,Tabla814[[#Headers],[Argentina]],'CALENDARIO INGRESOS'!$G:$G,"&gt;="&amp;$A25,'CALENDARIO INGRESOS'!$G:$G,"&lt;="&amp;EOMONTH($A25,0)),0)</f>
        <v>2200</v>
      </c>
      <c r="M25" s="2">
        <f>IFERROR(SUMIFS('CALENDARIO INGRESOS'!$I:$I,'CALENDARIO INGRESOS'!$C:$C,Tabla814[[#Headers],[Guatemala]],'CALENDARIO INGRESOS'!$G:$G,"&gt;="&amp;$A25,'CALENDARIO INGRESOS'!$G:$G,"&lt;="&amp;EOMONTH($A25,0)),0)</f>
        <v>700</v>
      </c>
      <c r="N25" s="2">
        <f>IFERROR(SUMIFS('CALENDARIO INGRESOS'!$I:$I,'CALENDARIO INGRESOS'!$C:$C,Tabla814[[#Headers],[Venezuela]],'CALENDARIO INGRESOS'!$G:$G,"&gt;="&amp;$A25,'CALENDARIO INGRESOS'!$G:$G,"&lt;="&amp;EOMONTH($A25,0)),0)</f>
        <v>2000</v>
      </c>
      <c r="O25" s="2">
        <f>IFERROR(SUMIFS('CALENDARIO INGRESOS'!$I:$I,'CALENDARIO INGRESOS'!$C:$C,Tabla814[[#Headers],[Uruguay]],'CALENDARIO INGRESOS'!$G:$G,"&gt;="&amp;$A25,'CALENDARIO INGRESOS'!$G:$G,"&lt;="&amp;EOMONTH($A25,0)),0)</f>
        <v>0</v>
      </c>
      <c r="P25" s="2">
        <f>IFERROR(SUMIFS('CALENDARIO INGRESOS'!$I:$I,'CALENDARIO INGRESOS'!$C:$C,Tabla814[[#Headers],[Nicaragua]],'CALENDARIO INGRESOS'!$G:$G,"&gt;="&amp;$A25,'CALENDARIO INGRESOS'!$G:$G,"&lt;="&amp;EOMONTH($A25,0)),0)</f>
        <v>0</v>
      </c>
      <c r="Q25" s="2">
        <f>+SUM(Tabla814[[#This Row],[El Salvador]:[Nicaragua]])</f>
        <v>71711</v>
      </c>
    </row>
    <row r="26" spans="1:17">
      <c r="A26" s="253">
        <v>46266</v>
      </c>
      <c r="B26" s="2">
        <f>IFERROR(SUMIFS('CALENDARIO INGRESOS'!$I:$I,'CALENDARIO INGRESOS'!$C:$C,Tabla814[[#Headers],[El Salvador]],'CALENDARIO INGRESOS'!$G:$G,"&gt;="&amp;$A26,'CALENDARIO INGRESOS'!$G:$G,"&lt;="&amp;EOMONTH($A26,0)),0)</f>
        <v>1850</v>
      </c>
      <c r="C26" s="2">
        <f>IFERROR(SUMIFS('CALENDARIO INGRESOS'!$I:$I,'CALENDARIO INGRESOS'!$C:$C,Tabla814[[#Headers],[Chile]],'CALENDARIO INGRESOS'!$G:$G,"&gt;="&amp;$A26,'CALENDARIO INGRESOS'!$G:$G,"&lt;="&amp;EOMONTH($A26,0)),0)</f>
        <v>12700</v>
      </c>
      <c r="D26" s="2">
        <f>IFERROR(SUMIFS('CALENDARIO INGRESOS'!$I:$I,'CALENDARIO INGRESOS'!$C:$C,Tabla814[[#Headers],[Ecuador]],'CALENDARIO INGRESOS'!$G:$G,"&gt;="&amp;$A26,'CALENDARIO INGRESOS'!$G:$G,"&lt;="&amp;EOMONTH($A26,0)),0)</f>
        <v>12900</v>
      </c>
      <c r="E26" s="2">
        <f>IFERROR(SUMIFS('CALENDARIO INGRESOS'!$I:$I,'CALENDARIO INGRESOS'!$C:$C,Tabla814[[#Headers],[México]],'CALENDARIO INGRESOS'!$G:$G,"&gt;="&amp;$A26,'CALENDARIO INGRESOS'!$G:$G,"&lt;="&amp;EOMONTH($A26,0)),0)</f>
        <v>17634</v>
      </c>
      <c r="F26" s="2">
        <f>IFERROR(SUMIFS('CALENDARIO INGRESOS'!$I:$I,'CALENDARIO INGRESOS'!$C:$C,Tabla814[[#Headers],[Colombia]],'CALENDARIO INGRESOS'!$G:$G,"&gt;="&amp;$A26,'CALENDARIO INGRESOS'!$G:$G,"&lt;="&amp;EOMONTH($A26,0)),0)</f>
        <v>5961</v>
      </c>
      <c r="G26" s="2">
        <f>IFERROR(SUMIFS('CALENDARIO INGRESOS'!$I:$I,'CALENDARIO INGRESOS'!$C:$C,Tabla814[[#Headers],[República Dominicana]],'CALENDARIO INGRESOS'!$G:$G,"&gt;="&amp;$A26,'CALENDARIO INGRESOS'!$G:$G,"&lt;="&amp;EOMONTH($A26,0)),0)</f>
        <v>1000</v>
      </c>
      <c r="H26" s="2">
        <f>IFERROR(SUMIFS('CALENDARIO INGRESOS'!$I:$I,'CALENDARIO INGRESOS'!$C:$C,Tabla814[[#Headers],[Perú]],'CALENDARIO INGRESOS'!$G:$G,"&gt;="&amp;$A26,'CALENDARIO INGRESOS'!$G:$G,"&lt;="&amp;EOMONTH($A26,0)),0)</f>
        <v>4350</v>
      </c>
      <c r="I26" s="2">
        <f>IFERROR(SUMIFS('CALENDARIO INGRESOS'!$I:$I,'CALENDARIO INGRESOS'!$C:$C,Tabla814[[#Headers],[Paraguay]],'CALENDARIO INGRESOS'!$G:$G,"&gt;="&amp;$A26,'CALENDARIO INGRESOS'!$G:$G,"&lt;="&amp;EOMONTH($A26,0)),0)</f>
        <v>0</v>
      </c>
      <c r="J26" s="2">
        <f>IFERROR(SUMIFS('CALENDARIO INGRESOS'!$I:$I,'CALENDARIO INGRESOS'!$C:$C,Tabla814[[#Headers],[Honduras]],'CALENDARIO INGRESOS'!$G:$G,"&gt;="&amp;$A26,'CALENDARIO INGRESOS'!$G:$G,"&lt;="&amp;EOMONTH($A26,0)),0)</f>
        <v>1187</v>
      </c>
      <c r="K26" s="2">
        <f>IFERROR(SUMIFS('CALENDARIO INGRESOS'!$I:$I,'CALENDARIO INGRESOS'!$C:$C,Tabla814[[#Headers],[Bolivia]],'CALENDARIO INGRESOS'!$G:$G,"&gt;="&amp;$A26,'CALENDARIO INGRESOS'!$G:$G,"&lt;="&amp;EOMONTH($A26,0)),0)</f>
        <v>500</v>
      </c>
      <c r="L26" s="2">
        <f>IFERROR(SUMIFS('CALENDARIO INGRESOS'!$I:$I,'CALENDARIO INGRESOS'!$C:$C,Tabla814[[#Headers],[Argentina]],'CALENDARIO INGRESOS'!$G:$G,"&gt;="&amp;$A26,'CALENDARIO INGRESOS'!$G:$G,"&lt;="&amp;EOMONTH($A26,0)),0)</f>
        <v>1200</v>
      </c>
      <c r="M26" s="2">
        <f>IFERROR(SUMIFS('CALENDARIO INGRESOS'!$I:$I,'CALENDARIO INGRESOS'!$C:$C,Tabla814[[#Headers],[Guatemala]],'CALENDARIO INGRESOS'!$G:$G,"&gt;="&amp;$A26,'CALENDARIO INGRESOS'!$G:$G,"&lt;="&amp;EOMONTH($A26,0)),0)</f>
        <v>700</v>
      </c>
      <c r="N26" s="2">
        <f>IFERROR(SUMIFS('CALENDARIO INGRESOS'!$I:$I,'CALENDARIO INGRESOS'!$C:$C,Tabla814[[#Headers],[Venezuela]],'CALENDARIO INGRESOS'!$G:$G,"&gt;="&amp;$A26,'CALENDARIO INGRESOS'!$G:$G,"&lt;="&amp;EOMONTH($A26,0)),0)</f>
        <v>2000</v>
      </c>
      <c r="O26" s="2">
        <f>IFERROR(SUMIFS('CALENDARIO INGRESOS'!$I:$I,'CALENDARIO INGRESOS'!$C:$C,Tabla814[[#Headers],[Uruguay]],'CALENDARIO INGRESOS'!$G:$G,"&gt;="&amp;$A26,'CALENDARIO INGRESOS'!$G:$G,"&lt;="&amp;EOMONTH($A26,0)),0)</f>
        <v>0</v>
      </c>
      <c r="P26" s="2">
        <f>IFERROR(SUMIFS('CALENDARIO INGRESOS'!$I:$I,'CALENDARIO INGRESOS'!$C:$C,Tabla814[[#Headers],[Nicaragua]],'CALENDARIO INGRESOS'!$G:$G,"&gt;="&amp;$A26,'CALENDARIO INGRESOS'!$G:$G,"&lt;="&amp;EOMONTH($A26,0)),0)</f>
        <v>0</v>
      </c>
      <c r="Q26" s="2">
        <f>+SUM(Tabla814[[#This Row],[El Salvador]:[Nicaragua]])</f>
        <v>61982</v>
      </c>
    </row>
    <row r="27" spans="1:17">
      <c r="A27" s="254">
        <v>46296</v>
      </c>
      <c r="B27" s="2">
        <f>IFERROR(SUMIFS('CALENDARIO INGRESOS'!$I:$I,'CALENDARIO INGRESOS'!$C:$C,Tabla814[[#Headers],[El Salvador]],'CALENDARIO INGRESOS'!$G:$G,"&gt;="&amp;$A27,'CALENDARIO INGRESOS'!$G:$G,"&lt;="&amp;EOMONTH($A27,0)),0)</f>
        <v>1850</v>
      </c>
      <c r="C27" s="2">
        <f>IFERROR(SUMIFS('CALENDARIO INGRESOS'!$I:$I,'CALENDARIO INGRESOS'!$C:$C,Tabla814[[#Headers],[Chile]],'CALENDARIO INGRESOS'!$G:$G,"&gt;="&amp;$A27,'CALENDARIO INGRESOS'!$G:$G,"&lt;="&amp;EOMONTH($A27,0)),0)</f>
        <v>11850</v>
      </c>
      <c r="D27" s="2">
        <f>IFERROR(SUMIFS('CALENDARIO INGRESOS'!$I:$I,'CALENDARIO INGRESOS'!$C:$C,Tabla814[[#Headers],[Ecuador]],'CALENDARIO INGRESOS'!$G:$G,"&gt;="&amp;$A27,'CALENDARIO INGRESOS'!$G:$G,"&lt;="&amp;EOMONTH($A27,0)),0)</f>
        <v>16150</v>
      </c>
      <c r="E27" s="2">
        <f>IFERROR(SUMIFS('CALENDARIO INGRESOS'!$I:$I,'CALENDARIO INGRESOS'!$C:$C,Tabla814[[#Headers],[México]],'CALENDARIO INGRESOS'!$G:$G,"&gt;="&amp;$A27,'CALENDARIO INGRESOS'!$G:$G,"&lt;="&amp;EOMONTH($A27,0)),0)</f>
        <v>16634</v>
      </c>
      <c r="F27" s="2">
        <f>IFERROR(SUMIFS('CALENDARIO INGRESOS'!$I:$I,'CALENDARIO INGRESOS'!$C:$C,Tabla814[[#Headers],[Colombia]],'CALENDARIO INGRESOS'!$G:$G,"&gt;="&amp;$A27,'CALENDARIO INGRESOS'!$G:$G,"&lt;="&amp;EOMONTH($A27,0)),0)</f>
        <v>5461</v>
      </c>
      <c r="G27" s="2">
        <f>IFERROR(SUMIFS('CALENDARIO INGRESOS'!$I:$I,'CALENDARIO INGRESOS'!$C:$C,Tabla814[[#Headers],[República Dominicana]],'CALENDARIO INGRESOS'!$G:$G,"&gt;="&amp;$A27,'CALENDARIO INGRESOS'!$G:$G,"&lt;="&amp;EOMONTH($A27,0)),0)</f>
        <v>1000</v>
      </c>
      <c r="H27" s="2">
        <f>IFERROR(SUMIFS('CALENDARIO INGRESOS'!$I:$I,'CALENDARIO INGRESOS'!$C:$C,Tabla814[[#Headers],[Perú]],'CALENDARIO INGRESOS'!$G:$G,"&gt;="&amp;$A27,'CALENDARIO INGRESOS'!$G:$G,"&lt;="&amp;EOMONTH($A27,0)),0)</f>
        <v>5350</v>
      </c>
      <c r="I27" s="2">
        <f>IFERROR(SUMIFS('CALENDARIO INGRESOS'!$I:$I,'CALENDARIO INGRESOS'!$C:$C,Tabla814[[#Headers],[Paraguay]],'CALENDARIO INGRESOS'!$G:$G,"&gt;="&amp;$A27,'CALENDARIO INGRESOS'!$G:$G,"&lt;="&amp;EOMONTH($A27,0)),0)</f>
        <v>0</v>
      </c>
      <c r="J27" s="2">
        <f>IFERROR(SUMIFS('CALENDARIO INGRESOS'!$I:$I,'CALENDARIO INGRESOS'!$C:$C,Tabla814[[#Headers],[Honduras]],'CALENDARIO INGRESOS'!$G:$G,"&gt;="&amp;$A27,'CALENDARIO INGRESOS'!$G:$G,"&lt;="&amp;EOMONTH($A27,0)),0)</f>
        <v>2187</v>
      </c>
      <c r="K27" s="2">
        <f>IFERROR(SUMIFS('CALENDARIO INGRESOS'!$I:$I,'CALENDARIO INGRESOS'!$C:$C,Tabla814[[#Headers],[Bolivia]],'CALENDARIO INGRESOS'!$G:$G,"&gt;="&amp;$A27,'CALENDARIO INGRESOS'!$G:$G,"&lt;="&amp;EOMONTH($A27,0)),0)</f>
        <v>500</v>
      </c>
      <c r="L27" s="2">
        <f>IFERROR(SUMIFS('CALENDARIO INGRESOS'!$I:$I,'CALENDARIO INGRESOS'!$C:$C,Tabla814[[#Headers],[Argentina]],'CALENDARIO INGRESOS'!$G:$G,"&gt;="&amp;$A27,'CALENDARIO INGRESOS'!$G:$G,"&lt;="&amp;EOMONTH($A27,0)),0)</f>
        <v>1200</v>
      </c>
      <c r="M27" s="2">
        <f>IFERROR(SUMIFS('CALENDARIO INGRESOS'!$I:$I,'CALENDARIO INGRESOS'!$C:$C,Tabla814[[#Headers],[Guatemala]],'CALENDARIO INGRESOS'!$G:$G,"&gt;="&amp;$A27,'CALENDARIO INGRESOS'!$G:$G,"&lt;="&amp;EOMONTH($A27,0)),0)</f>
        <v>1576</v>
      </c>
      <c r="N27" s="2">
        <f>IFERROR(SUMIFS('CALENDARIO INGRESOS'!$I:$I,'CALENDARIO INGRESOS'!$C:$C,Tabla814[[#Headers],[Venezuela]],'CALENDARIO INGRESOS'!$G:$G,"&gt;="&amp;$A27,'CALENDARIO INGRESOS'!$G:$G,"&lt;="&amp;EOMONTH($A27,0)),0)</f>
        <v>6000</v>
      </c>
      <c r="O27" s="2">
        <f>IFERROR(SUMIFS('CALENDARIO INGRESOS'!$I:$I,'CALENDARIO INGRESOS'!$C:$C,Tabla814[[#Headers],[Uruguay]],'CALENDARIO INGRESOS'!$G:$G,"&gt;="&amp;$A27,'CALENDARIO INGRESOS'!$G:$G,"&lt;="&amp;EOMONTH($A27,0)),0)</f>
        <v>0</v>
      </c>
      <c r="P27" s="2">
        <f>IFERROR(SUMIFS('CALENDARIO INGRESOS'!$I:$I,'CALENDARIO INGRESOS'!$C:$C,Tabla814[[#Headers],[Nicaragua]],'CALENDARIO INGRESOS'!$G:$G,"&gt;="&amp;$A27,'CALENDARIO INGRESOS'!$G:$G,"&lt;="&amp;EOMONTH($A27,0)),0)</f>
        <v>0</v>
      </c>
      <c r="Q27" s="2">
        <f>+SUM(Tabla814[[#This Row],[El Salvador]:[Nicaragua]])</f>
        <v>69758</v>
      </c>
    </row>
    <row r="28" spans="1:17">
      <c r="A28" s="253">
        <v>46327</v>
      </c>
      <c r="B28" s="2">
        <f>IFERROR(SUMIFS('CALENDARIO INGRESOS'!$I:$I,'CALENDARIO INGRESOS'!$C:$C,Tabla814[[#Headers],[El Salvador]],'CALENDARIO INGRESOS'!$G:$G,"&gt;="&amp;$A28,'CALENDARIO INGRESOS'!$G:$G,"&lt;="&amp;EOMONTH($A28,0)),0)</f>
        <v>2950</v>
      </c>
      <c r="C28" s="2">
        <f>IFERROR(SUMIFS('CALENDARIO INGRESOS'!$I:$I,'CALENDARIO INGRESOS'!$C:$C,Tabla814[[#Headers],[Chile]],'CALENDARIO INGRESOS'!$G:$G,"&gt;="&amp;$A28,'CALENDARIO INGRESOS'!$G:$G,"&lt;="&amp;EOMONTH($A28,0)),0)</f>
        <v>16079</v>
      </c>
      <c r="D28" s="2">
        <f>IFERROR(SUMIFS('CALENDARIO INGRESOS'!$I:$I,'CALENDARIO INGRESOS'!$C:$C,Tabla814[[#Headers],[Ecuador]],'CALENDARIO INGRESOS'!$G:$G,"&gt;="&amp;$A28,'CALENDARIO INGRESOS'!$G:$G,"&lt;="&amp;EOMONTH($A28,0)),0)</f>
        <v>17400</v>
      </c>
      <c r="E28" s="2">
        <f>IFERROR(SUMIFS('CALENDARIO INGRESOS'!$I:$I,'CALENDARIO INGRESOS'!$C:$C,Tabla814[[#Headers],[México]],'CALENDARIO INGRESOS'!$G:$G,"&gt;="&amp;$A28,'CALENDARIO INGRESOS'!$G:$G,"&lt;="&amp;EOMONTH($A28,0)),0)</f>
        <v>15434</v>
      </c>
      <c r="F28" s="2">
        <f>IFERROR(SUMIFS('CALENDARIO INGRESOS'!$I:$I,'CALENDARIO INGRESOS'!$C:$C,Tabla814[[#Headers],[Colombia]],'CALENDARIO INGRESOS'!$G:$G,"&gt;="&amp;$A28,'CALENDARIO INGRESOS'!$G:$G,"&lt;="&amp;EOMONTH($A28,0)),0)</f>
        <v>5200</v>
      </c>
      <c r="G28" s="2">
        <f>IFERROR(SUMIFS('CALENDARIO INGRESOS'!$I:$I,'CALENDARIO INGRESOS'!$C:$C,Tabla814[[#Headers],[República Dominicana]],'CALENDARIO INGRESOS'!$G:$G,"&gt;="&amp;$A28,'CALENDARIO INGRESOS'!$G:$G,"&lt;="&amp;EOMONTH($A28,0)),0)</f>
        <v>2000</v>
      </c>
      <c r="H28" s="2">
        <f>IFERROR(SUMIFS('CALENDARIO INGRESOS'!$I:$I,'CALENDARIO INGRESOS'!$C:$C,Tabla814[[#Headers],[Perú]],'CALENDARIO INGRESOS'!$G:$G,"&gt;="&amp;$A28,'CALENDARIO INGRESOS'!$G:$G,"&lt;="&amp;EOMONTH($A28,0)),0)</f>
        <v>6350</v>
      </c>
      <c r="I28" s="2">
        <f>IFERROR(SUMIFS('CALENDARIO INGRESOS'!$I:$I,'CALENDARIO INGRESOS'!$C:$C,Tabla814[[#Headers],[Paraguay]],'CALENDARIO INGRESOS'!$G:$G,"&gt;="&amp;$A28,'CALENDARIO INGRESOS'!$G:$G,"&lt;="&amp;EOMONTH($A28,0)),0)</f>
        <v>0</v>
      </c>
      <c r="J28" s="2">
        <f>IFERROR(SUMIFS('CALENDARIO INGRESOS'!$I:$I,'CALENDARIO INGRESOS'!$C:$C,Tabla814[[#Headers],[Honduras]],'CALENDARIO INGRESOS'!$G:$G,"&gt;="&amp;$A28,'CALENDARIO INGRESOS'!$G:$G,"&lt;="&amp;EOMONTH($A28,0)),0)</f>
        <v>2187</v>
      </c>
      <c r="K28" s="2">
        <f>IFERROR(SUMIFS('CALENDARIO INGRESOS'!$I:$I,'CALENDARIO INGRESOS'!$C:$C,Tabla814[[#Headers],[Bolivia]],'CALENDARIO INGRESOS'!$G:$G,"&gt;="&amp;$A28,'CALENDARIO INGRESOS'!$G:$G,"&lt;="&amp;EOMONTH($A28,0)),0)</f>
        <v>500</v>
      </c>
      <c r="L28" s="2">
        <f>IFERROR(SUMIFS('CALENDARIO INGRESOS'!$I:$I,'CALENDARIO INGRESOS'!$C:$C,Tabla814[[#Headers],[Argentina]],'CALENDARIO INGRESOS'!$G:$G,"&gt;="&amp;$A28,'CALENDARIO INGRESOS'!$G:$G,"&lt;="&amp;EOMONTH($A28,0)),0)</f>
        <v>1200</v>
      </c>
      <c r="M28" s="2">
        <f>IFERROR(SUMIFS('CALENDARIO INGRESOS'!$I:$I,'CALENDARIO INGRESOS'!$C:$C,Tabla814[[#Headers],[Guatemala]],'CALENDARIO INGRESOS'!$G:$G,"&gt;="&amp;$A28,'CALENDARIO INGRESOS'!$G:$G,"&lt;="&amp;EOMONTH($A28,0)),0)</f>
        <v>1600</v>
      </c>
      <c r="N28" s="2">
        <f>IFERROR(SUMIFS('CALENDARIO INGRESOS'!$I:$I,'CALENDARIO INGRESOS'!$C:$C,Tabla814[[#Headers],[Venezuela]],'CALENDARIO INGRESOS'!$G:$G,"&gt;="&amp;$A28,'CALENDARIO INGRESOS'!$G:$G,"&lt;="&amp;EOMONTH($A28,0)),0)</f>
        <v>1000</v>
      </c>
      <c r="O28" s="2">
        <f>IFERROR(SUMIFS('CALENDARIO INGRESOS'!$I:$I,'CALENDARIO INGRESOS'!$C:$C,Tabla814[[#Headers],[Uruguay]],'CALENDARIO INGRESOS'!$G:$G,"&gt;="&amp;$A28,'CALENDARIO INGRESOS'!$G:$G,"&lt;="&amp;EOMONTH($A28,0)),0)</f>
        <v>0</v>
      </c>
      <c r="P28" s="2">
        <f>IFERROR(SUMIFS('CALENDARIO INGRESOS'!$I:$I,'CALENDARIO INGRESOS'!$C:$C,Tabla814[[#Headers],[Nicaragua]],'CALENDARIO INGRESOS'!$G:$G,"&gt;="&amp;$A28,'CALENDARIO INGRESOS'!$G:$G,"&lt;="&amp;EOMONTH($A28,0)),0)</f>
        <v>0</v>
      </c>
      <c r="Q28" s="2">
        <f>+SUM(Tabla814[[#This Row],[El Salvador]:[Nicaragua]])</f>
        <v>71900</v>
      </c>
    </row>
    <row r="29" spans="1:17">
      <c r="A29" s="254">
        <v>46357</v>
      </c>
      <c r="B29" s="2">
        <f>IFERROR(SUMIFS('CALENDARIO INGRESOS'!$I:$I,'CALENDARIO INGRESOS'!$C:$C,Tabla814[[#Headers],[El Salvador]],'CALENDARIO INGRESOS'!$G:$G,"&gt;="&amp;$A29,'CALENDARIO INGRESOS'!$G:$G,"&lt;="&amp;EOMONTH($A29,0)),0)</f>
        <v>2950</v>
      </c>
      <c r="C29" s="2">
        <f>IFERROR(SUMIFS('CALENDARIO INGRESOS'!$I:$I,'CALENDARIO INGRESOS'!$C:$C,Tabla814[[#Headers],[Chile]],'CALENDARIO INGRESOS'!$G:$G,"&gt;="&amp;$A29,'CALENDARIO INGRESOS'!$G:$G,"&lt;="&amp;EOMONTH($A29,0)),0)</f>
        <v>27038</v>
      </c>
      <c r="D29" s="2">
        <f>IFERROR(SUMIFS('CALENDARIO INGRESOS'!$I:$I,'CALENDARIO INGRESOS'!$C:$C,Tabla814[[#Headers],[Ecuador]],'CALENDARIO INGRESOS'!$G:$G,"&gt;="&amp;$A29,'CALENDARIO INGRESOS'!$G:$G,"&lt;="&amp;EOMONTH($A29,0)),0)</f>
        <v>11800</v>
      </c>
      <c r="E29" s="2">
        <f>IFERROR(SUMIFS('CALENDARIO INGRESOS'!$I:$I,'CALENDARIO INGRESOS'!$C:$C,Tabla814[[#Headers],[México]],'CALENDARIO INGRESOS'!$G:$G,"&gt;="&amp;$A29,'CALENDARIO INGRESOS'!$G:$G,"&lt;="&amp;EOMONTH($A29,0)),0)</f>
        <v>12804</v>
      </c>
      <c r="F29" s="2">
        <f>IFERROR(SUMIFS('CALENDARIO INGRESOS'!$I:$I,'CALENDARIO INGRESOS'!$C:$C,Tabla814[[#Headers],[Colombia]],'CALENDARIO INGRESOS'!$G:$G,"&gt;="&amp;$A29,'CALENDARIO INGRESOS'!$G:$G,"&lt;="&amp;EOMONTH($A29,0)),0)</f>
        <v>5200</v>
      </c>
      <c r="G29" s="2">
        <f>IFERROR(SUMIFS('CALENDARIO INGRESOS'!$I:$I,'CALENDARIO INGRESOS'!$C:$C,Tabla814[[#Headers],[República Dominicana]],'CALENDARIO INGRESOS'!$G:$G,"&gt;="&amp;$A29,'CALENDARIO INGRESOS'!$G:$G,"&lt;="&amp;EOMONTH($A29,0)),0)</f>
        <v>2000</v>
      </c>
      <c r="H29" s="2">
        <f>IFERROR(SUMIFS('CALENDARIO INGRESOS'!$I:$I,'CALENDARIO INGRESOS'!$C:$C,Tabla814[[#Headers],[Perú]],'CALENDARIO INGRESOS'!$G:$G,"&gt;="&amp;$A29,'CALENDARIO INGRESOS'!$G:$G,"&lt;="&amp;EOMONTH($A29,0)),0)</f>
        <v>8350</v>
      </c>
      <c r="I29" s="2">
        <f>IFERROR(SUMIFS('CALENDARIO INGRESOS'!$I:$I,'CALENDARIO INGRESOS'!$C:$C,Tabla814[[#Headers],[Paraguay]],'CALENDARIO INGRESOS'!$G:$G,"&gt;="&amp;$A29,'CALENDARIO INGRESOS'!$G:$G,"&lt;="&amp;EOMONTH($A29,0)),0)</f>
        <v>0</v>
      </c>
      <c r="J29" s="2">
        <f>IFERROR(SUMIFS('CALENDARIO INGRESOS'!$I:$I,'CALENDARIO INGRESOS'!$C:$C,Tabla814[[#Headers],[Honduras]],'CALENDARIO INGRESOS'!$G:$G,"&gt;="&amp;$A29,'CALENDARIO INGRESOS'!$G:$G,"&lt;="&amp;EOMONTH($A29,0)),0)</f>
        <v>2187</v>
      </c>
      <c r="K29" s="2">
        <f>IFERROR(SUMIFS('CALENDARIO INGRESOS'!$I:$I,'CALENDARIO INGRESOS'!$C:$C,Tabla814[[#Headers],[Bolivia]],'CALENDARIO INGRESOS'!$G:$G,"&gt;="&amp;$A29,'CALENDARIO INGRESOS'!$G:$G,"&lt;="&amp;EOMONTH($A29,0)),0)</f>
        <v>2741</v>
      </c>
      <c r="L29" s="2">
        <f>IFERROR(SUMIFS('CALENDARIO INGRESOS'!$I:$I,'CALENDARIO INGRESOS'!$C:$C,Tabla814[[#Headers],[Argentina]],'CALENDARIO INGRESOS'!$G:$G,"&gt;="&amp;$A29,'CALENDARIO INGRESOS'!$G:$G,"&lt;="&amp;EOMONTH($A29,0)),0)</f>
        <v>1200</v>
      </c>
      <c r="M29" s="2">
        <f>IFERROR(SUMIFS('CALENDARIO INGRESOS'!$I:$I,'CALENDARIO INGRESOS'!$C:$C,Tabla814[[#Headers],[Guatemala]],'CALENDARIO INGRESOS'!$G:$G,"&gt;="&amp;$A29,'CALENDARIO INGRESOS'!$G:$G,"&lt;="&amp;EOMONTH($A29,0)),0)</f>
        <v>1600</v>
      </c>
      <c r="N29" s="2">
        <f>IFERROR(SUMIFS('CALENDARIO INGRESOS'!$I:$I,'CALENDARIO INGRESOS'!$C:$C,Tabla814[[#Headers],[Venezuela]],'CALENDARIO INGRESOS'!$G:$G,"&gt;="&amp;$A29,'CALENDARIO INGRESOS'!$G:$G,"&lt;="&amp;EOMONTH($A29,0)),0)</f>
        <v>0</v>
      </c>
      <c r="O29" s="2">
        <f>IFERROR(SUMIFS('CALENDARIO INGRESOS'!$I:$I,'CALENDARIO INGRESOS'!$C:$C,Tabla814[[#Headers],[Uruguay]],'CALENDARIO INGRESOS'!$G:$G,"&gt;="&amp;$A29,'CALENDARIO INGRESOS'!$G:$G,"&lt;="&amp;EOMONTH($A29,0)),0)</f>
        <v>0</v>
      </c>
      <c r="P29" s="2">
        <f>IFERROR(SUMIFS('CALENDARIO INGRESOS'!$I:$I,'CALENDARIO INGRESOS'!$C:$C,Tabla814[[#Headers],[Nicaragua]],'CALENDARIO INGRESOS'!$G:$G,"&gt;="&amp;$A29,'CALENDARIO INGRESOS'!$G:$G,"&lt;="&amp;EOMONTH($A29,0)),0)</f>
        <v>0</v>
      </c>
      <c r="Q29" s="2">
        <f>+SUM(Tabla814[[#This Row],[El Salvador]:[Nicaragua]])</f>
        <v>77870</v>
      </c>
    </row>
    <row r="30" spans="1:17">
      <c r="A30" s="253">
        <v>46388</v>
      </c>
      <c r="B30" s="2">
        <f>IFERROR(SUMIFS('CALENDARIO INGRESOS'!$I:$I,'CALENDARIO INGRESOS'!$C:$C,Tabla814[[#Headers],[El Salvador]],'CALENDARIO INGRESOS'!$G:$G,"&gt;="&amp;$A30,'CALENDARIO INGRESOS'!$G:$G,"&lt;="&amp;EOMONTH($A30,0)),0)</f>
        <v>2100</v>
      </c>
      <c r="C30" s="2">
        <f>IFERROR(SUMIFS('CALENDARIO INGRESOS'!$I:$I,'CALENDARIO INGRESOS'!$C:$C,Tabla814[[#Headers],[Chile]],'CALENDARIO INGRESOS'!$G:$G,"&gt;="&amp;$A30,'CALENDARIO INGRESOS'!$G:$G,"&lt;="&amp;EOMONTH($A30,0)),0)</f>
        <v>23638</v>
      </c>
      <c r="D30" s="2">
        <f>IFERROR(SUMIFS('CALENDARIO INGRESOS'!$I:$I,'CALENDARIO INGRESOS'!$C:$C,Tabla814[[#Headers],[Ecuador]],'CALENDARIO INGRESOS'!$G:$G,"&gt;="&amp;$A30,'CALENDARIO INGRESOS'!$G:$G,"&lt;="&amp;EOMONTH($A30,0)),0)</f>
        <v>9800</v>
      </c>
      <c r="E30" s="2">
        <f>IFERROR(SUMIFS('CALENDARIO INGRESOS'!$I:$I,'CALENDARIO INGRESOS'!$C:$C,Tabla814[[#Headers],[México]],'CALENDARIO INGRESOS'!$G:$G,"&gt;="&amp;$A30,'CALENDARIO INGRESOS'!$G:$G,"&lt;="&amp;EOMONTH($A30,0)),0)</f>
        <v>12154</v>
      </c>
      <c r="F30" s="2">
        <f>IFERROR(SUMIFS('CALENDARIO INGRESOS'!$I:$I,'CALENDARIO INGRESOS'!$C:$C,Tabla814[[#Headers],[Colombia]],'CALENDARIO INGRESOS'!$G:$G,"&gt;="&amp;$A30,'CALENDARIO INGRESOS'!$G:$G,"&lt;="&amp;EOMONTH($A30,0)),0)</f>
        <v>6200</v>
      </c>
      <c r="G30" s="2">
        <f>IFERROR(SUMIFS('CALENDARIO INGRESOS'!$I:$I,'CALENDARIO INGRESOS'!$C:$C,Tabla814[[#Headers],[República Dominicana]],'CALENDARIO INGRESOS'!$G:$G,"&gt;="&amp;$A30,'CALENDARIO INGRESOS'!$G:$G,"&lt;="&amp;EOMONTH($A30,0)),0)</f>
        <v>2000</v>
      </c>
      <c r="H30" s="2">
        <f>IFERROR(SUMIFS('CALENDARIO INGRESOS'!$I:$I,'CALENDARIO INGRESOS'!$C:$C,Tabla814[[#Headers],[Perú]],'CALENDARIO INGRESOS'!$G:$G,"&gt;="&amp;$A30,'CALENDARIO INGRESOS'!$G:$G,"&lt;="&amp;EOMONTH($A30,0)),0)</f>
        <v>5850</v>
      </c>
      <c r="I30" s="2">
        <f>IFERROR(SUMIFS('CALENDARIO INGRESOS'!$I:$I,'CALENDARIO INGRESOS'!$C:$C,Tabla814[[#Headers],[Paraguay]],'CALENDARIO INGRESOS'!$G:$G,"&gt;="&amp;$A30,'CALENDARIO INGRESOS'!$G:$G,"&lt;="&amp;EOMONTH($A30,0)),0)</f>
        <v>0</v>
      </c>
      <c r="J30" s="2">
        <f>IFERROR(SUMIFS('CALENDARIO INGRESOS'!$I:$I,'CALENDARIO INGRESOS'!$C:$C,Tabla814[[#Headers],[Honduras]],'CALENDARIO INGRESOS'!$G:$G,"&gt;="&amp;$A30,'CALENDARIO INGRESOS'!$G:$G,"&lt;="&amp;EOMONTH($A30,0)),0)</f>
        <v>2000</v>
      </c>
      <c r="K30" s="2">
        <f>IFERROR(SUMIFS('CALENDARIO INGRESOS'!$I:$I,'CALENDARIO INGRESOS'!$C:$C,Tabla814[[#Headers],[Bolivia]],'CALENDARIO INGRESOS'!$G:$G,"&gt;="&amp;$A30,'CALENDARIO INGRESOS'!$G:$G,"&lt;="&amp;EOMONTH($A30,0)),0)</f>
        <v>0</v>
      </c>
      <c r="L30" s="2">
        <f>IFERROR(SUMIFS('CALENDARIO INGRESOS'!$I:$I,'CALENDARIO INGRESOS'!$C:$C,Tabla814[[#Headers],[Argentina]],'CALENDARIO INGRESOS'!$G:$G,"&gt;="&amp;$A30,'CALENDARIO INGRESOS'!$G:$G,"&lt;="&amp;EOMONTH($A30,0)),0)</f>
        <v>1200</v>
      </c>
      <c r="M30" s="2">
        <f>IFERROR(SUMIFS('CALENDARIO INGRESOS'!$I:$I,'CALENDARIO INGRESOS'!$C:$C,Tabla814[[#Headers],[Guatemala]],'CALENDARIO INGRESOS'!$G:$G,"&gt;="&amp;$A30,'CALENDARIO INGRESOS'!$G:$G,"&lt;="&amp;EOMONTH($A30,0)),0)</f>
        <v>1600</v>
      </c>
      <c r="N30" s="2">
        <f>IFERROR(SUMIFS('CALENDARIO INGRESOS'!$I:$I,'CALENDARIO INGRESOS'!$C:$C,Tabla814[[#Headers],[Venezuela]],'CALENDARIO INGRESOS'!$G:$G,"&gt;="&amp;$A30,'CALENDARIO INGRESOS'!$G:$G,"&lt;="&amp;EOMONTH($A30,0)),0)</f>
        <v>0</v>
      </c>
      <c r="O30" s="2">
        <f>IFERROR(SUMIFS('CALENDARIO INGRESOS'!$I:$I,'CALENDARIO INGRESOS'!$C:$C,Tabla814[[#Headers],[Uruguay]],'CALENDARIO INGRESOS'!$G:$G,"&gt;="&amp;$A30,'CALENDARIO INGRESOS'!$G:$G,"&lt;="&amp;EOMONTH($A30,0)),0)</f>
        <v>0</v>
      </c>
      <c r="P30" s="2">
        <f>IFERROR(SUMIFS('CALENDARIO INGRESOS'!$I:$I,'CALENDARIO INGRESOS'!$C:$C,Tabla814[[#Headers],[Nicaragua]],'CALENDARIO INGRESOS'!$G:$G,"&gt;="&amp;$A30,'CALENDARIO INGRESOS'!$G:$G,"&lt;="&amp;EOMONTH($A30,0)),0)</f>
        <v>0</v>
      </c>
      <c r="Q30" s="2">
        <f>+SUM(Tabla814[[#This Row],[El Salvador]:[Nicaragua]])</f>
        <v>66542</v>
      </c>
    </row>
    <row r="31" spans="1:17">
      <c r="A31" s="254">
        <v>46419</v>
      </c>
      <c r="B31" s="2">
        <f>IFERROR(SUMIFS('CALENDARIO INGRESOS'!$I:$I,'CALENDARIO INGRESOS'!$C:$C,Tabla814[[#Headers],[El Salvador]],'CALENDARIO INGRESOS'!$G:$G,"&gt;="&amp;$A31,'CALENDARIO INGRESOS'!$G:$G,"&lt;="&amp;EOMONTH($A31,0)),0)</f>
        <v>2600</v>
      </c>
      <c r="C31" s="2">
        <f>IFERROR(SUMIFS('CALENDARIO INGRESOS'!$I:$I,'CALENDARIO INGRESOS'!$C:$C,Tabla814[[#Headers],[Chile]],'CALENDARIO INGRESOS'!$G:$G,"&gt;="&amp;$A31,'CALENDARIO INGRESOS'!$G:$G,"&lt;="&amp;EOMONTH($A31,0)),0)</f>
        <v>18038</v>
      </c>
      <c r="D31" s="2">
        <f>IFERROR(SUMIFS('CALENDARIO INGRESOS'!$I:$I,'CALENDARIO INGRESOS'!$C:$C,Tabla814[[#Headers],[Ecuador]],'CALENDARIO INGRESOS'!$G:$G,"&gt;="&amp;$A31,'CALENDARIO INGRESOS'!$G:$G,"&lt;="&amp;EOMONTH($A31,0)),0)</f>
        <v>16050</v>
      </c>
      <c r="E31" s="2">
        <f>IFERROR(SUMIFS('CALENDARIO INGRESOS'!$I:$I,'CALENDARIO INGRESOS'!$C:$C,Tabla814[[#Headers],[México]],'CALENDARIO INGRESOS'!$G:$G,"&gt;="&amp;$A31,'CALENDARIO INGRESOS'!$G:$G,"&lt;="&amp;EOMONTH($A31,0)),0)</f>
        <v>10354</v>
      </c>
      <c r="F31" s="2">
        <f>IFERROR(SUMIFS('CALENDARIO INGRESOS'!$I:$I,'CALENDARIO INGRESOS'!$C:$C,Tabla814[[#Headers],[Colombia]],'CALENDARIO INGRESOS'!$G:$G,"&gt;="&amp;$A31,'CALENDARIO INGRESOS'!$G:$G,"&lt;="&amp;EOMONTH($A31,0)),0)</f>
        <v>5950</v>
      </c>
      <c r="G31" s="2">
        <f>IFERROR(SUMIFS('CALENDARIO INGRESOS'!$I:$I,'CALENDARIO INGRESOS'!$C:$C,Tabla814[[#Headers],[República Dominicana]],'CALENDARIO INGRESOS'!$G:$G,"&gt;="&amp;$A31,'CALENDARIO INGRESOS'!$G:$G,"&lt;="&amp;EOMONTH($A31,0)),0)</f>
        <v>3000</v>
      </c>
      <c r="H31" s="2">
        <f>IFERROR(SUMIFS('CALENDARIO INGRESOS'!$I:$I,'CALENDARIO INGRESOS'!$C:$C,Tabla814[[#Headers],[Perú]],'CALENDARIO INGRESOS'!$G:$G,"&gt;="&amp;$A31,'CALENDARIO INGRESOS'!$G:$G,"&lt;="&amp;EOMONTH($A31,0)),0)</f>
        <v>10850</v>
      </c>
      <c r="I31" s="2">
        <f>IFERROR(SUMIFS('CALENDARIO INGRESOS'!$I:$I,'CALENDARIO INGRESOS'!$C:$C,Tabla814[[#Headers],[Paraguay]],'CALENDARIO INGRESOS'!$G:$G,"&gt;="&amp;$A31,'CALENDARIO INGRESOS'!$G:$G,"&lt;="&amp;EOMONTH($A31,0)),0)</f>
        <v>0</v>
      </c>
      <c r="J31" s="2">
        <f>IFERROR(SUMIFS('CALENDARIO INGRESOS'!$I:$I,'CALENDARIO INGRESOS'!$C:$C,Tabla814[[#Headers],[Honduras]],'CALENDARIO INGRESOS'!$G:$G,"&gt;="&amp;$A31,'CALENDARIO INGRESOS'!$G:$G,"&lt;="&amp;EOMONTH($A31,0)),0)</f>
        <v>2000</v>
      </c>
      <c r="K31" s="2">
        <f>IFERROR(SUMIFS('CALENDARIO INGRESOS'!$I:$I,'CALENDARIO INGRESOS'!$C:$C,Tabla814[[#Headers],[Bolivia]],'CALENDARIO INGRESOS'!$G:$G,"&gt;="&amp;$A31,'CALENDARIO INGRESOS'!$G:$G,"&lt;="&amp;EOMONTH($A31,0)),0)</f>
        <v>0</v>
      </c>
      <c r="L31" s="2">
        <f>IFERROR(SUMIFS('CALENDARIO INGRESOS'!$I:$I,'CALENDARIO INGRESOS'!$C:$C,Tabla814[[#Headers],[Argentina]],'CALENDARIO INGRESOS'!$G:$G,"&gt;="&amp;$A31,'CALENDARIO INGRESOS'!$G:$G,"&lt;="&amp;EOMONTH($A31,0)),0)</f>
        <v>1200</v>
      </c>
      <c r="M31" s="2">
        <f>IFERROR(SUMIFS('CALENDARIO INGRESOS'!$I:$I,'CALENDARIO INGRESOS'!$C:$C,Tabla814[[#Headers],[Guatemala]],'CALENDARIO INGRESOS'!$G:$G,"&gt;="&amp;$A31,'CALENDARIO INGRESOS'!$G:$G,"&lt;="&amp;EOMONTH($A31,0)),0)</f>
        <v>1600</v>
      </c>
      <c r="N31" s="2">
        <f>IFERROR(SUMIFS('CALENDARIO INGRESOS'!$I:$I,'CALENDARIO INGRESOS'!$C:$C,Tabla814[[#Headers],[Venezuela]],'CALENDARIO INGRESOS'!$G:$G,"&gt;="&amp;$A31,'CALENDARIO INGRESOS'!$G:$G,"&lt;="&amp;EOMONTH($A31,0)),0)</f>
        <v>0</v>
      </c>
      <c r="O31" s="2">
        <f>IFERROR(SUMIFS('CALENDARIO INGRESOS'!$I:$I,'CALENDARIO INGRESOS'!$C:$C,Tabla814[[#Headers],[Uruguay]],'CALENDARIO INGRESOS'!$G:$G,"&gt;="&amp;$A31,'CALENDARIO INGRESOS'!$G:$G,"&lt;="&amp;EOMONTH($A31,0)),0)</f>
        <v>0</v>
      </c>
      <c r="P31" s="2">
        <f>IFERROR(SUMIFS('CALENDARIO INGRESOS'!$I:$I,'CALENDARIO INGRESOS'!$C:$C,Tabla814[[#Headers],[Nicaragua]],'CALENDARIO INGRESOS'!$G:$G,"&gt;="&amp;$A31,'CALENDARIO INGRESOS'!$G:$G,"&lt;="&amp;EOMONTH($A31,0)),0)</f>
        <v>0</v>
      </c>
      <c r="Q31" s="2">
        <f>+SUM(Tabla814[[#This Row],[El Salvador]:[Nicaragua]])</f>
        <v>71642</v>
      </c>
    </row>
    <row r="32" spans="1:17">
      <c r="A32" s="253">
        <v>46447</v>
      </c>
      <c r="B32" s="2">
        <f>IFERROR(SUMIFS('CALENDARIO INGRESOS'!$I:$I,'CALENDARIO INGRESOS'!$C:$C,Tabla814[[#Headers],[El Salvador]],'CALENDARIO INGRESOS'!$G:$G,"&gt;="&amp;$A32,'CALENDARIO INGRESOS'!$G:$G,"&lt;="&amp;EOMONTH($A32,0)),0)</f>
        <v>3000</v>
      </c>
      <c r="C32" s="2">
        <f>IFERROR(SUMIFS('CALENDARIO INGRESOS'!$I:$I,'CALENDARIO INGRESOS'!$C:$C,Tabla814[[#Headers],[Chile]],'CALENDARIO INGRESOS'!$G:$G,"&gt;="&amp;$A32,'CALENDARIO INGRESOS'!$G:$G,"&lt;="&amp;EOMONTH($A32,0)),0)</f>
        <v>17704</v>
      </c>
      <c r="D32" s="2">
        <f>IFERROR(SUMIFS('CALENDARIO INGRESOS'!$I:$I,'CALENDARIO INGRESOS'!$C:$C,Tabla814[[#Headers],[Ecuador]],'CALENDARIO INGRESOS'!$G:$G,"&gt;="&amp;$A32,'CALENDARIO INGRESOS'!$G:$G,"&lt;="&amp;EOMONTH($A32,0)),0)</f>
        <v>8950</v>
      </c>
      <c r="E32" s="2">
        <f>IFERROR(SUMIFS('CALENDARIO INGRESOS'!$I:$I,'CALENDARIO INGRESOS'!$C:$C,Tabla814[[#Headers],[México]],'CALENDARIO INGRESOS'!$G:$G,"&gt;="&amp;$A32,'CALENDARIO INGRESOS'!$G:$G,"&lt;="&amp;EOMONTH($A32,0)),0)</f>
        <v>10354</v>
      </c>
      <c r="F32" s="2">
        <f>IFERROR(SUMIFS('CALENDARIO INGRESOS'!$I:$I,'CALENDARIO INGRESOS'!$C:$C,Tabla814[[#Headers],[Colombia]],'CALENDARIO INGRESOS'!$G:$G,"&gt;="&amp;$A32,'CALENDARIO INGRESOS'!$G:$G,"&lt;="&amp;EOMONTH($A32,0)),0)</f>
        <v>5450</v>
      </c>
      <c r="G32" s="2">
        <f>IFERROR(SUMIFS('CALENDARIO INGRESOS'!$I:$I,'CALENDARIO INGRESOS'!$C:$C,Tabla814[[#Headers],[República Dominicana]],'CALENDARIO INGRESOS'!$G:$G,"&gt;="&amp;$A32,'CALENDARIO INGRESOS'!$G:$G,"&lt;="&amp;EOMONTH($A32,0)),0)</f>
        <v>3000</v>
      </c>
      <c r="H32" s="2">
        <f>IFERROR(SUMIFS('CALENDARIO INGRESOS'!$I:$I,'CALENDARIO INGRESOS'!$C:$C,Tabla814[[#Headers],[Perú]],'CALENDARIO INGRESOS'!$G:$G,"&gt;="&amp;$A32,'CALENDARIO INGRESOS'!$G:$G,"&lt;="&amp;EOMONTH($A32,0)),0)</f>
        <v>6850</v>
      </c>
      <c r="I32" s="2">
        <f>IFERROR(SUMIFS('CALENDARIO INGRESOS'!$I:$I,'CALENDARIO INGRESOS'!$C:$C,Tabla814[[#Headers],[Paraguay]],'CALENDARIO INGRESOS'!$G:$G,"&gt;="&amp;$A32,'CALENDARIO INGRESOS'!$G:$G,"&lt;="&amp;EOMONTH($A32,0)),0)</f>
        <v>0</v>
      </c>
      <c r="J32" s="2">
        <f>IFERROR(SUMIFS('CALENDARIO INGRESOS'!$I:$I,'CALENDARIO INGRESOS'!$C:$C,Tabla814[[#Headers],[Honduras]],'CALENDARIO INGRESOS'!$G:$G,"&gt;="&amp;$A32,'CALENDARIO INGRESOS'!$G:$G,"&lt;="&amp;EOMONTH($A32,0)),0)</f>
        <v>2000</v>
      </c>
      <c r="K32" s="2">
        <f>IFERROR(SUMIFS('CALENDARIO INGRESOS'!$I:$I,'CALENDARIO INGRESOS'!$C:$C,Tabla814[[#Headers],[Bolivia]],'CALENDARIO INGRESOS'!$G:$G,"&gt;="&amp;$A32,'CALENDARIO INGRESOS'!$G:$G,"&lt;="&amp;EOMONTH($A32,0)),0)</f>
        <v>1000</v>
      </c>
      <c r="L32" s="2">
        <f>IFERROR(SUMIFS('CALENDARIO INGRESOS'!$I:$I,'CALENDARIO INGRESOS'!$C:$C,Tabla814[[#Headers],[Argentina]],'CALENDARIO INGRESOS'!$G:$G,"&gt;="&amp;$A32,'CALENDARIO INGRESOS'!$G:$G,"&lt;="&amp;EOMONTH($A32,0)),0)</f>
        <v>2200</v>
      </c>
      <c r="M32" s="2">
        <f>IFERROR(SUMIFS('CALENDARIO INGRESOS'!$I:$I,'CALENDARIO INGRESOS'!$C:$C,Tabla814[[#Headers],[Guatemala]],'CALENDARIO INGRESOS'!$G:$G,"&gt;="&amp;$A32,'CALENDARIO INGRESOS'!$G:$G,"&lt;="&amp;EOMONTH($A32,0)),0)</f>
        <v>2600</v>
      </c>
      <c r="N32" s="2">
        <f>IFERROR(SUMIFS('CALENDARIO INGRESOS'!$I:$I,'CALENDARIO INGRESOS'!$C:$C,Tabla814[[#Headers],[Venezuela]],'CALENDARIO INGRESOS'!$G:$G,"&gt;="&amp;$A32,'CALENDARIO INGRESOS'!$G:$G,"&lt;="&amp;EOMONTH($A32,0)),0)</f>
        <v>0</v>
      </c>
      <c r="O32" s="2">
        <f>IFERROR(SUMIFS('CALENDARIO INGRESOS'!$I:$I,'CALENDARIO INGRESOS'!$C:$C,Tabla814[[#Headers],[Uruguay]],'CALENDARIO INGRESOS'!$G:$G,"&gt;="&amp;$A32,'CALENDARIO INGRESOS'!$G:$G,"&lt;="&amp;EOMONTH($A32,0)),0)</f>
        <v>0</v>
      </c>
      <c r="P32" s="2">
        <f>IFERROR(SUMIFS('CALENDARIO INGRESOS'!$I:$I,'CALENDARIO INGRESOS'!$C:$C,Tabla814[[#Headers],[Nicaragua]],'CALENDARIO INGRESOS'!$G:$G,"&gt;="&amp;$A32,'CALENDARIO INGRESOS'!$G:$G,"&lt;="&amp;EOMONTH($A32,0)),0)</f>
        <v>0</v>
      </c>
      <c r="Q32" s="2">
        <f>+SUM(Tabla814[[#This Row],[El Salvador]:[Nicaragua]])</f>
        <v>63108</v>
      </c>
    </row>
    <row r="33" spans="1:17">
      <c r="A33" s="254">
        <v>46478</v>
      </c>
      <c r="B33" s="2">
        <f>IFERROR(SUMIFS('CALENDARIO INGRESOS'!$I:$I,'CALENDARIO INGRESOS'!$C:$C,Tabla814[[#Headers],[El Salvador]],'CALENDARIO INGRESOS'!$G:$G,"&gt;="&amp;$A33,'CALENDARIO INGRESOS'!$G:$G,"&lt;="&amp;EOMONTH($A33,0)),0)</f>
        <v>3000</v>
      </c>
      <c r="C33" s="2">
        <f>IFERROR(SUMIFS('CALENDARIO INGRESOS'!$I:$I,'CALENDARIO INGRESOS'!$C:$C,Tabla814[[#Headers],[Chile]],'CALENDARIO INGRESOS'!$G:$G,"&gt;="&amp;$A33,'CALENDARIO INGRESOS'!$G:$G,"&lt;="&amp;EOMONTH($A33,0)),0)</f>
        <v>17858</v>
      </c>
      <c r="D33" s="2">
        <f>IFERROR(SUMIFS('CALENDARIO INGRESOS'!$I:$I,'CALENDARIO INGRESOS'!$C:$C,Tabla814[[#Headers],[Ecuador]],'CALENDARIO INGRESOS'!$G:$G,"&gt;="&amp;$A33,'CALENDARIO INGRESOS'!$G:$G,"&lt;="&amp;EOMONTH($A33,0)),0)</f>
        <v>10350</v>
      </c>
      <c r="E33" s="2">
        <f>IFERROR(SUMIFS('CALENDARIO INGRESOS'!$I:$I,'CALENDARIO INGRESOS'!$C:$C,Tabla814[[#Headers],[México]],'CALENDARIO INGRESOS'!$G:$G,"&gt;="&amp;$A33,'CALENDARIO INGRESOS'!$G:$G,"&lt;="&amp;EOMONTH($A33,0)),0)</f>
        <v>16304</v>
      </c>
      <c r="F33" s="2">
        <f>IFERROR(SUMIFS('CALENDARIO INGRESOS'!$I:$I,'CALENDARIO INGRESOS'!$C:$C,Tabla814[[#Headers],[Colombia]],'CALENDARIO INGRESOS'!$G:$G,"&gt;="&amp;$A33,'CALENDARIO INGRESOS'!$G:$G,"&lt;="&amp;EOMONTH($A33,0)),0)</f>
        <v>7800</v>
      </c>
      <c r="G33" s="2">
        <f>IFERROR(SUMIFS('CALENDARIO INGRESOS'!$I:$I,'CALENDARIO INGRESOS'!$C:$C,Tabla814[[#Headers],[República Dominicana]],'CALENDARIO INGRESOS'!$G:$G,"&gt;="&amp;$A33,'CALENDARIO INGRESOS'!$G:$G,"&lt;="&amp;EOMONTH($A33,0)),0)</f>
        <v>3000</v>
      </c>
      <c r="H33" s="2">
        <f>IFERROR(SUMIFS('CALENDARIO INGRESOS'!$I:$I,'CALENDARIO INGRESOS'!$C:$C,Tabla814[[#Headers],[Perú]],'CALENDARIO INGRESOS'!$G:$G,"&gt;="&amp;$A33,'CALENDARIO INGRESOS'!$G:$G,"&lt;="&amp;EOMONTH($A33,0)),0)</f>
        <v>4250</v>
      </c>
      <c r="I33" s="2">
        <f>IFERROR(SUMIFS('CALENDARIO INGRESOS'!$I:$I,'CALENDARIO INGRESOS'!$C:$C,Tabla814[[#Headers],[Paraguay]],'CALENDARIO INGRESOS'!$G:$G,"&gt;="&amp;$A33,'CALENDARIO INGRESOS'!$G:$G,"&lt;="&amp;EOMONTH($A33,0)),0)</f>
        <v>0</v>
      </c>
      <c r="J33" s="2">
        <f>IFERROR(SUMIFS('CALENDARIO INGRESOS'!$I:$I,'CALENDARIO INGRESOS'!$C:$C,Tabla814[[#Headers],[Honduras]],'CALENDARIO INGRESOS'!$G:$G,"&gt;="&amp;$A33,'CALENDARIO INGRESOS'!$G:$G,"&lt;="&amp;EOMONTH($A33,0)),0)</f>
        <v>1000</v>
      </c>
      <c r="K33" s="2">
        <f>IFERROR(SUMIFS('CALENDARIO INGRESOS'!$I:$I,'CALENDARIO INGRESOS'!$C:$C,Tabla814[[#Headers],[Bolivia]],'CALENDARIO INGRESOS'!$G:$G,"&gt;="&amp;$A33,'CALENDARIO INGRESOS'!$G:$G,"&lt;="&amp;EOMONTH($A33,0)),0)</f>
        <v>1000</v>
      </c>
      <c r="L33" s="2">
        <f>IFERROR(SUMIFS('CALENDARIO INGRESOS'!$I:$I,'CALENDARIO INGRESOS'!$C:$C,Tabla814[[#Headers],[Argentina]],'CALENDARIO INGRESOS'!$G:$G,"&gt;="&amp;$A33,'CALENDARIO INGRESOS'!$G:$G,"&lt;="&amp;EOMONTH($A33,0)),0)</f>
        <v>3000</v>
      </c>
      <c r="M33" s="2">
        <f>IFERROR(SUMIFS('CALENDARIO INGRESOS'!$I:$I,'CALENDARIO INGRESOS'!$C:$C,Tabla814[[#Headers],[Guatemala]],'CALENDARIO INGRESOS'!$G:$G,"&gt;="&amp;$A33,'CALENDARIO INGRESOS'!$G:$G,"&lt;="&amp;EOMONTH($A33,0)),0)</f>
        <v>2700</v>
      </c>
      <c r="N33" s="2">
        <f>IFERROR(SUMIFS('CALENDARIO INGRESOS'!$I:$I,'CALENDARIO INGRESOS'!$C:$C,Tabla814[[#Headers],[Venezuela]],'CALENDARIO INGRESOS'!$G:$G,"&gt;="&amp;$A33,'CALENDARIO INGRESOS'!$G:$G,"&lt;="&amp;EOMONTH($A33,0)),0)</f>
        <v>1000</v>
      </c>
      <c r="O33" s="2">
        <f>IFERROR(SUMIFS('CALENDARIO INGRESOS'!$I:$I,'CALENDARIO INGRESOS'!$C:$C,Tabla814[[#Headers],[Uruguay]],'CALENDARIO INGRESOS'!$G:$G,"&gt;="&amp;$A33,'CALENDARIO INGRESOS'!$G:$G,"&lt;="&amp;EOMONTH($A33,0)),0)</f>
        <v>0</v>
      </c>
      <c r="P33" s="2">
        <f>IFERROR(SUMIFS('CALENDARIO INGRESOS'!$I:$I,'CALENDARIO INGRESOS'!$C:$C,Tabla814[[#Headers],[Nicaragua]],'CALENDARIO INGRESOS'!$G:$G,"&gt;="&amp;$A33,'CALENDARIO INGRESOS'!$G:$G,"&lt;="&amp;EOMONTH($A33,0)),0)</f>
        <v>0</v>
      </c>
      <c r="Q33" s="2">
        <f>+SUM(Tabla814[[#This Row],[El Salvador]:[Nicaragua]])</f>
        <v>71262</v>
      </c>
    </row>
    <row r="34" spans="1:17">
      <c r="A34" s="253">
        <v>46508</v>
      </c>
      <c r="B34" s="2">
        <f>IFERROR(SUMIFS('CALENDARIO INGRESOS'!$I:$I,'CALENDARIO INGRESOS'!$C:$C,Tabla814[[#Headers],[El Salvador]],'CALENDARIO INGRESOS'!$G:$G,"&gt;="&amp;$A34,'CALENDARIO INGRESOS'!$G:$G,"&lt;="&amp;EOMONTH($A34,0)),0)</f>
        <v>3000</v>
      </c>
      <c r="C34" s="2">
        <f>IFERROR(SUMIFS('CALENDARIO INGRESOS'!$I:$I,'CALENDARIO INGRESOS'!$C:$C,Tabla814[[#Headers],[Chile]],'CALENDARIO INGRESOS'!$G:$G,"&gt;="&amp;$A34,'CALENDARIO INGRESOS'!$G:$G,"&lt;="&amp;EOMONTH($A34,0)),0)</f>
        <v>13169</v>
      </c>
      <c r="D34" s="2">
        <f>IFERROR(SUMIFS('CALENDARIO INGRESOS'!$I:$I,'CALENDARIO INGRESOS'!$C:$C,Tabla814[[#Headers],[Ecuador]],'CALENDARIO INGRESOS'!$G:$G,"&gt;="&amp;$A34,'CALENDARIO INGRESOS'!$G:$G,"&lt;="&amp;EOMONTH($A34,0)),0)</f>
        <v>9650</v>
      </c>
      <c r="E34" s="2">
        <f>IFERROR(SUMIFS('CALENDARIO INGRESOS'!$I:$I,'CALENDARIO INGRESOS'!$C:$C,Tabla814[[#Headers],[México]],'CALENDARIO INGRESOS'!$G:$G,"&gt;="&amp;$A34,'CALENDARIO INGRESOS'!$G:$G,"&lt;="&amp;EOMONTH($A34,0)),0)</f>
        <v>15600</v>
      </c>
      <c r="F34" s="2">
        <f>IFERROR(SUMIFS('CALENDARIO INGRESOS'!$I:$I,'CALENDARIO INGRESOS'!$C:$C,Tabla814[[#Headers],[Colombia]],'CALENDARIO INGRESOS'!$G:$G,"&gt;="&amp;$A34,'CALENDARIO INGRESOS'!$G:$G,"&lt;="&amp;EOMONTH($A34,0)),0)</f>
        <v>5650</v>
      </c>
      <c r="G34" s="2">
        <f>IFERROR(SUMIFS('CALENDARIO INGRESOS'!$I:$I,'CALENDARIO INGRESOS'!$C:$C,Tabla814[[#Headers],[República Dominicana]],'CALENDARIO INGRESOS'!$G:$G,"&gt;="&amp;$A34,'CALENDARIO INGRESOS'!$G:$G,"&lt;="&amp;EOMONTH($A34,0)),0)</f>
        <v>1000</v>
      </c>
      <c r="H34" s="2">
        <f>IFERROR(SUMIFS('CALENDARIO INGRESOS'!$I:$I,'CALENDARIO INGRESOS'!$C:$C,Tabla814[[#Headers],[Perú]],'CALENDARIO INGRESOS'!$G:$G,"&gt;="&amp;$A34,'CALENDARIO INGRESOS'!$G:$G,"&lt;="&amp;EOMONTH($A34,0)),0)</f>
        <v>9150</v>
      </c>
      <c r="I34" s="2">
        <f>IFERROR(SUMIFS('CALENDARIO INGRESOS'!$I:$I,'CALENDARIO INGRESOS'!$C:$C,Tabla814[[#Headers],[Paraguay]],'CALENDARIO INGRESOS'!$G:$G,"&gt;="&amp;$A34,'CALENDARIO INGRESOS'!$G:$G,"&lt;="&amp;EOMONTH($A34,0)),0)</f>
        <v>0</v>
      </c>
      <c r="J34" s="2">
        <f>IFERROR(SUMIFS('CALENDARIO INGRESOS'!$I:$I,'CALENDARIO INGRESOS'!$C:$C,Tabla814[[#Headers],[Honduras]],'CALENDARIO INGRESOS'!$G:$G,"&gt;="&amp;$A34,'CALENDARIO INGRESOS'!$G:$G,"&lt;="&amp;EOMONTH($A34,0)),0)</f>
        <v>1000</v>
      </c>
      <c r="K34" s="2">
        <f>IFERROR(SUMIFS('CALENDARIO INGRESOS'!$I:$I,'CALENDARIO INGRESOS'!$C:$C,Tabla814[[#Headers],[Bolivia]],'CALENDARIO INGRESOS'!$G:$G,"&gt;="&amp;$A34,'CALENDARIO INGRESOS'!$G:$G,"&lt;="&amp;EOMONTH($A34,0)),0)</f>
        <v>1000</v>
      </c>
      <c r="L34" s="2">
        <f>IFERROR(SUMIFS('CALENDARIO INGRESOS'!$I:$I,'CALENDARIO INGRESOS'!$C:$C,Tabla814[[#Headers],[Argentina]],'CALENDARIO INGRESOS'!$G:$G,"&gt;="&amp;$A34,'CALENDARIO INGRESOS'!$G:$G,"&lt;="&amp;EOMONTH($A34,0)),0)</f>
        <v>2000</v>
      </c>
      <c r="M34" s="2">
        <f>IFERROR(SUMIFS('CALENDARIO INGRESOS'!$I:$I,'CALENDARIO INGRESOS'!$C:$C,Tabla814[[#Headers],[Guatemala]],'CALENDARIO INGRESOS'!$G:$G,"&gt;="&amp;$A34,'CALENDARIO INGRESOS'!$G:$G,"&lt;="&amp;EOMONTH($A34,0)),0)</f>
        <v>1700</v>
      </c>
      <c r="N34" s="2">
        <f>IFERROR(SUMIFS('CALENDARIO INGRESOS'!$I:$I,'CALENDARIO INGRESOS'!$C:$C,Tabla814[[#Headers],[Venezuela]],'CALENDARIO INGRESOS'!$G:$G,"&gt;="&amp;$A34,'CALENDARIO INGRESOS'!$G:$G,"&lt;="&amp;EOMONTH($A34,0)),0)</f>
        <v>2255</v>
      </c>
      <c r="O34" s="2">
        <f>IFERROR(SUMIFS('CALENDARIO INGRESOS'!$I:$I,'CALENDARIO INGRESOS'!$C:$C,Tabla814[[#Headers],[Uruguay]],'CALENDARIO INGRESOS'!$G:$G,"&gt;="&amp;$A34,'CALENDARIO INGRESOS'!$G:$G,"&lt;="&amp;EOMONTH($A34,0)),0)</f>
        <v>0</v>
      </c>
      <c r="P34" s="2">
        <f>IFERROR(SUMIFS('CALENDARIO INGRESOS'!$I:$I,'CALENDARIO INGRESOS'!$C:$C,Tabla814[[#Headers],[Nicaragua]],'CALENDARIO INGRESOS'!$G:$G,"&gt;="&amp;$A34,'CALENDARIO INGRESOS'!$G:$G,"&lt;="&amp;EOMONTH($A34,0)),0)</f>
        <v>0</v>
      </c>
      <c r="Q34" s="2">
        <f>+SUM(Tabla814[[#This Row],[El Salvador]:[Nicaragua]])</f>
        <v>65174</v>
      </c>
    </row>
    <row r="35" spans="1:17">
      <c r="A35" s="254">
        <v>46539</v>
      </c>
      <c r="B35" s="2">
        <f>IFERROR(SUMIFS('CALENDARIO INGRESOS'!$I:$I,'CALENDARIO INGRESOS'!$C:$C,Tabla814[[#Headers],[El Salvador]],'CALENDARIO INGRESOS'!$G:$G,"&gt;="&amp;$A35,'CALENDARIO INGRESOS'!$G:$G,"&lt;="&amp;EOMONTH($A35,0)),0)</f>
        <v>3800</v>
      </c>
      <c r="C35" s="2">
        <f>IFERROR(SUMIFS('CALENDARIO INGRESOS'!$I:$I,'CALENDARIO INGRESOS'!$C:$C,Tabla814[[#Headers],[Chile]],'CALENDARIO INGRESOS'!$G:$G,"&gt;="&amp;$A35,'CALENDARIO INGRESOS'!$G:$G,"&lt;="&amp;EOMONTH($A35,0)),0)</f>
        <v>9708</v>
      </c>
      <c r="D35" s="2">
        <f>IFERROR(SUMIFS('CALENDARIO INGRESOS'!$I:$I,'CALENDARIO INGRESOS'!$C:$C,Tabla814[[#Headers],[Ecuador]],'CALENDARIO INGRESOS'!$G:$G,"&gt;="&amp;$A35,'CALENDARIO INGRESOS'!$G:$G,"&lt;="&amp;EOMONTH($A35,0)),0)</f>
        <v>10650</v>
      </c>
      <c r="E35" s="2">
        <f>IFERROR(SUMIFS('CALENDARIO INGRESOS'!$I:$I,'CALENDARIO INGRESOS'!$C:$C,Tabla814[[#Headers],[México]],'CALENDARIO INGRESOS'!$G:$G,"&gt;="&amp;$A35,'CALENDARIO INGRESOS'!$G:$G,"&lt;="&amp;EOMONTH($A35,0)),0)</f>
        <v>7250</v>
      </c>
      <c r="F35" s="2">
        <f>IFERROR(SUMIFS('CALENDARIO INGRESOS'!$I:$I,'CALENDARIO INGRESOS'!$C:$C,Tabla814[[#Headers],[Colombia]],'CALENDARIO INGRESOS'!$G:$G,"&gt;="&amp;$A35,'CALENDARIO INGRESOS'!$G:$G,"&lt;="&amp;EOMONTH($A35,0)),0)</f>
        <v>6650</v>
      </c>
      <c r="G35" s="2">
        <f>IFERROR(SUMIFS('CALENDARIO INGRESOS'!$I:$I,'CALENDARIO INGRESOS'!$C:$C,Tabla814[[#Headers],[República Dominicana]],'CALENDARIO INGRESOS'!$G:$G,"&gt;="&amp;$A35,'CALENDARIO INGRESOS'!$G:$G,"&lt;="&amp;EOMONTH($A35,0)),0)</f>
        <v>1000</v>
      </c>
      <c r="H35" s="2">
        <f>IFERROR(SUMIFS('CALENDARIO INGRESOS'!$I:$I,'CALENDARIO INGRESOS'!$C:$C,Tabla814[[#Headers],[Perú]],'CALENDARIO INGRESOS'!$G:$G,"&gt;="&amp;$A35,'CALENDARIO INGRESOS'!$G:$G,"&lt;="&amp;EOMONTH($A35,0)),0)</f>
        <v>2650</v>
      </c>
      <c r="I35" s="2">
        <f>IFERROR(SUMIFS('CALENDARIO INGRESOS'!$I:$I,'CALENDARIO INGRESOS'!$C:$C,Tabla814[[#Headers],[Paraguay]],'CALENDARIO INGRESOS'!$G:$G,"&gt;="&amp;$A35,'CALENDARIO INGRESOS'!$G:$G,"&lt;="&amp;EOMONTH($A35,0)),0)</f>
        <v>0</v>
      </c>
      <c r="J35" s="2">
        <f>IFERROR(SUMIFS('CALENDARIO INGRESOS'!$I:$I,'CALENDARIO INGRESOS'!$C:$C,Tabla814[[#Headers],[Honduras]],'CALENDARIO INGRESOS'!$G:$G,"&gt;="&amp;$A35,'CALENDARIO INGRESOS'!$G:$G,"&lt;="&amp;EOMONTH($A35,0)),0)</f>
        <v>1000</v>
      </c>
      <c r="K35" s="2">
        <f>IFERROR(SUMIFS('CALENDARIO INGRESOS'!$I:$I,'CALENDARIO INGRESOS'!$C:$C,Tabla814[[#Headers],[Bolivia]],'CALENDARIO INGRESOS'!$G:$G,"&gt;="&amp;$A35,'CALENDARIO INGRESOS'!$G:$G,"&lt;="&amp;EOMONTH($A35,0)),0)</f>
        <v>1000</v>
      </c>
      <c r="L35" s="2">
        <f>IFERROR(SUMIFS('CALENDARIO INGRESOS'!$I:$I,'CALENDARIO INGRESOS'!$C:$C,Tabla814[[#Headers],[Argentina]],'CALENDARIO INGRESOS'!$G:$G,"&gt;="&amp;$A35,'CALENDARIO INGRESOS'!$G:$G,"&lt;="&amp;EOMONTH($A35,0)),0)</f>
        <v>3000</v>
      </c>
      <c r="M35" s="2">
        <f>IFERROR(SUMIFS('CALENDARIO INGRESOS'!$I:$I,'CALENDARIO INGRESOS'!$C:$C,Tabla814[[#Headers],[Guatemala]],'CALENDARIO INGRESOS'!$G:$G,"&gt;="&amp;$A35,'CALENDARIO INGRESOS'!$G:$G,"&lt;="&amp;EOMONTH($A35,0)),0)</f>
        <v>1700</v>
      </c>
      <c r="N35" s="2">
        <f>IFERROR(SUMIFS('CALENDARIO INGRESOS'!$I:$I,'CALENDARIO INGRESOS'!$C:$C,Tabla814[[#Headers],[Venezuela]],'CALENDARIO INGRESOS'!$G:$G,"&gt;="&amp;$A35,'CALENDARIO INGRESOS'!$G:$G,"&lt;="&amp;EOMONTH($A35,0)),0)</f>
        <v>2000</v>
      </c>
      <c r="O35" s="2">
        <f>IFERROR(SUMIFS('CALENDARIO INGRESOS'!$I:$I,'CALENDARIO INGRESOS'!$C:$C,Tabla814[[#Headers],[Uruguay]],'CALENDARIO INGRESOS'!$G:$G,"&gt;="&amp;$A35,'CALENDARIO INGRESOS'!$G:$G,"&lt;="&amp;EOMONTH($A35,0)),0)</f>
        <v>0</v>
      </c>
      <c r="P35" s="2">
        <f>IFERROR(SUMIFS('CALENDARIO INGRESOS'!$I:$I,'CALENDARIO INGRESOS'!$C:$C,Tabla814[[#Headers],[Nicaragua]],'CALENDARIO INGRESOS'!$G:$G,"&gt;="&amp;$A35,'CALENDARIO INGRESOS'!$G:$G,"&lt;="&amp;EOMONTH($A35,0)),0)</f>
        <v>0</v>
      </c>
      <c r="Q35" s="2">
        <f>+SUM(Tabla814[[#This Row],[El Salvador]:[Nicaragua]])</f>
        <v>50408</v>
      </c>
    </row>
    <row r="36" spans="1:17">
      <c r="A36" s="253">
        <v>46569</v>
      </c>
      <c r="B36" s="2">
        <f>IFERROR(SUMIFS('CALENDARIO INGRESOS'!$I:$I,'CALENDARIO INGRESOS'!$C:$C,Tabla814[[#Headers],[El Salvador]],'CALENDARIO INGRESOS'!$G:$G,"&gt;="&amp;$A36,'CALENDARIO INGRESOS'!$G:$G,"&lt;="&amp;EOMONTH($A36,0)),0)</f>
        <v>3300</v>
      </c>
      <c r="C36" s="2">
        <f>IFERROR(SUMIFS('CALENDARIO INGRESOS'!$I:$I,'CALENDARIO INGRESOS'!$C:$C,Tabla814[[#Headers],[Chile]],'CALENDARIO INGRESOS'!$G:$G,"&gt;="&amp;$A36,'CALENDARIO INGRESOS'!$G:$G,"&lt;="&amp;EOMONTH($A36,0)),0)</f>
        <v>8708</v>
      </c>
      <c r="D36" s="2">
        <f>IFERROR(SUMIFS('CALENDARIO INGRESOS'!$I:$I,'CALENDARIO INGRESOS'!$C:$C,Tabla814[[#Headers],[Ecuador]],'CALENDARIO INGRESOS'!$G:$G,"&gt;="&amp;$A36,'CALENDARIO INGRESOS'!$G:$G,"&lt;="&amp;EOMONTH($A36,0)),0)</f>
        <v>8350</v>
      </c>
      <c r="E36" s="2">
        <f>IFERROR(SUMIFS('CALENDARIO INGRESOS'!$I:$I,'CALENDARIO INGRESOS'!$C:$C,Tabla814[[#Headers],[México]],'CALENDARIO INGRESOS'!$G:$G,"&gt;="&amp;$A36,'CALENDARIO INGRESOS'!$G:$G,"&lt;="&amp;EOMONTH($A36,0)),0)</f>
        <v>7050</v>
      </c>
      <c r="F36" s="2">
        <f>IFERROR(SUMIFS('CALENDARIO INGRESOS'!$I:$I,'CALENDARIO INGRESOS'!$C:$C,Tabla814[[#Headers],[Colombia]],'CALENDARIO INGRESOS'!$G:$G,"&gt;="&amp;$A36,'CALENDARIO INGRESOS'!$G:$G,"&lt;="&amp;EOMONTH($A36,0)),0)</f>
        <v>5650</v>
      </c>
      <c r="G36" s="2">
        <f>IFERROR(SUMIFS('CALENDARIO INGRESOS'!$I:$I,'CALENDARIO INGRESOS'!$C:$C,Tabla814[[#Headers],[República Dominicana]],'CALENDARIO INGRESOS'!$G:$G,"&gt;="&amp;$A36,'CALENDARIO INGRESOS'!$G:$G,"&lt;="&amp;EOMONTH($A36,0)),0)</f>
        <v>1000</v>
      </c>
      <c r="H36" s="2">
        <f>IFERROR(SUMIFS('CALENDARIO INGRESOS'!$I:$I,'CALENDARIO INGRESOS'!$C:$C,Tabla814[[#Headers],[Perú]],'CALENDARIO INGRESOS'!$G:$G,"&gt;="&amp;$A36,'CALENDARIO INGRESOS'!$G:$G,"&lt;="&amp;EOMONTH($A36,0)),0)</f>
        <v>5950</v>
      </c>
      <c r="I36" s="2">
        <f>IFERROR(SUMIFS('CALENDARIO INGRESOS'!$I:$I,'CALENDARIO INGRESOS'!$C:$C,Tabla814[[#Headers],[Paraguay]],'CALENDARIO INGRESOS'!$G:$G,"&gt;="&amp;$A36,'CALENDARIO INGRESOS'!$G:$G,"&lt;="&amp;EOMONTH($A36,0)),0)</f>
        <v>0</v>
      </c>
      <c r="J36" s="2">
        <f>IFERROR(SUMIFS('CALENDARIO INGRESOS'!$I:$I,'CALENDARIO INGRESOS'!$C:$C,Tabla814[[#Headers],[Honduras]],'CALENDARIO INGRESOS'!$G:$G,"&gt;="&amp;$A36,'CALENDARIO INGRESOS'!$G:$G,"&lt;="&amp;EOMONTH($A36,0)),0)</f>
        <v>0</v>
      </c>
      <c r="K36" s="2">
        <f>IFERROR(SUMIFS('CALENDARIO INGRESOS'!$I:$I,'CALENDARIO INGRESOS'!$C:$C,Tabla814[[#Headers],[Bolivia]],'CALENDARIO INGRESOS'!$G:$G,"&gt;="&amp;$A36,'CALENDARIO INGRESOS'!$G:$G,"&lt;="&amp;EOMONTH($A36,0)),0)</f>
        <v>1000</v>
      </c>
      <c r="L36" s="2">
        <f>IFERROR(SUMIFS('CALENDARIO INGRESOS'!$I:$I,'CALENDARIO INGRESOS'!$C:$C,Tabla814[[#Headers],[Argentina]],'CALENDARIO INGRESOS'!$G:$G,"&gt;="&amp;$A36,'CALENDARIO INGRESOS'!$G:$G,"&lt;="&amp;EOMONTH($A36,0)),0)</f>
        <v>3000</v>
      </c>
      <c r="M36" s="2">
        <f>IFERROR(SUMIFS('CALENDARIO INGRESOS'!$I:$I,'CALENDARIO INGRESOS'!$C:$C,Tabla814[[#Headers],[Guatemala]],'CALENDARIO INGRESOS'!$G:$G,"&gt;="&amp;$A36,'CALENDARIO INGRESOS'!$G:$G,"&lt;="&amp;EOMONTH($A36,0)),0)</f>
        <v>1700</v>
      </c>
      <c r="N36" s="2">
        <f>IFERROR(SUMIFS('CALENDARIO INGRESOS'!$I:$I,'CALENDARIO INGRESOS'!$C:$C,Tabla814[[#Headers],[Venezuela]],'CALENDARIO INGRESOS'!$G:$G,"&gt;="&amp;$A36,'CALENDARIO INGRESOS'!$G:$G,"&lt;="&amp;EOMONTH($A36,0)),0)</f>
        <v>2000</v>
      </c>
      <c r="O36" s="2">
        <f>IFERROR(SUMIFS('CALENDARIO INGRESOS'!$I:$I,'CALENDARIO INGRESOS'!$C:$C,Tabla814[[#Headers],[Uruguay]],'CALENDARIO INGRESOS'!$G:$G,"&gt;="&amp;$A36,'CALENDARIO INGRESOS'!$G:$G,"&lt;="&amp;EOMONTH($A36,0)),0)</f>
        <v>0</v>
      </c>
      <c r="P36" s="2">
        <f>IFERROR(SUMIFS('CALENDARIO INGRESOS'!$I:$I,'CALENDARIO INGRESOS'!$C:$C,Tabla814[[#Headers],[Nicaragua]],'CALENDARIO INGRESOS'!$G:$G,"&gt;="&amp;$A36,'CALENDARIO INGRESOS'!$G:$G,"&lt;="&amp;EOMONTH($A36,0)),0)</f>
        <v>0</v>
      </c>
      <c r="Q36" s="2">
        <f>+SUM(Tabla814[[#This Row],[El Salvador]:[Nicaragua]])</f>
        <v>47708</v>
      </c>
    </row>
    <row r="37" spans="1:17">
      <c r="A37" s="254">
        <v>46600</v>
      </c>
      <c r="B37" s="2">
        <f>IFERROR(SUMIFS('CALENDARIO INGRESOS'!$I:$I,'CALENDARIO INGRESOS'!$C:$C,Tabla814[[#Headers],[El Salvador]],'CALENDARIO INGRESOS'!$G:$G,"&gt;="&amp;$A37,'CALENDARIO INGRESOS'!$G:$G,"&lt;="&amp;EOMONTH($A37,0)),0)</f>
        <v>4387</v>
      </c>
      <c r="C37" s="2">
        <f>IFERROR(SUMIFS('CALENDARIO INGRESOS'!$I:$I,'CALENDARIO INGRESOS'!$C:$C,Tabla814[[#Headers],[Chile]],'CALENDARIO INGRESOS'!$G:$G,"&gt;="&amp;$A37,'CALENDARIO INGRESOS'!$G:$G,"&lt;="&amp;EOMONTH($A37,0)),0)</f>
        <v>6958</v>
      </c>
      <c r="D37" s="2">
        <f>IFERROR(SUMIFS('CALENDARIO INGRESOS'!$I:$I,'CALENDARIO INGRESOS'!$C:$C,Tabla814[[#Headers],[Ecuador]],'CALENDARIO INGRESOS'!$G:$G,"&gt;="&amp;$A37,'CALENDARIO INGRESOS'!$G:$G,"&lt;="&amp;EOMONTH($A37,0)),0)</f>
        <v>6350</v>
      </c>
      <c r="E37" s="2">
        <f>IFERROR(SUMIFS('CALENDARIO INGRESOS'!$I:$I,'CALENDARIO INGRESOS'!$C:$C,Tabla814[[#Headers],[México]],'CALENDARIO INGRESOS'!$G:$G,"&gt;="&amp;$A37,'CALENDARIO INGRESOS'!$G:$G,"&lt;="&amp;EOMONTH($A37,0)),0)</f>
        <v>7850</v>
      </c>
      <c r="F37" s="2">
        <f>IFERROR(SUMIFS('CALENDARIO INGRESOS'!$I:$I,'CALENDARIO INGRESOS'!$C:$C,Tabla814[[#Headers],[Colombia]],'CALENDARIO INGRESOS'!$G:$G,"&gt;="&amp;$A37,'CALENDARIO INGRESOS'!$G:$G,"&lt;="&amp;EOMONTH($A37,0)),0)</f>
        <v>5650</v>
      </c>
      <c r="G37" s="2">
        <f>IFERROR(SUMIFS('CALENDARIO INGRESOS'!$I:$I,'CALENDARIO INGRESOS'!$C:$C,Tabla814[[#Headers],[República Dominicana]],'CALENDARIO INGRESOS'!$G:$G,"&gt;="&amp;$A37,'CALENDARIO INGRESOS'!$G:$G,"&lt;="&amp;EOMONTH($A37,0)),0)</f>
        <v>0</v>
      </c>
      <c r="H37" s="2">
        <f>IFERROR(SUMIFS('CALENDARIO INGRESOS'!$I:$I,'CALENDARIO INGRESOS'!$C:$C,Tabla814[[#Headers],[Perú]],'CALENDARIO INGRESOS'!$G:$G,"&gt;="&amp;$A37,'CALENDARIO INGRESOS'!$G:$G,"&lt;="&amp;EOMONTH($A37,0)),0)</f>
        <v>3000</v>
      </c>
      <c r="I37" s="2">
        <f>IFERROR(SUMIFS('CALENDARIO INGRESOS'!$I:$I,'CALENDARIO INGRESOS'!$C:$C,Tabla814[[#Headers],[Paraguay]],'CALENDARIO INGRESOS'!$G:$G,"&gt;="&amp;$A37,'CALENDARIO INGRESOS'!$G:$G,"&lt;="&amp;EOMONTH($A37,0)),0)</f>
        <v>0</v>
      </c>
      <c r="J37" s="2">
        <f>IFERROR(SUMIFS('CALENDARIO INGRESOS'!$I:$I,'CALENDARIO INGRESOS'!$C:$C,Tabla814[[#Headers],[Honduras]],'CALENDARIO INGRESOS'!$G:$G,"&gt;="&amp;$A37,'CALENDARIO INGRESOS'!$G:$G,"&lt;="&amp;EOMONTH($A37,0)),0)</f>
        <v>0</v>
      </c>
      <c r="K37" s="2">
        <f>IFERROR(SUMIFS('CALENDARIO INGRESOS'!$I:$I,'CALENDARIO INGRESOS'!$C:$C,Tabla814[[#Headers],[Bolivia]],'CALENDARIO INGRESOS'!$G:$G,"&gt;="&amp;$A37,'CALENDARIO INGRESOS'!$G:$G,"&lt;="&amp;EOMONTH($A37,0)),0)</f>
        <v>1000</v>
      </c>
      <c r="L37" s="2">
        <f>IFERROR(SUMIFS('CALENDARIO INGRESOS'!$I:$I,'CALENDARIO INGRESOS'!$C:$C,Tabla814[[#Headers],[Argentina]],'CALENDARIO INGRESOS'!$G:$G,"&gt;="&amp;$A37,'CALENDARIO INGRESOS'!$G:$G,"&lt;="&amp;EOMONTH($A37,0)),0)</f>
        <v>3000</v>
      </c>
      <c r="M37" s="2">
        <f>IFERROR(SUMIFS('CALENDARIO INGRESOS'!$I:$I,'CALENDARIO INGRESOS'!$C:$C,Tabla814[[#Headers],[Guatemala]],'CALENDARIO INGRESOS'!$G:$G,"&gt;="&amp;$A37,'CALENDARIO INGRESOS'!$G:$G,"&lt;="&amp;EOMONTH($A37,0)),0)</f>
        <v>1700</v>
      </c>
      <c r="N37" s="2">
        <f>IFERROR(SUMIFS('CALENDARIO INGRESOS'!$I:$I,'CALENDARIO INGRESOS'!$C:$C,Tabla814[[#Headers],[Venezuela]],'CALENDARIO INGRESOS'!$G:$G,"&gt;="&amp;$A37,'CALENDARIO INGRESOS'!$G:$G,"&lt;="&amp;EOMONTH($A37,0)),0)</f>
        <v>2000</v>
      </c>
      <c r="O37" s="2">
        <f>IFERROR(SUMIFS('CALENDARIO INGRESOS'!$I:$I,'CALENDARIO INGRESOS'!$C:$C,Tabla814[[#Headers],[Uruguay]],'CALENDARIO INGRESOS'!$G:$G,"&gt;="&amp;$A37,'CALENDARIO INGRESOS'!$G:$G,"&lt;="&amp;EOMONTH($A37,0)),0)</f>
        <v>0</v>
      </c>
      <c r="P37" s="2">
        <f>IFERROR(SUMIFS('CALENDARIO INGRESOS'!$I:$I,'CALENDARIO INGRESOS'!$C:$C,Tabla814[[#Headers],[Nicaragua]],'CALENDARIO INGRESOS'!$G:$G,"&gt;="&amp;$A37,'CALENDARIO INGRESOS'!$G:$G,"&lt;="&amp;EOMONTH($A37,0)),0)</f>
        <v>0</v>
      </c>
      <c r="Q37" s="2">
        <f>+SUM(Tabla814[[#This Row],[El Salvador]:[Nicaragua]])</f>
        <v>41895</v>
      </c>
    </row>
    <row r="38" spans="1:17">
      <c r="A38" s="254">
        <v>46631</v>
      </c>
      <c r="B38" s="2">
        <f>IFERROR(SUMIFS('CALENDARIO INGRESOS'!$I:$I,'CALENDARIO INGRESOS'!$C:$C,Tabla814[[#Headers],[El Salvador]],'CALENDARIO INGRESOS'!$G:$G,"&gt;="&amp;$A38,'CALENDARIO INGRESOS'!$G:$G,"&lt;="&amp;EOMONTH($A38,0)),0)</f>
        <v>1300</v>
      </c>
      <c r="C38" s="2">
        <f>IFERROR(SUMIFS('CALENDARIO INGRESOS'!$I:$I,'CALENDARIO INGRESOS'!$C:$C,Tabla814[[#Headers],[Chile]],'CALENDARIO INGRESOS'!$G:$G,"&gt;="&amp;$A38,'CALENDARIO INGRESOS'!$G:$G,"&lt;="&amp;EOMONTH($A38,0)),0)</f>
        <v>9608</v>
      </c>
      <c r="D38" s="2">
        <f>IFERROR(SUMIFS('CALENDARIO INGRESOS'!$I:$I,'CALENDARIO INGRESOS'!$C:$C,Tabla814[[#Headers],[Ecuador]],'CALENDARIO INGRESOS'!$G:$G,"&gt;="&amp;$A38,'CALENDARIO INGRESOS'!$G:$G,"&lt;="&amp;EOMONTH($A38,0)),0)</f>
        <v>6350</v>
      </c>
      <c r="E38" s="2">
        <f>IFERROR(SUMIFS('CALENDARIO INGRESOS'!$I:$I,'CALENDARIO INGRESOS'!$C:$C,Tabla814[[#Headers],[México]],'CALENDARIO INGRESOS'!$G:$G,"&gt;="&amp;$A38,'CALENDARIO INGRESOS'!$G:$G,"&lt;="&amp;EOMONTH($A38,0)),0)</f>
        <v>6950</v>
      </c>
      <c r="F38" s="2">
        <f>IFERROR(SUMIFS('CALENDARIO INGRESOS'!$I:$I,'CALENDARIO INGRESOS'!$C:$C,Tabla814[[#Headers],[Colombia]],'CALENDARIO INGRESOS'!$G:$G,"&gt;="&amp;$A38,'CALENDARIO INGRESOS'!$G:$G,"&lt;="&amp;EOMONTH($A38,0)),0)</f>
        <v>4450</v>
      </c>
      <c r="G38" s="2">
        <f>IFERROR(SUMIFS('CALENDARIO INGRESOS'!$I:$I,'CALENDARIO INGRESOS'!$C:$C,Tabla814[[#Headers],[República Dominicana]],'CALENDARIO INGRESOS'!$G:$G,"&gt;="&amp;$A38,'CALENDARIO INGRESOS'!$G:$G,"&lt;="&amp;EOMONTH($A38,0)),0)</f>
        <v>0</v>
      </c>
      <c r="H38" s="2">
        <f>IFERROR(SUMIFS('CALENDARIO INGRESOS'!$I:$I,'CALENDARIO INGRESOS'!$C:$C,Tabla814[[#Headers],[Perú]],'CALENDARIO INGRESOS'!$G:$G,"&gt;="&amp;$A38,'CALENDARIO INGRESOS'!$G:$G,"&lt;="&amp;EOMONTH($A38,0)),0)</f>
        <v>3800</v>
      </c>
      <c r="I38" s="2">
        <f>IFERROR(SUMIFS('CALENDARIO INGRESOS'!$I:$I,'CALENDARIO INGRESOS'!$C:$C,Tabla814[[#Headers],[Paraguay]],'CALENDARIO INGRESOS'!$G:$G,"&gt;="&amp;$A38,'CALENDARIO INGRESOS'!$G:$G,"&lt;="&amp;EOMONTH($A38,0)),0)</f>
        <v>0</v>
      </c>
      <c r="J38" s="2">
        <f>IFERROR(SUMIFS('CALENDARIO INGRESOS'!$I:$I,'CALENDARIO INGRESOS'!$C:$C,Tabla814[[#Headers],[Honduras]],'CALENDARIO INGRESOS'!$G:$G,"&gt;="&amp;$A38,'CALENDARIO INGRESOS'!$G:$G,"&lt;="&amp;EOMONTH($A38,0)),0)</f>
        <v>0</v>
      </c>
      <c r="K38" s="2">
        <f>IFERROR(SUMIFS('CALENDARIO INGRESOS'!$I:$I,'CALENDARIO INGRESOS'!$C:$C,Tabla814[[#Headers],[Bolivia]],'CALENDARIO INGRESOS'!$G:$G,"&gt;="&amp;$A38,'CALENDARIO INGRESOS'!$G:$G,"&lt;="&amp;EOMONTH($A38,0)),0)</f>
        <v>0</v>
      </c>
      <c r="L38" s="2">
        <f>IFERROR(SUMIFS('CALENDARIO INGRESOS'!$I:$I,'CALENDARIO INGRESOS'!$C:$C,Tabla814[[#Headers],[Argentina]],'CALENDARIO INGRESOS'!$G:$G,"&gt;="&amp;$A38,'CALENDARIO INGRESOS'!$G:$G,"&lt;="&amp;EOMONTH($A38,0)),0)</f>
        <v>1000</v>
      </c>
      <c r="M38" s="2">
        <f>IFERROR(SUMIFS('CALENDARIO INGRESOS'!$I:$I,'CALENDARIO INGRESOS'!$C:$C,Tabla814[[#Headers],[Guatemala]],'CALENDARIO INGRESOS'!$G:$G,"&gt;="&amp;$A38,'CALENDARIO INGRESOS'!$G:$G,"&lt;="&amp;EOMONTH($A38,0)),0)</f>
        <v>700</v>
      </c>
      <c r="N38" s="2">
        <f>IFERROR(SUMIFS('CALENDARIO INGRESOS'!$I:$I,'CALENDARIO INGRESOS'!$C:$C,Tabla814[[#Headers],[Venezuela]],'CALENDARIO INGRESOS'!$G:$G,"&gt;="&amp;$A38,'CALENDARIO INGRESOS'!$G:$G,"&lt;="&amp;EOMONTH($A38,0)),0)</f>
        <v>2000</v>
      </c>
      <c r="O38" s="2">
        <f>IFERROR(SUMIFS('CALENDARIO INGRESOS'!$I:$I,'CALENDARIO INGRESOS'!$C:$C,Tabla814[[#Headers],[Uruguay]],'CALENDARIO INGRESOS'!$G:$G,"&gt;="&amp;$A38,'CALENDARIO INGRESOS'!$G:$G,"&lt;="&amp;EOMONTH($A38,0)),0)</f>
        <v>0</v>
      </c>
      <c r="P38" s="2">
        <f>IFERROR(SUMIFS('CALENDARIO INGRESOS'!$I:$I,'CALENDARIO INGRESOS'!$C:$C,Tabla814[[#Headers],[Nicaragua]],'CALENDARIO INGRESOS'!$G:$G,"&gt;="&amp;$A38,'CALENDARIO INGRESOS'!$G:$G,"&lt;="&amp;EOMONTH($A38,0)),0)</f>
        <v>0</v>
      </c>
      <c r="Q38" s="2">
        <f>+SUM(Tabla814[[#This Row],[El Salvador]:[Nicaragua]])</f>
        <v>36158</v>
      </c>
    </row>
    <row r="39" spans="1:17">
      <c r="A39" s="253">
        <v>46661</v>
      </c>
      <c r="B39" s="2">
        <f>IFERROR(SUMIFS('CALENDARIO INGRESOS'!$I:$I,'CALENDARIO INGRESOS'!$C:$C,Tabla814[[#Headers],[El Salvador]],'CALENDARIO INGRESOS'!$G:$G,"&gt;="&amp;$A39,'CALENDARIO INGRESOS'!$G:$G,"&lt;="&amp;EOMONTH($A39,0)),0)</f>
        <v>800</v>
      </c>
      <c r="C39" s="2">
        <f>IFERROR(SUMIFS('CALENDARIO INGRESOS'!$I:$I,'CALENDARIO INGRESOS'!$C:$C,Tabla814[[#Headers],[Chile]],'CALENDARIO INGRESOS'!$G:$G,"&gt;="&amp;$A39,'CALENDARIO INGRESOS'!$G:$G,"&lt;="&amp;EOMONTH($A39,0)),0)</f>
        <v>7108</v>
      </c>
      <c r="D39" s="2">
        <f>IFERROR(SUMIFS('CALENDARIO INGRESOS'!$I:$I,'CALENDARIO INGRESOS'!$C:$C,Tabla814[[#Headers],[Ecuador]],'CALENDARIO INGRESOS'!$G:$G,"&gt;="&amp;$A39,'CALENDARIO INGRESOS'!$G:$G,"&lt;="&amp;EOMONTH($A39,0)),0)</f>
        <v>6150</v>
      </c>
      <c r="E39" s="2">
        <f>IFERROR(SUMIFS('CALENDARIO INGRESOS'!$I:$I,'CALENDARIO INGRESOS'!$C:$C,Tabla814[[#Headers],[México]],'CALENDARIO INGRESOS'!$G:$G,"&gt;="&amp;$A39,'CALENDARIO INGRESOS'!$G:$G,"&lt;="&amp;EOMONTH($A39,0)),0)</f>
        <v>6950</v>
      </c>
      <c r="F39" s="2">
        <f>IFERROR(SUMIFS('CALENDARIO INGRESOS'!$I:$I,'CALENDARIO INGRESOS'!$C:$C,Tabla814[[#Headers],[Colombia]],'CALENDARIO INGRESOS'!$G:$G,"&gt;="&amp;$A39,'CALENDARIO INGRESOS'!$G:$G,"&lt;="&amp;EOMONTH($A39,0)),0)</f>
        <v>4450</v>
      </c>
      <c r="G39" s="2">
        <f>IFERROR(SUMIFS('CALENDARIO INGRESOS'!$I:$I,'CALENDARIO INGRESOS'!$C:$C,Tabla814[[#Headers],[República Dominicana]],'CALENDARIO INGRESOS'!$G:$G,"&gt;="&amp;$A39,'CALENDARIO INGRESOS'!$G:$G,"&lt;="&amp;EOMONTH($A39,0)),0)</f>
        <v>0</v>
      </c>
      <c r="H39" s="2">
        <f>IFERROR(SUMIFS('CALENDARIO INGRESOS'!$I:$I,'CALENDARIO INGRESOS'!$C:$C,Tabla814[[#Headers],[Perú]],'CALENDARIO INGRESOS'!$G:$G,"&gt;="&amp;$A39,'CALENDARIO INGRESOS'!$G:$G,"&lt;="&amp;EOMONTH($A39,0)),0)</f>
        <v>3800</v>
      </c>
      <c r="I39" s="2">
        <f>IFERROR(SUMIFS('CALENDARIO INGRESOS'!$I:$I,'CALENDARIO INGRESOS'!$C:$C,Tabla814[[#Headers],[Paraguay]],'CALENDARIO INGRESOS'!$G:$G,"&gt;="&amp;$A39,'CALENDARIO INGRESOS'!$G:$G,"&lt;="&amp;EOMONTH($A39,0)),0)</f>
        <v>0</v>
      </c>
      <c r="J39" s="2">
        <f>IFERROR(SUMIFS('CALENDARIO INGRESOS'!$I:$I,'CALENDARIO INGRESOS'!$C:$C,Tabla814[[#Headers],[Honduras]],'CALENDARIO INGRESOS'!$G:$G,"&gt;="&amp;$A39,'CALENDARIO INGRESOS'!$G:$G,"&lt;="&amp;EOMONTH($A39,0)),0)</f>
        <v>0</v>
      </c>
      <c r="K39" s="2">
        <f>IFERROR(SUMIFS('CALENDARIO INGRESOS'!$I:$I,'CALENDARIO INGRESOS'!$C:$C,Tabla814[[#Headers],[Bolivia]],'CALENDARIO INGRESOS'!$G:$G,"&gt;="&amp;$A39,'CALENDARIO INGRESOS'!$G:$G,"&lt;="&amp;EOMONTH($A39,0)),0)</f>
        <v>0</v>
      </c>
      <c r="L39" s="2">
        <f>IFERROR(SUMIFS('CALENDARIO INGRESOS'!$I:$I,'CALENDARIO INGRESOS'!$C:$C,Tabla814[[#Headers],[Argentina]],'CALENDARIO INGRESOS'!$G:$G,"&gt;="&amp;$A39,'CALENDARIO INGRESOS'!$G:$G,"&lt;="&amp;EOMONTH($A39,0)),0)</f>
        <v>1000</v>
      </c>
      <c r="M39" s="2">
        <f>IFERROR(SUMIFS('CALENDARIO INGRESOS'!$I:$I,'CALENDARIO INGRESOS'!$C:$C,Tabla814[[#Headers],[Guatemala]],'CALENDARIO INGRESOS'!$G:$G,"&gt;="&amp;$A39,'CALENDARIO INGRESOS'!$G:$G,"&lt;="&amp;EOMONTH($A39,0)),0)</f>
        <v>0</v>
      </c>
      <c r="N39" s="2">
        <f>IFERROR(SUMIFS('CALENDARIO INGRESOS'!$I:$I,'CALENDARIO INGRESOS'!$C:$C,Tabla814[[#Headers],[Venezuela]],'CALENDARIO INGRESOS'!$G:$G,"&gt;="&amp;$A39,'CALENDARIO INGRESOS'!$G:$G,"&lt;="&amp;EOMONTH($A39,0)),0)</f>
        <v>2000</v>
      </c>
      <c r="O39" s="2">
        <f>IFERROR(SUMIFS('CALENDARIO INGRESOS'!$I:$I,'CALENDARIO INGRESOS'!$C:$C,Tabla814[[#Headers],[Uruguay]],'CALENDARIO INGRESOS'!$G:$G,"&gt;="&amp;$A39,'CALENDARIO INGRESOS'!$G:$G,"&lt;="&amp;EOMONTH($A39,0)),0)</f>
        <v>0</v>
      </c>
      <c r="P39" s="2">
        <f>IFERROR(SUMIFS('CALENDARIO INGRESOS'!$I:$I,'CALENDARIO INGRESOS'!$C:$C,Tabla814[[#Headers],[Nicaragua]],'CALENDARIO INGRESOS'!$G:$G,"&gt;="&amp;$A39,'CALENDARIO INGRESOS'!$G:$G,"&lt;="&amp;EOMONTH($A39,0)),0)</f>
        <v>0</v>
      </c>
      <c r="Q39" s="2">
        <f>+SUM(Tabla814[[#This Row],[El Salvador]:[Nicaragua]])</f>
        <v>32258</v>
      </c>
    </row>
    <row r="40" spans="1:17">
      <c r="A40" s="254">
        <v>46692</v>
      </c>
      <c r="B40" s="2">
        <f>IFERROR(SUMIFS('CALENDARIO INGRESOS'!$I:$I,'CALENDARIO INGRESOS'!$C:$C,Tabla814[[#Headers],[El Salvador]],'CALENDARIO INGRESOS'!$G:$G,"&gt;="&amp;$A40,'CALENDARIO INGRESOS'!$G:$G,"&lt;="&amp;EOMONTH($A40,0)),0)</f>
        <v>800</v>
      </c>
      <c r="C40" s="2">
        <f>IFERROR(SUMIFS('CALENDARIO INGRESOS'!$I:$I,'CALENDARIO INGRESOS'!$C:$C,Tabla814[[#Headers],[Chile]],'CALENDARIO INGRESOS'!$G:$G,"&gt;="&amp;$A40,'CALENDARIO INGRESOS'!$G:$G,"&lt;="&amp;EOMONTH($A40,0)),0)</f>
        <v>7908</v>
      </c>
      <c r="D40" s="2">
        <f>IFERROR(SUMIFS('CALENDARIO INGRESOS'!$I:$I,'CALENDARIO INGRESOS'!$C:$C,Tabla814[[#Headers],[Ecuador]],'CALENDARIO INGRESOS'!$G:$G,"&gt;="&amp;$A40,'CALENDARIO INGRESOS'!$G:$G,"&lt;="&amp;EOMONTH($A40,0)),0)</f>
        <v>6150</v>
      </c>
      <c r="E40" s="2">
        <f>IFERROR(SUMIFS('CALENDARIO INGRESOS'!$I:$I,'CALENDARIO INGRESOS'!$C:$C,Tabla814[[#Headers],[México]],'CALENDARIO INGRESOS'!$G:$G,"&gt;="&amp;$A40,'CALENDARIO INGRESOS'!$G:$G,"&lt;="&amp;EOMONTH($A40,0)),0)</f>
        <v>6750</v>
      </c>
      <c r="F40" s="2">
        <f>IFERROR(SUMIFS('CALENDARIO INGRESOS'!$I:$I,'CALENDARIO INGRESOS'!$C:$C,Tabla814[[#Headers],[Colombia]],'CALENDARIO INGRESOS'!$G:$G,"&gt;="&amp;$A40,'CALENDARIO INGRESOS'!$G:$G,"&lt;="&amp;EOMONTH($A40,0)),0)</f>
        <v>4450</v>
      </c>
      <c r="G40" s="2">
        <f>IFERROR(SUMIFS('CALENDARIO INGRESOS'!$I:$I,'CALENDARIO INGRESOS'!$C:$C,Tabla814[[#Headers],[República Dominicana]],'CALENDARIO INGRESOS'!$G:$G,"&gt;="&amp;$A40,'CALENDARIO INGRESOS'!$G:$G,"&lt;="&amp;EOMONTH($A40,0)),0)</f>
        <v>0</v>
      </c>
      <c r="H40" s="2">
        <f>IFERROR(SUMIFS('CALENDARIO INGRESOS'!$I:$I,'CALENDARIO INGRESOS'!$C:$C,Tabla814[[#Headers],[Perú]],'CALENDARIO INGRESOS'!$G:$G,"&gt;="&amp;$A40,'CALENDARIO INGRESOS'!$G:$G,"&lt;="&amp;EOMONTH($A40,0)),0)</f>
        <v>3800</v>
      </c>
      <c r="I40" s="2">
        <f>IFERROR(SUMIFS('CALENDARIO INGRESOS'!$I:$I,'CALENDARIO INGRESOS'!$C:$C,Tabla814[[#Headers],[Paraguay]],'CALENDARIO INGRESOS'!$G:$G,"&gt;="&amp;$A40,'CALENDARIO INGRESOS'!$G:$G,"&lt;="&amp;EOMONTH($A40,0)),0)</f>
        <v>0</v>
      </c>
      <c r="J40" s="2">
        <f>IFERROR(SUMIFS('CALENDARIO INGRESOS'!$I:$I,'CALENDARIO INGRESOS'!$C:$C,Tabla814[[#Headers],[Honduras]],'CALENDARIO INGRESOS'!$G:$G,"&gt;="&amp;$A40,'CALENDARIO INGRESOS'!$G:$G,"&lt;="&amp;EOMONTH($A40,0)),0)</f>
        <v>0</v>
      </c>
      <c r="K40" s="2">
        <f>IFERROR(SUMIFS('CALENDARIO INGRESOS'!$I:$I,'CALENDARIO INGRESOS'!$C:$C,Tabla814[[#Headers],[Bolivia]],'CALENDARIO INGRESOS'!$G:$G,"&gt;="&amp;$A40,'CALENDARIO INGRESOS'!$G:$G,"&lt;="&amp;EOMONTH($A40,0)),0)</f>
        <v>0</v>
      </c>
      <c r="L40" s="2">
        <f>IFERROR(SUMIFS('CALENDARIO INGRESOS'!$I:$I,'CALENDARIO INGRESOS'!$C:$C,Tabla814[[#Headers],[Argentina]],'CALENDARIO INGRESOS'!$G:$G,"&gt;="&amp;$A40,'CALENDARIO INGRESOS'!$G:$G,"&lt;="&amp;EOMONTH($A40,0)),0)</f>
        <v>2000</v>
      </c>
      <c r="M40" s="2">
        <f>IFERROR(SUMIFS('CALENDARIO INGRESOS'!$I:$I,'CALENDARIO INGRESOS'!$C:$C,Tabla814[[#Headers],[Guatemala]],'CALENDARIO INGRESOS'!$G:$G,"&gt;="&amp;$A40,'CALENDARIO INGRESOS'!$G:$G,"&lt;="&amp;EOMONTH($A40,0)),0)</f>
        <v>0</v>
      </c>
      <c r="N40" s="2">
        <f>IFERROR(SUMIFS('CALENDARIO INGRESOS'!$I:$I,'CALENDARIO INGRESOS'!$C:$C,Tabla814[[#Headers],[Venezuela]],'CALENDARIO INGRESOS'!$G:$G,"&gt;="&amp;$A40,'CALENDARIO INGRESOS'!$G:$G,"&lt;="&amp;EOMONTH($A40,0)),0)</f>
        <v>1000</v>
      </c>
      <c r="O40" s="2">
        <f>IFERROR(SUMIFS('CALENDARIO INGRESOS'!$I:$I,'CALENDARIO INGRESOS'!$C:$C,Tabla814[[#Headers],[Uruguay]],'CALENDARIO INGRESOS'!$G:$G,"&gt;="&amp;$A40,'CALENDARIO INGRESOS'!$G:$G,"&lt;="&amp;EOMONTH($A40,0)),0)</f>
        <v>0</v>
      </c>
      <c r="P40" s="2">
        <f>IFERROR(SUMIFS('CALENDARIO INGRESOS'!$I:$I,'CALENDARIO INGRESOS'!$C:$C,Tabla814[[#Headers],[Nicaragua]],'CALENDARIO INGRESOS'!$G:$G,"&gt;="&amp;$A40,'CALENDARIO INGRESOS'!$G:$G,"&lt;="&amp;EOMONTH($A40,0)),0)</f>
        <v>0</v>
      </c>
      <c r="Q40" s="2">
        <f>+SUM(Tabla814[[#This Row],[El Salvador]:[Nicaragua]])</f>
        <v>32858</v>
      </c>
    </row>
    <row r="41" spans="1:17">
      <c r="A41" s="253">
        <v>46722</v>
      </c>
      <c r="B41" s="2">
        <f>IFERROR(SUMIFS('CALENDARIO INGRESOS'!$I:$I,'CALENDARIO INGRESOS'!$C:$C,Tabla814[[#Headers],[El Salvador]],'CALENDARIO INGRESOS'!$G:$G,"&gt;="&amp;$A41,'CALENDARIO INGRESOS'!$G:$G,"&lt;="&amp;EOMONTH($A41,0)),0)</f>
        <v>800</v>
      </c>
      <c r="C41" s="2">
        <f>IFERROR(SUMIFS('CALENDARIO INGRESOS'!$I:$I,'CALENDARIO INGRESOS'!$C:$C,Tabla814[[#Headers],[Chile]],'CALENDARIO INGRESOS'!$G:$G,"&gt;="&amp;$A41,'CALENDARIO INGRESOS'!$G:$G,"&lt;="&amp;EOMONTH($A41,0)),0)</f>
        <v>6908</v>
      </c>
      <c r="D41" s="2">
        <f>IFERROR(SUMIFS('CALENDARIO INGRESOS'!$I:$I,'CALENDARIO INGRESOS'!$C:$C,Tabla814[[#Headers],[Ecuador]],'CALENDARIO INGRESOS'!$G:$G,"&gt;="&amp;$A41,'CALENDARIO INGRESOS'!$G:$G,"&lt;="&amp;EOMONTH($A41,0)),0)</f>
        <v>8950</v>
      </c>
      <c r="E41" s="2">
        <f>IFERROR(SUMIFS('CALENDARIO INGRESOS'!$I:$I,'CALENDARIO INGRESOS'!$C:$C,Tabla814[[#Headers],[México]],'CALENDARIO INGRESOS'!$G:$G,"&gt;="&amp;$A41,'CALENDARIO INGRESOS'!$G:$G,"&lt;="&amp;EOMONTH($A41,0)),0)</f>
        <v>6750</v>
      </c>
      <c r="F41" s="2">
        <f>IFERROR(SUMIFS('CALENDARIO INGRESOS'!$I:$I,'CALENDARIO INGRESOS'!$C:$C,Tabla814[[#Headers],[Colombia]],'CALENDARIO INGRESOS'!$G:$G,"&gt;="&amp;$A41,'CALENDARIO INGRESOS'!$G:$G,"&lt;="&amp;EOMONTH($A41,0)),0)</f>
        <v>3450</v>
      </c>
      <c r="G41" s="2">
        <f>IFERROR(SUMIFS('CALENDARIO INGRESOS'!$I:$I,'CALENDARIO INGRESOS'!$C:$C,Tabla814[[#Headers],[República Dominicana]],'CALENDARIO INGRESOS'!$G:$G,"&gt;="&amp;$A41,'CALENDARIO INGRESOS'!$G:$G,"&lt;="&amp;EOMONTH($A41,0)),0)</f>
        <v>1000</v>
      </c>
      <c r="H41" s="2">
        <f>IFERROR(SUMIFS('CALENDARIO INGRESOS'!$I:$I,'CALENDARIO INGRESOS'!$C:$C,Tabla814[[#Headers],[Perú]],'CALENDARIO INGRESOS'!$G:$G,"&gt;="&amp;$A41,'CALENDARIO INGRESOS'!$G:$G,"&lt;="&amp;EOMONTH($A41,0)),0)</f>
        <v>3800</v>
      </c>
      <c r="I41" s="2">
        <f>IFERROR(SUMIFS('CALENDARIO INGRESOS'!$I:$I,'CALENDARIO INGRESOS'!$C:$C,Tabla814[[#Headers],[Paraguay]],'CALENDARIO INGRESOS'!$G:$G,"&gt;="&amp;$A41,'CALENDARIO INGRESOS'!$G:$G,"&lt;="&amp;EOMONTH($A41,0)),0)</f>
        <v>0</v>
      </c>
      <c r="J41" s="2">
        <f>IFERROR(SUMIFS('CALENDARIO INGRESOS'!$I:$I,'CALENDARIO INGRESOS'!$C:$C,Tabla814[[#Headers],[Honduras]],'CALENDARIO INGRESOS'!$G:$G,"&gt;="&amp;$A41,'CALENDARIO INGRESOS'!$G:$G,"&lt;="&amp;EOMONTH($A41,0)),0)</f>
        <v>0</v>
      </c>
      <c r="K41" s="2">
        <f>IFERROR(SUMIFS('CALENDARIO INGRESOS'!$I:$I,'CALENDARIO INGRESOS'!$C:$C,Tabla814[[#Headers],[Bolivia]],'CALENDARIO INGRESOS'!$G:$G,"&gt;="&amp;$A41,'CALENDARIO INGRESOS'!$G:$G,"&lt;="&amp;EOMONTH($A41,0)),0)</f>
        <v>0</v>
      </c>
      <c r="L41" s="2">
        <f>IFERROR(SUMIFS('CALENDARIO INGRESOS'!$I:$I,'CALENDARIO INGRESOS'!$C:$C,Tabla814[[#Headers],[Argentina]],'CALENDARIO INGRESOS'!$G:$G,"&gt;="&amp;$A41,'CALENDARIO INGRESOS'!$G:$G,"&lt;="&amp;EOMONTH($A41,0)),0)</f>
        <v>2000</v>
      </c>
      <c r="M41" s="2">
        <f>IFERROR(SUMIFS('CALENDARIO INGRESOS'!$I:$I,'CALENDARIO INGRESOS'!$C:$C,Tabla814[[#Headers],[Guatemala]],'CALENDARIO INGRESOS'!$G:$G,"&gt;="&amp;$A41,'CALENDARIO INGRESOS'!$G:$G,"&lt;="&amp;EOMONTH($A41,0)),0)</f>
        <v>0</v>
      </c>
      <c r="N41" s="2">
        <f>IFERROR(SUMIFS('CALENDARIO INGRESOS'!$I:$I,'CALENDARIO INGRESOS'!$C:$C,Tabla814[[#Headers],[Venezuela]],'CALENDARIO INGRESOS'!$G:$G,"&gt;="&amp;$A41,'CALENDARIO INGRESOS'!$G:$G,"&lt;="&amp;EOMONTH($A41,0)),0)</f>
        <v>1000</v>
      </c>
      <c r="O41" s="2">
        <f>IFERROR(SUMIFS('CALENDARIO INGRESOS'!$I:$I,'CALENDARIO INGRESOS'!$C:$C,Tabla814[[#Headers],[Uruguay]],'CALENDARIO INGRESOS'!$G:$G,"&gt;="&amp;$A41,'CALENDARIO INGRESOS'!$G:$G,"&lt;="&amp;EOMONTH($A41,0)),0)</f>
        <v>0</v>
      </c>
      <c r="P41" s="2">
        <f>IFERROR(SUMIFS('CALENDARIO INGRESOS'!$I:$I,'CALENDARIO INGRESOS'!$C:$C,Tabla814[[#Headers],[Nicaragua]],'CALENDARIO INGRESOS'!$G:$G,"&gt;="&amp;$A41,'CALENDARIO INGRESOS'!$G:$G,"&lt;="&amp;EOMONTH($A41,0)),0)</f>
        <v>0</v>
      </c>
      <c r="Q41" s="2">
        <f>+SUM(Tabla814[[#This Row],[El Salvador]:[Nicaragua]])</f>
        <v>34658</v>
      </c>
    </row>
    <row r="42" spans="1:17">
      <c r="A42" s="253" t="s">
        <v>4583</v>
      </c>
      <c r="B42" s="2">
        <f t="shared" ref="B42:P42" si="1">+SUM(B19:B41)</f>
        <v>71909</v>
      </c>
      <c r="C42" s="2">
        <f t="shared" si="1"/>
        <v>340344.54000000004</v>
      </c>
      <c r="D42" s="2">
        <f t="shared" si="1"/>
        <v>312218</v>
      </c>
      <c r="E42" s="2">
        <f t="shared" si="1"/>
        <v>348930.15</v>
      </c>
      <c r="F42" s="2">
        <f t="shared" si="1"/>
        <v>170150</v>
      </c>
      <c r="G42" s="2">
        <f t="shared" si="1"/>
        <v>41425</v>
      </c>
      <c r="H42" s="2">
        <f t="shared" si="1"/>
        <v>163103</v>
      </c>
      <c r="I42" s="2">
        <f t="shared" si="1"/>
        <v>0</v>
      </c>
      <c r="J42" s="2">
        <f t="shared" si="1"/>
        <v>22998</v>
      </c>
      <c r="K42" s="2">
        <f t="shared" si="1"/>
        <v>13741</v>
      </c>
      <c r="L42" s="2">
        <f t="shared" si="1"/>
        <v>44800</v>
      </c>
      <c r="M42" s="2">
        <f t="shared" si="1"/>
        <v>29126</v>
      </c>
      <c r="N42" s="2">
        <f t="shared" si="1"/>
        <v>48755</v>
      </c>
      <c r="O42" s="2">
        <f t="shared" si="1"/>
        <v>0</v>
      </c>
      <c r="P42" s="2">
        <f t="shared" si="1"/>
        <v>0</v>
      </c>
      <c r="Q42" s="2">
        <f>+SUM(Tabla814[[#This Row],[El Salvador]:[Nicaragua]])</f>
        <v>1607499.69</v>
      </c>
    </row>
  </sheetData>
  <mergeCells count="1">
    <mergeCell ref="A17:Q17"/>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A88A2-61E8-8D42-A334-E1BE44891075}">
  <dimension ref="A1:P20"/>
  <sheetViews>
    <sheetView zoomScale="107" workbookViewId="0">
      <selection activeCell="H23" sqref="H23"/>
    </sheetView>
  </sheetViews>
  <sheetFormatPr baseColWidth="10" defaultRowHeight="15"/>
  <cols>
    <col min="2" max="3" width="12.33203125" customWidth="1"/>
    <col min="4" max="4" width="17.5" customWidth="1"/>
    <col min="5" max="5" width="15.83203125" customWidth="1"/>
    <col min="6" max="6" width="19.5" customWidth="1"/>
    <col min="7" max="7" width="20.5" customWidth="1"/>
    <col min="8" max="8" width="19.33203125" customWidth="1"/>
    <col min="9" max="10" width="18.83203125" customWidth="1"/>
    <col min="11" max="11" width="13.6640625" customWidth="1"/>
    <col min="12" max="12" width="12.33203125" customWidth="1"/>
    <col min="13" max="13" width="13.6640625" customWidth="1"/>
    <col min="14" max="14" width="20.5" bestFit="1" customWidth="1"/>
    <col min="15" max="15" width="22.33203125" customWidth="1"/>
    <col min="16" max="16" width="30.5" bestFit="1" customWidth="1"/>
  </cols>
  <sheetData>
    <row r="1" spans="1:16">
      <c r="A1" s="729" t="s">
        <v>2706</v>
      </c>
      <c r="B1" s="729"/>
      <c r="C1" s="729"/>
      <c r="D1" s="729" t="s">
        <v>6028</v>
      </c>
      <c r="E1" s="729"/>
      <c r="F1" s="729" t="s">
        <v>6029</v>
      </c>
      <c r="G1" s="729"/>
      <c r="H1" s="729"/>
      <c r="I1" s="729"/>
      <c r="J1" s="647" t="s">
        <v>6030</v>
      </c>
      <c r="K1" s="729" t="s">
        <v>6031</v>
      </c>
      <c r="L1" s="729"/>
      <c r="M1" s="729"/>
      <c r="N1" s="730" t="s">
        <v>6032</v>
      </c>
      <c r="O1" s="731"/>
      <c r="P1" s="731"/>
    </row>
    <row r="2" spans="1:16">
      <c r="A2" s="205" t="s">
        <v>6014</v>
      </c>
      <c r="B2" s="205" t="s">
        <v>6016</v>
      </c>
      <c r="C2" s="205" t="s">
        <v>6015</v>
      </c>
      <c r="D2" s="205" t="s">
        <v>6017</v>
      </c>
      <c r="E2" s="205" t="s">
        <v>6018</v>
      </c>
      <c r="F2" s="205" t="s">
        <v>6019</v>
      </c>
      <c r="G2" s="205" t="s">
        <v>6020</v>
      </c>
      <c r="H2" s="205" t="s">
        <v>6021</v>
      </c>
      <c r="I2" s="205" t="s">
        <v>6022</v>
      </c>
      <c r="J2" s="205" t="s">
        <v>6023</v>
      </c>
      <c r="K2" s="205" t="s">
        <v>6024</v>
      </c>
      <c r="L2" s="205" t="s">
        <v>6025</v>
      </c>
      <c r="M2" s="205" t="s">
        <v>6026</v>
      </c>
      <c r="N2" s="205" t="s">
        <v>6027</v>
      </c>
      <c r="O2" s="205" t="s">
        <v>6539</v>
      </c>
      <c r="P2" s="205" t="s">
        <v>6540</v>
      </c>
    </row>
    <row r="3" spans="1:16">
      <c r="A3" s="646">
        <f>EERR!A4</f>
        <v>45658</v>
      </c>
      <c r="B3" s="644">
        <f>'COHORTES INGRESO'!E4</f>
        <v>3</v>
      </c>
      <c r="C3" s="644">
        <f>'COHORTES INGRESO'!C4</f>
        <v>3</v>
      </c>
      <c r="D3" s="645">
        <f ca="1">EERR!Q4</f>
        <v>10953.596271247383</v>
      </c>
      <c r="E3" s="645">
        <f ca="1">IFERROR(D3/B3,0)</f>
        <v>3651.1987570824608</v>
      </c>
      <c r="F3" s="645" cm="1">
        <f t="array" ref="F3">IFERROR((SUMPRODUCT((YEAR(SALIDAS!$A$2:$A$1498)=YEAR(A3))*(MONTH(SALIDAS!$A$2:$A$1498)=MONTH(A3))*(SALIDAS!$G$2:$G$1498="Lingoda")*(SALIDAS!$U$2:$U$1498="COR")*SALIDAS!$F$2:$F$1498)+SUMPRODUCT((YEAR(SALIDAS!$A$2:$A$1498)=YEAR(A3))*(MONTH(SALIDAS!$A$2:$A$1498)=MONTH(A3))*(SALIDAS!$G$2:$G$1498="Lingoking")*(SALIDAS!$U$2:$U$1498="COR")*SALIDAS!$F$2:$F$1498)+SUMPRODUCT((YEAR(SALIDAS!$A$2:$A$1498)=YEAR(A3))*(MONTH(SALIDAS!$A$2:$A$1498)=MONTH(A3))*(ISNUMBER(SEARCH("Schwark",SALIDAS!$H$2:$H$1498)))*(SALIDAS!$U$2:$U$1498="COR")*SALIDAS!$F$2:$F$1498))/B3,0)</f>
        <v>-166.66666666666666</v>
      </c>
      <c r="G3" s="645" cm="1">
        <f t="array" ref="G3">IFERROR(SUMPRODUCT((YEAR(SALIDAS!$A$2:$A$1498)=YEAR(A3))*(MONTH(SALIDAS!$A$2:$A$1498)=MONTH(A3))*(SALIDAS!$G$2:$G$1498="Lecturio")*(SALIDAS!$U$2:$U$1498="COR")*SALIDAS!$F$2:$F$1498)/B3,0)</f>
        <v>0</v>
      </c>
      <c r="H3" s="645">
        <f ca="1">I3-F3-G3</f>
        <v>-142.79999999999998</v>
      </c>
      <c r="I3" s="645">
        <f ca="1">IFERROR(EERR!S4/B3,0)</f>
        <v>-309.46666666666664</v>
      </c>
      <c r="J3" s="645">
        <f ca="1">IFERROR(EERR!V4/C3,0)</f>
        <v>-2741.4684859999998</v>
      </c>
      <c r="K3" s="645">
        <f ca="1">IFERROR(EERR!X4/B3,0)</f>
        <v>-1906.0920699999999</v>
      </c>
      <c r="L3" s="645">
        <f ca="1">IFERROR(EERR!Y4/B3,0)</f>
        <v>-515.66666666666663</v>
      </c>
      <c r="M3" s="645">
        <f ca="1">IFERROR(EERR!W4/B3,0)</f>
        <v>-449.07333333333327</v>
      </c>
      <c r="N3" s="645">
        <f ca="1">I3+K3+L3+M3</f>
        <v>-3180.2987366666662</v>
      </c>
      <c r="O3" s="645">
        <f ca="1">E3+N3</f>
        <v>470.90002041579464</v>
      </c>
      <c r="P3" s="674">
        <f ca="1">+EERR!AG4/Table15[[#This Row],[Drs. Activos]]</f>
        <v>3013.0754237491278</v>
      </c>
    </row>
    <row r="4" spans="1:16">
      <c r="A4" s="646">
        <f>EERR!A5</f>
        <v>45689</v>
      </c>
      <c r="B4" s="644">
        <f>'COHORTES INGRESO'!E5</f>
        <v>4</v>
      </c>
      <c r="C4" s="644">
        <f>'COHORTES INGRESO'!C5</f>
        <v>1</v>
      </c>
      <c r="D4" s="645">
        <f ca="1">EERR!Q5</f>
        <v>10194.845567790571</v>
      </c>
      <c r="E4" s="645">
        <f t="shared" ref="E4:E16" ca="1" si="0">IFERROR(D4/B4,0)</f>
        <v>2548.7113919476428</v>
      </c>
      <c r="F4" s="645" cm="1">
        <f t="array" ref="F4">IFERROR((SUMPRODUCT((YEAR(SALIDAS!$A$2:$A$1498)=YEAR(A4))*(MONTH(SALIDAS!$A$2:$A$1498)=MONTH(A4))*(SALIDAS!$G$2:$G$1498="Lingoda")*(SALIDAS!$U$2:$U$1498="COR")*SALIDAS!$F$2:$F$1498)+SUMPRODUCT((YEAR(SALIDAS!$A$2:$A$1498)=YEAR(A4))*(MONTH(SALIDAS!$A$2:$A$1498)=MONTH(A4))*(SALIDAS!$G$2:$G$1498="Lingoking")*(SALIDAS!$U$2:$U$1498="COR")*SALIDAS!$F$2:$F$1498)+SUMPRODUCT((YEAR(SALIDAS!$A$2:$A$1498)=YEAR(A4))*(MONTH(SALIDAS!$A$2:$A$1498)=MONTH(A4))*(ISNUMBER(SEARCH("Schwark",SALIDAS!$H$2:$H$1498)))*(SALIDAS!$U$2:$U$1498="COR")*SALIDAS!$F$2:$F$1498))/B4,0)</f>
        <v>0</v>
      </c>
      <c r="G4" s="645" cm="1">
        <f t="array" ref="G4">IFERROR(SUMPRODUCT((YEAR(SALIDAS!$A$2:$A$1498)=YEAR(A4))*(MONTH(SALIDAS!$A$2:$A$1498)=MONTH(A4))*(SALIDAS!$G$2:$G$1498="Lecturio")*(SALIDAS!$U$2:$U$1498="COR")*SALIDAS!$F$2:$F$1498)/B4,0)</f>
        <v>0</v>
      </c>
      <c r="H4" s="645">
        <f ca="1">I4-F4-G4</f>
        <v>0</v>
      </c>
      <c r="I4" s="645">
        <f ca="1">IFERROR(EERR!S5/B4,0)</f>
        <v>0</v>
      </c>
      <c r="J4" s="645">
        <f ca="1">IFERROR(EERR!V5/C4,0)</f>
        <v>-17413.583304</v>
      </c>
      <c r="K4" s="645">
        <f ca="1">IFERROR(EERR!X5/B4,0)</f>
        <v>-1995.7602819999997</v>
      </c>
      <c r="L4" s="645">
        <f ca="1">IFERROR(EERR!Y5/B4,0)</f>
        <v>-1696.0786632760771</v>
      </c>
      <c r="M4" s="645">
        <f ca="1">IFERROR(EERR!W5/B4,0)</f>
        <v>-55.320000000000007</v>
      </c>
      <c r="N4" s="645">
        <f t="shared" ref="N4:N16" ca="1" si="1">I4+K4+L4+M4</f>
        <v>-3747.1589452760768</v>
      </c>
      <c r="O4" s="645">
        <f ca="1">E4+N4</f>
        <v>-1198.447553328434</v>
      </c>
      <c r="P4" s="674">
        <f ca="1">+EERR!AG5/Table15[[#This Row],[Drs. Activos]]</f>
        <v>1183.3163919476426</v>
      </c>
    </row>
    <row r="5" spans="1:16">
      <c r="A5" s="646">
        <f>EERR!A6</f>
        <v>45717</v>
      </c>
      <c r="B5" s="644">
        <f>'COHORTES INGRESO'!E6</f>
        <v>17</v>
      </c>
      <c r="C5" s="644">
        <f>'COHORTES INGRESO'!C6</f>
        <v>14</v>
      </c>
      <c r="D5" s="645">
        <f ca="1">EERR!Q6</f>
        <v>25071.168852000003</v>
      </c>
      <c r="E5" s="645">
        <f t="shared" ca="1" si="0"/>
        <v>1474.7746383529413</v>
      </c>
      <c r="F5" s="645" cm="1">
        <f t="array" ref="F5">IFERROR((SUMPRODUCT((YEAR(SALIDAS!$A$2:$A$1498)=YEAR(A5))*(MONTH(SALIDAS!$A$2:$A$1498)=MONTH(A5))*(SALIDAS!$G$2:$G$1498="Lingoda")*(SALIDAS!$U$2:$U$1498="COR")*SALIDAS!$F$2:$F$1498)+SUMPRODUCT((YEAR(SALIDAS!$A$2:$A$1498)=YEAR(A5))*(MONTH(SALIDAS!$A$2:$A$1498)=MONTH(A5))*(SALIDAS!$G$2:$G$1498="Lingoking")*(SALIDAS!$U$2:$U$1498="COR")*SALIDAS!$F$2:$F$1498)+SUMPRODUCT((YEAR(SALIDAS!$A$2:$A$1498)=YEAR(A5))*(MONTH(SALIDAS!$A$2:$A$1498)=MONTH(A5))*(ISNUMBER(SEARCH("Schwark",SALIDAS!$H$2:$H$1498)))*(SALIDAS!$U$2:$U$1498="COR")*SALIDAS!$F$2:$F$1498))/B5,0)</f>
        <v>-352.94117647058823</v>
      </c>
      <c r="G5" s="645" cm="1">
        <f t="array" ref="G5">IFERROR(SUMPRODUCT((YEAR(SALIDAS!$A$2:$A$1498)=YEAR(A5))*(MONTH(SALIDAS!$A$2:$A$1498)=MONTH(A5))*(SALIDAS!$G$2:$G$1498="Lecturio")*(SALIDAS!$U$2:$U$1498="COR")*SALIDAS!$F$2:$F$1498)/B5,0)</f>
        <v>-1103.6470588235295</v>
      </c>
      <c r="H5" s="645">
        <f t="shared" ref="H5:H16" ca="1" si="2">I5-F5-G5</f>
        <v>-7.0588235294117112</v>
      </c>
      <c r="I5" s="645">
        <f ca="1">IFERROR(EERR!S6/B5,0)</f>
        <v>-1463.6470588235295</v>
      </c>
      <c r="J5" s="645">
        <f ca="1">IFERROR(EERR!V6/C5,0)</f>
        <v>-1623.9067200000002</v>
      </c>
      <c r="K5" s="645">
        <f ca="1">IFERROR(EERR!X6/B5,0)</f>
        <v>-216.93165929411765</v>
      </c>
      <c r="L5" s="645">
        <f ca="1">IFERROR(EERR!Y6/B5,0)</f>
        <v>-217.90798957557706</v>
      </c>
      <c r="M5" s="645">
        <f ca="1">IFERROR(EERR!W6/B5,0)</f>
        <v>-13.030588235294116</v>
      </c>
      <c r="N5" s="645">
        <f t="shared" ca="1" si="1"/>
        <v>-1911.5172959285183</v>
      </c>
      <c r="O5" s="645">
        <f t="shared" ref="O5:O16" ca="1" si="3">E5+N5</f>
        <v>-436.74265757557691</v>
      </c>
      <c r="P5" s="674">
        <f ca="1">+EERR!AG6/Table15[[#This Row],[Drs. Activos]]</f>
        <v>88.712710823529264</v>
      </c>
    </row>
    <row r="6" spans="1:16">
      <c r="A6" s="646">
        <f>EERR!A7</f>
        <v>45748</v>
      </c>
      <c r="B6" s="644">
        <f>'COHORTES INGRESO'!E7</f>
        <v>34</v>
      </c>
      <c r="C6" s="644">
        <f>'COHORTES INGRESO'!C7</f>
        <v>19</v>
      </c>
      <c r="D6" s="645">
        <f ca="1">EERR!Q7</f>
        <v>59179.123400320277</v>
      </c>
      <c r="E6" s="645">
        <f t="shared" ca="1" si="0"/>
        <v>1740.5624529505965</v>
      </c>
      <c r="F6" s="645" cm="1">
        <f t="array" ref="F6">IFERROR((SUMPRODUCT((YEAR(SALIDAS!$A$2:$A$1498)=YEAR(A6))*(MONTH(SALIDAS!$A$2:$A$1498)=MONTH(A6))*(SALIDAS!$G$2:$G$1498="Lingoda")*(SALIDAS!$U$2:$U$1498="COR")*SALIDAS!$F$2:$F$1498)+SUMPRODUCT((YEAR(SALIDAS!$A$2:$A$1498)=YEAR(A6))*(MONTH(SALIDAS!$A$2:$A$1498)=MONTH(A6))*(SALIDAS!$G$2:$G$1498="Lingoking")*(SALIDAS!$U$2:$U$1498="COR")*SALIDAS!$F$2:$F$1498)+SUMPRODUCT((YEAR(SALIDAS!$A$2:$A$1498)=YEAR(A6))*(MONTH(SALIDAS!$A$2:$A$1498)=MONTH(A6))*(ISNUMBER(SEARCH("Schwark",SALIDAS!$H$2:$H$1498)))*(SALIDAS!$U$2:$U$1498="COR")*SALIDAS!$F$2:$F$1498))/B6,0)</f>
        <v>-105.88235294117646</v>
      </c>
      <c r="G6" s="645" cm="1">
        <f t="array" ref="G6">IFERROR(SUMPRODUCT((YEAR(SALIDAS!$A$2:$A$1498)=YEAR(A6))*(MONTH(SALIDAS!$A$2:$A$1498)=MONTH(A6))*(SALIDAS!$G$2:$G$1498="Lecturio")*(SALIDAS!$U$2:$U$1498="COR")*SALIDAS!$F$2:$F$1498)/B6,0)</f>
        <v>-205.88235294117646</v>
      </c>
      <c r="H6" s="645">
        <f t="shared" ca="1" si="2"/>
        <v>-6.6988235294118113</v>
      </c>
      <c r="I6" s="645">
        <f ca="1">IFERROR(EERR!S7/B6,0)</f>
        <v>-318.46352941176474</v>
      </c>
      <c r="J6" s="645">
        <f ca="1">IFERROR(EERR!V7/C6,0)</f>
        <v>-1240.1478705842105</v>
      </c>
      <c r="K6" s="645">
        <f ca="1">IFERROR(EERR!X7/B6,0)</f>
        <v>-246.92995323529408</v>
      </c>
      <c r="L6" s="645">
        <f ca="1">IFERROR(EERR!Y7/B6,0)</f>
        <v>-120.44949561116206</v>
      </c>
      <c r="M6" s="645">
        <f ca="1">IFERROR(EERR!W7/B6,0)</f>
        <v>-5.2947647058823524</v>
      </c>
      <c r="N6" s="645">
        <f t="shared" ca="1" si="1"/>
        <v>-691.13774296410327</v>
      </c>
      <c r="O6" s="645">
        <f t="shared" ca="1" si="3"/>
        <v>1049.4247099864933</v>
      </c>
      <c r="P6" s="674">
        <f ca="1">+EERR!AG7/Table15[[#This Row],[Drs. Activos]]</f>
        <v>1203.7496661241257</v>
      </c>
    </row>
    <row r="7" spans="1:16">
      <c r="A7" s="646">
        <f>EERR!A8</f>
        <v>45778</v>
      </c>
      <c r="B7" s="644">
        <f>'COHORTES INGRESO'!E8</f>
        <v>48</v>
      </c>
      <c r="C7" s="644">
        <f>'COHORTES INGRESO'!C8</f>
        <v>15</v>
      </c>
      <c r="D7" s="645">
        <f ca="1">EERR!Q8</f>
        <v>57208.640000000014</v>
      </c>
      <c r="E7" s="645">
        <f t="shared" ca="1" si="0"/>
        <v>1191.846666666667</v>
      </c>
      <c r="F7" s="645" cm="1">
        <f t="array" ref="F7">IFERROR((SUMPRODUCT((YEAR(SALIDAS!$A$2:$A$1498)=YEAR(A7))*(MONTH(SALIDAS!$A$2:$A$1498)=MONTH(A7))*(SALIDAS!$G$2:$G$1498="Lingoda")*(SALIDAS!$U$2:$U$1498="COR")*SALIDAS!$F$2:$F$1498)+SUMPRODUCT((YEAR(SALIDAS!$A$2:$A$1498)=YEAR(A7))*(MONTH(SALIDAS!$A$2:$A$1498)=MONTH(A7))*(SALIDAS!$G$2:$G$1498="Lingoking")*(SALIDAS!$U$2:$U$1498="COR")*SALIDAS!$F$2:$F$1498)+SUMPRODUCT((YEAR(SALIDAS!$A$2:$A$1498)=YEAR(A7))*(MONTH(SALIDAS!$A$2:$A$1498)=MONTH(A7))*(ISNUMBER(SEARCH("Schwark",SALIDAS!$H$2:$H$1498)))*(SALIDAS!$U$2:$U$1498="COR")*SALIDAS!$F$2:$F$1498))/B7,0)</f>
        <v>-37.5</v>
      </c>
      <c r="G7" s="645" cm="1">
        <f t="array" ref="G7">IFERROR(SUMPRODUCT((YEAR(SALIDAS!$A$2:$A$1498)=YEAR(A7))*(MONTH(SALIDAS!$A$2:$A$1498)=MONTH(A7))*(SALIDAS!$G$2:$G$1498="Lecturio")*(SALIDAS!$U$2:$U$1498="COR")*SALIDAS!$F$2:$F$1498)/B7,0)</f>
        <v>-225.63541666666666</v>
      </c>
      <c r="H7" s="645">
        <f t="shared" ca="1" si="2"/>
        <v>-8.899583333333311</v>
      </c>
      <c r="I7" s="645">
        <f ca="1">IFERROR(EERR!S8/B7,0)</f>
        <v>-272.03499999999997</v>
      </c>
      <c r="J7" s="645">
        <f ca="1">IFERROR(EERR!V8/C7,0)</f>
        <v>-1695.2209633999996</v>
      </c>
      <c r="K7" s="645">
        <f ca="1">IFERROR(EERR!X8/B7,0)</f>
        <v>-209.64093764583333</v>
      </c>
      <c r="L7" s="645">
        <f ca="1">IFERROR(EERR!Y8/B7,0)</f>
        <v>-101.79593462726494</v>
      </c>
      <c r="M7" s="645">
        <f ca="1">IFERROR(EERR!W8/B7,0)</f>
        <v>-9.2022916666666656</v>
      </c>
      <c r="N7" s="645">
        <f t="shared" ca="1" si="1"/>
        <v>-592.67416393976487</v>
      </c>
      <c r="O7" s="645">
        <f ca="1">E7+N7</f>
        <v>599.17250272690217</v>
      </c>
      <c r="P7" s="674">
        <f ca="1">+EERR!AG8/Table15[[#This Row],[Drs. Activos]]</f>
        <v>807.43322064583356</v>
      </c>
    </row>
    <row r="8" spans="1:16">
      <c r="A8" s="646">
        <f>EERR!A9</f>
        <v>45809</v>
      </c>
      <c r="B8" s="644">
        <f>'COHORTES INGRESO'!E9</f>
        <v>63</v>
      </c>
      <c r="C8" s="644">
        <f>'COHORTES INGRESO'!C9</f>
        <v>19</v>
      </c>
      <c r="D8" s="645">
        <f ca="1">EERR!Q9</f>
        <v>80492.023924271794</v>
      </c>
      <c r="E8" s="645">
        <f t="shared" ca="1" si="0"/>
        <v>1277.6511734011397</v>
      </c>
      <c r="F8" s="645" cm="1">
        <f t="array" ref="F8">IFERROR((SUMPRODUCT((YEAR(SALIDAS!$A$2:$A$1498)=YEAR(A8))*(MONTH(SALIDAS!$A$2:$A$1498)=MONTH(A8))*(SALIDAS!$G$2:$G$1498="Lingoda")*(SALIDAS!$U$2:$U$1498="COR")*SALIDAS!$F$2:$F$1498)+SUMPRODUCT((YEAR(SALIDAS!$A$2:$A$1498)=YEAR(A8))*(MONTH(SALIDAS!$A$2:$A$1498)=MONTH(A8))*(SALIDAS!$G$2:$G$1498="Lingoking")*(SALIDAS!$U$2:$U$1498="COR")*SALIDAS!$F$2:$F$1498)+SUMPRODUCT((YEAR(SALIDAS!$A$2:$A$1498)=YEAR(A8))*(MONTH(SALIDAS!$A$2:$A$1498)=MONTH(A8))*(ISNUMBER(SEARCH("Schwark",SALIDAS!$H$2:$H$1498)))*(SALIDAS!$U$2:$U$1498="COR")*SALIDAS!$F$2:$F$1498))/B8,0)</f>
        <v>-161.9047619047619</v>
      </c>
      <c r="G8" s="645" cm="1">
        <f t="array" ref="G8">IFERROR(SUMPRODUCT((YEAR(SALIDAS!$A$2:$A$1498)=YEAR(A8))*(MONTH(SALIDAS!$A$2:$A$1498)=MONTH(A8))*(SALIDAS!$G$2:$G$1498="Lecturio")*(SALIDAS!$U$2:$U$1498="COR")*SALIDAS!$F$2:$F$1498)/B8,0)</f>
        <v>0</v>
      </c>
      <c r="H8" s="645">
        <f t="shared" ca="1" si="2"/>
        <v>-6.7952380952381191</v>
      </c>
      <c r="I8" s="645">
        <f ca="1">IFERROR(EERR!S9/B8,0)</f>
        <v>-168.70000000000002</v>
      </c>
      <c r="J8" s="645">
        <f ca="1">IFERROR(EERR!V9/C8,0)</f>
        <v>-1385.6530314470101</v>
      </c>
      <c r="K8" s="645">
        <f ca="1">IFERROR(EERR!X9/B8,0)</f>
        <v>-374.54114236359709</v>
      </c>
      <c r="L8" s="645">
        <f ca="1">IFERROR(EERR!Y9/B8,0)</f>
        <v>-142.72247287631492</v>
      </c>
      <c r="M8" s="645">
        <f ca="1">IFERROR(EERR!W9/B8,0)</f>
        <v>-10.988813921129017</v>
      </c>
      <c r="N8" s="645">
        <f t="shared" ca="1" si="1"/>
        <v>-696.95242916104098</v>
      </c>
      <c r="O8" s="645">
        <f t="shared" ca="1" si="3"/>
        <v>580.69874424009868</v>
      </c>
      <c r="P8" s="674">
        <f ca="1">+EERR!AG9/Table15[[#This Row],[Drs. Activos]]</f>
        <v>866.23901002018715</v>
      </c>
    </row>
    <row r="9" spans="1:16">
      <c r="A9" s="646">
        <f>EERR!A10</f>
        <v>45839</v>
      </c>
      <c r="B9" s="644">
        <f>'COHORTES INGRESO'!E10</f>
        <v>84</v>
      </c>
      <c r="C9" s="644">
        <f>'COHORTES INGRESO'!C10</f>
        <v>31</v>
      </c>
      <c r="D9" s="645">
        <f ca="1">EERR!Q10</f>
        <v>137497.24065346323</v>
      </c>
      <c r="E9" s="645">
        <f t="shared" ca="1" si="0"/>
        <v>1636.871912541229</v>
      </c>
      <c r="F9" s="645" cm="1">
        <f t="array" ref="F9">IFERROR((SUMPRODUCT((YEAR(SALIDAS!$A$2:$A$1498)=YEAR(A9))*(MONTH(SALIDAS!$A$2:$A$1498)=MONTH(A9))*(SALIDAS!$G$2:$G$1498="Lingoda")*(SALIDAS!$U$2:$U$1498="COR")*SALIDAS!$F$2:$F$1498)+SUMPRODUCT((YEAR(SALIDAS!$A$2:$A$1498)=YEAR(A9))*(MONTH(SALIDAS!$A$2:$A$1498)=MONTH(A9))*(SALIDAS!$G$2:$G$1498="Lingoking")*(SALIDAS!$U$2:$U$1498="COR")*SALIDAS!$F$2:$F$1498)+SUMPRODUCT((YEAR(SALIDAS!$A$2:$A$1498)=YEAR(A9))*(MONTH(SALIDAS!$A$2:$A$1498)=MONTH(A9))*(ISNUMBER(SEARCH("Schwark",SALIDAS!$H$2:$H$1498)))*(SALIDAS!$U$2:$U$1498="COR")*SALIDAS!$F$2:$F$1498))/B9,0)</f>
        <v>-234.89523809523811</v>
      </c>
      <c r="G9" s="645" cm="1">
        <f t="array" ref="G9">IFERROR(SUMPRODUCT((YEAR(SALIDAS!$A$2:$A$1498)=YEAR(A9))*(MONTH(SALIDAS!$A$2:$A$1498)=MONTH(A9))*(SALIDAS!$G$2:$G$1498="Lecturio")*(SALIDAS!$U$2:$U$1498="COR")*SALIDAS!$F$2:$F$1498)/B9,0)</f>
        <v>0</v>
      </c>
      <c r="H9" s="645">
        <f t="shared" ca="1" si="2"/>
        <v>-5.6122619047619082</v>
      </c>
      <c r="I9" s="645">
        <f ca="1">IFERROR(EERR!S10/B9,0)</f>
        <v>-240.50750000000002</v>
      </c>
      <c r="J9" s="645">
        <f ca="1">IFERROR(EERR!V10/C9,0)</f>
        <v>-840.99707012903229</v>
      </c>
      <c r="K9" s="645">
        <f ca="1">IFERROR(EERR!X10/B9,0)</f>
        <v>-254.81290776513728</v>
      </c>
      <c r="L9" s="645">
        <f ca="1">IFERROR(EERR!Y10/B9,0)</f>
        <v>-168.67674874928574</v>
      </c>
      <c r="M9" s="645">
        <f ca="1">IFERROR(EERR!W10/B9,0)</f>
        <v>-9.292205345238095</v>
      </c>
      <c r="N9" s="645">
        <f t="shared" ca="1" si="1"/>
        <v>-673.2893618596612</v>
      </c>
      <c r="O9" s="645">
        <f t="shared" ca="1" si="3"/>
        <v>963.5825506815678</v>
      </c>
      <c r="P9" s="674">
        <f ca="1">+EERR!AG10/Table15[[#This Row],[Drs. Activos]]</f>
        <v>1208.8648865293242</v>
      </c>
    </row>
    <row r="10" spans="1:16">
      <c r="A10" s="646">
        <f>EERR!A11</f>
        <v>45870</v>
      </c>
      <c r="B10" s="644">
        <f>'COHORTES INGRESO'!E11</f>
        <v>101</v>
      </c>
      <c r="C10" s="644">
        <f>'COHORTES INGRESO'!C11</f>
        <v>26</v>
      </c>
      <c r="D10" s="645">
        <f ca="1">EERR!Q11</f>
        <v>140640.19887532166</v>
      </c>
      <c r="E10" s="645">
        <f t="shared" ca="1" si="0"/>
        <v>1392.477216587343</v>
      </c>
      <c r="F10" s="645" cm="1">
        <f t="array" ref="F10">IFERROR((SUMPRODUCT((YEAR(SALIDAS!$A$2:$A$1498)=YEAR(A10))*(MONTH(SALIDAS!$A$2:$A$1498)=MONTH(A10))*(SALIDAS!$G$2:$G$1498="Lingoda")*(SALIDAS!$U$2:$U$1498="COR")*SALIDAS!$F$2:$F$1498)+SUMPRODUCT((YEAR(SALIDAS!$A$2:$A$1498)=YEAR(A10))*(MONTH(SALIDAS!$A$2:$A$1498)=MONTH(A10))*(SALIDAS!$G$2:$G$1498="Lingoking")*(SALIDAS!$U$2:$U$1498="COR")*SALIDAS!$F$2:$F$1498)+SUMPRODUCT((YEAR(SALIDAS!$A$2:$A$1498)=YEAR(A10))*(MONTH(SALIDAS!$A$2:$A$1498)=MONTH(A10))*(ISNUMBER(SEARCH("Schwark",SALIDAS!$H$2:$H$1498)))*(SALIDAS!$U$2:$U$1498="COR")*SALIDAS!$F$2:$F$1498))/B10,0)</f>
        <v>-146.8958415841584</v>
      </c>
      <c r="G10" s="645" cm="1">
        <f t="array" ref="G10">IFERROR(SUMPRODUCT((YEAR(SALIDAS!$A$2:$A$1498)=YEAR(A10))*(MONTH(SALIDAS!$A$2:$A$1498)=MONTH(A10))*(SALIDAS!$G$2:$G$1498="Lecturio")*(SALIDAS!$U$2:$U$1498="COR")*SALIDAS!$F$2:$F$1498)/B10,0)</f>
        <v>0</v>
      </c>
      <c r="H10" s="645">
        <f t="shared" ca="1" si="2"/>
        <v>-24.477352653720317</v>
      </c>
      <c r="I10" s="645">
        <f ca="1">IFERROR(EERR!S11/B10,0)</f>
        <v>-171.37319423787872</v>
      </c>
      <c r="J10" s="645">
        <f ca="1">IFERROR(EERR!V11/C10,0)</f>
        <v>-1512.3920166316263</v>
      </c>
      <c r="K10" s="645">
        <f ca="1">IFERROR(EERR!X11/B10,0)</f>
        <v>-526.24139965979691</v>
      </c>
      <c r="L10" s="645">
        <f ca="1">IFERROR(EERR!Y11/B10,0)</f>
        <v>-135.54526664683635</v>
      </c>
      <c r="M10" s="645">
        <f ca="1">IFERROR(EERR!W11/B10,0)</f>
        <v>-8.8755313814643273</v>
      </c>
      <c r="N10" s="645">
        <f t="shared" ca="1" si="1"/>
        <v>-842.03539192597623</v>
      </c>
      <c r="O10" s="645">
        <f t="shared" ca="1" si="3"/>
        <v>550.44182466136681</v>
      </c>
      <c r="P10" s="674">
        <f ca="1">+EERR!AG11/Table15[[#This Row],[Drs. Activos]]</f>
        <v>982.63644750981848</v>
      </c>
    </row>
    <row r="11" spans="1:16">
      <c r="A11" s="646">
        <f>EERR!A12</f>
        <v>45901</v>
      </c>
      <c r="B11" s="644">
        <f>'COHORTES INGRESO'!E12</f>
        <v>111</v>
      </c>
      <c r="C11" s="644">
        <f>'COHORTES INGRESO'!C12</f>
        <v>14</v>
      </c>
      <c r="D11" s="645">
        <f ca="1">EERR!Q12</f>
        <v>123609.30398367051</v>
      </c>
      <c r="E11" s="645">
        <f t="shared" ca="1" si="0"/>
        <v>1113.5973331862208</v>
      </c>
      <c r="F11" s="645" cm="1">
        <f t="array" ref="F11">IFERROR((SUMPRODUCT((YEAR(SALIDAS!$A$2:$A$1498)=YEAR(A11))*(MONTH(SALIDAS!$A$2:$A$1498)=MONTH(A11))*(SALIDAS!$G$2:$G$1498="Lingoda")*(SALIDAS!$U$2:$U$1498="COR")*SALIDAS!$F$2:$F$1498)+SUMPRODUCT((YEAR(SALIDAS!$A$2:$A$1498)=YEAR(A11))*(MONTH(SALIDAS!$A$2:$A$1498)=MONTH(A11))*(SALIDAS!$G$2:$G$1498="Lingoking")*(SALIDAS!$U$2:$U$1498="COR")*SALIDAS!$F$2:$F$1498)+SUMPRODUCT((YEAR(SALIDAS!$A$2:$A$1498)=YEAR(A11))*(MONTH(SALIDAS!$A$2:$A$1498)=MONTH(A11))*(ISNUMBER(SEARCH("Schwark",SALIDAS!$H$2:$H$1498)))*(SALIDAS!$U$2:$U$1498="COR")*SALIDAS!$F$2:$F$1498))/B11,0)</f>
        <v>-188.023259009009</v>
      </c>
      <c r="G11" s="645" cm="1">
        <f t="array" ref="G11">IFERROR(SUMPRODUCT((YEAR(SALIDAS!$A$2:$A$1498)=YEAR(A11))*(MONTH(SALIDAS!$A$2:$A$1498)=MONTH(A11))*(SALIDAS!$G$2:$G$1498="Lecturio")*(SALIDAS!$U$2:$U$1498="COR")*SALIDAS!$F$2:$F$1498)/B11,0)</f>
        <v>0</v>
      </c>
      <c r="H11" s="645">
        <f t="shared" ca="1" si="2"/>
        <v>-41.302706148771705</v>
      </c>
      <c r="I11" s="645">
        <f ca="1">IFERROR(EERR!S12/B11,0)</f>
        <v>-229.3259651577807</v>
      </c>
      <c r="J11" s="645">
        <f ca="1">IFERROR(EERR!V12/C11,0)</f>
        <v>-2162.4026279074938</v>
      </c>
      <c r="K11" s="645">
        <f ca="1">IFERROR(EERR!X12/B11,0)</f>
        <v>-412.03250132673651</v>
      </c>
      <c r="L11" s="645">
        <f ca="1">IFERROR(EERR!Y12/B11,0)</f>
        <v>-172.89127855855855</v>
      </c>
      <c r="M11" s="645">
        <f ca="1">IFERROR(EERR!W12/B11,0)</f>
        <v>-6.9970330576478119</v>
      </c>
      <c r="N11" s="645">
        <f t="shared" ca="1" si="1"/>
        <v>-821.24677810072365</v>
      </c>
      <c r="O11" s="645">
        <f t="shared" ca="1" si="3"/>
        <v>292.35055508549715</v>
      </c>
      <c r="P11" s="674">
        <f ca="1">+EERR!AG12/Table15[[#This Row],[Drs. Activos]]</f>
        <v>852.54961126730211</v>
      </c>
    </row>
    <row r="12" spans="1:16">
      <c r="A12" s="646">
        <f>EERR!A13</f>
        <v>45931</v>
      </c>
      <c r="B12" s="644">
        <f>'COHORTES INGRESO'!E13</f>
        <v>113</v>
      </c>
      <c r="C12" s="644">
        <f>'COHORTES INGRESO'!C13</f>
        <v>11</v>
      </c>
      <c r="D12" s="645">
        <f ca="1">EERR!Q13</f>
        <v>115336.25697128737</v>
      </c>
      <c r="E12" s="645">
        <f t="shared" ca="1" si="0"/>
        <v>1020.6748404538705</v>
      </c>
      <c r="F12" s="645" cm="1">
        <f t="array" ref="F12">IFERROR((SUMPRODUCT((YEAR(SALIDAS!$A$2:$A$1498)=YEAR(A12))*(MONTH(SALIDAS!$A$2:$A$1498)=MONTH(A12))*(SALIDAS!$G$2:$G$1498="Lingoda")*(SALIDAS!$U$2:$U$1498="COR")*SALIDAS!$F$2:$F$1498)+SUMPRODUCT((YEAR(SALIDAS!$A$2:$A$1498)=YEAR(A12))*(MONTH(SALIDAS!$A$2:$A$1498)=MONTH(A12))*(SALIDAS!$G$2:$G$1498="Lingoking")*(SALIDAS!$U$2:$U$1498="COR")*SALIDAS!$F$2:$F$1498)+SUMPRODUCT((YEAR(SALIDAS!$A$2:$A$1498)=YEAR(A12))*(MONTH(SALIDAS!$A$2:$A$1498)=MONTH(A12))*(ISNUMBER(SEARCH("Schwark",SALIDAS!$H$2:$H$1498)))*(SALIDAS!$U$2:$U$1498="COR")*SALIDAS!$F$2:$F$1498))/B12,0)</f>
        <v>-66.563761061946906</v>
      </c>
      <c r="G12" s="645" cm="1">
        <f t="array" ref="G12">IFERROR(SUMPRODUCT((YEAR(SALIDAS!$A$2:$A$1498)=YEAR(A12))*(MONTH(SALIDAS!$A$2:$A$1498)=MONTH(A12))*(SALIDAS!$G$2:$G$1498="Lecturio")*(SALIDAS!$U$2:$U$1498="COR")*SALIDAS!$F$2:$F$1498)/B12,0)</f>
        <v>0</v>
      </c>
      <c r="H12" s="645">
        <f t="shared" ca="1" si="2"/>
        <v>-21.361571160259388</v>
      </c>
      <c r="I12" s="645">
        <f ca="1">IFERROR(EERR!S13/B12,0)</f>
        <v>-87.925332222206293</v>
      </c>
      <c r="J12" s="645">
        <f ca="1">IFERROR(EERR!V13/C12,0)</f>
        <v>-3389.3349782773671</v>
      </c>
      <c r="K12" s="645">
        <f ca="1">IFERROR(EERR!X13/B12,0)</f>
        <v>-448.34298994569627</v>
      </c>
      <c r="L12" s="645">
        <f ca="1">IFERROR(EERR!Y13/B12,0)</f>
        <v>-165.61553345132745</v>
      </c>
      <c r="M12" s="645">
        <f ca="1">IFERROR(EERR!W13/B12,0)</f>
        <v>-7.8117069625516766</v>
      </c>
      <c r="N12" s="645">
        <f t="shared" ca="1" si="1"/>
        <v>-709.6955625817817</v>
      </c>
      <c r="O12" s="645">
        <f t="shared" ca="1" si="3"/>
        <v>310.9792778720888</v>
      </c>
      <c r="P12" s="674">
        <f ca="1">+EERR!AG13/Table15[[#This Row],[Drs. Activos]]</f>
        <v>757.61350884325111</v>
      </c>
    </row>
    <row r="13" spans="1:16">
      <c r="A13" s="646">
        <f>EERR!A14</f>
        <v>45962</v>
      </c>
      <c r="B13" s="644">
        <f>'COHORTES INGRESO'!E14</f>
        <v>119</v>
      </c>
      <c r="C13" s="644">
        <f>'COHORTES INGRESO'!C14</f>
        <v>13</v>
      </c>
      <c r="D13" s="645">
        <f ca="1">EERR!Q14</f>
        <v>130999.56733942573</v>
      </c>
      <c r="E13" s="645">
        <f t="shared" ca="1" si="0"/>
        <v>1100.8367003313087</v>
      </c>
      <c r="F13" s="645" cm="1">
        <f t="array" ref="F13">IFERROR((SUMPRODUCT((YEAR(SALIDAS!$A$2:$A$1498)=YEAR(A13))*(MONTH(SALIDAS!$A$2:$A$1498)=MONTH(A13))*(SALIDAS!$G$2:$G$1498="Lingoda")*(SALIDAS!$U$2:$U$1498="COR")*SALIDAS!$F$2:$F$1498)+SUMPRODUCT((YEAR(SALIDAS!$A$2:$A$1498)=YEAR(A13))*(MONTH(SALIDAS!$A$2:$A$1498)=MONTH(A13))*(SALIDAS!$G$2:$G$1498="Lingoking")*(SALIDAS!$U$2:$U$1498="COR")*SALIDAS!$F$2:$F$1498)+SUMPRODUCT((YEAR(SALIDAS!$A$2:$A$1498)=YEAR(A13))*(MONTH(SALIDAS!$A$2:$A$1498)=MONTH(A13))*(ISNUMBER(SEARCH("Schwark",SALIDAS!$H$2:$H$1498)))*(SALIDAS!$U$2:$U$1498="COR")*SALIDAS!$F$2:$F$1498))/B13,0)</f>
        <v>-212.0443067226891</v>
      </c>
      <c r="G13" s="645" cm="1">
        <f t="array" ref="G13">IFERROR(SUMPRODUCT((YEAR(SALIDAS!$A$2:$A$1498)=YEAR(A13))*(MONTH(SALIDAS!$A$2:$A$1498)=MONTH(A13))*(SALIDAS!$G$2:$G$1498="Lecturio")*(SALIDAS!$U$2:$U$1498="COR")*SALIDAS!$F$2:$F$1498)/B13,0)</f>
        <v>0</v>
      </c>
      <c r="H13" s="645">
        <f ca="1">I13-F13-G13</f>
        <v>-5.1602523865545891</v>
      </c>
      <c r="I13" s="645">
        <f ca="1">IFERROR(EERR!S14/B13,0)</f>
        <v>-217.20455910924369</v>
      </c>
      <c r="J13" s="645">
        <f ca="1">IFERROR(EERR!V14/C13,0)</f>
        <v>-3378.8995873553849</v>
      </c>
      <c r="K13" s="645">
        <f ca="1">IFERROR(EERR!X14/B13,0)</f>
        <v>-422.96282381932775</v>
      </c>
      <c r="L13" s="645">
        <f ca="1">IFERROR(EERR!Y14/B13,0)</f>
        <v>-143.13116974789915</v>
      </c>
      <c r="M13" s="645">
        <f ca="1">IFERROR(EERR!W14/B13,0)</f>
        <v>-5.6373954957983194</v>
      </c>
      <c r="N13" s="645">
        <f t="shared" ca="1" si="1"/>
        <v>-788.93594817226881</v>
      </c>
      <c r="O13" s="645">
        <f t="shared" ca="1" si="3"/>
        <v>311.90075215903994</v>
      </c>
      <c r="P13" s="674">
        <f ca="1">+EERR!AG14/Table15[[#This Row],[Drs. Activos]]</f>
        <v>701.65302277988008</v>
      </c>
    </row>
    <row r="14" spans="1:16">
      <c r="A14" s="646">
        <f>EERR!A15</f>
        <v>45992</v>
      </c>
      <c r="B14" s="644">
        <f>'COHORTES INGRESO'!E15</f>
        <v>126</v>
      </c>
      <c r="C14" s="644">
        <f>'COHORTES INGRESO'!C15</f>
        <v>10</v>
      </c>
      <c r="D14" s="645">
        <f ca="1">EERR!Q15</f>
        <v>118222.47111034537</v>
      </c>
      <c r="E14" s="645">
        <f t="shared" ca="1" si="0"/>
        <v>938.27358024083628</v>
      </c>
      <c r="F14" s="645" cm="1">
        <f t="array" ref="F14">IFERROR((SUMPRODUCT((YEAR(SALIDAS!$A$2:$A$1498)=YEAR(A14))*(MONTH(SALIDAS!$A$2:$A$1498)=MONTH(A14))*(SALIDAS!$G$2:$G$1498="Lingoda")*(SALIDAS!$U$2:$U$1498="COR")*SALIDAS!$F$2:$F$1498)+SUMPRODUCT((YEAR(SALIDAS!$A$2:$A$1498)=YEAR(A14))*(MONTH(SALIDAS!$A$2:$A$1498)=MONTH(A14))*(SALIDAS!$G$2:$G$1498="Lingoking")*(SALIDAS!$U$2:$U$1498="COR")*SALIDAS!$F$2:$F$1498)+SUMPRODUCT((YEAR(SALIDAS!$A$2:$A$1498)=YEAR(A14))*(MONTH(SALIDAS!$A$2:$A$1498)=MONTH(A14))*(ISNUMBER(SEARCH("Schwark",SALIDAS!$H$2:$H$1498)))*(SALIDAS!$U$2:$U$1498="COR")*SALIDAS!$F$2:$F$1498))/B14,0)</f>
        <v>-168.37083333333331</v>
      </c>
      <c r="G14" s="645" cm="1">
        <f t="array" ref="G14">IFERROR(SUMPRODUCT((YEAR(SALIDAS!$A$2:$A$1498)=YEAR(A14))*(MONTH(SALIDAS!$A$2:$A$1498)=MONTH(A14))*(SALIDAS!$G$2:$G$1498="Lecturio")*(SALIDAS!$U$2:$U$1498="COR")*SALIDAS!$F$2:$F$1498)/B14,0)</f>
        <v>0</v>
      </c>
      <c r="H14" s="645">
        <f t="shared" ca="1" si="2"/>
        <v>-34.699551095238093</v>
      </c>
      <c r="I14" s="645">
        <f ca="1">IFERROR(EERR!S15/B14,0)</f>
        <v>-203.0703844285714</v>
      </c>
      <c r="J14" s="645">
        <f ca="1">IFERROR(EERR!V15/C14,0)</f>
        <v>-4334.9472888159999</v>
      </c>
      <c r="K14" s="645">
        <f ca="1">IFERROR(EERR!X15/B14,0)</f>
        <v>-365.04485040873016</v>
      </c>
      <c r="L14" s="645">
        <f ca="1">IFERROR(EERR!Y15/B14,0)</f>
        <v>-172.75479746031746</v>
      </c>
      <c r="M14" s="645">
        <f ca="1">IFERROR(EERR!W15/B14,0)</f>
        <v>-7.5199426984126969</v>
      </c>
      <c r="N14" s="645">
        <f t="shared" ca="1" si="1"/>
        <v>-748.38997499603181</v>
      </c>
      <c r="O14" s="645">
        <f t="shared" ca="1" si="3"/>
        <v>189.88360524480447</v>
      </c>
      <c r="P14" s="674">
        <f ca="1">+EERR!AG15/Table15[[#This Row],[Drs. Activos]]</f>
        <v>600.97195236655057</v>
      </c>
    </row>
    <row r="15" spans="1:16">
      <c r="A15" s="646">
        <f>EERR!A16</f>
        <v>46023</v>
      </c>
      <c r="B15" s="644">
        <f>'COHORTES INGRESO'!E16</f>
        <v>140</v>
      </c>
      <c r="C15" s="644">
        <f>'COHORTES INGRESO'!C16</f>
        <v>15</v>
      </c>
      <c r="D15" s="645">
        <f ca="1">EERR!Q16</f>
        <v>136271.11137522507</v>
      </c>
      <c r="E15" s="645">
        <f t="shared" ca="1" si="0"/>
        <v>973.36508125160765</v>
      </c>
      <c r="F15" s="645" cm="1">
        <f t="array" ref="F15">IFERROR((SUMPRODUCT((YEAR(SALIDAS!$A$2:$A$1498)=YEAR(A15))*(MONTH(SALIDAS!$A$2:$A$1498)=MONTH(A15))*(SALIDAS!$G$2:$G$1498="Lingoda")*(SALIDAS!$U$2:$U$1498="COR")*SALIDAS!$F$2:$F$1498)+SUMPRODUCT((YEAR(SALIDAS!$A$2:$A$1498)=YEAR(A15))*(MONTH(SALIDAS!$A$2:$A$1498)=MONTH(A15))*(SALIDAS!$G$2:$G$1498="Lingoking")*(SALIDAS!$U$2:$U$1498="COR")*SALIDAS!$F$2:$F$1498)+SUMPRODUCT((YEAR(SALIDAS!$A$2:$A$1498)=YEAR(A15))*(MONTH(SALIDAS!$A$2:$A$1498)=MONTH(A15))*(ISNUMBER(SEARCH("Schwark",SALIDAS!$H$2:$H$1498)))*(SALIDAS!$U$2:$U$1498="COR")*SALIDAS!$F$2:$F$1498))/B15,0)</f>
        <v>-67.511598214285712</v>
      </c>
      <c r="G15" s="645" cm="1">
        <f t="array" ref="G15">IFERROR(SUMPRODUCT((YEAR(SALIDAS!$A$2:$A$1498)=YEAR(A15))*(MONTH(SALIDAS!$A$2:$A$1498)=MONTH(A15))*(SALIDAS!$G$2:$G$1498="Lecturio")*(SALIDAS!$U$2:$U$1498="COR")*SALIDAS!$F$2:$F$1498)/B15,0)</f>
        <v>0</v>
      </c>
      <c r="H15" s="645">
        <f t="shared" ca="1" si="2"/>
        <v>-39.450963414285695</v>
      </c>
      <c r="I15" s="645">
        <f ca="1">IFERROR(EERR!S16/B15,0)</f>
        <v>-106.96256162857141</v>
      </c>
      <c r="J15" s="645">
        <f ca="1">IFERROR(EERR!V16/C15,0)</f>
        <v>-3074.3334667026666</v>
      </c>
      <c r="K15" s="645">
        <f ca="1">IFERROR(EERR!X16/B15,0)</f>
        <v>-380.83544764485714</v>
      </c>
      <c r="L15" s="645">
        <f ca="1">IFERROR(EERR!Y16/B15,0)</f>
        <v>-103.91353578571429</v>
      </c>
      <c r="M15" s="645">
        <f ca="1">IFERROR(EERR!W16/B15,0)</f>
        <v>-11.871935691142854</v>
      </c>
      <c r="N15" s="645">
        <f t="shared" ca="1" si="1"/>
        <v>-603.58348075028573</v>
      </c>
      <c r="O15" s="645">
        <f t="shared" ca="1" si="3"/>
        <v>369.78160050132192</v>
      </c>
      <c r="P15" s="674">
        <f ca="1">+EERR!AG16/Table15[[#This Row],[Drs. Activos]]</f>
        <v>733.74404191946485</v>
      </c>
    </row>
    <row r="16" spans="1:16">
      <c r="A16" s="646">
        <f>EERR!A17</f>
        <v>46054</v>
      </c>
      <c r="B16" s="644">
        <f>'COHORTES INGRESO'!E17</f>
        <v>145</v>
      </c>
      <c r="C16" s="644">
        <f>'COHORTES INGRESO'!C17</f>
        <v>5</v>
      </c>
      <c r="D16" s="645">
        <f ca="1">EERR!Q17</f>
        <v>111993.36960195117</v>
      </c>
      <c r="E16" s="645">
        <f t="shared" ca="1" si="0"/>
        <v>772.36806622035294</v>
      </c>
      <c r="F16" s="645" cm="1">
        <f t="array" ref="F16">IFERROR((SUMPRODUCT((YEAR(SALIDAS!$A$2:$A$1498)=YEAR(A16))*(MONTH(SALIDAS!$A$2:$A$1498)=MONTH(A16))*(SALIDAS!$G$2:$G$1498="Lingoda")*(SALIDAS!$U$2:$U$1498="COR")*SALIDAS!$F$2:$F$1498)+SUMPRODUCT((YEAR(SALIDAS!$A$2:$A$1498)=YEAR(A16))*(MONTH(SALIDAS!$A$2:$A$1498)=MONTH(A16))*(SALIDAS!$G$2:$G$1498="Lingoking")*(SALIDAS!$U$2:$U$1498="COR")*SALIDAS!$F$2:$F$1498)+SUMPRODUCT((YEAR(SALIDAS!$A$2:$A$1498)=YEAR(A16))*(MONTH(SALIDAS!$A$2:$A$1498)=MONTH(A16))*(ISNUMBER(SEARCH("Schwark",SALIDAS!$H$2:$H$1498)))*(SALIDAS!$U$2:$U$1498="COR")*SALIDAS!$F$2:$F$1498))/B16,0)</f>
        <v>-36.567644827586207</v>
      </c>
      <c r="G16" s="645" cm="1">
        <f t="array" ref="G16">IFERROR(SUMPRODUCT((YEAR(SALIDAS!$A$2:$A$1498)=YEAR(A16))*(MONTH(SALIDAS!$A$2:$A$1498)=MONTH(A16))*(SALIDAS!$G$2:$G$1498="Lecturio")*(SALIDAS!$U$2:$U$1498="COR")*SALIDAS!$F$2:$F$1498)/B16,0)</f>
        <v>0</v>
      </c>
      <c r="H16" s="645">
        <f t="shared" ca="1" si="2"/>
        <v>-3.5492833517241422</v>
      </c>
      <c r="I16" s="645">
        <f ca="1">IFERROR(EERR!S17/B16,0)</f>
        <v>-40.116928179310349</v>
      </c>
      <c r="J16" s="645">
        <f ca="1">IFERROR(EERR!V17/C16,0)</f>
        <v>-10617.403341636002</v>
      </c>
      <c r="K16" s="645">
        <f ca="1">IFERROR(EERR!X17/B16,0)</f>
        <v>-323.28686719579309</v>
      </c>
      <c r="L16" s="645">
        <f ca="1">IFERROR(EERR!Y17/B16,0)</f>
        <v>-83.167172413793111</v>
      </c>
      <c r="M16" s="645">
        <f ca="1">IFERROR(EERR!W17/B16,0)</f>
        <v>-6.2216681666206899</v>
      </c>
      <c r="N16" s="645">
        <f t="shared" ca="1" si="1"/>
        <v>-452.7926359555172</v>
      </c>
      <c r="O16" s="645">
        <f t="shared" ca="1" si="3"/>
        <v>319.57543026483575</v>
      </c>
      <c r="P16" s="674">
        <f ca="1">+EERR!AG17/Table15[[#This Row],[Drs. Activos]]</f>
        <v>585.00555713497351</v>
      </c>
    </row>
    <row r="17" spans="1:16">
      <c r="A17" s="648" t="s">
        <v>6033</v>
      </c>
      <c r="B17" s="648">
        <f>AVERAGE(B3:B16)</f>
        <v>79.142857142857139</v>
      </c>
      <c r="C17" s="648">
        <f t="shared" ref="C17:J17" si="4">AVERAGE(C3:C16)</f>
        <v>14</v>
      </c>
      <c r="D17" s="649">
        <f t="shared" ca="1" si="4"/>
        <v>89833.494137594287</v>
      </c>
      <c r="E17" s="649">
        <f t="shared" ca="1" si="4"/>
        <v>1488.0864150867296</v>
      </c>
      <c r="F17" s="649">
        <f t="shared" si="4"/>
        <v>-138.98338863081716</v>
      </c>
      <c r="G17" s="649">
        <f t="shared" si="4"/>
        <v>-109.6546306022409</v>
      </c>
      <c r="H17" s="649">
        <f t="shared" ca="1" si="4"/>
        <v>-24.847600757336483</v>
      </c>
      <c r="I17" s="649">
        <f t="shared" ca="1" si="4"/>
        <v>-273.48561999039453</v>
      </c>
      <c r="J17" s="649">
        <f t="shared" ca="1" si="4"/>
        <v>-3957.9064823490567</v>
      </c>
      <c r="K17" s="649">
        <f ca="1">AVERAGE(K3:K16)</f>
        <v>-577.38970230749408</v>
      </c>
      <c r="L17" s="649">
        <f t="shared" ref="L17" ca="1" si="5">AVERAGE(L3:L16)</f>
        <v>-281.4511946747711</v>
      </c>
      <c r="M17" s="649">
        <f t="shared" ref="M17" ca="1" si="6">AVERAGE(M3:M16)</f>
        <v>-43.366943618655853</v>
      </c>
      <c r="N17" s="649">
        <f ca="1">AVERAGE(N3:N16)</f>
        <v>-1175.6934605913154</v>
      </c>
      <c r="O17" s="675">
        <f ca="1">AVERAGE(O3:O16)</f>
        <v>312.39295449541436</v>
      </c>
      <c r="P17" s="675">
        <f ca="1">AVERAGE(P3:P16)</f>
        <v>970.3975322615006</v>
      </c>
    </row>
    <row r="18" spans="1:16">
      <c r="A18" s="39"/>
    </row>
    <row r="19" spans="1:16">
      <c r="A19" s="39"/>
    </row>
    <row r="20" spans="1:16">
      <c r="A20" s="39"/>
    </row>
  </sheetData>
  <mergeCells count="5">
    <mergeCell ref="A1:C1"/>
    <mergeCell ref="D1:E1"/>
    <mergeCell ref="F1:I1"/>
    <mergeCell ref="K1:M1"/>
    <mergeCell ref="N1:P1"/>
  </mergeCells>
  <pageMargins left="0.7" right="0.7" top="0.75" bottom="0.75" header="0.3" footer="0.3"/>
  <pageSetup orientation="portrait" horizontalDpi="0" verticalDpi="0"/>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A495B-1461-1E4A-93B6-814D0BDE79D8}">
  <dimension ref="A1:O149"/>
  <sheetViews>
    <sheetView topLeftCell="A116" zoomScale="69" zoomScaleNormal="89" workbookViewId="0">
      <selection activeCell="N139" sqref="N139"/>
    </sheetView>
  </sheetViews>
  <sheetFormatPr baseColWidth="10" defaultColWidth="11.5" defaultRowHeight="15"/>
  <cols>
    <col min="1" max="1" width="29.83203125" customWidth="1"/>
    <col min="2" max="2" width="44.33203125" bestFit="1" customWidth="1"/>
    <col min="3" max="7" width="15.5" bestFit="1" customWidth="1"/>
    <col min="8" max="8" width="12.5" customWidth="1"/>
    <col min="9" max="9" width="8.1640625" bestFit="1" customWidth="1"/>
    <col min="10" max="10" width="7" customWidth="1"/>
    <col min="11" max="11" width="6.33203125" customWidth="1"/>
    <col min="12" max="12" width="5.5" customWidth="1"/>
    <col min="16" max="16" width="12.5" bestFit="1" customWidth="1"/>
  </cols>
  <sheetData>
    <row r="1" spans="1:9" ht="19" customHeight="1">
      <c r="A1" s="735" t="s">
        <v>4531</v>
      </c>
      <c r="B1" s="735"/>
      <c r="C1" s="735"/>
      <c r="D1" s="735"/>
      <c r="E1" s="735"/>
      <c r="F1" s="735"/>
      <c r="G1" s="735"/>
      <c r="H1" s="735"/>
      <c r="I1" s="735"/>
    </row>
    <row r="2" spans="1:9" ht="19" customHeight="1">
      <c r="A2" s="735"/>
      <c r="B2" s="735"/>
      <c r="C2" s="735"/>
      <c r="D2" s="735"/>
      <c r="E2" s="735"/>
      <c r="F2" s="735"/>
      <c r="G2" s="735"/>
      <c r="H2" s="735"/>
      <c r="I2" s="735"/>
    </row>
    <row r="3" spans="1:9" ht="17" thickBot="1">
      <c r="A3" s="474" t="s">
        <v>4319</v>
      </c>
      <c r="B3" s="492" t="s">
        <v>4320</v>
      </c>
      <c r="C3" s="493"/>
      <c r="D3" s="493"/>
      <c r="E3" s="493"/>
      <c r="F3" s="493"/>
      <c r="G3" s="493"/>
      <c r="H3" s="493"/>
      <c r="I3" s="475"/>
    </row>
    <row r="4" spans="1:9">
      <c r="A4" s="431" t="s">
        <v>4321</v>
      </c>
      <c r="B4" s="432" t="s">
        <v>4322</v>
      </c>
      <c r="C4" s="432" t="s">
        <v>4323</v>
      </c>
      <c r="D4" s="432" t="s">
        <v>4324</v>
      </c>
      <c r="E4" s="432" t="s">
        <v>4325</v>
      </c>
      <c r="F4" s="432" t="s">
        <v>4326</v>
      </c>
      <c r="G4" s="432" t="s">
        <v>4327</v>
      </c>
      <c r="H4" s="432" t="s">
        <v>4328</v>
      </c>
      <c r="I4" s="433" t="s">
        <v>68</v>
      </c>
    </row>
    <row r="5" spans="1:9">
      <c r="A5" s="376" t="s">
        <v>4329</v>
      </c>
      <c r="B5" s="355" t="s">
        <v>4330</v>
      </c>
      <c r="C5" s="369">
        <f>SUMIFS('CALENDARIO INGRESOS'!$I:$I,'CALENDARIO INGRESOS'!$L:$L,"PAGADA",'CALENDARIO INGRESOS'!$G:$G,"&gt;="&amp;DATE(2026,1,1),'CALENDARIO INGRESOS'!$G:$G,"&lt;="&amp;DATE(2026,1,7))/SUMIFS('CALENDARIO INGRESOS'!$I:$I,'CALENDARIO INGRESOS'!$G:$G,"&gt;="&amp;DATE(2026,1,1),'CALENDARIO INGRESOS'!$G:$G,"&lt;="&amp;DATE(2026,1,7))</f>
        <v>1</v>
      </c>
      <c r="D5" s="369">
        <f>SUMIFS('CALENDARIO INGRESOS'!$I:$I,'CALENDARIO INGRESOS'!$L:$L,"PAGADA",'CALENDARIO INGRESOS'!$G:$G,"&gt;="&amp;DATE(2026,1,8),'CALENDARIO INGRESOS'!$G:$G,"&lt;="&amp;DATE(2026,1,14))/SUMIFS('CALENDARIO INGRESOS'!$I:$I,'CALENDARIO INGRESOS'!$G:$G,"&gt;="&amp;DATE(2026,1,8),'CALENDARIO INGRESOS'!$G:$G,"&lt;="&amp;DATE(2026,1,14))</f>
        <v>1</v>
      </c>
      <c r="E5" s="369">
        <f>SUMIFS('CALENDARIO INGRESOS'!$I:$I,'CALENDARIO INGRESOS'!$L:$L,"PAGADA",'CALENDARIO INGRESOS'!$G:$G,"&gt;="&amp;DATE(2026,1,15),'CALENDARIO INGRESOS'!$G:$G,"&lt;="&amp;DATE(2026,1,21))/SUMIFS('CALENDARIO INGRESOS'!$I:$I,'CALENDARIO INGRESOS'!$G:$G,"&gt;="&amp;DATE(2026,1,15),'CALENDARIO INGRESOS'!$G:$G,"&lt;="&amp;DATE(2026,1,21))</f>
        <v>1</v>
      </c>
      <c r="F5" s="369">
        <f>SUMIFS('CALENDARIO INGRESOS'!$I:$I,'CALENDARIO INGRESOS'!$L:$L,"PAGADA",'CALENDARIO INGRESOS'!$G:$G,"&gt;="&amp;DATE(2026,1,22),'CALENDARIO INGRESOS'!$G:$G,"&lt;="&amp;DATE(2026,1,31))/SUMIFS('CALENDARIO INGRESOS'!$I:$I,'CALENDARIO INGRESOS'!$G:$G,"&gt;="&amp;DATE(2026,1,22),'CALENDARIO INGRESOS'!$G:$G,"&lt;="&amp;DATE(2026,1,31))</f>
        <v>0.96023135892766975</v>
      </c>
      <c r="G5" s="435">
        <f>SUMIFS('CALENDARIO INGRESOS'!$I:$I,'CALENDARIO INGRESOS'!$L:$L,"PAGADA",'CALENDARIO INGRESOS'!$G:$G,"&gt;="&amp;DATE(2026,1,1),'CALENDARIO INGRESOS'!$G:$G,"&lt;="&amp;DATE(2026,1,31))/SUMIFS('CALENDARIO INGRESOS'!$I:$I,'CALENDARIO INGRESOS'!$G:$G,"&gt;="&amp;DATE(2026,1,1),'CALENDARIO INGRESOS'!$G:$G,"&lt;="&amp;DATE(2026,1,31))</f>
        <v>0.98148587834049916</v>
      </c>
      <c r="H5" s="370" t="s">
        <v>125</v>
      </c>
      <c r="I5" s="356" t="str">
        <f>IF(G5&gt;=0.9,"✓","✗")</f>
        <v>✓</v>
      </c>
    </row>
    <row r="6" spans="1:9">
      <c r="A6" s="376" t="s">
        <v>4331</v>
      </c>
      <c r="B6" s="382" t="s">
        <v>4515</v>
      </c>
      <c r="C6" s="371">
        <f>SUMIFS(INGRESOS!$G:$G,INGRESOS!$A:$A,"&gt;="&amp;DATE(2026,1,1),INGRESOS!$A:$A,"&lt;="&amp;DATE(2026,1,7))</f>
        <v>35170.376908312704</v>
      </c>
      <c r="D6" s="371">
        <f>SUMIFS(INGRESOS!$G:$G,INGRESOS!$A:$A,"&gt;="&amp;DATE(2026,1,8),INGRESOS!$A:$A,"&lt;="&amp;DATE(2026,1,14))</f>
        <v>29375.224908487275</v>
      </c>
      <c r="E6" s="372">
        <f>SUMIFS(INGRESOS!$G:$G,INGRESOS!$A:$A,"&gt;="&amp;DATE(2026,1,15),INGRESOS!$A:$A,"&lt;="&amp;DATE(2026,1,21))</f>
        <v>14804</v>
      </c>
      <c r="F6" s="372">
        <f>SUMIFS(INGRESOS!$G:$G,INGRESOS!$A:$A,"&gt;="&amp;DATE(2026,1,22),INGRESOS!$A:$A,"&lt;="&amp;DATE(2026,1,31))</f>
        <v>61522.374851114517</v>
      </c>
      <c r="G6" s="436">
        <f>SUMIFS(INGRESOS!$G:$G,INGRESOS!$A:$A,"&gt;="&amp;DATE(2026,1,1),INGRESOS!$A:$A,"&lt;="&amp;DATE(2026,1,31))</f>
        <v>140871.97666791451</v>
      </c>
      <c r="H6" s="369">
        <f>G6/120000</f>
        <v>1.1739331388992875</v>
      </c>
      <c r="I6" s="356" t="str">
        <f>IF(G6&gt;=120000,"✓","✗")</f>
        <v>✓</v>
      </c>
    </row>
    <row r="7" spans="1:9">
      <c r="A7" s="376" t="s">
        <v>4332</v>
      </c>
      <c r="B7" s="355" t="s">
        <v>4333</v>
      </c>
      <c r="C7" s="369">
        <f>COUNTIFS('CALENDARIO INGRESOS'!$L:$L,"PAGADA",'CALENDARIO INGRESOS'!$M:$M,"&lt;=0",'CALENDARIO INGRESOS'!$G:$G,"&gt;="&amp;DATE(2026,1,1),'CALENDARIO INGRESOS'!$G:$G,"&lt;="&amp;DATE(2026,1,7))/COUNTIFS('CALENDARIO INGRESOS'!$L:$L,"PAGADA",'CALENDARIO INGRESOS'!$G:$G,"&gt;="&amp;DATE(2026,1,1),'CALENDARIO INGRESOS'!$G:$G,"&lt;="&amp;DATE(2026,1,7))</f>
        <v>0.72972972972972971</v>
      </c>
      <c r="D7" s="369">
        <f>COUNTIFS('CALENDARIO INGRESOS'!$L:$L,"PAGADA",'CALENDARIO INGRESOS'!$M:$M,"&lt;=0",'CALENDARIO INGRESOS'!$G:$G,"&gt;="&amp;DATE(2026,1,8),'CALENDARIO INGRESOS'!$G:$G,"&lt;="&amp;DATE(2026,1,14))/COUNTIFS('CALENDARIO INGRESOS'!$L:$L,"PAGADA",'CALENDARIO INGRESOS'!$G:$G,"&gt;="&amp;DATE(2026,1,8),'CALENDARIO INGRESOS'!$G:$G,"&lt;="&amp;DATE(2026,1,14))</f>
        <v>0.7857142857142857</v>
      </c>
      <c r="E7" s="369">
        <f>COUNTIFS('CALENDARIO INGRESOS'!$L:$L,"PAGADA",'CALENDARIO INGRESOS'!$M:$M,"&lt;=0",'CALENDARIO INGRESOS'!$G:$G,"&gt;="&amp;DATE(2026,1,15),'CALENDARIO INGRESOS'!$G:$G,"&lt;="&amp;DATE(2026,1,21))/COUNTIFS('CALENDARIO INGRESOS'!$L:$L,"PAGADA",'CALENDARIO INGRESOS'!$G:$G,"&gt;="&amp;DATE(2026,1,15),'CALENDARIO INGRESOS'!$G:$G,"&lt;="&amp;DATE(2026,1,21))</f>
        <v>0.63636363636363635</v>
      </c>
      <c r="F7" s="369">
        <f>COUNTIFS('CALENDARIO INGRESOS'!$L:$L,"PAGADA",'CALENDARIO INGRESOS'!$M:$M,"&lt;=0",'CALENDARIO INGRESOS'!$G:$G,"&gt;="&amp;DATE(2026,1,22),'CALENDARIO INGRESOS'!$G:$G,"&lt;="&amp;DATE(2026,1,31))/COUNTIFS('CALENDARIO INGRESOS'!$L:$L,"PAGADA",'CALENDARIO INGRESOS'!$G:$G,"&gt;="&amp;DATE(2026,1,22),'CALENDARIO INGRESOS'!$G:$G,"&lt;="&amp;DATE(2026,1,31))</f>
        <v>0.57999999999999996</v>
      </c>
      <c r="G7" s="435">
        <f>COUNTIFS('CALENDARIO INGRESOS'!$L:$L,"PAGADA",'CALENDARIO INGRESOS'!$M:$M,"&lt;=0",'CALENDARIO INGRESOS'!$G:$G,"&gt;="&amp;DATE(2026,1,1),'CALENDARIO INGRESOS'!$G:$G,"&lt;="&amp;DATE(2026,1,31))/COUNTIFS('CALENDARIO INGRESOS'!$L:$L,"PAGADA",'CALENDARIO INGRESOS'!$G:$G,"&gt;="&amp;DATE(2026,1,1),'CALENDARIO INGRESOS'!$G:$G,"&lt;="&amp;DATE(2026,1,31))</f>
        <v>0.65853658536585369</v>
      </c>
      <c r="H7" s="369">
        <f>G7/0.95</f>
        <v>0.69319640564826712</v>
      </c>
      <c r="I7" s="356" t="str">
        <f>IF(G7&gt;=0.95,"✓","✗")</f>
        <v>✗</v>
      </c>
    </row>
    <row r="8" spans="1:9">
      <c r="A8" s="376" t="s">
        <v>4522</v>
      </c>
      <c r="B8" s="382" t="s">
        <v>4523</v>
      </c>
      <c r="C8" s="381">
        <f>SUMIFS('CALENDARIO INGRESOS'!M:M,'CALENDARIO INGRESOS'!M:M,"&lt;0",'CALENDARIO INGRESOS'!G:G,"&gt;="&amp;DATE(2026,1,1),'CALENDARIO INGRESOS'!G:G,"&lt;="&amp;DATE(2026,1,7))/COUNTIFS('CALENDARIO INGRESOS'!M:M,"&lt;0",'CALENDARIO INGRESOS'!G:G,"&gt;="&amp;DATE(2026,1,1),'CALENDARIO INGRESOS'!G:G,"&lt;="&amp;DATE(2026,1,7))</f>
        <v>-1.5454545454545454</v>
      </c>
      <c r="D8" s="381">
        <f>SUMIFS('CALENDARIO INGRESOS'!M:M,'CALENDARIO INGRESOS'!M:M,"&lt;0",'CALENDARIO INGRESOS'!G:G,"&gt;="&amp;DATE(2026,1,8),'CALENDARIO INGRESOS'!G:G,"&lt;="&amp;DATE(2026,1,14))/COUNTIFS('CALENDARIO INGRESOS'!M:M,"&lt;0",'CALENDARIO INGRESOS'!G:G,"&gt;="&amp;DATE(2026,1,8),'CALENDARIO INGRESOS'!G:G,"&lt;="&amp;DATE(2026,1,14))</f>
        <v>-6.6</v>
      </c>
      <c r="E8" s="381">
        <f>SUMIFS('CALENDARIO INGRESOS'!M:M,'CALENDARIO INGRESOS'!M:M,"&lt;0",'CALENDARIO INGRESOS'!G:G,"&gt;="&amp;DATE(2026,1,15),'CALENDARIO INGRESOS'!G:G,"&lt;="&amp;DATE(2026,1,21))/COUNTIFS('CALENDARIO INGRESOS'!M:M,"&lt;0",'CALENDARIO INGRESOS'!G:G,"&gt;="&amp;DATE(2026,1,15),'CALENDARIO INGRESOS'!G:G,"&lt;="&amp;DATE(2026,1,21))</f>
        <v>-2.8333333333333335</v>
      </c>
      <c r="F8" s="381">
        <f>SUMIFS('CALENDARIO INGRESOS'!M:M,'CALENDARIO INGRESOS'!M:M,"&lt;0",'CALENDARIO INGRESOS'!G:G,"&gt;="&amp;DATE(2026,1,22),'CALENDARIO INGRESOS'!G:G,"&lt;="&amp;DATE(2026,1,31))/COUNTIFS('CALENDARIO INGRESOS'!M:M,"&lt;0",'CALENDARIO INGRESOS'!G:G,"&gt;="&amp;DATE(2026,1,22),'CALENDARIO INGRESOS'!G:G,"&lt;="&amp;DATE(2026,1,31))</f>
        <v>-2.0714285714285716</v>
      </c>
      <c r="G8" s="437">
        <f>SUMIFS('CALENDARIO INGRESOS'!M:M,'CALENDARIO INGRESOS'!M:M,"&lt;0",'CALENDARIO INGRESOS'!G:G,"&gt;="&amp;DATE(2026,1,1),'CALENDARIO INGRESOS'!G:G,"&lt;="&amp;DATE(2026,1,31))/COUNTIFS('CALENDARIO INGRESOS'!M:M,"&lt;0",'CALENDARIO INGRESOS'!G:G,"&gt;="&amp;DATE(2026,1,1),'CALENDARIO INGRESOS'!G:G,"&lt;="&amp;DATE(2026,1,31))</f>
        <v>-2.6666666666666665</v>
      </c>
      <c r="H8" s="369"/>
      <c r="I8" s="356" t="str">
        <f>IF(G8&gt;=-2,"✓","✗")</f>
        <v>✗</v>
      </c>
    </row>
    <row r="9" spans="1:9" ht="16" thickBot="1">
      <c r="A9" s="377" t="s">
        <v>4516</v>
      </c>
      <c r="B9" s="357" t="s">
        <v>4334</v>
      </c>
      <c r="C9" s="375">
        <f>COUNTIFS('CALENDARIO INGRESOS'!$M:$M,"&gt;15",'CALENDARIO INGRESOS'!$G:$G,"&gt;="&amp;DATE(2026,1,1),'CALENDARIO INGRESOS'!$G:$G,"&lt;="&amp;DATE(2026,1,7))/COUNTIFS('CALENDARIO INGRESOS'!$G:$G,"&gt;="&amp;DATE(2026,1,1),'CALENDARIO INGRESOS'!$G:$G,"&lt;="&amp;DATE(2026,1,7))</f>
        <v>2.7027027027027029E-2</v>
      </c>
      <c r="D9" s="374">
        <f>COUNTIFS('CALENDARIO INGRESOS'!$M:$M,"&gt;15",'CALENDARIO INGRESOS'!$G:$G,"&gt;="&amp;DATE(2026,1,8),'CALENDARIO INGRESOS'!$G:$G,"&lt;="&amp;DATE(2026,1,14))/COUNTIFS('CALENDARIO INGRESOS'!$G:$G,"&gt;="&amp;DATE(2026,1,8),'CALENDARIO INGRESOS'!$G:$G,"&lt;="&amp;DATE(2026,1,14))</f>
        <v>0</v>
      </c>
      <c r="E9" s="374">
        <f>COUNTIFS('CALENDARIO INGRESOS'!$M:$M,"&gt;15",'CALENDARIO INGRESOS'!$G:$G,"&gt;="&amp;DATE(2026,1,15),'CALENDARIO INGRESOS'!$G:$G,"&lt;="&amp;DATE(2026,1,21))/COUNTIFS('CALENDARIO INGRESOS'!$G:$G,"&gt;="&amp;DATE(2026,1,15),'CALENDARIO INGRESOS'!$G:$G,"&lt;="&amp;DATE(2026,1,21))</f>
        <v>4.5454545454545456E-2</v>
      </c>
      <c r="F9" s="374">
        <f>COUNTIFS('CALENDARIO INGRESOS'!$M:$M,"&gt;15",'CALENDARIO INGRESOS'!$G:$G,"&gt;="&amp;DATE(2026,1,22),'CALENDARIO INGRESOS'!$G:$G,"&lt;="&amp;DATE(2026,1,31))/COUNTIFS('CALENDARIO INGRESOS'!$G:$G,"&gt;="&amp;DATE(2026,1,22),'CALENDARIO INGRESOS'!$G:$G,"&lt;="&amp;DATE(2026,1,31))</f>
        <v>0</v>
      </c>
      <c r="G9" s="438">
        <f>COUNTIFS('CALENDARIO INGRESOS'!$M:$M,"&gt;30",'CALENDARIO INGRESOS'!$G:$G,"&gt;="&amp;DATE(2026,1,1),'CALENDARIO INGRESOS'!$G:$G,"&lt;="&amp;DATE(2026,1,31))/COUNTIFS('CALENDARIO INGRESOS'!$G:$G,"&gt;="&amp;DATE(2026,1,1),'CALENDARIO INGRESOS'!$G:$G,"&lt;="&amp;DATE(2026,1,31))</f>
        <v>7.9365079365079361E-3</v>
      </c>
      <c r="H9" s="373" t="s">
        <v>125</v>
      </c>
      <c r="I9" s="358" t="str">
        <f>IF(G9&lt;=0.15,"✓","✗")</f>
        <v>✓</v>
      </c>
    </row>
    <row r="10" spans="1:9">
      <c r="A10" s="476"/>
      <c r="B10" s="493"/>
      <c r="C10" s="493"/>
      <c r="D10" s="493"/>
      <c r="E10" s="493"/>
      <c r="F10" s="493"/>
      <c r="G10" s="493"/>
      <c r="H10" s="493"/>
      <c r="I10" s="475"/>
    </row>
    <row r="11" spans="1:9" ht="17" thickBot="1">
      <c r="A11" s="474" t="s">
        <v>4335</v>
      </c>
      <c r="B11" s="492" t="s">
        <v>4320</v>
      </c>
      <c r="C11" s="493"/>
      <c r="D11" s="493"/>
      <c r="E11" s="493"/>
      <c r="F11" s="493"/>
      <c r="G11" s="493"/>
      <c r="H11" s="493"/>
      <c r="I11" s="475"/>
    </row>
    <row r="12" spans="1:9">
      <c r="A12" s="431" t="s">
        <v>4321</v>
      </c>
      <c r="B12" s="432" t="s">
        <v>4322</v>
      </c>
      <c r="C12" s="432" t="s">
        <v>4323</v>
      </c>
      <c r="D12" s="432" t="s">
        <v>4324</v>
      </c>
      <c r="E12" s="432" t="s">
        <v>4325</v>
      </c>
      <c r="F12" s="432" t="s">
        <v>4326</v>
      </c>
      <c r="G12" s="432" t="s">
        <v>4327</v>
      </c>
      <c r="H12" s="432" t="s">
        <v>4328</v>
      </c>
      <c r="I12" s="433" t="s">
        <v>68</v>
      </c>
    </row>
    <row r="13" spans="1:9">
      <c r="A13" s="376" t="s">
        <v>4336</v>
      </c>
      <c r="B13" s="355" t="s">
        <v>4337</v>
      </c>
      <c r="C13" s="381">
        <f>COUNTIFS('RESUMEN CLIENTES'!G:G,"&lt;="&amp;DATE(2026,1,7),'RESUMEN CLIENTES'!M:M,"OK")+COUNTIFS('RESUMEN CLIENTES'!G:G,"&lt;="&amp;DATE(2026,1,7),'RESUMEN CLIENTES'!M:M,"¡REGULARIZAR!")+COUNTIFS('RESUMEN CLIENTES'!G:G,"&lt;="&amp;DATE(2026,1,7),'RESUMEN CLIENTES'!M:M,"EVALUACION")</f>
        <v>127</v>
      </c>
      <c r="D13" s="381">
        <f>COUNTIFS('RESUMEN CLIENTES'!G:G,"&lt;="&amp;DATE(2026,1,14),'RESUMEN CLIENTES'!M:M,"OK")+COUNTIFS('RESUMEN CLIENTES'!G:G,"&lt;="&amp;DATE(2026,1,14),'RESUMEN CLIENTES'!M:M,"¡REGULARIZAR!")+COUNTIFS('RESUMEN CLIENTES'!G:G,"&lt;="&amp;DATE(2026,1,14),'RESUMEN CLIENTES'!M:M,"EVALUACION")</f>
        <v>130</v>
      </c>
      <c r="E13" s="381">
        <f>COUNTIFS('RESUMEN CLIENTES'!G:G,"&lt;="&amp;DATE(2026,1,21),'RESUMEN CLIENTES'!M:M,"OK")+COUNTIFS('RESUMEN CLIENTES'!G:G,"&lt;="&amp;DATE(2026,1,21),'RESUMEN CLIENTES'!M:M,"¡REGULARIZAR!")+COUNTIFS('RESUMEN CLIENTES'!G:G,"&lt;="&amp;DATE(2026,1,21),'RESUMEN CLIENTES'!M:M,"EVALUACION")</f>
        <v>134</v>
      </c>
      <c r="F13" s="381">
        <f>COUNTIFS('RESUMEN CLIENTES'!G:G,"&lt;="&amp;DATE(2026,1,31),'RESUMEN CLIENTES'!M:M,"OK")+COUNTIFS('RESUMEN CLIENTES'!G:G,"&lt;="&amp;DATE(2026,1,31),'RESUMEN CLIENTES'!M:M,"¡REGULARIZAR!")+COUNTIFS('RESUMEN CLIENTES'!G:G,"&lt;="&amp;DATE(2026,1,31),'RESUMEN CLIENTES'!M:M,"EVALUACION")</f>
        <v>140</v>
      </c>
      <c r="G13" s="437">
        <f>+F13</f>
        <v>140</v>
      </c>
      <c r="H13" s="355" t="s">
        <v>125</v>
      </c>
      <c r="I13" s="356" t="str">
        <f>IF(G13&gt;=140,"✓","✗")</f>
        <v>✓</v>
      </c>
    </row>
    <row r="14" spans="1:9">
      <c r="A14" s="376" t="s">
        <v>4338</v>
      </c>
      <c r="B14" s="382" t="s">
        <v>4517</v>
      </c>
      <c r="C14" s="381">
        <f>COUNTIFS('RESUMEN CLIENTES'!$G:$G,"&gt;="&amp;DATE(2026,1,1),'RESUMEN CLIENTES'!$G:$G,"&lt;="&amp;DATE(2026,1,7))</f>
        <v>1</v>
      </c>
      <c r="D14" s="382">
        <f>COUNTIFS('RESUMEN CLIENTES'!$G:$G,"&gt;="&amp;DATE(2026,1,8),'RESUMEN CLIENTES'!$G:$G,"&lt;="&amp;DATE(2026,1,14))</f>
        <v>3</v>
      </c>
      <c r="E14" s="355">
        <f>COUNTIFS('RESUMEN CLIENTES'!$G:$G,"&gt;="&amp;DATE(2026,1,15),'RESUMEN CLIENTES'!$G:$G,"&lt;="&amp;DATE(2026,1,21))</f>
        <v>4</v>
      </c>
      <c r="F14" s="355">
        <f>COUNTIFS('RESUMEN CLIENTES'!$G:$G,"&gt;="&amp;DATE(2026,1,22),'RESUMEN CLIENTES'!$G:$G,"&lt;="&amp;DATE(2026,1,31))</f>
        <v>7</v>
      </c>
      <c r="G14" s="439">
        <f>COUNTIFS('RESUMEN CLIENTES'!$G:$G,"&gt;="&amp;DATE(2026,1,1),'RESUMEN CLIENTES'!$G:$G,"&lt;="&amp;DATE(2026,1,31))</f>
        <v>15</v>
      </c>
      <c r="H14" s="369">
        <f>G14/20</f>
        <v>0.75</v>
      </c>
      <c r="I14" s="356" t="str">
        <f>IF(G14&gt;=20,"✓","✗")</f>
        <v>✗</v>
      </c>
    </row>
    <row r="15" spans="1:9">
      <c r="A15" s="376" t="s">
        <v>4339</v>
      </c>
      <c r="B15" s="382" t="s">
        <v>4340</v>
      </c>
      <c r="C15" s="381">
        <f>(COUNTIFS('RESUMEN CLIENTES'!J:J,"&gt;="&amp;DATE(2026,1,1),'RESUMEN CLIENTES'!J:J,"&lt;="&amp;DATE(2026,1,7),'RESUMEN CLIENTES'!M:M,"ELIMINADO")+COUNTIFS('RESUMEN CLIENTES'!J:J,"&gt;="&amp;DATE(2026,1,1),'RESUMEN CLIENTES'!J:J,"&lt;="&amp;DATE(2026,1,7),'RESUMEN CLIENTES'!M:M,"SUSPENDIDO")+COUNTIFS('RESUMEN CLIENTES'!J:J,"&gt;="&amp;DATE(2026,1,1),'RESUMEN CLIENTES'!J:J,"&lt;="&amp;DATE(2026,1,7),'RESUMEN CLIENTES'!M:M,"EN PAUSA"))/C13</f>
        <v>0</v>
      </c>
      <c r="D15" s="381">
        <f>(COUNTIFS('RESUMEN CLIENTES'!J:J,"&gt;="&amp;DATE(2026,1,8),'RESUMEN CLIENTES'!J:J,"&lt;="&amp;DATE(2026,1,14),'RESUMEN CLIENTES'!M:M,"ELIMINADO")+COUNTIFS('RESUMEN CLIENTES'!J:J,"&gt;="&amp;DATE(2026,1,8),'RESUMEN CLIENTES'!J:J,"&lt;="&amp;DATE(2026,1,14),'RESUMEN CLIENTES'!M:M,"SUSPENDIDO")+COUNTIFS('RESUMEN CLIENTES'!J:J,"&gt;="&amp;DATE(2026,1,8),'RESUMEN CLIENTES'!J:J,"&lt;="&amp;DATE(2026,1,14),'RESUMEN CLIENTES'!M:M,"EN PAUSA"))/D13</f>
        <v>0</v>
      </c>
      <c r="E15" s="381">
        <f>(COUNTIFS('RESUMEN CLIENTES'!J:J,"&gt;="&amp;DATE(2026,1,15),'RESUMEN CLIENTES'!J:J,"&lt;="&amp;DATE(2026,1,21),'RESUMEN CLIENTES'!M:M,"ELIMINADO")+COUNTIFS('RESUMEN CLIENTES'!J:J,"&gt;="&amp;DATE(2026,1,15),'RESUMEN CLIENTES'!J:J,"&lt;="&amp;DATE(2026,1,21),'RESUMEN CLIENTES'!M:M,"SUSPENDIDO")+COUNTIFS('RESUMEN CLIENTES'!J:J,"&gt;="&amp;DATE(2026,1,15),'RESUMEN CLIENTES'!J:J,"&lt;="&amp;DATE(2026,1,21),'RESUMEN CLIENTES'!M:M,"EN PAUSA"))/E13</f>
        <v>0</v>
      </c>
      <c r="F15" s="381">
        <f>(COUNTIFS('RESUMEN CLIENTES'!J:J,"&gt;="&amp;DATE(2026,1,22),'RESUMEN CLIENTES'!J:J,"&lt;="&amp;DATE(2026,1,31),'RESUMEN CLIENTES'!M:M,"ELIMINADO")+COUNTIFS('RESUMEN CLIENTES'!J:J,"&gt;="&amp;DATE(2026,1,22),'RESUMEN CLIENTES'!J:J,"&lt;="&amp;DATE(2026,1,31),'RESUMEN CLIENTES'!M:M,"SUSPENDIDO")+COUNTIFS('RESUMEN CLIENTES'!J:J,"&gt;="&amp;DATE(2026,1,22),'RESUMEN CLIENTES'!J:J,"&lt;="&amp;DATE(2026,1,31),'RESUMEN CLIENTES'!M:M,"EN PAUSA"))/F13</f>
        <v>7.1428571428571426E-3</v>
      </c>
      <c r="G15" s="435">
        <f>(COUNTIFS('RESUMEN CLIENTES'!J:J,"&gt;="&amp;DATE(2026,1,1),'RESUMEN CLIENTES'!J:J,"&lt;="&amp;DATE(2026,1,31),'RESUMEN CLIENTES'!M:M,"ELIMINADO")+COUNTIFS('RESUMEN CLIENTES'!J:J,"&gt;="&amp;DATE(2026,1,1),'RESUMEN CLIENTES'!J:J,"&lt;="&amp;DATE(2026,1,31),'RESUMEN CLIENTES'!M:M,"SUSPENDIDO")+COUNTIFS('RESUMEN CLIENTES'!J:J,"&gt;="&amp;DATE(2026,1,1),'RESUMEN CLIENTES'!J:J,"&lt;="&amp;DATE(2026,1,31),'RESUMEN CLIENTES'!M:M,"EN PAUSA"))/G13</f>
        <v>7.1428571428571426E-3</v>
      </c>
      <c r="H15" s="369" t="s">
        <v>125</v>
      </c>
      <c r="I15" s="356" t="str">
        <f>IF(G15&lt;=0.05,"✓","✗")</f>
        <v>✓</v>
      </c>
    </row>
    <row r="16" spans="1:9">
      <c r="A16" s="376" t="s">
        <v>4341</v>
      </c>
      <c r="B16" s="355" t="s">
        <v>4330</v>
      </c>
      <c r="C16" s="472">
        <f>COUNTIFS('RESUMEN CLIENTES'!$G:$G,"&lt;="&amp;DATE(2026,1,7),'RESUMEN CLIENTES'!$M:$M,"OK")/C13</f>
        <v>0.93700787401574803</v>
      </c>
      <c r="D16" s="472">
        <f>COUNTIFS('RESUMEN CLIENTES'!$G:$G,"&lt;="&amp;DATE(2026,1,14),'RESUMEN CLIENTES'!$M:$M,"OK")/D13</f>
        <v>0.93076923076923079</v>
      </c>
      <c r="E16" s="472">
        <f>COUNTIFS('RESUMEN CLIENTES'!$G:$G,"&lt;="&amp;DATE(2026,1,21),'RESUMEN CLIENTES'!$M:$M,"OK")/E13</f>
        <v>0.92537313432835822</v>
      </c>
      <c r="F16" s="472">
        <f>COUNTIFS('RESUMEN CLIENTES'!$G:$G,"&lt;="&amp;DATE(2026,1,31),'RESUMEN CLIENTES'!$M:$M,"OK")/F13</f>
        <v>0.91428571428571426</v>
      </c>
      <c r="G16" s="435">
        <f>COUNTIFS('RESUMEN CLIENTES'!$G:$G,"&lt;="&amp;DATE(2026,1,31),'RESUMEN CLIENTES'!$M:$M,"OK")/G13</f>
        <v>0.91428571428571426</v>
      </c>
      <c r="H16" s="369">
        <f>G16/0.9</f>
        <v>1.0158730158730158</v>
      </c>
      <c r="I16" s="356" t="str">
        <f>IF(G16&gt;=0.9,"✓","✗")</f>
        <v>✓</v>
      </c>
    </row>
    <row r="17" spans="1:9" ht="16" thickBot="1">
      <c r="A17" s="377" t="s">
        <v>4342</v>
      </c>
      <c r="B17" s="357" t="s">
        <v>4343</v>
      </c>
      <c r="C17" s="473">
        <f>COUNTIFS('RESUMEN CLIENTES'!$G:$G,"&lt;="&amp;DATE(2026,1,7),'RESUMEN CLIENTES'!$M:$M,"OK",'RESUMEN CLIENTES'!$W:$W,1)/COUNTIFS('RESUMEN CLIENTES'!$G:$G,"&lt;="&amp;DATE(2026,1,7),'RESUMEN CLIENTES'!$M:$M,"OK")</f>
        <v>0.52100840336134457</v>
      </c>
      <c r="D17" s="473">
        <f>COUNTIFS('RESUMEN CLIENTES'!$G:$G,"&lt;="&amp;DATE(2026,1,14),'RESUMEN CLIENTES'!$M:$M,"OK",'RESUMEN CLIENTES'!$W:$W,1)/COUNTIFS('RESUMEN CLIENTES'!$G:$G,"&lt;="&amp;DATE(2026,1,14),'RESUMEN CLIENTES'!$M:$M,"OK")</f>
        <v>0.52066115702479343</v>
      </c>
      <c r="E17" s="473">
        <f>COUNTIFS('RESUMEN CLIENTES'!$G:$G,"&lt;="&amp;DATE(2026,1,21),'RESUMEN CLIENTES'!$M:$M,"OK",'RESUMEN CLIENTES'!$W:$W,1)/COUNTIFS('RESUMEN CLIENTES'!$G:$G,"&lt;="&amp;DATE(2026,1,21),'RESUMEN CLIENTES'!$M:$M,"OK")</f>
        <v>0.5161290322580645</v>
      </c>
      <c r="F17" s="473">
        <f>COUNTIFS('RESUMEN CLIENTES'!$G:$G,"&lt;="&amp;DATE(2026,1,31),'RESUMEN CLIENTES'!$M:$M,"OK",'RESUMEN CLIENTES'!$W:$W,1)/COUNTIFS('RESUMEN CLIENTES'!$G:$G,"&lt;="&amp;DATE(2026,1,31),'RESUMEN CLIENTES'!$M:$M,"OK")</f>
        <v>0.515625</v>
      </c>
      <c r="G17" s="435">
        <f>COUNTIFS('RESUMEN CLIENTES'!$G:$G,"&lt;="&amp;DATE(2026,1,31),'RESUMEN CLIENTES'!$M:$M,"OK",'RESUMEN CLIENTES'!$W:$W,1)/COUNTIFS('RESUMEN CLIENTES'!$G:$G,"&lt;="&amp;DATE(2026,1,31),'RESUMEN CLIENTES'!$M:$M,"OK")</f>
        <v>0.515625</v>
      </c>
      <c r="H17" s="375">
        <f>G17/0.7</f>
        <v>0.7366071428571429</v>
      </c>
      <c r="I17" s="358" t="str">
        <f>IF(G17&gt;=0.7,"✓","✗")</f>
        <v>✗</v>
      </c>
    </row>
    <row r="18" spans="1:9">
      <c r="A18" s="476"/>
      <c r="B18" s="493"/>
      <c r="C18" s="493"/>
      <c r="D18" s="493"/>
      <c r="E18" s="493"/>
      <c r="F18" s="493"/>
      <c r="G18" s="493"/>
      <c r="H18" s="493"/>
      <c r="I18" s="475"/>
    </row>
    <row r="19" spans="1:9" ht="17" thickBot="1">
      <c r="A19" s="474" t="s">
        <v>4344</v>
      </c>
      <c r="B19" s="492" t="s">
        <v>4345</v>
      </c>
      <c r="C19" s="493"/>
      <c r="D19" s="493"/>
      <c r="E19" s="493"/>
      <c r="F19" s="493"/>
      <c r="G19" s="493"/>
      <c r="H19" s="493"/>
      <c r="I19" s="475"/>
    </row>
    <row r="20" spans="1:9">
      <c r="A20" s="431" t="s">
        <v>4321</v>
      </c>
      <c r="B20" s="432" t="s">
        <v>4322</v>
      </c>
      <c r="C20" s="432" t="s">
        <v>4323</v>
      </c>
      <c r="D20" s="432" t="s">
        <v>4324</v>
      </c>
      <c r="E20" s="432" t="s">
        <v>4325</v>
      </c>
      <c r="F20" s="432" t="s">
        <v>4326</v>
      </c>
      <c r="G20" s="432" t="s">
        <v>4327</v>
      </c>
      <c r="H20" s="432" t="s">
        <v>4328</v>
      </c>
      <c r="I20" s="433" t="s">
        <v>68</v>
      </c>
    </row>
    <row r="21" spans="1:9">
      <c r="A21" s="379" t="s">
        <v>4346</v>
      </c>
      <c r="B21" s="362" t="s">
        <v>4347</v>
      </c>
      <c r="C21" s="363">
        <f ca="1">SUMIFS(INGRESOS!$J:$J,INGRESOS!$A:$A,"&gt;="&amp;DATE(2026,1,1),INGRESOS!$A:$A,"&lt;="&amp;MIN(TODAY(),DATE(2026,1,7)))</f>
        <v>34007.379217262976</v>
      </c>
      <c r="D21" s="363">
        <f ca="1">SUMIFS(INGRESOS!$J:$J,INGRESOS!$A:$A,"&gt;="&amp;DATE(2026,1,8),INGRESOS!$A:$A,"&lt;="&amp;MIN(TODAY(),DATE(2026,1,14)))</f>
        <v>28446.479082318889</v>
      </c>
      <c r="E21" s="363">
        <f ca="1">SUMIFS(INGRESOS!$J:$J,INGRESOS!$A:$A,"&gt;="&amp;DATE(2026,1,15),INGRESOS!$A:$A,"&lt;="&amp;MIN(TODAY(),DATE(2026,1,21)))</f>
        <v>14351.080000000002</v>
      </c>
      <c r="F21" s="363">
        <f ca="1">SUMIFS(INGRESOS!$J:$J,INGRESOS!$A:$A,"&gt;="&amp;DATE(2026,1,22),INGRESOS!$A:$A,"&lt;="&amp;MIN(TODAY(),DATE(2026,1,31)))</f>
        <v>59466.173075643295</v>
      </c>
      <c r="G21" s="440">
        <f ca="1">SUM(C21:F21)</f>
        <v>136271.11137522518</v>
      </c>
      <c r="H21" s="362" t="s">
        <v>125</v>
      </c>
      <c r="I21" s="364" t="s">
        <v>125</v>
      </c>
    </row>
    <row r="22" spans="1:9">
      <c r="A22" s="379" t="s">
        <v>59</v>
      </c>
      <c r="B22" s="362" t="s">
        <v>4348</v>
      </c>
      <c r="C22" s="365">
        <f ca="1">SUMIFS(INGRESOS!$J:$J,INGRESOS!$A:$A,"&gt;="&amp;DATE(2026,1,1),INGRESOS!$A:$A,"&lt;="&amp;MIN(TODAY(),DATE(2026,1,7)))+SUMIFS(SALIDAS!$F:$F,SALIDAS!$U:$U,"COR",SALIDAS!$A:$A,"&gt;="&amp;DATE(2026,1,1),SALIDAS!$A:$A,"&lt;="&amp;MIN(TODAY(),DATE(2026,1,7)))+SUMIFS(SALIDAS!$F:$F,SALIDAS!$U:$U,"OPEX",SALIDAS!$A:$A,"&gt;="&amp;DATE(2026,1,1),SALIDAS!$A:$A,"&lt;="&amp;MIN(TODAY(),DATE(2026,1,7)))</f>
        <v>1966.9794844829776</v>
      </c>
      <c r="D22" s="365">
        <f ca="1">SUMIFS(INGRESOS!$J:$J,INGRESOS!$A:$A,"&gt;="&amp;DATE(2026,1,8),INGRESOS!$A:$A,"&lt;="&amp;MIN(TODAY(),DATE(2026,1,14)))+SUMIFS(SALIDAS!$F:$F,SALIDAS!$U:$U,"COR",SALIDAS!$A:$A,"&gt;="&amp;DATE(2026,1,8),SALIDAS!$A:$A,"&lt;="&amp;MIN(TODAY(),DATE(2026,1,14)))+SUMIFS(SALIDAS!$F:$F,SALIDAS!$U:$U,"OPEX",SALIDAS!$A:$A,"&gt;="&amp;DATE(2026,1,8),SALIDAS!$A:$A,"&lt;="&amp;MIN(TODAY(),DATE(2026,1,14)))</f>
        <v>23537.409808318887</v>
      </c>
      <c r="E22" s="365">
        <f ca="1">SUMIFS(INGRESOS!$J:$J,INGRESOS!$A:$A,"&gt;="&amp;DATE(2026,1,15),INGRESOS!$A:$A,"&lt;="&amp;MIN(TODAY(),DATE(2026,1,21)))+SUMIFS(SALIDAS!$F:$F,SALIDAS!$U:$U,"COR",SALIDAS!$A:$A,"&gt;="&amp;DATE(2026,1,15),SALIDAS!$A:$A,"&lt;="&amp;MIN(TODAY(),DATE(2026,1,21)))+SUMIFS(SALIDAS!$F:$F,SALIDAS!$U:$U,"OPEX",SALIDAS!$A:$A,"&gt;="&amp;DATE(2026,1,15),SALIDAS!$A:$A,"&lt;="&amp;MIN(TODAY(),DATE(2026,1,21)))</f>
        <v>-4699.2125299999952</v>
      </c>
      <c r="F22" s="365">
        <f ca="1">SUMIFS(INGRESOS!$J:$J,INGRESOS!$A:$A,"&gt;="&amp;DATE(2026,1,22),INGRESOS!$A:$A,"&lt;="&amp;MIN(TODAY(),DATE(2026,1,31)))+SUMIFS(SALIDAS!$F:$F,SALIDAS!$U:$U,"COR",SALIDAS!$A:$A,"&gt;="&amp;DATE(2026,1,22),SALIDAS!$A:$A,"&lt;="&amp;MIN(TODAY(),DATE(2026,1,31)))+SUMIFS(SALIDAS!$F:$F,SALIDAS!$U:$U,"OPEX",SALIDAS!$A:$A,"&gt;="&amp;DATE(2026,1,22),SALIDAS!$A:$A,"&lt;="&amp;MIN(TODAY(),DATE(2026,1,31)))</f>
        <v>-15150.754693156719</v>
      </c>
      <c r="G22" s="440">
        <f ca="1">SUM(C22:F22)</f>
        <v>5654.4220696451521</v>
      </c>
      <c r="H22" s="417">
        <f ca="1">IF(G22&gt;=0,1,0)</f>
        <v>1</v>
      </c>
      <c r="I22" s="364" t="str">
        <f ca="1">IF(G22&gt;=0,"✓","✗")</f>
        <v>✓</v>
      </c>
    </row>
    <row r="23" spans="1:9">
      <c r="A23" s="379" t="s">
        <v>58</v>
      </c>
      <c r="B23" s="362" t="s">
        <v>4349</v>
      </c>
      <c r="C23" s="363">
        <f ca="1">SUMIFS(SALIDAS!$F:$F,SALIDAS!$U:$U,"OPEX",SALIDAS!$A:$A,"&gt;="&amp;DATE(2026,1,1),SALIDAS!$A:$A,"&lt;="&amp;MIN(TODAY(),DATE(2026,1,7)))</f>
        <v>-25388.77598278</v>
      </c>
      <c r="D23" s="363">
        <f ca="1">SUMIFS(SALIDAS!$F:$F,SALIDAS!$U:$U,"OPEX",SALIDAS!$A:$A,"&gt;="&amp;DATE(2026,1,8),SALIDAS!$A:$A,"&lt;="&amp;MIN(TODAY(),DATE(2026,1,14)))</f>
        <v>-4909.0692739999995</v>
      </c>
      <c r="E23" s="363">
        <f ca="1">SUMIFS(SALIDAS!$F:$F,SALIDAS!$U:$U,"OPEX",SALIDAS!$A:$A,"&gt;="&amp;DATE(2026,1,15),SALIDAS!$A:$A,"&lt;="&amp;MIN(TODAY(),DATE(2026,1,21)))</f>
        <v>-15758.922529999998</v>
      </c>
      <c r="F23" s="363">
        <f ca="1">SUMIFS(SALIDAS!$F:$F,SALIDAS!$U:$U,"OPEX",SALIDAS!$A:$A,"&gt;="&amp;DATE(2026,1,22),SALIDAS!$A:$A,"&lt;="&amp;MIN(TODAY(),DATE(2026,1,31)))</f>
        <v>-69585.162890800013</v>
      </c>
      <c r="G23" s="440">
        <f ca="1">SUM(C23:F23)</f>
        <v>-115641.93067758001</v>
      </c>
      <c r="H23" s="362" t="s">
        <v>125</v>
      </c>
      <c r="I23" s="364" t="s">
        <v>125</v>
      </c>
    </row>
    <row r="24" spans="1:9">
      <c r="A24" s="434" t="s">
        <v>54</v>
      </c>
      <c r="B24" s="362"/>
      <c r="C24" s="363">
        <f ca="1">SUMIFS(SALIDAS!$F:$F,SALIDAS!$U:$U,"OPEX",SALIDAS!V:V,KPIs!A24,SALIDAS!$A:$A,"&gt;="&amp;DATE(2026,1,1),SALIDAS!$A:$A,"&lt;="&amp;MIN(TODAY(),DATE(2026,1,7)))</f>
        <v>-15929.6143615</v>
      </c>
      <c r="D24" s="363">
        <f ca="1">SUMIFS(SALIDAS!$F:$F,SALIDAS!$U:$U,"OPEX",SALIDAS!V:V,KPIs!A24,SALIDAS!$A:$A,"&gt;="&amp;DATE(2026,1,8),SALIDAS!$A:$A,"&lt;="&amp;MIN(TODAY(),DATE(2026,1,14)))</f>
        <v>-812.86921899999993</v>
      </c>
      <c r="E24" s="363">
        <f ca="1">SUMIFS(SALIDAS!$F:$F,SALIDAS!$U:$U,"OPEX",SALIDAS!V:V,KPIs!A24,SALIDAS!$A:$A,"&gt;="&amp;DATE(2026,1,15),SALIDAS!$A:$A,"&lt;="&amp;MIN(TODAY(),DATE(2026,1,21)))</f>
        <v>-737.31000000000006</v>
      </c>
      <c r="F24" s="363">
        <f ca="1">SUMIFS(SALIDAS!$F:$F,SALIDAS!$U:$U,"OPEX",SALIDAS!V:V,KPIs!A24,SALIDAS!$A:$A,"&gt;="&amp;DATE(2026,1,22),SALIDAS!$A:$A,"&lt;="&amp;MIN(TODAY(),DATE(2026,1,31)))</f>
        <v>-28635.208420040002</v>
      </c>
      <c r="G24" s="440">
        <f t="shared" ref="G24:G26" ca="1" si="0">SUM(C24:F24)</f>
        <v>-46115.00200054</v>
      </c>
      <c r="H24" s="362"/>
      <c r="I24" s="364"/>
    </row>
    <row r="25" spans="1:9">
      <c r="A25" s="434" t="s">
        <v>55</v>
      </c>
      <c r="B25" s="362"/>
      <c r="C25" s="363">
        <f ca="1">SUMIFS(SALIDAS!$F:$F,SALIDAS!$U:$U,"OPEX",SALIDAS!V:V,A25,SALIDAS!$A:$A,"&gt;="&amp;DATE(2026,1,1),SALIDAS!$A:$A,"&lt;="&amp;MIN(TODAY(),DATE(2026,1,7)))</f>
        <v>-158.33826599999998</v>
      </c>
      <c r="D25" s="363">
        <f ca="1">SUMIFS(SALIDAS!$F:$F,SALIDAS!$U:$U,"OPEX",SALIDAS!V:V,KPIs!A25,SALIDAS!$A:$A,"&gt;="&amp;DATE(2026,1,8),SALIDAS!$A:$A,"&lt;="&amp;MIN(TODAY(),DATE(2026,1,14)))</f>
        <v>-781.83</v>
      </c>
      <c r="E25" s="363">
        <f ca="1">SUMIFS(SALIDAS!$F:$F,SALIDAS!$U:$U,"OPEX",SALIDAS!V:V,KPIs!A25,SALIDAS!$A:$A,"&gt;="&amp;DATE(2026,1,15),SALIDAS!$A:$A,"&lt;="&amp;MIN(TODAY(),DATE(2026,1,21)))</f>
        <v>-192.44</v>
      </c>
      <c r="F25" s="363">
        <f ca="1">SUMIFS(SALIDAS!$F:$F,SALIDAS!$U:$U,"OPEX",SALIDAS!V:V,KPIs!A25,SALIDAS!$A:$A,"&gt;="&amp;DATE(2026,1,22),SALIDAS!$A:$A,"&lt;="&amp;MIN(TODAY(),DATE(2026,1,31)))</f>
        <v>-529.46273076</v>
      </c>
      <c r="G25" s="440">
        <f t="shared" ca="1" si="0"/>
        <v>-1662.0709967600001</v>
      </c>
      <c r="H25" s="362"/>
      <c r="I25" s="364"/>
    </row>
    <row r="26" spans="1:9">
      <c r="A26" s="434" t="s">
        <v>56</v>
      </c>
      <c r="B26" s="362"/>
      <c r="C26" s="363">
        <f ca="1">SUMIFS(SALIDAS!$F:$F,SALIDAS!$U:$U,"OPEX",SALIDAS!V:V,A26,SALIDAS!$A:$A,"&gt;="&amp;DATE(2026,1,1),SALIDAS!$A:$A,"&lt;="&amp;MIN(TODAY(),DATE(2026,1,7)))</f>
        <v>-9300.8233552799993</v>
      </c>
      <c r="D26" s="363">
        <f ca="1">SUMIFS(SALIDAS!$F:$F,SALIDAS!$U:$U,"OPEX",SALIDAS!V:V,KPIs!A26,SALIDAS!$A:$A,"&gt;="&amp;DATE(2026,1,8),SALIDAS!$A:$A,"&lt;="&amp;MIN(TODAY(),DATE(2026,1,14)))</f>
        <v>-1560.770055</v>
      </c>
      <c r="E26" s="363">
        <f ca="1">SUMIFS(SALIDAS!$F:$F,SALIDAS!$U:$U,"OPEX",SALIDAS!V:V,KPIs!A26,SALIDAS!$A:$A,"&gt;="&amp;DATE(2026,1,15),SALIDAS!$A:$A,"&lt;="&amp;MIN(TODAY(),DATE(2026,1,21)))</f>
        <v>-4416.6725299999998</v>
      </c>
      <c r="F26" s="363">
        <f ca="1">SUMIFS(SALIDAS!$F:$F,SALIDAS!$U:$U,"OPEX",SALIDAS!V:V,KPIs!A26,SALIDAS!$A:$A,"&gt;="&amp;DATE(2026,1,22),SALIDAS!$A:$A,"&lt;="&amp;MIN(TODAY(),DATE(2026,1,31)))</f>
        <v>-38038.696729999996</v>
      </c>
      <c r="G26" s="440">
        <f t="shared" ca="1" si="0"/>
        <v>-53316.962670279994</v>
      </c>
      <c r="H26" s="362"/>
      <c r="I26" s="364"/>
    </row>
    <row r="27" spans="1:9">
      <c r="A27" s="434" t="s">
        <v>57</v>
      </c>
      <c r="B27" s="362"/>
      <c r="C27" s="363">
        <f ca="1">SUMIFS(SALIDAS!$F:$F,SALIDAS!$U:$U,"OPEX",SALIDAS!V:V,A27,SALIDAS!$A:$A,"&gt;="&amp;DATE(2026,1,1),SALIDAS!$A:$A,"&lt;="&amp;MIN(TODAY(),DATE(2026,1,7)))</f>
        <v>0</v>
      </c>
      <c r="D27" s="363">
        <f ca="1">SUMIFS(SALIDAS!$F:$F,SALIDAS!$U:$U,"OPEX",SALIDAS!V:V,KPIs!A27,SALIDAS!$A:$A,"&gt;="&amp;DATE(2026,1,8),SALIDAS!$A:$A,"&lt;="&amp;MIN(TODAY(),DATE(2026,1,14)))</f>
        <v>-1753.6</v>
      </c>
      <c r="E27" s="363">
        <f ca="1">SUMIFS(SALIDAS!$F:$F,SALIDAS!$U:$U,"OPEX",SALIDAS!V:V,KPIs!A27,SALIDAS!$A:$A,"&gt;="&amp;DATE(2026,1,15),SALIDAS!$A:$A,"&lt;="&amp;MIN(TODAY(),DATE(2026,1,21)))</f>
        <v>-10412.5</v>
      </c>
      <c r="F27" s="363">
        <f ca="1">SUMIFS(SALIDAS!$F:$F,SALIDAS!$U:$U,"OPEX",SALIDAS!V:V,KPIs!A27,SALIDAS!$A:$A,"&gt;="&amp;DATE(2026,1,22),SALIDAS!$A:$A,"&lt;="&amp;MIN(TODAY(),DATE(2026,1,31)))</f>
        <v>-2381.7950099999998</v>
      </c>
      <c r="G27" s="440">
        <f ca="1">SUM(C27:F27)</f>
        <v>-14547.89501</v>
      </c>
      <c r="H27" s="362"/>
      <c r="I27" s="364"/>
    </row>
    <row r="28" spans="1:9">
      <c r="A28" s="379" t="s">
        <v>4350</v>
      </c>
      <c r="B28" s="362" t="s">
        <v>4349</v>
      </c>
      <c r="C28" s="363">
        <f ca="1">SUMIFS(INGRESOS!$J:$J,INGRESOS!$A:$A,"&gt;="&amp;DATE(2026,1,1),INGRESOS!$A:$A,"&lt;="&amp;MIN(TODAY(),DATE(2026,1,7)))+SUMIFS(SALIDAS!$F:$F,SALIDAS!$U:$U,"COR",SALIDAS!$A:$A,"&gt;="&amp;DATE(2026,1,1),SALIDAS!$A:$A,"&lt;="&amp;MIN(TODAY(),DATE(2026,1,7)))+SUMIFS(SALIDAS!$F:$F,SALIDAS!$V:$V,"Customer Success",SALIDAS!$U:$U,"OPEX",SALIDAS!$A:$A,"&gt;="&amp;DATE(2026,1,1),SALIDAS!$A:$A,"&lt;="&amp;MIN(TODAY(),DATE(2026,1,7)))</f>
        <v>27355.755467262978</v>
      </c>
      <c r="D28" s="384">
        <f ca="1">SUMIFS(INGRESOS!$J:$J,INGRESOS!$A:$A,"&gt;="&amp;DATE(2026,1,8),INGRESOS!$A:$A,"&lt;="&amp;MIN(TODAY(),DATE(2026,1,14)))+SUMIFS(SALIDAS!$F:$F,SALIDAS!$U:$U,"COR",SALIDAS!$A:$A,"&gt;="&amp;DATE(2026,1,8),SALIDAS!$A:$A,"&lt;="&amp;MIN(TODAY(),DATE(2026,1,14)))+SUMIFS(SALIDAS!$F:$F,SALIDAS!$V:$V,"Customer Success",SALIDAS!$U:$U,"OPEX",SALIDAS!$A:$A,"&gt;="&amp;DATE(2026,1,8),SALIDAS!$A:$A,"&lt;="&amp;MIN(TODAY(),DATE(2026,1,14)))</f>
        <v>26692.87908231889</v>
      </c>
      <c r="E28" s="384">
        <f ca="1">SUMIFS(INGRESOS!$J:$J,INGRESOS!$A:$A,"&gt;="&amp;DATE(2026,1,15),INGRESOS!$A:$A,"&lt;="&amp;MIN(TODAY(),DATE(2026,1,21)))+SUMIFS(SALIDAS!$F:$F,SALIDAS!$U:$U,"COR",SALIDAS!$A:$A,"&gt;="&amp;DATE(2026,1,15),SALIDAS!$A:$A,"&lt;="&amp;MIN(TODAY(),DATE(2026,1,21)))+SUMIFS(SALIDAS!$F:$F,SALIDAS!$V:$V,"Customer Success",SALIDAS!$U:$U,"OPEX",SALIDAS!$A:$A,"&gt;="&amp;DATE(2026,1,15),SALIDAS!$A:$A,"&lt;="&amp;MIN(TODAY(),DATE(2026,1,21)))</f>
        <v>647.21000000000276</v>
      </c>
      <c r="F28" s="384">
        <f ca="1">SUMIFS(INGRESOS!$J:$J,INGRESOS!$A:$A,"&gt;="&amp;DATE(2026,1,22),INGRESOS!$A:$A,"&lt;="&amp;MIN(TODAY(),DATE(2026,1,31)))+SUMIFS(SALIDAS!$F:$F,SALIDAS!$U:$U,"COR",SALIDAS!$A:$A,"&gt;="&amp;DATE(2026,1,22),SALIDAS!$A:$A,"&lt;="&amp;MIN(TODAY(),DATE(2026,1,31)))+SUMIFS(SALIDAS!$F:$F,SALIDAS!$V:$V,"Customer Success",SALIDAS!$U:$U,"OPEX",SALIDAS!$A:$A,"&gt;="&amp;DATE(2026,1,22),SALIDAS!$A:$A,"&lt;="&amp;MIN(TODAY(),DATE(2026,1,31)))</f>
        <v>52052.613187643292</v>
      </c>
      <c r="G28" s="440">
        <f ca="1">SUM(C28:F28)</f>
        <v>106748.45773722517</v>
      </c>
      <c r="H28" s="417">
        <f ca="1">(G28/G21)/0.65</f>
        <v>1.2051592950365086</v>
      </c>
      <c r="I28" s="421" t="s">
        <v>125</v>
      </c>
    </row>
    <row r="29" spans="1:9" ht="16" thickBot="1">
      <c r="A29" s="380" t="s">
        <v>4518</v>
      </c>
      <c r="B29" s="367" t="s">
        <v>4351</v>
      </c>
      <c r="C29" s="420">
        <f ca="1">C28/C21</f>
        <v>0.80440645815413281</v>
      </c>
      <c r="D29" s="420">
        <f ca="1">D28/D21</f>
        <v>0.93835440952374449</v>
      </c>
      <c r="E29" s="420">
        <f ca="1">E28/E21</f>
        <v>4.5098347998896435E-2</v>
      </c>
      <c r="F29" s="420">
        <f ca="1">F28/F21</f>
        <v>0.87533147830835412</v>
      </c>
      <c r="G29" s="441">
        <f ca="1">G28/G21</f>
        <v>0.78335354177373062</v>
      </c>
      <c r="H29" s="418" t="s">
        <v>125</v>
      </c>
      <c r="I29" s="419" t="str">
        <f ca="1">IF((G28/G21)&gt;=0.65,"✓","✗")</f>
        <v>✓</v>
      </c>
    </row>
    <row r="30" spans="1:9">
      <c r="A30" s="476"/>
      <c r="B30" s="493"/>
      <c r="C30" s="494"/>
      <c r="D30" s="493"/>
      <c r="E30" s="493"/>
      <c r="F30" s="493"/>
      <c r="G30" s="493"/>
      <c r="H30" s="493"/>
      <c r="I30" s="475"/>
    </row>
    <row r="31" spans="1:9" ht="17" thickBot="1">
      <c r="A31" s="474" t="s">
        <v>4352</v>
      </c>
      <c r="B31" s="492" t="s">
        <v>4353</v>
      </c>
      <c r="C31" s="493"/>
      <c r="D31" s="493"/>
      <c r="E31" s="493"/>
      <c r="F31" s="493"/>
      <c r="G31" s="493"/>
      <c r="H31" s="493"/>
      <c r="I31" s="475"/>
    </row>
    <row r="32" spans="1:9" ht="16" thickBot="1">
      <c r="A32" s="431" t="s">
        <v>4321</v>
      </c>
      <c r="B32" s="432" t="s">
        <v>4322</v>
      </c>
      <c r="C32" s="432" t="s">
        <v>4323</v>
      </c>
      <c r="D32" s="432" t="s">
        <v>4324</v>
      </c>
      <c r="E32" s="432" t="s">
        <v>4325</v>
      </c>
      <c r="F32" s="432" t="s">
        <v>4326</v>
      </c>
      <c r="G32" s="432" t="s">
        <v>4327</v>
      </c>
      <c r="H32" s="432" t="s">
        <v>4328</v>
      </c>
      <c r="I32" s="433" t="s">
        <v>68</v>
      </c>
    </row>
    <row r="33" spans="1:9">
      <c r="A33" s="378" t="s">
        <v>4354</v>
      </c>
      <c r="B33" s="359" t="s">
        <v>4349</v>
      </c>
      <c r="C33" s="360">
        <f>-SUMIFS(SALIDAS!$F:$F, SALIDAS!$A:$A, "&gt;=" &amp; DATE(2026,1,1), SALIDAS!$A:$A, "&lt;=" &amp; DATE(2026,1,7))</f>
        <v>32040.399732779999</v>
      </c>
      <c r="D33" s="360">
        <f>-SUMIFS(SALIDAS!$F:$F, SALIDAS!$A:$A, "&gt;=" &amp; DATE(2026,1,8), SALIDAS!$A:$A, "&lt;=" &amp; DATE(2026,1,14))</f>
        <v>4909.0692739999995</v>
      </c>
      <c r="E33" s="360">
        <f>-SUMIFS(SALIDAS!$F:$F, SALIDAS!$A:$A, "&gt;=" &amp; DATE(2026,1,15), SALIDAS!$A:$A, "&lt;=" &amp; DATE(2026,1,21))</f>
        <v>19050.292530000006</v>
      </c>
      <c r="F33" s="360">
        <f>-SUMIFS(SALIDAS!$F:$F, SALIDAS!$A:$A, "&gt;=" &amp; DATE(2026,1,22), SALIDAS!$A:$A, "&lt;=" &amp; DATE(2026,1,31))</f>
        <v>74616.927768800015</v>
      </c>
      <c r="G33" s="442">
        <f>SUM(C33:F33)</f>
        <v>130616.68930558002</v>
      </c>
      <c r="H33" s="359" t="s">
        <v>125</v>
      </c>
      <c r="I33" s="361" t="s">
        <v>125</v>
      </c>
    </row>
    <row r="34" spans="1:9">
      <c r="A34" s="379" t="s">
        <v>4355</v>
      </c>
      <c r="B34" s="362" t="s">
        <v>4356</v>
      </c>
      <c r="C34" s="363">
        <f>-SUMIFS(SALIDAS!$F:$F,SALIDAS!$K:$K,"SaaS",SALIDAS!$A:$A,"&gt;="&amp;DATE(2026,1,1),SALIDAS!$A:$A,"&lt;="&amp;DATE(2026,1,7))</f>
        <v>6324.1038862800006</v>
      </c>
      <c r="D34" s="363">
        <f>-SUMIFS(SALIDAS!$F:$F,SALIDAS!$K:$K,"SaaS",SALIDAS!$A:$A,"&gt;="&amp;DATE(2026,1,8),SALIDAS!$A:$A,"&lt;="&amp;DATE(2026,1,14))</f>
        <v>3667.589219</v>
      </c>
      <c r="E34" s="363">
        <f>-SUMIFS(SALIDAS!$F:$F,SALIDAS!$K:$K,"SaaS",SALIDAS!$A:$A,"&gt;="&amp;DATE(2026,1,15),SALIDAS!$A:$A,"&lt;="&amp;DATE(2026,1,21))</f>
        <v>5599.4811599999994</v>
      </c>
      <c r="F34" s="363">
        <f>-SUMIFS(SALIDAS!$F:$F,SALIDAS!$K:$K,"SaaS",SALIDAS!$A:$A,"&gt;="&amp;DATE(2026,1,22),SALIDAS!$A:$A,"&lt;="&amp;DATE(2026,1,31))</f>
        <v>8108.8026438000015</v>
      </c>
      <c r="G34" s="440">
        <f>SUM(C34:F34)</f>
        <v>23699.976909080004</v>
      </c>
      <c r="H34" s="366">
        <f>G34/26000</f>
        <v>0.91153757342615394</v>
      </c>
      <c r="I34" s="364" t="str">
        <f>IF(G34&lt;=26000,"✓","✗")</f>
        <v>✓</v>
      </c>
    </row>
    <row r="35" spans="1:9">
      <c r="A35" s="379" t="s">
        <v>4357</v>
      </c>
      <c r="B35" s="739" t="s">
        <v>4360</v>
      </c>
      <c r="C35" s="739"/>
      <c r="D35" s="739"/>
      <c r="E35" s="739"/>
      <c r="F35" s="739"/>
      <c r="G35" s="739"/>
      <c r="H35" s="739"/>
      <c r="I35" s="739"/>
    </row>
    <row r="36" spans="1:9">
      <c r="A36" s="430" t="s">
        <v>4358</v>
      </c>
      <c r="B36" s="739" t="s">
        <v>4360</v>
      </c>
      <c r="C36" s="739"/>
      <c r="D36" s="739"/>
      <c r="E36" s="739"/>
      <c r="F36" s="739"/>
      <c r="G36" s="739"/>
      <c r="H36" s="739"/>
      <c r="I36" s="739"/>
    </row>
    <row r="37" spans="1:9">
      <c r="A37" s="379" t="s">
        <v>4359</v>
      </c>
      <c r="B37" s="739" t="s">
        <v>4360</v>
      </c>
      <c r="C37" s="739"/>
      <c r="D37" s="739"/>
      <c r="E37" s="739"/>
      <c r="F37" s="739"/>
      <c r="G37" s="739"/>
      <c r="H37" s="739"/>
      <c r="I37" s="739"/>
    </row>
    <row r="38" spans="1:9" ht="16" thickBot="1">
      <c r="A38" s="380" t="s">
        <v>4361</v>
      </c>
      <c r="B38" s="739" t="s">
        <v>4360</v>
      </c>
      <c r="C38" s="739"/>
      <c r="D38" s="739"/>
      <c r="E38" s="739"/>
      <c r="F38" s="739"/>
      <c r="G38" s="739"/>
      <c r="H38" s="739"/>
      <c r="I38" s="739"/>
    </row>
    <row r="39" spans="1:9">
      <c r="A39" s="477"/>
      <c r="B39" s="495"/>
      <c r="C39" s="478"/>
      <c r="D39" s="495"/>
      <c r="E39" s="495"/>
      <c r="F39" s="495"/>
      <c r="G39" s="495"/>
      <c r="H39" s="495"/>
      <c r="I39" s="479"/>
    </row>
    <row r="40" spans="1:9" ht="17" thickBot="1">
      <c r="A40" s="474" t="s">
        <v>4362</v>
      </c>
      <c r="B40" s="492" t="s">
        <v>4363</v>
      </c>
      <c r="C40" s="493"/>
      <c r="D40" s="493"/>
      <c r="E40" s="493"/>
      <c r="F40" s="493"/>
      <c r="G40" s="493"/>
      <c r="H40" s="493"/>
      <c r="I40" s="475"/>
    </row>
    <row r="41" spans="1:9">
      <c r="A41" s="431" t="s">
        <v>4321</v>
      </c>
      <c r="B41" s="432" t="s">
        <v>4322</v>
      </c>
      <c r="C41" s="432" t="s">
        <v>4323</v>
      </c>
      <c r="D41" s="432" t="s">
        <v>4324</v>
      </c>
      <c r="E41" s="432" t="s">
        <v>4325</v>
      </c>
      <c r="F41" s="432" t="s">
        <v>4326</v>
      </c>
      <c r="G41" s="432" t="s">
        <v>4327</v>
      </c>
      <c r="H41" s="432" t="s">
        <v>4328</v>
      </c>
      <c r="I41" s="433" t="s">
        <v>68</v>
      </c>
    </row>
    <row r="42" spans="1:9">
      <c r="A42" s="376" t="s">
        <v>4524</v>
      </c>
      <c r="B42" s="423"/>
      <c r="C42" s="425">
        <f ca="1">SUMIFS('CALENDARIO INGRESOS'!$I:$I,'CALENDARIO INGRESOS'!$G:$G,"&gt;="&amp;DATE(2026,1,1),'CALENDARIO INGRESOS'!$G:$G,"&lt;="&amp;DATE(2026,1,7))-SUMIFS('CALENDARIO INGRESOS'!$I:$I,'CALENDARIO INGRESOS'!$G:$G,"&gt;="&amp;DATE(2026,1,1),'CALENDARIO INGRESOS'!$G:$G,"&lt;="&amp;DATE(2026,1,7))*EERR!P16</f>
        <v>33436.782188098288</v>
      </c>
      <c r="D42" s="425">
        <f ca="1">SUMIFS('CALENDARIO INGRESOS'!$I:$I,'CALENDARIO INGRESOS'!$G:$G,"&gt;="&amp;DATE(2026,1,8),'CALENDARIO INGRESOS'!$G:$G,"&lt;="&amp;DATE(2026,1,14))-SUMIFS('CALENDARIO INGRESOS'!$I:$I,'CALENDARIO INGRESOS'!$G:$G,"&gt;="&amp;DATE(2026,1,8),'CALENDARIO INGRESOS'!$G:$G,"&lt;="&amp;DATE(2026,1,14))*EERR!P16</f>
        <v>21245.823613783999</v>
      </c>
      <c r="E42" s="425">
        <f ca="1">SUMIFS('CALENDARIO INGRESOS'!$I:$I,'CALENDARIO INGRESOS'!$G:$G,"&gt;="&amp;DATE(2026,1,15),'CALENDARIO INGRESOS'!$G:$G,"&lt;="&amp;DATE(2026,1,21))-SUMIFS('CALENDARIO INGRESOS'!$I:$I,'CALENDARIO INGRESOS'!$G:$G,"&gt;="&amp;DATE(2026,1,15),'CALENDARIO INGRESOS'!$G:$G,"&lt;="&amp;DATE(2026,1,21))*EERR!P16</f>
        <v>17900.43596948433</v>
      </c>
      <c r="F42" s="425">
        <f ca="1">SUMIFS('CALENDARIO INGRESOS'!$I:$I,'CALENDARIO INGRESOS'!$G:$G,"&gt;="&amp;DATE(2026,1,22),'CALENDARIO INGRESOS'!$G:$G,"&lt;="&amp;DATE(2026,1,31))-SUMIFS('CALENDARIO INGRESOS'!$I:$I,'CALENDARIO INGRESOS'!$G:$G,"&gt;="&amp;DATE(2026,1,22),'CALENDARIO INGRESOS'!$G:$G,"&lt;="&amp;DATE(2026,1,31))*EERR!P16</f>
        <v>63224.730687656564</v>
      </c>
      <c r="G42" s="425">
        <f ca="1">SUM(C42:F42)</f>
        <v>135807.77245902317</v>
      </c>
      <c r="H42" s="423" t="s">
        <v>125</v>
      </c>
      <c r="I42" s="424" t="s">
        <v>125</v>
      </c>
    </row>
    <row r="43" spans="1:9">
      <c r="A43" s="379" t="s">
        <v>4525</v>
      </c>
      <c r="B43" s="232"/>
      <c r="C43" s="384">
        <f ca="1">C21-C33</f>
        <v>1966.9794844829776</v>
      </c>
      <c r="D43" s="384">
        <f ca="1">D21-D33</f>
        <v>23537.409808318887</v>
      </c>
      <c r="E43" s="384">
        <f ca="1">E21-E33</f>
        <v>-4699.2125300000043</v>
      </c>
      <c r="F43" s="384">
        <f ca="1">F21-F33</f>
        <v>-15150.754693156719</v>
      </c>
      <c r="G43" s="384">
        <f ca="1">SUM(C43:F43)</f>
        <v>5654.4220696451412</v>
      </c>
      <c r="H43" s="232" t="str">
        <f ca="1">IF(G42&gt;0,"✓ Positivo","✗ Negativo")</f>
        <v>✓ Positivo</v>
      </c>
      <c r="I43" s="385" t="str">
        <f>IF(G41&gt;=0,"✓","✗")</f>
        <v>✓</v>
      </c>
    </row>
    <row r="44" spans="1:9">
      <c r="A44" s="379" t="s">
        <v>4526</v>
      </c>
      <c r="B44" s="232"/>
      <c r="C44" s="384">
        <f ca="1">C43</f>
        <v>1966.9794844829776</v>
      </c>
      <c r="D44" s="384">
        <f ca="1">C44+D43</f>
        <v>25504.389292801865</v>
      </c>
      <c r="E44" s="384">
        <f ca="1">D44+E43</f>
        <v>20805.176762801861</v>
      </c>
      <c r="F44" s="384">
        <f ca="1">E44+F43</f>
        <v>5654.4220696451412</v>
      </c>
      <c r="G44" s="368">
        <f ca="1">+F44</f>
        <v>5654.4220696451412</v>
      </c>
      <c r="H44" s="232" t="str">
        <f ca="1">IF(F44&gt;0,"✓ Positivo","✗ Negativo")</f>
        <v>✓ Positivo</v>
      </c>
      <c r="I44" s="385" t="str">
        <f ca="1">IF(G44&gt;=0,"✓","✗")</f>
        <v>✓</v>
      </c>
    </row>
    <row r="45" spans="1:9" ht="16" thickBot="1">
      <c r="A45" s="380" t="s">
        <v>4364</v>
      </c>
      <c r="B45" s="386"/>
      <c r="C45" s="386" t="s">
        <v>125</v>
      </c>
      <c r="D45" s="386" t="s">
        <v>125</v>
      </c>
      <c r="E45" s="386" t="s">
        <v>125</v>
      </c>
      <c r="F45" s="386" t="s">
        <v>125</v>
      </c>
      <c r="G45" s="628" t="s">
        <v>5992</v>
      </c>
      <c r="H45" s="386"/>
      <c r="I45" s="422"/>
    </row>
    <row r="46" spans="1:9" ht="16" thickBot="1">
      <c r="A46" s="477"/>
      <c r="B46" s="495"/>
      <c r="C46" s="495"/>
      <c r="D46" s="495"/>
      <c r="E46" s="495"/>
      <c r="F46" s="495"/>
      <c r="G46" s="495"/>
      <c r="H46" s="495"/>
      <c r="I46" s="479"/>
    </row>
    <row r="47" spans="1:9" s="495" customFormat="1" ht="19" customHeight="1">
      <c r="A47" s="735" t="s">
        <v>4530</v>
      </c>
      <c r="B47" s="735"/>
      <c r="C47" s="735"/>
      <c r="D47" s="735"/>
      <c r="E47" s="735"/>
      <c r="F47" s="735"/>
      <c r="G47" s="735"/>
      <c r="H47" s="735"/>
      <c r="I47" s="735"/>
    </row>
    <row r="48" spans="1:9" s="495" customFormat="1" ht="19" customHeight="1">
      <c r="A48" s="735"/>
      <c r="B48" s="735"/>
      <c r="C48" s="735"/>
      <c r="D48" s="735"/>
      <c r="E48" s="735"/>
      <c r="F48" s="735"/>
      <c r="G48" s="735"/>
      <c r="H48" s="735"/>
      <c r="I48" s="735"/>
    </row>
    <row r="49" spans="1:12" ht="17" thickBot="1">
      <c r="A49" s="474" t="s">
        <v>4319</v>
      </c>
      <c r="B49" s="492" t="s">
        <v>4320</v>
      </c>
      <c r="C49" s="493"/>
      <c r="D49" s="493"/>
      <c r="E49" s="493"/>
      <c r="F49" s="493"/>
      <c r="G49" s="493"/>
      <c r="H49" s="493"/>
      <c r="I49" s="475"/>
    </row>
    <row r="50" spans="1:12">
      <c r="A50" s="431" t="s">
        <v>4321</v>
      </c>
      <c r="B50" s="432" t="s">
        <v>4322</v>
      </c>
      <c r="C50" s="432" t="s">
        <v>4323</v>
      </c>
      <c r="D50" s="432" t="s">
        <v>4324</v>
      </c>
      <c r="E50" s="432" t="s">
        <v>4325</v>
      </c>
      <c r="F50" s="432" t="s">
        <v>4326</v>
      </c>
      <c r="G50" s="432" t="s">
        <v>4327</v>
      </c>
      <c r="H50" s="432" t="s">
        <v>4328</v>
      </c>
      <c r="I50" s="433" t="s">
        <v>68</v>
      </c>
    </row>
    <row r="51" spans="1:12">
      <c r="A51" s="376" t="s">
        <v>4329</v>
      </c>
      <c r="B51" s="355" t="s">
        <v>4330</v>
      </c>
      <c r="C51" s="369">
        <f>SUMIFS('CALENDARIO INGRESOS'!$I:$I,'CALENDARIO INGRESOS'!$L:$L,"PAGADA",'CALENDARIO INGRESOS'!$G:$G,"&gt;="&amp;DATE(2026,2,1),'CALENDARIO INGRESOS'!$G:$G,"&lt;="&amp;DATE(2026,2,7))/SUMIFS('CALENDARIO INGRESOS'!$I:$I,'CALENDARIO INGRESOS'!$G:$G,"&gt;="&amp;DATE(2026,2,1),'CALENDARIO INGRESOS'!$G:$G,"&lt;="&amp;DATE(2026,2,7))</f>
        <v>0.95457354523488214</v>
      </c>
      <c r="D51" s="369">
        <f>SUMIFS('CALENDARIO INGRESOS'!$I:$I,'CALENDARIO INGRESOS'!$L:$L,"PAGADA",'CALENDARIO INGRESOS'!$G:$G,"&gt;="&amp;DATE(2026,2,8),'CALENDARIO INGRESOS'!$G:$G,"&lt;="&amp;DATE(2026,2,14))/SUMIFS('CALENDARIO INGRESOS'!$I:$I,'CALENDARIO INGRESOS'!$G:$G,"&gt;="&amp;DATE(2026,2,8),'CALENDARIO INGRESOS'!$G:$G,"&lt;="&amp;DATE(2026,2,14))</f>
        <v>0.48470209339774556</v>
      </c>
      <c r="E51" s="369">
        <f>SUMIFS('CALENDARIO INGRESOS'!$I:$I,'CALENDARIO INGRESOS'!$L:$L,"PAGADA",'CALENDARIO INGRESOS'!$G:$G,"&gt;="&amp;DATE(2026,2,15),'CALENDARIO INGRESOS'!$G:$G,"&lt;="&amp;DATE(2026,2,21))/SUMIFS('CALENDARIO INGRESOS'!$I:$I,'CALENDARIO INGRESOS'!$G:$G,"&gt;="&amp;DATE(2026,2,15),'CALENDARIO INGRESOS'!$G:$G,"&lt;="&amp;DATE(2026,2,21))</f>
        <v>0.80763097979099319</v>
      </c>
      <c r="F51" s="369">
        <f>SUMIFS('CALENDARIO INGRESOS'!$I:$I,'CALENDARIO INGRESOS'!$L:$L,"PAGADA",'CALENDARIO INGRESOS'!$G:$G,"&gt;="&amp;DATE(2026,2,22),'CALENDARIO INGRESOS'!$G:$G,"&lt;="&amp;DATE(2026,2,28))/SUMIFS('CALENDARIO INGRESOS'!$I:$I,'CALENDARIO INGRESOS'!$G:$G,"&gt;="&amp;DATE(2026,2,22),'CALENDARIO INGRESOS'!$G:$G,"&lt;="&amp;DATE(2026,2,28))</f>
        <v>0.92780355009861382</v>
      </c>
      <c r="G51" s="486">
        <f>SUMIFS('CALENDARIO INGRESOS'!$I:$I,'CALENDARIO INGRESOS'!$L:$L,"PAGADA",'CALENDARIO INGRESOS'!$G:$G,"&gt;="&amp;DATE(2026,2,1),'CALENDARIO INGRESOS'!$G:$G,"&lt;="&amp;DATE(2026,2,28))/SUMIFS('CALENDARIO INGRESOS'!$I:$I,'CALENDARIO INGRESOS'!$G:$G,"&gt;="&amp;DATE(2026,2,1),'CALENDARIO INGRESOS'!$G:$G,"&lt;="&amp;DATE(2026,2,28))</f>
        <v>0.85275903060273217</v>
      </c>
      <c r="H51" s="370" t="s">
        <v>125</v>
      </c>
      <c r="I51" s="356" t="str">
        <f>IF(G51&gt;=0.9,"✓","✗")</f>
        <v>✗</v>
      </c>
      <c r="K51" s="2"/>
      <c r="L51" s="2"/>
    </row>
    <row r="52" spans="1:12">
      <c r="A52" s="376" t="s">
        <v>4608</v>
      </c>
      <c r="B52" s="382" t="s">
        <v>4515</v>
      </c>
      <c r="C52" s="371">
        <f>SUMIFS(INGRESOS!$G:$G,INGRESOS!$A:$A,"&gt;="&amp;DATE(2026,2,1),INGRESOS!$A:$A,"&lt;="&amp;DATE(2026,2,7))</f>
        <v>46144.302515606549</v>
      </c>
      <c r="D52" s="371">
        <f>SUMIFS(INGRESOS!$G:$G,INGRESOS!$A:$A,"&gt;="&amp;DATE(2026,2,8),INGRESOS!$A:$A,"&lt;="&amp;DATE(2026,2,14))</f>
        <v>18213.167823648546</v>
      </c>
      <c r="E52" s="372">
        <f>SUMIFS(INGRESOS!$G:$G,INGRESOS!$A:$A,"&gt;="&amp;DATE(2026,2,15),INGRESOS!$A:$A,"&lt;="&amp;DATE(2026,2,21))</f>
        <v>19740</v>
      </c>
      <c r="F52" s="372">
        <f>SUMIFS(INGRESOS!$G:$G,INGRESOS!$A:$A,"&gt;="&amp;DATE(2026,2,22),INGRESOS!$A:$A,"&lt;="&amp;DATE(2026,2,28))</f>
        <v>31382.697823519487</v>
      </c>
      <c r="G52" s="436">
        <f>SUMIFS(INGRESOS!$G:$G,INGRESOS!$A:$A,"&gt;="&amp;DATE(2026,2,1),INGRESOS!$A:$A,"&lt;="&amp;DATE(2026,2,28))</f>
        <v>115480.16816277457</v>
      </c>
      <c r="H52" s="369">
        <f>G52/120000</f>
        <v>0.96233473468978814</v>
      </c>
      <c r="I52" s="356" t="str">
        <f>IF(G52&gt;=120000,"✓","✗")</f>
        <v>✗</v>
      </c>
    </row>
    <row r="53" spans="1:12">
      <c r="A53" s="376" t="s">
        <v>4600</v>
      </c>
      <c r="B53" s="382"/>
      <c r="C53" s="371">
        <f>SUMIFS('CALENDARIO INGRESOS'!$I:$I,'CALENDARIO INGRESOS'!$D:$D,"OK",'CALENDARIO INGRESOS'!$L:$L,"&lt;&gt;PAGADA",'CALENDARIO INGRESOS'!$G:$G,"&gt;="&amp;DATE(2026,2,1),'CALENDARIO INGRESOS'!$G:$G,"&lt;="&amp;DATE(2026,2,7))</f>
        <v>0</v>
      </c>
      <c r="D53" s="371">
        <f>SUMIFS('CALENDARIO INGRESOS'!$I:$I,'CALENDARIO INGRESOS'!$D:$D,"OK",'CALENDARIO INGRESOS'!$L:$L,"&lt;&gt;PAGADA",'CALENDARIO INGRESOS'!$G:$G,"&gt;="&amp;DATE(2026,2,8),'CALENDARIO INGRESOS'!$G:$G,"&lt;="&amp;DATE(2026,2,14))</f>
        <v>100</v>
      </c>
      <c r="E53" s="500">
        <f>SUMIFS('CALENDARIO INGRESOS'!$I:$I,'CALENDARIO INGRESOS'!$D:$D,"OK",'CALENDARIO INGRESOS'!$L:$L,"&lt;&gt;PAGADA",'CALENDARIO INGRESOS'!$G:$G,"&gt;="&amp;DATE(2026,2,15),'CALENDARIO INGRESOS'!$G:$G,"&lt;="&amp;DATE(2026,2,21))</f>
        <v>1750</v>
      </c>
      <c r="F53" s="500">
        <f>SUMIFS('CALENDARIO INGRESOS'!$I:$I,'CALENDARIO INGRESOS'!$D:$D,"OK",'CALENDARIO INGRESOS'!$L:$L,"&lt;&gt;PAGADA",'CALENDARIO INGRESOS'!$G:$G,"&gt;="&amp;DATE(2026,2,22),'CALENDARIO INGRESOS'!$G:$G,"&lt;="&amp;DATE(2026,2,28))</f>
        <v>1000</v>
      </c>
      <c r="G53" s="504">
        <f>SUMIFS('CALENDARIO INGRESOS'!$I:$I,'CALENDARIO INGRESOS'!$D:$D,"OK",'CALENDARIO INGRESOS'!$L:$L,"&lt;&gt;PAGADA",'CALENDARIO INGRESOS'!$G:$G,"&gt;="&amp;DATE(2026,2,1),'CALENDARIO INGRESOS'!$G:$G,"&lt;="&amp;DATE(2026,2,28))</f>
        <v>2850</v>
      </c>
      <c r="H53" s="369"/>
      <c r="I53" s="356"/>
    </row>
    <row r="54" spans="1:12">
      <c r="A54" s="376" t="s">
        <v>4601</v>
      </c>
      <c r="B54" s="382"/>
      <c r="C54" s="371">
        <f>SUMIFS('CALENDARIO INGRESOS'!$I:$I,'CALENDARIO INGRESOS'!$D:$D,"ELIMINADO",'CALENDARIO INGRESOS'!$L:$L,"&lt;&gt;PAGADA",'CALENDARIO INGRESOS'!$G:$G,"&gt;="&amp;DATE(2026,2,1),'CALENDARIO INGRESOS'!$G:$G,"&lt;="&amp;DATE(2026,2,7))</f>
        <v>0</v>
      </c>
      <c r="D54" s="371">
        <f>SUMIFS('CALENDARIO INGRESOS'!$I:$I,'CALENDARIO INGRESOS'!$D:$D,"ELIMINADO",'CALENDARIO INGRESOS'!$L:$L,"&lt;&gt;PAGADA",'CALENDARIO INGRESOS'!$G:$G,"&gt;="&amp;DATE(2026,2,8),'CALENDARIO INGRESOS'!$G:$G,"&lt;="&amp;DATE(2026,2,14))</f>
        <v>9500</v>
      </c>
      <c r="E54" s="500">
        <f>SUMIFS('CALENDARIO INGRESOS'!$I:$I,'CALENDARIO INGRESOS'!$D:$D,"ELIMINADO",'CALENDARIO INGRESOS'!$L:$L,"&lt;&gt;PAGADA",'CALENDARIO INGRESOS'!$G:$G,"&gt;="&amp;DATE(2026,2,15),'CALENDARIO INGRESOS'!$G:$G,"&lt;="&amp;DATE(2026,2,21))</f>
        <v>0</v>
      </c>
      <c r="F54" s="500">
        <f>SUMIFS('CALENDARIO INGRESOS'!$I:$I,'CALENDARIO INGRESOS'!$D:$D,"ELIMINADO",'CALENDARIO INGRESOS'!$L:$L,"&lt;&gt;PAGADA",'CALENDARIO INGRESOS'!$G:$G,"&gt;="&amp;DATE(2026,2,22),'CALENDARIO INGRESOS'!$G:$G,"&lt;="&amp;DATE(2026,2,28))</f>
        <v>0</v>
      </c>
      <c r="G54" s="504">
        <f>SUMIFS('CALENDARIO INGRESOS'!$I:$I,'CALENDARIO INGRESOS'!$D:$D,"ELIMINADO",'CALENDARIO INGRESOS'!$L:$L,"&lt;&gt;PAGADA",'CALENDARIO INGRESOS'!$G:$G,"&gt;="&amp;DATE(2026,2,1),'CALENDARIO INGRESOS'!$G:$G,"&lt;="&amp;DATE(2026,2,28))</f>
        <v>9500</v>
      </c>
      <c r="H54" s="369"/>
      <c r="I54" s="356"/>
    </row>
    <row r="55" spans="1:12">
      <c r="A55" s="376" t="s">
        <v>4332</v>
      </c>
      <c r="B55" s="355" t="s">
        <v>4333</v>
      </c>
      <c r="C55" s="369">
        <f>COUNTIFS('CALENDARIO INGRESOS'!$L:$L,"PAGADA",'CALENDARIO INGRESOS'!$M:$M,"&gt;=0",'CALENDARIO INGRESOS'!$G:$G,"&gt;="&amp;DATE(2026,2,1),'CALENDARIO INGRESOS'!$G:$G,"&lt;="&amp;DATE(2026,2,7))/COUNTIFS('CALENDARIO INGRESOS'!$G:$G,"&gt;="&amp;DATE(2026,2,1),'CALENDARIO INGRESOS'!$G:$G,"&lt;="&amp;DATE(2026,2,7))</f>
        <v>0.72916666666666663</v>
      </c>
      <c r="D55" s="369">
        <f>COUNTIFS('CALENDARIO INGRESOS'!$L:$L,"PAGADA",'CALENDARIO INGRESOS'!$M:$M,"&gt;=0",'CALENDARIO INGRESOS'!$G:$G,"&gt;="&amp;DATE(2026,2,8),'CALENDARIO INGRESOS'!$G:$G,"&lt;="&amp;DATE(2026,2,14))/COUNTIFS('CALENDARIO INGRESOS'!$G:$G,"&gt;="&amp;DATE(2026,2,8),'CALENDARIO INGRESOS'!$G:$G,"&lt;="&amp;DATE(2026,2,14))</f>
        <v>0.63636363636363635</v>
      </c>
      <c r="E55" s="369">
        <f ca="1">IF(TODAY()&gt;=DATE(2026,2,15),COUNTIFS('CALENDARIO INGRESOS'!$L:$L,"PAGADA",'CALENDARIO INGRESOS'!$M:$M,"&gt;=0",'CALENDARIO INGRESOS'!$G:$G,"&gt;="&amp;DATE(2026,2,15),'CALENDARIO INGRESOS'!$G:$G,"&lt;="&amp;DATE(2026,2,21))/COUNTIFS('CALENDARIO INGRESOS'!$G:$G,"&gt;="&amp;DATE(2026,2,15),'CALENDARIO INGRESOS'!$G:$G,"&lt;="&amp;DATE(2026,2,21)),0)</f>
        <v>0.38461538461538464</v>
      </c>
      <c r="F55" s="369">
        <f ca="1">IF(TODAY()&gt;=DATE(2026,2,22),COUNTIFS('CALENDARIO INGRESOS'!$L:$L,"PAGADA",'CALENDARIO INGRESOS'!$M:$M,"&gt;=0",'CALENDARIO INGRESOS'!$G:$G,"&gt;="&amp;DATE(2026,2,22),'CALENDARIO INGRESOS'!$G:$G,"&lt;="&amp;DATE(2026,2,28))/COUNTIFS('CALENDARIO INGRESOS'!$G:$G,"&gt;="&amp;DATE(2026,2,22),'CALENDARIO INGRESOS'!$G:$G,"&lt;="&amp;DATE(2026,2,28)),0)</f>
        <v>0.82499999999999996</v>
      </c>
      <c r="G55" s="435">
        <f>COUNTIFS('CALENDARIO INGRESOS'!$L:$L,"PAGADA",'CALENDARIO INGRESOS'!$M:$M,"&gt;=0",'CALENDARIO INGRESOS'!$G:$G,"&gt;="&amp;DATE(2026,2,1),'CALENDARIO INGRESOS'!$G:$G,"&lt;="&amp;DATE(2026,2,28))/COUNTIFS('CALENDARIO INGRESOS'!$G:$G,"&gt;="&amp;DATE(2026,2,1),'CALENDARIO INGRESOS'!$G:$G,"&lt;="&amp;DATE(2026,2,28))</f>
        <v>0.68</v>
      </c>
      <c r="H55" s="369">
        <f>G55/0.95</f>
        <v>0.71578947368421064</v>
      </c>
      <c r="I55" s="356" t="str">
        <f>IF(G55&gt;=0.95,"✓","✗")</f>
        <v>✗</v>
      </c>
    </row>
    <row r="56" spans="1:12">
      <c r="A56" s="376" t="s">
        <v>4522</v>
      </c>
      <c r="B56" s="382" t="s">
        <v>4523</v>
      </c>
      <c r="C56" s="381">
        <f>SUMIFS('CALENDARIO INGRESOS'!M:M,'CALENDARIO INGRESOS'!M:M,"&lt;0",'CALENDARIO INGRESOS'!G:G,"&gt;="&amp;DATE(2026,2,1),'CALENDARIO INGRESOS'!G:G,"&lt;="&amp;DATE(2026,2,7))/COUNTIFS('CALENDARIO INGRESOS'!M:M,"&lt;0",'CALENDARIO INGRESOS'!G:G,"&gt;="&amp;DATE(2026,2,1),'CALENDARIO INGRESOS'!G:G,"&lt;="&amp;DATE(2026,2,7))</f>
        <v>-4.8181818181818183</v>
      </c>
      <c r="D56" s="381">
        <f>IFERROR(SUMIFS('CALENDARIO INGRESOS'!M:M,'CALENDARIO INGRESOS'!M:M,"&lt;0",'CALENDARIO INGRESOS'!G:G,"&gt;="&amp;DATE(2026,2,8),'CALENDARIO INGRESOS'!G:G,"&lt;="&amp;DATE(2026,2,14))/COUNTIFS('CALENDARIO INGRESOS'!M:M,"&lt;0",'CALENDARIO INGRESOS'!G:G,"&gt;="&amp;DATE(2026,2,8),'CALENDARIO INGRESOS'!G:G,"&lt;="&amp;DATE(2026,2,14)),0)</f>
        <v>-5</v>
      </c>
      <c r="E56" s="381">
        <f>IFERROR(SUMIFS('CALENDARIO INGRESOS'!M:M,'CALENDARIO INGRESOS'!M:M,"&lt;0",'CALENDARIO INGRESOS'!G:G,"&gt;="&amp;DATE(2026,2,15),'CALENDARIO INGRESOS'!G:G,"&lt;="&amp;DATE(2026,2,21))/COUNTIFS('CALENDARIO INGRESOS'!M:M,"&lt;0",'CALENDARIO INGRESOS'!G:G,"&gt;="&amp;DATE(2026,2,15),'CALENDARIO INGRESOS'!G:G,"&lt;="&amp;DATE(2026,2,21)),0)</f>
        <v>-2.7857142857142856</v>
      </c>
      <c r="F56" s="381">
        <f>IFERROR(SUMIFS('CALENDARIO INGRESOS'!M:M,'CALENDARIO INGRESOS'!M:M,"&lt;0",'CALENDARIO INGRESOS'!G:G,"&gt;="&amp;DATE(2026,2,22),'CALENDARIO INGRESOS'!G:G,"&lt;="&amp;DATE(2026,2,28))/COUNTIFS('CALENDARIO INGRESOS'!M:M,"&lt;0",'CALENDARIO INGRESOS'!G:G,"&gt;="&amp;DATE(2026,2,22),'CALENDARIO INGRESOS'!G:G,"&lt;="&amp;DATE(2026,2,28)),0)</f>
        <v>-3.5</v>
      </c>
      <c r="G56" s="437">
        <f>SUMIFS('CALENDARIO INGRESOS'!M:M,'CALENDARIO INGRESOS'!M:M,"&lt;0",'CALENDARIO INGRESOS'!G:G,"&gt;="&amp;DATE(2026,2,1),'CALENDARIO INGRESOS'!G:G,"&lt;="&amp;DATE(2026,2,28))/COUNTIFS('CALENDARIO INGRESOS'!M:M,"&lt;0",'CALENDARIO INGRESOS'!G:G,"&gt;="&amp;DATE(2026,2,1),'CALENDARIO INGRESOS'!G:G,"&lt;="&amp;DATE(2026,2,28))</f>
        <v>-3.7419354838709675</v>
      </c>
      <c r="H56" s="369"/>
      <c r="I56" s="356" t="str">
        <f>IF(G56&gt;=-2,"✓","✗")</f>
        <v>✗</v>
      </c>
    </row>
    <row r="57" spans="1:12" ht="16" thickBot="1">
      <c r="A57" s="377" t="s">
        <v>4516</v>
      </c>
      <c r="B57" s="357" t="s">
        <v>4334</v>
      </c>
      <c r="C57" s="375">
        <f>COUNTIFS('CALENDARIO INGRESOS'!$M:$M,"&gt;15",'CALENDARIO INGRESOS'!$G:$G,"&gt;="&amp;DATE(2026,2,1),'CALENDARIO INGRESOS'!$G:$G,"&lt;="&amp;DATE(2026,2,7))/COUNTIFS('CALENDARIO INGRESOS'!$G:$G,"&gt;="&amp;DATE(2026,2,1),'CALENDARIO INGRESOS'!$G:$G,"&lt;="&amp;DATE(2026,2,7))</f>
        <v>2.0833333333333332E-2</v>
      </c>
      <c r="D57" s="374">
        <f>COUNTIFS('CALENDARIO INGRESOS'!$M:$M,"&gt;15",'CALENDARIO INGRESOS'!$G:$G,"&gt;="&amp;DATE(2026,2,8),'CALENDARIO INGRESOS'!$G:$G,"&lt;="&amp;DATE(2026,2,14))/COUNTIFS('CALENDARIO INGRESOS'!$G:$G,"&gt;="&amp;DATE(2026,2,8),'CALENDARIO INGRESOS'!$G:$G,"&lt;="&amp;DATE(2026,2,14))</f>
        <v>0</v>
      </c>
      <c r="E57" s="374">
        <f>COUNTIFS('CALENDARIO INGRESOS'!$M:$M,"&gt;15",'CALENDARIO INGRESOS'!$G:$G,"&gt;="&amp;DATE(2026,2,15),'CALENDARIO INGRESOS'!$G:$G,"&lt;="&amp;DATE(2026,2,21))/COUNTIFS('CALENDARIO INGRESOS'!$G:$G,"&gt;="&amp;DATE(2026,2,15),'CALENDARIO INGRESOS'!$G:$G,"&lt;="&amp;DATE(2026,2,21))</f>
        <v>3.8461538461538464E-2</v>
      </c>
      <c r="F57" s="374">
        <f>COUNTIFS('CALENDARIO INGRESOS'!$M:$M,"&gt;15",'CALENDARIO INGRESOS'!$G:$G,"&gt;="&amp;DATE(2026,2,22),'CALENDARIO INGRESOS'!$G:$G,"&lt;="&amp;DATE(2026,2,28))/COUNTIFS('CALENDARIO INGRESOS'!$G:$G,"&gt;="&amp;DATE(2026,2,22),'CALENDARIO INGRESOS'!$G:$G,"&lt;="&amp;DATE(2026,2,28))</f>
        <v>2.5000000000000001E-2</v>
      </c>
      <c r="G57" s="438">
        <f>COUNTIFS('CALENDARIO INGRESOS'!$M:$M,"&gt;15",'CALENDARIO INGRESOS'!$G:$G,"&gt;="&amp;DATE(2026,2,1),'CALENDARIO INGRESOS'!$G:$G,"&lt;="&amp;DATE(2026,2,28))/COUNTIFS('CALENDARIO INGRESOS'!$G:$G,"&gt;="&amp;DATE(2026,2,1),'CALENDARIO INGRESOS'!$G:$G,"&lt;="&amp;DATE(2026,2,28))</f>
        <v>2.4E-2</v>
      </c>
      <c r="H57" s="373" t="s">
        <v>125</v>
      </c>
      <c r="I57" s="358" t="str">
        <f>IF(G57&lt;=0.15,"✓","✗")</f>
        <v>✓</v>
      </c>
    </row>
    <row r="58" spans="1:12">
      <c r="A58" s="476"/>
      <c r="B58" s="493"/>
      <c r="C58" s="493"/>
      <c r="D58" s="493"/>
      <c r="E58" s="493"/>
      <c r="F58" s="493"/>
      <c r="G58" s="493"/>
      <c r="H58" s="493"/>
      <c r="I58" s="475"/>
    </row>
    <row r="59" spans="1:12" ht="17" thickBot="1">
      <c r="A59" s="474" t="s">
        <v>4335</v>
      </c>
      <c r="B59" s="492" t="s">
        <v>4320</v>
      </c>
      <c r="C59" s="493"/>
      <c r="D59" s="493"/>
      <c r="E59" s="493"/>
      <c r="F59" s="493"/>
      <c r="G59" s="493"/>
      <c r="H59" s="493"/>
      <c r="I59" s="475"/>
    </row>
    <row r="60" spans="1:12">
      <c r="A60" s="431" t="s">
        <v>4321</v>
      </c>
      <c r="B60" s="432" t="s">
        <v>4322</v>
      </c>
      <c r="C60" s="432" t="s">
        <v>4323</v>
      </c>
      <c r="D60" s="432" t="s">
        <v>4324</v>
      </c>
      <c r="E60" s="432" t="s">
        <v>4325</v>
      </c>
      <c r="F60" s="432" t="s">
        <v>4326</v>
      </c>
      <c r="G60" s="432" t="s">
        <v>4327</v>
      </c>
      <c r="H60" s="432" t="s">
        <v>4328</v>
      </c>
      <c r="I60" s="433" t="s">
        <v>68</v>
      </c>
    </row>
    <row r="61" spans="1:12">
      <c r="A61" s="376" t="s">
        <v>4336</v>
      </c>
      <c r="B61" s="355" t="s">
        <v>4337</v>
      </c>
      <c r="C61" s="381">
        <f ca="1">IF(TODAY()&gt;=DATE(2026,2,1),COUNTIFS('RESUMEN CLIENTES'!G:G,"&lt;="&amp;DATE(2026,2,7),'RESUMEN CLIENTES'!M:M,"OK")+COUNTIFS('RESUMEN CLIENTES'!G:G,"&lt;="&amp;DATE(2026,2,7),'RESUMEN CLIENTES'!M:M,"¡REGULARIZAR!")+COUNTIFS('RESUMEN CLIENTES'!G:G,"&lt;="&amp;DATE(2026,2,7),'RESUMEN CLIENTES'!M:M,"EVALUACION"),0)</f>
        <v>142</v>
      </c>
      <c r="D61" s="381">
        <f ca="1">IF(TODAY()&gt;=DATE(2026,2,8),COUNTIFS('RESUMEN CLIENTES'!G:G,"&lt;="&amp;DATE(2026,2,14),'RESUMEN CLIENTES'!M:M,"OK")+COUNTIFS('RESUMEN CLIENTES'!G:G,"&lt;="&amp;DATE(2026,2,14),'RESUMEN CLIENTES'!M:M,"¡REGULARIZAR!")+COUNTIFS('RESUMEN CLIENTES'!G:G,"&lt;="&amp;DATE(2026,2,14),'RESUMEN CLIENTES'!M:M,"EVALUACION"),0)</f>
        <v>143</v>
      </c>
      <c r="E61" s="381">
        <f ca="1">IF(TODAY()&gt;=DATE(2026,2,15),COUNTIFS('RESUMEN CLIENTES'!G:G,"&lt;="&amp;DATE(2026,2,21),'RESUMEN CLIENTES'!M:M,"OK")+COUNTIFS('RESUMEN CLIENTES'!G:G,"&lt;="&amp;DATE(2026,2,21),'RESUMEN CLIENTES'!M:M,"¡REGULARIZAR!")+COUNTIFS('RESUMEN CLIENTES'!G:G,"&lt;="&amp;DATE(2026,2,21),'RESUMEN CLIENTES'!M:M,"EVALUACION"),0)</f>
        <v>144</v>
      </c>
      <c r="F61" s="381">
        <f ca="1">IF(TODAY()&gt;=DATE(2026,2,22),COUNTIFS('RESUMEN CLIENTES'!G:G,"&lt;="&amp;DATE(2026,2,28),'RESUMEN CLIENTES'!M:M,"OK")+COUNTIFS('RESUMEN CLIENTES'!G:G,"&lt;="&amp;DATE(2026,2,28),'RESUMEN CLIENTES'!M:M,"¡REGULARIZAR!")+COUNTIFS('RESUMEN CLIENTES'!G:G,"&lt;="&amp;DATE(2026,2,28),'RESUMEN CLIENTES'!M:M,"EVALUACION"),0)</f>
        <v>145</v>
      </c>
      <c r="G61" s="437">
        <f>COUNTIFS('RESUMEN CLIENTES'!G:G,"&lt;="&amp;DATE(2026,2,28),'RESUMEN CLIENTES'!M:M,"OK")+COUNTIFS('RESUMEN CLIENTES'!G:G,"&lt;="&amp;DATE(2026,2,28),'RESUMEN CLIENTES'!M:M,"¡REGULARIZAR!")+COUNTIFS('RESUMEN CLIENTES'!G:G,"&lt;="&amp;DATE(2026,2,28),'RESUMEN CLIENTES'!M:M,"EVALUACION")</f>
        <v>145</v>
      </c>
      <c r="H61" s="355" t="s">
        <v>125</v>
      </c>
      <c r="I61" s="356" t="str">
        <f>IF(G61&gt;=140,"✓","✗")</f>
        <v>✓</v>
      </c>
    </row>
    <row r="62" spans="1:12">
      <c r="A62" s="376" t="s">
        <v>4338</v>
      </c>
      <c r="B62" s="382" t="s">
        <v>4517</v>
      </c>
      <c r="C62" s="381">
        <f>COUNTIFS('RESUMEN CLIENTES'!$G:$G,"&gt;="&amp;DATE(2026,2,1),'RESUMEN CLIENTES'!$G:$G,"&lt;="&amp;DATE(2026,2,7))</f>
        <v>2</v>
      </c>
      <c r="D62" s="382">
        <f>COUNTIFS('RESUMEN CLIENTES'!$G:$G,"&gt;="&amp;DATE(2026,2,8),'RESUMEN CLIENTES'!$G:$G,"&lt;="&amp;DATE(2026,2,14))</f>
        <v>1</v>
      </c>
      <c r="E62" s="355">
        <f>COUNTIFS('RESUMEN CLIENTES'!$G:$G,"&gt;="&amp;DATE(2026,2,15),'RESUMEN CLIENTES'!$G:$G,"&lt;="&amp;DATE(2026,2,21))</f>
        <v>1</v>
      </c>
      <c r="F62" s="355">
        <f>COUNTIFS('RESUMEN CLIENTES'!$G:$G,"&gt;="&amp;DATE(2026,2,22),'RESUMEN CLIENTES'!$G:$G,"&lt;="&amp;DATE(2026,2,28))</f>
        <v>1</v>
      </c>
      <c r="G62" s="439">
        <f>COUNTIFS('RESUMEN CLIENTES'!$G:$G,"&gt;="&amp;DATE(2026,2,1),'RESUMEN CLIENTES'!$G:$G,"&lt;="&amp;DATE(2026,2,28))</f>
        <v>5</v>
      </c>
      <c r="H62" s="369">
        <f>G62/20</f>
        <v>0.25</v>
      </c>
      <c r="I62" s="356" t="str">
        <f>IF(G62&gt;=20,"✓","✗")</f>
        <v>✗</v>
      </c>
    </row>
    <row r="63" spans="1:12">
      <c r="A63" s="376" t="s">
        <v>4339</v>
      </c>
      <c r="B63" s="382" t="s">
        <v>4340</v>
      </c>
      <c r="C63" s="381">
        <f ca="1">(COUNTIFS('RESUMEN CLIENTES'!J:J,"&gt;="&amp;DATE(2026,2,1),'RESUMEN CLIENTES'!J:J,"&lt;="&amp;DATE(2026,2,7),'RESUMEN CLIENTES'!M:M,"ELIMINADO")+COUNTIFS('RESUMEN CLIENTES'!J:J,"&gt;="&amp;DATE(2026,2,1),'RESUMEN CLIENTES'!J:J,"&lt;="&amp;DATE(2026,2,7),'RESUMEN CLIENTES'!M:M,"SUSPENDIDO")+COUNTIFS('RESUMEN CLIENTES'!J:J,"&gt;="&amp;DATE(2026,2,1),'RESUMEN CLIENTES'!J:J,"&lt;="&amp;DATE(2026,2,7),'RESUMEN CLIENTES'!M:M,"EN PAUSA"))/C61</f>
        <v>0</v>
      </c>
      <c r="D63" s="381">
        <f ca="1">(COUNTIFS('RESUMEN CLIENTES'!J:J,"&gt;="&amp;DATE(2026,2,8),'RESUMEN CLIENTES'!J:J,"&lt;="&amp;DATE(2026,2,14),'RESUMEN CLIENTES'!M:M,"ELIMINADO")+COUNTIFS('RESUMEN CLIENTES'!J:J,"&gt;="&amp;DATE(2026,2,8),'RESUMEN CLIENTES'!J:J,"&lt;="&amp;DATE(2026,2,14),'RESUMEN CLIENTES'!M:M,"SUSPENDIDO")+COUNTIFS('RESUMEN CLIENTES'!J:J,"&gt;="&amp;DATE(2026,2,8),'RESUMEN CLIENTES'!J:J,"&lt;="&amp;DATE(2026,2,14),'RESUMEN CLIENTES'!M:M,"EN PAUSA"))/D61</f>
        <v>0</v>
      </c>
      <c r="E63" s="355">
        <f ca="1">IFERROR((COUNTIFS('RESUMEN CLIENTES'!J:J,"&gt;="&amp;DATE(2026,2,15),'RESUMEN CLIENTES'!J:J,"&lt;="&amp;DATE(2026,2,21),'RESUMEN CLIENTES'!M:M,"ELIMINADO")+COUNTIFS('RESUMEN CLIENTES'!J:J,"&gt;="&amp;DATE(2026,2,15),'RESUMEN CLIENTES'!J:J,"&lt;="&amp;DATE(2026,2,21),'RESUMEN CLIENTES'!M:M,"SUSPENDIDO")+COUNTIFS('RESUMEN CLIENTES'!J:J,"&gt;="&amp;DATE(2026,2,15),'RESUMEN CLIENTES'!J:J,"&lt;="&amp;DATE(2026,2,21),'RESUMEN CLIENTES'!M:M,"EN PAUSA"))/E61,0)</f>
        <v>0</v>
      </c>
      <c r="F63" s="381">
        <f ca="1">IFERROR((COUNTIFS('RESUMEN CLIENTES'!J:J,"&gt;="&amp;DATE(2026,2,22),'RESUMEN CLIENTES'!J:J,"&lt;="&amp;DATE(2026,2,28),'RESUMEN CLIENTES'!M:M,"ELIMINADO")+COUNTIFS('RESUMEN CLIENTES'!J:J,"&gt;="&amp;DATE(2026,2,22),'RESUMEN CLIENTES'!J:J,"&lt;="&amp;DATE(2026,2,28),'RESUMEN CLIENTES'!M:M,"SUSPENDIDO")+COUNTIFS('RESUMEN CLIENTES'!J:J,"&gt;="&amp;DATE(2026,2,22),'RESUMEN CLIENTES'!J:J,"&lt;="&amp;DATE(2026,2,28),'RESUMEN CLIENTES'!M:M,"EN PAUSA"))/F61,0)</f>
        <v>0</v>
      </c>
      <c r="G63" s="435">
        <f>(COUNTIFS('RESUMEN CLIENTES'!J:J,"&gt;="&amp;DATE(2026,2,1),'RESUMEN CLIENTES'!J:J,"&lt;="&amp;DATE(2026,2,28),'RESUMEN CLIENTES'!M:M,"ELIMINADO")+COUNTIFS('RESUMEN CLIENTES'!J:J,"&gt;="&amp;DATE(2026,2,1),'RESUMEN CLIENTES'!J:J,"&lt;="&amp;DATE(2026,2,28),'RESUMEN CLIENTES'!M:M,"SUSPENDIDO")+COUNTIFS('RESUMEN CLIENTES'!J:J,"&gt;="&amp;DATE(2026,2,1),'RESUMEN CLIENTES'!J:J,"&lt;="&amp;DATE(2026,2,28),'RESUMEN CLIENTES'!M:M,"EN PAUSA"))/G61</f>
        <v>0</v>
      </c>
      <c r="H63" s="369" t="s">
        <v>125</v>
      </c>
      <c r="I63" s="356" t="str">
        <f>IF(G63&lt;=0.05,"✓","✗")</f>
        <v>✓</v>
      </c>
    </row>
    <row r="64" spans="1:12">
      <c r="A64" s="376" t="s">
        <v>4341</v>
      </c>
      <c r="B64" s="355" t="s">
        <v>4330</v>
      </c>
      <c r="C64" s="472">
        <f ca="1">COUNTIFS('RESUMEN CLIENTES'!$G:$G,"&lt;="&amp;DATE(2026,2,7),'RESUMEN CLIENTES'!$M:$M,"OK")/C61</f>
        <v>0.90845070422535212</v>
      </c>
      <c r="D64" s="472">
        <f ca="1">COUNTIFS('RESUMEN CLIENTES'!$G:$G,"&lt;="&amp;DATE(2026,2,14),'RESUMEN CLIENTES'!$M:$M,"OK")/D61</f>
        <v>0.90909090909090906</v>
      </c>
      <c r="E64" s="501">
        <f ca="1">IFERROR(COUNTIFS('RESUMEN CLIENTES'!$G:$G,"&lt;="&amp;DATE(2026,2,21),'RESUMEN CLIENTES'!$M:$M,"OK")/E61,0)</f>
        <v>0.90972222222222221</v>
      </c>
      <c r="F64" s="501">
        <f ca="1">IFERROR(COUNTIFS('RESUMEN CLIENTES'!$G:$G,"&lt;="&amp;DATE(2026,2,28),'RESUMEN CLIENTES'!$M:$M,"OK")/F61,0)</f>
        <v>0.91034482758620694</v>
      </c>
      <c r="G64" s="435">
        <f>IFERROR(COUNTIFS('RESUMEN CLIENTES'!$G:$G,"&lt;="&amp;DATE(2026,2,28),'RESUMEN CLIENTES'!$M:$M,"OK")/G61,0)</f>
        <v>0.91034482758620694</v>
      </c>
      <c r="H64" s="369">
        <f>G64/0.9</f>
        <v>1.0114942528735633</v>
      </c>
      <c r="I64" s="356" t="str">
        <f>IF(G64&gt;=0.9,"✓","✗")</f>
        <v>✓</v>
      </c>
    </row>
    <row r="65" spans="1:15" ht="16" thickBot="1">
      <c r="A65" s="377" t="s">
        <v>4342</v>
      </c>
      <c r="B65" s="357" t="s">
        <v>4343</v>
      </c>
      <c r="C65" s="473">
        <f ca="1">IF(TODAY()&gt;=DATE(2026,2,1),COUNTIFS('RESUMEN CLIENTES'!$G:$G,"&lt;="&amp;DATE(2026,2,7),'RESUMEN CLIENTES'!$M:$M,"OK",'RESUMEN CLIENTES'!$W:$W,1)/COUNTIFS('RESUMEN CLIENTES'!$G:$G,"&lt;="&amp;DATE(2026,2,7),'RESUMEN CLIENTES'!$M:$M,"OK"),0)</f>
        <v>0.51162790697674421</v>
      </c>
      <c r="D65" s="473">
        <f ca="1">IF(TODAY()&gt;=DATE(2026,2,8),COUNTIFS('RESUMEN CLIENTES'!$G:$G,"&lt;="&amp;DATE(2026,2,14),'RESUMEN CLIENTES'!$M:$M,"OK",'RESUMEN CLIENTES'!$W:$W,1)/COUNTIFS('RESUMEN CLIENTES'!$G:$G,"&lt;="&amp;DATE(2026,2,14),'RESUMEN CLIENTES'!$M:$M,"OK"),0)</f>
        <v>0.50769230769230766</v>
      </c>
      <c r="E65" s="473">
        <f ca="1">IF(TODAY()&gt;=DATE(2026,2,15),COUNTIFS('RESUMEN CLIENTES'!$G:$G,"&lt;="&amp;DATE(2026,2,21),'RESUMEN CLIENTES'!$M:$M,"OK",'RESUMEN CLIENTES'!$W:$W,1)/COUNTIFS('RESUMEN CLIENTES'!$G:$G,"&lt;="&amp;DATE(2026,2,21),'RESUMEN CLIENTES'!$M:$M,"OK"),0)</f>
        <v>0.50381679389312972</v>
      </c>
      <c r="F65" s="473">
        <f ca="1">IF(TODAY()&gt;=DATE(2026,2,22),COUNTIFS('RESUMEN CLIENTES'!$G:$G,"&lt;="&amp;DATE(2026,2,28),'RESUMEN CLIENTES'!$M:$M,"OK",'RESUMEN CLIENTES'!$W:$W,1)/COUNTIFS('RESUMEN CLIENTES'!$G:$G,"&lt;="&amp;DATE(2026,2,28),'RESUMEN CLIENTES'!$M:$M,"OK"),0)</f>
        <v>0.5</v>
      </c>
      <c r="G65" s="435">
        <f>COUNTIFS('RESUMEN CLIENTES'!$G:$G,"&lt;="&amp;DATE(2026,2,28),'RESUMEN CLIENTES'!$M:$M,"OK",'RESUMEN CLIENTES'!$W:$W,1)/COUNTIFS('RESUMEN CLIENTES'!$G:$G,"&lt;="&amp;DATE(2026,2,28),'RESUMEN CLIENTES'!$M:$M,"OK")</f>
        <v>0.5</v>
      </c>
      <c r="H65" s="375">
        <f>G65/0.7</f>
        <v>0.7142857142857143</v>
      </c>
      <c r="I65" s="358" t="str">
        <f>IF(G65&gt;=0.7,"✓","✗")</f>
        <v>✗</v>
      </c>
    </row>
    <row r="66" spans="1:15">
      <c r="A66" s="503"/>
      <c r="B66" s="21"/>
      <c r="C66" s="21"/>
      <c r="D66" s="21"/>
      <c r="E66" s="21"/>
      <c r="F66" s="21"/>
      <c r="G66" s="21"/>
      <c r="H66" s="21"/>
      <c r="I66" s="499"/>
    </row>
    <row r="67" spans="1:15" ht="17" thickBot="1">
      <c r="A67" s="474" t="s">
        <v>4344</v>
      </c>
      <c r="B67" s="492" t="s">
        <v>4345</v>
      </c>
      <c r="C67" s="493"/>
      <c r="D67" s="493"/>
      <c r="E67" s="493"/>
      <c r="F67" s="493"/>
      <c r="G67" s="493"/>
      <c r="H67" s="493"/>
      <c r="I67" s="475"/>
    </row>
    <row r="68" spans="1:15">
      <c r="A68" s="431" t="s">
        <v>4321</v>
      </c>
      <c r="B68" s="432" t="s">
        <v>4322</v>
      </c>
      <c r="C68" s="432" t="s">
        <v>4323</v>
      </c>
      <c r="D68" s="432" t="s">
        <v>4324</v>
      </c>
      <c r="E68" s="432" t="s">
        <v>4325</v>
      </c>
      <c r="F68" s="432" t="s">
        <v>4326</v>
      </c>
      <c r="G68" s="432" t="s">
        <v>4327</v>
      </c>
      <c r="H68" s="432" t="s">
        <v>4328</v>
      </c>
      <c r="I68" s="433" t="s">
        <v>68</v>
      </c>
    </row>
    <row r="69" spans="1:15">
      <c r="A69" s="379" t="s">
        <v>4566</v>
      </c>
      <c r="B69" s="362" t="s">
        <v>4347</v>
      </c>
      <c r="C69" s="363">
        <f ca="1">SUMIFS(INGRESOS!$J:$J,INGRESOS!$A:$A,"&gt;="&amp;DATE(2026,2,1),INGRESOS!$A:$A,"&lt;="&amp;MIN(TODAY(),DATE(2026,2,7)))</f>
        <v>44659.403931162473</v>
      </c>
      <c r="D69" s="363">
        <f ca="1">SUMIFS(INGRESOS!$J:$J,INGRESOS!$A:$A,"&gt;="&amp;DATE(2026,2,8),INGRESOS!$A:$A,"&lt;="&amp;MIN(TODAY(),DATE(2026,2,14)))</f>
        <v>17737.097823648546</v>
      </c>
      <c r="E69" s="363">
        <f ca="1">SUMIFS(INGRESOS!$J:$J,INGRESOS!$A:$A,"&gt;="&amp;DATE(2026,2,15),INGRESOS!$A:$A,"&lt;="&amp;MIN(TODAY(),DATE(2026,2,21)))</f>
        <v>19243.140000000003</v>
      </c>
      <c r="F69" s="363">
        <f ca="1">SUMIFS(INGRESOS!$J:$J,INGRESOS!$A:$A,"&gt;="&amp;DATE(2026,2,22),INGRESOS!$A:$A,"&lt;="&amp;MIN(TODAY(),DATE(2026,2,28)))</f>
        <v>30353.727847140206</v>
      </c>
      <c r="G69" s="440">
        <f ca="1">SUM(C69:F69)</f>
        <v>111993.36960195123</v>
      </c>
      <c r="H69" s="362" t="s">
        <v>125</v>
      </c>
      <c r="I69" s="364" t="s">
        <v>125</v>
      </c>
    </row>
    <row r="70" spans="1:15">
      <c r="A70" s="379" t="s">
        <v>51</v>
      </c>
      <c r="B70" s="362"/>
      <c r="C70" s="363">
        <f ca="1">SUMIFS(SALIDAS!$F:$F,SALIDAS!$U:$U,"COR",SALIDAS!$A:$A,"&gt;="&amp;DATE(2026,2,1),SALIDAS!$A:$A,"&lt;="&amp;MIN(TODAY(),DATE(2026,2,7)))</f>
        <v>-1702.3085000000001</v>
      </c>
      <c r="D70" s="363">
        <f ca="1">SUMIFS(SALIDAS!$F:$F,SALIDAS!$U:$U,"COR",SALIDAS!$A:$A,"&gt;="&amp;DATE(2026,2,8),SALIDAS!$A:$A,"&lt;="&amp;MIN(TODAY(),DATE(2026,2,14)))</f>
        <v>-1800</v>
      </c>
      <c r="E70" s="363">
        <f ca="1">SUMIFS(SALIDAS!$F:$F,SALIDAS!$U:$U,"COR",SALIDAS!$A:$A,"&gt;="&amp;DATE(2026,2,15),SALIDAS!$A:$A,"&lt;="&amp;MIN(TODAY(),DATE(2026,2,21)))</f>
        <v>-268.02999999999997</v>
      </c>
      <c r="F70" s="363">
        <f ca="1">SUMIFS(SALIDAS!$F:$F,SALIDAS!$U:$U,"COR",SALIDAS!$A:$A,"&gt;="&amp;DATE(2026,2,22),SALIDAS!$A:$A,"&lt;="&amp;MIN(TODAY(),DATE(2026,2,28)))</f>
        <v>-2046.6160860000002</v>
      </c>
      <c r="G70" s="440">
        <f ca="1">+SUM(C70:F70)</f>
        <v>-5816.9545859999998</v>
      </c>
      <c r="H70" s="362"/>
      <c r="I70" s="364"/>
      <c r="M70" s="2"/>
      <c r="O70" s="2"/>
    </row>
    <row r="71" spans="1:15">
      <c r="A71" s="379" t="s">
        <v>4350</v>
      </c>
      <c r="B71" s="362" t="s">
        <v>4349</v>
      </c>
      <c r="C71" s="363">
        <f ca="1">SUMIFS(INGRESOS!$J:$J,INGRESOS!$A:$A,"&gt;="&amp;DATE(2026,2,1),INGRESOS!$A:$A,"&lt;="&amp;MIN(TODAY(),DATE(2026,2,7)))+SUMIFS(SALIDAS!$F:$F,SALIDAS!$U:$U,"COR",SALIDAS!$A:$A,"&gt;="&amp;DATE(2026,2,1),SALIDAS!$A:$A,"&lt;="&amp;MIN(TODAY(),DATE(2026,2,7)))+SUMIFS(SALIDAS!$F:$F,SALIDAS!$V:$V,"Customer Success",SALIDAS!$U:$U,"OPEX",SALIDAS!$A:$A,"&gt;="&amp;DATE(2026,2,1),SALIDAS!$A:$A,"&lt;="&amp;MIN(TODAY(),DATE(2026,2,7)))</f>
        <v>42957.095431162474</v>
      </c>
      <c r="D71" s="384">
        <f ca="1">SUMIFS(INGRESOS!$J:$J,INGRESOS!$A:$A,"&gt;="&amp;DATE(2026,2,8),INGRESOS!$A:$A,"&lt;="&amp;MIN(TODAY(),DATE(2026,2,14)))+SUMIFS(SALIDAS!$F:$F,SALIDAS!$U:$U,"COR",SALIDAS!$A:$A,"&gt;="&amp;DATE(2026,2,8),SALIDAS!$A:$A,"&lt;="&amp;MIN(TODAY(),DATE(2026,2,14)))+SUMIFS(SALIDAS!$F:$F,SALIDAS!$V:$V,"Customer Success",SALIDAS!$U:$U,"OPEX",SALIDAS!$A:$A,"&gt;="&amp;DATE(2026,2,8),SALIDAS!$A:$A,"&lt;="&amp;MIN(TODAY(),DATE(2026,2,14)))</f>
        <v>14557.127823648547</v>
      </c>
      <c r="E71" s="384">
        <f ca="1">SUMIFS(INGRESOS!$J:$J,INGRESOS!$A:$A,"&gt;="&amp;DATE(2026,2,15),INGRESOS!$A:$A,"&lt;="&amp;MIN(TODAY(),DATE(2026,2,21)))+SUMIFS(SALIDAS!$F:$F,SALIDAS!$U:$U,"COR",SALIDAS!$A:$A,"&gt;="&amp;DATE(2026,2,15),SALIDAS!$A:$A,"&lt;="&amp;MIN(TODAY(),DATE(2026,2,21)))+SUMIFS(SALIDAS!$F:$F,SALIDAS!$V:$V,"Customer Success",SALIDAS!$U:$U,"OPEX",SALIDAS!$A:$A,"&gt;="&amp;DATE(2026,2,15),SALIDAS!$A:$A,"&lt;="&amp;MIN(TODAY(),DATE(2026,2,21)))</f>
        <v>8295.8400000000038</v>
      </c>
      <c r="F71" s="384">
        <f ca="1">SUMIFS(INGRESOS!$J:$J,INGRESOS!$A:$A,"&gt;="&amp;DATE(2026,2,22),INGRESOS!$A:$A,"&lt;="&amp;MIN(TODAY(),DATE(2026,2,28)))+SUMIFS(SALIDAS!$F:$F,SALIDAS!$U:$U,"COR",SALIDAS!$A:$A,"&gt;="&amp;DATE(2026,2,22),SALIDAS!$A:$A,"&lt;="&amp;MIN(TODAY(),DATE(2026,2,28)))+SUMIFS(SALIDAS!$F:$F,SALIDAS!$V:$V,"Customer Success",SALIDAS!$U:$U,"OPEX",SALIDAS!$A:$A,"&gt;="&amp;DATE(2026,2,22),SALIDAS!$A:$A,"&lt;="&amp;MIN(TODAY(),DATE(2026,2,28)))</f>
        <v>28307.111761140204</v>
      </c>
      <c r="G71" s="440">
        <f ca="1">SUM(C71:F71)</f>
        <v>94117.175015951216</v>
      </c>
      <c r="H71" s="417">
        <f ca="1">(G71/G69)/0.65</f>
        <v>1.2928948774854208</v>
      </c>
      <c r="I71" s="421" t="s">
        <v>125</v>
      </c>
      <c r="M71" s="2"/>
      <c r="O71" s="2"/>
    </row>
    <row r="72" spans="1:15" ht="16" thickBot="1">
      <c r="A72" s="599" t="s">
        <v>4518</v>
      </c>
      <c r="B72" s="618" t="s">
        <v>4351</v>
      </c>
      <c r="C72" s="619">
        <f ca="1">IF(TODAY()&gt;=DATE(2026,2,1),C71/C69,0)</f>
        <v>0.96188241780781669</v>
      </c>
      <c r="D72" s="619">
        <f ca="1">IF(TODAY()&gt;=DATE(2026,2,8),D71/D69,0)</f>
        <v>0.82071644236182739</v>
      </c>
      <c r="E72" s="619">
        <f ca="1">IF(TODAY()&gt;=DATE(2026,2,15),E71/E69,0)</f>
        <v>0.4311063579020889</v>
      </c>
      <c r="F72" s="619">
        <f ca="1">IF(TODAY()&gt;=DATE(2026,2,22),F71/F69,0)</f>
        <v>0.93257447334618493</v>
      </c>
      <c r="G72" s="620">
        <f ca="1">G71/G69</f>
        <v>0.84038167036552347</v>
      </c>
      <c r="H72" s="621" t="s">
        <v>125</v>
      </c>
      <c r="I72" s="622" t="str">
        <f ca="1">IF((G71/G69)&gt;=0.65,"✓","✗")</f>
        <v>✓</v>
      </c>
      <c r="M72" s="2"/>
      <c r="O72" s="2"/>
    </row>
    <row r="73" spans="1:15" ht="16" thickBot="1">
      <c r="A73" s="604" t="s">
        <v>59</v>
      </c>
      <c r="B73" s="623" t="s">
        <v>4348</v>
      </c>
      <c r="C73" s="627">
        <f ca="1">SUMIFS(INGRESOS!$J:$J,INGRESOS!$A:$A,"&gt;="&amp;DATE(2026,2,1),INGRESOS!$A:$A,"&lt;="&amp;MIN(TODAY(),DATE(2026,2,7)))+SUMIFS(SALIDAS!$F:$F,SALIDAS!$U:$U,"COR",SALIDAS!$A:$A,"&gt;="&amp;DATE(2026,2,1),SALIDAS!$A:$A,"&lt;="&amp;MIN(TODAY(),DATE(2026,2,7)))+SUMIFS(SALIDAS!$F:$F,SALIDAS!$U:$U,"OPEX",SALIDAS!$A:$A,"&gt;="&amp;DATE(2026,2,1),SALIDAS!$A:$A,"&lt;="&amp;MIN(TODAY(),DATE(2026,2,7)))</f>
        <v>19257.811527782469</v>
      </c>
      <c r="D73" s="627">
        <f ca="1">SUMIFS(INGRESOS!$J:$J,INGRESOS!$A:$A,"&gt;="&amp;DATE(2026,2,8),INGRESOS!$A:$A,"&lt;="&amp;MIN(TODAY(),DATE(2026,2,14)))+SUMIFS(SALIDAS!$F:$F,SALIDAS!$U:$U,"COR",SALIDAS!$A:$A,"&gt;="&amp;DATE(2026,2,8),SALIDAS!$A:$A,"&lt;="&amp;MIN(TODAY(),DATE(2026,2,14)))+SUMIFS(SALIDAS!$F:$F,SALIDAS!$U:$U,"OPEX",SALIDAS!$A:$A,"&gt;="&amp;DATE(2026,2,8),SALIDAS!$A:$A,"&lt;="&amp;MIN(TODAY(),DATE(2026,2,14)))</f>
        <v>13345.932920648545</v>
      </c>
      <c r="E73" s="627">
        <f ca="1">SUMIFS(INGRESOS!$J:$J,INGRESOS!$A:$A,"&gt;="&amp;DATE(2026,2,15),INGRESOS!$A:$A,"&lt;="&amp;MIN(TODAY(),DATE(2026,2,21)))+SUMIFS(SALIDAS!$F:$F,SALIDAS!$U:$U,"COR",SALIDAS!$A:$A,"&gt;="&amp;DATE(2026,2,15),SALIDAS!$A:$A,"&lt;="&amp;MIN(TODAY(),DATE(2026,2,21)))+SUMIFS(SALIDAS!$F:$F,SALIDAS!$U:$U,"OPEX",SALIDAS!$A:$A,"&gt;="&amp;DATE(2026,2,15),SALIDAS!$A:$A,"&lt;="&amp;MIN(TODAY(),DATE(2026,2,21)))</f>
        <v>2016.6691388100044</v>
      </c>
      <c r="F73" s="627">
        <f ca="1">SUMIFS(INGRESOS!$J:$J,INGRESOS!$A:$A,"&gt;="&amp;DATE(2026,2,22),INGRESOS!$A:$A,"&lt;="&amp;MIN(TODAY(),DATE(2026,2,28)))+SUMIFS(SALIDAS!$F:$F,SALIDAS!$U:$U,"COR",SALIDAS!$A:$A,"&gt;="&amp;DATE(2026,2,22),SALIDAS!$A:$A,"&lt;="&amp;MIN(TODAY(),DATE(2026,2,28)))+SUMIFS(SALIDAS!$F:$F,SALIDAS!$U:$U,"OPEX",SALIDAS!$A:$A,"&gt;="&amp;DATE(2026,2,22),SALIDAS!$A:$A,"&lt;="&amp;MIN(TODAY(),DATE(2026,2,28)))</f>
        <v>-41368.992907019812</v>
      </c>
      <c r="G73" s="624">
        <f ca="1">SUM(C73:F73)</f>
        <v>-6748.5793197787934</v>
      </c>
      <c r="H73" s="625">
        <f ca="1">IF(G73&gt;=0,1,0)</f>
        <v>0</v>
      </c>
      <c r="I73" s="626" t="str">
        <f ca="1">IF(G73&gt;=0,"✓","✗")</f>
        <v>✗</v>
      </c>
    </row>
    <row r="74" spans="1:15">
      <c r="A74" s="378" t="s">
        <v>58</v>
      </c>
      <c r="B74" s="359" t="s">
        <v>4349</v>
      </c>
      <c r="C74" s="360">
        <f ca="1">SUMIFS(SALIDAS!$F:$F,SALIDAS!$U:$U,"OPEX",SALIDAS!$A:$A,"&gt;="&amp;DATE(2026,2,1),SALIDAS!$A:$A,"&lt;="&amp;MIN(TODAY(),DATE(2026,2,7)))</f>
        <v>-23699.283903380005</v>
      </c>
      <c r="D74" s="360">
        <f ca="1">SUMIFS(SALIDAS!$F:$F,SALIDAS!$U:$U,"OPEX",SALIDAS!$A:$A,"&gt;="&amp;DATE(2026,2,8),SALIDAS!$A:$A,"&lt;="&amp;MIN(TODAY(),DATE(2026,2,14)))</f>
        <v>-2591.1649029999999</v>
      </c>
      <c r="E74" s="360">
        <f ca="1">SUMIFS(SALIDAS!$F:$F,SALIDAS!$U:$U,"OPEX",SALIDAS!$A:$A,"&gt;="&amp;DATE(2026,2,15),SALIDAS!$A:$A,"&lt;="&amp;MIN(TODAY(),DATE(2026,2,21)))</f>
        <v>-16958.44086119</v>
      </c>
      <c r="F74" s="360">
        <f ca="1">SUMIFS(SALIDAS!$F:$F,SALIDAS!$U:$U,"OPEX",SALIDAS!$A:$A,"&gt;="&amp;DATE(2026,2,22),SALIDAS!$A:$A,"&lt;="&amp;MIN(TODAY(),DATE(2026,2,28)))</f>
        <v>-69676.104668160013</v>
      </c>
      <c r="G74" s="442">
        <f ca="1">SUM(C74:F74)</f>
        <v>-112924.99433573002</v>
      </c>
      <c r="H74" s="359" t="s">
        <v>125</v>
      </c>
      <c r="I74" s="361" t="s">
        <v>125</v>
      </c>
    </row>
    <row r="75" spans="1:15">
      <c r="A75" s="434" t="s">
        <v>54</v>
      </c>
      <c r="B75" s="362"/>
      <c r="C75" s="363">
        <f ca="1">SUMIFS(SALIDAS!$F:$F,SALIDAS!$U:$U,"OPEX",SALIDAS!V:V,KPIs!A75,SALIDAS!$A:$A,"&gt;="&amp;DATE(2026,2,1),SALIDAS!$A:$A,"&lt;="&amp;MIN(TODAY(),DATE(2026,2,7)))</f>
        <v>-16188.30270238</v>
      </c>
      <c r="D75" s="363">
        <f ca="1">SUMIFS(SALIDAS!$F:$F,SALIDAS!$U:$U,"OPEX",SALIDAS!V:V,KPIs!A75,SALIDAS!$A:$A,"&gt;="&amp;DATE(2026,2,8),SALIDAS!$A:$A,"&lt;="&amp;MIN(TODAY(),DATE(2026,2,14)))</f>
        <v>-840.33490299999994</v>
      </c>
      <c r="E75" s="363">
        <f ca="1">SUMIFS(SALIDAS!$F:$F,SALIDAS!$U:$U,"OPEX",SALIDAS!V:V,KPIs!A75,SALIDAS!$A:$A,"&gt;="&amp;DATE(2026,2,15),SALIDAS!$A:$A,"&lt;="&amp;MIN(TODAY(),DATE(2026,2,21)))</f>
        <v>-624.51254280000001</v>
      </c>
      <c r="F75" s="363">
        <f ca="1">SUMIFS(SALIDAS!$F:$F,SALIDAS!$U:$U,"OPEX",SALIDAS!V:V,KPIs!A75,SALIDAS!$A:$A,"&gt;="&amp;DATE(2026,2,22),SALIDAS!$A:$A,"&lt;="&amp;MIN(TODAY(),DATE(2026,2,28)))</f>
        <v>-35433.866560000002</v>
      </c>
      <c r="G75" s="440">
        <f ca="1">SUM(C75:F75)</f>
        <v>-53087.016708180003</v>
      </c>
      <c r="H75" s="362"/>
      <c r="I75" s="364"/>
    </row>
    <row r="76" spans="1:15">
      <c r="A76" s="434" t="s">
        <v>55</v>
      </c>
      <c r="B76" s="362"/>
      <c r="C76" s="363">
        <f ca="1">SUMIFS(SALIDAS!$F:$F,SALIDAS!$U:$U,"OPEX",SALIDAS!V:V,A76,SALIDAS!$A:$A,"&gt;="&amp;DATE(2026,2,1),SALIDAS!$A:$A,"&lt;="&amp;MIN(TODAY(),DATE(2026,2,7)))</f>
        <v>-325.62904200000003</v>
      </c>
      <c r="D76" s="363">
        <f ca="1">SUMIFS(SALIDAS!$F:$F,SALIDAS!$U:$U,"OPEX",SALIDAS!V:V,KPIs!A76,SALIDAS!$A:$A,"&gt;="&amp;DATE(2026,2,8),SALIDAS!$A:$A,"&lt;="&amp;MIN(TODAY(),DATE(2026,2,14)))</f>
        <v>0</v>
      </c>
      <c r="E76" s="363">
        <f ca="1">SUMIFS(SALIDAS!$F:$F,SALIDAS!$U:$U,"OPEX",SALIDAS!V:V,KPIs!A76,SALIDAS!$A:$A,"&gt;="&amp;DATE(2026,2,15),SALIDAS!$A:$A,"&lt;="&amp;MIN(TODAY(),DATE(2026,2,21)))</f>
        <v>-276.79970000000003</v>
      </c>
      <c r="F76" s="363">
        <f ca="1">SUMIFS(SALIDAS!$F:$F,SALIDAS!$U:$U,"OPEX",SALIDAS!V:V,KPIs!A76,SALIDAS!$A:$A,"&gt;="&amp;DATE(2026,2,22),SALIDAS!$A:$A,"&lt;="&amp;MIN(TODAY(),DATE(2026,2,28)))</f>
        <v>-299.71314216000002</v>
      </c>
      <c r="G76" s="440">
        <f t="shared" ref="G76" ca="1" si="1">SUM(C76:F76)</f>
        <v>-902.14188416000002</v>
      </c>
      <c r="H76" s="362"/>
      <c r="I76" s="364"/>
    </row>
    <row r="77" spans="1:15">
      <c r="A77" s="434" t="s">
        <v>56</v>
      </c>
      <c r="B77" s="362"/>
      <c r="C77" s="363">
        <f ca="1">SUMIFS(SALIDAS!$F:$F,SALIDAS!$U:$U,"OPEX",SALIDAS!V:V,A77,SALIDAS!$A:$A,"&gt;="&amp;DATE(2026,2,1),SALIDAS!$A:$A,"&lt;="&amp;MIN(TODAY(),DATE(2026,2,7)))</f>
        <v>-7185.352159</v>
      </c>
      <c r="D77" s="363">
        <f ca="1">SUMIFS(SALIDAS!$F:$F,SALIDAS!$U:$U,"OPEX",SALIDAS!V:V,KPIs!A77,SALIDAS!$A:$A,"&gt;="&amp;DATE(2026,2,8),SALIDAS!$A:$A,"&lt;="&amp;MIN(TODAY(),DATE(2026,2,14)))</f>
        <v>-370.86</v>
      </c>
      <c r="E77" s="363">
        <f ca="1">SUMIFS(SALIDAS!$F:$F,SALIDAS!$U:$U,"OPEX",SALIDAS!V:V,KPIs!A77,SALIDAS!$A:$A,"&gt;="&amp;DATE(2026,2,15),SALIDAS!$A:$A,"&lt;="&amp;MIN(TODAY(),DATE(2026,2,21)))</f>
        <v>-5377.8586183899997</v>
      </c>
      <c r="F77" s="363">
        <f ca="1">SUMIFS(SALIDAS!$F:$F,SALIDAS!$U:$U,"OPEX",SALIDAS!V:V,KPIs!A77,SALIDAS!$A:$A,"&gt;="&amp;DATE(2026,2,22),SALIDAS!$A:$A,"&lt;="&amp;MIN(TODAY(),DATE(2026,2,28)))</f>
        <v>-33942.524965999997</v>
      </c>
      <c r="G77" s="440">
        <f ca="1">SUM(C77:F77)</f>
        <v>-46876.595743389997</v>
      </c>
      <c r="H77" s="362"/>
      <c r="I77" s="364"/>
    </row>
    <row r="78" spans="1:15" ht="16" thickBot="1">
      <c r="A78" s="496" t="s">
        <v>57</v>
      </c>
      <c r="B78" s="367"/>
      <c r="C78" s="497">
        <f ca="1">SUMIFS(SALIDAS!$F:$F,SALIDAS!$U:$U,"OPEX",SALIDAS!V:V,A78,SALIDAS!$A:$A,"&gt;="&amp;DATE(2026,2,1),SALIDAS!$A:$A,"&lt;="&amp;MIN(TODAY(),DATE(2026,2,7)))</f>
        <v>0</v>
      </c>
      <c r="D78" s="497">
        <f ca="1">SUMIFS(SALIDAS!$F:$F,SALIDAS!$U:$U,"OPEX",SALIDAS!V:V,KPIs!A78,SALIDAS!$A:$A,"&gt;="&amp;DATE(2026,2,8),SALIDAS!$A:$A,"&lt;="&amp;MIN(TODAY(),DATE(2026,2,14)))</f>
        <v>-1379.97</v>
      </c>
      <c r="E78" s="497">
        <f ca="1">SUMIFS(SALIDAS!$F:$F,SALIDAS!$U:$U,"OPEX",SALIDAS!V:V,KPIs!A78,SALIDAS!$A:$A,"&gt;="&amp;DATE(2026,2,15),SALIDAS!$A:$A,"&lt;="&amp;MIN(TODAY(),DATE(2026,2,21)))</f>
        <v>-10679.27</v>
      </c>
      <c r="F78" s="497">
        <f ca="1">SUMIFS(SALIDAS!$F:$F,SALIDAS!$U:$U,"OPEX",SALIDAS!V:V,KPIs!A78,SALIDAS!$A:$A,"&gt;="&amp;DATE(2026,2,22),SALIDAS!$A:$A,"&lt;="&amp;MIN(TODAY(),DATE(2026,2,28)))</f>
        <v>0</v>
      </c>
      <c r="G78" s="498">
        <f ca="1">SUM(C78:F78)</f>
        <v>-12059.24</v>
      </c>
      <c r="H78" s="367"/>
      <c r="I78" s="419"/>
    </row>
    <row r="79" spans="1:15">
      <c r="A79" s="502"/>
      <c r="I79" s="499"/>
    </row>
    <row r="80" spans="1:15" ht="17" thickBot="1">
      <c r="A80" s="474" t="s">
        <v>4352</v>
      </c>
      <c r="B80" s="492" t="s">
        <v>4353</v>
      </c>
      <c r="C80" s="493"/>
      <c r="D80" s="493"/>
      <c r="E80" s="493"/>
      <c r="F80" s="493"/>
      <c r="G80" s="493"/>
      <c r="H80" s="493"/>
      <c r="I80" s="475"/>
    </row>
    <row r="81" spans="1:9" ht="16" thickBot="1">
      <c r="A81" s="431" t="s">
        <v>4321</v>
      </c>
      <c r="B81" s="432" t="s">
        <v>4322</v>
      </c>
      <c r="C81" s="432" t="s">
        <v>4323</v>
      </c>
      <c r="D81" s="432" t="s">
        <v>4324</v>
      </c>
      <c r="E81" s="432" t="s">
        <v>4325</v>
      </c>
      <c r="F81" s="432" t="s">
        <v>4326</v>
      </c>
      <c r="G81" s="432" t="s">
        <v>4327</v>
      </c>
      <c r="H81" s="432" t="s">
        <v>4328</v>
      </c>
      <c r="I81" s="433" t="s">
        <v>68</v>
      </c>
    </row>
    <row r="82" spans="1:9">
      <c r="A82" s="378" t="s">
        <v>4354</v>
      </c>
      <c r="B82" s="359" t="s">
        <v>4349</v>
      </c>
      <c r="C82" s="360">
        <f>-SUMIFS(SALIDAS!$F:$F, SALIDAS!$A:$A, "&gt;=" &amp; DATE(2026,2,1), SALIDAS!$A:$A, "&lt;=" &amp; DATE(2026,2,7))</f>
        <v>25401.592403380004</v>
      </c>
      <c r="D82" s="360">
        <f>-SUMIFS(SALIDAS!$F:$F, SALIDAS!$A:$A, "&gt;=" &amp; DATE(2026,2,8), SALIDAS!$A:$A, "&lt;=" &amp; DATE(2026,2,14))</f>
        <v>4391.1649029999999</v>
      </c>
      <c r="E82" s="360">
        <f>-SUMIFS(SALIDAS!$F:$F, SALIDAS!$A:$A, "&gt;=" &amp; DATE(2026,2,15), SALIDAS!$A:$A, "&lt;=" &amp; DATE(2026,2,21))</f>
        <v>17226.470861190002</v>
      </c>
      <c r="F82" s="360">
        <f>-SUMIFS(SALIDAS!$F:$F, SALIDAS!$A:$A, "&gt;=" &amp; DATE(2026,2,22), SALIDAS!$A:$A, "&lt;=" &amp; DATE(2026,2,28))</f>
        <v>71722.720754160007</v>
      </c>
      <c r="G82" s="442">
        <f>SUM(C82:F82)</f>
        <v>118741.94892173001</v>
      </c>
      <c r="H82" s="359" t="s">
        <v>125</v>
      </c>
      <c r="I82" s="361" t="s">
        <v>125</v>
      </c>
    </row>
    <row r="83" spans="1:9">
      <c r="A83" s="379" t="s">
        <v>4355</v>
      </c>
      <c r="B83" s="362" t="s">
        <v>4356</v>
      </c>
      <c r="C83" s="363">
        <f>-SUMIFS(SALIDAS!$F:$F,SALIDAS!$K:$K,"SaaS",SALIDAS!$A:$A,"&gt;="&amp;DATE(2026,2,1),SALIDAS!$A:$A,"&lt;="&amp;DATE(2026,2,7))</f>
        <v>1685.8917799999999</v>
      </c>
      <c r="D83" s="363">
        <f>-SUMIFS(SALIDAS!$F:$F,SALIDAS!$K:$K,"SaaS",SALIDAS!$A:$A,"&gt;="&amp;DATE(2026,2,8),SALIDAS!$A:$A,"&lt;="&amp;DATE(2026,2,14))</f>
        <v>4326.9049030000006</v>
      </c>
      <c r="E83" s="363">
        <f>-SUMIFS(SALIDAS!$F:$F,SALIDAS!$K:$K,"SaaS",SALIDAS!$A:$A,"&gt;="&amp;DATE(2026,2,15),SALIDAS!$A:$A,"&lt;="&amp;DATE(2026,2,21))</f>
        <v>2654.1580031900003</v>
      </c>
      <c r="F83" s="363">
        <f>-SUMIFS(SALIDAS!$F:$F,SALIDAS!$K:$K,"SaaS",SALIDAS!$A:$A,"&gt;="&amp;DATE(2026,2,22),SALIDAS!$A:$A,"&lt;="&amp;DATE(2026,2,28))</f>
        <v>8071.7169881600003</v>
      </c>
      <c r="G83" s="440">
        <f>SUM(C83:F83)</f>
        <v>16738.67167435</v>
      </c>
      <c r="H83" s="366">
        <f>G83/26000</f>
        <v>0.64379506439807688</v>
      </c>
      <c r="I83" s="364" t="str">
        <f>IF(G83&lt;=26000,"✓","✗")</f>
        <v>✓</v>
      </c>
    </row>
    <row r="84" spans="1:9">
      <c r="A84" s="379" t="s">
        <v>4357</v>
      </c>
      <c r="B84" s="739" t="s">
        <v>4360</v>
      </c>
      <c r="C84" s="739"/>
      <c r="D84" s="739"/>
      <c r="E84" s="739"/>
      <c r="F84" s="739"/>
      <c r="G84" s="739"/>
      <c r="H84" s="739"/>
      <c r="I84" s="739"/>
    </row>
    <row r="85" spans="1:9">
      <c r="A85" s="477"/>
      <c r="B85" s="495"/>
      <c r="C85" s="478"/>
      <c r="D85" s="495"/>
      <c r="E85" s="495"/>
      <c r="F85" s="495"/>
      <c r="G85" s="495"/>
      <c r="H85" s="495"/>
      <c r="I85" s="479"/>
    </row>
    <row r="86" spans="1:9" ht="17" thickBot="1">
      <c r="A86" s="474" t="s">
        <v>4362</v>
      </c>
      <c r="B86" s="492" t="s">
        <v>4363</v>
      </c>
      <c r="C86" s="493"/>
      <c r="D86" s="493"/>
      <c r="E86" s="493"/>
      <c r="F86" s="493"/>
      <c r="G86" s="493"/>
      <c r="H86" s="493"/>
      <c r="I86" s="475"/>
    </row>
    <row r="87" spans="1:9">
      <c r="A87" s="431" t="s">
        <v>4321</v>
      </c>
      <c r="B87" s="432" t="s">
        <v>4322</v>
      </c>
      <c r="C87" s="432" t="s">
        <v>4323</v>
      </c>
      <c r="D87" s="432" t="s">
        <v>4324</v>
      </c>
      <c r="E87" s="432" t="s">
        <v>4325</v>
      </c>
      <c r="F87" s="608" t="s">
        <v>4326</v>
      </c>
      <c r="G87" s="614" t="s">
        <v>4327</v>
      </c>
      <c r="H87" s="432" t="s">
        <v>4328</v>
      </c>
      <c r="I87" s="433" t="s">
        <v>68</v>
      </c>
    </row>
    <row r="88" spans="1:9">
      <c r="A88" s="376" t="s">
        <v>4609</v>
      </c>
      <c r="B88" s="423"/>
      <c r="C88" s="425">
        <v>44659.403931162473</v>
      </c>
      <c r="D88" s="425">
        <v>17737.097823648546</v>
      </c>
      <c r="E88" s="425">
        <v>19243.140000000003</v>
      </c>
      <c r="F88" s="609">
        <v>30353.727847140206</v>
      </c>
      <c r="G88" s="615">
        <f>SUM(C88:F88)</f>
        <v>111993.36960195123</v>
      </c>
      <c r="H88" s="382"/>
      <c r="I88" s="424"/>
    </row>
    <row r="89" spans="1:9" ht="16" thickBot="1">
      <c r="A89" s="599" t="s">
        <v>4525</v>
      </c>
      <c r="B89" s="408"/>
      <c r="C89" s="600">
        <f ca="1">C69-C82</f>
        <v>19257.811527782469</v>
      </c>
      <c r="D89" s="600">
        <f ca="1">D69-D82</f>
        <v>13345.932920648545</v>
      </c>
      <c r="E89" s="600">
        <f ca="1">E69-E82</f>
        <v>2016.6691388100007</v>
      </c>
      <c r="F89" s="610">
        <f ca="1">F69-F82</f>
        <v>-41368.992907019798</v>
      </c>
      <c r="G89" s="616">
        <f ca="1">SUM(C89:F89)</f>
        <v>-6748.5793197787862</v>
      </c>
      <c r="H89" s="612"/>
      <c r="I89" s="601"/>
    </row>
    <row r="90" spans="1:9" ht="16" thickBot="1">
      <c r="A90" s="604" t="s">
        <v>4526</v>
      </c>
      <c r="B90" s="605"/>
      <c r="C90" s="606">
        <f ca="1">C89</f>
        <v>19257.811527782469</v>
      </c>
      <c r="D90" s="606">
        <f ca="1">C90+D89</f>
        <v>32603.744448431014</v>
      </c>
      <c r="E90" s="606">
        <f ca="1">D90+E89</f>
        <v>34620.413587241012</v>
      </c>
      <c r="F90" s="611">
        <f ca="1">E90+F89</f>
        <v>-6748.5793197787862</v>
      </c>
      <c r="G90" s="617">
        <f ca="1">+F90+G44</f>
        <v>-1094.157250133645</v>
      </c>
      <c r="H90" s="613"/>
      <c r="I90" s="607"/>
    </row>
    <row r="91" spans="1:9" ht="16" thickBot="1">
      <c r="A91" s="377" t="s">
        <v>4364</v>
      </c>
      <c r="B91" s="602"/>
      <c r="C91" s="602" t="s">
        <v>125</v>
      </c>
      <c r="D91" s="602" t="s">
        <v>125</v>
      </c>
      <c r="E91" s="602" t="s">
        <v>125</v>
      </c>
      <c r="F91" s="602" t="s">
        <v>125</v>
      </c>
      <c r="G91" s="740" t="s">
        <v>4863</v>
      </c>
      <c r="H91" s="741"/>
      <c r="I91" s="603"/>
    </row>
    <row r="92" spans="1:9" ht="16" thickBot="1">
      <c r="A92" s="477"/>
      <c r="B92" s="495"/>
      <c r="C92" s="495"/>
      <c r="D92" s="495"/>
      <c r="E92" s="495"/>
      <c r="F92" s="495"/>
      <c r="G92" s="495"/>
      <c r="H92" s="495"/>
      <c r="I92" s="479"/>
    </row>
    <row r="93" spans="1:9" s="495" customFormat="1" ht="19" customHeight="1" thickBot="1">
      <c r="A93" s="735" t="s">
        <v>5982</v>
      </c>
      <c r="B93" s="735"/>
      <c r="C93" s="735"/>
      <c r="D93" s="735"/>
      <c r="E93" s="735"/>
      <c r="F93" s="735"/>
      <c r="G93" s="735"/>
      <c r="H93" s="735"/>
      <c r="I93" s="736"/>
    </row>
    <row r="94" spans="1:9" ht="19" customHeight="1" thickBot="1">
      <c r="A94" s="737"/>
      <c r="B94" s="737"/>
      <c r="C94" s="737"/>
      <c r="D94" s="737"/>
      <c r="E94" s="737"/>
      <c r="F94" s="737"/>
      <c r="G94" s="737"/>
      <c r="H94" s="737"/>
      <c r="I94" s="738"/>
    </row>
    <row r="95" spans="1:9" ht="17" thickBot="1">
      <c r="A95" s="474" t="s">
        <v>4319</v>
      </c>
      <c r="B95" s="492" t="s">
        <v>4320</v>
      </c>
      <c r="C95" s="493"/>
      <c r="D95" s="493"/>
      <c r="E95" s="493"/>
      <c r="F95" s="493"/>
      <c r="G95" s="493"/>
      <c r="H95" s="493"/>
      <c r="I95" s="475"/>
    </row>
    <row r="96" spans="1:9">
      <c r="A96" s="431" t="s">
        <v>4321</v>
      </c>
      <c r="B96" s="432" t="s">
        <v>4322</v>
      </c>
      <c r="C96" s="432" t="s">
        <v>4323</v>
      </c>
      <c r="D96" s="432" t="s">
        <v>4324</v>
      </c>
      <c r="E96" s="432" t="s">
        <v>4325</v>
      </c>
      <c r="F96" s="432" t="s">
        <v>4326</v>
      </c>
      <c r="G96" s="432" t="s">
        <v>4327</v>
      </c>
      <c r="H96" s="432" t="s">
        <v>4328</v>
      </c>
      <c r="I96" s="433" t="s">
        <v>68</v>
      </c>
    </row>
    <row r="97" spans="1:9">
      <c r="A97" s="376" t="s">
        <v>4329</v>
      </c>
      <c r="B97" s="355" t="s">
        <v>4330</v>
      </c>
      <c r="C97" s="369">
        <f ca="1">SUMIFS('CALENDARIO INGRESOS'!$I:$I,'CALENDARIO INGRESOS'!$L:$L,"PAGADA",'CALENDARIO INGRESOS'!$G:$G,"&gt;="&amp;DATE(2026,3,1),'CALENDARIO INGRESOS'!$G:$G,"&lt;="&amp;DATE(2026,3,7))/SUMIFS('CALENDARIO INGRESOS'!$I:$I,'CALENDARIO INGRESOS'!$G:$G,"&gt;="&amp;DATE(2026,3,1),'CALENDARIO INGRESOS'!$G:$G,"&lt;="&amp;TODAY())</f>
        <v>0.93496981900352505</v>
      </c>
      <c r="D97" s="369">
        <f>SUMIFS('CALENDARIO INGRESOS'!$I:$I,'CALENDARIO INGRESOS'!$L:$L,"PAGADA",'CALENDARIO INGRESOS'!$G:$G,"&gt;="&amp;DATE(2026,3,8),'CALENDARIO INGRESOS'!$G:$G,"&lt;="&amp;DATE(2026,3,14))/SUMIFS('CALENDARIO INGRESOS'!$I:$I,'CALENDARIO INGRESOS'!$G:$G,"&gt;="&amp;DATE(2026,3,8),'CALENDARIO INGRESOS'!$G:$G,"&lt;="&amp;DATE(2026,3,14))</f>
        <v>0.13361838588989844</v>
      </c>
      <c r="E97" s="369">
        <f>SUMIFS('CALENDARIO INGRESOS'!$I:$I,'CALENDARIO INGRESOS'!$L:$L,"PAGADA",'CALENDARIO INGRESOS'!$G:$G,"&gt;="&amp;DATE(2026,3,15),'CALENDARIO INGRESOS'!$G:$G,"&lt;="&amp;DATE(2026,3,21))/SUMIFS('CALENDARIO INGRESOS'!$I:$I,'CALENDARIO INGRESOS'!$G:$G,"&gt;="&amp;DATE(2026,3,15),'CALENDARIO INGRESOS'!$G:$G,"&lt;="&amp;DATE(2026,3,21))</f>
        <v>0</v>
      </c>
      <c r="F97" s="369">
        <f>SUMIFS('CALENDARIO INGRESOS'!$I:$I,'CALENDARIO INGRESOS'!$L:$L,"PAGADA",'CALENDARIO INGRESOS'!$G:$G,"&gt;="&amp;DATE(2026,3,22),'CALENDARIO INGRESOS'!$G:$G,"&lt;="&amp;DATE(2026,3,31))/SUMIFS('CALENDARIO INGRESOS'!$I:$I,'CALENDARIO INGRESOS'!$G:$G,"&gt;="&amp;DATE(2026,3,22),'CALENDARIO INGRESOS'!$G:$G,"&lt;="&amp;DATE(2026,3,31))</f>
        <v>0</v>
      </c>
      <c r="G97" s="486">
        <f ca="1">SUMIFS('CALENDARIO INGRESOS'!$I:$I,'CALENDARIO INGRESOS'!$L:$L,"PAGADA",'CALENDARIO INGRESOS'!$G:$G,"&gt;="&amp;DATE(2026,3,1),'CALENDARIO INGRESOS'!$G:$G,"&lt;="&amp;DATE(2026,3,31))/SUMIFS('CALENDARIO INGRESOS'!$I:$I,'CALENDARIO INGRESOS'!$G:$G,"&gt;="&amp;DATE(2026,3,1),'CALENDARIO INGRESOS'!$G:$G,"&lt;="&amp;TODAY())</f>
        <v>0.96293978932458957</v>
      </c>
      <c r="H97" s="370" t="s">
        <v>125</v>
      </c>
      <c r="I97" s="356" t="str">
        <f ca="1">IF(G97&gt;=0.9,"✓","✗")</f>
        <v>✓</v>
      </c>
    </row>
    <row r="98" spans="1:9">
      <c r="A98" s="376" t="s">
        <v>4608</v>
      </c>
      <c r="B98" s="382" t="s">
        <v>4515</v>
      </c>
      <c r="C98" s="371">
        <f>SUMIFS(INGRESOS!$G:$G,INGRESOS!$A:$A,"&gt;="&amp;DATE(2026,3,1),INGRESOS!$A:$A,"&lt;="&amp;DATE(2026,3,7))</f>
        <v>38328.91905060078</v>
      </c>
      <c r="D98" s="371">
        <f>SUMIFS(INGRESOS!$G:$G,INGRESOS!$A:$A,"&gt;="&amp;DATE(2026,3,8),INGRESOS!$A:$A,"&lt;="&amp;DATE(2026,3,14))</f>
        <v>0</v>
      </c>
      <c r="E98" s="372">
        <f>SUMIFS(INGRESOS!$G:$G,INGRESOS!$A:$A,"&gt;="&amp;DATE(2026,3,15),INGRESOS!$A:$A,"&lt;="&amp;DATE(2026,3,21))</f>
        <v>0</v>
      </c>
      <c r="F98" s="372">
        <f>SUMIFS(INGRESOS!$G:$G,INGRESOS!$A:$A,"&gt;="&amp;DATE(2026,3,22),INGRESOS!$A:$A,"&lt;="&amp;DATE(2026,3,31))</f>
        <v>0</v>
      </c>
      <c r="G98" s="436">
        <f>SUMIFS(INGRESOS!$G:$G,INGRESOS!$A:$A,"&gt;="&amp;DATE(2026,3,1),INGRESOS!$A:$A,"&lt;="&amp;DATE(2026,3,31))</f>
        <v>38328.91905060078</v>
      </c>
      <c r="H98" s="369">
        <f>G98/120000</f>
        <v>0.31940765875500648</v>
      </c>
      <c r="I98" s="356" t="str">
        <f>IF(G98&gt;=120000,"✓","✗")</f>
        <v>✗</v>
      </c>
    </row>
    <row r="99" spans="1:9">
      <c r="A99" s="376" t="s">
        <v>4600</v>
      </c>
      <c r="B99" s="382"/>
      <c r="C99" s="500">
        <f>SUMIFS('CALENDARIO INGRESOS'!$I:$I,'CALENDARIO INGRESOS'!$D:$D,"OK",'CALENDARIO INGRESOS'!$L:$L,"&lt;&gt;PAGADA",'CALENDARIO INGRESOS'!$G:$G,"&gt;="&amp;DATE(2026,3,1),'CALENDARIO INGRESOS'!$G:$G,"&lt;="&amp;DATE(2026,3,7))</f>
        <v>1700</v>
      </c>
      <c r="D99" s="500">
        <f>SUMIFS('CALENDARIO INGRESOS'!$I:$I,'CALENDARIO INGRESOS'!$D:$D,"OK",'CALENDARIO INGRESOS'!$L:$L,"&lt;&gt;PAGADA",'CALENDARIO INGRESOS'!$G:$G,"&gt;="&amp;DATE(2026,3,8),'CALENDARIO INGRESOS'!$G:$G,"&lt;="&amp;DATE(2026,3,14))</f>
        <v>6484</v>
      </c>
      <c r="E99" s="500">
        <f>SUMIFS('CALENDARIO INGRESOS'!$I:$I,'CALENDARIO INGRESOS'!$D:$D,"OK",'CALENDARIO INGRESOS'!$L:$L,"&lt;&gt;PAGADA",'CALENDARIO INGRESOS'!$G:$G,"&gt;="&amp;DATE(2026,3,15),'CALENDARIO INGRESOS'!$G:$G,"&lt;="&amp;DATE(2026,3,21))</f>
        <v>18478</v>
      </c>
      <c r="F99" s="500">
        <f>SUMIFS('CALENDARIO INGRESOS'!$I:$I,'CALENDARIO INGRESOS'!$D:$D,"OK",'CALENDARIO INGRESOS'!$L:$L,"&lt;&gt;PAGADA",'CALENDARIO INGRESOS'!$G:$G,"&gt;="&amp;DATE(2026,3,22),'CALENDARIO INGRESOS'!$G:$G,"&lt;="&amp;DATE(2026,3,31))</f>
        <v>31078</v>
      </c>
      <c r="G99" s="504">
        <f>SUMIFS('CALENDARIO INGRESOS'!$I:$I,'CALENDARIO INGRESOS'!$D:$D,"OK",'CALENDARIO INGRESOS'!$L:$L,"&lt;&gt;PAGADA",'CALENDARIO INGRESOS'!$G:$G,"&gt;="&amp;DATE(2026,3,1),'CALENDARIO INGRESOS'!$G:$G,"&lt;="&amp;DATE(2026,3,31))</f>
        <v>57740</v>
      </c>
      <c r="H99" s="369"/>
      <c r="I99" s="356"/>
    </row>
    <row r="100" spans="1:9">
      <c r="A100" s="376" t="s">
        <v>4601</v>
      </c>
      <c r="B100" s="382"/>
      <c r="C100" s="500">
        <f>SUMIFS('CALENDARIO INGRESOS'!$I:$I,'CALENDARIO INGRESOS'!$D:$D,"ELIMINADO",'CALENDARIO INGRESOS'!$L:$L,"&lt;&gt;PAGADA",'CALENDARIO INGRESOS'!$G:$G,"&gt;="&amp;DATE(2026,3,1),'CALENDARIO INGRESOS'!$G:$G,"&lt;="&amp;DATE(2026,3,7))</f>
        <v>0</v>
      </c>
      <c r="D100" s="500">
        <f>SUMIFS('CALENDARIO INGRESOS'!$I:$I,'CALENDARIO INGRESOS'!$D:$D,"ELIMINADO",'CALENDARIO INGRESOS'!$L:$L,"&lt;&gt;PAGADA",'CALENDARIO INGRESOS'!$G:$G,"&gt;="&amp;DATE(2026,3,8),'CALENDARIO INGRESOS'!$G:$G,"&lt;="&amp;DATE(2026,3,14))</f>
        <v>0</v>
      </c>
      <c r="E100" s="500">
        <f>SUMIFS('CALENDARIO INGRESOS'!$I:$I,'CALENDARIO INGRESOS'!$D:$D,"ELIMINADO",'CALENDARIO INGRESOS'!$L:$L,"&lt;&gt;PAGADA",'CALENDARIO INGRESOS'!$G:$G,"&gt;="&amp;DATE(2026,3,15),'CALENDARIO INGRESOS'!$G:$G,"&lt;="&amp;DATE(2026,3,21))</f>
        <v>0</v>
      </c>
      <c r="F100" s="500">
        <f>SUMIFS('CALENDARIO INGRESOS'!$I:$I,'CALENDARIO INGRESOS'!$D:$D,"ELIMINADO",'CALENDARIO INGRESOS'!$L:$L,"&lt;&gt;PAGADA",'CALENDARIO INGRESOS'!$G:$G,"&gt;="&amp;DATE(2026,3,22),'CALENDARIO INGRESOS'!$G:$G,"&lt;="&amp;DATE(2026,3,31))</f>
        <v>0</v>
      </c>
      <c r="G100" s="504">
        <f>SUMIFS('CALENDARIO INGRESOS'!$I:$I,'CALENDARIO INGRESOS'!$D:$D,"ELIMINADO",'CALENDARIO INGRESOS'!$L:$L,"&lt;&gt;PAGADA",'CALENDARIO INGRESOS'!$G:$G,"&gt;="&amp;DATE(2026,3,1),'CALENDARIO INGRESOS'!$G:$G,"&lt;="&amp;DATE(2026,3,31))</f>
        <v>0</v>
      </c>
      <c r="H100" s="369"/>
      <c r="I100" s="356"/>
    </row>
    <row r="101" spans="1:9">
      <c r="A101" s="376" t="s">
        <v>4332</v>
      </c>
      <c r="B101" s="382" t="s">
        <v>4333</v>
      </c>
      <c r="C101" s="578">
        <f>COUNTIFS('CALENDARIO INGRESOS'!$L:$L,"PAGADA",'CALENDARIO INGRESOS'!$M:$M,"&gt;=0",'CALENDARIO INGRESOS'!$G:$G,"&gt;="&amp;DATE(2026,3,1),'CALENDARIO INGRESOS'!$G:$G,"&lt;="&amp;DATE(2026,3,7))/COUNTIFS('CALENDARIO INGRESOS'!$G:$G,"&gt;="&amp;DATE(2026,3,1),'CALENDARIO INGRESOS'!$G:$G,"&lt;="&amp;DATE(2026,3,7))</f>
        <v>0.61904761904761907</v>
      </c>
      <c r="D101" s="578">
        <f>COUNTIFS('CALENDARIO INGRESOS'!$L:$L,"PAGADA",'CALENDARIO INGRESOS'!$M:$M,"&gt;=0",'CALENDARIO INGRESOS'!$G:$G,"&gt;="&amp;DATE(2026,3,8),'CALENDARIO INGRESOS'!$G:$G,"&lt;="&amp;DATE(2026,3,14))/COUNTIFS('CALENDARIO INGRESOS'!$G:$G,"&gt;="&amp;DATE(2026,3,8),'CALENDARIO INGRESOS'!$G:$G,"&lt;="&amp;DATE(2026,3,14))</f>
        <v>0.14285714285714285</v>
      </c>
      <c r="E101" s="578">
        <f ca="1">IF(TODAY()&gt;=DATE(2026,3,15),COUNTIFS('CALENDARIO INGRESOS'!$L:$L,"PAGADA",'CALENDARIO INGRESOS'!$M:$M,"&gt;=0",'CALENDARIO INGRESOS'!$G:$G,"&gt;="&amp;DATE(2026,3,15),'CALENDARIO INGRESOS'!$G:$G,"&lt;="&amp;DATE(2026,3,21))/COUNTIFS('CALENDARIO INGRESOS'!$G:$G,"&gt;="&amp;DATE(2026,3,15),'CALENDARIO INGRESOS'!$G:$G,"&lt;="&amp;DATE(2026,3,21)),0)</f>
        <v>0</v>
      </c>
      <c r="F101" s="578">
        <f ca="1">IF(TODAY()&gt;=DATE(2026,3,22),COUNTIFS('CALENDARIO INGRESOS'!$L:$L,"PAGADA",'CALENDARIO INGRESOS'!$M:$M,"&gt;=0",'CALENDARIO INGRESOS'!$G:$G,"&gt;="&amp;DATE(2026,3,22),'CALENDARIO INGRESOS'!$G:$G,"&lt;="&amp;DATE(2026,3,31))/COUNTIFS('CALENDARIO INGRESOS'!$G:$G,"&gt;="&amp;DATE(2026,3,22),'CALENDARIO INGRESOS'!$G:$G,"&lt;="&amp;DATE(2026,3,31)),0)</f>
        <v>0</v>
      </c>
      <c r="G101" s="486">
        <f ca="1">COUNTIFS('CALENDARIO INGRESOS'!$L:$L,"PAGADA",'CALENDARIO INGRESOS'!$M:$M,"&gt;=0",'CALENDARIO INGRESOS'!$G:$G,"&gt;="&amp;DATE(2026,3,1),'CALENDARIO INGRESOS'!$G:$G,"&lt;="&amp;DATE(2026,3,31))/COUNTIFS('CALENDARIO INGRESOS'!$G:$G,"&gt;="&amp;DATE(2026,3,1),'CALENDARIO INGRESOS'!$G:$G,"&lt;="&amp;TODAY())</f>
        <v>0.6428571428571429</v>
      </c>
      <c r="H101" s="578">
        <f ca="1">G101/0.95</f>
        <v>0.67669172932330834</v>
      </c>
      <c r="I101" s="579" t="str">
        <f ca="1">IF(G101&gt;=0.95,"✓","✗")</f>
        <v>✗</v>
      </c>
    </row>
    <row r="102" spans="1:9">
      <c r="A102" s="376" t="s">
        <v>4522</v>
      </c>
      <c r="B102" s="382" t="s">
        <v>4523</v>
      </c>
      <c r="C102" s="580">
        <f>IFERROR(SUMIFS('CALENDARIO INGRESOS'!M:M,'CALENDARIO INGRESOS'!M:M,"&lt;0",'CALENDARIO INGRESOS'!G:G,"&gt;="&amp;DATE(2026,3,1),'CALENDARIO INGRESOS'!G:G,"&lt;="&amp;DATE(2026,3,7))/COUNTIFS('CALENDARIO INGRESOS'!M:M,"&lt;0",'CALENDARIO INGRESOS'!G:G,"&gt;="&amp;DATE(2026,3,1),'CALENDARIO INGRESOS'!G:G,"&lt;="&amp;DATE(2026,3,7)),0)</f>
        <v>-1.6153846153846154</v>
      </c>
      <c r="D102" s="580">
        <f>IFERROR(SUMIFS('CALENDARIO INGRESOS'!M:M,'CALENDARIO INGRESOS'!M:M,"&lt;0",'CALENDARIO INGRESOS'!G:G,"&gt;="&amp;DATE(2026,3,8),'CALENDARIO INGRESOS'!G:G,"&lt;="&amp;DATE(2026,3,14))/COUNTIFS('CALENDARIO INGRESOS'!M:M,"&lt;0",'CALENDARIO INGRESOS'!G:G,"&gt;="&amp;DATE(2026,3,8),'CALENDARIO INGRESOS'!G:G,"&lt;="&amp;DATE(2026,3,14)),0)</f>
        <v>0</v>
      </c>
      <c r="E102" s="580">
        <f>IFERROR(SUMIFS('CALENDARIO INGRESOS'!M:M,'CALENDARIO INGRESOS'!M:M,"&lt;0",'CALENDARIO INGRESOS'!G:G,"&gt;="&amp;DATE(2026,3,15),'CALENDARIO INGRESOS'!G:G,"&lt;="&amp;DATE(2026,3,21))/COUNTIFS('CALENDARIO INGRESOS'!M:M,"&lt;0",'CALENDARIO INGRESOS'!G:G,"&gt;="&amp;DATE(2026,3,15),'CALENDARIO INGRESOS'!G:G,"&lt;="&amp;DATE(2026,3,21)),0)</f>
        <v>0</v>
      </c>
      <c r="F102" s="580">
        <f>IFERROR(SUMIFS('CALENDARIO INGRESOS'!M:M,'CALENDARIO INGRESOS'!M:M,"&lt;0",'CALENDARIO INGRESOS'!G:G,"&gt;="&amp;DATE(2026,3,22),'CALENDARIO INGRESOS'!G:G,"&lt;="&amp;DATE(2026,3,31))/COUNTIFS('CALENDARIO INGRESOS'!M:M,"&lt;0",'CALENDARIO INGRESOS'!G:G,"&gt;="&amp;DATE(2026,3,22),'CALENDARIO INGRESOS'!G:G,"&lt;="&amp;DATE(2026,3,31)),0)</f>
        <v>0</v>
      </c>
      <c r="G102" s="581">
        <f>IFERROR(SUMIFS('CALENDARIO INGRESOS'!M:M,'CALENDARIO INGRESOS'!M:M,"&lt;0",'CALENDARIO INGRESOS'!G:G,"&gt;="&amp;DATE(2026,3,1),'CALENDARIO INGRESOS'!G:G,"&lt;="&amp;DATE(2026,3,31))/COUNTIFS('CALENDARIO INGRESOS'!M:M,"&lt;0",'CALENDARIO INGRESOS'!G:G,"&gt;="&amp;DATE(2026,3,1),'CALENDARIO INGRESOS'!G:G,"&lt;="&amp;DATE(2026,3,31)),0)</f>
        <v>-1.6153846153846154</v>
      </c>
      <c r="H102" s="578"/>
      <c r="I102" s="579" t="str">
        <f>IF(G102&gt;=-2,"✓","✗")</f>
        <v>✓</v>
      </c>
    </row>
    <row r="103" spans="1:9" ht="16" thickBot="1">
      <c r="A103" s="377" t="s">
        <v>4516</v>
      </c>
      <c r="B103" s="582" t="s">
        <v>4334</v>
      </c>
      <c r="C103" s="374">
        <f>COUNTIFS('CALENDARIO INGRESOS'!$M:$M,"&gt;15",'CALENDARIO INGRESOS'!$G:$G,"&gt;="&amp;DATE(2026,3,1),'CALENDARIO INGRESOS'!$G:$G,"&lt;="&amp;DATE(2026,3,7))/COUNTIFS('CALENDARIO INGRESOS'!$G:$G,"&gt;="&amp;DATE(2026,3,1),'CALENDARIO INGRESOS'!$G:$G,"&lt;="&amp;DATE(2026,3,7))</f>
        <v>0</v>
      </c>
      <c r="D103" s="374">
        <f>COUNTIFS('CALENDARIO INGRESOS'!$M:$M,"&gt;15",'CALENDARIO INGRESOS'!$G:$G,"&gt;="&amp;DATE(2026,3,8),'CALENDARIO INGRESOS'!$G:$G,"&lt;="&amp;DATE(2026,3,14))/COUNTIFS('CALENDARIO INGRESOS'!$G:$G,"&gt;="&amp;DATE(2026,3,8),'CALENDARIO INGRESOS'!$G:$G,"&lt;="&amp;DATE(2026,3,14))</f>
        <v>0</v>
      </c>
      <c r="E103" s="374">
        <f>COUNTIFS('CALENDARIO INGRESOS'!$M:$M,"&gt;15",'CALENDARIO INGRESOS'!$G:$G,"&gt;="&amp;DATE(2026,3,15),'CALENDARIO INGRESOS'!$G:$G,"&lt;="&amp;DATE(2026,3,21))/COUNTIFS('CALENDARIO INGRESOS'!$G:$G,"&gt;="&amp;DATE(2026,3,15),'CALENDARIO INGRESOS'!$G:$G,"&lt;="&amp;DATE(2026,3,21))</f>
        <v>0</v>
      </c>
      <c r="F103" s="374">
        <f>COUNTIFS('CALENDARIO INGRESOS'!$M:$M,"&gt;15",'CALENDARIO INGRESOS'!$G:$G,"&gt;="&amp;DATE(2026,3,22),'CALENDARIO INGRESOS'!$G:$G,"&lt;="&amp;DATE(2026,3,31))/COUNTIFS('CALENDARIO INGRESOS'!$G:$G,"&gt;="&amp;DATE(2026,3,22),'CALENDARIO INGRESOS'!$G:$G,"&lt;="&amp;DATE(2026,3,31))</f>
        <v>0</v>
      </c>
      <c r="G103" s="583">
        <f>COUNTIFS('CALENDARIO INGRESOS'!$M:$M,"&gt;15",'CALENDARIO INGRESOS'!$G:$G,"&gt;="&amp;DATE(2026,3,1),'CALENDARIO INGRESOS'!$G:$G,"&lt;="&amp;DATE(2026,3,28))/COUNTIFS('CALENDARIO INGRESOS'!$G:$G,"&gt;="&amp;DATE(2026,3,1),'CALENDARIO INGRESOS'!$G:$G,"&lt;="&amp;DATE(2026,3,31))</f>
        <v>0</v>
      </c>
      <c r="H103" s="373" t="s">
        <v>125</v>
      </c>
      <c r="I103" s="480" t="str">
        <f>IF(G103&lt;=0.15,"✓","✗")</f>
        <v>✓</v>
      </c>
    </row>
    <row r="104" spans="1:9">
      <c r="A104" s="503"/>
      <c r="B104" s="21"/>
      <c r="C104" s="21"/>
      <c r="D104" s="21"/>
      <c r="E104" s="21"/>
      <c r="F104" s="21"/>
      <c r="G104" s="21"/>
      <c r="H104" s="21"/>
      <c r="I104" s="499"/>
    </row>
    <row r="105" spans="1:9" ht="17" thickBot="1">
      <c r="A105" s="474" t="s">
        <v>4335</v>
      </c>
      <c r="B105" s="492" t="s">
        <v>4320</v>
      </c>
      <c r="C105" s="21"/>
      <c r="D105" s="21"/>
      <c r="E105" s="21"/>
      <c r="F105" s="21"/>
      <c r="G105" s="21"/>
      <c r="H105" s="21"/>
      <c r="I105" s="499"/>
    </row>
    <row r="106" spans="1:9">
      <c r="A106" s="431" t="s">
        <v>4321</v>
      </c>
      <c r="B106" s="432" t="s">
        <v>4322</v>
      </c>
      <c r="C106" s="432" t="s">
        <v>4323</v>
      </c>
      <c r="D106" s="432" t="s">
        <v>4324</v>
      </c>
      <c r="E106" s="432" t="s">
        <v>4325</v>
      </c>
      <c r="F106" s="432" t="s">
        <v>4326</v>
      </c>
      <c r="G106" s="432" t="s">
        <v>4327</v>
      </c>
      <c r="H106" s="432" t="s">
        <v>4328</v>
      </c>
      <c r="I106" s="433" t="s">
        <v>68</v>
      </c>
    </row>
    <row r="107" spans="1:9">
      <c r="A107" s="376" t="s">
        <v>4336</v>
      </c>
      <c r="B107" s="382" t="s">
        <v>4337</v>
      </c>
      <c r="C107" s="381">
        <f ca="1">IF(TODAY()&gt;=DATE(2026,3,1),COUNTIFS('RESUMEN CLIENTES'!G:G,"&lt;="&amp;DATE(2026,3,7),'RESUMEN CLIENTES'!M:M,"OK")+COUNTIFS('RESUMEN CLIENTES'!G:G,"&lt;="&amp;DATE(2026,3,7),'RESUMEN CLIENTES'!M:M,"¡REGULARIZAR!")+COUNTIFS('RESUMEN CLIENTES'!G:G,"&lt;="&amp;DATE(2026,3,7),'RESUMEN CLIENTES'!M:M,"EVALUACION"),0)</f>
        <v>148</v>
      </c>
      <c r="D107" s="381">
        <f ca="1">IF(TODAY()&gt;=DATE(2026,3,8),COUNTIFS('RESUMEN CLIENTES'!G:G,"&lt;="&amp;DATE(2026,3,14),'RESUMEN CLIENTES'!M:M,"OK")+COUNTIFS('RESUMEN CLIENTES'!G:G,"&lt;="&amp;DATE(2026,3,14),'RESUMEN CLIENTES'!M:M,"¡REGULARIZAR!")+COUNTIFS('RESUMEN CLIENTES'!G:G,"&lt;="&amp;DATE(2026,3,14),'RESUMEN CLIENTES'!M:M,"EVALUACION"),0)</f>
        <v>0</v>
      </c>
      <c r="E107" s="580">
        <f ca="1">IF(TODAY()&gt;=DATE(2026,3,15),COUNTIFS('RESUMEN CLIENTES'!G:G,"&lt;="&amp;DATE(2026,3,21),'RESUMEN CLIENTES'!M:M,"OK")+COUNTIFS('RESUMEN CLIENTES'!G:G,"&lt;="&amp;DATE(2026,3,21),'RESUMEN CLIENTES'!M:M,"¡REGULARIZAR!")+COUNTIFS('RESUMEN CLIENTES'!G:G,"&lt;="&amp;DATE(2026,3,21),'RESUMEN CLIENTES'!M:M,"EVALUACION"),0)</f>
        <v>0</v>
      </c>
      <c r="F107" s="381">
        <f ca="1">IF(TODAY()&gt;=DATE(2026,3,22),COUNTIFS('RESUMEN CLIENTES'!G:G,"&lt;="&amp;DATE(2026,3,31),'RESUMEN CLIENTES'!M:M,"OK")+COUNTIFS('RESUMEN CLIENTES'!G:G,"&lt;="&amp;DATE(2026,3,31),'RESUMEN CLIENTES'!M:M,"¡REGULARIZAR!")+COUNTIFS('RESUMEN CLIENTES'!G:G,"&lt;="&amp;DATE(2026,3,31),'RESUMEN CLIENTES'!M:M,"EVALUACION"),0)</f>
        <v>0</v>
      </c>
      <c r="G107" s="581">
        <f>COUNTIFS('RESUMEN CLIENTES'!G:G,"&lt;="&amp;DATE(2026,3,31),'RESUMEN CLIENTES'!M:M,"OK")+COUNTIFS('RESUMEN CLIENTES'!G:G,"&lt;="&amp;DATE(2026,3,31),'RESUMEN CLIENTES'!M:M,"¡REGULARIZAR!")+COUNTIFS('RESUMEN CLIENTES'!G:G,"&lt;="&amp;DATE(2026,3,31),'RESUMEN CLIENTES'!M:M,"EVALUACION")</f>
        <v>148</v>
      </c>
      <c r="H107" s="382" t="s">
        <v>125</v>
      </c>
      <c r="I107" s="356" t="str">
        <f>IF(G107&gt;=140,"✓","✗")</f>
        <v>✓</v>
      </c>
    </row>
    <row r="108" spans="1:9">
      <c r="A108" s="376" t="s">
        <v>4338</v>
      </c>
      <c r="B108" s="382" t="s">
        <v>4517</v>
      </c>
      <c r="C108" s="580">
        <f>COUNTIFS('RESUMEN CLIENTES'!$G:$G,"&gt;="&amp;DATE(2026,3,1),'RESUMEN CLIENTES'!$G:$G,"&lt;="&amp;DATE(2026,3,7))</f>
        <v>4</v>
      </c>
      <c r="D108" s="382">
        <f>COUNTIFS('RESUMEN CLIENTES'!$G:$G,"&gt;="&amp;DATE(2026,3,8),'RESUMEN CLIENTES'!$G:$G,"&lt;="&amp;DATE(2026,3,14))</f>
        <v>0</v>
      </c>
      <c r="E108" s="382">
        <f>COUNTIFS('RESUMEN CLIENTES'!$G:$G,"&gt;="&amp;DATE(2026,3,15),'RESUMEN CLIENTES'!$G:$G,"&lt;="&amp;DATE(2026,3,21))</f>
        <v>0</v>
      </c>
      <c r="F108" s="382">
        <f>COUNTIFS('RESUMEN CLIENTES'!$G:$G,"&gt;="&amp;DATE(2026,3,22),'RESUMEN CLIENTES'!$G:$G,"&lt;="&amp;DATE(2026,3,31))</f>
        <v>0</v>
      </c>
      <c r="G108" s="584">
        <f>COUNTIFS('RESUMEN CLIENTES'!$G:$G,"&gt;="&amp;DATE(2026,3,1),'RESUMEN CLIENTES'!$G:$G,"&lt;="&amp;DATE(2026,3,31))</f>
        <v>4</v>
      </c>
      <c r="H108" s="369">
        <f>G108/20</f>
        <v>0.2</v>
      </c>
      <c r="I108" s="356" t="str">
        <f>IF(G108&gt;=20,"✓","✗")</f>
        <v>✗</v>
      </c>
    </row>
    <row r="109" spans="1:9">
      <c r="A109" s="376" t="s">
        <v>4339</v>
      </c>
      <c r="B109" s="382" t="s">
        <v>4340</v>
      </c>
      <c r="C109" s="580">
        <f ca="1">(COUNTIFS('RESUMEN CLIENTES'!J:J,"&gt;="&amp;DATE(2026,3,1),'RESUMEN CLIENTES'!J:J,"&lt;="&amp;DATE(2026,3,7),'RESUMEN CLIENTES'!M:M,"ELIMINADO")+COUNTIFS('RESUMEN CLIENTES'!J:J,"&gt;="&amp;DATE(2026,3,1),'RESUMEN CLIENTES'!J:J,"&lt;="&amp;DATE(2026,3,7),'RESUMEN CLIENTES'!M:M,"SUSPENDIDO")+COUNTIFS('RESUMEN CLIENTES'!J:J,"&gt;="&amp;DATE(2026,3,1),'RESUMEN CLIENTES'!J:J,"&lt;="&amp;DATE(2026,3,7),'RESUMEN CLIENTES'!M:M,"EN PAUSA"))/C107</f>
        <v>0</v>
      </c>
      <c r="D109" s="382">
        <f ca="1">IFERROR((COUNTIFS('RESUMEN CLIENTES'!J:J,"&gt;="&amp;DATE(2026,3,8),'RESUMEN CLIENTES'!J:J,"&lt;="&amp;DATE(2026,3,14),'RESUMEN CLIENTES'!M:M,"ELIMINADO")+COUNTIFS('RESUMEN CLIENTES'!J:J,"&gt;="&amp;DATE(2026,3,8),'RESUMEN CLIENTES'!J:J,"&lt;="&amp;DATE(2026,3,14),'RESUMEN CLIENTES'!M:M,"SUSPENDIDO")+COUNTIFS('RESUMEN CLIENTES'!J:J,"&gt;="&amp;DATE(2026,3,8),'RESUMEN CLIENTES'!J:J,"&lt;="&amp;DATE(2026,3,14),'RESUMEN CLIENTES'!M:M,"EN PAUSA"))/D107,0)</f>
        <v>0</v>
      </c>
      <c r="E109" s="382">
        <f ca="1">IFERROR((COUNTIFS('RESUMEN CLIENTES'!J:J,"&gt;="&amp;DATE(2026,3,15),'RESUMEN CLIENTES'!J:J,"&lt;="&amp;DATE(2026,3,21),'RESUMEN CLIENTES'!M:M,"ELIMINADO")+COUNTIFS('RESUMEN CLIENTES'!J:J,"&gt;="&amp;DATE(2026,3,15),'RESUMEN CLIENTES'!J:J,"&lt;="&amp;DATE(2026,3,21),'RESUMEN CLIENTES'!M:M,"SUSPENDIDO")+COUNTIFS('RESUMEN CLIENTES'!J:J,"&gt;="&amp;DATE(2026,3,15),'RESUMEN CLIENTES'!J:J,"&lt;="&amp;DATE(2026,3,21),'RESUMEN CLIENTES'!M:M,"EN PAUSA"))/E107,0)</f>
        <v>0</v>
      </c>
      <c r="F109" s="580">
        <f ca="1">IFERROR((COUNTIFS('RESUMEN CLIENTES'!J:J,"&gt;="&amp;DATE(2026,3,22),'RESUMEN CLIENTES'!J:J,"&lt;="&amp;DATE(2026,3,31),'RESUMEN CLIENTES'!M:M,"ELIMINADO")+COUNTIFS('RESUMEN CLIENTES'!J:J,"&gt;="&amp;DATE(2026,3,22),'RESUMEN CLIENTES'!J:J,"&lt;="&amp;DATE(2026,3,31),'RESUMEN CLIENTES'!M:M,"SUSPENDIDO")+COUNTIFS('RESUMEN CLIENTES'!J:J,"&gt;="&amp;DATE(2026,3,22),'RESUMEN CLIENTES'!J:J,"&lt;="&amp;DATE(2026,3,31),'RESUMEN CLIENTES'!M:M,"EN PAUSA"))/F107,0)</f>
        <v>0</v>
      </c>
      <c r="G109" s="435">
        <f>(COUNTIFS('RESUMEN CLIENTES'!J:J,"&gt;="&amp;DATE(2026,3,1),'RESUMEN CLIENTES'!J:J,"&lt;="&amp;DATE(2026,3,31),'RESUMEN CLIENTES'!M:M,"ELIMINADO")+COUNTIFS('RESUMEN CLIENTES'!J:J,"&gt;="&amp;DATE(2026,3,1),'RESUMEN CLIENTES'!J:J,"&lt;="&amp;DATE(2026,3,31),'RESUMEN CLIENTES'!M:M,"SUSPENDIDO")+COUNTIFS('RESUMEN CLIENTES'!J:J,"&gt;="&amp;DATE(2026,3,1),'RESUMEN CLIENTES'!J:J,"&lt;="&amp;DATE(2026,3,31),'RESUMEN CLIENTES'!M:M,"EN PAUSA"))/G107</f>
        <v>0</v>
      </c>
      <c r="H109" s="578" t="s">
        <v>125</v>
      </c>
      <c r="I109" s="579" t="str">
        <f>IF(G109&lt;=0.05,"✓","✗")</f>
        <v>✓</v>
      </c>
    </row>
    <row r="110" spans="1:9">
      <c r="A110" s="376" t="s">
        <v>4341</v>
      </c>
      <c r="B110" s="382" t="s">
        <v>4330</v>
      </c>
      <c r="C110" s="501">
        <f ca="1">COUNTIFS('RESUMEN CLIENTES'!$G:$G,"&lt;="&amp;DATE(2026,3,7),'RESUMEN CLIENTES'!$M:$M,"OK")/C107</f>
        <v>0.90540540540540537</v>
      </c>
      <c r="D110" s="501">
        <f ca="1">IFERROR(COUNTIFS('RESUMEN CLIENTES'!$G:$G,"&lt;="&amp;DATE(2026,3,14),'RESUMEN CLIENTES'!$M:$M,"OK")/D107,0)</f>
        <v>0</v>
      </c>
      <c r="E110" s="501">
        <f ca="1">IFERROR(COUNTIFS('RESUMEN CLIENTES'!$G:$G,"&lt;="&amp;DATE(2026,3,21),'RESUMEN CLIENTES'!$M:$M,"OK")/E107,0)</f>
        <v>0</v>
      </c>
      <c r="F110" s="501">
        <f ca="1">IFERROR(COUNTIFS('RESUMEN CLIENTES'!$G:$G,"&lt;="&amp;DATE(2026,3,31),'RESUMEN CLIENTES'!$M:$M,"OK")/F107,0)</f>
        <v>0</v>
      </c>
      <c r="G110" s="486">
        <f>IFERROR(COUNTIFS('RESUMEN CLIENTES'!$G:$G,"&lt;="&amp;DATE(2026,3,31),'RESUMEN CLIENTES'!$M:$M,"OK")/G107,0)</f>
        <v>0.90540540540540537</v>
      </c>
      <c r="H110" s="578">
        <f>G110/0.9</f>
        <v>1.0060060060060059</v>
      </c>
      <c r="I110" s="579" t="str">
        <f>IF(G110&gt;=0.9,"✓","✗")</f>
        <v>✓</v>
      </c>
    </row>
    <row r="111" spans="1:9" ht="16" thickBot="1">
      <c r="A111" s="377" t="s">
        <v>4342</v>
      </c>
      <c r="B111" s="582" t="s">
        <v>4343</v>
      </c>
      <c r="C111" s="473">
        <f ca="1">IF(TODAY()&gt;=DATE(2026,3,1),COUNTIFS('RESUMEN CLIENTES'!$G:$G,"&lt;="&amp;DATE(2026,3,7),'RESUMEN CLIENTES'!$M:$M,"OK",'RESUMEN CLIENTES'!$W:$W,1)/COUNTIFS('RESUMEN CLIENTES'!$G:$G,"&lt;="&amp;DATE(2026,3,7),'RESUMEN CLIENTES'!$M:$M,"OK"),0)</f>
        <v>0.4925373134328358</v>
      </c>
      <c r="D111" s="473">
        <f ca="1">IF(TODAY()&gt;=DATE(2026,3,8),COUNTIFS('RESUMEN CLIENTES'!$G:$G,"&lt;="&amp;DATE(2026,3,14),'RESUMEN CLIENTES'!$M:$M,"OK",'RESUMEN CLIENTES'!$W:$W,1)/COUNTIFS('RESUMEN CLIENTES'!$G:$G,"&lt;="&amp;DATE(2026,3,14),'RESUMEN CLIENTES'!$M:$M,"OK"),0)</f>
        <v>0</v>
      </c>
      <c r="E111" s="473">
        <f ca="1">IF(TODAY()&gt;=DATE(2026,3,15),COUNTIFS('RESUMEN CLIENTES'!$G:$G,"&lt;="&amp;DATE(2026,3,21),'RESUMEN CLIENTES'!$M:$M,"OK",'RESUMEN CLIENTES'!$W:$W,1)/COUNTIFS('RESUMEN CLIENTES'!$G:$G,"&lt;="&amp;DATE(2026,3,21),'RESUMEN CLIENTES'!$M:$M,"OK"),0)</f>
        <v>0</v>
      </c>
      <c r="F111" s="473">
        <f ca="1">IF(TODAY()&gt;=DATE(2026,3,22),COUNTIFS('RESUMEN CLIENTES'!$G:$G,"&lt;="&amp;DATE(2026,3,31),'RESUMEN CLIENTES'!$M:$M,"OK",'RESUMEN CLIENTES'!$W:$W,1)/COUNTIFS('RESUMEN CLIENTES'!$G:$G,"&lt;="&amp;DATE(2026,3,31),'RESUMEN CLIENTES'!$M:$M,"OK"),0)</f>
        <v>0</v>
      </c>
      <c r="G111" s="583">
        <f>COUNTIFS('RESUMEN CLIENTES'!$G:$G,"&lt;="&amp;DATE(2026,3,31),'RESUMEN CLIENTES'!$M:$M,"OK",'RESUMEN CLIENTES'!$W:$W,1)/COUNTIFS('RESUMEN CLIENTES'!$G:$G,"&lt;="&amp;DATE(2026,3,31),'RESUMEN CLIENTES'!$M:$M,"OK")</f>
        <v>0.4925373134328358</v>
      </c>
      <c r="H111" s="374">
        <f>G111/0.7</f>
        <v>0.70362473347547971</v>
      </c>
      <c r="I111" s="480" t="str">
        <f>IF(G111&gt;=0.7,"✓","✗")</f>
        <v>✗</v>
      </c>
    </row>
    <row r="112" spans="1:9">
      <c r="A112" s="503"/>
      <c r="B112" s="21"/>
      <c r="C112" s="21"/>
      <c r="D112" s="21"/>
      <c r="E112" s="21"/>
      <c r="F112" s="21"/>
      <c r="G112" s="21"/>
      <c r="H112" s="21"/>
      <c r="I112" s="499"/>
    </row>
    <row r="113" spans="1:9" ht="17" thickBot="1">
      <c r="A113" s="474" t="s">
        <v>4344</v>
      </c>
      <c r="B113" s="492" t="s">
        <v>4345</v>
      </c>
      <c r="C113" s="21"/>
      <c r="D113" s="21"/>
      <c r="E113" s="21"/>
      <c r="F113" s="21"/>
      <c r="G113" s="21"/>
      <c r="H113" s="21"/>
      <c r="I113" s="499"/>
    </row>
    <row r="114" spans="1:9">
      <c r="A114" s="431" t="s">
        <v>4321</v>
      </c>
      <c r="B114" s="432" t="s">
        <v>4322</v>
      </c>
      <c r="C114" s="432" t="s">
        <v>4323</v>
      </c>
      <c r="D114" s="432" t="s">
        <v>4324</v>
      </c>
      <c r="E114" s="432" t="s">
        <v>4325</v>
      </c>
      <c r="F114" s="432" t="s">
        <v>4326</v>
      </c>
      <c r="G114" s="432" t="s">
        <v>4327</v>
      </c>
      <c r="H114" s="432" t="s">
        <v>4328</v>
      </c>
      <c r="I114" s="433" t="s">
        <v>68</v>
      </c>
    </row>
    <row r="115" spans="1:9">
      <c r="A115" s="379" t="s">
        <v>4566</v>
      </c>
      <c r="B115" s="362" t="s">
        <v>4347</v>
      </c>
      <c r="C115" s="363">
        <f ca="1">SUMIFS(INGRESOS!$J:$J,INGRESOS!$A:$A,"&gt;="&amp;DATE(2026,3,1),INGRESOS!$A:$A,"&lt;="&amp;MIN(TODAY(),DATE(2026,3,7)))</f>
        <v>37064.051829412769</v>
      </c>
      <c r="D115" s="363">
        <f ca="1">SUMIFS(INGRESOS!$J:$J,INGRESOS!$A:$A,"&gt;="&amp;DATE(2026,3,8),INGRESOS!$A:$A,"&lt;="&amp;MIN(TODAY(),DATE(2026,3,14)))</f>
        <v>0</v>
      </c>
      <c r="E115" s="363">
        <f ca="1">SUMIFS(INGRESOS!$J:$J,INGRESOS!$A:$A,"&gt;="&amp;DATE(2026,3,15),INGRESOS!$A:$A,"&lt;="&amp;MIN(TODAY(),DATE(2026,3,21)))</f>
        <v>0</v>
      </c>
      <c r="F115" s="363">
        <f ca="1">SUMIFS(INGRESOS!$J:$J,INGRESOS!$A:$A,"&gt;="&amp;DATE(2026,3,22),INGRESOS!$A:$A,"&lt;="&amp;MIN(TODAY(),DATE(2026,3,31)))</f>
        <v>0</v>
      </c>
      <c r="G115" s="440">
        <f ca="1">SUM(C115:F115)</f>
        <v>37064.051829412769</v>
      </c>
      <c r="H115" s="362" t="s">
        <v>125</v>
      </c>
      <c r="I115" s="364" t="s">
        <v>125</v>
      </c>
    </row>
    <row r="116" spans="1:9">
      <c r="A116" s="379" t="s">
        <v>51</v>
      </c>
      <c r="B116" s="362"/>
      <c r="C116" s="363">
        <f ca="1">SUMIFS(SALIDAS!$F:$F,SALIDAS!$U:$U,"COR",SALIDAS!$A:$A,"&gt;="&amp;DATE(2026,3,1),SALIDAS!$A:$A,"&lt;="&amp;MIN(TODAY(),DATE(2026,3,7)))</f>
        <v>-1480688.3742500001</v>
      </c>
      <c r="D116" s="363">
        <f ca="1">SUMIFS(SALIDAS!$F:$F,SALIDAS!$U:$U,"COR",SALIDAS!$A:$A,"&gt;="&amp;DATE(2026,3,8),SALIDAS!$A:$A,"&lt;="&amp;MIN(TODAY(),DATE(2026,3,14)))</f>
        <v>0</v>
      </c>
      <c r="E116" s="363">
        <f ca="1">SUMIFS(SALIDAS!$F:$F,SALIDAS!$U:$U,"COR",SALIDAS!$A:$A,"&gt;="&amp;DATE(2026,3,15),SALIDAS!$A:$A,"&lt;="&amp;MIN(TODAY(),DATE(2026,3,21)))</f>
        <v>0</v>
      </c>
      <c r="F116" s="363">
        <f ca="1">SUMIFS(SALIDAS!$F:$F,SALIDAS!$U:$U,"COR",SALIDAS!$A:$A,"&gt;="&amp;DATE(2026,3,22),SALIDAS!$A:$A,"&lt;="&amp;MIN(TODAY(),DATE(2026,3,31)))</f>
        <v>0</v>
      </c>
      <c r="G116" s="440">
        <f ca="1">+SUM(C116:F116)</f>
        <v>-1480688.3742500001</v>
      </c>
      <c r="H116" s="362"/>
      <c r="I116" s="364"/>
    </row>
    <row r="117" spans="1:9">
      <c r="A117" s="379" t="s">
        <v>4350</v>
      </c>
      <c r="B117" s="362" t="s">
        <v>4349</v>
      </c>
      <c r="C117" s="363">
        <f ca="1">SUMIFS(INGRESOS!$J:$J,INGRESOS!$A:$A,"&gt;="&amp;DATE(2026,3,1),INGRESOS!$A:$A,"&lt;="&amp;MIN(TODAY(),DATE(2026,3,7)))+SUMIFS(SALIDAS!$F:$F,SALIDAS!$U:$U,"COR",SALIDAS!$A:$A,"&gt;="&amp;DATE(2026,3,1),SALIDAS!$A:$A,"&lt;="&amp;MIN(TODAY(),DATE(2026,3,7)))+SUMIFS(SALIDAS!$F:$F,SALIDAS!$V:$V,"Customer Success",SALIDAS!$U:$U,"OPEX",SALIDAS!$A:$A,"&gt;="&amp;DATE(2026,3,1),SALIDAS!$A:$A,"&lt;="&amp;MIN(TODAY(),DATE(2026,3,7)))</f>
        <v>-1448164.2024205872</v>
      </c>
      <c r="D117" s="384">
        <f ca="1">SUMIFS(INGRESOS!$J:$J,INGRESOS!$A:$A,"&gt;="&amp;DATE(2026,3,8),INGRESOS!$A:$A,"&lt;="&amp;MIN(TODAY(),DATE(2026,3,14)))+SUMIFS(SALIDAS!$F:$F,SALIDAS!$U:$U,"COR",SALIDAS!$A:$A,"&gt;="&amp;DATE(2026,3,8),SALIDAS!$A:$A,"&lt;="&amp;MIN(TODAY(),DATE(2026,3,14)))+SUMIFS(SALIDAS!$F:$F,SALIDAS!$V:$V,"Customer Success",SALIDAS!$U:$U,"OPEX",SALIDAS!$A:$A,"&gt;="&amp;DATE(2026,3,8),SALIDAS!$A:$A,"&lt;="&amp;MIN(TODAY(),DATE(2026,3,14)))</f>
        <v>0</v>
      </c>
      <c r="E117" s="384">
        <f ca="1">SUMIFS(INGRESOS!$J:$J,INGRESOS!$A:$A,"&gt;="&amp;DATE(2026,3,15),INGRESOS!$A:$A,"&lt;="&amp;MIN(TODAY(),DATE(2026,3,21)))+SUMIFS(SALIDAS!$F:$F,SALIDAS!$U:$U,"COR",SALIDAS!$A:$A,"&gt;="&amp;DATE(2026,3,15),SALIDAS!$A:$A,"&lt;="&amp;MIN(TODAY(),DATE(2026,3,21)))+SUMIFS(SALIDAS!$F:$F,SALIDAS!$V:$V,"Customer Success",SALIDAS!$U:$U,"OPEX",SALIDAS!$A:$A,"&gt;="&amp;DATE(2026,3,15),SALIDAS!$A:$A,"&lt;="&amp;MIN(TODAY(),DATE(2026,3,21)))</f>
        <v>0</v>
      </c>
      <c r="F117" s="384">
        <f ca="1">SUMIFS(INGRESOS!$J:$J,INGRESOS!$A:$A,"&gt;="&amp;DATE(2026,3,22),INGRESOS!$A:$A,"&lt;="&amp;MIN(TODAY(),DATE(2026,3,31)))+SUMIFS(SALIDAS!$F:$F,SALIDAS!$U:$U,"COR",SALIDAS!$A:$A,"&gt;="&amp;DATE(2026,3,22),SALIDAS!$A:$A,"&lt;="&amp;MIN(TODAY(),DATE(2026,3,31)))+SUMIFS(SALIDAS!$F:$F,SALIDAS!$V:$V,"Customer Success",SALIDAS!$U:$U,"OPEX",SALIDAS!$A:$A,"&gt;="&amp;DATE(2026,3,22),SALIDAS!$A:$A,"&lt;="&amp;MIN(TODAY(),DATE(2026,3,31)))</f>
        <v>0</v>
      </c>
      <c r="G117" s="440">
        <f ca="1">SUM(C117:F117)</f>
        <v>-1448164.2024205872</v>
      </c>
      <c r="H117" s="585">
        <f ca="1">(G117/G115)/0.65</f>
        <v>-60.110668338556607</v>
      </c>
      <c r="I117" s="421" t="s">
        <v>125</v>
      </c>
    </row>
    <row r="118" spans="1:9">
      <c r="A118" s="379" t="s">
        <v>4518</v>
      </c>
      <c r="B118" s="362" t="s">
        <v>4351</v>
      </c>
      <c r="C118" s="586">
        <f ca="1">IF(TODAY()&gt;=DATE(2026,3,1),C117/C115,0)</f>
        <v>-39.071934420061794</v>
      </c>
      <c r="D118" s="586">
        <f ca="1">IF(TODAY()&gt;=DATE(2026,3,8),D117/D115,0)</f>
        <v>0</v>
      </c>
      <c r="E118" s="586">
        <f ca="1">IF(TODAY()&gt;=DATE(2026,3,15),E117/E115,0)</f>
        <v>0</v>
      </c>
      <c r="F118" s="586">
        <f ca="1">IF(TODAY()&gt;=DATE(2026,3,22),F117/F115,0)</f>
        <v>0</v>
      </c>
      <c r="G118" s="587">
        <f ca="1">G117/G115</f>
        <v>-39.071934420061794</v>
      </c>
      <c r="H118" s="585" t="s">
        <v>125</v>
      </c>
      <c r="I118" s="364" t="str">
        <f ca="1">IF((G117/G115)&gt;=0.65,"✓","✗")</f>
        <v>✗</v>
      </c>
    </row>
    <row r="119" spans="1:9">
      <c r="A119" s="376" t="s">
        <v>59</v>
      </c>
      <c r="B119" s="423" t="s">
        <v>4348</v>
      </c>
      <c r="C119" s="588">
        <f ca="1">SUMIFS(INGRESOS!$J:$J,INGRESOS!$A:$A,"&gt;="&amp;DATE(2026,3,1),INGRESOS!$A:$A,"&lt;="&amp;MIN(TODAY(),DATE(2026,3,7)))+SUMIFS(SALIDAS!$F:$F,SALIDAS!$U:$U,"COR",SALIDAS!$A:$A,"&gt;="&amp;DATE(2026,3,1),SALIDAS!$A:$A,"&lt;="&amp;MIN(TODAY(),DATE(2026,3,7)))+SUMIFS(SALIDAS!$F:$F,SALIDAS!$U:$U,"OPEX",SALIDAS!$A:$A,"&gt;="&amp;DATE(2026,3,1),SALIDAS!$A:$A,"&lt;="&amp;MIN(TODAY(),DATE(2026,3,7)))</f>
        <v>-1477059.0952578373</v>
      </c>
      <c r="D119" s="588">
        <f ca="1">SUMIFS(INGRESOS!$J:$J,INGRESOS!$A:$A,"&gt;="&amp;DATE(2026,3,8),INGRESOS!$A:$A,"&lt;="&amp;MIN(TODAY(),DATE(2026,3,14)))+SUMIFS(SALIDAS!$F:$F,SALIDAS!$U:$U,"COR",SALIDAS!$A:$A,"&gt;="&amp;DATE(2026,3,8),SALIDAS!$A:$A,"&lt;="&amp;MIN(TODAY(),DATE(2026,3,14)))+SUMIFS(SALIDAS!$F:$F,SALIDAS!$U:$U,"OPEX",SALIDAS!$A:$A,"&gt;="&amp;DATE(2026,3,8),SALIDAS!$A:$A,"&lt;="&amp;MIN(TODAY(),DATE(2026,3,14)))</f>
        <v>0</v>
      </c>
      <c r="E119" s="588">
        <f ca="1">SUMIFS(INGRESOS!$J:$J,INGRESOS!$A:$A,"&gt;="&amp;DATE(2026,3,15),INGRESOS!$A:$A,"&lt;="&amp;MIN(TODAY(),DATE(2026,3,21)))+SUMIFS(SALIDAS!$F:$F,SALIDAS!$U:$U,"COR",SALIDAS!$A:$A,"&gt;="&amp;DATE(2026,3,15),SALIDAS!$A:$A,"&lt;="&amp;MIN(TODAY(),DATE(2026,3,21)))+SUMIFS(SALIDAS!$F:$F,SALIDAS!$U:$U,"OPEX",SALIDAS!$A:$A,"&gt;="&amp;DATE(2026,3,15),SALIDAS!$A:$A,"&lt;="&amp;MIN(TODAY(),DATE(2026,3,21)))</f>
        <v>0</v>
      </c>
      <c r="F119" s="588">
        <f ca="1">SUMIFS(INGRESOS!$J:$J,INGRESOS!$A:$A,"&gt;="&amp;DATE(2026,3,22),INGRESOS!$A:$A,"&lt;="&amp;MIN(TODAY(),DATE(2026,3,31)))+SUMIFS(SALIDAS!$F:$F,SALIDAS!$U:$U,"COR",SALIDAS!$A:$A,"&gt;="&amp;DATE(2026,3,22),SALIDAS!$A:$A,"&lt;="&amp;MIN(TODAY(),DATE(2026,3,31)))+SUMIFS(SALIDAS!$F:$F,SALIDAS!$U:$U,"OPEX",SALIDAS!$A:$A,"&gt;="&amp;DATE(2026,3,22),SALIDAS!$A:$A,"&lt;="&amp;MIN(TODAY(),DATE(2026,3,31)))</f>
        <v>0</v>
      </c>
      <c r="G119" s="589">
        <f t="shared" ref="G119:G124" ca="1" si="2">SUM(C119:F119)</f>
        <v>-1477059.0952578373</v>
      </c>
      <c r="H119" s="590">
        <f ca="1">IF(G119&gt;=0,1,0)</f>
        <v>0</v>
      </c>
      <c r="I119" s="424" t="str">
        <f ca="1">IF(G119&gt;=0,"✓","✗")</f>
        <v>✗</v>
      </c>
    </row>
    <row r="120" spans="1:9">
      <c r="A120" s="379" t="s">
        <v>58</v>
      </c>
      <c r="B120" s="362" t="s">
        <v>4349</v>
      </c>
      <c r="C120" s="363">
        <f ca="1">SUMIFS(SALIDAS!$F:$F,SALIDAS!$U:$U,"OPEX",SALIDAS!$A:$A,"&gt;="&amp;DATE(2026,3,1),SALIDAS!$A:$A,"&lt;="&amp;MIN(TODAY(),DATE(2026,3,7)))</f>
        <v>-33434.772837249999</v>
      </c>
      <c r="D120" s="384">
        <f ca="1">SUMIFS(SALIDAS!$F:$F,SALIDAS!$U:$U,"OPEX",SALIDAS!$A:$A,"&gt;="&amp;DATE(2026,3,8),SALIDAS!$A:$A,"&lt;="&amp;MIN(TODAY(),DATE(2026,3,14)))</f>
        <v>0</v>
      </c>
      <c r="E120" s="384">
        <f ca="1">SUMIFS(SALIDAS!$F:$F,SALIDAS!$U:$U,"OPEX",SALIDAS!$A:$A,"&gt;="&amp;DATE(2026,3,15),SALIDAS!$A:$A,"&lt;="&amp;MIN(TODAY(),DATE(2026,3,21)))</f>
        <v>0</v>
      </c>
      <c r="F120" s="384">
        <f ca="1">SUMIFS(SALIDAS!$F:$F,SALIDAS!$U:$U,"OPEX",SALIDAS!$A:$A,"&gt;="&amp;DATE(2026,3,22),SALIDAS!$A:$A,"&lt;="&amp;MIN(TODAY(),DATE(2026,3,31)))</f>
        <v>0</v>
      </c>
      <c r="G120" s="440">
        <f t="shared" ca="1" si="2"/>
        <v>-33434.772837249999</v>
      </c>
      <c r="H120" s="232" t="s">
        <v>125</v>
      </c>
      <c r="I120" s="385" t="s">
        <v>125</v>
      </c>
    </row>
    <row r="121" spans="1:9">
      <c r="A121" s="434" t="s">
        <v>54</v>
      </c>
      <c r="B121" s="232"/>
      <c r="C121" s="384">
        <f ca="1">SUMIFS(SALIDAS!$F:$F,SALIDAS!$U:$U,"OPEX",SALIDAS!V:V,KPIs!A121,SALIDAS!$A:$A,"&gt;="&amp;DATE(2026,3,1),SALIDAS!$A:$A,"&lt;="&amp;MIN(TODAY(),DATE(2026,3,7)))</f>
        <v>-15192.122097649999</v>
      </c>
      <c r="D121" s="384">
        <f ca="1">SUMIFS(SALIDAS!$F:$F,SALIDAS!$U:$U,"OPEX",SALIDAS!V:V,KPIs!A121,SALIDAS!$A:$A,"&gt;="&amp;DATE(2026,3,8),SALIDAS!$A:$A,"&lt;="&amp;MIN(TODAY(),DATE(2026,3,14)))</f>
        <v>0</v>
      </c>
      <c r="E121" s="384">
        <f ca="1">SUMIFS(SALIDAS!$F:$F,SALIDAS!$U:$U,"OPEX",SALIDAS!V:V,KPIs!A121,SALIDAS!$A:$A,"&gt;="&amp;DATE(2026,3,15),SALIDAS!$A:$A,"&lt;="&amp;MIN(TODAY(),DATE(2026,3,21)))</f>
        <v>0</v>
      </c>
      <c r="F121" s="384">
        <f ca="1">SUMIFS(SALIDAS!$F:$F,SALIDAS!$U:$U,"OPEX",SALIDAS!V:V,KPIs!A121,SALIDAS!$A:$A,"&gt;="&amp;DATE(2026,3,22),SALIDAS!$A:$A,"&lt;="&amp;MIN(TODAY(),DATE(2026,3,31)))</f>
        <v>0</v>
      </c>
      <c r="G121" s="591">
        <f t="shared" ca="1" si="2"/>
        <v>-15192.122097649999</v>
      </c>
      <c r="H121" s="232"/>
      <c r="I121" s="385"/>
    </row>
    <row r="122" spans="1:9">
      <c r="A122" s="434" t="s">
        <v>55</v>
      </c>
      <c r="B122" s="232"/>
      <c r="C122" s="384">
        <f ca="1">SUMIFS(SALIDAS!$F:$F,SALIDAS!$U:$U,"OPEX",SALIDAS!V:V,A122,SALIDAS!$A:$A,"&gt;="&amp;DATE(2026,3,1),SALIDAS!$A:$A,"&lt;="&amp;MIN(TODAY(),DATE(2026,3,7)))</f>
        <v>-938.52583660000005</v>
      </c>
      <c r="D122" s="384">
        <f ca="1">SUMIFS(SALIDAS!$F:$F,SALIDAS!$U:$U,"OPEX",SALIDAS!V:V,KPIs!A122,SALIDAS!$A:$A,"&gt;="&amp;DATE(2026,3,8),SALIDAS!$A:$A,"&lt;="&amp;MIN(TODAY(),DATE(2026,3,14)))</f>
        <v>0</v>
      </c>
      <c r="E122" s="384">
        <f ca="1">SUMIFS(SALIDAS!$F:$F,SALIDAS!$U:$U,"OPEX",SALIDAS!V:V,KPIs!A122,SALIDAS!$A:$A,"&gt;="&amp;DATE(2026,3,15),SALIDAS!$A:$A,"&lt;="&amp;MIN(TODAY(),DATE(2026,3,21)))</f>
        <v>0</v>
      </c>
      <c r="F122" s="384">
        <f ca="1">SUMIFS(SALIDAS!$F:$F,SALIDAS!$U:$U,"OPEX",SALIDAS!V:V,KPIs!A122,SALIDAS!$A:$A,"&gt;="&amp;DATE(2026,3,22),SALIDAS!$A:$A,"&lt;="&amp;MIN(TODAY(),DATE(2026,3,31)))</f>
        <v>0</v>
      </c>
      <c r="G122" s="591">
        <f t="shared" ca="1" si="2"/>
        <v>-938.52583660000005</v>
      </c>
      <c r="H122" s="232"/>
      <c r="I122" s="385"/>
    </row>
    <row r="123" spans="1:9">
      <c r="A123" s="434" t="s">
        <v>56</v>
      </c>
      <c r="B123" s="232"/>
      <c r="C123" s="384">
        <f ca="1">SUMIFS(SALIDAS!$F:$F,SALIDAS!$U:$U,"OPEX",SALIDAS!V:V,A123,SALIDAS!$A:$A,"&gt;="&amp;DATE(2026,3,1),SALIDAS!$A:$A,"&lt;="&amp;MIN(TODAY(),DATE(2026,3,7)))</f>
        <v>-12764.244903000001</v>
      </c>
      <c r="D123" s="384">
        <f ca="1">SUMIFS(SALIDAS!$F:$F,SALIDAS!$U:$U,"OPEX",SALIDAS!V:V,KPIs!A123,SALIDAS!$A:$A,"&gt;="&amp;DATE(2026,3,8),SALIDAS!$A:$A,"&lt;="&amp;MIN(TODAY(),DATE(2026,3,14)))</f>
        <v>0</v>
      </c>
      <c r="E123" s="384">
        <f ca="1">SUMIFS(SALIDAS!$F:$F,SALIDAS!$U:$U,"OPEX",SALIDAS!V:V,KPIs!A123,SALIDAS!$A:$A,"&gt;="&amp;DATE(2026,3,15),SALIDAS!$A:$A,"&lt;="&amp;MIN(TODAY(),DATE(2026,3,21)))</f>
        <v>0</v>
      </c>
      <c r="F123" s="384">
        <f ca="1">SUMIFS(SALIDAS!$F:$F,SALIDAS!$U:$U,"OPEX",SALIDAS!V:V,KPIs!A123,SALIDAS!$A:$A,"&gt;="&amp;DATE(2026,3,22),SALIDAS!$A:$A,"&lt;="&amp;MIN(TODAY(),DATE(2026,3,31)))</f>
        <v>0</v>
      </c>
      <c r="G123" s="591">
        <f t="shared" ca="1" si="2"/>
        <v>-12764.244903000001</v>
      </c>
      <c r="H123" s="232"/>
      <c r="I123" s="385"/>
    </row>
    <row r="124" spans="1:9" ht="16" thickBot="1">
      <c r="A124" s="496" t="s">
        <v>57</v>
      </c>
      <c r="B124" s="386"/>
      <c r="C124" s="592">
        <f ca="1">SUMIFS(SALIDAS!$F:$F,SALIDAS!$U:$U,"OPEX",SALIDAS!V:V,A124,SALIDAS!$A:$A,"&gt;="&amp;DATE(2026,3,1),SALIDAS!$A:$A,"&lt;="&amp;MIN(TODAY(),DATE(2026,3,7)))</f>
        <v>-4539.88</v>
      </c>
      <c r="D124" s="592">
        <f ca="1">SUMIFS(SALIDAS!$F:$F,SALIDAS!$U:$U,"OPEX",SALIDAS!V:V,KPIs!A124,SALIDAS!$A:$A,"&gt;="&amp;DATE(2026,3,8),SALIDAS!$A:$A,"&lt;="&amp;MIN(TODAY(),DATE(2026,3,14)))</f>
        <v>0</v>
      </c>
      <c r="E124" s="592">
        <f ca="1">SUMIFS(SALIDAS!$F:$F,SALIDAS!$U:$U,"OPEX",SALIDAS!V:V,KPIs!A124,SALIDAS!$A:$A,"&gt;="&amp;DATE(2026,3,15),SALIDAS!$A:$A,"&lt;="&amp;MIN(TODAY(),DATE(2026,3,21)))</f>
        <v>0</v>
      </c>
      <c r="F124" s="592">
        <f ca="1">SUMIFS(SALIDAS!$F:$F,SALIDAS!$U:$U,"OPEX",SALIDAS!V:V,KPIs!A124,SALIDAS!$A:$A,"&gt;="&amp;DATE(2026,3,22),SALIDAS!$A:$A,"&lt;="&amp;MIN(TODAY(),DATE(2026,3,31)))</f>
        <v>0</v>
      </c>
      <c r="G124" s="593">
        <f t="shared" ca="1" si="2"/>
        <v>-4539.88</v>
      </c>
      <c r="H124" s="386"/>
      <c r="I124" s="422"/>
    </row>
    <row r="125" spans="1:9">
      <c r="A125" s="502"/>
      <c r="I125" s="499"/>
    </row>
    <row r="126" spans="1:9" ht="17" thickBot="1">
      <c r="A126" s="474" t="s">
        <v>4352</v>
      </c>
      <c r="B126" s="492" t="s">
        <v>4353</v>
      </c>
      <c r="C126" s="21"/>
      <c r="D126" s="21"/>
      <c r="E126" s="21"/>
      <c r="F126" s="21"/>
      <c r="G126" s="21"/>
      <c r="H126" s="21"/>
      <c r="I126" s="499"/>
    </row>
    <row r="127" spans="1:9" ht="16" thickBot="1">
      <c r="A127" s="431" t="s">
        <v>4321</v>
      </c>
      <c r="B127" s="432" t="s">
        <v>4322</v>
      </c>
      <c r="C127" s="432" t="s">
        <v>4323</v>
      </c>
      <c r="D127" s="432" t="s">
        <v>4324</v>
      </c>
      <c r="E127" s="432" t="s">
        <v>4325</v>
      </c>
      <c r="F127" s="432" t="s">
        <v>4326</v>
      </c>
      <c r="G127" s="432" t="s">
        <v>4327</v>
      </c>
      <c r="H127" s="432" t="s">
        <v>4328</v>
      </c>
      <c r="I127" s="433" t="s">
        <v>68</v>
      </c>
    </row>
    <row r="128" spans="1:9">
      <c r="A128" s="378" t="s">
        <v>4354</v>
      </c>
      <c r="B128" s="594" t="s">
        <v>4349</v>
      </c>
      <c r="C128" s="595">
        <f>-SUMIFS(SALIDAS!$F:$F, SALIDAS!$A:$A, "&gt;=" &amp; DATE(2026,3,1), SALIDAS!$A:$A, "&lt;=" &amp; DATE(2026,3,7))</f>
        <v>1514123.1470872501</v>
      </c>
      <c r="D128" s="595">
        <f>-SUMIFS(SALIDAS!$F:$F, SALIDAS!$A:$A, "&gt;=" &amp; DATE(2026,3,8), SALIDAS!$A:$A, "&lt;=" &amp; DATE(2026,3,14))</f>
        <v>4515.6573330000001</v>
      </c>
      <c r="E128" s="595">
        <f>-SUMIFS(SALIDAS!$F:$F, SALIDAS!$A:$A, "&gt;=" &amp; DATE(2026,3,15), SALIDAS!$A:$A, "&lt;=" &amp; DATE(2026,3,21))</f>
        <v>0</v>
      </c>
      <c r="F128" s="595">
        <f>-SUMIFS(SALIDAS!$F:$F, SALIDAS!$A:$A, "&gt;=" &amp; DATE(2026,3,22), SALIDAS!$A:$A, "&lt;=" &amp; DATE(2026,3,31))</f>
        <v>0</v>
      </c>
      <c r="G128" s="596">
        <f>SUM(C128:F128)</f>
        <v>1518638.8044202502</v>
      </c>
      <c r="H128" s="594" t="s">
        <v>125</v>
      </c>
      <c r="I128" s="597" t="s">
        <v>125</v>
      </c>
    </row>
    <row r="129" spans="1:9">
      <c r="A129" s="379" t="s">
        <v>4355</v>
      </c>
      <c r="B129" s="232" t="s">
        <v>4356</v>
      </c>
      <c r="C129" s="384">
        <f>-SUMIFS(SALIDAS!$F:$F,SALIDAS!$K:$K,"SaaS",SALIDAS!$A:$A,"&gt;="&amp;DATE(2026,3,1),SALIDAS!$A:$A,"&lt;="&amp;DATE(2026,3,7))</f>
        <v>3837.5223545999997</v>
      </c>
      <c r="D129" s="384">
        <f>-SUMIFS(SALIDAS!$F:$F,SALIDAS!$K:$K,"SaaS",SALIDAS!$A:$A,"&gt;="&amp;DATE(2026,3,8),SALIDAS!$A:$A,"&lt;="&amp;DATE(2026,3,14))</f>
        <v>2464.4173329999999</v>
      </c>
      <c r="E129" s="384">
        <f>-SUMIFS(SALIDAS!$F:$F,SALIDAS!$K:$K,"SaaS",SALIDAS!$A:$A,"&gt;="&amp;DATE(2026,3,15),SALIDAS!$A:$A,"&lt;="&amp;DATE(2026,3,21))</f>
        <v>0</v>
      </c>
      <c r="F129" s="384">
        <f>-SUMIFS(SALIDAS!$F:$F,SALIDAS!$K:$K,"SaaS",SALIDAS!$A:$A,"&gt;="&amp;DATE(2026,3,22),SALIDAS!$A:$A,"&lt;="&amp;DATE(2026,3,31))</f>
        <v>0</v>
      </c>
      <c r="G129" s="591">
        <f>SUM(C129:F129)</f>
        <v>6301.9396875999992</v>
      </c>
      <c r="H129" s="586">
        <f>G129/26000</f>
        <v>0.24238229567692304</v>
      </c>
      <c r="I129" s="385" t="str">
        <f>IF(G129&lt;=26000,"✓","✗")</f>
        <v>✓</v>
      </c>
    </row>
    <row r="130" spans="1:9" ht="16" thickBot="1">
      <c r="A130" s="380" t="s">
        <v>4357</v>
      </c>
      <c r="B130" s="733" t="s">
        <v>4360</v>
      </c>
      <c r="C130" s="733"/>
      <c r="D130" s="733"/>
      <c r="E130" s="733"/>
      <c r="F130" s="733"/>
      <c r="G130" s="733"/>
      <c r="H130" s="733"/>
      <c r="I130" s="734"/>
    </row>
    <row r="131" spans="1:9">
      <c r="A131" s="477"/>
      <c r="B131" s="495"/>
      <c r="C131" s="478"/>
      <c r="D131" s="495"/>
      <c r="E131" s="495"/>
      <c r="F131" s="495"/>
      <c r="G131" s="495"/>
      <c r="H131" s="495"/>
      <c r="I131" s="479"/>
    </row>
    <row r="132" spans="1:9" ht="17" thickBot="1">
      <c r="A132" s="474" t="s">
        <v>4362</v>
      </c>
      <c r="B132" s="492" t="s">
        <v>4363</v>
      </c>
      <c r="C132" s="493"/>
      <c r="D132" s="493"/>
      <c r="E132" s="493"/>
      <c r="F132" s="493"/>
      <c r="G132" s="493"/>
      <c r="H132" s="493"/>
      <c r="I132" s="475"/>
    </row>
    <row r="133" spans="1:9" ht="16" thickBot="1">
      <c r="A133" s="634" t="s">
        <v>4321</v>
      </c>
      <c r="B133" s="635" t="s">
        <v>4322</v>
      </c>
      <c r="C133" s="635" t="s">
        <v>4323</v>
      </c>
      <c r="D133" s="635" t="s">
        <v>4324</v>
      </c>
      <c r="E133" s="635" t="s">
        <v>4325</v>
      </c>
      <c r="F133" s="635" t="s">
        <v>4326</v>
      </c>
      <c r="G133" s="635" t="s">
        <v>4327</v>
      </c>
      <c r="H133" s="635" t="s">
        <v>4328</v>
      </c>
      <c r="I133" s="636" t="s">
        <v>68</v>
      </c>
    </row>
    <row r="134" spans="1:9">
      <c r="A134" s="633" t="s">
        <v>5993</v>
      </c>
      <c r="B134" s="637"/>
      <c r="C134" s="637"/>
      <c r="D134" s="637"/>
      <c r="E134" s="637"/>
      <c r="F134" s="637"/>
      <c r="G134" s="637"/>
      <c r="H134" s="637"/>
      <c r="I134" s="638"/>
    </row>
    <row r="135" spans="1:9">
      <c r="A135" s="376" t="s">
        <v>4609</v>
      </c>
      <c r="B135" s="423"/>
      <c r="C135" s="425">
        <v>37064.051829412769</v>
      </c>
      <c r="D135" s="425">
        <f ca="1">SUMIFS('CALENDARIO INGRESOS'!$I:$I,'CALENDARIO INGRESOS'!$D:$D,"OK",'CALENDARIO INGRESOS'!$G:$G,"&gt;="&amp;DATE(2026,3,8),'CALENDARIO INGRESOS'!$G:$G,"&lt;="&amp;DATE(2026,3,14))-SUMIFS('CALENDARIO INGRESOS'!$I:$I,'CALENDARIO INGRESOS'!$G:$G,"&gt;="&amp;DATE(2026,3,8),'CALENDARIO INGRESOS'!$G:$G,"&lt;="&amp;DATE(2026,3,14))*EERR!$P$17</f>
        <v>7250.1045958153272</v>
      </c>
      <c r="E135" s="425">
        <f ca="1">SUMIFS('CALENDARIO INGRESOS'!$I:$I,'CALENDARIO INGRESOS'!$D:$D,"OK",'CALENDARIO INGRESOS'!$G:$G,"&gt;="&amp;DATE(2026,3,15),'CALENDARIO INGRESOS'!$G:$G,"&lt;="&amp;DATE(2026,3,21))-SUMIFS('CALENDARIO INGRESOS'!$I:$I,'CALENDARIO INGRESOS'!$G:$G,"&gt;="&amp;DATE(2026,3,15),'CALENDARIO INGRESOS'!$G:$G,"&lt;="&amp;DATE(2026,3,21))*EERR!$P$17</f>
        <v>17880.197849913893</v>
      </c>
      <c r="F135" s="425">
        <f ca="1">SUMIFS('CALENDARIO INGRESOS'!$I:$I,'CALENDARIO INGRESOS'!$D:$D,"OK",'CALENDARIO INGRESOS'!$G:$G,"&gt;="&amp;DATE(2026,3,22),'CALENDARIO INGRESOS'!$G:$G,"&lt;="&amp;DATE(2026,3,31))-SUMIFS('CALENDARIO INGRESOS'!$I:$I,'CALENDARIO INGRESOS'!$G:$G,"&gt;="&amp;DATE(2026,3,22),'CALENDARIO INGRESOS'!$G:$G,"&lt;="&amp;DATE(2026,3,31))*EERR!$P$17</f>
        <v>30075.475043367725</v>
      </c>
      <c r="G135" s="629">
        <f ca="1">SUM(C135:F135)</f>
        <v>92269.829318509714</v>
      </c>
      <c r="H135" s="423"/>
      <c r="I135" s="424"/>
    </row>
    <row r="136" spans="1:9">
      <c r="A136" s="379" t="s">
        <v>4525</v>
      </c>
      <c r="B136" s="232"/>
      <c r="C136" s="384">
        <f>C135-C128</f>
        <v>-1477059.0952578373</v>
      </c>
      <c r="D136" s="384">
        <f ca="1">D135-D128</f>
        <v>2734.4472628153271</v>
      </c>
      <c r="E136" s="384">
        <f ca="1">E135-E128</f>
        <v>17880.197849913893</v>
      </c>
      <c r="F136" s="384">
        <f ca="1">F135-F128</f>
        <v>30075.475043367725</v>
      </c>
      <c r="G136" s="368">
        <f ca="1">SUM(C136:F136)</f>
        <v>-1426368.9751017401</v>
      </c>
      <c r="H136" s="232"/>
      <c r="I136" s="385"/>
    </row>
    <row r="137" spans="1:9">
      <c r="A137" s="599" t="s">
        <v>4526</v>
      </c>
      <c r="B137" s="408"/>
      <c r="C137" s="600">
        <f>C136</f>
        <v>-1477059.0952578373</v>
      </c>
      <c r="D137" s="600">
        <f ca="1">C137+D136</f>
        <v>-1474324.6479950219</v>
      </c>
      <c r="E137" s="600">
        <f ca="1">D137+E136</f>
        <v>-1456444.4501451079</v>
      </c>
      <c r="F137" s="600">
        <f ca="1">E137+F136</f>
        <v>-1426368.9751017401</v>
      </c>
      <c r="G137" s="630">
        <f ca="1">+F137+G90</f>
        <v>-1427463.1323518737</v>
      </c>
      <c r="H137" s="408"/>
      <c r="I137" s="601"/>
    </row>
    <row r="138" spans="1:9" ht="16" thickBot="1">
      <c r="A138" s="380" t="s">
        <v>4364</v>
      </c>
      <c r="B138" s="386"/>
      <c r="C138" s="386" t="s">
        <v>125</v>
      </c>
      <c r="D138" s="386" t="s">
        <v>125</v>
      </c>
      <c r="E138" s="386" t="s">
        <v>125</v>
      </c>
      <c r="F138" s="386" t="s">
        <v>125</v>
      </c>
      <c r="G138" s="732" t="s">
        <v>5991</v>
      </c>
      <c r="H138" s="732"/>
      <c r="I138" s="422"/>
    </row>
    <row r="139" spans="1:9">
      <c r="A139" s="633" t="s">
        <v>5994</v>
      </c>
      <c r="B139" s="632"/>
      <c r="C139" s="637"/>
      <c r="D139" s="637"/>
      <c r="E139" s="637"/>
      <c r="F139" s="637"/>
      <c r="G139" s="637"/>
      <c r="H139" s="637"/>
      <c r="I139" s="638"/>
    </row>
    <row r="140" spans="1:9">
      <c r="A140" s="379" t="s">
        <v>4609</v>
      </c>
      <c r="B140" s="9"/>
      <c r="C140" s="425">
        <v>37064.051829412769</v>
      </c>
      <c r="D140" s="425">
        <f ca="1">(SUMIFS('CALENDARIO INGRESOS'!$I:$I,'CALENDARIO INGRESOS'!$D:$D,"OK",'CALENDARIO INGRESOS'!$G:$G,"&gt;="&amp;DATE(2026,3,8),'CALENDARIO INGRESOS'!$G:$G,"&lt;="&amp;DATE(2026,3,14))+SUMIFS('CALENDARIO INGRESOS'!$I:$I,'CALENDARIO INGRESOS'!$D:$D,"¡REGULARIZAR!",'CALENDARIO INGRESOS'!$G:$G,"&gt;="&amp;DATE(2026,3,8),'CALENDARIO INGRESOS'!$G:$G,"&lt;="&amp;DATE(2026,3,14)))*(1-AVERAGE(EERR!$P$15:$P$17))</f>
        <v>7245.2373199964659</v>
      </c>
      <c r="E140" s="425">
        <f ca="1">(SUMIFS('CALENDARIO INGRESOS'!$I:$I,'CALENDARIO INGRESOS'!$D:$D,"OK",'CALENDARIO INGRESOS'!$G:$G,"&gt;="&amp;DATE(2026,3,15),'CALENDARIO INGRESOS'!$G:$G,"&lt;="&amp;DATE(2026,3,21))+SUMIFS('CALENDARIO INGRESOS'!$I:$I,'CALENDARIO INGRESOS'!$D:$D,"¡REGULARIZAR!",'CALENDARIO INGRESOS'!$G:$G,"&gt;="&amp;DATE(2026,3,15),'CALENDARIO INGRESOS'!$G:$G,"&lt;="&amp;DATE(2026,3,21)))*(1-AVERAGE(EERR!$P$15:$P$17))</f>
        <v>18517.757810915606</v>
      </c>
      <c r="F140" s="425">
        <f ca="1">(SUMIFS('CALENDARIO INGRESOS'!$I:$I,'CALENDARIO INGRESOS'!$D:$D,"OK",'CALENDARIO INGRESOS'!$G:$G,"&gt;="&amp;DATE(2026,3,22),'CALENDARIO INGRESOS'!$G:$G,"&lt;="&amp;DATE(2026,3,31))+SUMIFS('CALENDARIO INGRESOS'!$I:$I,'CALENDARIO INGRESOS'!$D:$D,"¡REGULARIZAR!",'CALENDARIO INGRESOS'!$G:$G,"&gt;="&amp;DATE(2026,3,22),'CALENDARIO INGRESOS'!$G:$G,"&lt;="&amp;DATE(2026,3,31)))*(1-AVERAGE(EERR!$P$15:$P$17))</f>
        <v>31054.612874244605</v>
      </c>
      <c r="G140" s="629">
        <f ca="1">SUM(C140:F140)</f>
        <v>93881.659834569436</v>
      </c>
      <c r="H140" s="423"/>
      <c r="I140" s="424"/>
    </row>
    <row r="141" spans="1:9">
      <c r="A141" s="379" t="s">
        <v>4525</v>
      </c>
      <c r="B141" s="9"/>
      <c r="C141" s="639">
        <f>C140-C128</f>
        <v>-1477059.0952578373</v>
      </c>
      <c r="D141" s="639">
        <f ca="1">D140-D128</f>
        <v>2729.5799869964658</v>
      </c>
      <c r="E141" s="639">
        <f ca="1">E140-E128</f>
        <v>18517.757810915606</v>
      </c>
      <c r="F141" s="639">
        <f ca="1">F140-F128</f>
        <v>31054.612874244605</v>
      </c>
      <c r="G141" s="368">
        <f ca="1">SUM(C141:F141)</f>
        <v>-1424757.1445856807</v>
      </c>
      <c r="H141" s="232"/>
      <c r="I141" s="385"/>
    </row>
    <row r="142" spans="1:9">
      <c r="A142" s="379" t="s">
        <v>4526</v>
      </c>
      <c r="B142" s="9"/>
      <c r="C142" s="600">
        <f>C141</f>
        <v>-1477059.0952578373</v>
      </c>
      <c r="D142" s="600">
        <f ca="1">C142+D141</f>
        <v>-1474329.5152708408</v>
      </c>
      <c r="E142" s="600">
        <f ca="1">D142+E141</f>
        <v>-1455811.7574599253</v>
      </c>
      <c r="F142" s="600">
        <f ca="1">E142+F141</f>
        <v>-1424757.1445856807</v>
      </c>
      <c r="G142" s="630">
        <f ca="1">+F142+G90</f>
        <v>-1425851.3018358143</v>
      </c>
      <c r="H142" s="408"/>
      <c r="I142" s="601"/>
    </row>
    <row r="143" spans="1:9" ht="16" thickBot="1">
      <c r="A143" s="380" t="s">
        <v>4364</v>
      </c>
      <c r="B143" s="631"/>
      <c r="C143" s="386" t="s">
        <v>125</v>
      </c>
      <c r="D143" s="386" t="s">
        <v>125</v>
      </c>
      <c r="E143" s="386" t="s">
        <v>125</v>
      </c>
      <c r="F143" s="386" t="s">
        <v>125</v>
      </c>
      <c r="G143" s="732" t="s">
        <v>5991</v>
      </c>
      <c r="H143" s="732"/>
      <c r="I143" s="422"/>
    </row>
    <row r="148" spans="7:7">
      <c r="G148" t="s">
        <v>40</v>
      </c>
    </row>
    <row r="149" spans="7:7">
      <c r="G149" t="s">
        <v>4633</v>
      </c>
    </row>
  </sheetData>
  <mergeCells count="12">
    <mergeCell ref="G138:H138"/>
    <mergeCell ref="G143:H143"/>
    <mergeCell ref="B130:I130"/>
    <mergeCell ref="A1:I2"/>
    <mergeCell ref="A47:I48"/>
    <mergeCell ref="A93:I94"/>
    <mergeCell ref="B35:I35"/>
    <mergeCell ref="B84:I84"/>
    <mergeCell ref="B37:I37"/>
    <mergeCell ref="B36:I36"/>
    <mergeCell ref="B38:I38"/>
    <mergeCell ref="G91:H91"/>
  </mergeCells>
  <conditionalFormatting sqref="C73:G73">
    <cfRule type="cellIs" dxfId="27" priority="4" operator="lessThan">
      <formula>0</formula>
    </cfRule>
  </conditionalFormatting>
  <conditionalFormatting sqref="C88:G90">
    <cfRule type="cellIs" dxfId="26" priority="5" operator="lessThan">
      <formula>0</formula>
    </cfRule>
  </conditionalFormatting>
  <conditionalFormatting sqref="C135:G138">
    <cfRule type="cellIs" dxfId="25" priority="3" operator="lessThan">
      <formula>0</formula>
    </cfRule>
  </conditionalFormatting>
  <conditionalFormatting sqref="C140:G143">
    <cfRule type="cellIs" dxfId="24" priority="1" operator="lessThan">
      <formula>0</formula>
    </cfRule>
  </conditionalFormatting>
  <conditionalFormatting sqref="I3:I46 R47:R48 AA47:AA48 AJ47:AJ48 AS47:AS48 BB47:BB48 BK47:BK48 BT47:BT48 CC47:CC48 CL47:CL48 CU47:CU48 DD47:DD48 DM47:DM48 DV47:DV48 EE47:EE48 EN47:EN48 EW47:EW48 FF47:FF48 FO47:FO48 FX47:FX48 GG47:GG48 GP47:GP48 GY47:GY48 HH47:HH48 HQ47:HQ48 HZ47:HZ48 II47:II48 IR47:IR48 JA47:JA48 JJ47:JJ48 JS47:JS48 KB47:KB48 KK47:KK48 KT47:KT48 LC47:LC48 LL47:LL48 LU47:LU48 MD47:MD48 MM47:MM48 MV47:MV48 NE47:NE48 NN47:NN48 NW47:NW48 OF47:OF48 OO47:OO48 OX47:OX48 PG47:PG48 PP47:PP48 PY47:PY48 QH47:QH48 QQ47:QQ48 QZ47:QZ48 RI47:RI48 RR47:RR48 SA47:SA48 SJ47:SJ48 SS47:SS48 TB47:TB48 TK47:TK48 TT47:TT48 UC47:UC48 UL47:UL48 UU47:UU48 VD47:VD48 VM47:VM48 VV47:VV48 WE47:WE48 WN47:WN48 WW47:WW48 XF47:XF48 XO47:XO48 XX47:XX48 YG47:YG48 YP47:YP48 YY47:YY48 ZH47:ZH48 ZQ47:ZQ48 ZZ47:ZZ48 AAI47:AAI48 AAR47:AAR48 ABA47:ABA48 ABJ47:ABJ48 ABS47:ABS48 ACB47:ACB48 ACK47:ACK48 ACT47:ACT48 ADC47:ADC48 ADL47:ADL48 ADU47:ADU48 AED47:AED48 AEM47:AEM48 AEV47:AEV48 AFE47:AFE48 AFN47:AFN48 AFW47:AFW48 AGF47:AGF48 AGO47:AGO48 AGX47:AGX48 AHG47:AHG48 AHP47:AHP48 AHY47:AHY48 AIH47:AIH48 AIQ47:AIQ48 AIZ47:AIZ48 AJI47:AJI48 AJR47:AJR48 AKA47:AKA48 AKJ47:AKJ48 AKS47:AKS48 ALB47:ALB48 ALK47:ALK48 ALT47:ALT48 AMC47:AMC48 AML47:AML48 AMU47:AMU48 AND47:AND48 ANM47:ANM48 ANV47:ANV48 AOE47:AOE48 AON47:AON48 AOW47:AOW48 APF47:APF48 APO47:APO48 APX47:APX48 AQG47:AQG48 AQP47:AQP48 AQY47:AQY48 ARH47:ARH48 ARQ47:ARQ48 ARZ47:ARZ48 ASI47:ASI48 ASR47:ASR48 ATA47:ATA48 ATJ47:ATJ48 ATS47:ATS48 AUB47:AUB48 AUK47:AUK48 AUT47:AUT48 AVC47:AVC48 AVL47:AVL48 AVU47:AVU48 AWD47:AWD48 AWM47:AWM48 AWV47:AWV48 AXE47:AXE48 AXN47:AXN48 AXW47:AXW48 AYF47:AYF48 AYO47:AYO48 AYX47:AYX48 AZG47:AZG48 AZP47:AZP48 AZY47:AZY48 BAH47:BAH48 BAQ47:BAQ48 BAZ47:BAZ48 BBI47:BBI48 BBR47:BBR48 BCA47:BCA48 BCJ47:BCJ48 BCS47:BCS48 BDB47:BDB48 BDK47:BDK48 BDT47:BDT48 BEC47:BEC48 BEL47:BEL48 BEU47:BEU48 BFD47:BFD48 BFM47:BFM48 BFV47:BFV48 BGE47:BGE48 BGN47:BGN48 BGW47:BGW48 BHF47:BHF48 BHO47:BHO48 BHX47:BHX48 BIG47:BIG48 BIP47:BIP48 BIY47:BIY48 BJH47:BJH48 BJQ47:BJQ48 BJZ47:BJZ48 BKI47:BKI48 BKR47:BKR48 BLA47:BLA48 BLJ47:BLJ48 BLS47:BLS48 BMB47:BMB48 BMK47:BMK48 BMT47:BMT48 BNC47:BNC48 BNL47:BNL48 BNU47:BNU48 BOD47:BOD48 BOM47:BOM48 BOV47:BOV48 BPE47:BPE48 BPN47:BPN48 BPW47:BPW48 BQF47:BQF48 BQO47:BQO48 BQX47:BQX48 BRG47:BRG48 BRP47:BRP48 BRY47:BRY48 BSH47:BSH48 BSQ47:BSQ48 BSZ47:BSZ48 BTI47:BTI48 BTR47:BTR48 BUA47:BUA48 BUJ47:BUJ48 BUS47:BUS48 BVB47:BVB48 BVK47:BVK48 BVT47:BVT48 BWC47:BWC48 BWL47:BWL48 BWU47:BWU48 BXD47:BXD48 BXM47:BXM48 BXV47:BXV48 BYE47:BYE48 BYN47:BYN48 BYW47:BYW48 BZF47:BZF48 BZO47:BZO48 BZX47:BZX48 CAG47:CAG48 CAP47:CAP48 CAY47:CAY48 CBH47:CBH48 CBQ47:CBQ48 CBZ47:CBZ48 CCI47:CCI48 CCR47:CCR48 CDA47:CDA48 CDJ47:CDJ48 CDS47:CDS48 CEB47:CEB48 CEK47:CEK48 CET47:CET48 CFC47:CFC48 CFL47:CFL48 CFU47:CFU48 CGD47:CGD48 CGM47:CGM48 CGV47:CGV48 CHE47:CHE48 CHN47:CHN48 CHW47:CHW48 CIF47:CIF48 CIO47:CIO48 CIX47:CIX48 CJG47:CJG48 CJP47:CJP48 CJY47:CJY48 CKH47:CKH48 CKQ47:CKQ48 CKZ47:CKZ48 CLI47:CLI48 CLR47:CLR48 CMA47:CMA48 CMJ47:CMJ48 CMS47:CMS48 CNB47:CNB48 CNK47:CNK48 CNT47:CNT48 COC47:COC48 COL47:COL48 COU47:COU48 CPD47:CPD48 CPM47:CPM48 CPV47:CPV48 CQE47:CQE48 CQN47:CQN48 CQW47:CQW48 CRF47:CRF48 CRO47:CRO48 CRX47:CRX48 CSG47:CSG48 CSP47:CSP48 CSY47:CSY48 CTH47:CTH48 CTQ47:CTQ48 CTZ47:CTZ48 CUI47:CUI48 CUR47:CUR48 CVA47:CVA48 CVJ47:CVJ48 CVS47:CVS48 CWB47:CWB48 CWK47:CWK48 CWT47:CWT48 CXC47:CXC48 CXL47:CXL48 CXU47:CXU48 CYD47:CYD48 CYM47:CYM48 CYV47:CYV48 CZE47:CZE48 CZN47:CZN48 CZW47:CZW48 DAF47:DAF48 DAO47:DAO48 DAX47:DAX48 DBG47:DBG48 DBP47:DBP48 DBY47:DBY48 DCH47:DCH48 DCQ47:DCQ48 DCZ47:DCZ48 DDI47:DDI48 DDR47:DDR48 DEA47:DEA48 DEJ47:DEJ48 DES47:DES48 DFB47:DFB48 DFK47:DFK48 DFT47:DFT48 DGC47:DGC48 DGL47:DGL48 DGU47:DGU48 DHD47:DHD48 DHM47:DHM48 DHV47:DHV48 DIE47:DIE48 DIN47:DIN48 DIW47:DIW48 DJF47:DJF48 DJO47:DJO48 DJX47:DJX48 DKG47:DKG48 DKP47:DKP48 DKY47:DKY48 DLH47:DLH48 DLQ47:DLQ48 DLZ47:DLZ48 DMI47:DMI48 DMR47:DMR48 DNA47:DNA48 DNJ47:DNJ48 DNS47:DNS48 DOB47:DOB48 DOK47:DOK48 DOT47:DOT48 DPC47:DPC48 DPL47:DPL48 DPU47:DPU48 DQD47:DQD48 DQM47:DQM48 DQV47:DQV48 DRE47:DRE48 DRN47:DRN48 DRW47:DRW48 DSF47:DSF48 DSO47:DSO48 DSX47:DSX48 DTG47:DTG48 DTP47:DTP48 DTY47:DTY48 DUH47:DUH48 DUQ47:DUQ48 DUZ47:DUZ48 DVI47:DVI48 DVR47:DVR48 DWA47:DWA48 DWJ47:DWJ48 DWS47:DWS48 DXB47:DXB48 DXK47:DXK48 DXT47:DXT48 DYC47:DYC48 DYL47:DYL48 DYU47:DYU48 DZD47:DZD48 DZM47:DZM48 DZV47:DZV48 EAE47:EAE48 EAN47:EAN48 EAW47:EAW48 EBF47:EBF48 EBO47:EBO48 EBX47:EBX48 ECG47:ECG48 ECP47:ECP48 ECY47:ECY48 EDH47:EDH48 EDQ47:EDQ48 EDZ47:EDZ48 EEI47:EEI48 EER47:EER48 EFA47:EFA48 EFJ47:EFJ48 EFS47:EFS48 EGB47:EGB48 EGK47:EGK48 EGT47:EGT48 EHC47:EHC48 EHL47:EHL48 EHU47:EHU48 EID47:EID48 EIM47:EIM48 EIV47:EIV48 EJE47:EJE48 EJN47:EJN48 EJW47:EJW48 EKF47:EKF48 EKO47:EKO48 EKX47:EKX48 ELG47:ELG48 ELP47:ELP48 ELY47:ELY48 EMH47:EMH48 EMQ47:EMQ48 EMZ47:EMZ48 ENI47:ENI48 ENR47:ENR48 EOA47:EOA48 EOJ47:EOJ48 EOS47:EOS48 EPB47:EPB48 EPK47:EPK48 EPT47:EPT48 EQC47:EQC48 EQL47:EQL48 EQU47:EQU48 ERD47:ERD48 ERM47:ERM48 ERV47:ERV48 ESE47:ESE48 ESN47:ESN48 ESW47:ESW48 ETF47:ETF48 ETO47:ETO48 ETX47:ETX48 EUG47:EUG48 EUP47:EUP48 EUY47:EUY48 EVH47:EVH48 EVQ47:EVQ48 EVZ47:EVZ48 EWI47:EWI48 EWR47:EWR48 EXA47:EXA48 EXJ47:EXJ48 EXS47:EXS48 EYB47:EYB48 EYK47:EYK48 EYT47:EYT48 EZC47:EZC48 EZL47:EZL48 EZU47:EZU48 FAD47:FAD48 FAM47:FAM48 FAV47:FAV48 FBE47:FBE48 FBN47:FBN48 FBW47:FBW48 FCF47:FCF48 FCO47:FCO48 FCX47:FCX48 FDG47:FDG48 FDP47:FDP48 FDY47:FDY48 FEH47:FEH48 FEQ47:FEQ48 FEZ47:FEZ48 FFI47:FFI48 FFR47:FFR48 FGA47:FGA48 FGJ47:FGJ48 FGS47:FGS48 FHB47:FHB48 FHK47:FHK48 FHT47:FHT48 FIC47:FIC48 FIL47:FIL48 FIU47:FIU48 FJD47:FJD48 FJM47:FJM48 FJV47:FJV48 FKE47:FKE48 FKN47:FKN48 FKW47:FKW48 FLF47:FLF48 FLO47:FLO48 FLX47:FLX48 FMG47:FMG48 FMP47:FMP48 FMY47:FMY48 FNH47:FNH48 FNQ47:FNQ48 FNZ47:FNZ48 FOI47:FOI48 FOR47:FOR48 FPA47:FPA48 FPJ47:FPJ48 FPS47:FPS48 FQB47:FQB48 FQK47:FQK48 FQT47:FQT48 FRC47:FRC48 FRL47:FRL48 FRU47:FRU48 FSD47:FSD48 FSM47:FSM48 FSV47:FSV48 FTE47:FTE48 FTN47:FTN48 FTW47:FTW48 FUF47:FUF48 FUO47:FUO48 FUX47:FUX48 FVG47:FVG48 FVP47:FVP48 FVY47:FVY48 FWH47:FWH48 FWQ47:FWQ48 FWZ47:FWZ48 FXI47:FXI48 FXR47:FXR48 FYA47:FYA48 FYJ47:FYJ48 FYS47:FYS48 FZB47:FZB48 FZK47:FZK48 FZT47:FZT48 GAC47:GAC48 GAL47:GAL48 GAU47:GAU48 GBD47:GBD48 GBM47:GBM48 GBV47:GBV48 GCE47:GCE48 GCN47:GCN48 GCW47:GCW48 GDF47:GDF48 GDO47:GDO48 GDX47:GDX48 GEG47:GEG48 GEP47:GEP48 GEY47:GEY48 GFH47:GFH48 GFQ47:GFQ48 GFZ47:GFZ48 GGI47:GGI48 GGR47:GGR48 GHA47:GHA48 GHJ47:GHJ48 GHS47:GHS48 GIB47:GIB48 GIK47:GIK48 GIT47:GIT48 GJC47:GJC48 GJL47:GJL48 GJU47:GJU48 GKD47:GKD48 GKM47:GKM48 GKV47:GKV48 GLE47:GLE48 GLN47:GLN48 GLW47:GLW48 GMF47:GMF48 GMO47:GMO48 GMX47:GMX48 GNG47:GNG48 GNP47:GNP48 GNY47:GNY48 GOH47:GOH48 GOQ47:GOQ48 GOZ47:GOZ48 GPI47:GPI48 GPR47:GPR48 GQA47:GQA48 GQJ47:GQJ48 GQS47:GQS48 GRB47:GRB48 GRK47:GRK48 GRT47:GRT48 GSC47:GSC48 GSL47:GSL48 GSU47:GSU48 GTD47:GTD48 GTM47:GTM48 GTV47:GTV48 GUE47:GUE48 GUN47:GUN48 GUW47:GUW48 GVF47:GVF48 GVO47:GVO48 GVX47:GVX48 GWG47:GWG48 GWP47:GWP48 GWY47:GWY48 GXH47:GXH48 GXQ47:GXQ48 GXZ47:GXZ48 GYI47:GYI48 GYR47:GYR48 GZA47:GZA48 GZJ47:GZJ48 GZS47:GZS48 HAB47:HAB48 HAK47:HAK48 HAT47:HAT48 HBC47:HBC48 HBL47:HBL48 HBU47:HBU48 HCD47:HCD48 HCM47:HCM48 HCV47:HCV48 HDE47:HDE48 HDN47:HDN48 HDW47:HDW48 HEF47:HEF48 HEO47:HEO48 HEX47:HEX48 HFG47:HFG48 HFP47:HFP48 HFY47:HFY48 HGH47:HGH48 HGQ47:HGQ48 HGZ47:HGZ48 HHI47:HHI48 HHR47:HHR48 HIA47:HIA48 HIJ47:HIJ48 HIS47:HIS48 HJB47:HJB48 HJK47:HJK48 HJT47:HJT48 HKC47:HKC48 HKL47:HKL48 HKU47:HKU48 HLD47:HLD48 HLM47:HLM48 HLV47:HLV48 HME47:HME48 HMN47:HMN48 HMW47:HMW48 HNF47:HNF48 HNO47:HNO48 HNX47:HNX48 HOG47:HOG48 HOP47:HOP48 HOY47:HOY48 HPH47:HPH48 HPQ47:HPQ48 HPZ47:HPZ48 HQI47:HQI48 HQR47:HQR48 HRA47:HRA48 HRJ47:HRJ48 HRS47:HRS48 HSB47:HSB48 HSK47:HSK48 HST47:HST48 HTC47:HTC48 HTL47:HTL48 HTU47:HTU48 HUD47:HUD48 HUM47:HUM48 HUV47:HUV48 HVE47:HVE48 HVN47:HVN48 HVW47:HVW48 HWF47:HWF48 HWO47:HWO48 HWX47:HWX48 HXG47:HXG48 HXP47:HXP48 HXY47:HXY48 HYH47:HYH48 HYQ47:HYQ48 HYZ47:HYZ48 HZI47:HZI48 HZR47:HZR48 IAA47:IAA48 IAJ47:IAJ48 IAS47:IAS48 IBB47:IBB48 IBK47:IBK48 IBT47:IBT48 ICC47:ICC48 ICL47:ICL48 ICU47:ICU48 IDD47:IDD48 IDM47:IDM48 IDV47:IDV48 IEE47:IEE48 IEN47:IEN48 IEW47:IEW48 IFF47:IFF48 IFO47:IFO48 IFX47:IFX48 IGG47:IGG48 IGP47:IGP48 IGY47:IGY48 IHH47:IHH48 IHQ47:IHQ48 IHZ47:IHZ48 III47:III48 IIR47:IIR48 IJA47:IJA48 IJJ47:IJJ48 IJS47:IJS48 IKB47:IKB48 IKK47:IKK48 IKT47:IKT48 ILC47:ILC48 ILL47:ILL48 ILU47:ILU48 IMD47:IMD48 IMM47:IMM48 IMV47:IMV48 INE47:INE48 INN47:INN48 INW47:INW48 IOF47:IOF48 IOO47:IOO48 IOX47:IOX48 IPG47:IPG48 IPP47:IPP48 IPY47:IPY48 IQH47:IQH48 IQQ47:IQQ48 IQZ47:IQZ48 IRI47:IRI48 IRR47:IRR48 ISA47:ISA48 ISJ47:ISJ48 ISS47:ISS48 ITB47:ITB48 ITK47:ITK48 ITT47:ITT48 IUC47:IUC48 IUL47:IUL48 IUU47:IUU48 IVD47:IVD48 IVM47:IVM48 IVV47:IVV48 IWE47:IWE48 IWN47:IWN48 IWW47:IWW48 IXF47:IXF48 IXO47:IXO48 IXX47:IXX48 IYG47:IYG48 IYP47:IYP48 IYY47:IYY48 IZH47:IZH48 IZQ47:IZQ48 IZZ47:IZZ48 JAI47:JAI48 JAR47:JAR48 JBA47:JBA48 JBJ47:JBJ48 JBS47:JBS48 JCB47:JCB48 JCK47:JCK48 JCT47:JCT48 JDC47:JDC48 JDL47:JDL48 JDU47:JDU48 JED47:JED48 JEM47:JEM48 JEV47:JEV48 JFE47:JFE48 JFN47:JFN48 JFW47:JFW48 JGF47:JGF48 JGO47:JGO48 JGX47:JGX48 JHG47:JHG48 JHP47:JHP48 JHY47:JHY48 JIH47:JIH48 JIQ47:JIQ48 JIZ47:JIZ48 JJI47:JJI48 JJR47:JJR48 JKA47:JKA48 JKJ47:JKJ48 JKS47:JKS48 JLB47:JLB48 JLK47:JLK48 JLT47:JLT48 JMC47:JMC48 JML47:JML48 JMU47:JMU48 JND47:JND48 JNM47:JNM48 JNV47:JNV48 JOE47:JOE48 JON47:JON48 JOW47:JOW48 JPF47:JPF48 JPO47:JPO48 JPX47:JPX48 JQG47:JQG48 JQP47:JQP48 JQY47:JQY48 JRH47:JRH48 JRQ47:JRQ48 JRZ47:JRZ48 JSI47:JSI48 JSR47:JSR48 JTA47:JTA48 JTJ47:JTJ48 JTS47:JTS48 JUB47:JUB48 JUK47:JUK48 JUT47:JUT48 JVC47:JVC48 JVL47:JVL48 JVU47:JVU48 JWD47:JWD48 JWM47:JWM48 JWV47:JWV48 JXE47:JXE48 JXN47:JXN48 JXW47:JXW48 JYF47:JYF48 JYO47:JYO48 JYX47:JYX48 JZG47:JZG48 JZP47:JZP48 JZY47:JZY48 KAH47:KAH48 KAQ47:KAQ48 KAZ47:KAZ48 KBI47:KBI48 KBR47:KBR48 KCA47:KCA48 KCJ47:KCJ48 KCS47:KCS48 KDB47:KDB48 KDK47:KDK48 KDT47:KDT48 KEC47:KEC48 KEL47:KEL48 KEU47:KEU48 KFD47:KFD48 KFM47:KFM48 KFV47:KFV48 KGE47:KGE48 KGN47:KGN48 KGW47:KGW48 KHF47:KHF48 KHO47:KHO48 KHX47:KHX48 KIG47:KIG48 KIP47:KIP48 KIY47:KIY48 KJH47:KJH48 KJQ47:KJQ48 KJZ47:KJZ48 KKI47:KKI48 KKR47:KKR48 KLA47:KLA48 KLJ47:KLJ48 KLS47:KLS48 KMB47:KMB48 KMK47:KMK48 KMT47:KMT48 KNC47:KNC48 KNL47:KNL48 KNU47:KNU48 KOD47:KOD48 KOM47:KOM48 KOV47:KOV48 KPE47:KPE48 KPN47:KPN48 KPW47:KPW48 KQF47:KQF48 KQO47:KQO48 KQX47:KQX48 KRG47:KRG48 KRP47:KRP48 KRY47:KRY48 KSH47:KSH48 KSQ47:KSQ48 KSZ47:KSZ48 KTI47:KTI48 KTR47:KTR48 KUA47:KUA48 KUJ47:KUJ48 KUS47:KUS48 KVB47:KVB48 KVK47:KVK48 KVT47:KVT48 KWC47:KWC48 KWL47:KWL48 KWU47:KWU48 KXD47:KXD48 KXM47:KXM48 KXV47:KXV48 KYE47:KYE48 KYN47:KYN48 KYW47:KYW48 KZF47:KZF48 KZO47:KZO48 KZX47:KZX48 LAG47:LAG48 LAP47:LAP48 LAY47:LAY48 LBH47:LBH48 LBQ47:LBQ48 LBZ47:LBZ48 LCI47:LCI48 LCR47:LCR48 LDA47:LDA48 LDJ47:LDJ48 LDS47:LDS48 LEB47:LEB48 LEK47:LEK48 LET47:LET48 LFC47:LFC48 LFL47:LFL48 LFU47:LFU48 LGD47:LGD48 LGM47:LGM48 LGV47:LGV48 LHE47:LHE48 LHN47:LHN48 LHW47:LHW48 LIF47:LIF48 LIO47:LIO48 LIX47:LIX48 LJG47:LJG48 LJP47:LJP48 LJY47:LJY48 LKH47:LKH48 LKQ47:LKQ48 LKZ47:LKZ48 LLI47:LLI48 LLR47:LLR48 LMA47:LMA48 LMJ47:LMJ48 LMS47:LMS48 LNB47:LNB48 LNK47:LNK48 LNT47:LNT48 LOC47:LOC48 LOL47:LOL48 LOU47:LOU48 LPD47:LPD48 LPM47:LPM48 LPV47:LPV48 LQE47:LQE48 LQN47:LQN48 LQW47:LQW48 LRF47:LRF48 LRO47:LRO48 LRX47:LRX48 LSG47:LSG48 LSP47:LSP48 LSY47:LSY48 LTH47:LTH48 LTQ47:LTQ48 LTZ47:LTZ48 LUI47:LUI48 LUR47:LUR48 LVA47:LVA48 LVJ47:LVJ48 LVS47:LVS48 LWB47:LWB48 LWK47:LWK48 LWT47:LWT48 LXC47:LXC48 LXL47:LXL48 LXU47:LXU48 LYD47:LYD48 LYM47:LYM48 LYV47:LYV48 LZE47:LZE48 LZN47:LZN48 LZW47:LZW48 MAF47:MAF48 MAO47:MAO48 MAX47:MAX48 MBG47:MBG48 MBP47:MBP48 MBY47:MBY48 MCH47:MCH48 MCQ47:MCQ48 MCZ47:MCZ48 MDI47:MDI48 MDR47:MDR48 MEA47:MEA48 MEJ47:MEJ48 MES47:MES48 MFB47:MFB48 MFK47:MFK48 MFT47:MFT48 MGC47:MGC48 MGL47:MGL48 MGU47:MGU48 MHD47:MHD48 MHM47:MHM48 MHV47:MHV48 MIE47:MIE48 MIN47:MIN48 MIW47:MIW48 MJF47:MJF48 MJO47:MJO48 MJX47:MJX48 MKG47:MKG48 MKP47:MKP48 MKY47:MKY48 MLH47:MLH48 MLQ47:MLQ48 MLZ47:MLZ48 MMI47:MMI48 MMR47:MMR48 MNA47:MNA48 MNJ47:MNJ48 MNS47:MNS48 MOB47:MOB48 MOK47:MOK48 MOT47:MOT48 MPC47:MPC48 MPL47:MPL48 MPU47:MPU48 MQD47:MQD48 MQM47:MQM48 MQV47:MQV48 MRE47:MRE48 MRN47:MRN48 MRW47:MRW48 MSF47:MSF48 MSO47:MSO48 MSX47:MSX48 MTG47:MTG48 MTP47:MTP48 MTY47:MTY48 MUH47:MUH48 MUQ47:MUQ48 MUZ47:MUZ48 MVI47:MVI48 MVR47:MVR48 MWA47:MWA48 MWJ47:MWJ48 MWS47:MWS48 MXB47:MXB48 MXK47:MXK48 MXT47:MXT48 MYC47:MYC48 MYL47:MYL48 MYU47:MYU48 MZD47:MZD48 MZM47:MZM48 MZV47:MZV48 NAE47:NAE48 NAN47:NAN48 NAW47:NAW48 NBF47:NBF48 NBO47:NBO48 NBX47:NBX48 NCG47:NCG48 NCP47:NCP48 NCY47:NCY48 NDH47:NDH48 NDQ47:NDQ48 NDZ47:NDZ48 NEI47:NEI48 NER47:NER48 NFA47:NFA48 NFJ47:NFJ48 NFS47:NFS48 NGB47:NGB48 NGK47:NGK48 NGT47:NGT48 NHC47:NHC48 NHL47:NHL48 NHU47:NHU48 NID47:NID48 NIM47:NIM48 NIV47:NIV48 NJE47:NJE48 NJN47:NJN48 NJW47:NJW48 NKF47:NKF48 NKO47:NKO48 NKX47:NKX48 NLG47:NLG48 NLP47:NLP48 NLY47:NLY48 NMH47:NMH48 NMQ47:NMQ48 NMZ47:NMZ48 NNI47:NNI48 NNR47:NNR48 NOA47:NOA48 NOJ47:NOJ48 NOS47:NOS48 NPB47:NPB48 NPK47:NPK48 NPT47:NPT48 NQC47:NQC48 NQL47:NQL48 NQU47:NQU48 NRD47:NRD48 NRM47:NRM48 NRV47:NRV48 NSE47:NSE48 NSN47:NSN48 NSW47:NSW48 NTF47:NTF48 NTO47:NTO48 NTX47:NTX48 NUG47:NUG48 NUP47:NUP48 NUY47:NUY48 NVH47:NVH48 NVQ47:NVQ48 NVZ47:NVZ48 NWI47:NWI48 NWR47:NWR48 NXA47:NXA48 NXJ47:NXJ48 NXS47:NXS48 NYB47:NYB48 NYK47:NYK48 NYT47:NYT48 NZC47:NZC48 NZL47:NZL48 NZU47:NZU48 OAD47:OAD48 OAM47:OAM48 OAV47:OAV48 OBE47:OBE48 OBN47:OBN48 OBW47:OBW48 OCF47:OCF48 OCO47:OCO48 OCX47:OCX48 ODG47:ODG48 ODP47:ODP48 ODY47:ODY48 OEH47:OEH48 OEQ47:OEQ48 OEZ47:OEZ48 OFI47:OFI48 OFR47:OFR48 OGA47:OGA48 OGJ47:OGJ48 OGS47:OGS48 OHB47:OHB48 OHK47:OHK48 OHT47:OHT48 OIC47:OIC48 OIL47:OIL48 OIU47:OIU48 OJD47:OJD48 OJM47:OJM48 OJV47:OJV48 OKE47:OKE48 OKN47:OKN48 OKW47:OKW48 OLF47:OLF48 OLO47:OLO48 OLX47:OLX48 OMG47:OMG48 OMP47:OMP48 OMY47:OMY48 ONH47:ONH48 ONQ47:ONQ48 ONZ47:ONZ48 OOI47:OOI48 OOR47:OOR48 OPA47:OPA48 OPJ47:OPJ48 OPS47:OPS48 OQB47:OQB48 OQK47:OQK48 OQT47:OQT48 ORC47:ORC48 ORL47:ORL48 ORU47:ORU48 OSD47:OSD48 OSM47:OSM48 OSV47:OSV48 OTE47:OTE48 OTN47:OTN48 OTW47:OTW48 OUF47:OUF48 OUO47:OUO48 OUX47:OUX48 OVG47:OVG48 OVP47:OVP48 OVY47:OVY48 OWH47:OWH48 OWQ47:OWQ48 OWZ47:OWZ48 OXI47:OXI48 OXR47:OXR48 OYA47:OYA48 OYJ47:OYJ48 OYS47:OYS48 OZB47:OZB48 OZK47:OZK48 OZT47:OZT48 PAC47:PAC48 PAL47:PAL48 PAU47:PAU48 PBD47:PBD48 PBM47:PBM48 PBV47:PBV48 PCE47:PCE48 PCN47:PCN48 PCW47:PCW48 PDF47:PDF48 PDO47:PDO48 PDX47:PDX48 PEG47:PEG48 PEP47:PEP48 PEY47:PEY48 PFH47:PFH48 PFQ47:PFQ48 PFZ47:PFZ48 PGI47:PGI48 PGR47:PGR48 PHA47:PHA48 PHJ47:PHJ48 PHS47:PHS48 PIB47:PIB48 PIK47:PIK48 PIT47:PIT48 PJC47:PJC48 PJL47:PJL48 PJU47:PJU48 PKD47:PKD48 PKM47:PKM48 PKV47:PKV48 PLE47:PLE48 PLN47:PLN48 PLW47:PLW48 PMF47:PMF48 PMO47:PMO48 PMX47:PMX48 PNG47:PNG48 PNP47:PNP48 PNY47:PNY48 POH47:POH48 POQ47:POQ48 POZ47:POZ48 PPI47:PPI48 PPR47:PPR48 PQA47:PQA48 PQJ47:PQJ48 PQS47:PQS48 PRB47:PRB48 PRK47:PRK48 PRT47:PRT48 PSC47:PSC48 PSL47:PSL48 PSU47:PSU48 PTD47:PTD48 PTM47:PTM48 PTV47:PTV48 PUE47:PUE48 PUN47:PUN48 PUW47:PUW48 PVF47:PVF48 PVO47:PVO48 PVX47:PVX48 PWG47:PWG48 PWP47:PWP48 PWY47:PWY48 PXH47:PXH48 PXQ47:PXQ48 PXZ47:PXZ48 PYI47:PYI48 PYR47:PYR48 PZA47:PZA48 PZJ47:PZJ48 PZS47:PZS48 QAB47:QAB48 QAK47:QAK48 QAT47:QAT48 QBC47:QBC48 QBL47:QBL48 QBU47:QBU48 QCD47:QCD48 QCM47:QCM48 QCV47:QCV48 QDE47:QDE48 QDN47:QDN48 QDW47:QDW48 QEF47:QEF48 QEO47:QEO48 QEX47:QEX48 QFG47:QFG48 QFP47:QFP48 QFY47:QFY48 QGH47:QGH48 QGQ47:QGQ48 QGZ47:QGZ48 QHI47:QHI48 QHR47:QHR48 QIA47:QIA48 QIJ47:QIJ48 QIS47:QIS48 QJB47:QJB48 QJK47:QJK48 QJT47:QJT48 QKC47:QKC48 QKL47:QKL48 QKU47:QKU48 QLD47:QLD48 QLM47:QLM48 QLV47:QLV48 QME47:QME48 QMN47:QMN48 QMW47:QMW48 QNF47:QNF48 QNO47:QNO48 QNX47:QNX48 QOG47:QOG48 QOP47:QOP48 QOY47:QOY48 QPH47:QPH48 QPQ47:QPQ48 QPZ47:QPZ48 QQI47:QQI48 QQR47:QQR48 QRA47:QRA48 QRJ47:QRJ48 QRS47:QRS48 QSB47:QSB48 QSK47:QSK48 QST47:QST48 QTC47:QTC48 QTL47:QTL48 QTU47:QTU48 QUD47:QUD48 QUM47:QUM48 QUV47:QUV48 QVE47:QVE48 QVN47:QVN48 QVW47:QVW48 QWF47:QWF48 QWO47:QWO48 QWX47:QWX48 QXG47:QXG48 QXP47:QXP48 QXY47:QXY48 QYH47:QYH48 QYQ47:QYQ48 QYZ47:QYZ48 QZI47:QZI48 QZR47:QZR48 RAA47:RAA48 RAJ47:RAJ48 RAS47:RAS48 RBB47:RBB48 RBK47:RBK48 RBT47:RBT48 RCC47:RCC48 RCL47:RCL48 RCU47:RCU48 RDD47:RDD48 RDM47:RDM48 RDV47:RDV48 REE47:REE48 REN47:REN48 REW47:REW48 RFF47:RFF48 RFO47:RFO48 RFX47:RFX48 RGG47:RGG48 RGP47:RGP48 RGY47:RGY48 RHH47:RHH48 RHQ47:RHQ48 RHZ47:RHZ48 RII47:RII48 RIR47:RIR48 RJA47:RJA48 RJJ47:RJJ48 RJS47:RJS48 RKB47:RKB48 RKK47:RKK48 RKT47:RKT48 RLC47:RLC48 RLL47:RLL48 RLU47:RLU48 RMD47:RMD48 RMM47:RMM48 RMV47:RMV48 RNE47:RNE48 RNN47:RNN48 RNW47:RNW48 ROF47:ROF48 ROO47:ROO48 ROX47:ROX48 RPG47:RPG48 RPP47:RPP48 RPY47:RPY48 RQH47:RQH48 RQQ47:RQQ48 RQZ47:RQZ48 RRI47:RRI48 RRR47:RRR48 RSA47:RSA48 RSJ47:RSJ48 RSS47:RSS48 RTB47:RTB48 RTK47:RTK48 RTT47:RTT48 RUC47:RUC48 RUL47:RUL48 RUU47:RUU48 RVD47:RVD48 RVM47:RVM48 RVV47:RVV48 RWE47:RWE48 RWN47:RWN48 RWW47:RWW48 RXF47:RXF48 RXO47:RXO48 RXX47:RXX48 RYG47:RYG48 RYP47:RYP48 RYY47:RYY48 RZH47:RZH48 RZQ47:RZQ48 RZZ47:RZZ48 SAI47:SAI48 SAR47:SAR48 SBA47:SBA48 SBJ47:SBJ48 SBS47:SBS48 SCB47:SCB48 SCK47:SCK48 SCT47:SCT48 SDC47:SDC48 SDL47:SDL48 SDU47:SDU48 SED47:SED48 SEM47:SEM48 SEV47:SEV48 SFE47:SFE48 SFN47:SFN48 SFW47:SFW48 SGF47:SGF48 SGO47:SGO48 SGX47:SGX48 SHG47:SHG48 SHP47:SHP48 SHY47:SHY48 SIH47:SIH48 SIQ47:SIQ48 SIZ47:SIZ48 SJI47:SJI48 SJR47:SJR48 SKA47:SKA48 SKJ47:SKJ48 SKS47:SKS48 SLB47:SLB48 SLK47:SLK48 SLT47:SLT48 SMC47:SMC48 SML47:SML48 SMU47:SMU48 SND47:SND48 SNM47:SNM48 SNV47:SNV48 SOE47:SOE48 SON47:SON48 SOW47:SOW48 SPF47:SPF48 SPO47:SPO48 SPX47:SPX48 SQG47:SQG48 SQP47:SQP48 SQY47:SQY48 SRH47:SRH48 SRQ47:SRQ48 SRZ47:SRZ48 SSI47:SSI48 SSR47:SSR48 STA47:STA48 STJ47:STJ48 STS47:STS48 SUB47:SUB48 SUK47:SUK48 SUT47:SUT48 SVC47:SVC48 SVL47:SVL48 SVU47:SVU48 SWD47:SWD48 SWM47:SWM48 SWV47:SWV48 SXE47:SXE48 SXN47:SXN48 SXW47:SXW48 SYF47:SYF48 SYO47:SYO48 SYX47:SYX48 SZG47:SZG48 SZP47:SZP48 SZY47:SZY48 TAH47:TAH48 TAQ47:TAQ48 TAZ47:TAZ48 TBI47:TBI48 TBR47:TBR48 TCA47:TCA48 TCJ47:TCJ48 TCS47:TCS48 TDB47:TDB48 TDK47:TDK48 TDT47:TDT48 TEC47:TEC48 TEL47:TEL48 TEU47:TEU48 TFD47:TFD48 TFM47:TFM48 TFV47:TFV48 TGE47:TGE48 TGN47:TGN48 TGW47:TGW48 THF47:THF48 THO47:THO48 THX47:THX48 TIG47:TIG48 TIP47:TIP48 TIY47:TIY48 TJH47:TJH48 TJQ47:TJQ48 TJZ47:TJZ48 TKI47:TKI48 TKR47:TKR48 TLA47:TLA48 TLJ47:TLJ48 TLS47:TLS48 TMB47:TMB48 TMK47:TMK48 TMT47:TMT48 TNC47:TNC48 TNL47:TNL48 TNU47:TNU48 TOD47:TOD48 TOM47:TOM48 TOV47:TOV48 TPE47:TPE48 TPN47:TPN48 TPW47:TPW48 TQF47:TQF48 TQO47:TQO48 TQX47:TQX48 TRG47:TRG48 TRP47:TRP48 TRY47:TRY48 TSH47:TSH48 TSQ47:TSQ48 TSZ47:TSZ48 TTI47:TTI48 TTR47:TTR48 TUA47:TUA48 TUJ47:TUJ48 TUS47:TUS48 TVB47:TVB48 TVK47:TVK48 TVT47:TVT48 TWC47:TWC48 TWL47:TWL48 TWU47:TWU48 TXD47:TXD48 TXM47:TXM48 TXV47:TXV48 TYE47:TYE48 TYN47:TYN48 TYW47:TYW48 TZF47:TZF48 TZO47:TZO48 TZX47:TZX48 UAG47:UAG48 UAP47:UAP48 UAY47:UAY48 UBH47:UBH48 UBQ47:UBQ48 UBZ47:UBZ48 UCI47:UCI48 UCR47:UCR48 UDA47:UDA48 UDJ47:UDJ48 UDS47:UDS48 UEB47:UEB48 UEK47:UEK48 UET47:UET48 UFC47:UFC48 UFL47:UFL48 UFU47:UFU48 UGD47:UGD48 UGM47:UGM48 UGV47:UGV48 UHE47:UHE48 UHN47:UHN48 UHW47:UHW48 UIF47:UIF48 UIO47:UIO48 UIX47:UIX48 UJG47:UJG48 UJP47:UJP48 UJY47:UJY48 UKH47:UKH48 UKQ47:UKQ48 UKZ47:UKZ48 ULI47:ULI48 ULR47:ULR48 UMA47:UMA48 UMJ47:UMJ48 UMS47:UMS48 UNB47:UNB48 UNK47:UNK48 UNT47:UNT48 UOC47:UOC48 UOL47:UOL48 UOU47:UOU48 UPD47:UPD48 UPM47:UPM48 UPV47:UPV48 UQE47:UQE48 UQN47:UQN48 UQW47:UQW48 URF47:URF48 URO47:URO48 URX47:URX48 USG47:USG48 USP47:USP48 USY47:USY48 UTH47:UTH48 UTQ47:UTQ48 UTZ47:UTZ48 UUI47:UUI48 UUR47:UUR48 UVA47:UVA48 UVJ47:UVJ48 UVS47:UVS48 UWB47:UWB48 UWK47:UWK48 UWT47:UWT48 UXC47:UXC48 UXL47:UXL48 UXU47:UXU48 UYD47:UYD48 UYM47:UYM48 UYV47:UYV48 UZE47:UZE48 UZN47:UZN48 UZW47:UZW48 VAF47:VAF48 VAO47:VAO48 VAX47:VAX48 VBG47:VBG48 VBP47:VBP48 VBY47:VBY48 VCH47:VCH48 VCQ47:VCQ48 VCZ47:VCZ48 VDI47:VDI48 VDR47:VDR48 VEA47:VEA48 VEJ47:VEJ48 VES47:VES48 VFB47:VFB48 VFK47:VFK48 VFT47:VFT48 VGC47:VGC48 VGL47:VGL48 VGU47:VGU48 VHD47:VHD48 VHM47:VHM48 VHV47:VHV48 VIE47:VIE48 VIN47:VIN48 VIW47:VIW48 VJF47:VJF48 VJO47:VJO48 VJX47:VJX48 VKG47:VKG48 VKP47:VKP48 VKY47:VKY48 VLH47:VLH48 VLQ47:VLQ48 VLZ47:VLZ48 VMI47:VMI48 VMR47:VMR48 VNA47:VNA48 VNJ47:VNJ48 VNS47:VNS48 VOB47:VOB48 VOK47:VOK48 VOT47:VOT48 VPC47:VPC48 VPL47:VPL48 VPU47:VPU48 VQD47:VQD48 VQM47:VQM48 VQV47:VQV48 VRE47:VRE48 VRN47:VRN48 VRW47:VRW48 VSF47:VSF48 VSO47:VSO48 VSX47:VSX48 VTG47:VTG48 VTP47:VTP48 VTY47:VTY48 VUH47:VUH48 VUQ47:VUQ48 VUZ47:VUZ48 VVI47:VVI48 VVR47:VVR48 VWA47:VWA48 VWJ47:VWJ48 VWS47:VWS48 VXB47:VXB48 VXK47:VXK48 VXT47:VXT48 VYC47:VYC48 VYL47:VYL48 VYU47:VYU48 VZD47:VZD48 VZM47:VZM48 VZV47:VZV48 WAE47:WAE48 WAN47:WAN48 WAW47:WAW48 WBF47:WBF48 WBO47:WBO48 WBX47:WBX48 WCG47:WCG48 WCP47:WCP48 WCY47:WCY48 WDH47:WDH48 WDQ47:WDQ48 WDZ47:WDZ48 WEI47:WEI48 WER47:WER48 WFA47:WFA48 WFJ47:WFJ48 WFS47:WFS48 WGB47:WGB48 WGK47:WGK48 WGT47:WGT48 WHC47:WHC48 WHL47:WHL48 WHU47:WHU48 WID47:WID48 WIM47:WIM48 WIV47:WIV48 WJE47:WJE48 WJN47:WJN48 WJW47:WJW48 WKF47:WKF48 WKO47:WKO48 WKX47:WKX48 WLG47:WLG48 WLP47:WLP48 WLY47:WLY48 WMH47:WMH48 WMQ47:WMQ48 WMZ47:WMZ48 WNI47:WNI48 WNR47:WNR48 WOA47:WOA48 WOJ47:WOJ48 WOS47:WOS48 WPB47:WPB48 WPK47:WPK48 WPT47:WPT48 WQC47:WQC48 WQL47:WQL48 WQU47:WQU48 WRD47:WRD48 WRM47:WRM48 WRV47:WRV48 WSE47:WSE48 WSN47:WSN48 WSW47:WSW48 WTF47:WTF48 WTO47:WTO48 WTX47:WTX48 WUG47:WUG48 WUP47:WUP48 WUY47:WUY48 WVH47:WVH48 WVQ47:WVQ48 WVZ47:WVZ48 WWI47:WWI48 WWR47:WWR48 WXA47:WXA48 WXJ47:WXJ48 WXS47:WXS48 WYB47:WYB48 WYK47:WYK48 WYT47:WYT48 WZC47:WZC48 WZL47:WZL48 WZU47:WZU48 XAD47:XAD48 XAM47:XAM48 XAV47:XAV48 XBE47:XBE48 XBN47:XBN48 XBW47:XBW48 XCF47:XCF48 XCO47:XCO48 XCX47:XCX48 XDG47:XDG48 XDP47:XDP48 XDY47:XDY48 XEH47:XEH48 XEQ47:XEQ48 XEZ47:XEZ48 I49:I92 AA93 AJ93 AS93 BB93 BK93 BT93 CC93 CL93 CU93 DD93 DM93 DV93 EE93 EN93 EW93 FF93 FO93 FX93 GG93 GP93 GY93 HH93 HQ93 HZ93 II93 IR93 JA93 JJ93 JS93 KB93 KK93 KT93 LC93 LL93 LU93 MD93 MM93 MV93 NE93 NN93 NW93 OF93 OO93 OX93 PG93 PP93 PY93 QH93 QQ93 QZ93 RI93 RR93 SA93 SJ93 SS93 TB93 TK93 TT93 UC93 UL93 UU93 VD93 VM93 VV93 WE93 WN93 WW93 XF93 XO93 XX93 YG93 YP93 YY93 ZH93 ZQ93 ZZ93 AAI93 AAR93 ABA93 ABJ93 ABS93 ACB93 ACK93 ACT93 ADC93 ADL93 ADU93 AED93 AEM93 AEV93 AFE93 AFN93 AFW93 AGF93 AGO93 AGX93 AHG93 AHP93 AHY93 AIH93 AIQ93 AIZ93 AJI93 AJR93 AKA93 AKJ93 AKS93 ALB93 ALK93 ALT93 AMC93 AML93 AMU93 AND93 ANM93 ANV93 AOE93 AON93 AOW93 APF93 APO93 APX93 AQG93 AQP93 AQY93 ARH93 ARQ93 ARZ93 ASI93 ASR93 ATA93 ATJ93 ATS93 AUB93 AUK93 AUT93 AVC93 AVL93 AVU93 AWD93 AWM93 AWV93 AXE93 AXN93 AXW93 AYF93 AYO93 AYX93 AZG93 AZP93 AZY93 BAH93 BAQ93 BAZ93 BBI93 BBR93 BCA93 BCJ93 BCS93 BDB93 BDK93 BDT93 BEC93 BEL93 BEU93 BFD93 BFM93 BFV93 BGE93 BGN93 BGW93 BHF93 BHO93 BHX93 BIG93 BIP93 BIY93 BJH93 BJQ93 BJZ93 BKI93 BKR93 BLA93 BLJ93 BLS93 BMB93 BMK93 BMT93 BNC93 BNL93 BNU93 BOD93 BOM93 BOV93 BPE93 BPN93 BPW93 BQF93 BQO93 BQX93 BRG93 BRP93 BRY93 BSH93 BSQ93 BSZ93 BTI93 BTR93 BUA93 BUJ93 BUS93 BVB93 BVK93 BVT93 BWC93 BWL93 BWU93 BXD93 BXM93 BXV93 BYE93 BYN93 BYW93 BZF93 BZO93 BZX93 CAG93 CAP93 CAY93 CBH93 CBQ93 CBZ93 CCI93 CCR93 CDA93 CDJ93 CDS93 CEB93 CEK93 CET93 CFC93 CFL93 CFU93 CGD93 CGM93 CGV93 CHE93 CHN93 CHW93 CIF93 CIO93 CIX93 CJG93 CJP93 CJY93 CKH93 CKQ93 CKZ93 CLI93 CLR93 CMA93 CMJ93 CMS93 CNB93 CNK93 CNT93 COC93 COL93 COU93 CPD93 CPM93 CPV93 CQE93 CQN93 CQW93 CRF93 CRO93 CRX93 CSG93 CSP93 CSY93 CTH93 CTQ93 CTZ93 CUI93 CUR93 CVA93 CVJ93 CVS93 CWB93 CWK93 CWT93 CXC93 CXL93 CXU93 CYD93 CYM93 CYV93 CZE93 CZN93 CZW93 DAF93 DAO93 DAX93 DBG93 DBP93 DBY93 DCH93 DCQ93 DCZ93 DDI93 DDR93 DEA93 DEJ93 DES93 DFB93 DFK93 DFT93 DGC93 DGL93 DGU93 DHD93 DHM93 DHV93 DIE93 DIN93 DIW93 DJF93 DJO93 DJX93 DKG93 DKP93 DKY93 DLH93 DLQ93 DLZ93 DMI93 DMR93 DNA93 DNJ93 DNS93 DOB93 DOK93 DOT93 DPC93 DPL93 DPU93 DQD93 DQM93 DQV93 DRE93 DRN93 DRW93 DSF93 DSO93 DSX93 DTG93 DTP93 DTY93 DUH93 DUQ93 DUZ93 DVI93 DVR93 DWA93 DWJ93 DWS93 DXB93 DXK93 DXT93 DYC93 DYL93 DYU93 DZD93 DZM93 DZV93 EAE93 EAN93 EAW93 EBF93 EBO93 EBX93 ECG93 ECP93 ECY93 EDH93 EDQ93 EDZ93 EEI93 EER93 EFA93 EFJ93 EFS93 EGB93 EGK93 EGT93 EHC93 EHL93 EHU93 EID93 EIM93 EIV93 EJE93 EJN93 EJW93 EKF93 EKO93 EKX93 ELG93 ELP93 ELY93 EMH93 EMQ93 EMZ93 ENI93 ENR93 EOA93 EOJ93 EOS93 EPB93 EPK93 EPT93 EQC93 EQL93 EQU93 ERD93 ERM93 ERV93 ESE93 ESN93 ESW93 ETF93 ETO93 ETX93 EUG93 EUP93 EUY93 EVH93 EVQ93 EVZ93 EWI93 EWR93 EXA93 EXJ93 EXS93 EYB93 EYK93 EYT93 EZC93 EZL93 EZU93 FAD93 FAM93 FAV93 FBE93 FBN93 FBW93 FCF93 FCO93 FCX93 FDG93 FDP93 FDY93 FEH93 FEQ93 FEZ93 FFI93 FFR93 FGA93 FGJ93 FGS93 FHB93 FHK93 FHT93 FIC93 FIL93 FIU93 FJD93 FJM93 FJV93 FKE93 FKN93 FKW93 FLF93 FLO93 FLX93 FMG93 FMP93 FMY93 FNH93 FNQ93 FNZ93 FOI93 FOR93 FPA93 FPJ93 FPS93 FQB93 FQK93 FQT93 FRC93 FRL93 FRU93 FSD93 FSM93 FSV93 FTE93 FTN93 FTW93 FUF93 FUO93 FUX93 FVG93 FVP93 FVY93 FWH93 FWQ93 FWZ93 FXI93 FXR93 FYA93 FYJ93 FYS93 FZB93 FZK93 FZT93 GAC93 GAL93 GAU93 GBD93 GBM93 GBV93 GCE93 GCN93 GCW93 GDF93 GDO93 GDX93 GEG93 GEP93 GEY93 GFH93 GFQ93 GFZ93 GGI93 GGR93 GHA93 GHJ93 GHS93 GIB93 GIK93 GIT93 GJC93 GJL93 GJU93 GKD93 GKM93 GKV93 GLE93 GLN93 GLW93 GMF93 GMO93 GMX93 GNG93 GNP93 GNY93 GOH93 GOQ93 GOZ93 GPI93 GPR93 GQA93 GQJ93 GQS93 GRB93 GRK93 GRT93 GSC93 GSL93 GSU93 GTD93 GTM93 GTV93 GUE93 GUN93 GUW93 GVF93 GVO93 GVX93 GWG93 GWP93 GWY93 GXH93 GXQ93 GXZ93 GYI93 GYR93 GZA93 GZJ93 GZS93 HAB93 HAK93 HAT93 HBC93 HBL93 HBU93 HCD93 HCM93 HCV93 HDE93 HDN93 HDW93 HEF93 HEO93 HEX93 HFG93 HFP93 HFY93 HGH93 HGQ93 HGZ93 HHI93 HHR93 HIA93 HIJ93 HIS93 HJB93 HJK93 HJT93 HKC93 HKL93 HKU93 HLD93 HLM93 HLV93 HME93 HMN93 HMW93 HNF93 HNO93 HNX93 HOG93 HOP93 HOY93 HPH93 HPQ93 HPZ93 HQI93 HQR93 HRA93 HRJ93 HRS93 HSB93 HSK93 HST93 HTC93 HTL93 HTU93 HUD93 HUM93 HUV93 HVE93 HVN93 HVW93 HWF93 HWO93 HWX93 HXG93 HXP93 HXY93 HYH93 HYQ93 HYZ93 HZI93 HZR93 IAA93 IAJ93 IAS93 IBB93 IBK93 IBT93 ICC93 ICL93 ICU93 IDD93 IDM93 IDV93 IEE93 IEN93 IEW93 IFF93 IFO93 IFX93 IGG93 IGP93 IGY93 IHH93 IHQ93 IHZ93 III93 IIR93 IJA93 IJJ93 IJS93 IKB93 IKK93 IKT93 ILC93 ILL93 ILU93 IMD93 IMM93 IMV93 INE93 INN93 INW93 IOF93 IOO93 IOX93 IPG93 IPP93 IPY93 IQH93 IQQ93 IQZ93 IRI93 IRR93 ISA93 ISJ93 ISS93 ITB93 ITK93 ITT93 IUC93 IUL93 IUU93 IVD93 IVM93 IVV93 IWE93 IWN93 IWW93 IXF93 IXO93 IXX93 IYG93 IYP93 IYY93 IZH93 IZQ93 IZZ93 JAI93 JAR93 JBA93 JBJ93 JBS93 JCB93 JCK93 JCT93 JDC93 JDL93 JDU93 JED93 JEM93 JEV93 JFE93 JFN93 JFW93 JGF93 JGO93 JGX93 JHG93 JHP93 JHY93 JIH93 JIQ93 JIZ93 JJI93 JJR93 JKA93 JKJ93 JKS93 JLB93 JLK93 JLT93 JMC93 JML93 JMU93 JND93 JNM93 JNV93 JOE93 JON93 JOW93 JPF93 JPO93 JPX93 JQG93 JQP93 JQY93 JRH93 JRQ93 JRZ93 JSI93 JSR93 JTA93 JTJ93 JTS93 JUB93 JUK93 JUT93 JVC93 JVL93 JVU93 JWD93 JWM93 JWV93 JXE93 JXN93 JXW93 JYF93 JYO93 JYX93 JZG93 JZP93 JZY93 KAH93 KAQ93 KAZ93 KBI93 KBR93 KCA93 KCJ93 KCS93 KDB93 KDK93 KDT93 KEC93 KEL93 KEU93 KFD93 KFM93 KFV93 KGE93 KGN93 KGW93 KHF93 KHO93 KHX93 KIG93 KIP93 KIY93 KJH93 KJQ93 KJZ93 KKI93 KKR93 KLA93 KLJ93 KLS93 KMB93 KMK93 KMT93 KNC93 KNL93 KNU93 KOD93 KOM93 KOV93 KPE93 KPN93 KPW93 KQF93 KQO93 KQX93 KRG93 KRP93 KRY93 KSH93 KSQ93 KSZ93 KTI93 KTR93 KUA93 KUJ93 KUS93 KVB93 KVK93 KVT93 KWC93 KWL93 KWU93 KXD93 KXM93 KXV93 KYE93 KYN93 KYW93 KZF93 KZO93 KZX93 LAG93 LAP93 LAY93 LBH93 LBQ93 LBZ93 LCI93 LCR93 LDA93 LDJ93 LDS93 LEB93 LEK93 LET93 LFC93 LFL93 LFU93 LGD93 LGM93 LGV93 LHE93 LHN93 LHW93 LIF93 LIO93 LIX93 LJG93 LJP93 LJY93 LKH93 LKQ93 LKZ93 LLI93 LLR93 LMA93 LMJ93 LMS93 LNB93 LNK93 LNT93 LOC93 LOL93 LOU93 LPD93 LPM93 LPV93 LQE93 LQN93 LQW93 LRF93 LRO93 LRX93 LSG93 LSP93 LSY93 LTH93 LTQ93 LTZ93 LUI93 LUR93 LVA93 LVJ93 LVS93 LWB93 LWK93 LWT93 LXC93 LXL93 LXU93 LYD93 LYM93 LYV93 LZE93 LZN93 LZW93 MAF93 MAO93 MAX93 MBG93 MBP93 MBY93 MCH93 MCQ93 MCZ93 MDI93 MDR93 MEA93 MEJ93 MES93 MFB93 MFK93 MFT93 MGC93 MGL93 MGU93 MHD93 MHM93 MHV93 MIE93 MIN93 MIW93 MJF93 MJO93 MJX93 MKG93 MKP93 MKY93 MLH93 MLQ93 MLZ93 MMI93 MMR93 MNA93 MNJ93 MNS93 MOB93 MOK93 MOT93 MPC93 MPL93 MPU93 MQD93 MQM93 MQV93 MRE93 MRN93 MRW93 MSF93 MSO93 MSX93 MTG93 MTP93 MTY93 MUH93 MUQ93 MUZ93 MVI93 MVR93 MWA93 MWJ93 MWS93 MXB93 MXK93 MXT93 MYC93 MYL93 MYU93 MZD93 MZM93 MZV93 NAE93 NAN93 NAW93 NBF93 NBO93 NBX93 NCG93 NCP93 NCY93 NDH93 NDQ93 NDZ93 NEI93 NER93 NFA93 NFJ93 NFS93 NGB93 NGK93 NGT93 NHC93 NHL93 NHU93 NID93 NIM93 NIV93 NJE93 NJN93 NJW93 NKF93 NKO93 NKX93 NLG93 NLP93 NLY93 NMH93 NMQ93 NMZ93 NNI93 NNR93 NOA93 NOJ93 NOS93 NPB93 NPK93 NPT93 NQC93 NQL93 NQU93 NRD93 NRM93 NRV93 NSE93 NSN93 NSW93 NTF93 NTO93 NTX93 NUG93 NUP93 NUY93 NVH93 NVQ93 NVZ93 NWI93 NWR93 NXA93 NXJ93 NXS93 NYB93 NYK93 NYT93 NZC93 NZL93 NZU93 OAD93 OAM93 OAV93 OBE93 OBN93 OBW93 OCF93 OCO93 OCX93 ODG93 ODP93 ODY93 OEH93 OEQ93 OEZ93 OFI93 OFR93 OGA93 OGJ93 OGS93 OHB93 OHK93 OHT93 OIC93 OIL93 OIU93 OJD93 OJM93 OJV93 OKE93 OKN93 OKW93 OLF93 OLO93 OLX93 OMG93 OMP93 OMY93 ONH93 ONQ93 ONZ93 OOI93 OOR93 OPA93 OPJ93 OPS93 OQB93 OQK93 OQT93 ORC93 ORL93 ORU93 OSD93 OSM93 OSV93 OTE93 OTN93 OTW93 OUF93 OUO93 OUX93 OVG93 OVP93 OVY93 OWH93 OWQ93 OWZ93 OXI93 OXR93 OYA93 OYJ93 OYS93 OZB93 OZK93 OZT93 PAC93 PAL93 PAU93 PBD93 PBM93 PBV93 PCE93 PCN93 PCW93 PDF93 PDO93 PDX93 PEG93 PEP93 PEY93 PFH93 PFQ93 PFZ93 PGI93 PGR93 PHA93 PHJ93 PHS93 PIB93 PIK93 PIT93 PJC93 PJL93 PJU93 PKD93 PKM93 PKV93 PLE93 PLN93 PLW93 PMF93 PMO93 PMX93 PNG93 PNP93 PNY93 POH93 POQ93 POZ93 PPI93 PPR93 PQA93 PQJ93 PQS93 PRB93 PRK93 PRT93 PSC93 PSL93 PSU93 PTD93 PTM93 PTV93 PUE93 PUN93 PUW93 PVF93 PVO93 PVX93 PWG93 PWP93 PWY93 PXH93 PXQ93 PXZ93 PYI93 PYR93 PZA93 PZJ93 PZS93 QAB93 QAK93 QAT93 QBC93 QBL93 QBU93 QCD93 QCM93 QCV93 QDE93 QDN93 QDW93 QEF93 QEO93 QEX93 QFG93 QFP93 QFY93 QGH93 QGQ93 QGZ93 QHI93 QHR93 QIA93 QIJ93 QIS93 QJB93 QJK93 QJT93 QKC93 QKL93 QKU93 QLD93 QLM93 QLV93 QME93 QMN93 QMW93 QNF93 QNO93 QNX93 QOG93 QOP93 QOY93 QPH93 QPQ93 QPZ93 QQI93 QQR93 QRA93 QRJ93 QRS93 QSB93 QSK93 QST93 QTC93 QTL93 QTU93 QUD93 QUM93 QUV93 QVE93 QVN93 QVW93 QWF93 QWO93 QWX93 QXG93 QXP93 QXY93 QYH93 QYQ93 QYZ93 QZI93 QZR93 RAA93 RAJ93 RAS93 RBB93 RBK93 RBT93 RCC93 RCL93 RCU93 RDD93 RDM93 RDV93 REE93 REN93 REW93 RFF93 RFO93 RFX93 RGG93 RGP93 RGY93 RHH93 RHQ93 RHZ93 RII93 RIR93 RJA93 RJJ93 RJS93 RKB93 RKK93 RKT93 RLC93 RLL93 RLU93 RMD93 RMM93 RMV93 RNE93 RNN93 RNW93 ROF93 ROO93 ROX93 RPG93 RPP93 RPY93 RQH93 RQQ93 RQZ93 RRI93 RRR93 RSA93 RSJ93 RSS93 RTB93 RTK93 RTT93 RUC93 RUL93 RUU93 RVD93 RVM93 RVV93 RWE93 RWN93 RWW93 RXF93 RXO93 RXX93 RYG93 RYP93 RYY93 RZH93 RZQ93 RZZ93 SAI93 SAR93 SBA93 SBJ93 SBS93 SCB93 SCK93 SCT93 SDC93 SDL93 SDU93 SED93 SEM93 SEV93 SFE93 SFN93 SFW93 SGF93 SGO93 SGX93 SHG93 SHP93 SHY93 SIH93 SIQ93 SIZ93 SJI93 SJR93 SKA93 SKJ93 SKS93 SLB93 SLK93 SLT93 SMC93 SML93 SMU93 SND93 SNM93 SNV93 SOE93 SON93 SOW93 SPF93 SPO93 SPX93 SQG93 SQP93 SQY93 SRH93 SRQ93 SRZ93 SSI93 SSR93 STA93 STJ93 STS93 SUB93 SUK93 SUT93 SVC93 SVL93 SVU93 SWD93 SWM93 SWV93 SXE93 SXN93 SXW93 SYF93 SYO93 SYX93 SZG93 SZP93 SZY93 TAH93 TAQ93 TAZ93 TBI93 TBR93 TCA93 TCJ93 TCS93 TDB93 TDK93 TDT93 TEC93 TEL93 TEU93 TFD93 TFM93 TFV93 TGE93 TGN93 TGW93 THF93 THO93 THX93 TIG93 TIP93 TIY93 TJH93 TJQ93 TJZ93 TKI93 TKR93 TLA93 TLJ93 TLS93 TMB93 TMK93 TMT93 TNC93 TNL93 TNU93 TOD93 TOM93 TOV93 TPE93 TPN93 TPW93 TQF93 TQO93 TQX93 TRG93 TRP93 TRY93 TSH93 TSQ93 TSZ93 TTI93 TTR93 TUA93 TUJ93 TUS93 TVB93 TVK93 TVT93 TWC93 TWL93 TWU93 TXD93 TXM93 TXV93 TYE93 TYN93 TYW93 TZF93 TZO93 TZX93 UAG93 UAP93 UAY93 UBH93 UBQ93 UBZ93 UCI93 UCR93 UDA93 UDJ93 UDS93 UEB93 UEK93 UET93 UFC93 UFL93 UFU93 UGD93 UGM93 UGV93 UHE93 UHN93 UHW93 UIF93 UIO93 UIX93 UJG93 UJP93 UJY93 UKH93 UKQ93 UKZ93 ULI93 ULR93 UMA93 UMJ93 UMS93 UNB93 UNK93 UNT93 UOC93 UOL93 UOU93 UPD93 UPM93 UPV93 UQE93 UQN93 UQW93 URF93 URO93 URX93 USG93 USP93 USY93 UTH93 UTQ93 UTZ93 UUI93 UUR93 UVA93 UVJ93 UVS93 UWB93 UWK93 UWT93 UXC93 UXL93 UXU93 UYD93 UYM93 UYV93 UZE93 UZN93 UZW93 VAF93 VAO93 VAX93 VBG93 VBP93 VBY93 VCH93 VCQ93 VCZ93 VDI93 VDR93 VEA93 VEJ93 VES93 VFB93 VFK93 VFT93 VGC93 VGL93 VGU93 VHD93 VHM93 VHV93 VIE93 VIN93 VIW93 VJF93 VJO93 VJX93 VKG93 VKP93 VKY93 VLH93 VLQ93 VLZ93 VMI93 VMR93 VNA93 VNJ93 VNS93 VOB93 VOK93 VOT93 VPC93 VPL93 VPU93 VQD93 VQM93 VQV93 VRE93 VRN93 VRW93 VSF93 VSO93 VSX93 VTG93 VTP93 VTY93 VUH93 VUQ93 VUZ93 VVI93 VVR93 VWA93 VWJ93 VWS93 VXB93 VXK93 VXT93 VYC93 VYL93 VYU93 VZD93 VZM93 VZV93 WAE93 WAN93 WAW93 WBF93 WBO93 WBX93 WCG93 WCP93 WCY93 WDH93 WDQ93 WDZ93 WEI93 WER93 WFA93 WFJ93 WFS93 WGB93 WGK93 WGT93 WHC93 WHL93 WHU93 WID93 WIM93 WIV93 WJE93 WJN93 WJW93 WKF93 WKO93 WKX93 WLG93 WLP93 WLY93 WMH93 WMQ93 WMZ93 WNI93 WNR93 WOA93 WOJ93 WOS93 WPB93 WPK93 WPT93 WQC93 WQL93 WQU93 WRD93 WRM93 WRV93 WSE93 WSN93 WSW93 WTF93 WTO93 WTX93 WUG93 WUP93 WUY93 WVH93 WVQ93 WVZ93 WWI93 WWR93 WXA93 WXJ93 WXS93 WYB93 WYK93 WYT93 WZC93 WZL93 WZU93 XAD93 XAM93 XAV93 XBE93 XBN93 XBW93 XCF93 XCO93 XCX93 XDG93 XDP93 XDY93 XEH93 XEQ93 XEZ93 I95:I1048576">
    <cfRule type="containsText" dxfId="23" priority="6" operator="containsText" text="✗">
      <formula>NOT(ISERROR(SEARCH("✗",I3)))</formula>
    </cfRule>
    <cfRule type="containsText" dxfId="22" priority="7" operator="containsText" text="✓">
      <formula>NOT(ISERROR(SEARCH("✓",I3)))</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0592F-A028-4C46-9B73-22C5E0F530A8}">
  <dimension ref="A1:AH40"/>
  <sheetViews>
    <sheetView zoomScale="74" zoomScaleNormal="79" workbookViewId="0">
      <pane xSplit="1" ySplit="1" topLeftCell="B6" activePane="bottomRight" state="frozen"/>
      <selection pane="topRight" activeCell="B1" sqref="B1"/>
      <selection pane="bottomLeft" activeCell="A2" sqref="A2"/>
      <selection pane="bottomRight" activeCell="E28" sqref="E28"/>
    </sheetView>
  </sheetViews>
  <sheetFormatPr baseColWidth="10" defaultColWidth="11.5" defaultRowHeight="15"/>
  <cols>
    <col min="1" max="1" width="13.1640625" style="10" customWidth="1"/>
    <col min="2" max="2" width="21.1640625" style="11" customWidth="1"/>
    <col min="3" max="3" width="15.6640625" style="67" customWidth="1"/>
    <col min="4" max="4" width="24.1640625" style="11" bestFit="1" customWidth="1"/>
    <col min="5" max="5" width="17.83203125" style="311" customWidth="1"/>
    <col min="6" max="6" width="22.33203125" style="485" customWidth="1"/>
    <col min="7" max="7" width="28.83203125" style="11" customWidth="1"/>
    <col min="8" max="8" width="25.1640625" style="11" customWidth="1"/>
    <col min="9" max="9" width="14.5" style="343" customWidth="1"/>
    <col min="10" max="11" width="20.5" style="11" customWidth="1"/>
    <col min="12" max="12" width="23.1640625" style="11" customWidth="1"/>
    <col min="13" max="13" width="17.5" style="555" customWidth="1"/>
    <col min="14" max="14" width="15.5" style="11" customWidth="1"/>
    <col min="15" max="15" width="12.83203125" style="185" customWidth="1"/>
    <col min="16" max="16" width="11.5" style="185" customWidth="1"/>
    <col min="17" max="17" width="31.83203125" style="285" bestFit="1" customWidth="1"/>
    <col min="18" max="18" width="21.83203125" style="11" customWidth="1"/>
    <col min="19" max="19" width="15.5" style="11" customWidth="1"/>
    <col min="20" max="20" width="18.1640625" style="264" customWidth="1"/>
    <col min="21" max="21" width="19.6640625" style="264" customWidth="1"/>
    <col min="22" max="22" width="20.6640625" style="11" customWidth="1"/>
    <col min="23" max="23" width="25.83203125" style="11" customWidth="1"/>
    <col min="24" max="24" width="25.33203125" style="11" customWidth="1"/>
    <col min="25" max="25" width="19.5" style="11" customWidth="1"/>
    <col min="26" max="26" width="16.83203125" style="11" customWidth="1"/>
    <col min="27" max="27" width="15.83203125" style="67" customWidth="1"/>
    <col min="28" max="28" width="16" style="67" customWidth="1"/>
    <col min="29" max="29" width="15.83203125" style="67" customWidth="1"/>
    <col min="30" max="30" width="19.5" style="67" bestFit="1" customWidth="1"/>
    <col min="31" max="31" width="16.33203125" style="198" customWidth="1"/>
    <col min="32" max="32" width="24.5" style="198" bestFit="1" customWidth="1"/>
    <col min="33" max="33" width="27.33203125" style="198" bestFit="1" customWidth="1"/>
    <col min="34" max="34" width="26.83203125" style="198" bestFit="1" customWidth="1"/>
  </cols>
  <sheetData>
    <row r="1" spans="1:34" s="4" customFormat="1">
      <c r="A1" s="452" t="s">
        <v>25</v>
      </c>
      <c r="B1" s="453" t="s">
        <v>41</v>
      </c>
      <c r="C1" s="454" t="s">
        <v>42</v>
      </c>
      <c r="D1" s="453" t="s">
        <v>43</v>
      </c>
      <c r="E1" s="455" t="s">
        <v>44</v>
      </c>
      <c r="F1" s="482" t="s">
        <v>4558</v>
      </c>
      <c r="G1" s="457" t="s">
        <v>45</v>
      </c>
      <c r="H1" s="453" t="s">
        <v>4559</v>
      </c>
      <c r="I1" s="458" t="s">
        <v>4560</v>
      </c>
      <c r="J1" s="453" t="s">
        <v>46</v>
      </c>
      <c r="K1" s="459" t="s">
        <v>47</v>
      </c>
      <c r="L1" s="453" t="s">
        <v>4765</v>
      </c>
      <c r="M1" s="554" t="s">
        <v>4766</v>
      </c>
      <c r="N1" s="487" t="s">
        <v>4577</v>
      </c>
      <c r="O1" s="456" t="s">
        <v>48</v>
      </c>
      <c r="P1" s="456" t="s">
        <v>2534</v>
      </c>
      <c r="Q1" s="460" t="s">
        <v>49</v>
      </c>
      <c r="R1" s="457" t="s">
        <v>50</v>
      </c>
      <c r="S1" s="461" t="s">
        <v>51</v>
      </c>
      <c r="T1" s="462" t="s">
        <v>52</v>
      </c>
      <c r="U1" s="462" t="s">
        <v>53</v>
      </c>
      <c r="V1" s="463" t="s">
        <v>54</v>
      </c>
      <c r="W1" s="464" t="s">
        <v>55</v>
      </c>
      <c r="X1" s="465" t="s">
        <v>56</v>
      </c>
      <c r="Y1" s="466" t="s">
        <v>57</v>
      </c>
      <c r="Z1" s="467" t="s">
        <v>58</v>
      </c>
      <c r="AA1" s="468" t="s">
        <v>59</v>
      </c>
      <c r="AB1" s="469" t="s">
        <v>60</v>
      </c>
      <c r="AC1" s="468" t="s">
        <v>61</v>
      </c>
      <c r="AD1" s="470" t="s">
        <v>4527</v>
      </c>
      <c r="AE1" s="471" t="s">
        <v>62</v>
      </c>
      <c r="AF1" s="471" t="s">
        <v>63</v>
      </c>
      <c r="AG1" s="453" t="s">
        <v>64</v>
      </c>
      <c r="AH1" s="471" t="s">
        <v>65</v>
      </c>
    </row>
    <row r="2" spans="1:34">
      <c r="A2" s="58">
        <v>45597</v>
      </c>
      <c r="B2" s="12">
        <f>+Tabla7[[#This Row],[INGRESO MES RECIBIDO]]+Tabla7[[#This Row],[INGRESO PROGRAMADO PEND.]]</f>
        <v>0</v>
      </c>
      <c r="C2" s="233" t="str">
        <f>IFERROR((Tabla7[[#This Row],[INGRESO TOTAL MES]]/B1)-1,"0")</f>
        <v>0</v>
      </c>
      <c r="D2" s="63">
        <f>SUMIFS(INGRESOS!G:G,INGRESOS!A:A,"&gt;="&amp;EOMONTH(Tabla7[[#This Row],[MES]],-1)+1,INGRESOS!A:A,"&lt;="&amp;EOMONTH(Tabla7[[#This Row],[MES]],0))</f>
        <v>0</v>
      </c>
      <c r="E2" s="309">
        <f ca="1">COUNTIFS(INGRESOS!$A:$A,"&gt;="&amp;Tabla7[[#This Row],[MES]],INGRESOS!$A:$A,"&lt;="&amp;MIN(TODAY(),EOMONTH(Tabla7[[#This Row],[MES]],0)))</f>
        <v>0</v>
      </c>
      <c r="F2" s="483">
        <v>0</v>
      </c>
      <c r="G2" s="79">
        <f>SUMIFS('CALENDARIO INGRESOS'!I:I,'CALENDARIO INGRESOS'!G:G,"&gt;="&amp;EOMONTH(Tabla7[[#This Row],[MES]],-1)+1,'CALENDARIO INGRESOS'!G:G,"&lt;="&amp;EOMONTH(Tabla7[[#This Row],[MES]],0),'CALENDARIO INGRESOS'!L:L, "&lt;&gt;PAGADA",'CALENDARIO INGRESOS'!D:D,"&lt;&gt;ELIMINADO",'CALENDARIO INGRESOS'!D:D,"&lt;&gt;¡REGULARIZAR!")</f>
        <v>0</v>
      </c>
      <c r="H2"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2" s="341">
        <f ca="1">COUNTIFS('CALENDARIO INGRESOS'!$G:$G,"&gt;="&amp;EOMONTH(Tabla7[[#This Row],[MES]],-1)+1,'CALENDARIO INGRESOS'!$G:$G,"&lt;="&amp;EOMONTH(Tabla7[[#This Row],[MES]],0),'CALENDARIO INGRESOS'!$D:$D,"&lt;&gt;ELIMINADO",'CALENDARIO INGRESOS'!$D:$D,"&lt;&gt;¡REGULARIZAR!",'CALENDARIO INGRESOS'!$L:$L,"&lt;&gt;PAGADA",'CALENDARIO INGRESOS'!$G:$G,"&lt;="&amp;TODAY())</f>
        <v>0</v>
      </c>
      <c r="J2" s="63">
        <f ca="1">SUMIFS('CALENDARIO INGRESOS'!$I:$I,
                   'CALENDARIO INGRESOS'!$G:$G,"&gt;="&amp;EOMONTH(Tabla7[[#This Row],[MES]],-1)+1,
                   'CALENDARIO INGRESOS'!$G:$G,"&lt;="&amp;EOMONTH(Tabla7[[#This Row],[MES]],0),
                   'CALENDARIO INGRESOS'!$L:$L,"&lt;&gt;PAGADA",
                   'CALENDARIO INGRESOS'!$G:$G,"&gt;="&amp;TODAY(),'CALENDARIO INGRESOS'!$D:$D,"&lt;&gt;ELIMINADO",'CALENDARIO INGRESOS'!$D:$D,"&lt;&gt;¡REGULARIZAR!")</f>
        <v>0</v>
      </c>
      <c r="K2" s="346">
        <f ca="1">COUNTIFS('CALENDARIO INGRESOS'!$G:$G,"&gt;="&amp;EOMONTH(Tabla7[[#This Row],[MES]],-1)+1,'CALENDARIO INGRESOS'!$G:$G,"&lt;="&amp;EOMONTH(Tabla7[[#This Row],[MES]],0),'CALENDARIO INGRESOS'!$D:$D,"&lt;&gt;ELIMINADO",'CALENDARIO INGRESOS'!$D:$D,"&lt;&gt;¡REGULARIZAR!",'CALENDARIO INGRESOS'!$L:$L,"&lt;&gt;PAGADA",'CALENDARIO INGRESOS'!$G:$G,"&gt;="&amp;TODAY())</f>
        <v>0</v>
      </c>
      <c r="L2" s="63">
        <f>SUMIFS('CALENDARIO INGRESOS'!I:I,'CALENDARIO INGRESOS'!G:G,"&gt;="&amp;EOMONTH(Tabla7[[#This Row],[MES]],-1)+1,'CALENDARIO INGRESOS'!G:G,"&lt;="&amp;EOMONTH(Tabla7[[#This Row],[MES]],0),'CALENDARIO INGRESOS'!L:L, "&lt;&gt;PAGADA",'CALENDARIO INGRESOS'!D:D,"¡REGULARIZAR!")</f>
        <v>0</v>
      </c>
      <c r="M2" s="346">
        <f>COUNTIFS('CALENDARIO INGRESOS'!$G:$G,"&gt;="&amp;EOMONTH(Tabla7[[#This Row],[MES]],-1)+1,'CALENDARIO INGRESOS'!$G:$G,"&lt;="&amp;EOMONTH(Tabla7[[#This Row],[MES]],0),'CALENDARIO INGRESOS'!$D:$D,"¡REGULARIZAR!",'CALENDARIO INGRESOS'!$L:$L,"&lt;&gt;PAGADA")</f>
        <v>0</v>
      </c>
      <c r="N2" s="488">
        <f>SUMIFS('CALENDARIO INGRESOS'!I:I,'CALENDARIO INGRESOS'!G:G,"&gt;="&amp;EOMONTH(Tabla7[[#This Row],[MES]],-1)+1,'CALENDARIO INGRESOS'!G:G,"&lt;="&amp;EOMONTH(Tabla7[[#This Row],[MES]],0),'CALENDARIO INGRESOS'!L:L, "&lt;&gt;PAGADA",'CALENDARIO INGRESOS'!D:D,"ELIMINADO")</f>
        <v>0</v>
      </c>
      <c r="O2" s="184">
        <f>+IFERROR(Tabla7[[#This Row],[INCOBRABLE]]/Tabla7[[#This Row],[INGRESO TOTAL MES]],0)</f>
        <v>0</v>
      </c>
      <c r="P2" s="184">
        <f ca="1">IFERROR(AVERAGEIFS(INGRESOS!I:I,INGRESOS!A:A,"&gt;="&amp;Tabla7[[#This Row],[MES]],INGRESOS!A:A,"&lt;="&amp;MIN(TODAY(),EOMONTH(Tabla7[[#This Row],[MES]],0))),0)</f>
        <v>0</v>
      </c>
      <c r="Q2" s="283">
        <f ca="1">SUMIFS(INGRESOS!$J:$J,INGRESOS!$A:$A,"&gt;="&amp;Tabla7[[#This Row],[MES]],INGRESOS!$A:$A,"&lt;="&amp;MIN(TODAY(),EOMONTH(Tabla7[[#This Row],[MES]],0)))</f>
        <v>0</v>
      </c>
      <c r="R2" s="79">
        <f ca="1">SUMIFS(SALIDAS!F:F,SALIDAS!A:A,"&gt;="&amp;Tabla7[[#This Row],[MES]],SALIDAS!A:A,"&lt;="&amp;MIN(TODAY(),EOMONTH(Tabla7[[#This Row],[MES]],0)))</f>
        <v>-2543.38</v>
      </c>
      <c r="S2" s="12">
        <f ca="1">SUMIFS(SALIDAS!F:F,SALIDAS!U:U,"COR",SALIDAS!A:A,"&gt;="&amp;Tabla7[[#This Row],[MES]],SALIDAS!A:A,"&lt;="&amp;MIN(TODAY(),EOMONTH(Tabla7[[#This Row],[MES]],0)))</f>
        <v>-2500</v>
      </c>
      <c r="T2" s="263">
        <f ca="1">Tabla7[[#This Row],[INGRESO MES RECIBIDO NETO]]+Tabla7[[#This Row],[COR]]+Tabla7[[#This Row],[Customer Success]]</f>
        <v>-2500</v>
      </c>
      <c r="U2" s="394" t="str">
        <f ca="1">+IFERROR(Tabla7[[#This Row],[MARGEN BRUTO]]/Tabla7[[#This Row],[INGRESO MES RECIBIDO NETO]],"null")</f>
        <v>null</v>
      </c>
      <c r="V2" s="63">
        <f ca="1">SUMIFS(SALIDAS!F:F,SALIDAS!U:U,"OPEX",SALIDAS!V:V,Tabla7[[#Headers],[Sales &amp; Marketing]],SALIDAS!A:A,"&gt;="&amp;Tabla7[[#This Row],[MES]],SALIDAS!A:A,"&lt;="&amp;MIN(TODAY(),EOMONTH(Tabla7[[#This Row],[MES]],0)))</f>
        <v>-43.38</v>
      </c>
      <c r="W2" s="12">
        <f ca="1">SUMIFS(SALIDAS!F:F,SALIDAS!U:U,"OPEX",SALIDAS!V:V,Tabla7[[#Headers],[Research &amp; Development]],SALIDAS!A:A,"&gt;="&amp;Tabla7[[#This Row],[MES]],SALIDAS!A:A,"&lt;="&amp;MIN(TODAY(),EOMONTH(Tabla7[[#This Row],[MES]],0)))</f>
        <v>0</v>
      </c>
      <c r="X2" s="12">
        <f ca="1">SUMIFS(SALIDAS!F:F,SALIDAS!U:U,"OPEX",SALIDAS!V:V,Tabla7[[#Headers],[General &amp; Administrative]],SALIDAS!A:A,"&gt;="&amp;Tabla7[[#This Row],[MES]],SALIDAS!A:A,"&lt;="&amp;MIN(TODAY(),EOMONTH(Tabla7[[#This Row],[MES]],0)))</f>
        <v>0</v>
      </c>
      <c r="Y2" s="25">
        <f ca="1">SUMIFS(SALIDAS!F:F,SALIDAS!U:U,"OPEX",SALIDAS!V:V,Tabla7[[#Headers],[Customer Success]],SALIDAS!A:A,"&gt;="&amp;Tabla7[[#This Row],[MES]],SALIDAS!A:A,"&lt;="&amp;MIN(TODAY(),EOMONTH(Tabla7[[#This Row],[MES]],0)))</f>
        <v>0</v>
      </c>
      <c r="Z2" s="12">
        <f ca="1">SUMIFS(SALIDAS!F:F,SALIDAS!U:U,"OPEX",SALIDAS!A:A,"&gt;="&amp;Tabla7[[#This Row],[MES]],SALIDAS!A:A,"&lt;="&amp;MIN(TODAY(),EOMONTH(Tabla7[[#This Row],[MES]],0)))</f>
        <v>-43.38</v>
      </c>
      <c r="AA2" s="81">
        <f ca="1">+Tabla7[[#This Row],[MARGEN BRUTO]]+SUM(Tabla7[[#This Row],[Sales &amp; Marketing]:[General &amp; Administrative]])</f>
        <v>-2543.38</v>
      </c>
      <c r="AB2" s="80">
        <f ca="1">ABS(SUMIFS(SALIDAS!F:F,SALIDAS!U:U,"CAPEX",SALIDAS!A:A,"&gt;="&amp;Tabla7[[#This Row],[MES]],SALIDAS!A:A,"&lt;="&amp;MIN(TODAY(),EOMONTH(Tabla7[[#This Row],[MES]],0))))</f>
        <v>0</v>
      </c>
      <c r="AC2" s="81">
        <f ca="1">+Tabla7[[#This Row],[EBITDA]]-Tabla7[[#This Row],[TOTAL CAPEX]]</f>
        <v>-2543.38</v>
      </c>
      <c r="AD2" s="81">
        <f ca="1">+Tabla7[[#This Row],[FCF]]</f>
        <v>-2543.38</v>
      </c>
      <c r="AE2" s="79">
        <f ca="1">IFERROR(SUMIFS(SALIDAS!F:F,SALIDAS!U:U,"OPEX",SALIDAS!V:V,Tabla7[[#Headers],[Sales &amp; Marketing]],SALIDAS!A:A,"&gt;="&amp;Tabla7[[#This Row],[MES]],SALIDAS!A:A,"&lt;="&amp;MIN(TODAY(),EOMONTH(Tabla7[[#This Row],[MES]],0)))/_xlfn.XLOOKUP(Tabla7[[#This Row],[MES]],'COHORTES INGRESO'!A:A,'COHORTES INGRESO'!C:C),0)</f>
        <v>0</v>
      </c>
      <c r="AF2" s="79">
        <f ca="1">+IFERROR(Tabla7[[#This Row],[COR]]/Tabla711[[#This Row],[NUEVOS CLIENTES TOTAL]],0)</f>
        <v>0</v>
      </c>
      <c r="AG2" s="63">
        <f ca="1">Tabla7[[#This Row],[INGRESO MES RECIBIDO NETO]]+SUMIFS(SALIDAS!F:F,SALIDAS!T:T,"Costo variable",SALIDAS!A:A,"&gt;="&amp;Tabla7[[#This Row],[MES]],SALIDAS!A:A,"&lt;="&amp;MIN(TODAY(),EOMONTH(Tabla7[[#This Row],[MES]],0)))</f>
        <v>-2500</v>
      </c>
      <c r="AH2" s="79">
        <f ca="1">+IFERROR(AVERAGEIFS(INGRESOS!J:J,INGRESOS!$A:$A,"&gt;="&amp;Tabla7[[#This Row],[MES]],INGRESOS!$A:$A,"&lt;="&amp;MIN(TODAY(),EOMONTH(Tabla7[[#This Row],[MES]],0))),0)</f>
        <v>0</v>
      </c>
    </row>
    <row r="3" spans="1:34">
      <c r="A3" s="24">
        <v>45627</v>
      </c>
      <c r="B3" s="63">
        <f>+Tabla7[[#This Row],[INGRESO MES RECIBIDO]]+Tabla7[[#This Row],[INGRESO PROGRAMADO PEND.]]</f>
        <v>0</v>
      </c>
      <c r="C3" s="233" t="str">
        <f>IFERROR((Tabla7[[#This Row],[INGRESO TOTAL MES]]/B2)-1,"0")</f>
        <v>0</v>
      </c>
      <c r="D3" s="63">
        <f>SUMIFS(INGRESOS!G:G,INGRESOS!A:A,"&gt;="&amp;EOMONTH(Tabla7[[#This Row],[MES]],-1)+1,INGRESOS!A:A,"&lt;="&amp;EOMONTH(Tabla7[[#This Row],[MES]],0))</f>
        <v>0</v>
      </c>
      <c r="E3" s="309">
        <f ca="1">COUNTIFS(INGRESOS!$A:$A,"&gt;="&amp;Tabla7[[#This Row],[MES]],INGRESOS!$A:$A,"&lt;="&amp;MIN(TODAY(),EOMONTH(Tabla7[[#This Row],[MES]],0)))</f>
        <v>0</v>
      </c>
      <c r="F3"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1</v>
      </c>
      <c r="G3" s="79">
        <f>SUMIFS('CALENDARIO INGRESOS'!I:I,'CALENDARIO INGRESOS'!G:G,"&gt;="&amp;EOMONTH(Tabla7[[#This Row],[MES]],-1)+1,'CALENDARIO INGRESOS'!G:G,"&lt;="&amp;EOMONTH(Tabla7[[#This Row],[MES]],0),'CALENDARIO INGRESOS'!L:L, "&lt;&gt;PAGADA",'CALENDARIO INGRESOS'!D:D,"&lt;&gt;ELIMINADO",'CALENDARIO INGRESOS'!D:D,"&lt;&gt;¡REGULARIZAR!")</f>
        <v>0</v>
      </c>
      <c r="H3"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3" s="341">
        <f ca="1">COUNTIFS('CALENDARIO INGRESOS'!$G:$G,"&gt;="&amp;EOMONTH(Tabla7[[#This Row],[MES]],-1)+1,'CALENDARIO INGRESOS'!$G:$G,"&lt;="&amp;EOMONTH(Tabla7[[#This Row],[MES]],0),'CALENDARIO INGRESOS'!$D:$D,"&lt;&gt;ELIMINADO",'CALENDARIO INGRESOS'!$D:$D,"&lt;&gt;¡REGULARIZAR!",'CALENDARIO INGRESOS'!$L:$L,"&lt;&gt;PAGADA",'CALENDARIO INGRESOS'!$G:$G,"&lt;="&amp;TODAY())</f>
        <v>0</v>
      </c>
      <c r="J3" s="63">
        <f ca="1">SUMIFS('CALENDARIO INGRESOS'!$I:$I,
                   'CALENDARIO INGRESOS'!$G:$G,"&gt;="&amp;EOMONTH(Tabla7[[#This Row],[MES]],-1)+1,
                   'CALENDARIO INGRESOS'!$G:$G,"&lt;="&amp;EOMONTH(Tabla7[[#This Row],[MES]],0),
                   'CALENDARIO INGRESOS'!$L:$L,"&lt;&gt;PAGADA",
                   'CALENDARIO INGRESOS'!$G:$G,"&gt;="&amp;TODAY(),'CALENDARIO INGRESOS'!$D:$D,"&lt;&gt;ELIMINADO",'CALENDARIO INGRESOS'!$D:$D,"&lt;&gt;¡REGULARIZAR!")</f>
        <v>0</v>
      </c>
      <c r="K3" s="346">
        <f ca="1">COUNTIFS('CALENDARIO INGRESOS'!$G:$G,"&gt;="&amp;EOMONTH(Tabla7[[#This Row],[MES]],-1)+1,'CALENDARIO INGRESOS'!$G:$G,"&lt;="&amp;EOMONTH(Tabla7[[#This Row],[MES]],0),'CALENDARIO INGRESOS'!$D:$D,"&lt;&gt;ELIMINADO",'CALENDARIO INGRESOS'!$D:$D,"&lt;&gt;¡REGULARIZAR!",'CALENDARIO INGRESOS'!$L:$L,"&lt;&gt;PAGADA",'CALENDARIO INGRESOS'!$G:$G,"&gt;="&amp;TODAY())</f>
        <v>0</v>
      </c>
      <c r="L3" s="63">
        <f>SUMIFS('CALENDARIO INGRESOS'!I:I,'CALENDARIO INGRESOS'!G:G,"&gt;="&amp;EOMONTH(Tabla7[[#This Row],[MES]],-1)+1,'CALENDARIO INGRESOS'!G:G,"&lt;="&amp;EOMONTH(Tabla7[[#This Row],[MES]],0),'CALENDARIO INGRESOS'!L:L, "&lt;&gt;PAGADA",'CALENDARIO INGRESOS'!D:D,"¡REGULARIZAR!")</f>
        <v>0</v>
      </c>
      <c r="M3" s="346">
        <f>COUNTIFS('CALENDARIO INGRESOS'!$G:$G,"&gt;="&amp;EOMONTH(Tabla7[[#This Row],[MES]],-1)+1,'CALENDARIO INGRESOS'!$G:$G,"&lt;="&amp;EOMONTH(Tabla7[[#This Row],[MES]],0),'CALENDARIO INGRESOS'!$D:$D,"¡REGULARIZAR!",'CALENDARIO INGRESOS'!$L:$L,"&lt;&gt;PAGADA")</f>
        <v>0</v>
      </c>
      <c r="N3" s="488">
        <f>SUMIFS('CALENDARIO INGRESOS'!I:I,'CALENDARIO INGRESOS'!G:G,"&gt;="&amp;EOMONTH(Tabla7[[#This Row],[MES]],-1)+1,'CALENDARIO INGRESOS'!G:G,"&lt;="&amp;EOMONTH(Tabla7[[#This Row],[MES]],0),'CALENDARIO INGRESOS'!L:L, "&lt;&gt;PAGADA",'CALENDARIO INGRESOS'!D:D,"ELIMINADO")</f>
        <v>0</v>
      </c>
      <c r="O3" s="184">
        <f>+IFERROR(Tabla7[[#This Row],[INCOBRABLE]]/Tabla7[[#This Row],[INGRESO TOTAL MES]],0)</f>
        <v>0</v>
      </c>
      <c r="P3" s="184">
        <f ca="1">IFERROR(AVERAGEIFS(INGRESOS!I:I,INGRESOS!A:A,"&gt;="&amp;Tabla7[[#This Row],[MES]],INGRESOS!A:A,"&lt;="&amp;MIN(TODAY(),EOMONTH(Tabla7[[#This Row],[MES]],0))),0)</f>
        <v>0</v>
      </c>
      <c r="Q3" s="283">
        <f ca="1">SUMIFS(INGRESOS!$J:$J,INGRESOS!$A:$A,"&gt;="&amp;Tabla7[[#This Row],[MES]],INGRESOS!$A:$A,"&lt;="&amp;MIN(TODAY(),EOMONTH(Tabla7[[#This Row],[MES]],0)))</f>
        <v>0</v>
      </c>
      <c r="R3" s="79">
        <f ca="1">SUMIFS(SALIDAS!F:F,SALIDAS!A:A,"&gt;="&amp;Tabla7[[#This Row],[MES]],SALIDAS!A:A,"&lt;="&amp;MIN(TODAY(),EOMONTH(Tabla7[[#This Row],[MES]],0)))</f>
        <v>-9913.5795679999974</v>
      </c>
      <c r="S3" s="12">
        <f ca="1">SUMIFS(SALIDAS!F:F,SALIDAS!U:U,"COR",SALIDAS!A:A,"&gt;="&amp;Tabla7[[#This Row],[MES]],SALIDAS!A:A,"&lt;="&amp;MIN(TODAY(),EOMONTH(Tabla7[[#This Row],[MES]],0)))</f>
        <v>-1500</v>
      </c>
      <c r="T3" s="263">
        <f ca="1">Tabla7[[#This Row],[INGRESO MES RECIBIDO NETO]]+Tabla7[[#This Row],[COR]]+Tabla7[[#This Row],[Customer Success]]</f>
        <v>-1500</v>
      </c>
      <c r="U3" s="394" t="str">
        <f ca="1">+IFERROR(Tabla7[[#This Row],[MARGEN BRUTO]]/Tabla7[[#This Row],[INGRESO MES RECIBIDO NETO]],"null")</f>
        <v>null</v>
      </c>
      <c r="V3" s="63">
        <f ca="1">SUMIFS(SALIDAS!F:F,SALIDAS!U:U,"OPEX",SALIDAS!V:V,Tabla7[[#Headers],[Sales &amp; Marketing]],SALIDAS!A:A,"&gt;="&amp;Tabla7[[#This Row],[MES]],SALIDAS!A:A,"&lt;="&amp;MIN(TODAY(),EOMONTH(Tabla7[[#This Row],[MES]],0)))</f>
        <v>-8067.9295680000005</v>
      </c>
      <c r="W3" s="12">
        <f ca="1">SUMIFS(SALIDAS!F:F,SALIDAS!U:U,"OPEX",SALIDAS!V:V,Tabla7[[#Headers],[Research &amp; Development]],SALIDAS!A:A,"&gt;="&amp;Tabla7[[#This Row],[MES]],SALIDAS!A:A,"&lt;="&amp;MIN(TODAY(),EOMONTH(Tabla7[[#This Row],[MES]],0)))</f>
        <v>-239.05</v>
      </c>
      <c r="X3" s="12">
        <f ca="1">SUMIFS(SALIDAS!F:F,SALIDAS!U:U,"OPEX",SALIDAS!V:V,Tabla7[[#Headers],[General &amp; Administrative]],SALIDAS!A:A,"&gt;="&amp;Tabla7[[#This Row],[MES]],SALIDAS!A:A,"&lt;="&amp;MIN(TODAY(),EOMONTH(Tabla7[[#This Row],[MES]],0)))</f>
        <v>-106.6</v>
      </c>
      <c r="Y3" s="25">
        <f ca="1">SUMIFS(SALIDAS!F:F,SALIDAS!U:U,"OPEX",SALIDAS!V:V,Tabla7[[#Headers],[Customer Success]],SALIDAS!A:A,"&gt;="&amp;Tabla7[[#This Row],[MES]],SALIDAS!A:A,"&lt;="&amp;MIN(TODAY(),EOMONTH(Tabla7[[#This Row],[MES]],0)))</f>
        <v>0</v>
      </c>
      <c r="Z3" s="12">
        <f ca="1">SUMIFS(SALIDAS!F:F,SALIDAS!U:U,"OPEX",SALIDAS!A:A,"&gt;="&amp;Tabla7[[#This Row],[MES]],SALIDAS!A:A,"&lt;="&amp;MIN(TODAY(),EOMONTH(Tabla7[[#This Row],[MES]],0)))</f>
        <v>-8413.579568000001</v>
      </c>
      <c r="AA3" s="81">
        <f ca="1">+Tabla7[[#This Row],[MARGEN BRUTO]]+SUM(Tabla7[[#This Row],[Sales &amp; Marketing]:[General &amp; Administrative]])</f>
        <v>-9913.579568000001</v>
      </c>
      <c r="AB3" s="80">
        <f ca="1">ABS(SUMIFS(SALIDAS!F:F,SALIDAS!U:U,"CAPEX",SALIDAS!A:A,"&gt;="&amp;Tabla7[[#This Row],[MES]],SALIDAS!A:A,"&lt;="&amp;MIN(TODAY(),EOMONTH(Tabla7[[#This Row],[MES]],0))))</f>
        <v>0</v>
      </c>
      <c r="AC3" s="81">
        <f ca="1">+Tabla7[[#This Row],[EBITDA]]-Tabla7[[#This Row],[TOTAL CAPEX]]</f>
        <v>-9913.579568000001</v>
      </c>
      <c r="AD3" s="81">
        <f ca="1">+Tabla7[[#This Row],[FCF]]+AD2</f>
        <v>-12456.959568000002</v>
      </c>
      <c r="AE3" s="79">
        <f ca="1">IFERROR(SUMIFS(SALIDAS!F:F,SALIDAS!U:U,"OPEX",SALIDAS!V:V,Tabla7[[#Headers],[Sales &amp; Marketing]],SALIDAS!A:A,"&gt;="&amp;Tabla7[[#This Row],[MES]],SALIDAS!A:A,"&lt;="&amp;MIN(TODAY(),EOMONTH(Tabla7[[#This Row],[MES]],0)))/_xlfn.XLOOKUP(Tabla7[[#This Row],[MES]],'COHORTES INGRESO'!A:A,'COHORTES INGRESO'!C:C),0)</f>
        <v>0</v>
      </c>
      <c r="AF3" s="79">
        <f ca="1">+IFERROR(Tabla7[[#This Row],[COR]]/Tabla711[[#This Row],[NUEVOS CLIENTES TOTAL]],0)</f>
        <v>0</v>
      </c>
      <c r="AG3" s="63">
        <f ca="1">Tabla7[[#This Row],[INGRESO MES RECIBIDO NETO]]+SUMIFS(SALIDAS!F:F,SALIDAS!T:T,"Costo variable",SALIDAS!A:A,"&gt;="&amp;Tabla7[[#This Row],[MES]],SALIDAS!A:A,"&lt;="&amp;MIN(TODAY(),EOMONTH(Tabla7[[#This Row],[MES]],0)))</f>
        <v>-9850.2795679999981</v>
      </c>
      <c r="AH3" s="79">
        <f ca="1">+IFERROR(AVERAGEIFS(INGRESOS!J:J,INGRESOS!$A:$A,"&gt;="&amp;Tabla7[[#This Row],[MES]],INGRESOS!$A:$A,"&lt;="&amp;MIN(TODAY(),EOMONTH(Tabla7[[#This Row],[MES]],0))),0)</f>
        <v>0</v>
      </c>
    </row>
    <row r="4" spans="1:34">
      <c r="A4" s="58">
        <v>45658</v>
      </c>
      <c r="B4" s="63">
        <f>+Tabla7[[#This Row],[INGRESO MES RECIBIDO]]+Tabla7[[#This Row],[INGRESO PROGRAMADO PEND.]]</f>
        <v>10953.596271247383</v>
      </c>
      <c r="C4" s="233" t="str">
        <f>IFERROR((Tabla7[[#This Row],[INGRESO TOTAL MES]]/B3)-1,"0")</f>
        <v>0</v>
      </c>
      <c r="D4" s="63">
        <f>SUMIFS(INGRESOS!G:G,INGRESOS!A:A,"&gt;="&amp;EOMONTH(Tabla7[[#This Row],[MES]],-1)+1,INGRESOS!A:A,"&lt;="&amp;EOMONTH(Tabla7[[#This Row],[MES]],0))</f>
        <v>10953.596271247383</v>
      </c>
      <c r="E4" s="309">
        <f ca="1">COUNTIFS(INGRESOS!$A:$A,"&gt;="&amp;Tabla7[[#This Row],[MES]],INGRESOS!$A:$A,"&lt;="&amp;MIN(TODAY(),EOMONTH(Tabla7[[#This Row],[MES]],0)))</f>
        <v>3</v>
      </c>
      <c r="F4"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1</v>
      </c>
      <c r="G4" s="79">
        <f>SUMIFS('CALENDARIO INGRESOS'!I:I,'CALENDARIO INGRESOS'!G:G,"&gt;="&amp;EOMONTH(Tabla7[[#This Row],[MES]],-1)+1,'CALENDARIO INGRESOS'!G:G,"&lt;="&amp;EOMONTH(Tabla7[[#This Row],[MES]],0),'CALENDARIO INGRESOS'!L:L, "&lt;&gt;PAGADA",'CALENDARIO INGRESOS'!D:D,"&lt;&gt;ELIMINADO",'CALENDARIO INGRESOS'!D:D,"&lt;&gt;¡REGULARIZAR!")</f>
        <v>0</v>
      </c>
      <c r="H4"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4" s="341">
        <f ca="1">COUNTIFS('CALENDARIO INGRESOS'!$G:$G,"&gt;="&amp;EOMONTH(Tabla7[[#This Row],[MES]],-1)+1,'CALENDARIO INGRESOS'!$G:$G,"&lt;="&amp;EOMONTH(Tabla7[[#This Row],[MES]],0),'CALENDARIO INGRESOS'!$D:$D,"&lt;&gt;ELIMINADO",'CALENDARIO INGRESOS'!$D:$D,"&lt;&gt;¡REGULARIZAR!",'CALENDARIO INGRESOS'!$L:$L,"&lt;&gt;PAGADA",'CALENDARIO INGRESOS'!$G:$G,"&lt;="&amp;TODAY())</f>
        <v>0</v>
      </c>
      <c r="J4" s="63">
        <f ca="1">SUMIFS('CALENDARIO INGRESOS'!$I:$I,
                   'CALENDARIO INGRESOS'!$G:$G,"&gt;="&amp;EOMONTH(Tabla7[[#This Row],[MES]],-1)+1,
                   'CALENDARIO INGRESOS'!$G:$G,"&lt;="&amp;EOMONTH(Tabla7[[#This Row],[MES]],0),
                   'CALENDARIO INGRESOS'!$L:$L,"&lt;&gt;PAGADA",
                   'CALENDARIO INGRESOS'!$G:$G,"&gt;="&amp;TODAY(),'CALENDARIO INGRESOS'!$D:$D,"&lt;&gt;ELIMINADO",'CALENDARIO INGRESOS'!$D:$D,"&lt;&gt;¡REGULARIZAR!")</f>
        <v>0</v>
      </c>
      <c r="K4" s="346">
        <f ca="1">COUNTIFS('CALENDARIO INGRESOS'!$G:$G,"&gt;="&amp;EOMONTH(Tabla7[[#This Row],[MES]],-1)+1,'CALENDARIO INGRESOS'!$G:$G,"&lt;="&amp;EOMONTH(Tabla7[[#This Row],[MES]],0),'CALENDARIO INGRESOS'!$D:$D,"&lt;&gt;ELIMINADO",'CALENDARIO INGRESOS'!$D:$D,"&lt;&gt;¡REGULARIZAR!",'CALENDARIO INGRESOS'!$L:$L,"&lt;&gt;PAGADA",'CALENDARIO INGRESOS'!$G:$G,"&gt;="&amp;TODAY())</f>
        <v>0</v>
      </c>
      <c r="L4" s="63">
        <f>SUMIFS('CALENDARIO INGRESOS'!I:I,'CALENDARIO INGRESOS'!G:G,"&gt;="&amp;EOMONTH(Tabla7[[#This Row],[MES]],-1)+1,'CALENDARIO INGRESOS'!G:G,"&lt;="&amp;EOMONTH(Tabla7[[#This Row],[MES]],0),'CALENDARIO INGRESOS'!L:L, "&lt;&gt;PAGADA",'CALENDARIO INGRESOS'!D:D,"¡REGULARIZAR!")</f>
        <v>0</v>
      </c>
      <c r="M4" s="346">
        <f>COUNTIFS('CALENDARIO INGRESOS'!$G:$G,"&gt;="&amp;EOMONTH(Tabla7[[#This Row],[MES]],-1)+1,'CALENDARIO INGRESOS'!$G:$G,"&lt;="&amp;EOMONTH(Tabla7[[#This Row],[MES]],0),'CALENDARIO INGRESOS'!$D:$D,"¡REGULARIZAR!",'CALENDARIO INGRESOS'!$L:$L,"&lt;&gt;PAGADA")</f>
        <v>0</v>
      </c>
      <c r="N4" s="488">
        <f>SUMIFS('CALENDARIO INGRESOS'!I:I,'CALENDARIO INGRESOS'!G:G,"&gt;="&amp;EOMONTH(Tabla7[[#This Row],[MES]],-1)+1,'CALENDARIO INGRESOS'!G:G,"&lt;="&amp;EOMONTH(Tabla7[[#This Row],[MES]],0),'CALENDARIO INGRESOS'!L:L, "&lt;&gt;PAGADA",'CALENDARIO INGRESOS'!D:D,"ELIMINADO")</f>
        <v>0</v>
      </c>
      <c r="O4" s="184">
        <f>+IFERROR(Tabla7[[#This Row],[INCOBRABLE]]/Tabla7[[#This Row],[INGRESO TOTAL MES]],0)</f>
        <v>0</v>
      </c>
      <c r="P4" s="184">
        <f ca="1">IFERROR(AVERAGEIFS(INGRESOS!I:I,INGRESOS!A:A,"&gt;="&amp;Tabla7[[#This Row],[MES]],INGRESOS!A:A,"&lt;="&amp;MIN(TODAY(),EOMONTH(Tabla7[[#This Row],[MES]],0))),0)</f>
        <v>0</v>
      </c>
      <c r="Q4" s="283">
        <f ca="1">SUMIFS(INGRESOS!$J:$J,INGRESOS!$A:$A,"&gt;="&amp;Tabla7[[#This Row],[MES]],INGRESOS!$A:$A,"&lt;="&amp;MIN(TODAY(),EOMONTH(Tabla7[[#This Row],[MES]],0)))</f>
        <v>10953.596271247383</v>
      </c>
      <c r="R4" s="79">
        <f ca="1">SUMIFS(SALIDAS!F:F,SALIDAS!A:A,"&gt;="&amp;Tabla7[[#This Row],[MES]],SALIDAS!A:A,"&lt;="&amp;MIN(TODAY(),EOMONTH(Tabla7[[#This Row],[MES]],0)))</f>
        <v>-17765.301668</v>
      </c>
      <c r="S4" s="12">
        <f ca="1">SUMIFS(SALIDAS!F:F,SALIDAS!U:U,"COR",SALIDAS!A:A,"&gt;="&amp;Tabla7[[#This Row],[MES]],SALIDAS!A:A,"&lt;="&amp;MIN(TODAY(),EOMONTH(Tabla7[[#This Row],[MES]],0)))</f>
        <v>-928.4</v>
      </c>
      <c r="T4" s="263">
        <f ca="1">Tabla7[[#This Row],[INGRESO MES RECIBIDO NETO]]+Tabla7[[#This Row],[COR]]+Tabla7[[#This Row],[Customer Success]]</f>
        <v>8478.1962712473833</v>
      </c>
      <c r="U4" s="394">
        <f ca="1">+IFERROR(Tabla7[[#This Row],[MARGEN BRUTO]]/Tabla7[[#This Row],[INGRESO MES RECIBIDO NETO]],"null")</f>
        <v>0.77401029408964117</v>
      </c>
      <c r="V4" s="63">
        <f ca="1">SUMIFS(SALIDAS!F:F,SALIDAS!U:U,"OPEX",SALIDAS!V:V,Tabla7[[#Headers],[Sales &amp; Marketing]],SALIDAS!A:A,"&gt;="&amp;Tabla7[[#This Row],[MES]],SALIDAS!A:A,"&lt;="&amp;MIN(TODAY(),EOMONTH(Tabla7[[#This Row],[MES]],0)))</f>
        <v>-8224.4054579999993</v>
      </c>
      <c r="W4" s="12">
        <f ca="1">SUMIFS(SALIDAS!F:F,SALIDAS!U:U,"OPEX",SALIDAS!V:V,Tabla7[[#Headers],[Research &amp; Development]],SALIDAS!A:A,"&gt;="&amp;Tabla7[[#This Row],[MES]],SALIDAS!A:A,"&lt;="&amp;MIN(TODAY(),EOMONTH(Tabla7[[#This Row],[MES]],0)))</f>
        <v>-1347.2199999999998</v>
      </c>
      <c r="X4" s="12">
        <f ca="1">SUMIFS(SALIDAS!F:F,SALIDAS!U:U,"OPEX",SALIDAS!V:V,Tabla7[[#Headers],[General &amp; Administrative]],SALIDAS!A:A,"&gt;="&amp;Tabla7[[#This Row],[MES]],SALIDAS!A:A,"&lt;="&amp;MIN(TODAY(),EOMONTH(Tabla7[[#This Row],[MES]],0)))</f>
        <v>-5718.27621</v>
      </c>
      <c r="Y4" s="25">
        <f ca="1">SUMIFS(SALIDAS!F:F,SALIDAS!U:U,"OPEX",SALIDAS!V:V,Tabla7[[#Headers],[Customer Success]],SALIDAS!A:A,"&gt;="&amp;Tabla7[[#This Row],[MES]],SALIDAS!A:A,"&lt;="&amp;MIN(TODAY(),EOMONTH(Tabla7[[#This Row],[MES]],0)))</f>
        <v>-1547</v>
      </c>
      <c r="Z4" s="271">
        <f ca="1">SUMIFS(SALIDAS!F:F,SALIDAS!U:U,"OPEX",SALIDAS!A:A,"&gt;="&amp;Tabla7[[#This Row],[MES]],SALIDAS!A:A,"&lt;="&amp;MIN(TODAY(),EOMONTH(Tabla7[[#This Row],[MES]],0)))</f>
        <v>-16836.901667999999</v>
      </c>
      <c r="AA4" s="81">
        <f ca="1">+Tabla7[[#This Row],[MARGEN BRUTO]]+SUM(Tabla7[[#This Row],[Sales &amp; Marketing]:[General &amp; Administrative]])</f>
        <v>-6811.7053967526153</v>
      </c>
      <c r="AB4" s="80">
        <f ca="1">ABS(SUMIFS(SALIDAS!F:F,SALIDAS!U:U,"CAPEX",SALIDAS!A:A,"&gt;="&amp;Tabla7[[#This Row],[MES]],SALIDAS!A:A,"&lt;="&amp;MIN(TODAY(),EOMONTH(Tabla7[[#This Row],[MES]],0))))</f>
        <v>0</v>
      </c>
      <c r="AC4" s="81">
        <f ca="1">+Tabla7[[#This Row],[EBITDA]]-Tabla7[[#This Row],[TOTAL CAPEX]]</f>
        <v>-6811.7053967526153</v>
      </c>
      <c r="AD4" s="81">
        <f ca="1">+Tabla7[[#This Row],[FCF]]+AD3</f>
        <v>-19268.664964752617</v>
      </c>
      <c r="AE4" s="79">
        <f ca="1">IFERROR(SUMIFS(SALIDAS!F:F,SALIDAS!U:U,"OPEX",SALIDAS!V:V,Tabla7[[#Headers],[Sales &amp; Marketing]],SALIDAS!A:A,"&gt;="&amp;Tabla7[[#This Row],[MES]],SALIDAS!A:A,"&lt;="&amp;MIN(TODAY(),EOMONTH(Tabla7[[#This Row],[MES]],0)))/_xlfn.XLOOKUP(Tabla7[[#This Row],[MES]],'COHORTES INGRESO'!A:A,'COHORTES INGRESO'!C:C),0)</f>
        <v>-2741.4684859999998</v>
      </c>
      <c r="AF4" s="79">
        <f ca="1">+IFERROR(Tabla7[[#This Row],[COR]]/Tabla711[[#This Row],[NUEVOS CLIENTES TOTAL]],0)</f>
        <v>-309.46666666666664</v>
      </c>
      <c r="AG4" s="63">
        <f ca="1">Tabla7[[#This Row],[INGRESO MES RECIBIDO NETO]]+SUMIFS(SALIDAS!F:F,SALIDAS!T:T,"Costo variable",SALIDAS!A:A,"&gt;="&amp;Tabla7[[#This Row],[MES]],SALIDAS!A:A,"&lt;="&amp;MIN(TODAY(),EOMONTH(Tabla7[[#This Row],[MES]],0)))</f>
        <v>9039.2262712473839</v>
      </c>
      <c r="AH4" s="79">
        <f ca="1">+IFERROR(AVERAGEIFS(INGRESOS!J:J,INGRESOS!$A:$A,"&gt;="&amp;Tabla7[[#This Row],[MES]],INGRESOS!$A:$A,"&lt;="&amp;MIN(TODAY(),EOMONTH(Tabla7[[#This Row],[MES]],0))),0)</f>
        <v>3651.1987570824608</v>
      </c>
    </row>
    <row r="5" spans="1:34">
      <c r="A5" s="24">
        <v>45689</v>
      </c>
      <c r="B5" s="63">
        <f>+Tabla7[[#This Row],[INGRESO MES RECIBIDO]]+Tabla7[[#This Row],[INGRESO PROGRAMADO PEND.]]</f>
        <v>10597.552773957821</v>
      </c>
      <c r="C5" s="233">
        <f>IFERROR((Tabla7[[#This Row],[INGRESO TOTAL MES]]/B4)-1,"0")</f>
        <v>-3.2504712468192531E-2</v>
      </c>
      <c r="D5" s="63">
        <f>SUMIFS(INGRESOS!G:G,INGRESOS!A:A,"&gt;="&amp;EOMONTH(Tabla7[[#This Row],[MES]],-1)+1,INGRESOS!A:A,"&lt;="&amp;EOMONTH(Tabla7[[#This Row],[MES]],0))</f>
        <v>10597.552773957821</v>
      </c>
      <c r="E5" s="309">
        <f ca="1">COUNTIFS(INGRESOS!$A:$A,"&gt;="&amp;Tabla7[[#This Row],[MES]],INGRESOS!$A:$A,"&lt;="&amp;MIN(TODAY(),EOMONTH(Tabla7[[#This Row],[MES]],0)))</f>
        <v>1</v>
      </c>
      <c r="F5"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1</v>
      </c>
      <c r="G5" s="79">
        <f>SUMIFS('CALENDARIO INGRESOS'!I:I,'CALENDARIO INGRESOS'!G:G,"&gt;="&amp;EOMONTH(Tabla7[[#This Row],[MES]],-1)+1,'CALENDARIO INGRESOS'!G:G,"&lt;="&amp;EOMONTH(Tabla7[[#This Row],[MES]],0),'CALENDARIO INGRESOS'!L:L, "&lt;&gt;PAGADA",'CALENDARIO INGRESOS'!D:D,"&lt;&gt;ELIMINADO",'CALENDARIO INGRESOS'!D:D,"&lt;&gt;¡REGULARIZAR!")</f>
        <v>0</v>
      </c>
      <c r="H5"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5" s="341">
        <f ca="1">COUNTIFS('CALENDARIO INGRESOS'!$G:$G,"&gt;="&amp;EOMONTH(Tabla7[[#This Row],[MES]],-1)+1,'CALENDARIO INGRESOS'!$G:$G,"&lt;="&amp;EOMONTH(Tabla7[[#This Row],[MES]],0),'CALENDARIO INGRESOS'!$D:$D,"&lt;&gt;ELIMINADO",'CALENDARIO INGRESOS'!$D:$D,"&lt;&gt;¡REGULARIZAR!",'CALENDARIO INGRESOS'!$L:$L,"&lt;&gt;PAGADA",'CALENDARIO INGRESOS'!$G:$G,"&lt;="&amp;TODAY())</f>
        <v>0</v>
      </c>
      <c r="J5" s="63">
        <f ca="1">SUMIFS('CALENDARIO INGRESOS'!$I:$I,
                   'CALENDARIO INGRESOS'!$G:$G,"&gt;="&amp;EOMONTH(Tabla7[[#This Row],[MES]],-1)+1,
                   'CALENDARIO INGRESOS'!$G:$G,"&lt;="&amp;EOMONTH(Tabla7[[#This Row],[MES]],0),
                   'CALENDARIO INGRESOS'!$L:$L,"&lt;&gt;PAGADA",
                   'CALENDARIO INGRESOS'!$G:$G,"&gt;="&amp;TODAY(),'CALENDARIO INGRESOS'!$D:$D,"&lt;&gt;ELIMINADO",'CALENDARIO INGRESOS'!$D:$D,"&lt;&gt;¡REGULARIZAR!")</f>
        <v>0</v>
      </c>
      <c r="K5" s="346">
        <f ca="1">COUNTIFS('CALENDARIO INGRESOS'!$G:$G,"&gt;="&amp;EOMONTH(Tabla7[[#This Row],[MES]],-1)+1,'CALENDARIO INGRESOS'!$G:$G,"&lt;="&amp;EOMONTH(Tabla7[[#This Row],[MES]],0),'CALENDARIO INGRESOS'!$D:$D,"&lt;&gt;ELIMINADO",'CALENDARIO INGRESOS'!$D:$D,"&lt;&gt;¡REGULARIZAR!",'CALENDARIO INGRESOS'!$L:$L,"&lt;&gt;PAGADA",'CALENDARIO INGRESOS'!$G:$G,"&gt;="&amp;TODAY())</f>
        <v>0</v>
      </c>
      <c r="L5" s="63">
        <f>SUMIFS('CALENDARIO INGRESOS'!I:I,'CALENDARIO INGRESOS'!G:G,"&gt;="&amp;EOMONTH(Tabla7[[#This Row],[MES]],-1)+1,'CALENDARIO INGRESOS'!G:G,"&lt;="&amp;EOMONTH(Tabla7[[#This Row],[MES]],0),'CALENDARIO INGRESOS'!L:L, "&lt;&gt;PAGADA",'CALENDARIO INGRESOS'!D:D,"¡REGULARIZAR!")</f>
        <v>0</v>
      </c>
      <c r="M5" s="346">
        <f>COUNTIFS('CALENDARIO INGRESOS'!$G:$G,"&gt;="&amp;EOMONTH(Tabla7[[#This Row],[MES]],-1)+1,'CALENDARIO INGRESOS'!$G:$G,"&lt;="&amp;EOMONTH(Tabla7[[#This Row],[MES]],0),'CALENDARIO INGRESOS'!$D:$D,"¡REGULARIZAR!",'CALENDARIO INGRESOS'!$L:$L,"&lt;&gt;PAGADA")</f>
        <v>0</v>
      </c>
      <c r="N5" s="488">
        <f>SUMIFS('CALENDARIO INGRESOS'!I:I,'CALENDARIO INGRESOS'!G:G,"&gt;="&amp;EOMONTH(Tabla7[[#This Row],[MES]],-1)+1,'CALENDARIO INGRESOS'!G:G,"&lt;="&amp;EOMONTH(Tabla7[[#This Row],[MES]],0),'CALENDARIO INGRESOS'!L:L, "&lt;&gt;PAGADA",'CALENDARIO INGRESOS'!D:D,"ELIMINADO")</f>
        <v>0</v>
      </c>
      <c r="O5" s="184">
        <f>+IFERROR(Tabla7[[#This Row],[INCOBRABLE]]/Tabla7[[#This Row],[INGRESO TOTAL MES]],0)</f>
        <v>0</v>
      </c>
      <c r="P5" s="184">
        <f ca="1">IFERROR(AVERAGEIFS(INGRESOS!I:I,INGRESOS!A:A,"&gt;="&amp;Tabla7[[#This Row],[MES]],INGRESOS!A:A,"&lt;="&amp;MIN(TODAY(),EOMONTH(Tabla7[[#This Row],[MES]],0))),0)</f>
        <v>3.8000018943699324E-2</v>
      </c>
      <c r="Q5" s="283">
        <f ca="1">SUMIFS(INGRESOS!$J:$J,INGRESOS!$A:$A,"&gt;="&amp;Tabla7[[#This Row],[MES]],INGRESOS!$A:$A,"&lt;="&amp;MIN(TODAY(),EOMONTH(Tabla7[[#This Row],[MES]],0)))</f>
        <v>10194.845567790571</v>
      </c>
      <c r="R5" s="271">
        <f ca="1">SUMIFS(SALIDAS!F:F,SALIDAS!A:A,"&gt;="&amp;Tabla7[[#This Row],[MES]],SALIDAS!A:A,"&lt;="&amp;MIN(TODAY(),EOMONTH(Tabla7[[#This Row],[MES]],0)))</f>
        <v>-32402.219085104316</v>
      </c>
      <c r="S5" s="272">
        <f ca="1">SUMIFS(SALIDAS!F:F,SALIDAS!U:U,"COR",SALIDAS!A:A,"&gt;="&amp;Tabla7[[#This Row],[MES]],SALIDAS!A:A,"&lt;="&amp;MIN(TODAY(),EOMONTH(Tabla7[[#This Row],[MES]],0)))</f>
        <v>0</v>
      </c>
      <c r="T5" s="273">
        <f ca="1">Tabla7[[#This Row],[INGRESO MES RECIBIDO NETO]]+Tabla7[[#This Row],[COR]]+Tabla7[[#This Row],[Customer Success]]</f>
        <v>3410.5309146862628</v>
      </c>
      <c r="U5" s="388">
        <f ca="1">+IFERROR(Tabla7[[#This Row],[MARGEN BRUTO]]/Tabla7[[#This Row],[INGRESO MES RECIBIDO NETO]],"null")</f>
        <v>0.33453482860607897</v>
      </c>
      <c r="V5" s="274">
        <f ca="1">SUMIFS(SALIDAS!F:F,SALIDAS!U:U,"OPEX",SALIDAS!V:V,Tabla7[[#Headers],[Sales &amp; Marketing]],SALIDAS!A:A,"&gt;="&amp;Tabla7[[#This Row],[MES]],SALIDAS!A:A,"&lt;="&amp;MIN(TODAY(),EOMONTH(Tabla7[[#This Row],[MES]],0)))</f>
        <v>-17413.583304</v>
      </c>
      <c r="W5" s="272">
        <f ca="1">SUMIFS(SALIDAS!F:F,SALIDAS!U:U,"OPEX",SALIDAS!V:V,Tabla7[[#Headers],[Research &amp; Development]],SALIDAS!A:A,"&gt;="&amp;Tabla7[[#This Row],[MES]],SALIDAS!A:A,"&lt;="&amp;MIN(TODAY(),EOMONTH(Tabla7[[#This Row],[MES]],0)))</f>
        <v>-221.28000000000003</v>
      </c>
      <c r="X5" s="272">
        <f ca="1">SUMIFS(SALIDAS!F:F,SALIDAS!U:U,"OPEX",SALIDAS!V:V,Tabla7[[#Headers],[General &amp; Administrative]],SALIDAS!A:A,"&gt;="&amp;Tabla7[[#This Row],[MES]],SALIDAS!A:A,"&lt;="&amp;MIN(TODAY(),EOMONTH(Tabla7[[#This Row],[MES]],0)))</f>
        <v>-7983.0411279999989</v>
      </c>
      <c r="Y5" s="272">
        <f ca="1">SUMIFS(SALIDAS!F:F,SALIDAS!U:U,"OPEX",SALIDAS!V:V,Tabla7[[#Headers],[Customer Success]],SALIDAS!A:A,"&gt;="&amp;Tabla7[[#This Row],[MES]],SALIDAS!A:A,"&lt;="&amp;MIN(TODAY(),EOMONTH(Tabla7[[#This Row],[MES]],0)))</f>
        <v>-6784.3146531043085</v>
      </c>
      <c r="Z5" s="271">
        <f ca="1">SUMIFS(SALIDAS!F:F,SALIDAS!U:U,"OPEX",SALIDAS!A:A,"&gt;="&amp;Tabla7[[#This Row],[MES]],SALIDAS!A:A,"&lt;="&amp;MIN(TODAY(),EOMONTH(Tabla7[[#This Row],[MES]],0)))</f>
        <v>-32402.219085104316</v>
      </c>
      <c r="AA5" s="275">
        <f ca="1">+Tabla7[[#This Row],[MARGEN BRUTO]]+SUM(Tabla7[[#This Row],[Sales &amp; Marketing]:[General &amp; Administrative]])</f>
        <v>-22207.373517313732</v>
      </c>
      <c r="AB5" s="276">
        <f ca="1">ABS(SUMIFS(SALIDAS!F:F,SALIDAS!U:U,"CAPEX",SALIDAS!A:A,"&gt;="&amp;Tabla7[[#This Row],[MES]],SALIDAS!A:A,"&lt;="&amp;MIN(TODAY(),EOMONTH(Tabla7[[#This Row],[MES]],0))))</f>
        <v>0</v>
      </c>
      <c r="AC5" s="81">
        <f ca="1">+Tabla7[[#This Row],[EBITDA]]-Tabla7[[#This Row],[TOTAL CAPEX]]</f>
        <v>-22207.373517313732</v>
      </c>
      <c r="AD5" s="81">
        <f ca="1">+Tabla7[[#This Row],[FCF]]+AD4</f>
        <v>-41476.038482066346</v>
      </c>
      <c r="AE5" s="79">
        <f ca="1">IFERROR(SUMIFS(SALIDAS!F:F,SALIDAS!U:U,"OPEX",SALIDAS!V:V,Tabla7[[#Headers],[Sales &amp; Marketing]],SALIDAS!A:A,"&gt;="&amp;Tabla7[[#This Row],[MES]],SALIDAS!A:A,"&lt;="&amp;MIN(TODAY(),EOMONTH(Tabla7[[#This Row],[MES]],0)))/_xlfn.XLOOKUP(Tabla7[[#This Row],[MES]],'COHORTES INGRESO'!A:A,'COHORTES INGRESO'!C:C),0)</f>
        <v>-17413.583304</v>
      </c>
      <c r="AF5" s="271">
        <f ca="1">+IFERROR(Tabla7[[#This Row],[COR]]/Tabla711[[#This Row],[NUEVOS CLIENTES TOTAL]],0)</f>
        <v>0</v>
      </c>
      <c r="AG5" s="274">
        <f ca="1">Tabla7[[#This Row],[INGRESO MES RECIBIDO NETO]]+SUMIFS(SALIDAS!F:F,SALIDAS!T:T,"Costo variable",SALIDAS!A:A,"&gt;="&amp;Tabla7[[#This Row],[MES]],SALIDAS!A:A,"&lt;="&amp;MIN(TODAY(),EOMONTH(Tabla7[[#This Row],[MES]],0)))</f>
        <v>4733.2655677905705</v>
      </c>
      <c r="AH5" s="79">
        <f ca="1">+IFERROR(AVERAGEIFS(INGRESOS!J:J,INGRESOS!$A:$A,"&gt;="&amp;Tabla7[[#This Row],[MES]],INGRESOS!$A:$A,"&lt;="&amp;MIN(TODAY(),EOMONTH(Tabla7[[#This Row],[MES]],0))),0)</f>
        <v>10194.845567790571</v>
      </c>
    </row>
    <row r="6" spans="1:34">
      <c r="A6" s="58">
        <v>45717</v>
      </c>
      <c r="B6" s="63">
        <f>+Tabla7[[#This Row],[INGRESO MES RECIBIDO]]+Tabla7[[#This Row],[INGRESO PROGRAMADO PEND.]]</f>
        <v>25909.029324000003</v>
      </c>
      <c r="C6" s="233">
        <f>IFERROR((Tabla7[[#This Row],[INGRESO TOTAL MES]]/B5)-1,"0")</f>
        <v>1.4448124842244945</v>
      </c>
      <c r="D6" s="63">
        <f>SUMIFS(INGRESOS!G:G,INGRESOS!A:A,"&gt;="&amp;EOMONTH(Tabla7[[#This Row],[MES]],-1)+1,INGRESOS!A:A,"&lt;="&amp;EOMONTH(Tabla7[[#This Row],[MES]],0))</f>
        <v>25909.029324000003</v>
      </c>
      <c r="E6" s="309">
        <f ca="1">COUNTIFS(INGRESOS!$A:$A,"&gt;="&amp;Tabla7[[#This Row],[MES]],INGRESOS!$A:$A,"&lt;="&amp;MIN(TODAY(),EOMONTH(Tabla7[[#This Row],[MES]],0)))</f>
        <v>16</v>
      </c>
      <c r="F6"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1</v>
      </c>
      <c r="G6" s="79">
        <f>SUMIFS('CALENDARIO INGRESOS'!I:I,'CALENDARIO INGRESOS'!G:G,"&gt;="&amp;EOMONTH(Tabla7[[#This Row],[MES]],-1)+1,'CALENDARIO INGRESOS'!G:G,"&lt;="&amp;EOMONTH(Tabla7[[#This Row],[MES]],0),'CALENDARIO INGRESOS'!L:L, "&lt;&gt;PAGADA",'CALENDARIO INGRESOS'!D:D,"&lt;&gt;ELIMINADO",'CALENDARIO INGRESOS'!D:D,"&lt;&gt;¡REGULARIZAR!")</f>
        <v>0</v>
      </c>
      <c r="H6"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6" s="341">
        <f ca="1">COUNTIFS('CALENDARIO INGRESOS'!$G:$G,"&gt;="&amp;EOMONTH(Tabla7[[#This Row],[MES]],-1)+1,'CALENDARIO INGRESOS'!$G:$G,"&lt;="&amp;EOMONTH(Tabla7[[#This Row],[MES]],0),'CALENDARIO INGRESOS'!$D:$D,"&lt;&gt;ELIMINADO",'CALENDARIO INGRESOS'!$D:$D,"&lt;&gt;¡REGULARIZAR!",'CALENDARIO INGRESOS'!$L:$L,"&lt;&gt;PAGADA",'CALENDARIO INGRESOS'!$G:$G,"&lt;="&amp;TODAY())</f>
        <v>0</v>
      </c>
      <c r="J6" s="63">
        <f ca="1">SUMIFS('CALENDARIO INGRESOS'!$I:$I,
                   'CALENDARIO INGRESOS'!$G:$G,"&gt;="&amp;EOMONTH(Tabla7[[#This Row],[MES]],-1)+1,
                   'CALENDARIO INGRESOS'!$G:$G,"&lt;="&amp;EOMONTH(Tabla7[[#This Row],[MES]],0),
                   'CALENDARIO INGRESOS'!$L:$L,"&lt;&gt;PAGADA",
                   'CALENDARIO INGRESOS'!$G:$G,"&gt;="&amp;TODAY(),'CALENDARIO INGRESOS'!$D:$D,"&lt;&gt;ELIMINADO",'CALENDARIO INGRESOS'!$D:$D,"&lt;&gt;¡REGULARIZAR!")</f>
        <v>0</v>
      </c>
      <c r="K6" s="346">
        <f ca="1">COUNTIFS('CALENDARIO INGRESOS'!$G:$G,"&gt;="&amp;EOMONTH(Tabla7[[#This Row],[MES]],-1)+1,'CALENDARIO INGRESOS'!$G:$G,"&lt;="&amp;EOMONTH(Tabla7[[#This Row],[MES]],0),'CALENDARIO INGRESOS'!$D:$D,"&lt;&gt;ELIMINADO",'CALENDARIO INGRESOS'!$D:$D,"&lt;&gt;¡REGULARIZAR!",'CALENDARIO INGRESOS'!$L:$L,"&lt;&gt;PAGADA",'CALENDARIO INGRESOS'!$G:$G,"&gt;="&amp;TODAY())</f>
        <v>0</v>
      </c>
      <c r="L6" s="63">
        <f>SUMIFS('CALENDARIO INGRESOS'!I:I,'CALENDARIO INGRESOS'!G:G,"&gt;="&amp;EOMONTH(Tabla7[[#This Row],[MES]],-1)+1,'CALENDARIO INGRESOS'!G:G,"&lt;="&amp;EOMONTH(Tabla7[[#This Row],[MES]],0),'CALENDARIO INGRESOS'!L:L, "&lt;&gt;PAGADA",'CALENDARIO INGRESOS'!D:D,"¡REGULARIZAR!")</f>
        <v>0</v>
      </c>
      <c r="M6" s="346">
        <f>COUNTIFS('CALENDARIO INGRESOS'!$G:$G,"&gt;="&amp;EOMONTH(Tabla7[[#This Row],[MES]],-1)+1,'CALENDARIO INGRESOS'!$G:$G,"&lt;="&amp;EOMONTH(Tabla7[[#This Row],[MES]],0),'CALENDARIO INGRESOS'!$D:$D,"¡REGULARIZAR!",'CALENDARIO INGRESOS'!$L:$L,"&lt;&gt;PAGADA")</f>
        <v>0</v>
      </c>
      <c r="N6" s="488">
        <f>SUMIFS('CALENDARIO INGRESOS'!I:I,'CALENDARIO INGRESOS'!G:G,"&gt;="&amp;EOMONTH(Tabla7[[#This Row],[MES]],-1)+1,'CALENDARIO INGRESOS'!G:G,"&lt;="&amp;EOMONTH(Tabla7[[#This Row],[MES]],0),'CALENDARIO INGRESOS'!L:L, "&lt;&gt;PAGADA",'CALENDARIO INGRESOS'!D:D,"ELIMINADO")</f>
        <v>0</v>
      </c>
      <c r="O6" s="184">
        <f>+IFERROR(Tabla7[[#This Row],[INCOBRABLE]]/Tabla7[[#This Row],[INGRESO TOTAL MES]],0)</f>
        <v>0</v>
      </c>
      <c r="P6" s="184">
        <f ca="1">IFERROR(AVERAGEIFS(INGRESOS!I:I,INGRESOS!A:A,"&gt;="&amp;Tabla7[[#This Row],[MES]],INGRESOS!A:A,"&lt;="&amp;MIN(TODAY(),EOMONTH(Tabla7[[#This Row],[MES]],0))),0)</f>
        <v>3.3873762108351961E-2</v>
      </c>
      <c r="Q6" s="283">
        <f ca="1">SUMIFS(INGRESOS!$J:$J,INGRESOS!$A:$A,"&gt;="&amp;Tabla7[[#This Row],[MES]],INGRESOS!$A:$A,"&lt;="&amp;MIN(TODAY(),EOMONTH(Tabla7[[#This Row],[MES]],0)))</f>
        <v>25071.168852000003</v>
      </c>
      <c r="R6" s="271">
        <f ca="1">SUMIFS(SALIDAS!F:F,SALIDAS!A:A,"&gt;="&amp;Tabla7[[#This Row],[MES]],SALIDAS!A:A,"&lt;="&amp;MIN(TODAY(),EOMONTH(Tabla7[[#This Row],[MES]],0)))</f>
        <v>-56929.488110784812</v>
      </c>
      <c r="S6" s="272">
        <f ca="1">SUMIFS(SALIDAS!F:F,SALIDAS!U:U,"COR",SALIDAS!A:A,"&gt;="&amp;Tabla7[[#This Row],[MES]],SALIDAS!A:A,"&lt;="&amp;MIN(TODAY(),EOMONTH(Tabla7[[#This Row],[MES]],0)))</f>
        <v>-24882</v>
      </c>
      <c r="T6" s="273">
        <f ca="1">Tabla7[[#This Row],[INGRESO MES RECIBIDO NETO]]+Tabla7[[#This Row],[COR]]+Tabla7[[#This Row],[Customer Success]]</f>
        <v>-3515.2669707848077</v>
      </c>
      <c r="U6" s="388">
        <f ca="1">+IFERROR(Tabla7[[#This Row],[MARGEN BRUTO]]/Tabla7[[#This Row],[INGRESO MES RECIBIDO NETO]],"null")</f>
        <v>-0.1402115310832181</v>
      </c>
      <c r="V6" s="274">
        <f ca="1">SUMIFS(SALIDAS!F:F,SALIDAS!U:U,"OPEX",SALIDAS!V:V,Tabla7[[#Headers],[Sales &amp; Marketing]],SALIDAS!A:A,"&gt;="&amp;Tabla7[[#This Row],[MES]],SALIDAS!A:A,"&lt;="&amp;MIN(TODAY(),EOMONTH(Tabla7[[#This Row],[MES]],0)))</f>
        <v>-22734.694080000001</v>
      </c>
      <c r="W6" s="272">
        <f ca="1">SUMIFS(SALIDAS!F:F,SALIDAS!U:U,"OPEX",SALIDAS!V:V,Tabla7[[#Headers],[Research &amp; Development]],SALIDAS!A:A,"&gt;="&amp;Tabla7[[#This Row],[MES]],SALIDAS!A:A,"&lt;="&amp;MIN(TODAY(),EOMONTH(Tabla7[[#This Row],[MES]],0)))</f>
        <v>-221.51999999999998</v>
      </c>
      <c r="X6" s="272">
        <f ca="1">SUMIFS(SALIDAS!F:F,SALIDAS!U:U,"OPEX",SALIDAS!V:V,Tabla7[[#Headers],[General &amp; Administrative]],SALIDAS!A:A,"&gt;="&amp;Tabla7[[#This Row],[MES]],SALIDAS!A:A,"&lt;="&amp;MIN(TODAY(),EOMONTH(Tabla7[[#This Row],[MES]],0)))</f>
        <v>-3687.8382080000001</v>
      </c>
      <c r="Y6" s="272">
        <f ca="1">SUMIFS(SALIDAS!F:F,SALIDAS!U:U,"OPEX",SALIDAS!V:V,Tabla7[[#Headers],[Customer Success]],SALIDAS!A:A,"&gt;="&amp;Tabla7[[#This Row],[MES]],SALIDAS!A:A,"&lt;="&amp;MIN(TODAY(),EOMONTH(Tabla7[[#This Row],[MES]],0)))</f>
        <v>-3704.4358227848102</v>
      </c>
      <c r="Z6" s="271">
        <f ca="1">SUMIFS(SALIDAS!F:F,SALIDAS!U:U,"OPEX",SALIDAS!A:A,"&gt;="&amp;Tabla7[[#This Row],[MES]],SALIDAS!A:A,"&lt;="&amp;MIN(TODAY(),EOMONTH(Tabla7[[#This Row],[MES]],0)))</f>
        <v>-30348.48811078482</v>
      </c>
      <c r="AA6" s="275">
        <f ca="1">+Tabla7[[#This Row],[MARGEN BRUTO]]+SUM(Tabla7[[#This Row],[Sales &amp; Marketing]:[General &amp; Administrative]])</f>
        <v>-30159.31925878481</v>
      </c>
      <c r="AB6" s="276">
        <f ca="1">ABS(SUMIFS(SALIDAS!F:F,SALIDAS!U:U,"CAPEX",SALIDAS!A:A,"&gt;="&amp;Tabla7[[#This Row],[MES]],SALIDAS!A:A,"&lt;="&amp;MIN(TODAY(),EOMONTH(Tabla7[[#This Row],[MES]],0))))</f>
        <v>1699</v>
      </c>
      <c r="AC6" s="81">
        <f ca="1">+Tabla7[[#This Row],[EBITDA]]-Tabla7[[#This Row],[TOTAL CAPEX]]</f>
        <v>-31858.31925878481</v>
      </c>
      <c r="AD6" s="81">
        <f ca="1">+Tabla7[[#This Row],[FCF]]+AD5</f>
        <v>-73334.357740851148</v>
      </c>
      <c r="AE6" s="79">
        <f ca="1">IFERROR(SUMIFS(SALIDAS!F:F,SALIDAS!U:U,"OPEX",SALIDAS!V:V,Tabla7[[#Headers],[Sales &amp; Marketing]],SALIDAS!A:A,"&gt;="&amp;Tabla7[[#This Row],[MES]],SALIDAS!A:A,"&lt;="&amp;MIN(TODAY(),EOMONTH(Tabla7[[#This Row],[MES]],0)))/_xlfn.XLOOKUP(Tabla7[[#This Row],[MES]],'COHORTES INGRESO'!A:A,'COHORTES INGRESO'!C:C),0)</f>
        <v>-1623.9067200000002</v>
      </c>
      <c r="AF6" s="271">
        <f ca="1">+IFERROR(Tabla7[[#This Row],[COR]]/Tabla711[[#This Row],[NUEVOS CLIENTES TOTAL]],0)</f>
        <v>-1777.2857142857142</v>
      </c>
      <c r="AG6" s="274">
        <f ca="1">Tabla7[[#This Row],[INGRESO MES RECIBIDO NETO]]+SUMIFS(SALIDAS!F:F,SALIDAS!T:T,"Costo variable",SALIDAS!A:A,"&gt;="&amp;Tabla7[[#This Row],[MES]],SALIDAS!A:A,"&lt;="&amp;MIN(TODAY(),EOMONTH(Tabla7[[#This Row],[MES]],0)))</f>
        <v>1508.1160839999975</v>
      </c>
      <c r="AH6" s="79">
        <f ca="1">+IFERROR(AVERAGEIFS(INGRESOS!J:J,INGRESOS!$A:$A,"&gt;="&amp;Tabla7[[#This Row],[MES]],INGRESOS!$A:$A,"&lt;="&amp;MIN(TODAY(),EOMONTH(Tabla7[[#This Row],[MES]],0))),0)</f>
        <v>1566.9480532500002</v>
      </c>
    </row>
    <row r="7" spans="1:34">
      <c r="A7" s="24">
        <v>45748</v>
      </c>
      <c r="B7" s="63">
        <f>+Tabla7[[#This Row],[INGRESO MES RECIBIDO]]+Tabla7[[#This Row],[INGRESO PROGRAMADO PEND.]]</f>
        <v>60640.36456202386</v>
      </c>
      <c r="C7" s="233">
        <f>IFERROR((Tabla7[[#This Row],[INGRESO TOTAL MES]]/B6)-1,"0")</f>
        <v>1.3405108622055399</v>
      </c>
      <c r="D7" s="63">
        <f>SUMIFS(INGRESOS!G:G,INGRESOS!A:A,"&gt;="&amp;EOMONTH(Tabla7[[#This Row],[MES]],-1)+1,INGRESOS!A:A,"&lt;="&amp;EOMONTH(Tabla7[[#This Row],[MES]],0))</f>
        <v>60640.36456202386</v>
      </c>
      <c r="E7" s="309">
        <f ca="1">COUNTIFS(INGRESOS!$A:$A,"&gt;="&amp;Tabla7[[#This Row],[MES]],INGRESOS!$A:$A,"&lt;="&amp;MIN(TODAY(),EOMONTH(Tabla7[[#This Row],[MES]],0)))</f>
        <v>25</v>
      </c>
      <c r="F7"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1</v>
      </c>
      <c r="G7" s="79">
        <f>SUMIFS('CALENDARIO INGRESOS'!I:I,'CALENDARIO INGRESOS'!G:G,"&gt;="&amp;EOMONTH(Tabla7[[#This Row],[MES]],-1)+1,'CALENDARIO INGRESOS'!G:G,"&lt;="&amp;EOMONTH(Tabla7[[#This Row],[MES]],0),'CALENDARIO INGRESOS'!L:L, "&lt;&gt;PAGADA",'CALENDARIO INGRESOS'!D:D,"&lt;&gt;ELIMINADO",'CALENDARIO INGRESOS'!D:D,"&lt;&gt;¡REGULARIZAR!")</f>
        <v>0</v>
      </c>
      <c r="H7"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7" s="341">
        <f ca="1">COUNTIFS('CALENDARIO INGRESOS'!$G:$G,"&gt;="&amp;EOMONTH(Tabla7[[#This Row],[MES]],-1)+1,'CALENDARIO INGRESOS'!$G:$G,"&lt;="&amp;EOMONTH(Tabla7[[#This Row],[MES]],0),'CALENDARIO INGRESOS'!$D:$D,"&lt;&gt;ELIMINADO",'CALENDARIO INGRESOS'!$D:$D,"&lt;&gt;¡REGULARIZAR!",'CALENDARIO INGRESOS'!$L:$L,"&lt;&gt;PAGADA",'CALENDARIO INGRESOS'!$G:$G,"&lt;="&amp;TODAY())</f>
        <v>0</v>
      </c>
      <c r="J7" s="63">
        <f ca="1">SUMIFS('CALENDARIO INGRESOS'!$I:$I,
                   'CALENDARIO INGRESOS'!$G:$G,"&gt;="&amp;EOMONTH(Tabla7[[#This Row],[MES]],-1)+1,
                   'CALENDARIO INGRESOS'!$G:$G,"&lt;="&amp;EOMONTH(Tabla7[[#This Row],[MES]],0),
                   'CALENDARIO INGRESOS'!$L:$L,"&lt;&gt;PAGADA",
                   'CALENDARIO INGRESOS'!$G:$G,"&gt;="&amp;TODAY(),'CALENDARIO INGRESOS'!$D:$D,"&lt;&gt;ELIMINADO",'CALENDARIO INGRESOS'!$D:$D,"&lt;&gt;¡REGULARIZAR!")</f>
        <v>0</v>
      </c>
      <c r="K7" s="346">
        <f ca="1">COUNTIFS('CALENDARIO INGRESOS'!$G:$G,"&gt;="&amp;EOMONTH(Tabla7[[#This Row],[MES]],-1)+1,'CALENDARIO INGRESOS'!$G:$G,"&lt;="&amp;EOMONTH(Tabla7[[#This Row],[MES]],0),'CALENDARIO INGRESOS'!$D:$D,"&lt;&gt;ELIMINADO",'CALENDARIO INGRESOS'!$D:$D,"&lt;&gt;¡REGULARIZAR!",'CALENDARIO INGRESOS'!$L:$L,"&lt;&gt;PAGADA",'CALENDARIO INGRESOS'!$G:$G,"&gt;="&amp;TODAY())</f>
        <v>0</v>
      </c>
      <c r="L7" s="63">
        <f>SUMIFS('CALENDARIO INGRESOS'!I:I,'CALENDARIO INGRESOS'!G:G,"&gt;="&amp;EOMONTH(Tabla7[[#This Row],[MES]],-1)+1,'CALENDARIO INGRESOS'!G:G,"&lt;="&amp;EOMONTH(Tabla7[[#This Row],[MES]],0),'CALENDARIO INGRESOS'!L:L, "&lt;&gt;PAGADA",'CALENDARIO INGRESOS'!D:D,"¡REGULARIZAR!")</f>
        <v>0</v>
      </c>
      <c r="M7" s="346">
        <f>COUNTIFS('CALENDARIO INGRESOS'!$G:$G,"&gt;="&amp;EOMONTH(Tabla7[[#This Row],[MES]],-1)+1,'CALENDARIO INGRESOS'!$G:$G,"&lt;="&amp;EOMONTH(Tabla7[[#This Row],[MES]],0),'CALENDARIO INGRESOS'!$D:$D,"¡REGULARIZAR!",'CALENDARIO INGRESOS'!$L:$L,"&lt;&gt;PAGADA")</f>
        <v>0</v>
      </c>
      <c r="N7" s="488">
        <f>SUMIFS('CALENDARIO INGRESOS'!I:I,'CALENDARIO INGRESOS'!G:G,"&gt;="&amp;EOMONTH(Tabla7[[#This Row],[MES]],-1)+1,'CALENDARIO INGRESOS'!G:G,"&lt;="&amp;EOMONTH(Tabla7[[#This Row],[MES]],0),'CALENDARIO INGRESOS'!L:L, "&lt;&gt;PAGADA",'CALENDARIO INGRESOS'!D:D,"ELIMINADO")</f>
        <v>0</v>
      </c>
      <c r="O7" s="184">
        <f>+IFERROR(Tabla7[[#This Row],[INCOBRABLE]]/Tabla7[[#This Row],[INGRESO TOTAL MES]],0)</f>
        <v>0</v>
      </c>
      <c r="P7" s="184">
        <f ca="1">IFERROR(AVERAGEIFS(INGRESOS!I:I,INGRESOS!A:A,"&gt;="&amp;Tabla7[[#This Row],[MES]],INGRESOS!A:A,"&lt;="&amp;MIN(TODAY(),EOMONTH(Tabla7[[#This Row],[MES]],0))),0)</f>
        <v>2.3155143427125963E-2</v>
      </c>
      <c r="Q7" s="283">
        <f ca="1">SUMIFS(INGRESOS!$J:$J,INGRESOS!$A:$A,"&gt;="&amp;Tabla7[[#This Row],[MES]],INGRESOS!$A:$A,"&lt;="&amp;MIN(TODAY(),EOMONTH(Tabla7[[#This Row],[MES]],0)))</f>
        <v>59179.123400320277</v>
      </c>
      <c r="R7" s="271">
        <f ca="1">SUMIFS(SALIDAS!F:F,SALIDAS!A:A,"&gt;="&amp;Tabla7[[#This Row],[MES]],SALIDAS!A:A,"&lt;="&amp;MIN(TODAY(),EOMONTH(Tabla7[[#This Row],[MES]],0)))</f>
        <v>-47061.492801879511</v>
      </c>
      <c r="S7" s="272">
        <f ca="1">SUMIFS(SALIDAS!F:F,SALIDAS!U:U,"COR",SALIDAS!A:A,"&gt;="&amp;Tabla7[[#This Row],[MES]],SALIDAS!A:A,"&lt;="&amp;MIN(TODAY(),EOMONTH(Tabla7[[#This Row],[MES]],0)))</f>
        <v>-10827.76</v>
      </c>
      <c r="T7" s="273">
        <f ca="1">Tabla7[[#This Row],[INGRESO MES RECIBIDO NETO]]+Tabla7[[#This Row],[COR]]+Tabla7[[#This Row],[Customer Success]]</f>
        <v>44256.080549540762</v>
      </c>
      <c r="U7" s="388">
        <f ca="1">+IFERROR(Tabla7[[#This Row],[MARGEN BRUTO]]/Tabla7[[#This Row],[INGRESO MES RECIBIDO NETO]],"null")</f>
        <v>0.74783264784387204</v>
      </c>
      <c r="V7" s="274">
        <f ca="1">SUMIFS(SALIDAS!F:F,SALIDAS!U:U,"OPEX",SALIDAS!V:V,Tabla7[[#Headers],[Sales &amp; Marketing]],SALIDAS!A:A,"&gt;="&amp;Tabla7[[#This Row],[MES]],SALIDAS!A:A,"&lt;="&amp;MIN(TODAY(),EOMONTH(Tabla7[[#This Row],[MES]],0)))</f>
        <v>-23562.809541099999</v>
      </c>
      <c r="W7" s="272">
        <f ca="1">SUMIFS(SALIDAS!F:F,SALIDAS!U:U,"OPEX",SALIDAS!V:V,Tabla7[[#Headers],[Research &amp; Development]],SALIDAS!A:A,"&gt;="&amp;Tabla7[[#This Row],[MES]],SALIDAS!A:A,"&lt;="&amp;MIN(TODAY(),EOMONTH(Tabla7[[#This Row],[MES]],0)))</f>
        <v>-180.02199999999999</v>
      </c>
      <c r="X7" s="272">
        <f ca="1">SUMIFS(SALIDAS!F:F,SALIDAS!U:U,"OPEX",SALIDAS!V:V,Tabla7[[#Headers],[General &amp; Administrative]],SALIDAS!A:A,"&gt;="&amp;Tabla7[[#This Row],[MES]],SALIDAS!A:A,"&lt;="&amp;MIN(TODAY(),EOMONTH(Tabla7[[#This Row],[MES]],0)))</f>
        <v>-8395.6184099999991</v>
      </c>
      <c r="Y7" s="272">
        <f ca="1">SUMIFS(SALIDAS!F:F,SALIDAS!U:U,"OPEX",SALIDAS!V:V,Tabla7[[#Headers],[Customer Success]],SALIDAS!A:A,"&gt;="&amp;Tabla7[[#This Row],[MES]],SALIDAS!A:A,"&lt;="&amp;MIN(TODAY(),EOMONTH(Tabla7[[#This Row],[MES]],0)))</f>
        <v>-4095.2828507795102</v>
      </c>
      <c r="Z7" s="271">
        <f ca="1">SUMIFS(SALIDAS!F:F,SALIDAS!U:U,"OPEX",SALIDAS!A:A,"&gt;="&amp;Tabla7[[#This Row],[MES]],SALIDAS!A:A,"&lt;="&amp;MIN(TODAY(),EOMONTH(Tabla7[[#This Row],[MES]],0)))</f>
        <v>-36233.732801879509</v>
      </c>
      <c r="AA7" s="275">
        <f ca="1">+Tabla7[[#This Row],[MARGEN BRUTO]]+SUM(Tabla7[[#This Row],[Sales &amp; Marketing]:[General &amp; Administrative]])</f>
        <v>12117.630598440763</v>
      </c>
      <c r="AB7" s="276">
        <f ca="1">ABS(SUMIFS(SALIDAS!F:F,SALIDAS!U:U,"CAPEX",SALIDAS!A:A,"&gt;="&amp;Tabla7[[#This Row],[MES]],SALIDAS!A:A,"&lt;="&amp;MIN(TODAY(),EOMONTH(Tabla7[[#This Row],[MES]],0))))</f>
        <v>0</v>
      </c>
      <c r="AC7" s="81">
        <f ca="1">+Tabla7[[#This Row],[EBITDA]]-Tabla7[[#This Row],[TOTAL CAPEX]]</f>
        <v>12117.630598440763</v>
      </c>
      <c r="AD7" s="81">
        <f ca="1">+Tabla7[[#This Row],[FCF]]+AD6</f>
        <v>-61216.727142410382</v>
      </c>
      <c r="AE7" s="79">
        <f ca="1">IFERROR(SUMIFS(SALIDAS!F:F,SALIDAS!U:U,"OPEX",SALIDAS!V:V,Tabla7[[#Headers],[Sales &amp; Marketing]],SALIDAS!A:A,"&gt;="&amp;Tabla7[[#This Row],[MES]],SALIDAS!A:A,"&lt;="&amp;MIN(TODAY(),EOMONTH(Tabla7[[#This Row],[MES]],0)))/_xlfn.XLOOKUP(Tabla7[[#This Row],[MES]],'COHORTES INGRESO'!A:A,'COHORTES INGRESO'!C:C),0)</f>
        <v>-1240.1478705842105</v>
      </c>
      <c r="AF7" s="271">
        <f ca="1">+IFERROR(Tabla7[[#This Row],[COR]]/Tabla711[[#This Row],[NUEVOS CLIENTES TOTAL]],0)</f>
        <v>-569.88210526315788</v>
      </c>
      <c r="AG7" s="274">
        <f ca="1">Tabla7[[#This Row],[INGRESO MES RECIBIDO NETO]]+SUMIFS(SALIDAS!F:F,SALIDAS!T:T,"Costo variable",SALIDAS!A:A,"&gt;="&amp;Tabla7[[#This Row],[MES]],SALIDAS!A:A,"&lt;="&amp;MIN(TODAY(),EOMONTH(Tabla7[[#This Row],[MES]],0)))</f>
        <v>40927.488648220278</v>
      </c>
      <c r="AH7" s="79">
        <f ca="1">+IFERROR(AVERAGEIFS(INGRESOS!J:J,INGRESOS!$A:$A,"&gt;="&amp;Tabla7[[#This Row],[MES]],INGRESOS!$A:$A,"&lt;="&amp;MIN(TODAY(),EOMONTH(Tabla7[[#This Row],[MES]],0))),0)</f>
        <v>2367.1649360128113</v>
      </c>
    </row>
    <row r="8" spans="1:34">
      <c r="A8" s="58">
        <v>45778</v>
      </c>
      <c r="B8" s="63">
        <f>+Tabla7[[#This Row],[INGRESO MES RECIBIDO]]+Tabla7[[#This Row],[INGRESO PROGRAMADO PEND.]]</f>
        <v>58656.78</v>
      </c>
      <c r="C8" s="233">
        <f>IFERROR((Tabla7[[#This Row],[INGRESO TOTAL MES]]/B7)-1,"0")</f>
        <v>-3.2710630556896159E-2</v>
      </c>
      <c r="D8" s="63">
        <f>SUMIFS(INGRESOS!G:G,INGRESOS!A:A,"&gt;="&amp;EOMONTH(Tabla7[[#This Row],[MES]],-1)+1,INGRESOS!A:A,"&lt;="&amp;EOMONTH(Tabla7[[#This Row],[MES]],0))</f>
        <v>58656.78</v>
      </c>
      <c r="E8" s="309">
        <f ca="1">COUNTIFS(INGRESOS!$A:$A,"&gt;="&amp;Tabla7[[#This Row],[MES]],INGRESOS!$A:$A,"&lt;="&amp;MIN(TODAY(),EOMONTH(Tabla7[[#This Row],[MES]],0)))</f>
        <v>38</v>
      </c>
      <c r="F8"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1</v>
      </c>
      <c r="G8" s="79">
        <f>SUMIFS('CALENDARIO INGRESOS'!I:I,'CALENDARIO INGRESOS'!G:G,"&gt;="&amp;EOMONTH(Tabla7[[#This Row],[MES]],-1)+1,'CALENDARIO INGRESOS'!G:G,"&lt;="&amp;EOMONTH(Tabla7[[#This Row],[MES]],0),'CALENDARIO INGRESOS'!L:L, "&lt;&gt;PAGADA",'CALENDARIO INGRESOS'!D:D,"&lt;&gt;ELIMINADO",'CALENDARIO INGRESOS'!D:D,"&lt;&gt;¡REGULARIZAR!")</f>
        <v>0</v>
      </c>
      <c r="H8"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8" s="341">
        <f ca="1">COUNTIFS('CALENDARIO INGRESOS'!$G:$G,"&gt;="&amp;EOMONTH(Tabla7[[#This Row],[MES]],-1)+1,'CALENDARIO INGRESOS'!$G:$G,"&lt;="&amp;EOMONTH(Tabla7[[#This Row],[MES]],0),'CALENDARIO INGRESOS'!$D:$D,"&lt;&gt;ELIMINADO",'CALENDARIO INGRESOS'!$D:$D,"&lt;&gt;¡REGULARIZAR!",'CALENDARIO INGRESOS'!$L:$L,"&lt;&gt;PAGADA",'CALENDARIO INGRESOS'!$G:$G,"&lt;="&amp;TODAY())</f>
        <v>0</v>
      </c>
      <c r="J8" s="63">
        <f ca="1">SUMIFS('CALENDARIO INGRESOS'!$I:$I,
                   'CALENDARIO INGRESOS'!$G:$G,"&gt;="&amp;EOMONTH(Tabla7[[#This Row],[MES]],-1)+1,
                   'CALENDARIO INGRESOS'!$G:$G,"&lt;="&amp;EOMONTH(Tabla7[[#This Row],[MES]],0),
                   'CALENDARIO INGRESOS'!$L:$L,"&lt;&gt;PAGADA",
                   'CALENDARIO INGRESOS'!$G:$G,"&gt;="&amp;TODAY(),'CALENDARIO INGRESOS'!$D:$D,"&lt;&gt;ELIMINADO",'CALENDARIO INGRESOS'!$D:$D,"&lt;&gt;¡REGULARIZAR!")</f>
        <v>0</v>
      </c>
      <c r="K8" s="346">
        <f ca="1">COUNTIFS('CALENDARIO INGRESOS'!$G:$G,"&gt;="&amp;EOMONTH(Tabla7[[#This Row],[MES]],-1)+1,'CALENDARIO INGRESOS'!$G:$G,"&lt;="&amp;EOMONTH(Tabla7[[#This Row],[MES]],0),'CALENDARIO INGRESOS'!$D:$D,"&lt;&gt;ELIMINADO",'CALENDARIO INGRESOS'!$D:$D,"&lt;&gt;¡REGULARIZAR!",'CALENDARIO INGRESOS'!$L:$L,"&lt;&gt;PAGADA",'CALENDARIO INGRESOS'!$G:$G,"&gt;="&amp;TODAY())</f>
        <v>0</v>
      </c>
      <c r="L8" s="63">
        <f>SUMIFS('CALENDARIO INGRESOS'!I:I,'CALENDARIO INGRESOS'!G:G,"&gt;="&amp;EOMONTH(Tabla7[[#This Row],[MES]],-1)+1,'CALENDARIO INGRESOS'!G:G,"&lt;="&amp;EOMONTH(Tabla7[[#This Row],[MES]],0),'CALENDARIO INGRESOS'!L:L, "&lt;&gt;PAGADA",'CALENDARIO INGRESOS'!D:D,"¡REGULARIZAR!")</f>
        <v>0</v>
      </c>
      <c r="M8" s="346">
        <f>COUNTIFS('CALENDARIO INGRESOS'!$G:$G,"&gt;="&amp;EOMONTH(Tabla7[[#This Row],[MES]],-1)+1,'CALENDARIO INGRESOS'!$G:$G,"&lt;="&amp;EOMONTH(Tabla7[[#This Row],[MES]],0),'CALENDARIO INGRESOS'!$D:$D,"¡REGULARIZAR!",'CALENDARIO INGRESOS'!$L:$L,"&lt;&gt;PAGADA")</f>
        <v>0</v>
      </c>
      <c r="N8" s="488">
        <f>SUMIFS('CALENDARIO INGRESOS'!I:I,'CALENDARIO INGRESOS'!G:G,"&gt;="&amp;EOMONTH(Tabla7[[#This Row],[MES]],-1)+1,'CALENDARIO INGRESOS'!G:G,"&lt;="&amp;EOMONTH(Tabla7[[#This Row],[MES]],0),'CALENDARIO INGRESOS'!L:L, "&lt;&gt;PAGADA",'CALENDARIO INGRESOS'!D:D,"ELIMINADO")</f>
        <v>0</v>
      </c>
      <c r="O8" s="184">
        <f>+IFERROR(Tabla7[[#This Row],[INCOBRABLE]]/Tabla7[[#This Row],[INGRESO TOTAL MES]],0)</f>
        <v>0</v>
      </c>
      <c r="P8" s="184">
        <f ca="1">IFERROR(AVERAGEIFS(INGRESOS!I:I,INGRESOS!A:A,"&gt;="&amp;Tabla7[[#This Row],[MES]],INGRESOS!A:A,"&lt;="&amp;MIN(TODAY(),EOMONTH(Tabla7[[#This Row],[MES]],0))),0)</f>
        <v>2.8309699062901185E-2</v>
      </c>
      <c r="Q8" s="283">
        <f ca="1">SUMIFS(INGRESOS!$J:$J,INGRESOS!$A:$A,"&gt;="&amp;Tabla7[[#This Row],[MES]],INGRESOS!$A:$A,"&lt;="&amp;MIN(TODAY(),EOMONTH(Tabla7[[#This Row],[MES]],0)))</f>
        <v>57208.640000000014</v>
      </c>
      <c r="R8" s="271">
        <f ca="1">SUMIFS(SALIDAS!F:F,SALIDAS!A:A,"&gt;="&amp;Tabla7[[#This Row],[MES]],SALIDAS!A:A,"&lt;="&amp;MIN(TODAY(),EOMONTH(Tabla7[[#This Row],[MES]],0)))</f>
        <v>-53876.674320108723</v>
      </c>
      <c r="S8" s="272">
        <f ca="1">SUMIFS(SALIDAS!F:F,SALIDAS!U:U,"COR",SALIDAS!A:A,"&gt;="&amp;Tabla7[[#This Row],[MES]],SALIDAS!A:A,"&lt;="&amp;MIN(TODAY(),EOMONTH(Tabla7[[#This Row],[MES]],0)))</f>
        <v>-13057.679999999998</v>
      </c>
      <c r="T8" s="273">
        <f ca="1">Tabla7[[#This Row],[INGRESO MES RECIBIDO NETO]]+Tabla7[[#This Row],[COR]]+Tabla7[[#This Row],[Customer Success]]</f>
        <v>39264.755137891298</v>
      </c>
      <c r="U8" s="388">
        <f ca="1">+IFERROR(Tabla7[[#This Row],[MARGEN BRUTO]]/Tabla7[[#This Row],[INGRESO MES RECIBIDO NETO]],"null")</f>
        <v>0.68634309674013028</v>
      </c>
      <c r="V8" s="274">
        <f ca="1">SUMIFS(SALIDAS!F:F,SALIDAS!U:U,"OPEX",SALIDAS!V:V,Tabla7[[#Headers],[Sales &amp; Marketing]],SALIDAS!A:A,"&gt;="&amp;Tabla7[[#This Row],[MES]],SALIDAS!A:A,"&lt;="&amp;MIN(TODAY(),EOMONTH(Tabla7[[#This Row],[MES]],0)))</f>
        <v>-25428.314450999995</v>
      </c>
      <c r="W8" s="272">
        <f ca="1">SUMIFS(SALIDAS!F:F,SALIDAS!U:U,"OPEX",SALIDAS!V:V,Tabla7[[#Headers],[Research &amp; Development]],SALIDAS!A:A,"&gt;="&amp;Tabla7[[#This Row],[MES]],SALIDAS!A:A,"&lt;="&amp;MIN(TODAY(),EOMONTH(Tabla7[[#This Row],[MES]],0)))</f>
        <v>-441.71</v>
      </c>
      <c r="X8" s="272">
        <f ca="1">SUMIFS(SALIDAS!F:F,SALIDAS!U:U,"OPEX",SALIDAS!V:V,Tabla7[[#Headers],[General &amp; Administrative]],SALIDAS!A:A,"&gt;="&amp;Tabla7[[#This Row],[MES]],SALIDAS!A:A,"&lt;="&amp;MIN(TODAY(),EOMONTH(Tabla7[[#This Row],[MES]],0)))</f>
        <v>-10062.765007</v>
      </c>
      <c r="Y8" s="272">
        <f ca="1">SUMIFS(SALIDAS!F:F,SALIDAS!U:U,"OPEX",SALIDAS!V:V,Tabla7[[#Headers],[Customer Success]],SALIDAS!A:A,"&gt;="&amp;Tabla7[[#This Row],[MES]],SALIDAS!A:A,"&lt;="&amp;MIN(TODAY(),EOMONTH(Tabla7[[#This Row],[MES]],0)))</f>
        <v>-4886.204862108717</v>
      </c>
      <c r="Z8" s="271">
        <f ca="1">SUMIFS(SALIDAS!F:F,SALIDAS!U:U,"OPEX",SALIDAS!A:A,"&gt;="&amp;Tabla7[[#This Row],[MES]],SALIDAS!A:A,"&lt;="&amp;MIN(TODAY(),EOMONTH(Tabla7[[#This Row],[MES]],0)))</f>
        <v>-40818.99432010873</v>
      </c>
      <c r="AA8" s="275">
        <f ca="1">+Tabla7[[#This Row],[MARGEN BRUTO]]+SUM(Tabla7[[#This Row],[Sales &amp; Marketing]:[General &amp; Administrative]])</f>
        <v>3331.9656798913056</v>
      </c>
      <c r="AB8" s="276">
        <f ca="1">ABS(SUMIFS(SALIDAS!F:F,SALIDAS!U:U,"CAPEX",SALIDAS!A:A,"&gt;="&amp;Tabla7[[#This Row],[MES]],SALIDAS!A:A,"&lt;="&amp;MIN(TODAY(),EOMONTH(Tabla7[[#This Row],[MES]],0))))</f>
        <v>0</v>
      </c>
      <c r="AC8" s="81">
        <f ca="1">+Tabla7[[#This Row],[EBITDA]]-Tabla7[[#This Row],[TOTAL CAPEX]]</f>
        <v>3331.9656798913056</v>
      </c>
      <c r="AD8" s="81">
        <f ca="1">+Tabla7[[#This Row],[FCF]]+AD7</f>
        <v>-57884.761462519076</v>
      </c>
      <c r="AE8" s="79">
        <f ca="1">IFERROR(SUMIFS(SALIDAS!F:F,SALIDAS!U:U,"OPEX",SALIDAS!V:V,Tabla7[[#Headers],[Sales &amp; Marketing]],SALIDAS!A:A,"&gt;="&amp;Tabla7[[#This Row],[MES]],SALIDAS!A:A,"&lt;="&amp;MIN(TODAY(),EOMONTH(Tabla7[[#This Row],[MES]],0)))/_xlfn.XLOOKUP(Tabla7[[#This Row],[MES]],'COHORTES INGRESO'!A:A,'COHORTES INGRESO'!C:C),0)</f>
        <v>-1695.2209633999996</v>
      </c>
      <c r="AF8" s="271">
        <f ca="1">+IFERROR(Tabla7[[#This Row],[COR]]/Tabla711[[#This Row],[NUEVOS CLIENTES TOTAL]],0)</f>
        <v>-870.51199999999994</v>
      </c>
      <c r="AG8" s="274">
        <f ca="1">Tabla7[[#This Row],[INGRESO MES RECIBIDO NETO]]+SUMIFS(SALIDAS!F:F,SALIDAS!T:T,"Costo variable",SALIDAS!A:A,"&gt;="&amp;Tabla7[[#This Row],[MES]],SALIDAS!A:A,"&lt;="&amp;MIN(TODAY(),EOMONTH(Tabla7[[#This Row],[MES]],0)))</f>
        <v>38756.794591000013</v>
      </c>
      <c r="AH8" s="79">
        <f ca="1">+IFERROR(AVERAGEIFS(INGRESOS!J:J,INGRESOS!$A:$A,"&gt;="&amp;Tabla7[[#This Row],[MES]],INGRESOS!$A:$A,"&lt;="&amp;MIN(TODAY(),EOMONTH(Tabla7[[#This Row],[MES]],0))),0)</f>
        <v>1505.4905263157898</v>
      </c>
    </row>
    <row r="9" spans="1:34">
      <c r="A9" s="24">
        <v>45809</v>
      </c>
      <c r="B9" s="63">
        <f>+Tabla7[[#This Row],[INGRESO MES RECIBIDO]]+Tabla7[[#This Row],[INGRESO PROGRAMADO PEND.]]</f>
        <v>82513.993924271781</v>
      </c>
      <c r="C9" s="233">
        <f>IFERROR((Tabla7[[#This Row],[INGRESO TOTAL MES]]/B8)-1,"0")</f>
        <v>0.40672559803439223</v>
      </c>
      <c r="D9" s="63">
        <f>SUMIFS(INGRESOS!G:G,INGRESOS!A:A,"&gt;="&amp;EOMONTH(Tabla7[[#This Row],[MES]],-1)+1,INGRESOS!A:A,"&lt;="&amp;EOMONTH(Tabla7[[#This Row],[MES]],0))</f>
        <v>82513.993924271781</v>
      </c>
      <c r="E9" s="309">
        <f ca="1">COUNTIFS(INGRESOS!$A:$A,"&gt;="&amp;Tabla7[[#This Row],[MES]],INGRESOS!$A:$A,"&lt;="&amp;MIN(TODAY(),EOMONTH(Tabla7[[#This Row],[MES]],0)))</f>
        <v>62</v>
      </c>
      <c r="F9"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1</v>
      </c>
      <c r="G9" s="79">
        <f>SUMIFS('CALENDARIO INGRESOS'!I:I,'CALENDARIO INGRESOS'!G:G,"&gt;="&amp;EOMONTH(Tabla7[[#This Row],[MES]],-1)+1,'CALENDARIO INGRESOS'!G:G,"&lt;="&amp;EOMONTH(Tabla7[[#This Row],[MES]],0),'CALENDARIO INGRESOS'!L:L, "&lt;&gt;PAGADA",'CALENDARIO INGRESOS'!D:D,"&lt;&gt;ELIMINADO",'CALENDARIO INGRESOS'!D:D,"&lt;&gt;¡REGULARIZAR!")</f>
        <v>0</v>
      </c>
      <c r="H9"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9" s="341">
        <f ca="1">COUNTIFS('CALENDARIO INGRESOS'!$G:$G,"&gt;="&amp;EOMONTH(Tabla7[[#This Row],[MES]],-1)+1,'CALENDARIO INGRESOS'!$G:$G,"&lt;="&amp;EOMONTH(Tabla7[[#This Row],[MES]],0),'CALENDARIO INGRESOS'!$D:$D,"&lt;&gt;ELIMINADO",'CALENDARIO INGRESOS'!$D:$D,"&lt;&gt;¡REGULARIZAR!",'CALENDARIO INGRESOS'!$L:$L,"&lt;&gt;PAGADA",'CALENDARIO INGRESOS'!$G:$G,"&lt;="&amp;TODAY())</f>
        <v>0</v>
      </c>
      <c r="J9" s="63">
        <f ca="1">SUMIFS('CALENDARIO INGRESOS'!$I:$I,
                   'CALENDARIO INGRESOS'!$G:$G,"&gt;="&amp;EOMONTH(Tabla7[[#This Row],[MES]],-1)+1,
                   'CALENDARIO INGRESOS'!$G:$G,"&lt;="&amp;EOMONTH(Tabla7[[#This Row],[MES]],0),
                   'CALENDARIO INGRESOS'!$L:$L,"&lt;&gt;PAGADA",
                   'CALENDARIO INGRESOS'!$G:$G,"&gt;="&amp;TODAY(),'CALENDARIO INGRESOS'!$D:$D,"&lt;&gt;ELIMINADO",'CALENDARIO INGRESOS'!$D:$D,"&lt;&gt;¡REGULARIZAR!")</f>
        <v>0</v>
      </c>
      <c r="K9" s="346">
        <f ca="1">COUNTIFS('CALENDARIO INGRESOS'!$G:$G,"&gt;="&amp;EOMONTH(Tabla7[[#This Row],[MES]],-1)+1,'CALENDARIO INGRESOS'!$G:$G,"&lt;="&amp;EOMONTH(Tabla7[[#This Row],[MES]],0),'CALENDARIO INGRESOS'!$D:$D,"&lt;&gt;ELIMINADO",'CALENDARIO INGRESOS'!$D:$D,"&lt;&gt;¡REGULARIZAR!",'CALENDARIO INGRESOS'!$L:$L,"&lt;&gt;PAGADA",'CALENDARIO INGRESOS'!$G:$G,"&gt;="&amp;TODAY())</f>
        <v>0</v>
      </c>
      <c r="L9" s="63">
        <f>SUMIFS('CALENDARIO INGRESOS'!I:I,'CALENDARIO INGRESOS'!G:G,"&gt;="&amp;EOMONTH(Tabla7[[#This Row],[MES]],-1)+1,'CALENDARIO INGRESOS'!G:G,"&lt;="&amp;EOMONTH(Tabla7[[#This Row],[MES]],0),'CALENDARIO INGRESOS'!L:L, "&lt;&gt;PAGADA",'CALENDARIO INGRESOS'!D:D,"¡REGULARIZAR!")</f>
        <v>0</v>
      </c>
      <c r="M9" s="346">
        <f>COUNTIFS('CALENDARIO INGRESOS'!$G:$G,"&gt;="&amp;EOMONTH(Tabla7[[#This Row],[MES]],-1)+1,'CALENDARIO INGRESOS'!$G:$G,"&lt;="&amp;EOMONTH(Tabla7[[#This Row],[MES]],0),'CALENDARIO INGRESOS'!$D:$D,"¡REGULARIZAR!",'CALENDARIO INGRESOS'!$L:$L,"&lt;&gt;PAGADA")</f>
        <v>0</v>
      </c>
      <c r="N9" s="488">
        <f>SUMIFS('CALENDARIO INGRESOS'!I:I,'CALENDARIO INGRESOS'!G:G,"&gt;="&amp;EOMONTH(Tabla7[[#This Row],[MES]],-1)+1,'CALENDARIO INGRESOS'!G:G,"&lt;="&amp;EOMONTH(Tabla7[[#This Row],[MES]],0),'CALENDARIO INGRESOS'!L:L, "&lt;&gt;PAGADA",'CALENDARIO INGRESOS'!D:D,"ELIMINADO")</f>
        <v>0</v>
      </c>
      <c r="O9" s="184">
        <f>+IFERROR(Tabla7[[#This Row],[INCOBRABLE]]/Tabla7[[#This Row],[INGRESO TOTAL MES]],0)</f>
        <v>0</v>
      </c>
      <c r="P9" s="184">
        <f ca="1">IFERROR(AVERAGEIFS(INGRESOS!I:I,INGRESOS!A:A,"&gt;="&amp;Tabla7[[#This Row],[MES]],INGRESOS!A:A,"&lt;="&amp;MIN(TODAY(),EOMONTH(Tabla7[[#This Row],[MES]],0))),0)</f>
        <v>2.9664536578493345E-2</v>
      </c>
      <c r="Q9" s="283">
        <f ca="1">SUMIFS(INGRESOS!$J:$J,INGRESOS!$A:$A,"&gt;="&amp;Tabla7[[#This Row],[MES]],INGRESOS!$A:$A,"&lt;="&amp;MIN(TODAY(),EOMONTH(Tabla7[[#This Row],[MES]],0)))</f>
        <v>80492.023924271794</v>
      </c>
      <c r="R9" s="271">
        <f ca="1">SUMIFS(SALIDAS!F:F,SALIDAS!A:A,"&gt;="&amp;Tabla7[[#This Row],[MES]],SALIDAS!A:A,"&lt;="&amp;MIN(TODAY(),EOMONTH(Tabla7[[#This Row],[MES]],0)))</f>
        <v>-72761.410634638756</v>
      </c>
      <c r="S9" s="272">
        <f ca="1">SUMIFS(SALIDAS!F:F,SALIDAS!U:U,"COR",SALIDAS!A:A,"&gt;="&amp;Tabla7[[#This Row],[MES]],SALIDAS!A:A,"&lt;="&amp;MIN(TODAY(),EOMONTH(Tabla7[[#This Row],[MES]],0)))</f>
        <v>-10628.1</v>
      </c>
      <c r="T9" s="273">
        <f ca="1">Tabla7[[#This Row],[INGRESO MES RECIBIDO NETO]]+Tabla7[[#This Row],[COR]]+Tabla7[[#This Row],[Customer Success]]</f>
        <v>60872.408133063946</v>
      </c>
      <c r="U9" s="388">
        <f ca="1">+IFERROR(Tabla7[[#This Row],[MARGEN BRUTO]]/Tabla7[[#This Row],[INGRESO MES RECIBIDO NETO]],"null")</f>
        <v>0.75625391393231334</v>
      </c>
      <c r="V9" s="274">
        <f ca="1">SUMIFS(SALIDAS!F:F,SALIDAS!U:U,"OPEX",SALIDAS!V:V,Tabla7[[#Headers],[Sales &amp; Marketing]],SALIDAS!A:A,"&gt;="&amp;Tabla7[[#This Row],[MES]],SALIDAS!A:A,"&lt;="&amp;MIN(TODAY(),EOMONTH(Tabla7[[#This Row],[MES]],0)))</f>
        <v>-26327.407597493191</v>
      </c>
      <c r="W9" s="272">
        <f ca="1">SUMIFS(SALIDAS!F:F,SALIDAS!U:U,"OPEX",SALIDAS!V:V,Tabla7[[#Headers],[Research &amp; Development]],SALIDAS!A:A,"&gt;="&amp;Tabla7[[#This Row],[MES]],SALIDAS!A:A,"&lt;="&amp;MIN(TODAY(),EOMONTH(Tabla7[[#This Row],[MES]],0)))</f>
        <v>-692.29527703112808</v>
      </c>
      <c r="X9" s="272">
        <f ca="1">SUMIFS(SALIDAS!F:F,SALIDAS!U:U,"OPEX",SALIDAS!V:V,Tabla7[[#Headers],[General &amp; Administrative]],SALIDAS!A:A,"&gt;="&amp;Tabla7[[#This Row],[MES]],SALIDAS!A:A,"&lt;="&amp;MIN(TODAY(),EOMONTH(Tabla7[[#This Row],[MES]],0)))</f>
        <v>-23596.091968906618</v>
      </c>
      <c r="Y9" s="272">
        <f ca="1">SUMIFS(SALIDAS!F:F,SALIDAS!U:U,"OPEX",SALIDAS!V:V,Tabla7[[#Headers],[Customer Success]],SALIDAS!A:A,"&gt;="&amp;Tabla7[[#This Row],[MES]],SALIDAS!A:A,"&lt;="&amp;MIN(TODAY(),EOMONTH(Tabla7[[#This Row],[MES]],0)))</f>
        <v>-8991.5157912078394</v>
      </c>
      <c r="Z9" s="271">
        <f ca="1">SUMIFS(SALIDAS!F:F,SALIDAS!U:U,"OPEX",SALIDAS!A:A,"&gt;="&amp;Tabla7[[#This Row],[MES]],SALIDAS!A:A,"&lt;="&amp;MIN(TODAY(),EOMONTH(Tabla7[[#This Row],[MES]],0)))</f>
        <v>-59607.310634638779</v>
      </c>
      <c r="AA9" s="275">
        <f ca="1">+Tabla7[[#This Row],[MARGEN BRUTO]]+SUM(Tabla7[[#This Row],[Sales &amp; Marketing]:[General &amp; Administrative]])</f>
        <v>10256.613289633009</v>
      </c>
      <c r="AB9" s="276">
        <f ca="1">ABS(SUMIFS(SALIDAS!F:F,SALIDAS!U:U,"CAPEX",SALIDAS!A:A,"&gt;="&amp;Tabla7[[#This Row],[MES]],SALIDAS!A:A,"&lt;="&amp;MIN(TODAY(),EOMONTH(Tabla7[[#This Row],[MES]],0))))</f>
        <v>2526</v>
      </c>
      <c r="AC9" s="81">
        <f ca="1">+Tabla7[[#This Row],[EBITDA]]-Tabla7[[#This Row],[TOTAL CAPEX]]</f>
        <v>7730.6132896330091</v>
      </c>
      <c r="AD9" s="81">
        <f ca="1">+Tabla7[[#This Row],[FCF]]+AD8</f>
        <v>-50154.148172886067</v>
      </c>
      <c r="AE9" s="79">
        <f ca="1">IFERROR(SUMIFS(SALIDAS!F:F,SALIDAS!U:U,"OPEX",SALIDAS!V:V,Tabla7[[#Headers],[Sales &amp; Marketing]],SALIDAS!A:A,"&gt;="&amp;Tabla7[[#This Row],[MES]],SALIDAS!A:A,"&lt;="&amp;MIN(TODAY(),EOMONTH(Tabla7[[#This Row],[MES]],0)))/_xlfn.XLOOKUP(Tabla7[[#This Row],[MES]],'COHORTES INGRESO'!A:A,'COHORTES INGRESO'!C:C),0)</f>
        <v>-1385.6530314470101</v>
      </c>
      <c r="AF9" s="271">
        <f ca="1">+IFERROR(Tabla7[[#This Row],[COR]]/Tabla711[[#This Row],[NUEVOS CLIENTES TOTAL]],0)</f>
        <v>-559.37368421052633</v>
      </c>
      <c r="AG9" s="274">
        <f ca="1">Tabla7[[#This Row],[INGRESO MES RECIBIDO NETO]]+SUMIFS(SALIDAS!F:F,SALIDAS!T:T,"Costo variable",SALIDAS!A:A,"&gt;="&amp;Tabla7[[#This Row],[MES]],SALIDAS!A:A,"&lt;="&amp;MIN(TODAY(),EOMONTH(Tabla7[[#This Row],[MES]],0)))</f>
        <v>54573.057631271789</v>
      </c>
      <c r="AH9" s="79">
        <f ca="1">+IFERROR(AVERAGEIFS(INGRESOS!J:J,INGRESOS!$A:$A,"&gt;="&amp;Tabla7[[#This Row],[MES]],INGRESOS!$A:$A,"&lt;="&amp;MIN(TODAY(),EOMONTH(Tabla7[[#This Row],[MES]],0))),0)</f>
        <v>1298.2584503914807</v>
      </c>
    </row>
    <row r="10" spans="1:34">
      <c r="A10" s="58">
        <v>45839</v>
      </c>
      <c r="B10" s="63">
        <f>+Tabla7[[#This Row],[INGRESO MES RECIBIDO]]+Tabla7[[#This Row],[INGRESO PROGRAMADO PEND.]]</f>
        <v>140366.47983975877</v>
      </c>
      <c r="C10" s="233">
        <f>IFERROR((Tabla7[[#This Row],[INGRESO TOTAL MES]]/B9)-1,"0")</f>
        <v>0.7011233266514989</v>
      </c>
      <c r="D10" s="63">
        <f>SUMIFS(INGRESOS!G:G,INGRESOS!A:A,"&gt;="&amp;EOMONTH(Tabla7[[#This Row],[MES]],-1)+1,INGRESOS!A:A,"&lt;="&amp;EOMONTH(Tabla7[[#This Row],[MES]],0))</f>
        <v>140366.47983975877</v>
      </c>
      <c r="E10" s="309">
        <f ca="1">COUNTIFS(INGRESOS!$A:$A,"&gt;="&amp;Tabla7[[#This Row],[MES]],INGRESOS!$A:$A,"&lt;="&amp;MIN(TODAY(),EOMONTH(Tabla7[[#This Row],[MES]],0)))</f>
        <v>104</v>
      </c>
      <c r="F10"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1</v>
      </c>
      <c r="G10" s="79">
        <f>SUMIFS('CALENDARIO INGRESOS'!I:I,'CALENDARIO INGRESOS'!G:G,"&gt;="&amp;EOMONTH(Tabla7[[#This Row],[MES]],-1)+1,'CALENDARIO INGRESOS'!G:G,"&lt;="&amp;EOMONTH(Tabla7[[#This Row],[MES]],0),'CALENDARIO INGRESOS'!L:L, "&lt;&gt;PAGADA",'CALENDARIO INGRESOS'!D:D,"&lt;&gt;ELIMINADO",'CALENDARIO INGRESOS'!D:D,"&lt;&gt;¡REGULARIZAR!")</f>
        <v>0</v>
      </c>
      <c r="H10"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10" s="341">
        <f ca="1">COUNTIFS('CALENDARIO INGRESOS'!$G:$G,"&gt;="&amp;EOMONTH(Tabla7[[#This Row],[MES]],-1)+1,'CALENDARIO INGRESOS'!$G:$G,"&lt;="&amp;EOMONTH(Tabla7[[#This Row],[MES]],0),'CALENDARIO INGRESOS'!$D:$D,"&lt;&gt;ELIMINADO",'CALENDARIO INGRESOS'!$D:$D,"&lt;&gt;¡REGULARIZAR!",'CALENDARIO INGRESOS'!$L:$L,"&lt;&gt;PAGADA",'CALENDARIO INGRESOS'!$G:$G,"&lt;="&amp;TODAY())</f>
        <v>0</v>
      </c>
      <c r="J10" s="63">
        <f ca="1">SUMIFS('CALENDARIO INGRESOS'!$I:$I,
                   'CALENDARIO INGRESOS'!$G:$G,"&gt;="&amp;EOMONTH(Tabla7[[#This Row],[MES]],-1)+1,
                   'CALENDARIO INGRESOS'!$G:$G,"&lt;="&amp;EOMONTH(Tabla7[[#This Row],[MES]],0),
                   'CALENDARIO INGRESOS'!$L:$L,"&lt;&gt;PAGADA",
                   'CALENDARIO INGRESOS'!$G:$G,"&gt;="&amp;TODAY(),'CALENDARIO INGRESOS'!$D:$D,"&lt;&gt;ELIMINADO",'CALENDARIO INGRESOS'!$D:$D,"&lt;&gt;¡REGULARIZAR!")</f>
        <v>0</v>
      </c>
      <c r="K10" s="346">
        <f ca="1">COUNTIFS('CALENDARIO INGRESOS'!$G:$G,"&gt;="&amp;EOMONTH(Tabla7[[#This Row],[MES]],-1)+1,'CALENDARIO INGRESOS'!$G:$G,"&lt;="&amp;EOMONTH(Tabla7[[#This Row],[MES]],0),'CALENDARIO INGRESOS'!$D:$D,"&lt;&gt;ELIMINADO",'CALENDARIO INGRESOS'!$D:$D,"&lt;&gt;¡REGULARIZAR!",'CALENDARIO INGRESOS'!$L:$L,"&lt;&gt;PAGADA",'CALENDARIO INGRESOS'!$G:$G,"&gt;="&amp;TODAY())</f>
        <v>0</v>
      </c>
      <c r="L10" s="63">
        <f>SUMIFS('CALENDARIO INGRESOS'!I:I,'CALENDARIO INGRESOS'!G:G,"&gt;="&amp;EOMONTH(Tabla7[[#This Row],[MES]],-1)+1,'CALENDARIO INGRESOS'!G:G,"&lt;="&amp;EOMONTH(Tabla7[[#This Row],[MES]],0),'CALENDARIO INGRESOS'!L:L, "&lt;&gt;PAGADA",'CALENDARIO INGRESOS'!D:D,"¡REGULARIZAR!")</f>
        <v>0</v>
      </c>
      <c r="M10" s="346">
        <f>COUNTIFS('CALENDARIO INGRESOS'!$G:$G,"&gt;="&amp;EOMONTH(Tabla7[[#This Row],[MES]],-1)+1,'CALENDARIO INGRESOS'!$G:$G,"&lt;="&amp;EOMONTH(Tabla7[[#This Row],[MES]],0),'CALENDARIO INGRESOS'!$D:$D,"¡REGULARIZAR!",'CALENDARIO INGRESOS'!$L:$L,"&lt;&gt;PAGADA")</f>
        <v>0</v>
      </c>
      <c r="N10" s="488">
        <f>SUMIFS('CALENDARIO INGRESOS'!I:I,'CALENDARIO INGRESOS'!G:G,"&gt;="&amp;EOMONTH(Tabla7[[#This Row],[MES]],-1)+1,'CALENDARIO INGRESOS'!G:G,"&lt;="&amp;EOMONTH(Tabla7[[#This Row],[MES]],0),'CALENDARIO INGRESOS'!L:L, "&lt;&gt;PAGADA",'CALENDARIO INGRESOS'!D:D,"ELIMINADO")</f>
        <v>0</v>
      </c>
      <c r="O10" s="184">
        <f>+IFERROR(Tabla7[[#This Row],[INCOBRABLE]]/Tabla7[[#This Row],[INGRESO TOTAL MES]],0)</f>
        <v>0</v>
      </c>
      <c r="P10" s="184">
        <f ca="1">IFERROR(AVERAGEIFS(INGRESOS!I:I,INGRESOS!A:A,"&gt;="&amp;Tabla7[[#This Row],[MES]],INGRESOS!A:A,"&lt;="&amp;MIN(TODAY(),EOMONTH(Tabla7[[#This Row],[MES]],0))),0)</f>
        <v>2.927671556391255E-2</v>
      </c>
      <c r="Q10" s="283">
        <f ca="1">SUMIFS(INGRESOS!$J:$J,INGRESOS!$A:$A,"&gt;="&amp;Tabla7[[#This Row],[MES]],INGRESOS!$A:$A,"&lt;="&amp;MIN(TODAY(),EOMONTH(Tabla7[[#This Row],[MES]],0)))</f>
        <v>137497.24065346323</v>
      </c>
      <c r="R10" s="271">
        <f ca="1">SUMIFS(SALIDAS!F:F,SALIDAS!A:A,"&gt;="&amp;Tabla7[[#This Row],[MES]],SALIDAS!A:A,"&lt;="&amp;MIN(TODAY(),EOMONTH(Tabla7[[#This Row],[MES]],0)))</f>
        <v>-83185.215570211556</v>
      </c>
      <c r="S10" s="272">
        <f ca="1">SUMIFS(SALIDAS!F:F,SALIDAS!U:U,"COR",SALIDAS!A:A,"&gt;="&amp;Tabla7[[#This Row],[MES]],SALIDAS!A:A,"&lt;="&amp;MIN(TODAY(),EOMONTH(Tabla7[[#This Row],[MES]],0)))</f>
        <v>-20202.63</v>
      </c>
      <c r="T10" s="273">
        <f ca="1">Tabla7[[#This Row],[INGRESO MES RECIBIDO NETO]]+Tabla7[[#This Row],[COR]]+Tabla7[[#This Row],[Customer Success]]</f>
        <v>103125.76375852323</v>
      </c>
      <c r="U10" s="388">
        <f ca="1">+IFERROR(Tabla7[[#This Row],[MARGEN BRUTO]]/Tabla7[[#This Row],[INGRESO MES RECIBIDO NETO]],"null")</f>
        <v>0.7500206060020721</v>
      </c>
      <c r="V10" s="274">
        <f ca="1">SUMIFS(SALIDAS!F:F,SALIDAS!U:U,"OPEX",SALIDAS!V:V,Tabla7[[#Headers],[Sales &amp; Marketing]],SALIDAS!A:A,"&gt;="&amp;Tabla7[[#This Row],[MES]],SALIDAS!A:A,"&lt;="&amp;MIN(TODAY(),EOMONTH(Tabla7[[#This Row],[MES]],0)))</f>
        <v>-26070.909174</v>
      </c>
      <c r="W10" s="272">
        <f ca="1">SUMIFS(SALIDAS!F:F,SALIDAS!U:U,"OPEX",SALIDAS!V:V,Tabla7[[#Headers],[Research &amp; Development]],SALIDAS!A:A,"&gt;="&amp;Tabla7[[#This Row],[MES]],SALIDAS!A:A,"&lt;="&amp;MIN(TODAY(),EOMONTH(Tabla7[[#This Row],[MES]],0)))</f>
        <v>-780.54524900000001</v>
      </c>
      <c r="X10" s="272">
        <f ca="1">SUMIFS(SALIDAS!F:F,SALIDAS!U:U,"OPEX",SALIDAS!V:V,Tabla7[[#Headers],[General &amp; Administrative]],SALIDAS!A:A,"&gt;="&amp;Tabla7[[#This Row],[MES]],SALIDAS!A:A,"&lt;="&amp;MIN(TODAY(),EOMONTH(Tabla7[[#This Row],[MES]],0)))</f>
        <v>-21404.284252271533</v>
      </c>
      <c r="Y10" s="272">
        <f ca="1">SUMIFS(SALIDAS!F:F,SALIDAS!U:U,"OPEX",SALIDAS!V:V,Tabla7[[#Headers],[Customer Success]],SALIDAS!A:A,"&gt;="&amp;Tabla7[[#This Row],[MES]],SALIDAS!A:A,"&lt;="&amp;MIN(TODAY(),EOMONTH(Tabla7[[#This Row],[MES]],0)))</f>
        <v>-14168.846894940001</v>
      </c>
      <c r="Z10" s="271">
        <f ca="1">SUMIFS(SALIDAS!F:F,SALIDAS!U:U,"OPEX",SALIDAS!A:A,"&gt;="&amp;Tabla7[[#This Row],[MES]],SALIDAS!A:A,"&lt;="&amp;MIN(TODAY(),EOMONTH(Tabla7[[#This Row],[MES]],0)))</f>
        <v>-62424.58557021153</v>
      </c>
      <c r="AA10" s="275">
        <f ca="1">+Tabla7[[#This Row],[MARGEN BRUTO]]+SUM(Tabla7[[#This Row],[Sales &amp; Marketing]:[General &amp; Administrative]])</f>
        <v>54870.025083251698</v>
      </c>
      <c r="AB10" s="276">
        <f ca="1">ABS(SUMIFS(SALIDAS!F:F,SALIDAS!U:U,"CAPEX",SALIDAS!A:A,"&gt;="&amp;Tabla7[[#This Row],[MES]],SALIDAS!A:A,"&lt;="&amp;MIN(TODAY(),EOMONTH(Tabla7[[#This Row],[MES]],0))))</f>
        <v>558</v>
      </c>
      <c r="AC10" s="81">
        <f ca="1">+Tabla7[[#This Row],[EBITDA]]-Tabla7[[#This Row],[TOTAL CAPEX]]</f>
        <v>54312.025083251698</v>
      </c>
      <c r="AD10" s="81">
        <f ca="1">+Tabla7[[#This Row],[FCF]]+AD9</f>
        <v>4157.8769103656305</v>
      </c>
      <c r="AE10" s="79">
        <f ca="1">IFERROR(SUMIFS(SALIDAS!F:F,SALIDAS!U:U,"OPEX",SALIDAS!V:V,Tabla7[[#Headers],[Sales &amp; Marketing]],SALIDAS!A:A,"&gt;="&amp;Tabla7[[#This Row],[MES]],SALIDAS!A:A,"&lt;="&amp;MIN(TODAY(),EOMONTH(Tabla7[[#This Row],[MES]],0)))/_xlfn.XLOOKUP(Tabla7[[#This Row],[MES]],'COHORTES INGRESO'!A:A,'COHORTES INGRESO'!C:C),0)</f>
        <v>-840.99707012903229</v>
      </c>
      <c r="AF10" s="271">
        <f ca="1">+IFERROR(Tabla7[[#This Row],[COR]]/Tabla711[[#This Row],[NUEVOS CLIENTES TOTAL]],0)</f>
        <v>-651.69774193548392</v>
      </c>
      <c r="AG10" s="274">
        <f ca="1">Tabla7[[#This Row],[INGRESO MES RECIBIDO NETO]]+SUMIFS(SALIDAS!F:F,SALIDAS!T:T,"Costo variable",SALIDAS!A:A,"&gt;="&amp;Tabla7[[#This Row],[MES]],SALIDAS!A:A,"&lt;="&amp;MIN(TODAY(),EOMONTH(Tabla7[[#This Row],[MES]],0)))</f>
        <v>101544.65046846324</v>
      </c>
      <c r="AH10" s="79">
        <f ca="1">+IFERROR(AVERAGEIFS(INGRESOS!J:J,INGRESOS!$A:$A,"&gt;="&amp;Tabla7[[#This Row],[MES]],INGRESOS!$A:$A,"&lt;="&amp;MIN(TODAY(),EOMONTH(Tabla7[[#This Row],[MES]],0))),0)</f>
        <v>1322.0888524371464</v>
      </c>
    </row>
    <row r="11" spans="1:34">
      <c r="A11" s="24">
        <v>45870</v>
      </c>
      <c r="B11" s="63">
        <f>+Tabla7[[#This Row],[INGRESO MES RECIBIDO]]+Tabla7[[#This Row],[INGRESO PROGRAMADO PEND.]]</f>
        <v>144078.62338175951</v>
      </c>
      <c r="C11" s="233">
        <f>IFERROR((Tabla7[[#This Row],[INGRESO TOTAL MES]]/B10)-1,"0")</f>
        <v>2.644608275592919E-2</v>
      </c>
      <c r="D11" s="63">
        <f>SUMIFS(INGRESOS!G:G,INGRESOS!A:A,"&gt;="&amp;EOMONTH(Tabla7[[#This Row],[MES]],-1)+1,INGRESOS!A:A,"&lt;="&amp;EOMONTH(Tabla7[[#This Row],[MES]],0))</f>
        <v>144078.62338175951</v>
      </c>
      <c r="E11" s="309">
        <f ca="1">COUNTIFS(INGRESOS!$A:$A,"&gt;="&amp;Tabla7[[#This Row],[MES]],INGRESOS!$A:$A,"&lt;="&amp;MIN(TODAY(),EOMONTH(Tabla7[[#This Row],[MES]],0)))</f>
        <v>115</v>
      </c>
      <c r="F11"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1</v>
      </c>
      <c r="G11" s="79">
        <f>SUMIFS('CALENDARIO INGRESOS'!I:I,'CALENDARIO INGRESOS'!G:G,"&gt;="&amp;EOMONTH(Tabla7[[#This Row],[MES]],-1)+1,'CALENDARIO INGRESOS'!G:G,"&lt;="&amp;EOMONTH(Tabla7[[#This Row],[MES]],0),'CALENDARIO INGRESOS'!L:L, "&lt;&gt;PAGADA",'CALENDARIO INGRESOS'!D:D,"&lt;&gt;ELIMINADO",'CALENDARIO INGRESOS'!D:D,"&lt;&gt;¡REGULARIZAR!")</f>
        <v>0</v>
      </c>
      <c r="H11"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11" s="341">
        <f ca="1">COUNTIFS('CALENDARIO INGRESOS'!$G:$G,"&gt;="&amp;EOMONTH(Tabla7[[#This Row],[MES]],-1)+1,'CALENDARIO INGRESOS'!$G:$G,"&lt;="&amp;EOMONTH(Tabla7[[#This Row],[MES]],0),'CALENDARIO INGRESOS'!$D:$D,"&lt;&gt;ELIMINADO",'CALENDARIO INGRESOS'!$D:$D,"&lt;&gt;¡REGULARIZAR!",'CALENDARIO INGRESOS'!$L:$L,"&lt;&gt;PAGADA",'CALENDARIO INGRESOS'!$G:$G,"&lt;="&amp;TODAY())</f>
        <v>0</v>
      </c>
      <c r="J11" s="63">
        <f ca="1">SUMIFS('CALENDARIO INGRESOS'!$I:$I,
                   'CALENDARIO INGRESOS'!$G:$G,"&gt;="&amp;EOMONTH(Tabla7[[#This Row],[MES]],-1)+1,
                   'CALENDARIO INGRESOS'!$G:$G,"&lt;="&amp;EOMONTH(Tabla7[[#This Row],[MES]],0),
                   'CALENDARIO INGRESOS'!$L:$L,"&lt;&gt;PAGADA",
                   'CALENDARIO INGRESOS'!$G:$G,"&gt;="&amp;TODAY(),'CALENDARIO INGRESOS'!$D:$D,"&lt;&gt;ELIMINADO",'CALENDARIO INGRESOS'!$D:$D,"&lt;&gt;¡REGULARIZAR!")</f>
        <v>0</v>
      </c>
      <c r="K11" s="346">
        <f ca="1">COUNTIFS('CALENDARIO INGRESOS'!$G:$G,"&gt;="&amp;EOMONTH(Tabla7[[#This Row],[MES]],-1)+1,'CALENDARIO INGRESOS'!$G:$G,"&lt;="&amp;EOMONTH(Tabla7[[#This Row],[MES]],0),'CALENDARIO INGRESOS'!$D:$D,"&lt;&gt;ELIMINADO",'CALENDARIO INGRESOS'!$D:$D,"&lt;&gt;¡REGULARIZAR!",'CALENDARIO INGRESOS'!$L:$L,"&lt;&gt;PAGADA",'CALENDARIO INGRESOS'!$G:$G,"&gt;="&amp;TODAY())</f>
        <v>0</v>
      </c>
      <c r="L11" s="63">
        <f>SUMIFS('CALENDARIO INGRESOS'!I:I,'CALENDARIO INGRESOS'!G:G,"&gt;="&amp;EOMONTH(Tabla7[[#This Row],[MES]],-1)+1,'CALENDARIO INGRESOS'!G:G,"&lt;="&amp;EOMONTH(Tabla7[[#This Row],[MES]],0),'CALENDARIO INGRESOS'!L:L, "&lt;&gt;PAGADA",'CALENDARIO INGRESOS'!D:D,"¡REGULARIZAR!")</f>
        <v>0</v>
      </c>
      <c r="M11" s="346">
        <f>COUNTIFS('CALENDARIO INGRESOS'!$G:$G,"&gt;="&amp;EOMONTH(Tabla7[[#This Row],[MES]],-1)+1,'CALENDARIO INGRESOS'!$G:$G,"&lt;="&amp;EOMONTH(Tabla7[[#This Row],[MES]],0),'CALENDARIO INGRESOS'!$D:$D,"¡REGULARIZAR!",'CALENDARIO INGRESOS'!$L:$L,"&lt;&gt;PAGADA")</f>
        <v>0</v>
      </c>
      <c r="N11" s="488">
        <f>SUMIFS('CALENDARIO INGRESOS'!I:I,'CALENDARIO INGRESOS'!G:G,"&gt;="&amp;EOMONTH(Tabla7[[#This Row],[MES]],-1)+1,'CALENDARIO INGRESOS'!G:G,"&lt;="&amp;EOMONTH(Tabla7[[#This Row],[MES]],0),'CALENDARIO INGRESOS'!L:L, "&lt;&gt;PAGADA",'CALENDARIO INGRESOS'!D:D,"ELIMINADO")</f>
        <v>0</v>
      </c>
      <c r="O11" s="184">
        <f>+IFERROR(Tabla7[[#This Row],[INCOBRABLE]]/Tabla7[[#This Row],[INGRESO TOTAL MES]],0)</f>
        <v>0</v>
      </c>
      <c r="P11" s="184">
        <f ca="1">IFERROR(AVERAGEIFS(INGRESOS!I:I,INGRESOS!A:A,"&gt;="&amp;Tabla7[[#This Row],[MES]],INGRESOS!A:A,"&lt;="&amp;MIN(TODAY(),EOMONTH(Tabla7[[#This Row],[MES]],0))),0)</f>
        <v>2.9587995483032953E-2</v>
      </c>
      <c r="Q11" s="283">
        <f ca="1">SUMIFS(INGRESOS!$J:$J,INGRESOS!$A:$A,"&gt;="&amp;Tabla7[[#This Row],[MES]],INGRESOS!$A:$A,"&lt;="&amp;MIN(TODAY(),EOMONTH(Tabla7[[#This Row],[MES]],0)))</f>
        <v>140640.19887532166</v>
      </c>
      <c r="R11" s="271">
        <f ca="1">SUMIFS(SALIDAS!F:F,SALIDAS!A:A,"&gt;="&amp;Tabla7[[#This Row],[MES]],SALIDAS!A:A,"&lt;="&amp;MIN(TODAY(),EOMONTH(Tabla7[[#This Row],[MES]],0)))</f>
        <v>-132451.53701694592</v>
      </c>
      <c r="S11" s="272">
        <f ca="1">SUMIFS(SALIDAS!F:F,SALIDAS!U:U,"COR",SALIDAS!A:A,"&gt;="&amp;Tabla7[[#This Row],[MES]],SALIDAS!A:A,"&lt;="&amp;MIN(TODAY(),EOMONTH(Tabla7[[#This Row],[MES]],0)))</f>
        <v>-17308.692618025751</v>
      </c>
      <c r="T11" s="273">
        <f ca="1">Tabla7[[#This Row],[INGRESO MES RECIBIDO NETO]]+Tabla7[[#This Row],[COR]]+Tabla7[[#This Row],[Customer Success]]</f>
        <v>109641.43432596543</v>
      </c>
      <c r="U11" s="388">
        <f ca="1">+IFERROR(Tabla7[[#This Row],[MARGEN BRUTO]]/Tabla7[[#This Row],[INGRESO MES RECIBIDO NETO]],"null")</f>
        <v>0.77958816329009306</v>
      </c>
      <c r="V11" s="274">
        <f ca="1">SUMIFS(SALIDAS!F:F,SALIDAS!U:U,"OPEX",SALIDAS!V:V,Tabla7[[#Headers],[Sales &amp; Marketing]],SALIDAS!A:A,"&gt;="&amp;Tabla7[[#This Row],[MES]],SALIDAS!A:A,"&lt;="&amp;MIN(TODAY(),EOMONTH(Tabla7[[#This Row],[MES]],0)))</f>
        <v>-39322.192432422285</v>
      </c>
      <c r="W11" s="272">
        <f ca="1">SUMIFS(SALIDAS!F:F,SALIDAS!U:U,"OPEX",SALIDAS!V:V,Tabla7[[#Headers],[Research &amp; Development]],SALIDAS!A:A,"&gt;="&amp;Tabla7[[#This Row],[MES]],SALIDAS!A:A,"&lt;="&amp;MIN(TODAY(),EOMONTH(Tabla7[[#This Row],[MES]],0)))</f>
        <v>-896.42866952789711</v>
      </c>
      <c r="X11" s="272">
        <f ca="1">SUMIFS(SALIDAS!F:F,SALIDAS!U:U,"OPEX",SALIDAS!V:V,Tabla7[[#Headers],[General &amp; Administrative]],SALIDAS!A:A,"&gt;="&amp;Tabla7[[#This Row],[MES]],SALIDAS!A:A,"&lt;="&amp;MIN(TODAY(),EOMONTH(Tabla7[[#This Row],[MES]],0)))</f>
        <v>-53150.381365639485</v>
      </c>
      <c r="Y11" s="272">
        <f ca="1">SUMIFS(SALIDAS!F:F,SALIDAS!U:U,"OPEX",SALIDAS!V:V,Tabla7[[#Headers],[Customer Success]],SALIDAS!A:A,"&gt;="&amp;Tabla7[[#This Row],[MES]],SALIDAS!A:A,"&lt;="&amp;MIN(TODAY(),EOMONTH(Tabla7[[#This Row],[MES]],0)))</f>
        <v>-13690.071931330471</v>
      </c>
      <c r="Z11" s="271">
        <f ca="1">SUMIFS(SALIDAS!F:F,SALIDAS!U:U,"OPEX",SALIDAS!A:A,"&gt;="&amp;Tabla7[[#This Row],[MES]],SALIDAS!A:A,"&lt;="&amp;MIN(TODAY(),EOMONTH(Tabla7[[#This Row],[MES]],0)))</f>
        <v>-107059.07439892011</v>
      </c>
      <c r="AA11" s="275">
        <f ca="1">+Tabla7[[#This Row],[MARGEN BRUTO]]+SUM(Tabla7[[#This Row],[Sales &amp; Marketing]:[General &amp; Administrative]])</f>
        <v>16272.431858375756</v>
      </c>
      <c r="AB11" s="276">
        <f ca="1">ABS(SUMIFS(SALIDAS!F:F,SALIDAS!U:U,"CAPEX",SALIDAS!A:A,"&gt;="&amp;Tabla7[[#This Row],[MES]],SALIDAS!A:A,"&lt;="&amp;MIN(TODAY(),EOMONTH(Tabla7[[#This Row],[MES]],0))))</f>
        <v>8083.77</v>
      </c>
      <c r="AC11" s="81">
        <f ca="1">+Tabla7[[#This Row],[EBITDA]]-Tabla7[[#This Row],[TOTAL CAPEX]]</f>
        <v>8188.6618583757554</v>
      </c>
      <c r="AD11" s="81">
        <f ca="1">+Tabla7[[#This Row],[FCF]]+AD10</f>
        <v>12346.538768741386</v>
      </c>
      <c r="AE11" s="79">
        <f ca="1">IFERROR(SUMIFS(SALIDAS!F:F,SALIDAS!U:U,"OPEX",SALIDAS!V:V,Tabla7[[#Headers],[Sales &amp; Marketing]],SALIDAS!A:A,"&gt;="&amp;Tabla7[[#This Row],[MES]],SALIDAS!A:A,"&lt;="&amp;MIN(TODAY(),EOMONTH(Tabla7[[#This Row],[MES]],0)))/_xlfn.XLOOKUP(Tabla7[[#This Row],[MES]],'COHORTES INGRESO'!A:A,'COHORTES INGRESO'!C:C),0)</f>
        <v>-1512.3920166316263</v>
      </c>
      <c r="AF11" s="271">
        <f ca="1">+IFERROR(Tabla7[[#This Row],[COR]]/Tabla711[[#This Row],[NUEVOS CLIENTES TOTAL]],0)</f>
        <v>-665.71894684714425</v>
      </c>
      <c r="AG11" s="274">
        <f ca="1">Tabla7[[#This Row],[INGRESO MES RECIBIDO NETO]]+SUMIFS(SALIDAS!F:F,SALIDAS!T:T,"Costo variable",SALIDAS!A:A,"&gt;="&amp;Tabla7[[#This Row],[MES]],SALIDAS!A:A,"&lt;="&amp;MIN(TODAY(),EOMONTH(Tabla7[[#This Row],[MES]],0)))</f>
        <v>99246.281198491663</v>
      </c>
      <c r="AH11" s="79">
        <f ca="1">+IFERROR(AVERAGEIFS(INGRESOS!J:J,INGRESOS!$A:$A,"&gt;="&amp;Tabla7[[#This Row],[MES]],INGRESOS!$A:$A,"&lt;="&amp;MIN(TODAY(),EOMONTH(Tabla7[[#This Row],[MES]],0))),0)</f>
        <v>1222.9582510897535</v>
      </c>
    </row>
    <row r="12" spans="1:34">
      <c r="A12" s="58">
        <v>45901</v>
      </c>
      <c r="B12" s="63">
        <f>+Tabla7[[#This Row],[INGRESO MES RECIBIDO]]+Tabla7[[#This Row],[INGRESO PROGRAMADO PEND.]]</f>
        <v>128044.85409296014</v>
      </c>
      <c r="C12" s="233">
        <f>IFERROR((Tabla7[[#This Row],[INGRESO TOTAL MES]]/B11)-1,"0")</f>
        <v>-0.11128485900587282</v>
      </c>
      <c r="D12" s="63">
        <f>SUMIFS(INGRESOS!G:G,INGRESOS!A:A,"&gt;="&amp;EOMONTH(Tabla7[[#This Row],[MES]],-1)+1,INGRESOS!A:A,"&lt;="&amp;EOMONTH(Tabla7[[#This Row],[MES]],0))</f>
        <v>127544.85409296014</v>
      </c>
      <c r="E12" s="309">
        <f ca="1">COUNTIFS(INGRESOS!$A:$A,"&gt;="&amp;Tabla7[[#This Row],[MES]],INGRESOS!$A:$A,"&lt;="&amp;MIN(TODAY(),EOMONTH(Tabla7[[#This Row],[MES]],0)))</f>
        <v>113</v>
      </c>
      <c r="F12"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0.99607344387635899</v>
      </c>
      <c r="G12" s="79">
        <f>SUMIFS('CALENDARIO INGRESOS'!I:I,'CALENDARIO INGRESOS'!G:G,"&gt;="&amp;EOMONTH(Tabla7[[#This Row],[MES]],-1)+1,'CALENDARIO INGRESOS'!G:G,"&lt;="&amp;EOMONTH(Tabla7[[#This Row],[MES]],0),'CALENDARIO INGRESOS'!L:L, "&lt;&gt;PAGADA",'CALENDARIO INGRESOS'!D:D,"&lt;&gt;ELIMINADO",'CALENDARIO INGRESOS'!D:D,"&lt;&gt;¡REGULARIZAR!")</f>
        <v>500</v>
      </c>
      <c r="H12" s="63">
        <f ca="1">SUMIFS('CALENDARIO INGRESOS'!$I:$I,
                   'CALENDARIO INGRESOS'!$G:$G,"&gt;="&amp;EOMONTH(Tabla7[[#This Row],[MES]],-1)+1,
                   'CALENDARIO INGRESOS'!$G:$G,"&lt;="&amp;EOMONTH(Tabla7[[#This Row],[MES]],0),
                   'CALENDARIO INGRESOS'!$L:$L,"&lt;&gt;PAGADA",
                   'CALENDARIO INGRESOS'!$G:$G,"&lt;="&amp;TODAY(),'CALENDARIO INGRESOS'!D:D,"&lt;&gt;¡REGULARIZAR!",'CALENDARIO INGRESOS'!D:D,"&lt;&gt;ELIMINADO")</f>
        <v>500</v>
      </c>
      <c r="I12" s="341">
        <f ca="1">COUNTIFS('CALENDARIO INGRESOS'!$G:$G,"&gt;="&amp;EOMONTH(Tabla7[[#This Row],[MES]],-1)+1,'CALENDARIO INGRESOS'!$G:$G,"&lt;="&amp;EOMONTH(Tabla7[[#This Row],[MES]],0),'CALENDARIO INGRESOS'!$D:$D,"&lt;&gt;ELIMINADO",'CALENDARIO INGRESOS'!$D:$D,"&lt;&gt;¡REGULARIZAR!",'CALENDARIO INGRESOS'!$L:$L,"&lt;&gt;PAGADA",'CALENDARIO INGRESOS'!$G:$G,"&lt;="&amp;TODAY())</f>
        <v>1</v>
      </c>
      <c r="J12" s="63">
        <f ca="1">SUMIFS('CALENDARIO INGRESOS'!$I:$I,
                   'CALENDARIO INGRESOS'!$G:$G,"&gt;="&amp;EOMONTH(Tabla7[[#This Row],[MES]],-1)+1,
                   'CALENDARIO INGRESOS'!$G:$G,"&lt;="&amp;EOMONTH(Tabla7[[#This Row],[MES]],0),
                   'CALENDARIO INGRESOS'!$L:$L,"&lt;&gt;PAGADA",
                   'CALENDARIO INGRESOS'!$G:$G,"&gt;="&amp;TODAY(),'CALENDARIO INGRESOS'!$D:$D,"&lt;&gt;ELIMINADO",'CALENDARIO INGRESOS'!$D:$D,"&lt;&gt;¡REGULARIZAR!")</f>
        <v>0</v>
      </c>
      <c r="K12" s="346">
        <f ca="1">COUNTIFS('CALENDARIO INGRESOS'!$G:$G,"&gt;="&amp;EOMONTH(Tabla7[[#This Row],[MES]],-1)+1,'CALENDARIO INGRESOS'!$G:$G,"&lt;="&amp;EOMONTH(Tabla7[[#This Row],[MES]],0),'CALENDARIO INGRESOS'!$D:$D,"&lt;&gt;ELIMINADO",'CALENDARIO INGRESOS'!$D:$D,"&lt;&gt;¡REGULARIZAR!",'CALENDARIO INGRESOS'!$L:$L,"&lt;&gt;PAGADA",'CALENDARIO INGRESOS'!$G:$G,"&gt;="&amp;TODAY())</f>
        <v>0</v>
      </c>
      <c r="L12" s="63">
        <f>SUMIFS('CALENDARIO INGRESOS'!I:I,'CALENDARIO INGRESOS'!G:G,"&gt;="&amp;EOMONTH(Tabla7[[#This Row],[MES]],-1)+1,'CALENDARIO INGRESOS'!G:G,"&lt;="&amp;EOMONTH(Tabla7[[#This Row],[MES]],0),'CALENDARIO INGRESOS'!L:L, "&lt;&gt;PAGADA",'CALENDARIO INGRESOS'!D:D,"¡REGULARIZAR!")</f>
        <v>0</v>
      </c>
      <c r="M12" s="346">
        <f>COUNTIFS('CALENDARIO INGRESOS'!$G:$G,"&gt;="&amp;EOMONTH(Tabla7[[#This Row],[MES]],-1)+1,'CALENDARIO INGRESOS'!$G:$G,"&lt;="&amp;EOMONTH(Tabla7[[#This Row],[MES]],0),'CALENDARIO INGRESOS'!$D:$D,"¡REGULARIZAR!",'CALENDARIO INGRESOS'!$L:$L,"&lt;&gt;PAGADA")</f>
        <v>0</v>
      </c>
      <c r="N12" s="488">
        <f>SUMIFS('CALENDARIO INGRESOS'!I:I,'CALENDARIO INGRESOS'!G:G,"&gt;="&amp;EOMONTH(Tabla7[[#This Row],[MES]],-1)+1,'CALENDARIO INGRESOS'!G:G,"&lt;="&amp;EOMONTH(Tabla7[[#This Row],[MES]],0),'CALENDARIO INGRESOS'!L:L, "&lt;&gt;PAGADA",'CALENDARIO INGRESOS'!D:D,"ELIMINADO")</f>
        <v>0</v>
      </c>
      <c r="O12" s="184">
        <f>+IFERROR(Tabla7[[#This Row],[INCOBRABLE]]/Tabla7[[#This Row],[INGRESO TOTAL MES]],0)</f>
        <v>0</v>
      </c>
      <c r="P12" s="184">
        <f ca="1">IFERROR(AVERAGEIFS(INGRESOS!I:I,INGRESOS!A:A,"&gt;="&amp;Tabla7[[#This Row],[MES]],INGRESOS!A:A,"&lt;="&amp;MIN(TODAY(),EOMONTH(Tabla7[[#This Row],[MES]],0))),0)</f>
        <v>3.0928099511600395E-2</v>
      </c>
      <c r="Q12" s="283">
        <f ca="1">SUMIFS(INGRESOS!$J:$J,INGRESOS!$A:$A,"&gt;="&amp;Tabla7[[#This Row],[MES]],INGRESOS!$A:$A,"&lt;="&amp;MIN(TODAY(),EOMONTH(Tabla7[[#This Row],[MES]],0)))</f>
        <v>123609.30398367051</v>
      </c>
      <c r="R12" s="271">
        <f ca="1">SUMIFS(SALIDAS!F:F,SALIDAS!A:A,"&gt;="&amp;Tabla7[[#This Row],[MES]],SALIDAS!A:A,"&lt;="&amp;MIN(TODAY(),EOMONTH(Tabla7[[#This Row],[MES]],0)))</f>
        <v>-123207.02915988525</v>
      </c>
      <c r="S12" s="272">
        <f ca="1">SUMIFS(SALIDAS!F:F,SALIDAS!U:U,"COR",SALIDAS!A:A,"&gt;="&amp;Tabla7[[#This Row],[MES]],SALIDAS!A:A,"&lt;="&amp;MIN(TODAY(),EOMONTH(Tabla7[[#This Row],[MES]],0)))</f>
        <v>-25455.182132513659</v>
      </c>
      <c r="T12" s="273">
        <f ca="1">Tabla7[[#This Row],[INGRESO MES RECIBIDO NETO]]+Tabla7[[#This Row],[COR]]+Tabla7[[#This Row],[Customer Success]]</f>
        <v>78963.189931156856</v>
      </c>
      <c r="U12" s="388">
        <f ca="1">+IFERROR(Tabla7[[#This Row],[MARGEN BRUTO]]/Tabla7[[#This Row],[INGRESO MES RECIBIDO NETO]],"null")</f>
        <v>0.63881267336954128</v>
      </c>
      <c r="V12" s="274">
        <f ca="1">SUMIFS(SALIDAS!F:F,SALIDAS!U:U,"OPEX",SALIDAS!V:V,Tabla7[[#Headers],[Sales &amp; Marketing]],SALIDAS!A:A,"&gt;="&amp;Tabla7[[#This Row],[MES]],SALIDAS!A:A,"&lt;="&amp;MIN(TODAY(),EOMONTH(Tabla7[[#This Row],[MES]],0)))</f>
        <v>-30273.636790704913</v>
      </c>
      <c r="W12" s="272">
        <f ca="1">SUMIFS(SALIDAS!F:F,SALIDAS!U:U,"OPEX",SALIDAS!V:V,Tabla7[[#Headers],[Research &amp; Development]],SALIDAS!A:A,"&gt;="&amp;Tabla7[[#This Row],[MES]],SALIDAS!A:A,"&lt;="&amp;MIN(TODAY(),EOMONTH(Tabla7[[#This Row],[MES]],0)))</f>
        <v>-776.67066939890708</v>
      </c>
      <c r="X12" s="272">
        <f ca="1">SUMIFS(SALIDAS!F:F,SALIDAS!U:U,"OPEX",SALIDAS!V:V,Tabla7[[#Headers],[General &amp; Administrative]],SALIDAS!A:A,"&gt;="&amp;Tabla7[[#This Row],[MES]],SALIDAS!A:A,"&lt;="&amp;MIN(TODAY(),EOMONTH(Tabla7[[#This Row],[MES]],0)))</f>
        <v>-45735.607647267752</v>
      </c>
      <c r="Y12" s="272">
        <f ca="1">SUMIFS(SALIDAS!F:F,SALIDAS!U:U,"OPEX",SALIDAS!V:V,Tabla7[[#Headers],[Customer Success]],SALIDAS!A:A,"&gt;="&amp;Tabla7[[#This Row],[MES]],SALIDAS!A:A,"&lt;="&amp;MIN(TODAY(),EOMONTH(Tabla7[[#This Row],[MES]],0)))</f>
        <v>-19190.931919999999</v>
      </c>
      <c r="Z12" s="271">
        <f ca="1">SUMIFS(SALIDAS!F:F,SALIDAS!U:U,"OPEX",SALIDAS!A:A,"&gt;="&amp;Tabla7[[#This Row],[MES]],SALIDAS!A:A,"&lt;="&amp;MIN(TODAY(),EOMONTH(Tabla7[[#This Row],[MES]],0)))</f>
        <v>-95976.847027371579</v>
      </c>
      <c r="AA12" s="275">
        <f ca="1">+Tabla7[[#This Row],[MARGEN BRUTO]]+SUM(Tabla7[[#This Row],[Sales &amp; Marketing]:[General &amp; Administrative]])</f>
        <v>2177.2748237852793</v>
      </c>
      <c r="AB12" s="276">
        <f ca="1">ABS(SUMIFS(SALIDAS!F:F,SALIDAS!U:U,"CAPEX",SALIDAS!A:A,"&gt;="&amp;Tabla7[[#This Row],[MES]],SALIDAS!A:A,"&lt;="&amp;MIN(TODAY(),EOMONTH(Tabla7[[#This Row],[MES]],0))))</f>
        <v>1775</v>
      </c>
      <c r="AC12" s="81">
        <f ca="1">+Tabla7[[#This Row],[EBITDA]]-Tabla7[[#This Row],[TOTAL CAPEX]]</f>
        <v>402.2748237852793</v>
      </c>
      <c r="AD12" s="81">
        <f ca="1">+Tabla7[[#This Row],[FCF]]+AD11</f>
        <v>12748.813592526665</v>
      </c>
      <c r="AE12" s="79">
        <f ca="1">IFERROR(SUMIFS(SALIDAS!F:F,SALIDAS!U:U,"OPEX",SALIDAS!V:V,Tabla7[[#Headers],[Sales &amp; Marketing]],SALIDAS!A:A,"&gt;="&amp;Tabla7[[#This Row],[MES]],SALIDAS!A:A,"&lt;="&amp;MIN(TODAY(),EOMONTH(Tabla7[[#This Row],[MES]],0)))/_xlfn.XLOOKUP(Tabla7[[#This Row],[MES]],'COHORTES INGRESO'!A:A,'COHORTES INGRESO'!C:C),0)</f>
        <v>-2162.4026279074938</v>
      </c>
      <c r="AF12" s="271">
        <f ca="1">+IFERROR(Tabla7[[#This Row],[COR]]/Tabla711[[#This Row],[NUEVOS CLIENTES TOTAL]],0)</f>
        <v>-1818.2272951795471</v>
      </c>
      <c r="AG12" s="274">
        <f ca="1">Tabla7[[#This Row],[INGRESO MES RECIBIDO NETO]]+SUMIFS(SALIDAS!F:F,SALIDAS!T:T,"Costo variable",SALIDAS!A:A,"&gt;="&amp;Tabla7[[#This Row],[MES]],SALIDAS!A:A,"&lt;="&amp;MIN(TODAY(),EOMONTH(Tabla7[[#This Row],[MES]],0)))</f>
        <v>94633.006850670528</v>
      </c>
      <c r="AH12" s="79">
        <f ca="1">+IFERROR(AVERAGEIFS(INGRESOS!J:J,INGRESOS!$A:$A,"&gt;="&amp;Tabla7[[#This Row],[MES]],INGRESOS!$A:$A,"&lt;="&amp;MIN(TODAY(),EOMONTH(Tabla7[[#This Row],[MES]],0))),0)</f>
        <v>1093.8876458731904</v>
      </c>
    </row>
    <row r="13" spans="1:34">
      <c r="A13" s="24">
        <v>45931</v>
      </c>
      <c r="B13" s="63">
        <f>+Tabla7[[#This Row],[INGRESO MES RECIBIDO]]+Tabla7[[#This Row],[INGRESO PROGRAMADO PEND.]]</f>
        <v>116566.52886188975</v>
      </c>
      <c r="C13" s="233">
        <f>IFERROR((Tabla7[[#This Row],[INGRESO TOTAL MES]]/B12)-1,"0")</f>
        <v>-8.964300293346561E-2</v>
      </c>
      <c r="D13" s="63">
        <f>SUMIFS(INGRESOS!G:G,INGRESOS!A:A,"&gt;="&amp;EOMONTH(Tabla7[[#This Row],[MES]],-1)+1,INGRESOS!A:A,"&lt;="&amp;EOMONTH(Tabla7[[#This Row],[MES]],0))</f>
        <v>116566.52886188975</v>
      </c>
      <c r="E13" s="309">
        <f ca="1">COUNTIFS(INGRESOS!$A:$A,"&gt;="&amp;Tabla7[[#This Row],[MES]],INGRESOS!$A:$A,"&lt;="&amp;MIN(TODAY(),EOMONTH(Tabla7[[#This Row],[MES]],0)))</f>
        <v>108</v>
      </c>
      <c r="F13"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0.93554675218512229</v>
      </c>
      <c r="G13" s="79">
        <f>SUMIFS('CALENDARIO INGRESOS'!I:I,'CALENDARIO INGRESOS'!G:G,"&gt;="&amp;EOMONTH(Tabla7[[#This Row],[MES]],-1)+1,'CALENDARIO INGRESOS'!G:G,"&lt;="&amp;EOMONTH(Tabla7[[#This Row],[MES]],0),'CALENDARIO INGRESOS'!L:L, "&lt;&gt;PAGADA",'CALENDARIO INGRESOS'!D:D,"&lt;&gt;ELIMINADO",'CALENDARIO INGRESOS'!D:D,"&lt;&gt;¡REGULARIZAR!")</f>
        <v>0</v>
      </c>
      <c r="H13"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13" s="341">
        <f ca="1">COUNTIFS('CALENDARIO INGRESOS'!$G:$G,"&gt;="&amp;EOMONTH(Tabla7[[#This Row],[MES]],-1)+1,'CALENDARIO INGRESOS'!$G:$G,"&lt;="&amp;EOMONTH(Tabla7[[#This Row],[MES]],0),'CALENDARIO INGRESOS'!$D:$D,"&lt;&gt;ELIMINADO",'CALENDARIO INGRESOS'!$D:$D,"&lt;&gt;¡REGULARIZAR!",'CALENDARIO INGRESOS'!$L:$L,"&lt;&gt;PAGADA",'CALENDARIO INGRESOS'!$G:$G,"&lt;="&amp;TODAY())</f>
        <v>0</v>
      </c>
      <c r="J13" s="63">
        <f ca="1">SUMIFS('CALENDARIO INGRESOS'!$I:$I,
                   'CALENDARIO INGRESOS'!$G:$G,"&gt;="&amp;EOMONTH(Tabla7[[#This Row],[MES]],-1)+1,
                   'CALENDARIO INGRESOS'!$G:$G,"&lt;="&amp;EOMONTH(Tabla7[[#This Row],[MES]],0),
                   'CALENDARIO INGRESOS'!$L:$L,"&lt;&gt;PAGADA",
                   'CALENDARIO INGRESOS'!$G:$G,"&gt;="&amp;TODAY(),'CALENDARIO INGRESOS'!$D:$D,"&lt;&gt;ELIMINADO",'CALENDARIO INGRESOS'!$D:$D,"&lt;&gt;¡REGULARIZAR!")</f>
        <v>0</v>
      </c>
      <c r="K13" s="346">
        <f ca="1">COUNTIFS('CALENDARIO INGRESOS'!$G:$G,"&gt;="&amp;EOMONTH(Tabla7[[#This Row],[MES]],-1)+1,'CALENDARIO INGRESOS'!$G:$G,"&lt;="&amp;EOMONTH(Tabla7[[#This Row],[MES]],0),'CALENDARIO INGRESOS'!$D:$D,"&lt;&gt;ELIMINADO",'CALENDARIO INGRESOS'!$D:$D,"&lt;&gt;¡REGULARIZAR!",'CALENDARIO INGRESOS'!$L:$L,"&lt;&gt;PAGADA",'CALENDARIO INGRESOS'!$G:$G,"&gt;="&amp;TODAY())</f>
        <v>0</v>
      </c>
      <c r="L13" s="63">
        <f>SUMIFS('CALENDARIO INGRESOS'!I:I,'CALENDARIO INGRESOS'!G:G,"&gt;="&amp;EOMONTH(Tabla7[[#This Row],[MES]],-1)+1,'CALENDARIO INGRESOS'!G:G,"&lt;="&amp;EOMONTH(Tabla7[[#This Row],[MES]],0),'CALENDARIO INGRESOS'!L:L, "&lt;&gt;PAGADA",'CALENDARIO INGRESOS'!D:D,"¡REGULARIZAR!")</f>
        <v>0</v>
      </c>
      <c r="M13" s="346">
        <f>COUNTIFS('CALENDARIO INGRESOS'!$G:$G,"&gt;="&amp;EOMONTH(Tabla7[[#This Row],[MES]],-1)+1,'CALENDARIO INGRESOS'!$G:$G,"&lt;="&amp;EOMONTH(Tabla7[[#This Row],[MES]],0),'CALENDARIO INGRESOS'!$D:$D,"¡REGULARIZAR!",'CALENDARIO INGRESOS'!$L:$L,"&lt;&gt;PAGADA")</f>
        <v>0</v>
      </c>
      <c r="N13" s="488">
        <f>SUMIFS('CALENDARIO INGRESOS'!I:I,'CALENDARIO INGRESOS'!G:G,"&gt;="&amp;EOMONTH(Tabla7[[#This Row],[MES]],-1)+1,'CALENDARIO INGRESOS'!G:G,"&lt;="&amp;EOMONTH(Tabla7[[#This Row],[MES]],0),'CALENDARIO INGRESOS'!L:L, "&lt;&gt;PAGADA",'CALENDARIO INGRESOS'!D:D,"ELIMINADO")</f>
        <v>8200</v>
      </c>
      <c r="O13" s="184">
        <f>+IFERROR(Tabla7[[#This Row],[INCOBRABLE]]/Tabla7[[#This Row],[INGRESO TOTAL MES]],0)</f>
        <v>7.0346094029406309E-2</v>
      </c>
      <c r="P13" s="184">
        <f ca="1">IFERROR(AVERAGEIFS(INGRESOS!I:I,INGRESOS!A:A,"&gt;="&amp;Tabla7[[#This Row],[MES]],INGRESOS!A:A,"&lt;="&amp;MIN(TODAY(),EOMONTH(Tabla7[[#This Row],[MES]],0))),0)</f>
        <v>2.1927595499278408E-2</v>
      </c>
      <c r="Q13" s="283">
        <f ca="1">SUMIFS(INGRESOS!$J:$J,INGRESOS!$A:$A,"&gt;="&amp;Tabla7[[#This Row],[MES]],INGRESOS!$A:$A,"&lt;="&amp;MIN(TODAY(),EOMONTH(Tabla7[[#This Row],[MES]],0)))</f>
        <v>115336.25697128737</v>
      </c>
      <c r="R13" s="271">
        <f ca="1">SUMIFS(SALIDAS!F:F,SALIDAS!A:A,"&gt;="&amp;Tabla7[[#This Row],[MES]],SALIDAS!A:A,"&lt;="&amp;MIN(TODAY(),EOMONTH(Tabla7[[#This Row],[MES]],0)))</f>
        <v>-117478.28333279236</v>
      </c>
      <c r="S13" s="272">
        <f ca="1">SUMIFS(SALIDAS!F:F,SALIDAS!U:U,"COR",SALIDAS!A:A,"&gt;="&amp;Tabla7[[#This Row],[MES]],SALIDAS!A:A,"&lt;="&amp;MIN(TODAY(),EOMONTH(Tabla7[[#This Row],[MES]],0)))</f>
        <v>-9935.5625411093115</v>
      </c>
      <c r="T13" s="273">
        <f ca="1">Tabla7[[#This Row],[INGRESO MES RECIBIDO NETO]]+Tabla7[[#This Row],[COR]]+Tabla7[[#This Row],[Customer Success]]</f>
        <v>86686.13915017806</v>
      </c>
      <c r="U13" s="388">
        <f ca="1">+IFERROR(Tabla7[[#This Row],[MARGEN BRUTO]]/Tabla7[[#This Row],[INGRESO MES RECIBIDO NETO]],"null")</f>
        <v>0.75159487074180265</v>
      </c>
      <c r="V13" s="274">
        <f ca="1">SUMIFS(SALIDAS!F:F,SALIDAS!U:U,"OPEX",SALIDAS!V:V,Tabla7[[#Headers],[Sales &amp; Marketing]],SALIDAS!A:A,"&gt;="&amp;Tabla7[[#This Row],[MES]],SALIDAS!A:A,"&lt;="&amp;MIN(TODAY(),EOMONTH(Tabla7[[#This Row],[MES]],0)))</f>
        <v>-37282.684761051038</v>
      </c>
      <c r="W13" s="272">
        <f ca="1">SUMIFS(SALIDAS!F:F,SALIDAS!U:U,"OPEX",SALIDAS!V:V,Tabla7[[#Headers],[Research &amp; Development]],SALIDAS!A:A,"&gt;="&amp;Tabla7[[#This Row],[MES]],SALIDAS!A:A,"&lt;="&amp;MIN(TODAY(),EOMONTH(Tabla7[[#This Row],[MES]],0)))</f>
        <v>-882.72288676833944</v>
      </c>
      <c r="X13" s="272">
        <f ca="1">SUMIFS(SALIDAS!F:F,SALIDAS!U:U,"OPEX",SALIDAS!V:V,Tabla7[[#Headers],[General &amp; Administrative]],SALIDAS!A:A,"&gt;="&amp;Tabla7[[#This Row],[MES]],SALIDAS!A:A,"&lt;="&amp;MIN(TODAY(),EOMONTH(Tabla7[[#This Row],[MES]],0)))</f>
        <v>-50662.757863863677</v>
      </c>
      <c r="Y13" s="272">
        <f ca="1">SUMIFS(SALIDAS!F:F,SALIDAS!U:U,"OPEX",SALIDAS!V:V,Tabla7[[#Headers],[Customer Success]],SALIDAS!A:A,"&gt;="&amp;Tabla7[[#This Row],[MES]],SALIDAS!A:A,"&lt;="&amp;MIN(TODAY(),EOMONTH(Tabla7[[#This Row],[MES]],0)))</f>
        <v>-18714.55528</v>
      </c>
      <c r="Z13" s="271">
        <f ca="1">SUMIFS(SALIDAS!F:F,SALIDAS!U:U,"OPEX",SALIDAS!A:A,"&gt;="&amp;Tabla7[[#This Row],[MES]],SALIDAS!A:A,"&lt;="&amp;MIN(TODAY(),EOMONTH(Tabla7[[#This Row],[MES]],0)))</f>
        <v>-107542.72079168302</v>
      </c>
      <c r="AA13" s="275">
        <f ca="1">+Tabla7[[#This Row],[MARGEN BRUTO]]+SUM(Tabla7[[#This Row],[Sales &amp; Marketing]:[General &amp; Administrative]])</f>
        <v>-2142.0263615049917</v>
      </c>
      <c r="AB13" s="276">
        <f ca="1">ABS(SUMIFS(SALIDAS!F:F,SALIDAS!U:U,"CAPEX",SALIDAS!A:A,"&gt;="&amp;Tabla7[[#This Row],[MES]],SALIDAS!A:A,"&lt;="&amp;MIN(TODAY(),EOMONTH(Tabla7[[#This Row],[MES]],0))))</f>
        <v>0</v>
      </c>
      <c r="AC13" s="81">
        <f ca="1">+Tabla7[[#This Row],[EBITDA]]-Tabla7[[#This Row],[TOTAL CAPEX]]</f>
        <v>-2142.0263615049917</v>
      </c>
      <c r="AD13" s="81">
        <f ca="1">+Tabla7[[#This Row],[FCF]]+AD12</f>
        <v>10606.787231021674</v>
      </c>
      <c r="AE13" s="79">
        <f ca="1">IFERROR(SUMIFS(SALIDAS!F:F,SALIDAS!U:U,"OPEX",SALIDAS!V:V,Tabla7[[#Headers],[Sales &amp; Marketing]],SALIDAS!A:A,"&gt;="&amp;Tabla7[[#This Row],[MES]],SALIDAS!A:A,"&lt;="&amp;MIN(TODAY(),EOMONTH(Tabla7[[#This Row],[MES]],0)))/_xlfn.XLOOKUP(Tabla7[[#This Row],[MES]],'COHORTES INGRESO'!A:A,'COHORTES INGRESO'!C:C),0)</f>
        <v>-3389.3349782773671</v>
      </c>
      <c r="AF13" s="271">
        <f ca="1">+IFERROR(Tabla7[[#This Row],[COR]]/Tabla711[[#This Row],[NUEVOS CLIENTES TOTAL]],0)</f>
        <v>-903.23295828266464</v>
      </c>
      <c r="AG13" s="274">
        <f ca="1">Tabla7[[#This Row],[INGRESO MES RECIBIDO NETO]]+SUMIFS(SALIDAS!F:F,SALIDAS!T:T,"Costo variable",SALIDAS!A:A,"&gt;="&amp;Tabla7[[#This Row],[MES]],SALIDAS!A:A,"&lt;="&amp;MIN(TODAY(),EOMONTH(Tabla7[[#This Row],[MES]],0)))</f>
        <v>85610.326499287374</v>
      </c>
      <c r="AH13" s="79">
        <f ca="1">+IFERROR(AVERAGEIFS(INGRESOS!J:J,INGRESOS!$A:$A,"&gt;="&amp;Tabla7[[#This Row],[MES]],INGRESOS!$A:$A,"&lt;="&amp;MIN(TODAY(),EOMONTH(Tabla7[[#This Row],[MES]],0))),0)</f>
        <v>1067.9283052896978</v>
      </c>
    </row>
    <row r="14" spans="1:34">
      <c r="A14" s="58">
        <v>45962</v>
      </c>
      <c r="B14" s="63">
        <f>+Tabla7[[#This Row],[INGRESO MES RECIBIDO]]+Tabla7[[#This Row],[INGRESO PROGRAMADO PEND.]]</f>
        <v>134628.68937063537</v>
      </c>
      <c r="C14" s="233">
        <f>IFERROR((Tabla7[[#This Row],[INGRESO TOTAL MES]]/B13)-1,"0")</f>
        <v>0.15495151725883516</v>
      </c>
      <c r="D14" s="63">
        <f>SUMIFS(INGRESOS!G:G,INGRESOS!A:A,"&gt;="&amp;EOMONTH(Tabla7[[#This Row],[MES]],-1)+1,INGRESOS!A:A,"&lt;="&amp;EOMONTH(Tabla7[[#This Row],[MES]],0))</f>
        <v>134628.68937063537</v>
      </c>
      <c r="E14" s="309">
        <f ca="1">COUNTIFS(INGRESOS!$A:$A,"&gt;="&amp;Tabla7[[#This Row],[MES]],INGRESOS!$A:$A,"&lt;="&amp;MIN(TODAY(),EOMONTH(Tabla7[[#This Row],[MES]],0)))</f>
        <v>115</v>
      </c>
      <c r="F14"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0.99243490233458909</v>
      </c>
      <c r="G14" s="79">
        <f>SUMIFS('CALENDARIO INGRESOS'!I:I,'CALENDARIO INGRESOS'!G:G,"&gt;="&amp;EOMONTH(Tabla7[[#This Row],[MES]],-1)+1,'CALENDARIO INGRESOS'!G:G,"&lt;="&amp;EOMONTH(Tabla7[[#This Row],[MES]],0),'CALENDARIO INGRESOS'!L:L, "&lt;&gt;PAGADA",'CALENDARIO INGRESOS'!D:D,"&lt;&gt;ELIMINADO",'CALENDARIO INGRESOS'!D:D,"&lt;&gt;¡REGULARIZAR!")</f>
        <v>0</v>
      </c>
      <c r="H14"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14" s="341">
        <f ca="1">COUNTIFS('CALENDARIO INGRESOS'!$G:$G,"&gt;="&amp;EOMONTH(Tabla7[[#This Row],[MES]],-1)+1,'CALENDARIO INGRESOS'!$G:$G,"&lt;="&amp;EOMONTH(Tabla7[[#This Row],[MES]],0),'CALENDARIO INGRESOS'!$D:$D,"&lt;&gt;ELIMINADO",'CALENDARIO INGRESOS'!$D:$D,"&lt;&gt;¡REGULARIZAR!",'CALENDARIO INGRESOS'!$L:$L,"&lt;&gt;PAGADA",'CALENDARIO INGRESOS'!$G:$G,"&lt;="&amp;TODAY())</f>
        <v>1</v>
      </c>
      <c r="J14" s="63">
        <f ca="1">SUMIFS('CALENDARIO INGRESOS'!$I:$I,
                   'CALENDARIO INGRESOS'!$G:$G,"&gt;="&amp;EOMONTH(Tabla7[[#This Row],[MES]],-1)+1,
                   'CALENDARIO INGRESOS'!$G:$G,"&lt;="&amp;EOMONTH(Tabla7[[#This Row],[MES]],0),
                   'CALENDARIO INGRESOS'!$L:$L,"&lt;&gt;PAGADA",
                   'CALENDARIO INGRESOS'!$G:$G,"&gt;="&amp;TODAY(),'CALENDARIO INGRESOS'!$D:$D,"&lt;&gt;ELIMINADO",'CALENDARIO INGRESOS'!$D:$D,"&lt;&gt;¡REGULARIZAR!")</f>
        <v>0</v>
      </c>
      <c r="K14" s="346">
        <f ca="1">COUNTIFS('CALENDARIO INGRESOS'!$G:$G,"&gt;="&amp;EOMONTH(Tabla7[[#This Row],[MES]],-1)+1,'CALENDARIO INGRESOS'!$G:$G,"&lt;="&amp;EOMONTH(Tabla7[[#This Row],[MES]],0),'CALENDARIO INGRESOS'!$D:$D,"&lt;&gt;ELIMINADO",'CALENDARIO INGRESOS'!$D:$D,"&lt;&gt;¡REGULARIZAR!",'CALENDARIO INGRESOS'!$L:$L,"&lt;&gt;PAGADA",'CALENDARIO INGRESOS'!$G:$G,"&gt;="&amp;TODAY())</f>
        <v>0</v>
      </c>
      <c r="L14" s="63">
        <f>SUMIFS('CALENDARIO INGRESOS'!I:I,'CALENDARIO INGRESOS'!G:G,"&gt;="&amp;EOMONTH(Tabla7[[#This Row],[MES]],-1)+1,'CALENDARIO INGRESOS'!G:G,"&lt;="&amp;EOMONTH(Tabla7[[#This Row],[MES]],0),'CALENDARIO INGRESOS'!L:L, "&lt;&gt;PAGADA",'CALENDARIO INGRESOS'!D:D,"¡REGULARIZAR!")</f>
        <v>0</v>
      </c>
      <c r="M14" s="346">
        <f>COUNTIFS('CALENDARIO INGRESOS'!$G:$G,"&gt;="&amp;EOMONTH(Tabla7[[#This Row],[MES]],-1)+1,'CALENDARIO INGRESOS'!$G:$G,"&lt;="&amp;EOMONTH(Tabla7[[#This Row],[MES]],0),'CALENDARIO INGRESOS'!$D:$D,"¡REGULARIZAR!",'CALENDARIO INGRESOS'!$L:$L,"&lt;&gt;PAGADA")</f>
        <v>0</v>
      </c>
      <c r="N14" s="488">
        <f>SUMIFS('CALENDARIO INGRESOS'!I:I,'CALENDARIO INGRESOS'!G:G,"&gt;="&amp;EOMONTH(Tabla7[[#This Row],[MES]],-1)+1,'CALENDARIO INGRESOS'!G:G,"&lt;="&amp;EOMONTH(Tabla7[[#This Row],[MES]],0),'CALENDARIO INGRESOS'!L:L, "&lt;&gt;PAGADA",'CALENDARIO INGRESOS'!D:D,"ELIMINADO")</f>
        <v>1000</v>
      </c>
      <c r="O14" s="184">
        <f>+IFERROR(Tabla7[[#This Row],[INCOBRABLE]]/Tabla7[[#This Row],[INGRESO TOTAL MES]],0)</f>
        <v>7.4278372958603255E-3</v>
      </c>
      <c r="P14" s="184">
        <f ca="1">IFERROR(AVERAGEIFS(INGRESOS!I:I,INGRESOS!A:A,"&gt;="&amp;Tabla7[[#This Row],[MES]],INGRESOS!A:A,"&lt;="&amp;MIN(TODAY(),EOMONTH(Tabla7[[#This Row],[MES]],0))),0)</f>
        <v>3.1195169856916515E-2</v>
      </c>
      <c r="Q14" s="283">
        <f ca="1">SUMIFS(INGRESOS!$J:$J,INGRESOS!$A:$A,"&gt;="&amp;Tabla7[[#This Row],[MES]],INGRESOS!$A:$A,"&lt;="&amp;MIN(TODAY(),EOMONTH(Tabla7[[#This Row],[MES]],0)))</f>
        <v>130999.56733942573</v>
      </c>
      <c r="R14" s="271">
        <f ca="1">SUMIFS(SALIDAS!F:F,SALIDAS!A:A,"&gt;="&amp;Tabla7[[#This Row],[MES]],SALIDAS!A:A,"&lt;="&amp;MIN(TODAY(),EOMONTH(Tabla7[[#This Row],[MES]],0)))</f>
        <v>-137809.07246811996</v>
      </c>
      <c r="S14" s="272">
        <f ca="1">SUMIFS(SALIDAS!F:F,SALIDAS!U:U,"COR",SALIDAS!A:A,"&gt;="&amp;Tabla7[[#This Row],[MES]],SALIDAS!A:A,"&lt;="&amp;MIN(TODAY(),EOMONTH(Tabla7[[#This Row],[MES]],0)))</f>
        <v>-25847.342533999999</v>
      </c>
      <c r="T14" s="273">
        <f ca="1">Tabla7[[#This Row],[INGRESO MES RECIBIDO NETO]]+Tabla7[[#This Row],[COR]]+Tabla7[[#This Row],[Customer Success]]</f>
        <v>88119.61560542573</v>
      </c>
      <c r="U14" s="388">
        <f ca="1">+IFERROR(Tabla7[[#This Row],[MARGEN BRUTO]]/Tabla7[[#This Row],[INGRESO MES RECIBIDO NETO]],"null")</f>
        <v>0.67267104308141623</v>
      </c>
      <c r="V14" s="274">
        <f ca="1">SUMIFS(SALIDAS!F:F,SALIDAS!U:U,"OPEX",SALIDAS!V:V,Tabla7[[#Headers],[Sales &amp; Marketing]],SALIDAS!A:A,"&gt;="&amp;Tabla7[[#This Row],[MES]],SALIDAS!A:A,"&lt;="&amp;MIN(TODAY(),EOMONTH(Tabla7[[#This Row],[MES]],0)))</f>
        <v>-43925.694635620006</v>
      </c>
      <c r="W14" s="272">
        <f ca="1">SUMIFS(SALIDAS!F:F,SALIDAS!U:U,"OPEX",SALIDAS!V:V,Tabla7[[#Headers],[Research &amp; Development]],SALIDAS!A:A,"&gt;="&amp;Tabla7[[#This Row],[MES]],SALIDAS!A:A,"&lt;="&amp;MIN(TODAY(),EOMONTH(Tabla7[[#This Row],[MES]],0)))</f>
        <v>-670.85006399999997</v>
      </c>
      <c r="X14" s="272">
        <f ca="1">SUMIFS(SALIDAS!F:F,SALIDAS!U:U,"OPEX",SALIDAS!V:V,Tabla7[[#Headers],[General &amp; Administrative]],SALIDAS!A:A,"&gt;="&amp;Tabla7[[#This Row],[MES]],SALIDAS!A:A,"&lt;="&amp;MIN(TODAY(),EOMONTH(Tabla7[[#This Row],[MES]],0)))</f>
        <v>-50332.576034500002</v>
      </c>
      <c r="Y14" s="272">
        <f ca="1">SUMIFS(SALIDAS!F:F,SALIDAS!U:U,"OPEX",SALIDAS!V:V,Tabla7[[#Headers],[Customer Success]],SALIDAS!A:A,"&gt;="&amp;Tabla7[[#This Row],[MES]],SALIDAS!A:A,"&lt;="&amp;MIN(TODAY(),EOMONTH(Tabla7[[#This Row],[MES]],0)))</f>
        <v>-17032.609199999999</v>
      </c>
      <c r="Z14" s="271">
        <f ca="1">SUMIFS(SALIDAS!F:F,SALIDAS!U:U,"OPEX",SALIDAS!A:A,"&gt;="&amp;Tabla7[[#This Row],[MES]],SALIDAS!A:A,"&lt;="&amp;MIN(TODAY(),EOMONTH(Tabla7[[#This Row],[MES]],0)))</f>
        <v>-111961.72993412001</v>
      </c>
      <c r="AA14" s="275">
        <f ca="1">+Tabla7[[#This Row],[MARGEN BRUTO]]+SUM(Tabla7[[#This Row],[Sales &amp; Marketing]:[General &amp; Administrative]])</f>
        <v>-6809.5051286942762</v>
      </c>
      <c r="AB14" s="276">
        <f ca="1">ABS(SUMIFS(SALIDAS!F:F,SALIDAS!U:U,"CAPEX",SALIDAS!A:A,"&gt;="&amp;Tabla7[[#This Row],[MES]],SALIDAS!A:A,"&lt;="&amp;MIN(TODAY(),EOMONTH(Tabla7[[#This Row],[MES]],0))))</f>
        <v>0</v>
      </c>
      <c r="AC14" s="81">
        <f ca="1">+Tabla7[[#This Row],[EBITDA]]-Tabla7[[#This Row],[TOTAL CAPEX]]</f>
        <v>-6809.5051286942762</v>
      </c>
      <c r="AD14" s="81">
        <f ca="1">+Tabla7[[#This Row],[FCF]]+AD13</f>
        <v>3797.2821023273973</v>
      </c>
      <c r="AE14" s="79">
        <f ca="1">IFERROR(SUMIFS(SALIDAS!F:F,SALIDAS!U:U,"OPEX",SALIDAS!V:V,Tabla7[[#Headers],[Sales &amp; Marketing]],SALIDAS!A:A,"&gt;="&amp;Tabla7[[#This Row],[MES]],SALIDAS!A:A,"&lt;="&amp;MIN(TODAY(),EOMONTH(Tabla7[[#This Row],[MES]],0)))/_xlfn.XLOOKUP(Tabla7[[#This Row],[MES]],'COHORTES INGRESO'!A:A,'COHORTES INGRESO'!C:C),0)</f>
        <v>-3378.8995873553849</v>
      </c>
      <c r="AF14" s="271">
        <f ca="1">+IFERROR(Tabla7[[#This Row],[COR]]/Tabla711[[#This Row],[NUEVOS CLIENTES TOTAL]],0)</f>
        <v>-1988.257118</v>
      </c>
      <c r="AG14" s="274">
        <f ca="1">Tabla7[[#This Row],[INGRESO MES RECIBIDO NETO]]+SUMIFS(SALIDAS!F:F,SALIDAS!T:T,"Costo variable",SALIDAS!A:A,"&gt;="&amp;Tabla7[[#This Row],[MES]],SALIDAS!A:A,"&lt;="&amp;MIN(TODAY(),EOMONTH(Tabla7[[#This Row],[MES]],0)))</f>
        <v>83496.709710805735</v>
      </c>
      <c r="AH14" s="79">
        <f ca="1">+IFERROR(AVERAGEIFS(INGRESOS!J:J,INGRESOS!$A:$A,"&gt;="&amp;Tabla7[[#This Row],[MES]],INGRESOS!$A:$A,"&lt;="&amp;MIN(TODAY(),EOMONTH(Tabla7[[#This Row],[MES]],0))),0)</f>
        <v>1139.1266725167454</v>
      </c>
    </row>
    <row r="15" spans="1:34">
      <c r="A15" s="24">
        <v>45992</v>
      </c>
      <c r="B15" s="63">
        <f>+Tabla7[[#This Row],[INGRESO MES RECIBIDO]]+Tabla7[[#This Row],[INGRESO PROGRAMADO PEND.]]</f>
        <v>123665.62047807736</v>
      </c>
      <c r="C15" s="233">
        <f>IFERROR((Tabla7[[#This Row],[INGRESO TOTAL MES]]/B14)-1,"0")</f>
        <v>-8.1431891997228556E-2</v>
      </c>
      <c r="D15" s="63">
        <f>SUMIFS(INGRESOS!G:G,INGRESOS!A:A,"&gt;="&amp;EOMONTH(Tabla7[[#This Row],[MES]],-1)+1,INGRESOS!A:A,"&lt;="&amp;EOMONTH(Tabla7[[#This Row],[MES]],0))</f>
        <v>122165.62047807736</v>
      </c>
      <c r="E15" s="309">
        <f ca="1">COUNTIFS(INGRESOS!$A:$A,"&gt;="&amp;Tabla7[[#This Row],[MES]],INGRESOS!$A:$A,"&lt;="&amp;MIN(TODAY(),EOMONTH(Tabla7[[#This Row],[MES]],0)))</f>
        <v>115</v>
      </c>
      <c r="F15"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0.98839180535750681</v>
      </c>
      <c r="G15" s="79">
        <f>SUMIFS('CALENDARIO INGRESOS'!I:I,'CALENDARIO INGRESOS'!G:G,"&gt;="&amp;EOMONTH(Tabla7[[#This Row],[MES]],-1)+1,'CALENDARIO INGRESOS'!G:G,"&lt;="&amp;EOMONTH(Tabla7[[#This Row],[MES]],0),'CALENDARIO INGRESOS'!L:L, "&lt;&gt;PAGADA",'CALENDARIO INGRESOS'!D:D,"&lt;&gt;ELIMINADO",'CALENDARIO INGRESOS'!D:D,"&lt;&gt;¡REGULARIZAR!")</f>
        <v>1500</v>
      </c>
      <c r="H15" s="63">
        <f ca="1">SUMIFS('CALENDARIO INGRESOS'!$I:$I,
                   'CALENDARIO INGRESOS'!$G:$G,"&gt;="&amp;EOMONTH(Tabla7[[#This Row],[MES]],-1)+1,
                   'CALENDARIO INGRESOS'!$G:$G,"&lt;="&amp;EOMONTH(Tabla7[[#This Row],[MES]],0),
                   'CALENDARIO INGRESOS'!$L:$L,"&lt;&gt;PAGADA",
                   'CALENDARIO INGRESOS'!$G:$G,"&lt;="&amp;TODAY(),'CALENDARIO INGRESOS'!D:D,"&lt;&gt;¡REGULARIZAR!",'CALENDARIO INGRESOS'!D:D,"&lt;&gt;ELIMINADO")</f>
        <v>1500</v>
      </c>
      <c r="I15" s="341">
        <f ca="1">COUNTIFS('CALENDARIO INGRESOS'!$G:$G,"&gt;="&amp;EOMONTH(Tabla7[[#This Row],[MES]],-1)+1,'CALENDARIO INGRESOS'!$G:$G,"&lt;="&amp;EOMONTH(Tabla7[[#This Row],[MES]],0),'CALENDARIO INGRESOS'!$D:$D,"&lt;&gt;ELIMINADO",'CALENDARIO INGRESOS'!$D:$D,"&lt;&gt;¡REGULARIZAR!",'CALENDARIO INGRESOS'!$L:$L,"&lt;&gt;PAGADA",'CALENDARIO INGRESOS'!$G:$G,"&lt;="&amp;TODAY())</f>
        <v>2</v>
      </c>
      <c r="J15" s="63">
        <f ca="1">SUMIFS('CALENDARIO INGRESOS'!$I:$I,
                   'CALENDARIO INGRESOS'!$G:$G,"&gt;="&amp;EOMONTH(Tabla7[[#This Row],[MES]],-1)+1,
                   'CALENDARIO INGRESOS'!$G:$G,"&lt;="&amp;EOMONTH(Tabla7[[#This Row],[MES]],0),
                   'CALENDARIO INGRESOS'!$L:$L,"&lt;&gt;PAGADA",
                   'CALENDARIO INGRESOS'!$G:$G,"&gt;="&amp;TODAY(),'CALENDARIO INGRESOS'!$D:$D,"&lt;&gt;ELIMINADO",'CALENDARIO INGRESOS'!$D:$D,"&lt;&gt;¡REGULARIZAR!")</f>
        <v>0</v>
      </c>
      <c r="K15" s="346">
        <f ca="1">COUNTIFS('CALENDARIO INGRESOS'!$G:$G,"&gt;="&amp;EOMONTH(Tabla7[[#This Row],[MES]],-1)+1,'CALENDARIO INGRESOS'!$G:$G,"&lt;="&amp;EOMONTH(Tabla7[[#This Row],[MES]],0),'CALENDARIO INGRESOS'!$D:$D,"&lt;&gt;ELIMINADO",'CALENDARIO INGRESOS'!$D:$D,"&lt;&gt;¡REGULARIZAR!",'CALENDARIO INGRESOS'!$L:$L,"&lt;&gt;PAGADA",'CALENDARIO INGRESOS'!$G:$G,"&gt;="&amp;TODAY())</f>
        <v>0</v>
      </c>
      <c r="L15" s="63">
        <f>SUMIFS('CALENDARIO INGRESOS'!I:I,'CALENDARIO INGRESOS'!G:G,"&gt;="&amp;EOMONTH(Tabla7[[#This Row],[MES]],-1)+1,'CALENDARIO INGRESOS'!G:G,"&lt;="&amp;EOMONTH(Tabla7[[#This Row],[MES]],0),'CALENDARIO INGRESOS'!L:L, "&lt;&gt;PAGADA",'CALENDARIO INGRESOS'!D:D,"¡REGULARIZAR!")</f>
        <v>0</v>
      </c>
      <c r="M15" s="346">
        <f>COUNTIFS('CALENDARIO INGRESOS'!$G:$G,"&gt;="&amp;EOMONTH(Tabla7[[#This Row],[MES]],-1)+1,'CALENDARIO INGRESOS'!$G:$G,"&lt;="&amp;EOMONTH(Tabla7[[#This Row],[MES]],0),'CALENDARIO INGRESOS'!$D:$D,"¡REGULARIZAR!",'CALENDARIO INGRESOS'!$L:$L,"&lt;&gt;PAGADA")</f>
        <v>0</v>
      </c>
      <c r="N15" s="488">
        <f>SUMIFS('CALENDARIO INGRESOS'!I:I,'CALENDARIO INGRESOS'!G:G,"&gt;="&amp;EOMONTH(Tabla7[[#This Row],[MES]],-1)+1,'CALENDARIO INGRESOS'!G:G,"&lt;="&amp;EOMONTH(Tabla7[[#This Row],[MES]],0),'CALENDARIO INGRESOS'!L:L, "&lt;&gt;PAGADA",'CALENDARIO INGRESOS'!D:D,"ELIMINADO")</f>
        <v>0</v>
      </c>
      <c r="O15" s="184">
        <f>+IFERROR(Tabla7[[#This Row],[INCOBRABLE]]/Tabla7[[#This Row],[INGRESO TOTAL MES]],0)</f>
        <v>0</v>
      </c>
      <c r="P15" s="184">
        <f ca="1">IFERROR(AVERAGEIFS(INGRESOS!I:I,INGRESOS!A:A,"&gt;="&amp;Tabla7[[#This Row],[MES]],INGRESOS!A:A,"&lt;="&amp;MIN(TODAY(),EOMONTH(Tabla7[[#This Row],[MES]],0))),0)</f>
        <v>3.1890777619778356E-2</v>
      </c>
      <c r="Q15" s="283">
        <f ca="1">SUMIFS(INGRESOS!$J:$J,INGRESOS!$A:$A,"&gt;="&amp;Tabla7[[#This Row],[MES]],INGRESOS!$A:$A,"&lt;="&amp;MIN(TODAY(),EOMONTH(Tabla7[[#This Row],[MES]],0)))</f>
        <v>118222.47111034537</v>
      </c>
      <c r="R15" s="271">
        <f ca="1">SUMIFS(SALIDAS!F:F,SALIDAS!A:A,"&gt;="&amp;Tabla7[[#This Row],[MES]],SALIDAS!A:A,"&lt;="&amp;MIN(TODAY(),EOMONTH(Tabla7[[#This Row],[MES]],0)))</f>
        <v>-137965.60973765998</v>
      </c>
      <c r="S15" s="272">
        <f ca="1">SUMIFS(SALIDAS!F:F,SALIDAS!U:U,"COR",SALIDAS!A:A,"&gt;="&amp;Tabla7[[#This Row],[MES]],SALIDAS!A:A,"&lt;="&amp;MIN(TODAY(),EOMONTH(Tabla7[[#This Row],[MES]],0)))</f>
        <v>-25586.868437999998</v>
      </c>
      <c r="T15" s="274">
        <f ca="1">Tabla7[[#This Row],[INGRESO MES RECIBIDO NETO]]+Tabla7[[#This Row],[COR]]+Tabla7[[#This Row],[Customer Success]]</f>
        <v>70868.498192345374</v>
      </c>
      <c r="U15" s="394">
        <f ca="1">+IFERROR(Tabla7[[#This Row],[MARGEN BRUTO]]/Tabla7[[#This Row],[INGRESO MES RECIBIDO NETO]],"null")</f>
        <v>0.59945032045725732</v>
      </c>
      <c r="V15" s="274">
        <f ca="1">SUMIFS(SALIDAS!F:F,SALIDAS!U:U,"OPEX",SALIDAS!V:V,Tabla7[[#Headers],[Sales &amp; Marketing]],SALIDAS!A:A,"&gt;="&amp;Tabla7[[#This Row],[MES]],SALIDAS!A:A,"&lt;="&amp;MIN(TODAY(),EOMONTH(Tabla7[[#This Row],[MES]],0)))</f>
        <v>-43349.472888159995</v>
      </c>
      <c r="W15" s="272">
        <f ca="1">SUMIFS(SALIDAS!F:F,SALIDAS!U:U,"OPEX",SALIDAS!V:V,Tabla7[[#Headers],[Research &amp; Development]],SALIDAS!A:A,"&gt;="&amp;Tabla7[[#This Row],[MES]],SALIDAS!A:A,"&lt;="&amp;MIN(TODAY(),EOMONTH(Tabla7[[#This Row],[MES]],0)))</f>
        <v>-947.51277999999979</v>
      </c>
      <c r="X15" s="272">
        <f ca="1">SUMIFS(SALIDAS!F:F,SALIDAS!U:U,"OPEX",SALIDAS!V:V,Tabla7[[#Headers],[General &amp; Administrative]],SALIDAS!A:A,"&gt;="&amp;Tabla7[[#This Row],[MES]],SALIDAS!A:A,"&lt;="&amp;MIN(TODAY(),EOMONTH(Tabla7[[#This Row],[MES]],0)))</f>
        <v>-45995.651151500002</v>
      </c>
      <c r="Y15" s="272">
        <f ca="1">SUMIFS(SALIDAS!F:F,SALIDAS!U:U,"OPEX",SALIDAS!V:V,Tabla7[[#Headers],[Customer Success]],SALIDAS!A:A,"&gt;="&amp;Tabla7[[#This Row],[MES]],SALIDAS!A:A,"&lt;="&amp;MIN(TODAY(),EOMONTH(Tabla7[[#This Row],[MES]],0)))</f>
        <v>-21767.104480000002</v>
      </c>
      <c r="Z15" s="271">
        <f ca="1">SUMIFS(SALIDAS!F:F,SALIDAS!U:U,"OPEX",SALIDAS!A:A,"&gt;="&amp;Tabla7[[#This Row],[MES]],SALIDAS!A:A,"&lt;="&amp;MIN(TODAY(),EOMONTH(Tabla7[[#This Row],[MES]],0)))</f>
        <v>-112059.74129966002</v>
      </c>
      <c r="AA15" s="275">
        <f ca="1">+Tabla7[[#This Row],[MARGEN BRUTO]]+SUM(Tabla7[[#This Row],[Sales &amp; Marketing]:[General &amp; Administrative]])</f>
        <v>-19424.13862731462</v>
      </c>
      <c r="AB15" s="276">
        <f ca="1">ABS(SUMIFS(SALIDAS!F:F,SALIDAS!U:U,"CAPEX",SALIDAS!A:A,"&gt;="&amp;Tabla7[[#This Row],[MES]],SALIDAS!A:A,"&lt;="&amp;MIN(TODAY(),EOMONTH(Tabla7[[#This Row],[MES]],0))))</f>
        <v>319</v>
      </c>
      <c r="AC15" s="81">
        <f ca="1">+Tabla7[[#This Row],[EBITDA]]-Tabla7[[#This Row],[TOTAL CAPEX]]</f>
        <v>-19743.13862731462</v>
      </c>
      <c r="AD15" s="81">
        <f ca="1">+Tabla7[[#This Row],[FCF]]+AD14</f>
        <v>-15945.856524987223</v>
      </c>
      <c r="AE15" s="79">
        <f ca="1">IFERROR(SUMIFS(SALIDAS!F:F,SALIDAS!U:U,"OPEX",SALIDAS!V:V,Tabla7[[#Headers],[Sales &amp; Marketing]],SALIDAS!A:A,"&gt;="&amp;Tabla7[[#This Row],[MES]],SALIDAS!A:A,"&lt;="&amp;MIN(TODAY(),EOMONTH(Tabla7[[#This Row],[MES]],0)))/_xlfn.XLOOKUP(Tabla7[[#This Row],[MES]],'COHORTES INGRESO'!A:A,'COHORTES INGRESO'!C:C),0)</f>
        <v>-4334.9472888159999</v>
      </c>
      <c r="AF15" s="271">
        <f ca="1">+IFERROR(Tabla7[[#This Row],[COR]]/Tabla711[[#This Row],[NUEVOS CLIENTES TOTAL]],0)</f>
        <v>-2558.6868437999997</v>
      </c>
      <c r="AG15" s="274">
        <f ca="1">Tabla7[[#This Row],[INGRESO MES RECIBIDO NETO]]+SUMIFS(SALIDAS!F:F,SALIDAS!T:T,"Costo variable",SALIDAS!A:A,"&gt;="&amp;Tabla7[[#This Row],[MES]],SALIDAS!A:A,"&lt;="&amp;MIN(TODAY(),EOMONTH(Tabla7[[#This Row],[MES]],0)))</f>
        <v>75722.465998185377</v>
      </c>
      <c r="AH15" s="79">
        <f ca="1">+IFERROR(AVERAGEIFS(INGRESOS!J:J,INGRESOS!$A:$A,"&gt;="&amp;Tabla7[[#This Row],[MES]],INGRESOS!$A:$A,"&lt;="&amp;MIN(TODAY(),EOMONTH(Tabla7[[#This Row],[MES]],0))),0)</f>
        <v>1028.0214879160467</v>
      </c>
    </row>
    <row r="16" spans="1:34">
      <c r="A16" s="58">
        <v>46023</v>
      </c>
      <c r="B16" s="63">
        <f>+Tabla7[[#This Row],[INGRESO MES RECIBIDO]]+Tabla7[[#This Row],[INGRESO PROGRAMADO PEND.]]</f>
        <v>140871.97666791451</v>
      </c>
      <c r="C16" s="233">
        <f>IFERROR((Tabla7[[#This Row],[INGRESO TOTAL MES]]/B15)-1,"0")</f>
        <v>0.13913613276931236</v>
      </c>
      <c r="D16" s="63">
        <f>SUMIFS(INGRESOS!G:G,INGRESOS!A:A,"&gt;="&amp;EOMONTH(Tabla7[[#This Row],[MES]],-1)+1,INGRESOS!A:A,"&lt;="&amp;EOMONTH(Tabla7[[#This Row],[MES]],0))</f>
        <v>140871.97666791451</v>
      </c>
      <c r="E16" s="309">
        <f ca="1">COUNTIFS(INGRESOS!$A:$A,"&gt;="&amp;Tabla7[[#This Row],[MES]],INGRESOS!$A:$A,"&lt;="&amp;MIN(TODAY(),EOMONTH(Tabla7[[#This Row],[MES]],0)))</f>
        <v>130</v>
      </c>
      <c r="F16"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0.98148587834049916</v>
      </c>
      <c r="G16" s="79">
        <f>SUMIFS('CALENDARIO INGRESOS'!I:I,'CALENDARIO INGRESOS'!G:G,"&gt;="&amp;EOMONTH(Tabla7[[#This Row],[MES]],-1)+1,'CALENDARIO INGRESOS'!G:G,"&lt;="&amp;EOMONTH(Tabla7[[#This Row],[MES]],0),'CALENDARIO INGRESOS'!L:L, "&lt;&gt;PAGADA",'CALENDARIO INGRESOS'!D:D,"&lt;&gt;ELIMINADO",'CALENDARIO INGRESOS'!D:D,"&lt;&gt;¡REGULARIZAR!")</f>
        <v>0</v>
      </c>
      <c r="H16"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16" s="341">
        <f ca="1">COUNTIFS('CALENDARIO INGRESOS'!$G:$G,"&gt;="&amp;EOMONTH(Tabla7[[#This Row],[MES]],-1)+1,'CALENDARIO INGRESOS'!$G:$G,"&lt;="&amp;EOMONTH(Tabla7[[#This Row],[MES]],0),'CALENDARIO INGRESOS'!$D:$D,"&lt;&gt;ELIMINADO",'CALENDARIO INGRESOS'!$D:$D,"&lt;&gt;¡REGULARIZAR!",'CALENDARIO INGRESOS'!$L:$L,"&lt;&gt;PAGADA",'CALENDARIO INGRESOS'!$G:$G,"&lt;="&amp;TODAY())</f>
        <v>0</v>
      </c>
      <c r="J16" s="63">
        <f ca="1">SUMIFS('CALENDARIO INGRESOS'!$I:$I,
                   'CALENDARIO INGRESOS'!$G:$G,"&gt;="&amp;EOMONTH(Tabla7[[#This Row],[MES]],-1)+1,
                   'CALENDARIO INGRESOS'!$G:$G,"&lt;="&amp;EOMONTH(Tabla7[[#This Row],[MES]],0),
                   'CALENDARIO INGRESOS'!$L:$L,"&lt;&gt;PAGADA",
                   'CALENDARIO INGRESOS'!$G:$G,"&gt;="&amp;TODAY(),'CALENDARIO INGRESOS'!$D:$D,"&lt;&gt;ELIMINADO",'CALENDARIO INGRESOS'!$D:$D,"&lt;&gt;¡REGULARIZAR!")</f>
        <v>0</v>
      </c>
      <c r="K16" s="346">
        <f ca="1">COUNTIFS('CALENDARIO INGRESOS'!$G:$G,"&gt;="&amp;EOMONTH(Tabla7[[#This Row],[MES]],-1)+1,'CALENDARIO INGRESOS'!$G:$G,"&lt;="&amp;EOMONTH(Tabla7[[#This Row],[MES]],0),'CALENDARIO INGRESOS'!$D:$D,"&lt;&gt;ELIMINADO",'CALENDARIO INGRESOS'!$D:$D,"&lt;&gt;¡REGULARIZAR!",'CALENDARIO INGRESOS'!$L:$L,"&lt;&gt;PAGADA",'CALENDARIO INGRESOS'!$G:$G,"&gt;="&amp;TODAY())</f>
        <v>0</v>
      </c>
      <c r="L16" s="63">
        <f>SUMIFS('CALENDARIO INGRESOS'!I:I,'CALENDARIO INGRESOS'!G:G,"&gt;="&amp;EOMONTH(Tabla7[[#This Row],[MES]],-1)+1,'CALENDARIO INGRESOS'!G:G,"&lt;="&amp;EOMONTH(Tabla7[[#This Row],[MES]],0),'CALENDARIO INGRESOS'!L:L, "&lt;&gt;PAGADA",'CALENDARIO INGRESOS'!D:D,"¡REGULARIZAR!")</f>
        <v>1599</v>
      </c>
      <c r="M16" s="346">
        <f>COUNTIFS('CALENDARIO INGRESOS'!$G:$G,"&gt;="&amp;EOMONTH(Tabla7[[#This Row],[MES]],-1)+1,'CALENDARIO INGRESOS'!$G:$G,"&lt;="&amp;EOMONTH(Tabla7[[#This Row],[MES]],0),'CALENDARIO INGRESOS'!$D:$D,"¡REGULARIZAR!",'CALENDARIO INGRESOS'!$L:$L,"&lt;&gt;PAGADA")</f>
        <v>2</v>
      </c>
      <c r="N16" s="488">
        <f>SUMIFS('CALENDARIO INGRESOS'!I:I,'CALENDARIO INGRESOS'!G:G,"&gt;="&amp;EOMONTH(Tabla7[[#This Row],[MES]],-1)+1,'CALENDARIO INGRESOS'!G:G,"&lt;="&amp;EOMONTH(Tabla7[[#This Row],[MES]],0),'CALENDARIO INGRESOS'!L:L, "&lt;&gt;PAGADA",'CALENDARIO INGRESOS'!D:D,"ELIMINADO")</f>
        <v>1000</v>
      </c>
      <c r="O16" s="184">
        <f>+IFERROR(Tabla7[[#This Row],[INCOBRABLE]]/Tabla7[[#This Row],[INGRESO TOTAL MES]],0)</f>
        <v>7.0986439152291919E-3</v>
      </c>
      <c r="P16" s="184">
        <f ca="1">IFERROR(AVERAGEIFS(INGRESOS!I:I,INGRESOS!A:A,"&gt;="&amp;Tabla7[[#This Row],[MES]],INGRESOS!A:A,"&lt;="&amp;MIN(TODAY(),EOMONTH(Tabla7[[#This Row],[MES]],0))),0)</f>
        <v>3.2565747744456031E-2</v>
      </c>
      <c r="Q16" s="283">
        <f ca="1">SUMIFS(INGRESOS!$J:$J,INGRESOS!$A:$A,"&gt;="&amp;Tabla7[[#This Row],[MES]],INGRESOS!$A:$A,"&lt;="&amp;MIN(TODAY(),EOMONTH(Tabla7[[#This Row],[MES]],0)))</f>
        <v>136271.11137522507</v>
      </c>
      <c r="R16" s="271">
        <f ca="1">SUMIFS(SALIDAS!F:F,SALIDAS!A:A,"&gt;="&amp;Tabla7[[#This Row],[MES]],SALIDAS!A:A,"&lt;="&amp;MIN(TODAY(),EOMONTH(Tabla7[[#This Row],[MES]],0)))</f>
        <v>-130616.68930558003</v>
      </c>
      <c r="S16" s="272">
        <f ca="1">SUMIFS(SALIDAS!F:F,SALIDAS!U:U,"COR",SALIDAS!A:A,"&gt;="&amp;Tabla7[[#This Row],[MES]],SALIDAS!A:A,"&lt;="&amp;MIN(TODAY(),EOMONTH(Tabla7[[#This Row],[MES]],0)))</f>
        <v>-14974.758627999998</v>
      </c>
      <c r="T16" s="273">
        <f ca="1">Tabla7[[#This Row],[INGRESO MES RECIBIDO NETO]]+Tabla7[[#This Row],[COR]]+Tabla7[[#This Row],[Customer Success]]</f>
        <v>106748.45773722508</v>
      </c>
      <c r="U16" s="388">
        <f ca="1">+IFERROR(Tabla7[[#This Row],[MARGEN BRUTO]]/Tabla7[[#This Row],[INGRESO MES RECIBIDO NETO]],"null")</f>
        <v>0.78335354177373073</v>
      </c>
      <c r="V16" s="274">
        <f ca="1">SUMIFS(SALIDAS!F:F,SALIDAS!U:U,"OPEX",SALIDAS!V:V,Tabla7[[#Headers],[Sales &amp; Marketing]],SALIDAS!A:A,"&gt;="&amp;Tabla7[[#This Row],[MES]],SALIDAS!A:A,"&lt;="&amp;MIN(TODAY(),EOMONTH(Tabla7[[#This Row],[MES]],0)))</f>
        <v>-46115.00200054</v>
      </c>
      <c r="W16" s="272">
        <f ca="1">SUMIFS(SALIDAS!F:F,SALIDAS!U:U,"OPEX",SALIDAS!V:V,Tabla7[[#Headers],[Research &amp; Development]],SALIDAS!A:A,"&gt;="&amp;Tabla7[[#This Row],[MES]],SALIDAS!A:A,"&lt;="&amp;MIN(TODAY(),EOMONTH(Tabla7[[#This Row],[MES]],0)))</f>
        <v>-1662.0709967599996</v>
      </c>
      <c r="X16" s="272">
        <f ca="1">SUMIFS(SALIDAS!F:F,SALIDAS!U:U,"OPEX",SALIDAS!V:V,Tabla7[[#Headers],[General &amp; Administrative]],SALIDAS!A:A,"&gt;="&amp;Tabla7[[#This Row],[MES]],SALIDAS!A:A,"&lt;="&amp;MIN(TODAY(),EOMONTH(Tabla7[[#This Row],[MES]],0)))</f>
        <v>-53316.962670280001</v>
      </c>
      <c r="Y16" s="272">
        <f ca="1">SUMIFS(SALIDAS!F:F,SALIDAS!U:U,"OPEX",SALIDAS!V:V,Tabla7[[#Headers],[Customer Success]],SALIDAS!A:A,"&gt;="&amp;Tabla7[[#This Row],[MES]],SALIDAS!A:A,"&lt;="&amp;MIN(TODAY(),EOMONTH(Tabla7[[#This Row],[MES]],0)))</f>
        <v>-14547.89501</v>
      </c>
      <c r="Z16" s="271">
        <f ca="1">SUMIFS(SALIDAS!F:F,SALIDAS!U:U,"OPEX",SALIDAS!A:A,"&gt;="&amp;Tabla7[[#This Row],[MES]],SALIDAS!A:A,"&lt;="&amp;MIN(TODAY(),EOMONTH(Tabla7[[#This Row],[MES]],0)))</f>
        <v>-115641.93067757999</v>
      </c>
      <c r="AA16" s="275">
        <f ca="1">+Tabla7[[#This Row],[MARGEN BRUTO]]+SUM(Tabla7[[#This Row],[Sales &amp; Marketing]:[General &amp; Administrative]])</f>
        <v>5654.4220696450793</v>
      </c>
      <c r="AB16" s="276">
        <f ca="1">ABS(SUMIFS(SALIDAS!F:F,SALIDAS!U:U,"CAPEX",SALIDAS!A:A,"&gt;="&amp;Tabla7[[#This Row],[MES]],SALIDAS!A:A,"&lt;="&amp;MIN(TODAY(),EOMONTH(Tabla7[[#This Row],[MES]],0))))</f>
        <v>0</v>
      </c>
      <c r="AC16" s="81">
        <f ca="1">+Tabla7[[#This Row],[EBITDA]]-Tabla7[[#This Row],[TOTAL CAPEX]]</f>
        <v>5654.4220696450793</v>
      </c>
      <c r="AD16" s="81">
        <f ca="1">+Tabla7[[#This Row],[FCF]]+AD15</f>
        <v>-10291.434455342143</v>
      </c>
      <c r="AE16" s="79">
        <f ca="1">IFERROR(SUMIFS(SALIDAS!F:F,SALIDAS!U:U,"OPEX",SALIDAS!V:V,Tabla7[[#Headers],[Sales &amp; Marketing]],SALIDAS!A:A,"&gt;="&amp;Tabla7[[#This Row],[MES]],SALIDAS!A:A,"&lt;="&amp;MIN(TODAY(),EOMONTH(Tabla7[[#This Row],[MES]],0)))/_xlfn.XLOOKUP(Tabla7[[#This Row],[MES]],'COHORTES INGRESO'!A:A,'COHORTES INGRESO'!C:C),0)</f>
        <v>-3074.3334667026666</v>
      </c>
      <c r="AF16" s="271">
        <f ca="1">+IFERROR(Tabla7[[#This Row],[COR]]/Tabla711[[#This Row],[NUEVOS CLIENTES TOTAL]],0)</f>
        <v>-998.31724186666656</v>
      </c>
      <c r="AG16" s="274">
        <f ca="1">Tabla7[[#This Row],[INGRESO MES RECIBIDO NETO]]+SUMIFS(SALIDAS!F:F,SALIDAS!T:T,"Costo variable",SALIDAS!A:A,"&gt;="&amp;Tabla7[[#This Row],[MES]],SALIDAS!A:A,"&lt;="&amp;MIN(TODAY(),EOMONTH(Tabla7[[#This Row],[MES]],0)))</f>
        <v>102724.16586872507</v>
      </c>
      <c r="AH16" s="79">
        <f ca="1">+IFERROR(AVERAGEIFS(INGRESOS!J:J,INGRESOS!$A:$A,"&gt;="&amp;Tabla7[[#This Row],[MES]],INGRESOS!$A:$A,"&lt;="&amp;MIN(TODAY(),EOMONTH(Tabla7[[#This Row],[MES]],0))),0)</f>
        <v>1048.239318270962</v>
      </c>
    </row>
    <row r="17" spans="1:34">
      <c r="A17" s="24">
        <v>46054</v>
      </c>
      <c r="B17" s="63">
        <f>+Tabla7[[#This Row],[INGRESO MES RECIBIDO]]+Tabla7[[#This Row],[INGRESO PROGRAMADO PEND.]]</f>
        <v>118330.16816277457</v>
      </c>
      <c r="C17" s="233">
        <f>IFERROR((Tabla7[[#This Row],[INGRESO TOTAL MES]]/B16)-1,"0")</f>
        <v>-0.16001627178327327</v>
      </c>
      <c r="D17" s="63">
        <f>SUMIFS(INGRESOS!G:G,INGRESOS!A:A,"&gt;="&amp;EOMONTH(Tabla7[[#This Row],[MES]],-1)+1,INGRESOS!A:A,"&lt;="&amp;EOMONTH(Tabla7[[#This Row],[MES]],0))</f>
        <v>115480.16816277457</v>
      </c>
      <c r="E17" s="309">
        <f ca="1">COUNTIFS(INGRESOS!$A:$A,"&gt;="&amp;Tabla7[[#This Row],[MES]],INGRESOS!$A:$A,"&lt;="&amp;MIN(TODAY(),EOMONTH(Tabla7[[#This Row],[MES]],0)))</f>
        <v>123</v>
      </c>
      <c r="F17"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0.85275903060273217</v>
      </c>
      <c r="G17" s="79">
        <f>SUMIFS('CALENDARIO INGRESOS'!I:I,'CALENDARIO INGRESOS'!G:G,"&gt;="&amp;EOMONTH(Tabla7[[#This Row],[MES]],-1)+1,'CALENDARIO INGRESOS'!G:G,"&lt;="&amp;EOMONTH(Tabla7[[#This Row],[MES]],0),'CALENDARIO INGRESOS'!L:L, "&lt;&gt;PAGADA",'CALENDARIO INGRESOS'!D:D,"&lt;&gt;ELIMINADO",'CALENDARIO INGRESOS'!D:D,"&lt;&gt;¡REGULARIZAR!")</f>
        <v>2850</v>
      </c>
      <c r="H17" s="63">
        <f ca="1">SUMIFS('CALENDARIO INGRESOS'!$I:$I,
                   'CALENDARIO INGRESOS'!$G:$G,"&gt;="&amp;EOMONTH(Tabla7[[#This Row],[MES]],-1)+1,
                   'CALENDARIO INGRESOS'!$G:$G,"&lt;="&amp;EOMONTH(Tabla7[[#This Row],[MES]],0),
                   'CALENDARIO INGRESOS'!$L:$L,"&lt;&gt;PAGADA",
                   'CALENDARIO INGRESOS'!$G:$G,"&lt;="&amp;TODAY(),'CALENDARIO INGRESOS'!D:D,"&lt;&gt;¡REGULARIZAR!",'CALENDARIO INGRESOS'!D:D,"&lt;&gt;ELIMINADO")</f>
        <v>2850</v>
      </c>
      <c r="I17" s="341">
        <f ca="1">COUNTIFS('CALENDARIO INGRESOS'!$G:$G,"&gt;="&amp;EOMONTH(Tabla7[[#This Row],[MES]],-1)+1,'CALENDARIO INGRESOS'!$G:$G,"&lt;="&amp;EOMONTH(Tabla7[[#This Row],[MES]],0),'CALENDARIO INGRESOS'!$D:$D,"&lt;&gt;ELIMINADO",'CALENDARIO INGRESOS'!$D:$D,"&lt;&gt;¡REGULARIZAR!",'CALENDARIO INGRESOS'!$L:$L,"&lt;&gt;PAGADA",'CALENDARIO INGRESOS'!$G:$G,"&lt;="&amp;TODAY())</f>
        <v>3</v>
      </c>
      <c r="J17" s="63">
        <f ca="1">SUMIFS('CALENDARIO INGRESOS'!$I:$I,
                   'CALENDARIO INGRESOS'!$G:$G,"&gt;="&amp;EOMONTH(Tabla7[[#This Row],[MES]],-1)+1,
                   'CALENDARIO INGRESOS'!$G:$G,"&lt;="&amp;EOMONTH(Tabla7[[#This Row],[MES]],0),
                   'CALENDARIO INGRESOS'!$L:$L,"&lt;&gt;PAGADA",
                   'CALENDARIO INGRESOS'!$G:$G,"&gt;="&amp;TODAY(),'CALENDARIO INGRESOS'!$D:$D,"&lt;&gt;ELIMINADO",'CALENDARIO INGRESOS'!$D:$D,"&lt;&gt;¡REGULARIZAR!")</f>
        <v>0</v>
      </c>
      <c r="K17" s="346">
        <f ca="1">COUNTIFS('CALENDARIO INGRESOS'!$G:$G,"&gt;="&amp;EOMONTH(Tabla7[[#This Row],[MES]],-1)+1,'CALENDARIO INGRESOS'!$G:$G,"&lt;="&amp;EOMONTH(Tabla7[[#This Row],[MES]],0),'CALENDARIO INGRESOS'!$D:$D,"&lt;&gt;ELIMINADO",'CALENDARIO INGRESOS'!$D:$D,"&lt;&gt;¡REGULARIZAR!",'CALENDARIO INGRESOS'!$L:$L,"&lt;&gt;PAGADA",'CALENDARIO INGRESOS'!$G:$G,"&gt;="&amp;TODAY())</f>
        <v>0</v>
      </c>
      <c r="L17" s="63">
        <f>SUMIFS('CALENDARIO INGRESOS'!I:I,'CALENDARIO INGRESOS'!G:G,"&gt;="&amp;EOMONTH(Tabla7[[#This Row],[MES]],-1)+1,'CALENDARIO INGRESOS'!G:G,"&lt;="&amp;EOMONTH(Tabla7[[#This Row],[MES]],0),'CALENDARIO INGRESOS'!L:L, "&lt;&gt;PAGADA",'CALENDARIO INGRESOS'!D:D,"¡REGULARIZAR!")</f>
        <v>6674</v>
      </c>
      <c r="M17" s="346">
        <f>COUNTIFS('CALENDARIO INGRESOS'!$G:$G,"&gt;="&amp;EOMONTH(Tabla7[[#This Row],[MES]],-1)+1,'CALENDARIO INGRESOS'!$G:$G,"&lt;="&amp;EOMONTH(Tabla7[[#This Row],[MES]],0),'CALENDARIO INGRESOS'!$D:$D,"¡REGULARIZAR!",'CALENDARIO INGRESOS'!$L:$L,"&lt;&gt;PAGADA")</f>
        <v>5</v>
      </c>
      <c r="N17" s="488">
        <f>SUMIFS('CALENDARIO INGRESOS'!I:I,'CALENDARIO INGRESOS'!G:G,"&gt;="&amp;EOMONTH(Tabla7[[#This Row],[MES]],-1)+1,'CALENDARIO INGRESOS'!G:G,"&lt;="&amp;EOMONTH(Tabla7[[#This Row],[MES]],0),'CALENDARIO INGRESOS'!L:L, "&lt;&gt;PAGADA",'CALENDARIO INGRESOS'!D:D,"ELIMINADO")</f>
        <v>9500</v>
      </c>
      <c r="O17" s="184">
        <f>+IFERROR(Tabla7[[#This Row],[INCOBRABLE]]/Tabla7[[#This Row],[INGRESO TOTAL MES]],0)</f>
        <v>8.028383756652685E-2</v>
      </c>
      <c r="P17" s="184">
        <f ca="1">IFERROR(AVERAGEIFS(INGRESOS!I:I,INGRESOS!A:A,"&gt;="&amp;Tabla7[[#This Row],[MES]],INGRESOS!A:A,"&lt;="&amp;MIN(TODAY(),EOMONTH(Tabla7[[#This Row],[MES]],0))),0)</f>
        <v>3.1252726374221385E-2</v>
      </c>
      <c r="Q17" s="283">
        <f ca="1">SUMIFS(INGRESOS!$J:$J,INGRESOS!$A:$A,"&gt;="&amp;Tabla7[[#This Row],[MES]],INGRESOS!$A:$A,"&lt;="&amp;MIN(TODAY(),EOMONTH(Tabla7[[#This Row],[MES]],0)))</f>
        <v>111993.36960195117</v>
      </c>
      <c r="R17" s="271">
        <f ca="1">SUMIFS(SALIDAS!F:F,SALIDAS!A:A,"&gt;="&amp;Tabla7[[#This Row],[MES]],SALIDAS!A:A,"&lt;="&amp;MIN(TODAY(),EOMONTH(Tabla7[[#This Row],[MES]],0)))</f>
        <v>-118741.94892173003</v>
      </c>
      <c r="S17" s="272">
        <f ca="1">SUMIFS(SALIDAS!F:F,SALIDAS!U:U,"COR",SALIDAS!A:A,"&gt;="&amp;Tabla7[[#This Row],[MES]],SALIDAS!A:A,"&lt;="&amp;MIN(TODAY(),EOMONTH(Tabla7[[#This Row],[MES]],0)))</f>
        <v>-5816.9545860000007</v>
      </c>
      <c r="T17" s="274">
        <f ca="1">Tabla7[[#This Row],[INGRESO MES RECIBIDO NETO]]+Tabla7[[#This Row],[COR]]+Tabla7[[#This Row],[Customer Success]]</f>
        <v>94117.175015951158</v>
      </c>
      <c r="U17" s="394">
        <f ca="1">+IFERROR(Tabla7[[#This Row],[MARGEN BRUTO]]/Tabla7[[#This Row],[INGRESO MES RECIBIDO NETO]],"null")</f>
        <v>0.84038167036552336</v>
      </c>
      <c r="V17" s="274">
        <f ca="1">SUMIFS(SALIDAS!F:F,SALIDAS!U:U,"OPEX",SALIDAS!V:V,Tabla7[[#Headers],[Sales &amp; Marketing]],SALIDAS!A:A,"&gt;="&amp;Tabla7[[#This Row],[MES]],SALIDAS!A:A,"&lt;="&amp;MIN(TODAY(),EOMONTH(Tabla7[[#This Row],[MES]],0)))</f>
        <v>-53087.01670818001</v>
      </c>
      <c r="W17" s="272">
        <f ca="1">SUMIFS(SALIDAS!F:F,SALIDAS!U:U,"OPEX",SALIDAS!V:V,Tabla7[[#Headers],[Research &amp; Development]],SALIDAS!A:A,"&gt;="&amp;Tabla7[[#This Row],[MES]],SALIDAS!A:A,"&lt;="&amp;MIN(TODAY(),EOMONTH(Tabla7[[#This Row],[MES]],0)))</f>
        <v>-902.14188416000002</v>
      </c>
      <c r="X17" s="272">
        <f ca="1">SUMIFS(SALIDAS!F:F,SALIDAS!U:U,"OPEX",SALIDAS!V:V,Tabla7[[#Headers],[General &amp; Administrative]],SALIDAS!A:A,"&gt;="&amp;Tabla7[[#This Row],[MES]],SALIDAS!A:A,"&lt;="&amp;MIN(TODAY(),EOMONTH(Tabla7[[#This Row],[MES]],0)))</f>
        <v>-46876.595743389997</v>
      </c>
      <c r="Y17" s="272">
        <f ca="1">SUMIFS(SALIDAS!F:F,SALIDAS!U:U,"OPEX",SALIDAS!V:V,Tabla7[[#Headers],[Customer Success]],SALIDAS!A:A,"&gt;="&amp;Tabla7[[#This Row],[MES]],SALIDAS!A:A,"&lt;="&amp;MIN(TODAY(),EOMONTH(Tabla7[[#This Row],[MES]],0)))</f>
        <v>-12059.240000000002</v>
      </c>
      <c r="Z17" s="271">
        <f ca="1">SUMIFS(SALIDAS!F:F,SALIDAS!U:U,"OPEX",SALIDAS!A:A,"&gt;="&amp;Tabla7[[#This Row],[MES]],SALIDAS!A:A,"&lt;="&amp;MIN(TODAY(),EOMONTH(Tabla7[[#This Row],[MES]],0)))</f>
        <v>-112924.99433573002</v>
      </c>
      <c r="AA17" s="275">
        <f ca="1">+Tabla7[[#This Row],[MARGEN BRUTO]]+SUM(Tabla7[[#This Row],[Sales &amp; Marketing]:[General &amp; Administrative]])</f>
        <v>-6748.5793197788589</v>
      </c>
      <c r="AB17" s="276">
        <f ca="1">ABS(SUMIFS(SALIDAS!F:F,SALIDAS!U:U,"CAPEX",SALIDAS!A:A,"&gt;="&amp;Tabla7[[#This Row],[MES]],SALIDAS!A:A,"&lt;="&amp;MIN(TODAY(),EOMONTH(Tabla7[[#This Row],[MES]],0))))</f>
        <v>0</v>
      </c>
      <c r="AC17" s="81">
        <f ca="1">+Tabla7[[#This Row],[EBITDA]]-Tabla7[[#This Row],[TOTAL CAPEX]]</f>
        <v>-6748.5793197788589</v>
      </c>
      <c r="AD17" s="81">
        <f ca="1">+Tabla7[[#This Row],[FCF]]+AD16</f>
        <v>-17040.013775121002</v>
      </c>
      <c r="AE17" s="79">
        <f ca="1">IFERROR(SUMIFS(SALIDAS!F:F,SALIDAS!U:U,"OPEX",SALIDAS!V:V,Tabla7[[#Headers],[Sales &amp; Marketing]],SALIDAS!A:A,"&gt;="&amp;Tabla7[[#This Row],[MES]],SALIDAS!A:A,"&lt;="&amp;MIN(TODAY(),EOMONTH(Tabla7[[#This Row],[MES]],0)))/_xlfn.XLOOKUP(Tabla7[[#This Row],[MES]],'COHORTES INGRESO'!A:A,'COHORTES INGRESO'!C:C),0)</f>
        <v>-10617.403341636002</v>
      </c>
      <c r="AF17" s="271">
        <f ca="1">+IFERROR(Tabla7[[#This Row],[COR]]/Tabla711[[#This Row],[NUEVOS CLIENTES TOTAL]],0)</f>
        <v>-1163.3909172000001</v>
      </c>
      <c r="AG17" s="274">
        <f ca="1">Tabla7[[#This Row],[INGRESO MES RECIBIDO NETO]]+SUMIFS(SALIDAS!F:F,SALIDAS!T:T,"Costo variable",SALIDAS!A:A,"&gt;="&amp;Tabla7[[#This Row],[MES]],SALIDAS!A:A,"&lt;="&amp;MIN(TODAY(),EOMONTH(Tabla7[[#This Row],[MES]],0)))</f>
        <v>84825.805784571159</v>
      </c>
      <c r="AH17" s="79">
        <f ca="1">+IFERROR(AVERAGEIFS(INGRESOS!J:J,INGRESOS!$A:$A,"&gt;="&amp;Tabla7[[#This Row],[MES]],INGRESOS!$A:$A,"&lt;="&amp;MIN(TODAY(),EOMONTH(Tabla7[[#This Row],[MES]],0))),0)</f>
        <v>910.51520001586312</v>
      </c>
    </row>
    <row r="18" spans="1:34" s="270" customFormat="1" ht="30.5" customHeight="1">
      <c r="A18" s="265">
        <v>46082</v>
      </c>
      <c r="B18" s="266">
        <f>+Tabla7[[#This Row],[INGRESO MES RECIBIDO]]+Tabla7[[#This Row],[INGRESO PROGRAMADO PEND.]]</f>
        <v>96068.919050600787</v>
      </c>
      <c r="C18" s="267">
        <f>IFERROR((Tabla7[[#This Row],[INGRESO TOTAL MES]]/B17)-1,"0")</f>
        <v>-0.18812826397365789</v>
      </c>
      <c r="D18" s="266">
        <f>SUMIFS(INGRESOS!G:G,INGRESOS!A:A,"&gt;="&amp;EOMONTH(Tabla7[[#This Row],[MES]],-1)+1,INGRESOS!A:A,"&lt;="&amp;EOMONTH(Tabla7[[#This Row],[MES]],0))</f>
        <v>38328.91905060078</v>
      </c>
      <c r="E18" s="310">
        <f ca="1">COUNTIFS(INGRESOS!$A:$A,"&gt;="&amp;Tabla7[[#This Row],[MES]],INGRESOS!$A:$A,"&lt;="&amp;MIN(TODAY(),EOMONTH(Tabla7[[#This Row],[MES]],0)))</f>
        <v>44</v>
      </c>
      <c r="F18" s="55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0.36453485041659683</v>
      </c>
      <c r="G18" s="266">
        <f>SUMIFS('CALENDARIO INGRESOS'!I:I,'CALENDARIO INGRESOS'!G:G,"&gt;="&amp;EOMONTH(Tabla7[[#This Row],[MES]],-1)+1,'CALENDARIO INGRESOS'!G:G,"&lt;="&amp;EOMONTH(Tabla7[[#This Row],[MES]],0),'CALENDARIO INGRESOS'!L:L, "&lt;&gt;PAGADA",'CALENDARIO INGRESOS'!D:D,"&lt;&gt;ELIMINADO",'CALENDARIO INGRESOS'!D:D,"&lt;&gt;¡REGULARIZAR!")</f>
        <v>57740</v>
      </c>
      <c r="H18" s="266">
        <f ca="1">SUMIFS('CALENDARIO INGRESOS'!$I:$I,
                   'CALENDARIO INGRESOS'!$G:$G,"&gt;="&amp;EOMONTH(Tabla7[[#This Row],[MES]],-1)+1,
                   'CALENDARIO INGRESOS'!$G:$G,"&lt;="&amp;EOMONTH(Tabla7[[#This Row],[MES]],0),
                   'CALENDARIO INGRESOS'!$L:$L,"&lt;&gt;PAGADA",
                   'CALENDARIO INGRESOS'!$G:$G,"&lt;="&amp;TODAY(),'CALENDARIO INGRESOS'!D:D,"&lt;&gt;¡REGULARIZAR!",'CALENDARIO INGRESOS'!D:D,"&lt;&gt;ELIMINADO")</f>
        <v>1700</v>
      </c>
      <c r="I18" s="342">
        <f ca="1">COUNTIFS('CALENDARIO INGRESOS'!$G:$G,"&gt;="&amp;EOMONTH(Tabla7[[#This Row],[MES]],-1)+1,'CALENDARIO INGRESOS'!$G:$G,"&lt;="&amp;EOMONTH(Tabla7[[#This Row],[MES]],0),'CALENDARIO INGRESOS'!$D:$D,"&lt;&gt;ELIMINADO",'CALENDARIO INGRESOS'!$D:$D,"&lt;&gt;¡REGULARIZAR!",'CALENDARIO INGRESOS'!$L:$L,"&lt;&gt;PAGADA",'CALENDARIO INGRESOS'!$G:$G,"&lt;="&amp;TODAY())</f>
        <v>2</v>
      </c>
      <c r="J18" s="266">
        <f ca="1">SUMIFS('CALENDARIO INGRESOS'!$I:$I,
                   'CALENDARIO INGRESOS'!$G:$G,"&gt;="&amp;EOMONTH(Tabla7[[#This Row],[MES]],-1)+1,
                   'CALENDARIO INGRESOS'!$G:$G,"&lt;="&amp;EOMONTH(Tabla7[[#This Row],[MES]],0),
                   'CALENDARIO INGRESOS'!$L:$L,"&lt;&gt;PAGADA",
                   'CALENDARIO INGRESOS'!$G:$G,"&gt;="&amp;TODAY(),'CALENDARIO INGRESOS'!$D:$D,"&lt;&gt;ELIMINADO",'CALENDARIO INGRESOS'!$D:$D,"&lt;&gt;¡REGULARIZAR!")</f>
        <v>56040</v>
      </c>
      <c r="K18" s="347">
        <f ca="1">COUNTIFS('CALENDARIO INGRESOS'!$G:$G,"&gt;="&amp;EOMONTH(Tabla7[[#This Row],[MES]],-1)+1,'CALENDARIO INGRESOS'!$G:$G,"&lt;="&amp;EOMONTH(Tabla7[[#This Row],[MES]],0),'CALENDARIO INGRESOS'!$D:$D,"&lt;&gt;ELIMINADO",'CALENDARIO INGRESOS'!$D:$D,"&lt;&gt;¡REGULARIZAR!",'CALENDARIO INGRESOS'!$L:$L,"&lt;&gt;PAGADA",'CALENDARIO INGRESOS'!$G:$G,"&gt;="&amp;TODAY())</f>
        <v>64</v>
      </c>
      <c r="L18" s="266">
        <f>SUMIFS('CALENDARIO INGRESOS'!I:I,'CALENDARIO INGRESOS'!G:G,"&gt;="&amp;EOMONTH(Tabla7[[#This Row],[MES]],-1)+1,'CALENDARIO INGRESOS'!G:G,"&lt;="&amp;EOMONTH(Tabla7[[#This Row],[MES]],0),'CALENDARIO INGRESOS'!L:L, "&lt;&gt;PAGADA",'CALENDARIO INGRESOS'!D:D,"¡REGULARIZAR!")</f>
        <v>2275</v>
      </c>
      <c r="M18" s="347">
        <f>COUNTIFS('CALENDARIO INGRESOS'!$G:$G,"&gt;="&amp;EOMONTH(Tabla7[[#This Row],[MES]],-1)+1,'CALENDARIO INGRESOS'!$G:$G,"&lt;="&amp;EOMONTH(Tabla7[[#This Row],[MES]],0),'CALENDARIO INGRESOS'!$D:$D,"¡REGULARIZAR!",'CALENDARIO INGRESOS'!$L:$L,"&lt;&gt;PAGADA")</f>
        <v>3</v>
      </c>
      <c r="N18" s="489">
        <f>SUMIFS('CALENDARIO INGRESOS'!I:I,'CALENDARIO INGRESOS'!G:G,"&gt;="&amp;EOMONTH(Tabla7[[#This Row],[MES]],-1)+1,'CALENDARIO INGRESOS'!G:G,"&lt;="&amp;EOMONTH(Tabla7[[#This Row],[MES]],0),'CALENDARIO INGRESOS'!L:L, "&lt;&gt;PAGADA",'CALENDARIO INGRESOS'!D:D,"ELIMINADO")</f>
        <v>0</v>
      </c>
      <c r="O18" s="268">
        <f>+IFERROR(Tabla7[[#This Row],[INCOBRABLE]]/Tabla7[[#This Row],[INGRESO TOTAL MES]],0)</f>
        <v>0</v>
      </c>
      <c r="P18" s="268">
        <f ca="1">IFERROR(AVERAGEIFS(INGRESOS!I:I,INGRESOS!A:A,"&gt;="&amp;Tabla7[[#This Row],[MES]],INGRESOS!A:A,"&lt;="&amp;MIN(TODAY(),EOMONTH(Tabla7[[#This Row],[MES]],0))),0)</f>
        <v>3.2719329029183633E-2</v>
      </c>
      <c r="Q18" s="284">
        <f ca="1">SUMIFS(INGRESOS!$J:$J,INGRESOS!$A:$A,"&gt;="&amp;Tabla7[[#This Row],[MES]],INGRESOS!$A:$A,"&lt;="&amp;MIN(TODAY(),EOMONTH(Tabla7[[#This Row],[MES]],0)))</f>
        <v>37064.051829412769</v>
      </c>
      <c r="R18" s="279">
        <f ca="1">SUMIFS(SALIDAS!F:F,SALIDAS!A:A,"&gt;="&amp;Tabla7[[#This Row],[MES]],SALIDAS!A:A,"&lt;="&amp;MIN(TODAY(),EOMONTH(Tabla7[[#This Row],[MES]],0)))</f>
        <v>-1514123.1470872501</v>
      </c>
      <c r="S18" s="280">
        <f ca="1">SUMIFS(SALIDAS!F:F,SALIDAS!U:U,"COR",SALIDAS!A:A,"&gt;="&amp;Tabla7[[#This Row],[MES]],SALIDAS!A:A,"&lt;="&amp;MIN(TODAY(),EOMONTH(Tabla7[[#This Row],[MES]],0)))</f>
        <v>-1480688.3742500001</v>
      </c>
      <c r="T18" s="281">
        <f ca="1">Tabla7[[#This Row],[INGRESO MES RECIBIDO NETO]]+Tabla7[[#This Row],[COR]]+Tabla7[[#This Row],[Customer Success]]</f>
        <v>-1448164.2024205872</v>
      </c>
      <c r="U18" s="389">
        <f ca="1">+IFERROR(Tabla7[[#This Row],[MARGEN BRUTO]]/Tabla7[[#This Row],[INGRESO MES RECIBIDO NETO]],"null")</f>
        <v>-39.071934420061794</v>
      </c>
      <c r="V18" s="281">
        <f ca="1">SUMIFS(SALIDAS!F:F,SALIDAS!U:U,"OPEX",SALIDAS!V:V,Tabla7[[#Headers],[Sales &amp; Marketing]],SALIDAS!A:A,"&gt;="&amp;Tabla7[[#This Row],[MES]],SALIDAS!A:A,"&lt;="&amp;MIN(TODAY(),EOMONTH(Tabla7[[#This Row],[MES]],0)))</f>
        <v>-15192.122097649999</v>
      </c>
      <c r="W18" s="280">
        <f ca="1">SUMIFS(SALIDAS!F:F,SALIDAS!U:U,"OPEX",SALIDAS!V:V,Tabla7[[#Headers],[Research &amp; Development]],SALIDAS!A:A,"&gt;="&amp;Tabla7[[#This Row],[MES]],SALIDAS!A:A,"&lt;="&amp;MIN(TODAY(),EOMONTH(Tabla7[[#This Row],[MES]],0)))</f>
        <v>-938.52583660000005</v>
      </c>
      <c r="X18" s="280">
        <f ca="1">SUMIFS(SALIDAS!F:F,SALIDAS!U:U,"OPEX",SALIDAS!V:V,Tabla7[[#Headers],[General &amp; Administrative]],SALIDAS!A:A,"&gt;="&amp;Tabla7[[#This Row],[MES]],SALIDAS!A:A,"&lt;="&amp;MIN(TODAY(),EOMONTH(Tabla7[[#This Row],[MES]],0)))</f>
        <v>-12764.244903000001</v>
      </c>
      <c r="Y18" s="280">
        <f ca="1">SUMIFS(SALIDAS!F:F,SALIDAS!U:U,"OPEX",SALIDAS!V:V,Tabla7[[#Headers],[Customer Success]],SALIDAS!A:A,"&gt;="&amp;Tabla7[[#This Row],[MES]],SALIDAS!A:A,"&lt;="&amp;MIN(TODAY(),EOMONTH(Tabla7[[#This Row],[MES]],0)))</f>
        <v>-4539.88</v>
      </c>
      <c r="Z18" s="279">
        <f ca="1">SUMIFS(SALIDAS!F:F,SALIDAS!U:U,"OPEX",SALIDAS!A:A,"&gt;="&amp;Tabla7[[#This Row],[MES]],SALIDAS!A:A,"&lt;="&amp;MIN(TODAY(),EOMONTH(Tabla7[[#This Row],[MES]],0)))</f>
        <v>-33434.772837249999</v>
      </c>
      <c r="AA18" s="269">
        <f ca="1">+Tabla7[[#This Row],[MARGEN BRUTO]]+SUM(Tabla7[[#This Row],[Sales &amp; Marketing]:[General &amp; Administrative]])</f>
        <v>-1477059.0952578371</v>
      </c>
      <c r="AB18" s="282">
        <f ca="1">ABS(SUMIFS(SALIDAS!F:F,SALIDAS!U:U,"CAPEX",SALIDAS!A:A,"&gt;="&amp;Tabla7[[#This Row],[MES]],SALIDAS!A:A,"&lt;="&amp;MIN(TODAY(),EOMONTH(Tabla7[[#This Row],[MES]],0))))</f>
        <v>0</v>
      </c>
      <c r="AC18" s="269">
        <f ca="1">+Tabla7[[#This Row],[EBITDA]]-Tabla7[[#This Row],[TOTAL CAPEX]]</f>
        <v>-1477059.0952578371</v>
      </c>
      <c r="AD18" s="269">
        <f ca="1">+Tabla7[[#This Row],[FCF]]</f>
        <v>-1477059.0952578371</v>
      </c>
      <c r="AE18" s="269">
        <f ca="1">IFERROR(SUMIFS(SALIDAS!F:F,SALIDAS!U:U,"OPEX",SALIDAS!V:V,Tabla7[[#Headers],[Sales &amp; Marketing]],SALIDAS!A:A,"&gt;="&amp;Tabla7[[#This Row],[MES]],SALIDAS!A:A,"&lt;="&amp;MIN(TODAY(),EOMONTH(Tabla7[[#This Row],[MES]],0)))/_xlfn.XLOOKUP(Tabla7[[#This Row],[MES]],'COHORTES INGRESO'!A:A,'COHORTES INGRESO'!C:C),0)</f>
        <v>-3798.0305244124997</v>
      </c>
      <c r="AF18" s="279">
        <f ca="1">+IFERROR(Tabla7[[#This Row],[COR]]/Tabla711[[#This Row],[NUEVOS CLIENTES TOTAL]],0)</f>
        <v>-370172.09356250003</v>
      </c>
      <c r="AG18" s="281">
        <f ca="1">Tabla7[[#This Row],[INGRESO MES RECIBIDO NETO]]+SUMIFS(SALIDAS!F:F,SALIDAS!T:T,"Costo variable",SALIDAS!A:A,"&gt;="&amp;Tabla7[[#This Row],[MES]],SALIDAS!A:A,"&lt;="&amp;MIN(TODAY(),EOMONTH(Tabla7[[#This Row],[MES]],0)))</f>
        <v>-1458644.6302832372</v>
      </c>
      <c r="AH18" s="269">
        <f ca="1">+IFERROR(AVERAGEIFS(INGRESOS!J:J,INGRESOS!$A:$A,"&gt;="&amp;Tabla7[[#This Row],[MES]],INGRESOS!$A:$A,"&lt;="&amp;MIN(TODAY(),EOMONTH(Tabla7[[#This Row],[MES]],0))),0)</f>
        <v>842.3648143048357</v>
      </c>
    </row>
    <row r="19" spans="1:34">
      <c r="A19" s="24">
        <v>46113</v>
      </c>
      <c r="B19" s="63">
        <f>+Tabla7[[#This Row],[INGRESO MES RECIBIDO]]+Tabla7[[#This Row],[INGRESO PROGRAMADO PEND.]]</f>
        <v>113413.63</v>
      </c>
      <c r="C19" s="233">
        <f>IFERROR((Tabla7[[#This Row],[INGRESO TOTAL MES]]/B18)-1,"0")</f>
        <v>0.1805444582993958</v>
      </c>
      <c r="D19" s="63">
        <f>SUMIFS(INGRESOS!G:G,INGRESOS!A:A,"&gt;="&amp;EOMONTH(Tabla7[[#This Row],[MES]],-1)+1,INGRESOS!A:A,"&lt;="&amp;EOMONTH(Tabla7[[#This Row],[MES]],0))</f>
        <v>0</v>
      </c>
      <c r="E19" s="309">
        <f ca="1">COUNTIFS(INGRESOS!$A:$A,"&gt;="&amp;Tabla7[[#This Row],[MES]],INGRESOS!$A:$A,"&lt;="&amp;MIN(TODAY(),EOMONTH(Tabla7[[#This Row],[MES]],0)))</f>
        <v>0</v>
      </c>
      <c r="F19"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v>
      </c>
      <c r="G19" s="79">
        <f>SUMIFS('CALENDARIO INGRESOS'!I:I,'CALENDARIO INGRESOS'!G:G,"&gt;="&amp;EOMONTH(Tabla7[[#This Row],[MES]],-1)+1,'CALENDARIO INGRESOS'!G:G,"&lt;="&amp;EOMONTH(Tabla7[[#This Row],[MES]],0),'CALENDARIO INGRESOS'!L:L, "&lt;&gt;PAGADA",'CALENDARIO INGRESOS'!D:D,"&lt;&gt;ELIMINADO",'CALENDARIO INGRESOS'!D:D,"&lt;&gt;¡REGULARIZAR!")</f>
        <v>113413.63</v>
      </c>
      <c r="H19"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19" s="341">
        <f ca="1">COUNTIFS('CALENDARIO INGRESOS'!$G:$G,"&gt;="&amp;EOMONTH(Tabla7[[#This Row],[MES]],-1)+1,'CALENDARIO INGRESOS'!$G:$G,"&lt;="&amp;EOMONTH(Tabla7[[#This Row],[MES]],0),'CALENDARIO INGRESOS'!$D:$D,"&lt;&gt;ELIMINADO",'CALENDARIO INGRESOS'!$D:$D,"&lt;&gt;¡REGULARIZAR!",'CALENDARIO INGRESOS'!$L:$L,"&lt;&gt;PAGADA",'CALENDARIO INGRESOS'!$G:$G,"&lt;="&amp;TODAY())</f>
        <v>0</v>
      </c>
      <c r="J19" s="63">
        <f ca="1">SUMIFS('CALENDARIO INGRESOS'!$I:$I,
                   'CALENDARIO INGRESOS'!$G:$G,"&gt;="&amp;EOMONTH(Tabla7[[#This Row],[MES]],-1)+1,
                   'CALENDARIO INGRESOS'!$G:$G,"&lt;="&amp;EOMONTH(Tabla7[[#This Row],[MES]],0),
                   'CALENDARIO INGRESOS'!$L:$L,"&lt;&gt;PAGADA",
                   'CALENDARIO INGRESOS'!$G:$G,"&gt;="&amp;TODAY(),'CALENDARIO INGRESOS'!$D:$D,"&lt;&gt;ELIMINADO",'CALENDARIO INGRESOS'!$D:$D,"&lt;&gt;¡REGULARIZAR!")</f>
        <v>113413.63</v>
      </c>
      <c r="K19" s="346">
        <f ca="1">COUNTIFS('CALENDARIO INGRESOS'!$G:$G,"&gt;="&amp;EOMONTH(Tabla7[[#This Row],[MES]],-1)+1,'CALENDARIO INGRESOS'!$G:$G,"&lt;="&amp;EOMONTH(Tabla7[[#This Row],[MES]],0),'CALENDARIO INGRESOS'!$D:$D,"&lt;&gt;ELIMINADO",'CALENDARIO INGRESOS'!$D:$D,"&lt;&gt;¡REGULARIZAR!",'CALENDARIO INGRESOS'!$L:$L,"&lt;&gt;PAGADA",'CALENDARIO INGRESOS'!$G:$G,"&gt;="&amp;TODAY())</f>
        <v>107</v>
      </c>
      <c r="L19" s="63">
        <f>SUMIFS('CALENDARIO INGRESOS'!I:I,'CALENDARIO INGRESOS'!G:G,"&gt;="&amp;EOMONTH(Tabla7[[#This Row],[MES]],-1)+1,'CALENDARIO INGRESOS'!G:G,"&lt;="&amp;EOMONTH(Tabla7[[#This Row],[MES]],0),'CALENDARIO INGRESOS'!L:L, "&lt;&gt;PAGADA",'CALENDARIO INGRESOS'!D:D,"¡REGULARIZAR!")</f>
        <v>3075</v>
      </c>
      <c r="M19" s="346">
        <f>COUNTIFS('CALENDARIO INGRESOS'!$G:$G,"&gt;="&amp;EOMONTH(Tabla7[[#This Row],[MES]],-1)+1,'CALENDARIO INGRESOS'!$G:$G,"&lt;="&amp;EOMONTH(Tabla7[[#This Row],[MES]],0),'CALENDARIO INGRESOS'!$D:$D,"¡REGULARIZAR!",'CALENDARIO INGRESOS'!$L:$L,"&lt;&gt;PAGADA")</f>
        <v>4</v>
      </c>
      <c r="N19" s="488">
        <f>SUMIFS('CALENDARIO INGRESOS'!I:I,'CALENDARIO INGRESOS'!G:G,"&gt;="&amp;EOMONTH(Tabla7[[#This Row],[MES]],-1)+1,'CALENDARIO INGRESOS'!G:G,"&lt;="&amp;EOMONTH(Tabla7[[#This Row],[MES]],0),'CALENDARIO INGRESOS'!L:L, "&lt;&gt;PAGADA",'CALENDARIO INGRESOS'!D:D,"ELIMINADO")</f>
        <v>0</v>
      </c>
      <c r="O19" s="184">
        <f>+IFERROR(Tabla7[[#This Row],[INCOBRABLE]]/Tabla7[[#This Row],[INGRESO TOTAL MES]],0)</f>
        <v>0</v>
      </c>
      <c r="P19" s="184">
        <f ca="1">IFERROR(AVERAGEIFS(INGRESOS!I:I,INGRESOS!A:A,"&gt;="&amp;Tabla7[[#This Row],[MES]],INGRESOS!A:A,"&lt;="&amp;MIN(TODAY(),EOMONTH(Tabla7[[#This Row],[MES]],0))),0)</f>
        <v>0</v>
      </c>
      <c r="Q19" s="283">
        <f ca="1">SUMIFS(INGRESOS!$J:$J,INGRESOS!$A:$A,"&gt;="&amp;Tabla7[[#This Row],[MES]],INGRESOS!$A:$A,"&lt;="&amp;MIN(TODAY(),EOMONTH(Tabla7[[#This Row],[MES]],0)))</f>
        <v>0</v>
      </c>
      <c r="R19" s="271">
        <f ca="1">SUMIFS(SALIDAS!F:F,SALIDAS!A:A,"&gt;="&amp;Tabla7[[#This Row],[MES]],SALIDAS!A:A,"&lt;="&amp;MIN(TODAY(),EOMONTH(Tabla7[[#This Row],[MES]],0)))</f>
        <v>0</v>
      </c>
      <c r="S19" s="272">
        <f ca="1">SUMIFS(SALIDAS!F:F,SALIDAS!U:U,"COR",SALIDAS!A:A,"&gt;="&amp;Tabla7[[#This Row],[MES]],SALIDAS!A:A,"&lt;="&amp;MIN(TODAY(),EOMONTH(Tabla7[[#This Row],[MES]],0)))</f>
        <v>0</v>
      </c>
      <c r="T19" s="273">
        <f ca="1">Tabla7[[#This Row],[INGRESO MES RECIBIDO NETO]]+Tabla7[[#This Row],[COR]]+Tabla7[[#This Row],[Customer Success]]</f>
        <v>0</v>
      </c>
      <c r="U19" s="388" t="str">
        <f ca="1">+IFERROR(Tabla7[[#This Row],[MARGEN BRUTO]]/Tabla7[[#This Row],[INGRESO MES RECIBIDO NETO]],"null")</f>
        <v>null</v>
      </c>
      <c r="V19" s="274">
        <f ca="1">SUMIFS(SALIDAS!F:F,SALIDAS!U:U,"OPEX",SALIDAS!V:V,Tabla7[[#Headers],[Sales &amp; Marketing]],SALIDAS!A:A,"&gt;="&amp;Tabla7[[#This Row],[MES]],SALIDAS!A:A,"&lt;="&amp;MIN(TODAY(),EOMONTH(Tabla7[[#This Row],[MES]],0)))</f>
        <v>0</v>
      </c>
      <c r="W19" s="272">
        <f ca="1">SUMIFS(SALIDAS!F:F,SALIDAS!U:U,"OPEX",SALIDAS!V:V,Tabla7[[#Headers],[Research &amp; Development]],SALIDAS!A:A,"&gt;="&amp;Tabla7[[#This Row],[MES]],SALIDAS!A:A,"&lt;="&amp;MIN(TODAY(),EOMONTH(Tabla7[[#This Row],[MES]],0)))</f>
        <v>0</v>
      </c>
      <c r="X19" s="272">
        <f ca="1">SUMIFS(SALIDAS!F:F,SALIDAS!U:U,"OPEX",SALIDAS!V:V,Tabla7[[#Headers],[General &amp; Administrative]],SALIDAS!A:A,"&gt;="&amp;Tabla7[[#This Row],[MES]],SALIDAS!A:A,"&lt;="&amp;MIN(TODAY(),EOMONTH(Tabla7[[#This Row],[MES]],0)))</f>
        <v>0</v>
      </c>
      <c r="Y19" s="272">
        <f ca="1">SUMIFS(SALIDAS!F:F,SALIDAS!U:U,"OPEX",SALIDAS!V:V,Tabla7[[#Headers],[Customer Success]],SALIDAS!A:A,"&gt;="&amp;Tabla7[[#This Row],[MES]],SALIDAS!A:A,"&lt;="&amp;MIN(TODAY(),EOMONTH(Tabla7[[#This Row],[MES]],0)))</f>
        <v>0</v>
      </c>
      <c r="Z19" s="271">
        <f ca="1">SUMIFS(SALIDAS!F:F,SALIDAS!U:U,"OPEX",SALIDAS!A:A,"&gt;="&amp;Tabla7[[#This Row],[MES]],SALIDAS!A:A,"&lt;="&amp;MIN(TODAY(),EOMONTH(Tabla7[[#This Row],[MES]],0)))</f>
        <v>0</v>
      </c>
      <c r="AA19" s="275">
        <f ca="1">+Tabla7[[#This Row],[MARGEN BRUTO]]+SUM(Tabla7[[#This Row],[Sales &amp; Marketing]:[General &amp; Administrative]])</f>
        <v>0</v>
      </c>
      <c r="AB19" s="276">
        <f ca="1">ABS(SUMIFS(SALIDAS!F:F,SALIDAS!U:U,"CAPEX",SALIDAS!A:A,"&gt;="&amp;Tabla7[[#This Row],[MES]],SALIDAS!A:A,"&lt;="&amp;MIN(TODAY(),EOMONTH(Tabla7[[#This Row],[MES]],0))))</f>
        <v>0</v>
      </c>
      <c r="AC19" s="81">
        <f ca="1">+Tabla7[[#This Row],[EBITDA]]-Tabla7[[#This Row],[TOTAL CAPEX]]</f>
        <v>0</v>
      </c>
      <c r="AD19" s="275">
        <f ca="1">+Tabla7[[#This Row],[FCF]]</f>
        <v>0</v>
      </c>
      <c r="AE19" s="79">
        <f ca="1">IFERROR(SUMIFS(SALIDAS!F:F,SALIDAS!U:U,"OPEX",SALIDAS!V:V,Tabla7[[#Headers],[Sales &amp; Marketing]],SALIDAS!A:A,"&gt;="&amp;Tabla7[[#This Row],[MES]],SALIDAS!A:A,"&lt;="&amp;MIN(TODAY(),EOMONTH(Tabla7[[#This Row],[MES]],0)))/_xlfn.XLOOKUP(Tabla7[[#This Row],[MES]],'COHORTES INGRESO'!A:A,'COHORTES INGRESO'!C:C),0)</f>
        <v>0</v>
      </c>
      <c r="AF19" s="271">
        <f ca="1">+IFERROR(Tabla7[[#This Row],[COR]]/Tabla711[[#This Row],[NUEVOS CLIENTES TOTAL]],0)</f>
        <v>0</v>
      </c>
      <c r="AG19" s="274">
        <f ca="1">Tabla7[[#This Row],[INGRESO MES RECIBIDO NETO]]+SUMIFS(SALIDAS!F:F,SALIDAS!T:T,"Costo variable",SALIDAS!A:A,"&gt;="&amp;Tabla7[[#This Row],[MES]],SALIDAS!A:A,"&lt;="&amp;MIN(TODAY(),EOMONTH(Tabla7[[#This Row],[MES]],0)))</f>
        <v>0</v>
      </c>
      <c r="AH19" s="79">
        <f ca="1">+IFERROR(AVERAGEIFS(INGRESOS!J:J,INGRESOS!$A:$A,"&gt;="&amp;Tabla7[[#This Row],[MES]],INGRESOS!$A:$A,"&lt;="&amp;MIN(TODAY(),EOMONTH(Tabla7[[#This Row],[MES]],0))),0)</f>
        <v>0</v>
      </c>
    </row>
    <row r="20" spans="1:34">
      <c r="A20" s="58">
        <v>46143</v>
      </c>
      <c r="B20" s="63">
        <f>+Tabla7[[#This Row],[INGRESO MES RECIBIDO]]+Tabla7[[#This Row],[INGRESO PROGRAMADO PEND.]]</f>
        <v>98451.63</v>
      </c>
      <c r="C20" s="233">
        <f>IFERROR((Tabla7[[#This Row],[INGRESO TOTAL MES]]/B19)-1,"0")</f>
        <v>-0.13192417877815921</v>
      </c>
      <c r="D20" s="63">
        <f>SUMIFS(INGRESOS!G:G,INGRESOS!A:A,"&gt;="&amp;EOMONTH(Tabla7[[#This Row],[MES]],-1)+1,INGRESOS!A:A,"&lt;="&amp;EOMONTH(Tabla7[[#This Row],[MES]],0))</f>
        <v>0</v>
      </c>
      <c r="E20" s="309">
        <f ca="1">COUNTIFS(INGRESOS!$A:$A,"&gt;="&amp;Tabla7[[#This Row],[MES]],INGRESOS!$A:$A,"&lt;="&amp;MIN(TODAY(),EOMONTH(Tabla7[[#This Row],[MES]],0)))</f>
        <v>0</v>
      </c>
      <c r="F20"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2.4563595788149009E-3</v>
      </c>
      <c r="G20" s="79">
        <f>SUMIFS('CALENDARIO INGRESOS'!I:I,'CALENDARIO INGRESOS'!G:G,"&gt;="&amp;EOMONTH(Tabla7[[#This Row],[MES]],-1)+1,'CALENDARIO INGRESOS'!G:G,"&lt;="&amp;EOMONTH(Tabla7[[#This Row],[MES]],0),'CALENDARIO INGRESOS'!L:L, "&lt;&gt;PAGADA",'CALENDARIO INGRESOS'!D:D,"&lt;&gt;ELIMINADO",'CALENDARIO INGRESOS'!D:D,"&lt;&gt;¡REGULARIZAR!")</f>
        <v>98451.63</v>
      </c>
      <c r="H20"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20" s="341">
        <f ca="1">COUNTIFS('CALENDARIO INGRESOS'!$G:$G,"&gt;="&amp;EOMONTH(Tabla7[[#This Row],[MES]],-1)+1,'CALENDARIO INGRESOS'!$G:$G,"&lt;="&amp;EOMONTH(Tabla7[[#This Row],[MES]],0),'CALENDARIO INGRESOS'!$D:$D,"&lt;&gt;ELIMINADO",'CALENDARIO INGRESOS'!$D:$D,"&lt;&gt;¡REGULARIZAR!",'CALENDARIO INGRESOS'!$L:$L,"&lt;&gt;PAGADA",'CALENDARIO INGRESOS'!$G:$G,"&lt;="&amp;TODAY())</f>
        <v>0</v>
      </c>
      <c r="J20" s="63">
        <f ca="1">SUMIFS('CALENDARIO INGRESOS'!$I:$I,
                   'CALENDARIO INGRESOS'!$G:$G,"&gt;="&amp;EOMONTH(Tabla7[[#This Row],[MES]],-1)+1,
                   'CALENDARIO INGRESOS'!$G:$G,"&lt;="&amp;EOMONTH(Tabla7[[#This Row],[MES]],0),
                   'CALENDARIO INGRESOS'!$L:$L,"&lt;&gt;PAGADA",
                   'CALENDARIO INGRESOS'!$G:$G,"&gt;="&amp;TODAY(),'CALENDARIO INGRESOS'!$D:$D,"&lt;&gt;ELIMINADO",'CALENDARIO INGRESOS'!$D:$D,"&lt;&gt;¡REGULARIZAR!")</f>
        <v>98451.63</v>
      </c>
      <c r="K20" s="346">
        <f ca="1">COUNTIFS('CALENDARIO INGRESOS'!$G:$G,"&gt;="&amp;EOMONTH(Tabla7[[#This Row],[MES]],-1)+1,'CALENDARIO INGRESOS'!$G:$G,"&lt;="&amp;EOMONTH(Tabla7[[#This Row],[MES]],0),'CALENDARIO INGRESOS'!$D:$D,"&lt;&gt;ELIMINADO",'CALENDARIO INGRESOS'!$D:$D,"&lt;&gt;¡REGULARIZAR!",'CALENDARIO INGRESOS'!$L:$L,"&lt;&gt;PAGADA",'CALENDARIO INGRESOS'!$G:$G,"&gt;="&amp;TODAY())</f>
        <v>105</v>
      </c>
      <c r="L20" s="63">
        <f>SUMIFS('CALENDARIO INGRESOS'!I:I,'CALENDARIO INGRESOS'!G:G,"&gt;="&amp;EOMONTH(Tabla7[[#This Row],[MES]],-1)+1,'CALENDARIO INGRESOS'!G:G,"&lt;="&amp;EOMONTH(Tabla7[[#This Row],[MES]],0),'CALENDARIO INGRESOS'!L:L, "&lt;&gt;PAGADA",'CALENDARIO INGRESOS'!D:D,"¡REGULARIZAR!")</f>
        <v>3075</v>
      </c>
      <c r="M20" s="346">
        <f>COUNTIFS('CALENDARIO INGRESOS'!$G:$G,"&gt;="&amp;EOMONTH(Tabla7[[#This Row],[MES]],-1)+1,'CALENDARIO INGRESOS'!$G:$G,"&lt;="&amp;EOMONTH(Tabla7[[#This Row],[MES]],0),'CALENDARIO INGRESOS'!$D:$D,"¡REGULARIZAR!",'CALENDARIO INGRESOS'!$L:$L,"&lt;&gt;PAGADA")</f>
        <v>4</v>
      </c>
      <c r="N20" s="488">
        <f>SUMIFS('CALENDARIO INGRESOS'!I:I,'CALENDARIO INGRESOS'!G:G,"&gt;="&amp;EOMONTH(Tabla7[[#This Row],[MES]],-1)+1,'CALENDARIO INGRESOS'!G:G,"&lt;="&amp;EOMONTH(Tabla7[[#This Row],[MES]],0),'CALENDARIO INGRESOS'!L:L, "&lt;&gt;PAGADA",'CALENDARIO INGRESOS'!D:D,"ELIMINADO")</f>
        <v>0</v>
      </c>
      <c r="O20" s="184">
        <f>+IFERROR(Tabla7[[#This Row],[INCOBRABLE]]/Tabla7[[#This Row],[INGRESO TOTAL MES]],0)</f>
        <v>0</v>
      </c>
      <c r="P20" s="184">
        <f ca="1">IFERROR(AVERAGEIFS(INGRESOS!I:I,INGRESOS!A:A,"&gt;="&amp;Tabla7[[#This Row],[MES]],INGRESOS!A:A,"&lt;="&amp;MIN(TODAY(),EOMONTH(Tabla7[[#This Row],[MES]],0))),0)</f>
        <v>0</v>
      </c>
      <c r="Q20" s="283">
        <f ca="1">SUMIFS(INGRESOS!$J:$J,INGRESOS!$A:$A,"&gt;="&amp;Tabla7[[#This Row],[MES]],INGRESOS!$A:$A,"&lt;="&amp;MIN(TODAY(),EOMONTH(Tabla7[[#This Row],[MES]],0)))</f>
        <v>0</v>
      </c>
      <c r="R20" s="271">
        <f ca="1">SUMIFS(SALIDAS!F:F,SALIDAS!A:A,"&gt;="&amp;Tabla7[[#This Row],[MES]],SALIDAS!A:A,"&lt;="&amp;MIN(TODAY(),EOMONTH(Tabla7[[#This Row],[MES]],0)))</f>
        <v>0</v>
      </c>
      <c r="S20" s="272">
        <f ca="1">SUMIFS(SALIDAS!F:F,SALIDAS!U:U,"COR",SALIDAS!A:A,"&gt;="&amp;Tabla7[[#This Row],[MES]],SALIDAS!A:A,"&lt;="&amp;MIN(TODAY(),EOMONTH(Tabla7[[#This Row],[MES]],0)))</f>
        <v>0</v>
      </c>
      <c r="T20" s="273">
        <f ca="1">Tabla7[[#This Row],[INGRESO MES RECIBIDO NETO]]+Tabla7[[#This Row],[COR]]+Tabla7[[#This Row],[Customer Success]]</f>
        <v>0</v>
      </c>
      <c r="U20" s="388" t="str">
        <f ca="1">+IFERROR(Tabla7[[#This Row],[MARGEN BRUTO]]/Tabla7[[#This Row],[INGRESO MES RECIBIDO NETO]],"null")</f>
        <v>null</v>
      </c>
      <c r="V20" s="274">
        <f ca="1">SUMIFS(SALIDAS!F:F,SALIDAS!U:U,"OPEX",SALIDAS!V:V,Tabla7[[#Headers],[Sales &amp; Marketing]],SALIDAS!A:A,"&gt;="&amp;Tabla7[[#This Row],[MES]],SALIDAS!A:A,"&lt;="&amp;MIN(TODAY(),EOMONTH(Tabla7[[#This Row],[MES]],0)))</f>
        <v>0</v>
      </c>
      <c r="W20" s="272">
        <f ca="1">SUMIFS(SALIDAS!F:F,SALIDAS!U:U,"OPEX",SALIDAS!V:V,Tabla7[[#Headers],[Research &amp; Development]],SALIDAS!A:A,"&gt;="&amp;Tabla7[[#This Row],[MES]],SALIDAS!A:A,"&lt;="&amp;MIN(TODAY(),EOMONTH(Tabla7[[#This Row],[MES]],0)))</f>
        <v>0</v>
      </c>
      <c r="X20" s="272">
        <f ca="1">SUMIFS(SALIDAS!F:F,SALIDAS!U:U,"OPEX",SALIDAS!V:V,Tabla7[[#Headers],[General &amp; Administrative]],SALIDAS!A:A,"&gt;="&amp;Tabla7[[#This Row],[MES]],SALIDAS!A:A,"&lt;="&amp;MIN(TODAY(),EOMONTH(Tabla7[[#This Row],[MES]],0)))</f>
        <v>0</v>
      </c>
      <c r="Y20" s="272">
        <f ca="1">SUMIFS(SALIDAS!F:F,SALIDAS!U:U,"OPEX",SALIDAS!V:V,Tabla7[[#Headers],[Customer Success]],SALIDAS!A:A,"&gt;="&amp;Tabla7[[#This Row],[MES]],SALIDAS!A:A,"&lt;="&amp;MIN(TODAY(),EOMONTH(Tabla7[[#This Row],[MES]],0)))</f>
        <v>0</v>
      </c>
      <c r="Z20" s="271">
        <f ca="1">SUMIFS(SALIDAS!F:F,SALIDAS!U:U,"OPEX",SALIDAS!A:A,"&gt;="&amp;Tabla7[[#This Row],[MES]],SALIDAS!A:A,"&lt;="&amp;MIN(TODAY(),EOMONTH(Tabla7[[#This Row],[MES]],0)))</f>
        <v>0</v>
      </c>
      <c r="AA20" s="275">
        <f ca="1">+Tabla7[[#This Row],[MARGEN BRUTO]]+SUM(Tabla7[[#This Row],[Sales &amp; Marketing]:[General &amp; Administrative]])</f>
        <v>0</v>
      </c>
      <c r="AB20" s="276">
        <f ca="1">ABS(SUMIFS(SALIDAS!F:F,SALIDAS!U:U,"CAPEX",SALIDAS!A:A,"&gt;="&amp;Tabla7[[#This Row],[MES]],SALIDAS!A:A,"&lt;="&amp;MIN(TODAY(),EOMONTH(Tabla7[[#This Row],[MES]],0))))</f>
        <v>0</v>
      </c>
      <c r="AC20" s="81">
        <f ca="1">+Tabla7[[#This Row],[EBITDA]]-Tabla7[[#This Row],[TOTAL CAPEX]]</f>
        <v>0</v>
      </c>
      <c r="AD20" s="275">
        <f ca="1">+Tabla7[[#This Row],[FCF]]</f>
        <v>0</v>
      </c>
      <c r="AE20" s="79">
        <f ca="1">IFERROR(SUMIFS(SALIDAS!F:F,SALIDAS!U:U,"OPEX",SALIDAS!V:V,Tabla7[[#Headers],[Sales &amp; Marketing]],SALIDAS!A:A,"&gt;="&amp;Tabla7[[#This Row],[MES]],SALIDAS!A:A,"&lt;="&amp;MIN(TODAY(),EOMONTH(Tabla7[[#This Row],[MES]],0)))/_xlfn.XLOOKUP(Tabla7[[#This Row],[MES]],'COHORTES INGRESO'!A:A,'COHORTES INGRESO'!C:C),0)</f>
        <v>0</v>
      </c>
      <c r="AF20" s="271">
        <f ca="1">+IFERROR(Tabla7[[#This Row],[COR]]/Tabla711[[#This Row],[NUEVOS CLIENTES TOTAL]],0)</f>
        <v>0</v>
      </c>
      <c r="AG20" s="274">
        <f ca="1">Tabla7[[#This Row],[INGRESO MES RECIBIDO NETO]]+SUMIFS(SALIDAS!F:F,SALIDAS!T:T,"Costo variable",SALIDAS!A:A,"&gt;="&amp;Tabla7[[#This Row],[MES]],SALIDAS!A:A,"&lt;="&amp;MIN(TODAY(),EOMONTH(Tabla7[[#This Row],[MES]],0)))</f>
        <v>0</v>
      </c>
      <c r="AH20" s="79">
        <f ca="1">+IFERROR(AVERAGEIFS(INGRESOS!J:J,INGRESOS!$A:$A,"&gt;="&amp;Tabla7[[#This Row],[MES]],INGRESOS!$A:$A,"&lt;="&amp;MIN(TODAY(),EOMONTH(Tabla7[[#This Row],[MES]],0))),0)</f>
        <v>0</v>
      </c>
    </row>
    <row r="21" spans="1:34">
      <c r="A21" s="24">
        <v>46174</v>
      </c>
      <c r="B21" s="63">
        <f>+Tabla7[[#This Row],[INGRESO MES RECIBIDO]]+Tabla7[[#This Row],[INGRESO PROGRAMADO PEND.]]</f>
        <v>105351.63</v>
      </c>
      <c r="C21" s="233">
        <f>IFERROR((Tabla7[[#This Row],[INGRESO TOTAL MES]]/B20)-1,"0")</f>
        <v>7.0085177868563386E-2</v>
      </c>
      <c r="D21" s="63">
        <f>SUMIFS(INGRESOS!G:G,INGRESOS!A:A,"&gt;="&amp;EOMONTH(Tabla7[[#This Row],[MES]],-1)+1,INGRESOS!A:A,"&lt;="&amp;EOMONTH(Tabla7[[#This Row],[MES]],0))</f>
        <v>0</v>
      </c>
      <c r="E21" s="309">
        <f ca="1">COUNTIFS(INGRESOS!$A:$A,"&gt;="&amp;Tabla7[[#This Row],[MES]],INGRESOS!$A:$A,"&lt;="&amp;MIN(TODAY(),EOMONTH(Tabla7[[#This Row],[MES]],0)))</f>
        <v>0</v>
      </c>
      <c r="F21"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v>
      </c>
      <c r="G21" s="79">
        <f>SUMIFS('CALENDARIO INGRESOS'!I:I,'CALENDARIO INGRESOS'!G:G,"&gt;="&amp;EOMONTH(Tabla7[[#This Row],[MES]],-1)+1,'CALENDARIO INGRESOS'!G:G,"&lt;="&amp;EOMONTH(Tabla7[[#This Row],[MES]],0),'CALENDARIO INGRESOS'!L:L, "&lt;&gt;PAGADA",'CALENDARIO INGRESOS'!D:D,"&lt;&gt;ELIMINADO",'CALENDARIO INGRESOS'!D:D,"&lt;&gt;¡REGULARIZAR!")</f>
        <v>105351.63</v>
      </c>
      <c r="H21"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21" s="341">
        <f ca="1">COUNTIFS('CALENDARIO INGRESOS'!$G:$G,"&gt;="&amp;EOMONTH(Tabla7[[#This Row],[MES]],-1)+1,'CALENDARIO INGRESOS'!$G:$G,"&lt;="&amp;EOMONTH(Tabla7[[#This Row],[MES]],0),'CALENDARIO INGRESOS'!$D:$D,"&lt;&gt;ELIMINADO",'CALENDARIO INGRESOS'!$D:$D,"&lt;&gt;¡REGULARIZAR!",'CALENDARIO INGRESOS'!$L:$L,"&lt;&gt;PAGADA",'CALENDARIO INGRESOS'!$G:$G,"&lt;="&amp;TODAY())</f>
        <v>0</v>
      </c>
      <c r="J21" s="63">
        <f ca="1">SUMIFS('CALENDARIO INGRESOS'!$I:$I,
                   'CALENDARIO INGRESOS'!$G:$G,"&gt;="&amp;EOMONTH(Tabla7[[#This Row],[MES]],-1)+1,
                   'CALENDARIO INGRESOS'!$G:$G,"&lt;="&amp;EOMONTH(Tabla7[[#This Row],[MES]],0),
                   'CALENDARIO INGRESOS'!$L:$L,"&lt;&gt;PAGADA",
                   'CALENDARIO INGRESOS'!$G:$G,"&gt;="&amp;TODAY(),'CALENDARIO INGRESOS'!$D:$D,"&lt;&gt;ELIMINADO",'CALENDARIO INGRESOS'!$D:$D,"&lt;&gt;¡REGULARIZAR!")</f>
        <v>105351.63</v>
      </c>
      <c r="K21" s="346">
        <f ca="1">COUNTIFS('CALENDARIO INGRESOS'!$G:$G,"&gt;="&amp;EOMONTH(Tabla7[[#This Row],[MES]],-1)+1,'CALENDARIO INGRESOS'!$G:$G,"&lt;="&amp;EOMONTH(Tabla7[[#This Row],[MES]],0),'CALENDARIO INGRESOS'!$D:$D,"&lt;&gt;ELIMINADO",'CALENDARIO INGRESOS'!$D:$D,"&lt;&gt;¡REGULARIZAR!",'CALENDARIO INGRESOS'!$L:$L,"&lt;&gt;PAGADA",'CALENDARIO INGRESOS'!$G:$G,"&gt;="&amp;TODAY())</f>
        <v>92</v>
      </c>
      <c r="L21" s="63">
        <f>SUMIFS('CALENDARIO INGRESOS'!I:I,'CALENDARIO INGRESOS'!G:G,"&gt;="&amp;EOMONTH(Tabla7[[#This Row],[MES]],-1)+1,'CALENDARIO INGRESOS'!G:G,"&lt;="&amp;EOMONTH(Tabla7[[#This Row],[MES]],0),'CALENDARIO INGRESOS'!L:L, "&lt;&gt;PAGADA",'CALENDARIO INGRESOS'!D:D,"¡REGULARIZAR!")</f>
        <v>3075</v>
      </c>
      <c r="M21" s="346">
        <f>COUNTIFS('CALENDARIO INGRESOS'!$G:$G,"&gt;="&amp;EOMONTH(Tabla7[[#This Row],[MES]],-1)+1,'CALENDARIO INGRESOS'!$G:$G,"&lt;="&amp;EOMONTH(Tabla7[[#This Row],[MES]],0),'CALENDARIO INGRESOS'!$D:$D,"¡REGULARIZAR!",'CALENDARIO INGRESOS'!$L:$L,"&lt;&gt;PAGADA")</f>
        <v>4</v>
      </c>
      <c r="N21" s="488">
        <f>SUMIFS('CALENDARIO INGRESOS'!I:I,'CALENDARIO INGRESOS'!G:G,"&gt;="&amp;EOMONTH(Tabla7[[#This Row],[MES]],-1)+1,'CALENDARIO INGRESOS'!G:G,"&lt;="&amp;EOMONTH(Tabla7[[#This Row],[MES]],0),'CALENDARIO INGRESOS'!L:L, "&lt;&gt;PAGADA",'CALENDARIO INGRESOS'!D:D,"ELIMINADO")</f>
        <v>0</v>
      </c>
      <c r="O21" s="184">
        <f>+IFERROR(Tabla7[[#This Row],[INCOBRABLE]]/Tabla7[[#This Row],[INGRESO TOTAL MES]],0)</f>
        <v>0</v>
      </c>
      <c r="P21" s="184">
        <f ca="1">IFERROR(AVERAGEIFS(INGRESOS!I:I,INGRESOS!A:A,"&gt;="&amp;Tabla7[[#This Row],[MES]],INGRESOS!A:A,"&lt;="&amp;MIN(TODAY(),EOMONTH(Tabla7[[#This Row],[MES]],0))),0)</f>
        <v>0</v>
      </c>
      <c r="Q21" s="283">
        <f ca="1">SUMIFS(INGRESOS!$J:$J,INGRESOS!$A:$A,"&gt;="&amp;Tabla7[[#This Row],[MES]],INGRESOS!$A:$A,"&lt;="&amp;MIN(TODAY(),EOMONTH(Tabla7[[#This Row],[MES]],0)))</f>
        <v>0</v>
      </c>
      <c r="R21" s="271">
        <f ca="1">SUMIFS(SALIDAS!F:F,SALIDAS!A:A,"&gt;="&amp;Tabla7[[#This Row],[MES]],SALIDAS!A:A,"&lt;="&amp;MIN(TODAY(),EOMONTH(Tabla7[[#This Row],[MES]],0)))</f>
        <v>0</v>
      </c>
      <c r="S21" s="272">
        <f ca="1">SUMIFS(SALIDAS!F:F,SALIDAS!U:U,"COR",SALIDAS!A:A,"&gt;="&amp;Tabla7[[#This Row],[MES]],SALIDAS!A:A,"&lt;="&amp;MIN(TODAY(),EOMONTH(Tabla7[[#This Row],[MES]],0)))</f>
        <v>0</v>
      </c>
      <c r="T21" s="273">
        <f ca="1">Tabla7[[#This Row],[INGRESO MES RECIBIDO NETO]]+Tabla7[[#This Row],[COR]]+Tabla7[[#This Row],[Customer Success]]</f>
        <v>0</v>
      </c>
      <c r="U21" s="388" t="str">
        <f ca="1">+IFERROR(Tabla7[[#This Row],[MARGEN BRUTO]]/Tabla7[[#This Row],[INGRESO MES RECIBIDO NETO]],"null")</f>
        <v>null</v>
      </c>
      <c r="V21" s="274">
        <f ca="1">SUMIFS(SALIDAS!F:F,SALIDAS!U:U,"OPEX",SALIDAS!V:V,Tabla7[[#Headers],[Sales &amp; Marketing]],SALIDAS!A:A,"&gt;="&amp;Tabla7[[#This Row],[MES]],SALIDAS!A:A,"&lt;="&amp;MIN(TODAY(),EOMONTH(Tabla7[[#This Row],[MES]],0)))</f>
        <v>0</v>
      </c>
      <c r="W21" s="272">
        <f ca="1">SUMIFS(SALIDAS!F:F,SALIDAS!U:U,"OPEX",SALIDAS!V:V,Tabla7[[#Headers],[Research &amp; Development]],SALIDAS!A:A,"&gt;="&amp;Tabla7[[#This Row],[MES]],SALIDAS!A:A,"&lt;="&amp;MIN(TODAY(),EOMONTH(Tabla7[[#This Row],[MES]],0)))</f>
        <v>0</v>
      </c>
      <c r="X21" s="272">
        <f ca="1">SUMIFS(SALIDAS!F:F,SALIDAS!U:U,"OPEX",SALIDAS!V:V,Tabla7[[#Headers],[General &amp; Administrative]],SALIDAS!A:A,"&gt;="&amp;Tabla7[[#This Row],[MES]],SALIDAS!A:A,"&lt;="&amp;MIN(TODAY(),EOMONTH(Tabla7[[#This Row],[MES]],0)))</f>
        <v>0</v>
      </c>
      <c r="Y21" s="272">
        <f ca="1">SUMIFS(SALIDAS!F:F,SALIDAS!U:U,"OPEX",SALIDAS!V:V,Tabla7[[#Headers],[Customer Success]],SALIDAS!A:A,"&gt;="&amp;Tabla7[[#This Row],[MES]],SALIDAS!A:A,"&lt;="&amp;MIN(TODAY(),EOMONTH(Tabla7[[#This Row],[MES]],0)))</f>
        <v>0</v>
      </c>
      <c r="Z21" s="271">
        <f ca="1">SUMIFS(SALIDAS!F:F,SALIDAS!U:U,"OPEX",SALIDAS!A:A,"&gt;="&amp;Tabla7[[#This Row],[MES]],SALIDAS!A:A,"&lt;="&amp;MIN(TODAY(),EOMONTH(Tabla7[[#This Row],[MES]],0)))</f>
        <v>0</v>
      </c>
      <c r="AA21" s="275">
        <f ca="1">+Tabla7[[#This Row],[MARGEN BRUTO]]+SUM(Tabla7[[#This Row],[Sales &amp; Marketing]:[General &amp; Administrative]])</f>
        <v>0</v>
      </c>
      <c r="AB21" s="276">
        <f ca="1">ABS(SUMIFS(SALIDAS!F:F,SALIDAS!U:U,"CAPEX",SALIDAS!A:A,"&gt;="&amp;Tabla7[[#This Row],[MES]],SALIDAS!A:A,"&lt;="&amp;MIN(TODAY(),EOMONTH(Tabla7[[#This Row],[MES]],0))))</f>
        <v>0</v>
      </c>
      <c r="AC21" s="275">
        <f ca="1">+Tabla7[[#This Row],[EBITDA]]-Tabla7[[#This Row],[TOTAL CAPEX]]</f>
        <v>0</v>
      </c>
      <c r="AD21" s="275">
        <f ca="1">+Tabla7[[#This Row],[FCF]]</f>
        <v>0</v>
      </c>
      <c r="AE21" s="79">
        <f ca="1">IFERROR(SUMIFS(SALIDAS!F:F,SALIDAS!U:U,"OPEX",SALIDAS!V:V,Tabla7[[#Headers],[Sales &amp; Marketing]],SALIDAS!A:A,"&gt;="&amp;Tabla7[[#This Row],[MES]],SALIDAS!A:A,"&lt;="&amp;MIN(TODAY(),EOMONTH(Tabla7[[#This Row],[MES]],0)))/_xlfn.XLOOKUP(Tabla7[[#This Row],[MES]],'COHORTES INGRESO'!A:A,'COHORTES INGRESO'!C:C),0)</f>
        <v>0</v>
      </c>
      <c r="AF21" s="271">
        <f ca="1">+IFERROR(Tabla7[[#This Row],[COR]]/Tabla711[[#This Row],[NUEVOS CLIENTES TOTAL]],0)</f>
        <v>0</v>
      </c>
      <c r="AG21" s="274">
        <f ca="1">Tabla7[[#This Row],[INGRESO MES RECIBIDO NETO]]+SUMIFS(SALIDAS!F:F,SALIDAS!T:T,"Costo variable",SALIDAS!A:A,"&gt;="&amp;Tabla7[[#This Row],[MES]],SALIDAS!A:A,"&lt;="&amp;MIN(TODAY(),EOMONTH(Tabla7[[#This Row],[MES]],0)))</f>
        <v>0</v>
      </c>
      <c r="AH21" s="79">
        <f ca="1">+IFERROR(AVERAGEIFS(INGRESOS!J:J,INGRESOS!$A:$A,"&gt;="&amp;Tabla7[[#This Row],[MES]],INGRESOS!$A:$A,"&lt;="&amp;MIN(TODAY(),EOMONTH(Tabla7[[#This Row],[MES]],0))),0)</f>
        <v>0</v>
      </c>
    </row>
    <row r="22" spans="1:34">
      <c r="A22" s="58">
        <v>46204</v>
      </c>
      <c r="B22" s="63">
        <f>+Tabla7[[#This Row],[INGRESO MES RECIBIDO]]+Tabla7[[#This Row],[INGRESO PROGRAMADO PEND.]]</f>
        <v>87195</v>
      </c>
      <c r="C22" s="233">
        <f>IFERROR((Tabla7[[#This Row],[INGRESO TOTAL MES]]/B21)-1,"0")</f>
        <v>-0.1723431331817078</v>
      </c>
      <c r="D22" s="63">
        <f>SUMIFS(INGRESOS!G:G,INGRESOS!A:A,"&gt;="&amp;EOMONTH(Tabla7[[#This Row],[MES]],-1)+1,INGRESOS!A:A,"&lt;="&amp;EOMONTH(Tabla7[[#This Row],[MES]],0))</f>
        <v>0</v>
      </c>
      <c r="E22" s="309">
        <f ca="1">COUNTIFS(INGRESOS!$A:$A,"&gt;="&amp;Tabla7[[#This Row],[MES]],INGRESOS!$A:$A,"&lt;="&amp;MIN(TODAY(),EOMONTH(Tabla7[[#This Row],[MES]],0)))</f>
        <v>0</v>
      </c>
      <c r="F22"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v>
      </c>
      <c r="G22" s="79">
        <f>SUMIFS('CALENDARIO INGRESOS'!I:I,'CALENDARIO INGRESOS'!G:G,"&gt;="&amp;EOMONTH(Tabla7[[#This Row],[MES]],-1)+1,'CALENDARIO INGRESOS'!G:G,"&lt;="&amp;EOMONTH(Tabla7[[#This Row],[MES]],0),'CALENDARIO INGRESOS'!L:L, "&lt;&gt;PAGADA",'CALENDARIO INGRESOS'!D:D,"&lt;&gt;ELIMINADO",'CALENDARIO INGRESOS'!D:D,"&lt;&gt;¡REGULARIZAR!")</f>
        <v>87195</v>
      </c>
      <c r="H22"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22" s="341">
        <f ca="1">COUNTIFS('CALENDARIO INGRESOS'!$G:$G,"&gt;="&amp;EOMONTH(Tabla7[[#This Row],[MES]],-1)+1,'CALENDARIO INGRESOS'!$G:$G,"&lt;="&amp;EOMONTH(Tabla7[[#This Row],[MES]],0),'CALENDARIO INGRESOS'!$D:$D,"&lt;&gt;ELIMINADO",'CALENDARIO INGRESOS'!$D:$D,"&lt;&gt;¡REGULARIZAR!",'CALENDARIO INGRESOS'!$L:$L,"&lt;&gt;PAGADA",'CALENDARIO INGRESOS'!$G:$G,"&lt;="&amp;TODAY())</f>
        <v>0</v>
      </c>
      <c r="J22" s="63">
        <f ca="1">SUMIFS('CALENDARIO INGRESOS'!$I:$I,
                   'CALENDARIO INGRESOS'!$G:$G,"&gt;="&amp;EOMONTH(Tabla7[[#This Row],[MES]],-1)+1,
                   'CALENDARIO INGRESOS'!$G:$G,"&lt;="&amp;EOMONTH(Tabla7[[#This Row],[MES]],0),
                   'CALENDARIO INGRESOS'!$L:$L,"&lt;&gt;PAGADA",
                   'CALENDARIO INGRESOS'!$G:$G,"&gt;="&amp;TODAY(),'CALENDARIO INGRESOS'!$D:$D,"&lt;&gt;ELIMINADO",'CALENDARIO INGRESOS'!$D:$D,"&lt;&gt;¡REGULARIZAR!")</f>
        <v>87195</v>
      </c>
      <c r="K22" s="346">
        <f ca="1">COUNTIFS('CALENDARIO INGRESOS'!$G:$G,"&gt;="&amp;EOMONTH(Tabla7[[#This Row],[MES]],-1)+1,'CALENDARIO INGRESOS'!$G:$G,"&lt;="&amp;EOMONTH(Tabla7[[#This Row],[MES]],0),'CALENDARIO INGRESOS'!$D:$D,"&lt;&gt;ELIMINADO",'CALENDARIO INGRESOS'!$D:$D,"&lt;&gt;¡REGULARIZAR!",'CALENDARIO INGRESOS'!$L:$L,"&lt;&gt;PAGADA",'CALENDARIO INGRESOS'!$G:$G,"&gt;="&amp;TODAY())</f>
        <v>84</v>
      </c>
      <c r="L22" s="63">
        <f>SUMIFS('CALENDARIO INGRESOS'!I:I,'CALENDARIO INGRESOS'!G:G,"&gt;="&amp;EOMONTH(Tabla7[[#This Row],[MES]],-1)+1,'CALENDARIO INGRESOS'!G:G,"&lt;="&amp;EOMONTH(Tabla7[[#This Row],[MES]],0),'CALENDARIO INGRESOS'!L:L, "&lt;&gt;PAGADA",'CALENDARIO INGRESOS'!D:D,"¡REGULARIZAR!")</f>
        <v>3075</v>
      </c>
      <c r="M22" s="346">
        <f>COUNTIFS('CALENDARIO INGRESOS'!$G:$G,"&gt;="&amp;EOMONTH(Tabla7[[#This Row],[MES]],-1)+1,'CALENDARIO INGRESOS'!$G:$G,"&lt;="&amp;EOMONTH(Tabla7[[#This Row],[MES]],0),'CALENDARIO INGRESOS'!$D:$D,"¡REGULARIZAR!",'CALENDARIO INGRESOS'!$L:$L,"&lt;&gt;PAGADA")</f>
        <v>4</v>
      </c>
      <c r="N22" s="488">
        <f>SUMIFS('CALENDARIO INGRESOS'!I:I,'CALENDARIO INGRESOS'!G:G,"&gt;="&amp;EOMONTH(Tabla7[[#This Row],[MES]],-1)+1,'CALENDARIO INGRESOS'!G:G,"&lt;="&amp;EOMONTH(Tabla7[[#This Row],[MES]],0),'CALENDARIO INGRESOS'!L:L, "&lt;&gt;PAGADA",'CALENDARIO INGRESOS'!D:D,"ELIMINADO")</f>
        <v>0</v>
      </c>
      <c r="O22" s="184">
        <f>+IFERROR(Tabla7[[#This Row],[INCOBRABLE]]/Tabla7[[#This Row],[INGRESO TOTAL MES]],0)</f>
        <v>0</v>
      </c>
      <c r="P22" s="184">
        <f ca="1">IFERROR(AVERAGEIFS(INGRESOS!I:I,INGRESOS!A:A,"&gt;="&amp;Tabla7[[#This Row],[MES]],INGRESOS!A:A,"&lt;="&amp;MIN(TODAY(),EOMONTH(Tabla7[[#This Row],[MES]],0))),0)</f>
        <v>0</v>
      </c>
      <c r="Q22" s="283">
        <f ca="1">SUMIFS(INGRESOS!$J:$J,INGRESOS!$A:$A,"&gt;="&amp;Tabla7[[#This Row],[MES]],INGRESOS!$A:$A,"&lt;="&amp;MIN(TODAY(),EOMONTH(Tabla7[[#This Row],[MES]],0)))</f>
        <v>0</v>
      </c>
      <c r="R22" s="271">
        <f ca="1">SUMIFS(SALIDAS!F:F,SALIDAS!A:A,"&gt;="&amp;Tabla7[[#This Row],[MES]],SALIDAS!A:A,"&lt;="&amp;MIN(TODAY(),EOMONTH(Tabla7[[#This Row],[MES]],0)))</f>
        <v>0</v>
      </c>
      <c r="S22" s="272">
        <f ca="1">SUMIFS(SALIDAS!F:F,SALIDAS!U:U,"COR",SALIDAS!A:A,"&gt;="&amp;Tabla7[[#This Row],[MES]],SALIDAS!A:A,"&lt;="&amp;MIN(TODAY(),EOMONTH(Tabla7[[#This Row],[MES]],0)))</f>
        <v>0</v>
      </c>
      <c r="T22" s="273">
        <f ca="1">Tabla7[[#This Row],[INGRESO MES RECIBIDO NETO]]+Tabla7[[#This Row],[COR]]+Tabla7[[#This Row],[Customer Success]]</f>
        <v>0</v>
      </c>
      <c r="U22" s="388" t="str">
        <f ca="1">+IFERROR(Tabla7[[#This Row],[MARGEN BRUTO]]/Tabla7[[#This Row],[INGRESO MES RECIBIDO NETO]],"null")</f>
        <v>null</v>
      </c>
      <c r="V22" s="274">
        <f ca="1">SUMIFS(SALIDAS!F:F,SALIDAS!U:U,"OPEX",SALIDAS!V:V,Tabla7[[#Headers],[Sales &amp; Marketing]],SALIDAS!A:A,"&gt;="&amp;Tabla7[[#This Row],[MES]],SALIDAS!A:A,"&lt;="&amp;MIN(TODAY(),EOMONTH(Tabla7[[#This Row],[MES]],0)))</f>
        <v>0</v>
      </c>
      <c r="W22" s="272">
        <f ca="1">SUMIFS(SALIDAS!F:F,SALIDAS!U:U,"OPEX",SALIDAS!V:V,Tabla7[[#Headers],[Research &amp; Development]],SALIDAS!A:A,"&gt;="&amp;Tabla7[[#This Row],[MES]],SALIDAS!A:A,"&lt;="&amp;MIN(TODAY(),EOMONTH(Tabla7[[#This Row],[MES]],0)))</f>
        <v>0</v>
      </c>
      <c r="X22" s="272">
        <f ca="1">SUMIFS(SALIDAS!F:F,SALIDAS!U:U,"OPEX",SALIDAS!V:V,Tabla7[[#Headers],[General &amp; Administrative]],SALIDAS!A:A,"&gt;="&amp;Tabla7[[#This Row],[MES]],SALIDAS!A:A,"&lt;="&amp;MIN(TODAY(),EOMONTH(Tabla7[[#This Row],[MES]],0)))</f>
        <v>0</v>
      </c>
      <c r="Y22" s="272">
        <f ca="1">SUMIFS(SALIDAS!F:F,SALIDAS!U:U,"OPEX",SALIDAS!V:V,Tabla7[[#Headers],[Customer Success]],SALIDAS!A:A,"&gt;="&amp;Tabla7[[#This Row],[MES]],SALIDAS!A:A,"&lt;="&amp;MIN(TODAY(),EOMONTH(Tabla7[[#This Row],[MES]],0)))</f>
        <v>0</v>
      </c>
      <c r="Z22" s="271">
        <f ca="1">SUMIFS(SALIDAS!F:F,SALIDAS!U:U,"OPEX",SALIDAS!A:A,"&gt;="&amp;Tabla7[[#This Row],[MES]],SALIDAS!A:A,"&lt;="&amp;MIN(TODAY(),EOMONTH(Tabla7[[#This Row],[MES]],0)))</f>
        <v>0</v>
      </c>
      <c r="AA22" s="275">
        <f ca="1">+Tabla7[[#This Row],[MARGEN BRUTO]]+SUM(Tabla7[[#This Row],[Sales &amp; Marketing]:[General &amp; Administrative]])</f>
        <v>0</v>
      </c>
      <c r="AB22" s="276">
        <f ca="1">ABS(SUMIFS(SALIDAS!F:F,SALIDAS!U:U,"CAPEX",SALIDAS!A:A,"&gt;="&amp;Tabla7[[#This Row],[MES]],SALIDAS!A:A,"&lt;="&amp;MIN(TODAY(),EOMONTH(Tabla7[[#This Row],[MES]],0))))</f>
        <v>0</v>
      </c>
      <c r="AC22" s="81">
        <f ca="1">+Tabla7[[#This Row],[EBITDA]]-Tabla7[[#This Row],[TOTAL CAPEX]]</f>
        <v>0</v>
      </c>
      <c r="AD22" s="275">
        <f ca="1">+Tabla7[[#This Row],[FCF]]</f>
        <v>0</v>
      </c>
      <c r="AE22" s="79">
        <f ca="1">IFERROR(SUMIFS(SALIDAS!F:F,SALIDAS!U:U,"OPEX",SALIDAS!V:V,Tabla7[[#Headers],[Sales &amp; Marketing]],SALIDAS!A:A,"&gt;="&amp;Tabla7[[#This Row],[MES]],SALIDAS!A:A,"&lt;="&amp;MIN(TODAY(),EOMONTH(Tabla7[[#This Row],[MES]],0)))/_xlfn.XLOOKUP(Tabla7[[#This Row],[MES]],'COHORTES INGRESO'!A:A,'COHORTES INGRESO'!C:C),0)</f>
        <v>0</v>
      </c>
      <c r="AF22" s="271">
        <f ca="1">+IFERROR(Tabla7[[#This Row],[COR]]/Tabla711[[#This Row],[NUEVOS CLIENTES TOTAL]],0)</f>
        <v>0</v>
      </c>
      <c r="AG22" s="274">
        <f ca="1">Tabla7[[#This Row],[INGRESO MES RECIBIDO NETO]]+SUMIFS(SALIDAS!F:F,SALIDAS!T:T,"Costo variable",SALIDAS!A:A,"&gt;="&amp;Tabla7[[#This Row],[MES]],SALIDAS!A:A,"&lt;="&amp;MIN(TODAY(),EOMONTH(Tabla7[[#This Row],[MES]],0)))</f>
        <v>0</v>
      </c>
      <c r="AH22" s="79">
        <f ca="1">+IFERROR(AVERAGEIFS(INGRESOS!J:J,INGRESOS!$A:$A,"&gt;="&amp;Tabla7[[#This Row],[MES]],INGRESOS!$A:$A,"&lt;="&amp;MIN(TODAY(),EOMONTH(Tabla7[[#This Row],[MES]],0))),0)</f>
        <v>0</v>
      </c>
    </row>
    <row r="23" spans="1:34">
      <c r="A23" s="24">
        <v>46235</v>
      </c>
      <c r="B23" s="63">
        <f>+Tabla7[[#This Row],[INGRESO MES RECIBIDO]]+Tabla7[[#This Row],[INGRESO PROGRAMADO PEND.]]</f>
        <v>68261</v>
      </c>
      <c r="C23" s="233">
        <f>IFERROR((Tabla7[[#This Row],[INGRESO TOTAL MES]]/B22)-1,"0")</f>
        <v>-0.21714547852514476</v>
      </c>
      <c r="D23" s="63">
        <f>SUMIFS(INGRESOS!G:G,INGRESOS!A:A,"&gt;="&amp;EOMONTH(Tabla7[[#This Row],[MES]],-1)+1,INGRESOS!A:A,"&lt;="&amp;EOMONTH(Tabla7[[#This Row],[MES]],0))</f>
        <v>0</v>
      </c>
      <c r="E23" s="309">
        <f ca="1">COUNTIFS(INGRESOS!$A:$A,"&gt;="&amp;Tabla7[[#This Row],[MES]],INGRESOS!$A:$A,"&lt;="&amp;MIN(TODAY(),EOMONTH(Tabla7[[#This Row],[MES]],0)))</f>
        <v>0</v>
      </c>
      <c r="F23"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v>
      </c>
      <c r="G23" s="79">
        <f>SUMIFS('CALENDARIO INGRESOS'!I:I,'CALENDARIO INGRESOS'!G:G,"&gt;="&amp;EOMONTH(Tabla7[[#This Row],[MES]],-1)+1,'CALENDARIO INGRESOS'!G:G,"&lt;="&amp;EOMONTH(Tabla7[[#This Row],[MES]],0),'CALENDARIO INGRESOS'!L:L, "&lt;&gt;PAGADA",'CALENDARIO INGRESOS'!D:D,"&lt;&gt;ELIMINADO",'CALENDARIO INGRESOS'!D:D,"&lt;&gt;¡REGULARIZAR!")</f>
        <v>68261</v>
      </c>
      <c r="H23"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23" s="341">
        <f ca="1">COUNTIFS('CALENDARIO INGRESOS'!$G:$G,"&gt;="&amp;EOMONTH(Tabla7[[#This Row],[MES]],-1)+1,'CALENDARIO INGRESOS'!$G:$G,"&lt;="&amp;EOMONTH(Tabla7[[#This Row],[MES]],0),'CALENDARIO INGRESOS'!$D:$D,"&lt;&gt;ELIMINADO",'CALENDARIO INGRESOS'!$D:$D,"&lt;&gt;¡REGULARIZAR!",'CALENDARIO INGRESOS'!$L:$L,"&lt;&gt;PAGADA",'CALENDARIO INGRESOS'!$G:$G,"&lt;="&amp;TODAY())</f>
        <v>0</v>
      </c>
      <c r="J23" s="63">
        <f ca="1">SUMIFS('CALENDARIO INGRESOS'!$I:$I,
                   'CALENDARIO INGRESOS'!$G:$G,"&gt;="&amp;EOMONTH(Tabla7[[#This Row],[MES]],-1)+1,
                   'CALENDARIO INGRESOS'!$G:$G,"&lt;="&amp;EOMONTH(Tabla7[[#This Row],[MES]],0),
                   'CALENDARIO INGRESOS'!$L:$L,"&lt;&gt;PAGADA",
                   'CALENDARIO INGRESOS'!$G:$G,"&gt;="&amp;TODAY(),'CALENDARIO INGRESOS'!$D:$D,"&lt;&gt;ELIMINADO",'CALENDARIO INGRESOS'!$D:$D,"&lt;&gt;¡REGULARIZAR!")</f>
        <v>68261</v>
      </c>
      <c r="K23" s="346">
        <f ca="1">COUNTIFS('CALENDARIO INGRESOS'!$G:$G,"&gt;="&amp;EOMONTH(Tabla7[[#This Row],[MES]],-1)+1,'CALENDARIO INGRESOS'!$G:$G,"&lt;="&amp;EOMONTH(Tabla7[[#This Row],[MES]],0),'CALENDARIO INGRESOS'!$D:$D,"&lt;&gt;ELIMINADO",'CALENDARIO INGRESOS'!$D:$D,"&lt;&gt;¡REGULARIZAR!",'CALENDARIO INGRESOS'!$L:$L,"&lt;&gt;PAGADA",'CALENDARIO INGRESOS'!$G:$G,"&gt;="&amp;TODAY())</f>
        <v>74</v>
      </c>
      <c r="L23" s="63">
        <f>SUMIFS('CALENDARIO INGRESOS'!I:I,'CALENDARIO INGRESOS'!G:G,"&gt;="&amp;EOMONTH(Tabla7[[#This Row],[MES]],-1)+1,'CALENDARIO INGRESOS'!G:G,"&lt;="&amp;EOMONTH(Tabla7[[#This Row],[MES]],0),'CALENDARIO INGRESOS'!L:L, "&lt;&gt;PAGADA",'CALENDARIO INGRESOS'!D:D,"¡REGULARIZAR!")</f>
        <v>3450</v>
      </c>
      <c r="M23" s="346">
        <f>COUNTIFS('CALENDARIO INGRESOS'!$G:$G,"&gt;="&amp;EOMONTH(Tabla7[[#This Row],[MES]],-1)+1,'CALENDARIO INGRESOS'!$G:$G,"&lt;="&amp;EOMONTH(Tabla7[[#This Row],[MES]],0),'CALENDARIO INGRESOS'!$D:$D,"¡REGULARIZAR!",'CALENDARIO INGRESOS'!$L:$L,"&lt;&gt;PAGADA")</f>
        <v>4</v>
      </c>
      <c r="N23" s="488">
        <f>SUMIFS('CALENDARIO INGRESOS'!I:I,'CALENDARIO INGRESOS'!G:G,"&gt;="&amp;EOMONTH(Tabla7[[#This Row],[MES]],-1)+1,'CALENDARIO INGRESOS'!G:G,"&lt;="&amp;EOMONTH(Tabla7[[#This Row],[MES]],0),'CALENDARIO INGRESOS'!L:L, "&lt;&gt;PAGADA",'CALENDARIO INGRESOS'!D:D,"ELIMINADO")</f>
        <v>0</v>
      </c>
      <c r="O23" s="184">
        <f>+IFERROR(Tabla7[[#This Row],[INCOBRABLE]]/Tabla7[[#This Row],[INGRESO TOTAL MES]],0)</f>
        <v>0</v>
      </c>
      <c r="P23" s="184">
        <f ca="1">IFERROR(AVERAGEIFS(INGRESOS!I:I,INGRESOS!A:A,"&gt;="&amp;Tabla7[[#This Row],[MES]],INGRESOS!A:A,"&lt;="&amp;MIN(TODAY(),EOMONTH(Tabla7[[#This Row],[MES]],0))),0)</f>
        <v>0</v>
      </c>
      <c r="Q23" s="283">
        <f ca="1">SUMIFS(INGRESOS!$J:$J,INGRESOS!$A:$A,"&gt;="&amp;Tabla7[[#This Row],[MES]],INGRESOS!$A:$A,"&lt;="&amp;MIN(TODAY(),EOMONTH(Tabla7[[#This Row],[MES]],0)))</f>
        <v>0</v>
      </c>
      <c r="R23" s="271">
        <f ca="1">SUMIFS(SALIDAS!F:F,SALIDAS!A:A,"&gt;="&amp;Tabla7[[#This Row],[MES]],SALIDAS!A:A,"&lt;="&amp;MIN(TODAY(),EOMONTH(Tabla7[[#This Row],[MES]],0)))</f>
        <v>0</v>
      </c>
      <c r="S23" s="272">
        <f ca="1">SUMIFS(SALIDAS!F:F,SALIDAS!U:U,"COR",SALIDAS!A:A,"&gt;="&amp;Tabla7[[#This Row],[MES]],SALIDAS!A:A,"&lt;="&amp;MIN(TODAY(),EOMONTH(Tabla7[[#This Row],[MES]],0)))</f>
        <v>0</v>
      </c>
      <c r="T23" s="273">
        <f ca="1">Tabla7[[#This Row],[INGRESO MES RECIBIDO NETO]]+Tabla7[[#This Row],[COR]]+Tabla7[[#This Row],[Customer Success]]</f>
        <v>0</v>
      </c>
      <c r="U23" s="388" t="str">
        <f ca="1">+IFERROR(Tabla7[[#This Row],[MARGEN BRUTO]]/Tabla7[[#This Row],[INGRESO MES RECIBIDO NETO]],"null")</f>
        <v>null</v>
      </c>
      <c r="V23" s="274">
        <f ca="1">SUMIFS(SALIDAS!F:F,SALIDAS!U:U,"OPEX",SALIDAS!V:V,Tabla7[[#Headers],[Sales &amp; Marketing]],SALIDAS!A:A,"&gt;="&amp;Tabla7[[#This Row],[MES]],SALIDAS!A:A,"&lt;="&amp;MIN(TODAY(),EOMONTH(Tabla7[[#This Row],[MES]],0)))</f>
        <v>0</v>
      </c>
      <c r="W23" s="272">
        <f ca="1">SUMIFS(SALIDAS!F:F,SALIDAS!U:U,"OPEX",SALIDAS!V:V,Tabla7[[#Headers],[Research &amp; Development]],SALIDAS!A:A,"&gt;="&amp;Tabla7[[#This Row],[MES]],SALIDAS!A:A,"&lt;="&amp;MIN(TODAY(),EOMONTH(Tabla7[[#This Row],[MES]],0)))</f>
        <v>0</v>
      </c>
      <c r="X23" s="272">
        <f ca="1">SUMIFS(SALIDAS!F:F,SALIDAS!U:U,"OPEX",SALIDAS!V:V,Tabla7[[#Headers],[General &amp; Administrative]],SALIDAS!A:A,"&gt;="&amp;Tabla7[[#This Row],[MES]],SALIDAS!A:A,"&lt;="&amp;MIN(TODAY(),EOMONTH(Tabla7[[#This Row],[MES]],0)))</f>
        <v>0</v>
      </c>
      <c r="Y23" s="272">
        <f ca="1">SUMIFS(SALIDAS!F:F,SALIDAS!U:U,"OPEX",SALIDAS!V:V,Tabla7[[#Headers],[Customer Success]],SALIDAS!A:A,"&gt;="&amp;Tabla7[[#This Row],[MES]],SALIDAS!A:A,"&lt;="&amp;MIN(TODAY(),EOMONTH(Tabla7[[#This Row],[MES]],0)))</f>
        <v>0</v>
      </c>
      <c r="Z23" s="271">
        <f ca="1">SUMIFS(SALIDAS!F:F,SALIDAS!U:U,"OPEX",SALIDAS!A:A,"&gt;="&amp;Tabla7[[#This Row],[MES]],SALIDAS!A:A,"&lt;="&amp;MIN(TODAY(),EOMONTH(Tabla7[[#This Row],[MES]],0)))</f>
        <v>0</v>
      </c>
      <c r="AA23" s="275">
        <f ca="1">+Tabla7[[#This Row],[MARGEN BRUTO]]+SUM(Tabla7[[#This Row],[Sales &amp; Marketing]:[General &amp; Administrative]])</f>
        <v>0</v>
      </c>
      <c r="AB23" s="276">
        <f ca="1">ABS(SUMIFS(SALIDAS!F:F,SALIDAS!U:U,"CAPEX",SALIDAS!A:A,"&gt;="&amp;Tabla7[[#This Row],[MES]],SALIDAS!A:A,"&lt;="&amp;MIN(TODAY(),EOMONTH(Tabla7[[#This Row],[MES]],0))))</f>
        <v>0</v>
      </c>
      <c r="AC23" s="81">
        <f ca="1">+Tabla7[[#This Row],[EBITDA]]-Tabla7[[#This Row],[TOTAL CAPEX]]</f>
        <v>0</v>
      </c>
      <c r="AD23" s="275">
        <f ca="1">+Tabla7[[#This Row],[FCF]]</f>
        <v>0</v>
      </c>
      <c r="AE23" s="79">
        <f ca="1">IFERROR(SUMIFS(SALIDAS!F:F,SALIDAS!U:U,"OPEX",SALIDAS!V:V,Tabla7[[#Headers],[Sales &amp; Marketing]],SALIDAS!A:A,"&gt;="&amp;Tabla7[[#This Row],[MES]],SALIDAS!A:A,"&lt;="&amp;MIN(TODAY(),EOMONTH(Tabla7[[#This Row],[MES]],0)))/_xlfn.XLOOKUP(Tabla7[[#This Row],[MES]],'COHORTES INGRESO'!A:A,'COHORTES INGRESO'!C:C),0)</f>
        <v>0</v>
      </c>
      <c r="AF23" s="271">
        <f ca="1">+IFERROR(Tabla7[[#This Row],[COR]]/Tabla711[[#This Row],[NUEVOS CLIENTES TOTAL]],0)</f>
        <v>0</v>
      </c>
      <c r="AG23" s="274">
        <f ca="1">Tabla7[[#This Row],[INGRESO MES RECIBIDO NETO]]+SUMIFS(SALIDAS!F:F,SALIDAS!T:T,"Costo variable",SALIDAS!A:A,"&gt;="&amp;Tabla7[[#This Row],[MES]],SALIDAS!A:A,"&lt;="&amp;MIN(TODAY(),EOMONTH(Tabla7[[#This Row],[MES]],0)))</f>
        <v>0</v>
      </c>
      <c r="AH23" s="79">
        <f ca="1">+IFERROR(AVERAGEIFS(INGRESOS!J:J,INGRESOS!$A:$A,"&gt;="&amp;Tabla7[[#This Row],[MES]],INGRESOS!$A:$A,"&lt;="&amp;MIN(TODAY(),EOMONTH(Tabla7[[#This Row],[MES]],0))),0)</f>
        <v>0</v>
      </c>
    </row>
    <row r="24" spans="1:34">
      <c r="A24" s="58">
        <v>46266</v>
      </c>
      <c r="B24" s="63">
        <f>+Tabla7[[#This Row],[INGRESO MES RECIBIDO]]+Tabla7[[#This Row],[INGRESO PROGRAMADO PEND.]]</f>
        <v>58332</v>
      </c>
      <c r="C24" s="233">
        <f>IFERROR((Tabla7[[#This Row],[INGRESO TOTAL MES]]/B23)-1,"0")</f>
        <v>-0.14545640995590459</v>
      </c>
      <c r="D24" s="63">
        <f>SUMIFS(INGRESOS!G:G,INGRESOS!A:A,"&gt;="&amp;EOMONTH(Tabla7[[#This Row],[MES]],-1)+1,INGRESOS!A:A,"&lt;="&amp;EOMONTH(Tabla7[[#This Row],[MES]],0))</f>
        <v>0</v>
      </c>
      <c r="E24" s="309">
        <f ca="1">COUNTIFS(INGRESOS!$A:$A,"&gt;="&amp;Tabla7[[#This Row],[MES]],INGRESOS!$A:$A,"&lt;="&amp;MIN(TODAY(),EOMONTH(Tabla7[[#This Row],[MES]],0)))</f>
        <v>0</v>
      </c>
      <c r="F24"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v>
      </c>
      <c r="G24" s="79">
        <f>SUMIFS('CALENDARIO INGRESOS'!I:I,'CALENDARIO INGRESOS'!G:G,"&gt;="&amp;EOMONTH(Tabla7[[#This Row],[MES]],-1)+1,'CALENDARIO INGRESOS'!G:G,"&lt;="&amp;EOMONTH(Tabla7[[#This Row],[MES]],0),'CALENDARIO INGRESOS'!L:L, "&lt;&gt;PAGADA",'CALENDARIO INGRESOS'!D:D,"&lt;&gt;ELIMINADO",'CALENDARIO INGRESOS'!D:D,"&lt;&gt;¡REGULARIZAR!")</f>
        <v>58332</v>
      </c>
      <c r="H24"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24" s="341">
        <f ca="1">COUNTIFS('CALENDARIO INGRESOS'!$G:$G,"&gt;="&amp;EOMONTH(Tabla7[[#This Row],[MES]],-1)+1,'CALENDARIO INGRESOS'!$G:$G,"&lt;="&amp;EOMONTH(Tabla7[[#This Row],[MES]],0),'CALENDARIO INGRESOS'!$D:$D,"&lt;&gt;ELIMINADO",'CALENDARIO INGRESOS'!$D:$D,"&lt;&gt;¡REGULARIZAR!",'CALENDARIO INGRESOS'!$L:$L,"&lt;&gt;PAGADA",'CALENDARIO INGRESOS'!$G:$G,"&lt;="&amp;TODAY())</f>
        <v>0</v>
      </c>
      <c r="J24" s="63">
        <f ca="1">SUMIFS('CALENDARIO INGRESOS'!$I:$I,
                   'CALENDARIO INGRESOS'!$G:$G,"&gt;="&amp;EOMONTH(Tabla7[[#This Row],[MES]],-1)+1,
                   'CALENDARIO INGRESOS'!$G:$G,"&lt;="&amp;EOMONTH(Tabla7[[#This Row],[MES]],0),
                   'CALENDARIO INGRESOS'!$L:$L,"&lt;&gt;PAGADA",
                   'CALENDARIO INGRESOS'!$G:$G,"&gt;="&amp;TODAY(),'CALENDARIO INGRESOS'!$D:$D,"&lt;&gt;ELIMINADO",'CALENDARIO INGRESOS'!$D:$D,"&lt;&gt;¡REGULARIZAR!")</f>
        <v>58332</v>
      </c>
      <c r="K24" s="346">
        <f ca="1">COUNTIFS('CALENDARIO INGRESOS'!$G:$G,"&gt;="&amp;EOMONTH(Tabla7[[#This Row],[MES]],-1)+1,'CALENDARIO INGRESOS'!$G:$G,"&lt;="&amp;EOMONTH(Tabla7[[#This Row],[MES]],0),'CALENDARIO INGRESOS'!$D:$D,"&lt;&gt;ELIMINADO",'CALENDARIO INGRESOS'!$D:$D,"&lt;&gt;¡REGULARIZAR!",'CALENDARIO INGRESOS'!$L:$L,"&lt;&gt;PAGADA",'CALENDARIO INGRESOS'!$G:$G,"&gt;="&amp;TODAY())</f>
        <v>70</v>
      </c>
      <c r="L24" s="63">
        <f>SUMIFS('CALENDARIO INGRESOS'!I:I,'CALENDARIO INGRESOS'!G:G,"&gt;="&amp;EOMONTH(Tabla7[[#This Row],[MES]],-1)+1,'CALENDARIO INGRESOS'!G:G,"&lt;="&amp;EOMONTH(Tabla7[[#This Row],[MES]],0),'CALENDARIO INGRESOS'!L:L, "&lt;&gt;PAGADA",'CALENDARIO INGRESOS'!D:D,"¡REGULARIZAR!")</f>
        <v>3650</v>
      </c>
      <c r="M24" s="346">
        <f>COUNTIFS('CALENDARIO INGRESOS'!$G:$G,"&gt;="&amp;EOMONTH(Tabla7[[#This Row],[MES]],-1)+1,'CALENDARIO INGRESOS'!$G:$G,"&lt;="&amp;EOMONTH(Tabla7[[#This Row],[MES]],0),'CALENDARIO INGRESOS'!$D:$D,"¡REGULARIZAR!",'CALENDARIO INGRESOS'!$L:$L,"&lt;&gt;PAGADA")</f>
        <v>4</v>
      </c>
      <c r="N24" s="488">
        <f>SUMIFS('CALENDARIO INGRESOS'!I:I,'CALENDARIO INGRESOS'!G:G,"&gt;="&amp;EOMONTH(Tabla7[[#This Row],[MES]],-1)+1,'CALENDARIO INGRESOS'!G:G,"&lt;="&amp;EOMONTH(Tabla7[[#This Row],[MES]],0),'CALENDARIO INGRESOS'!L:L, "&lt;&gt;PAGADA",'CALENDARIO INGRESOS'!D:D,"ELIMINADO")</f>
        <v>0</v>
      </c>
      <c r="O24" s="184">
        <f>+IFERROR(Tabla7[[#This Row],[INCOBRABLE]]/Tabla7[[#This Row],[INGRESO TOTAL MES]],0)</f>
        <v>0</v>
      </c>
      <c r="P24" s="184">
        <f ca="1">IFERROR(AVERAGEIFS(INGRESOS!I:I,INGRESOS!A:A,"&gt;="&amp;Tabla7[[#This Row],[MES]],INGRESOS!A:A,"&lt;="&amp;MIN(TODAY(),EOMONTH(Tabla7[[#This Row],[MES]],0))),0)</f>
        <v>0</v>
      </c>
      <c r="Q24" s="283">
        <f ca="1">SUMIFS(INGRESOS!$J:$J,INGRESOS!$A:$A,"&gt;="&amp;Tabla7[[#This Row],[MES]],INGRESOS!$A:$A,"&lt;="&amp;MIN(TODAY(),EOMONTH(Tabla7[[#This Row],[MES]],0)))</f>
        <v>0</v>
      </c>
      <c r="R24" s="271">
        <f ca="1">SUMIFS(SALIDAS!F:F,SALIDAS!A:A,"&gt;="&amp;Tabla7[[#This Row],[MES]],SALIDAS!A:A,"&lt;="&amp;MIN(TODAY(),EOMONTH(Tabla7[[#This Row],[MES]],0)))</f>
        <v>0</v>
      </c>
      <c r="S24" s="272">
        <f ca="1">SUMIFS(SALIDAS!F:F,SALIDAS!U:U,"COR",SALIDAS!A:A,"&gt;="&amp;Tabla7[[#This Row],[MES]],SALIDAS!A:A,"&lt;="&amp;MIN(TODAY(),EOMONTH(Tabla7[[#This Row],[MES]],0)))</f>
        <v>0</v>
      </c>
      <c r="T24" s="273">
        <f ca="1">Tabla7[[#This Row],[INGRESO MES RECIBIDO NETO]]+Tabla7[[#This Row],[COR]]+Tabla7[[#This Row],[Customer Success]]</f>
        <v>0</v>
      </c>
      <c r="U24" s="388" t="str">
        <f ca="1">+IFERROR(Tabla7[[#This Row],[MARGEN BRUTO]]/Tabla7[[#This Row],[INGRESO MES RECIBIDO NETO]],"null")</f>
        <v>null</v>
      </c>
      <c r="V24" s="274">
        <f ca="1">SUMIFS(SALIDAS!F:F,SALIDAS!U:U,"OPEX",SALIDAS!V:V,Tabla7[[#Headers],[Sales &amp; Marketing]],SALIDAS!A:A,"&gt;="&amp;Tabla7[[#This Row],[MES]],SALIDAS!A:A,"&lt;="&amp;MIN(TODAY(),EOMONTH(Tabla7[[#This Row],[MES]],0)))</f>
        <v>0</v>
      </c>
      <c r="W24" s="272">
        <f ca="1">SUMIFS(SALIDAS!F:F,SALIDAS!U:U,"OPEX",SALIDAS!V:V,Tabla7[[#Headers],[Research &amp; Development]],SALIDAS!A:A,"&gt;="&amp;Tabla7[[#This Row],[MES]],SALIDAS!A:A,"&lt;="&amp;MIN(TODAY(),EOMONTH(Tabla7[[#This Row],[MES]],0)))</f>
        <v>0</v>
      </c>
      <c r="X24" s="272">
        <f ca="1">SUMIFS(SALIDAS!F:F,SALIDAS!U:U,"OPEX",SALIDAS!V:V,Tabla7[[#Headers],[General &amp; Administrative]],SALIDAS!A:A,"&gt;="&amp;Tabla7[[#This Row],[MES]],SALIDAS!A:A,"&lt;="&amp;MIN(TODAY(),EOMONTH(Tabla7[[#This Row],[MES]],0)))</f>
        <v>0</v>
      </c>
      <c r="Y24" s="272">
        <f ca="1">SUMIFS(SALIDAS!F:F,SALIDAS!U:U,"OPEX",SALIDAS!V:V,Tabla7[[#Headers],[Customer Success]],SALIDAS!A:A,"&gt;="&amp;Tabla7[[#This Row],[MES]],SALIDAS!A:A,"&lt;="&amp;MIN(TODAY(),EOMONTH(Tabla7[[#This Row],[MES]],0)))</f>
        <v>0</v>
      </c>
      <c r="Z24" s="271">
        <f ca="1">SUMIFS(SALIDAS!F:F,SALIDAS!U:U,"OPEX",SALIDAS!A:A,"&gt;="&amp;Tabla7[[#This Row],[MES]],SALIDAS!A:A,"&lt;="&amp;MIN(TODAY(),EOMONTH(Tabla7[[#This Row],[MES]],0)))</f>
        <v>0</v>
      </c>
      <c r="AA24" s="275">
        <f ca="1">+Tabla7[[#This Row],[MARGEN BRUTO]]+SUM(Tabla7[[#This Row],[Sales &amp; Marketing]:[General &amp; Administrative]])</f>
        <v>0</v>
      </c>
      <c r="AB24" s="276">
        <f ca="1">ABS(SUMIFS(SALIDAS!F:F,SALIDAS!U:U,"CAPEX",SALIDAS!A:A,"&gt;="&amp;Tabla7[[#This Row],[MES]],SALIDAS!A:A,"&lt;="&amp;MIN(TODAY(),EOMONTH(Tabla7[[#This Row],[MES]],0))))</f>
        <v>0</v>
      </c>
      <c r="AC24" s="81">
        <f ca="1">+Tabla7[[#This Row],[EBITDA]]-Tabla7[[#This Row],[TOTAL CAPEX]]</f>
        <v>0</v>
      </c>
      <c r="AD24" s="275">
        <f ca="1">+Tabla7[[#This Row],[FCF]]</f>
        <v>0</v>
      </c>
      <c r="AE24" s="79">
        <f ca="1">IFERROR(SUMIFS(SALIDAS!F:F,SALIDAS!U:U,"OPEX",SALIDAS!V:V,Tabla7[[#Headers],[Sales &amp; Marketing]],SALIDAS!A:A,"&gt;="&amp;Tabla7[[#This Row],[MES]],SALIDAS!A:A,"&lt;="&amp;MIN(TODAY(),EOMONTH(Tabla7[[#This Row],[MES]],0)))/_xlfn.XLOOKUP(Tabla7[[#This Row],[MES]],'COHORTES INGRESO'!A:A,'COHORTES INGRESO'!C:C),0)</f>
        <v>0</v>
      </c>
      <c r="AF24" s="271">
        <f ca="1">+IFERROR(Tabla7[[#This Row],[COR]]/Tabla711[[#This Row],[NUEVOS CLIENTES TOTAL]],0)</f>
        <v>0</v>
      </c>
      <c r="AG24" s="274">
        <f ca="1">Tabla7[[#This Row],[INGRESO MES RECIBIDO NETO]]+SUMIFS(SALIDAS!F:F,SALIDAS!T:T,"Costo variable",SALIDAS!A:A,"&gt;="&amp;Tabla7[[#This Row],[MES]],SALIDAS!A:A,"&lt;="&amp;MIN(TODAY(),EOMONTH(Tabla7[[#This Row],[MES]],0)))</f>
        <v>0</v>
      </c>
      <c r="AH24" s="79">
        <f ca="1">+IFERROR(AVERAGEIFS(INGRESOS!J:J,INGRESOS!$A:$A,"&gt;="&amp;Tabla7[[#This Row],[MES]],INGRESOS!$A:$A,"&lt;="&amp;MIN(TODAY(),EOMONTH(Tabla7[[#This Row],[MES]],0))),0)</f>
        <v>0</v>
      </c>
    </row>
    <row r="25" spans="1:34">
      <c r="A25" s="24">
        <v>46296</v>
      </c>
      <c r="B25" s="63">
        <f>+Tabla7[[#This Row],[INGRESO MES RECIBIDO]]+Tabla7[[#This Row],[INGRESO PROGRAMADO PEND.]]</f>
        <v>66358</v>
      </c>
      <c r="C25" s="233">
        <f>IFERROR((Tabla7[[#This Row],[INGRESO TOTAL MES]]/B24)-1,"0")</f>
        <v>0.13759171638208878</v>
      </c>
      <c r="D25" s="63">
        <f>SUMIFS(INGRESOS!G:G,INGRESOS!A:A,"&gt;="&amp;EOMONTH(Tabla7[[#This Row],[MES]],-1)+1,INGRESOS!A:A,"&lt;="&amp;EOMONTH(Tabla7[[#This Row],[MES]],0))</f>
        <v>0</v>
      </c>
      <c r="E25" s="309">
        <f ca="1">COUNTIFS(INGRESOS!$A:$A,"&gt;="&amp;Tabla7[[#This Row],[MES]],INGRESOS!$A:$A,"&lt;="&amp;MIN(TODAY(),EOMONTH(Tabla7[[#This Row],[MES]],0)))</f>
        <v>0</v>
      </c>
      <c r="F25"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v>
      </c>
      <c r="G25" s="79">
        <f>SUMIFS('CALENDARIO INGRESOS'!I:I,'CALENDARIO INGRESOS'!G:G,"&gt;="&amp;EOMONTH(Tabla7[[#This Row],[MES]],-1)+1,'CALENDARIO INGRESOS'!G:G,"&lt;="&amp;EOMONTH(Tabla7[[#This Row],[MES]],0),'CALENDARIO INGRESOS'!L:L, "&lt;&gt;PAGADA",'CALENDARIO INGRESOS'!D:D,"&lt;&gt;ELIMINADO",'CALENDARIO INGRESOS'!D:D,"&lt;&gt;¡REGULARIZAR!")</f>
        <v>66358</v>
      </c>
      <c r="H25"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25" s="341">
        <f ca="1">COUNTIFS('CALENDARIO INGRESOS'!$G:$G,"&gt;="&amp;EOMONTH(Tabla7[[#This Row],[MES]],-1)+1,'CALENDARIO INGRESOS'!$G:$G,"&lt;="&amp;EOMONTH(Tabla7[[#This Row],[MES]],0),'CALENDARIO INGRESOS'!$D:$D,"&lt;&gt;ELIMINADO",'CALENDARIO INGRESOS'!$D:$D,"&lt;&gt;¡REGULARIZAR!",'CALENDARIO INGRESOS'!$L:$L,"&lt;&gt;PAGADA",'CALENDARIO INGRESOS'!$G:$G,"&lt;="&amp;TODAY())</f>
        <v>0</v>
      </c>
      <c r="J25" s="63">
        <f ca="1">SUMIFS('CALENDARIO INGRESOS'!$I:$I,
                   'CALENDARIO INGRESOS'!$G:$G,"&gt;="&amp;EOMONTH(Tabla7[[#This Row],[MES]],-1)+1,
                   'CALENDARIO INGRESOS'!$G:$G,"&lt;="&amp;EOMONTH(Tabla7[[#This Row],[MES]],0),
                   'CALENDARIO INGRESOS'!$L:$L,"&lt;&gt;PAGADA",
                   'CALENDARIO INGRESOS'!$G:$G,"&gt;="&amp;TODAY(),'CALENDARIO INGRESOS'!$D:$D,"&lt;&gt;ELIMINADO",'CALENDARIO INGRESOS'!$D:$D,"&lt;&gt;¡REGULARIZAR!")</f>
        <v>66358</v>
      </c>
      <c r="K25" s="346">
        <f ca="1">COUNTIFS('CALENDARIO INGRESOS'!$G:$G,"&gt;="&amp;EOMONTH(Tabla7[[#This Row],[MES]],-1)+1,'CALENDARIO INGRESOS'!$G:$G,"&lt;="&amp;EOMONTH(Tabla7[[#This Row],[MES]],0),'CALENDARIO INGRESOS'!$D:$D,"&lt;&gt;ELIMINADO",'CALENDARIO INGRESOS'!$D:$D,"&lt;&gt;¡REGULARIZAR!",'CALENDARIO INGRESOS'!$L:$L,"&lt;&gt;PAGADA",'CALENDARIO INGRESOS'!$G:$G,"&gt;="&amp;TODAY())</f>
        <v>71</v>
      </c>
      <c r="L25" s="63">
        <f>SUMIFS('CALENDARIO INGRESOS'!I:I,'CALENDARIO INGRESOS'!G:G,"&gt;="&amp;EOMONTH(Tabla7[[#This Row],[MES]],-1)+1,'CALENDARIO INGRESOS'!G:G,"&lt;="&amp;EOMONTH(Tabla7[[#This Row],[MES]],0),'CALENDARIO INGRESOS'!L:L, "&lt;&gt;PAGADA",'CALENDARIO INGRESOS'!D:D,"¡REGULARIZAR!")</f>
        <v>3400</v>
      </c>
      <c r="M25" s="346">
        <f>COUNTIFS('CALENDARIO INGRESOS'!$G:$G,"&gt;="&amp;EOMONTH(Tabla7[[#This Row],[MES]],-1)+1,'CALENDARIO INGRESOS'!$G:$G,"&lt;="&amp;EOMONTH(Tabla7[[#This Row],[MES]],0),'CALENDARIO INGRESOS'!$D:$D,"¡REGULARIZAR!",'CALENDARIO INGRESOS'!$L:$L,"&lt;&gt;PAGADA")</f>
        <v>4</v>
      </c>
      <c r="N25" s="488">
        <f>SUMIFS('CALENDARIO INGRESOS'!I:I,'CALENDARIO INGRESOS'!G:G,"&gt;="&amp;EOMONTH(Tabla7[[#This Row],[MES]],-1)+1,'CALENDARIO INGRESOS'!G:G,"&lt;="&amp;EOMONTH(Tabla7[[#This Row],[MES]],0),'CALENDARIO INGRESOS'!L:L, "&lt;&gt;PAGADA",'CALENDARIO INGRESOS'!D:D,"ELIMINADO")</f>
        <v>0</v>
      </c>
      <c r="O25" s="184">
        <f>+IFERROR(Tabla7[[#This Row],[INCOBRABLE]]/Tabla7[[#This Row],[INGRESO TOTAL MES]],0)</f>
        <v>0</v>
      </c>
      <c r="P25" s="184">
        <f ca="1">IFERROR(AVERAGEIFS(INGRESOS!I:I,INGRESOS!A:A,"&gt;="&amp;Tabla7[[#This Row],[MES]],INGRESOS!A:A,"&lt;="&amp;MIN(TODAY(),EOMONTH(Tabla7[[#This Row],[MES]],0))),0)</f>
        <v>0</v>
      </c>
      <c r="Q25" s="283">
        <f ca="1">SUMIFS(INGRESOS!$J:$J,INGRESOS!$A:$A,"&gt;="&amp;Tabla7[[#This Row],[MES]],INGRESOS!$A:$A,"&lt;="&amp;MIN(TODAY(),EOMONTH(Tabla7[[#This Row],[MES]],0)))</f>
        <v>0</v>
      </c>
      <c r="R25" s="271">
        <f ca="1">SUMIFS(SALIDAS!F:F,SALIDAS!A:A,"&gt;="&amp;Tabla7[[#This Row],[MES]],SALIDAS!A:A,"&lt;="&amp;MIN(TODAY(),EOMONTH(Tabla7[[#This Row],[MES]],0)))</f>
        <v>0</v>
      </c>
      <c r="S25" s="272">
        <f ca="1">SUMIFS(SALIDAS!F:F,SALIDAS!U:U,"COR",SALIDAS!A:A,"&gt;="&amp;Tabla7[[#This Row],[MES]],SALIDAS!A:A,"&lt;="&amp;MIN(TODAY(),EOMONTH(Tabla7[[#This Row],[MES]],0)))</f>
        <v>0</v>
      </c>
      <c r="T25" s="273">
        <f ca="1">Tabla7[[#This Row],[INGRESO MES RECIBIDO NETO]]+Tabla7[[#This Row],[COR]]+Tabla7[[#This Row],[Customer Success]]</f>
        <v>0</v>
      </c>
      <c r="U25" s="388" t="str">
        <f ca="1">+IFERROR(Tabla7[[#This Row],[MARGEN BRUTO]]/Tabla7[[#This Row],[INGRESO MES RECIBIDO NETO]],"null")</f>
        <v>null</v>
      </c>
      <c r="V25" s="274">
        <f ca="1">SUMIFS(SALIDAS!F:F,SALIDAS!U:U,"OPEX",SALIDAS!V:V,Tabla7[[#Headers],[Sales &amp; Marketing]],SALIDAS!A:A,"&gt;="&amp;Tabla7[[#This Row],[MES]],SALIDAS!A:A,"&lt;="&amp;MIN(TODAY(),EOMONTH(Tabla7[[#This Row],[MES]],0)))</f>
        <v>0</v>
      </c>
      <c r="W25" s="272">
        <f ca="1">SUMIFS(SALIDAS!F:F,SALIDAS!U:U,"OPEX",SALIDAS!V:V,Tabla7[[#Headers],[Research &amp; Development]],SALIDAS!A:A,"&gt;="&amp;Tabla7[[#This Row],[MES]],SALIDAS!A:A,"&lt;="&amp;MIN(TODAY(),EOMONTH(Tabla7[[#This Row],[MES]],0)))</f>
        <v>0</v>
      </c>
      <c r="X25" s="272">
        <f ca="1">SUMIFS(SALIDAS!F:F,SALIDAS!U:U,"OPEX",SALIDAS!V:V,Tabla7[[#Headers],[General &amp; Administrative]],SALIDAS!A:A,"&gt;="&amp;Tabla7[[#This Row],[MES]],SALIDAS!A:A,"&lt;="&amp;MIN(TODAY(),EOMONTH(Tabla7[[#This Row],[MES]],0)))</f>
        <v>0</v>
      </c>
      <c r="Y25" s="272">
        <f ca="1">SUMIFS(SALIDAS!F:F,SALIDAS!U:U,"OPEX",SALIDAS!V:V,Tabla7[[#Headers],[Customer Success]],SALIDAS!A:A,"&gt;="&amp;Tabla7[[#This Row],[MES]],SALIDAS!A:A,"&lt;="&amp;MIN(TODAY(),EOMONTH(Tabla7[[#This Row],[MES]],0)))</f>
        <v>0</v>
      </c>
      <c r="Z25" s="271">
        <f ca="1">SUMIFS(SALIDAS!F:F,SALIDAS!U:U,"OPEX",SALIDAS!A:A,"&gt;="&amp;Tabla7[[#This Row],[MES]],SALIDAS!A:A,"&lt;="&amp;MIN(TODAY(),EOMONTH(Tabla7[[#This Row],[MES]],0)))</f>
        <v>0</v>
      </c>
      <c r="AA25" s="275">
        <f ca="1">+Tabla7[[#This Row],[MARGEN BRUTO]]+SUM(Tabla7[[#This Row],[Sales &amp; Marketing]:[General &amp; Administrative]])</f>
        <v>0</v>
      </c>
      <c r="AB25" s="276">
        <f ca="1">ABS(SUMIFS(SALIDAS!F:F,SALIDAS!U:U,"CAPEX",SALIDAS!A:A,"&gt;="&amp;Tabla7[[#This Row],[MES]],SALIDAS!A:A,"&lt;="&amp;MIN(TODAY(),EOMONTH(Tabla7[[#This Row],[MES]],0))))</f>
        <v>0</v>
      </c>
      <c r="AC25" s="81">
        <f ca="1">+Tabla7[[#This Row],[EBITDA]]-Tabla7[[#This Row],[TOTAL CAPEX]]</f>
        <v>0</v>
      </c>
      <c r="AD25" s="275">
        <f ca="1">+Tabla7[[#This Row],[FCF]]</f>
        <v>0</v>
      </c>
      <c r="AE25" s="79">
        <f ca="1">IFERROR(SUMIFS(SALIDAS!F:F,SALIDAS!U:U,"OPEX",SALIDAS!V:V,Tabla7[[#Headers],[Sales &amp; Marketing]],SALIDAS!A:A,"&gt;="&amp;Tabla7[[#This Row],[MES]],SALIDAS!A:A,"&lt;="&amp;MIN(TODAY(),EOMONTH(Tabla7[[#This Row],[MES]],0)))/_xlfn.XLOOKUP(Tabla7[[#This Row],[MES]],'COHORTES INGRESO'!A:A,'COHORTES INGRESO'!C:C),0)</f>
        <v>0</v>
      </c>
      <c r="AF25" s="271">
        <f ca="1">+IFERROR(Tabla7[[#This Row],[COR]]/Tabla711[[#This Row],[NUEVOS CLIENTES TOTAL]],0)</f>
        <v>0</v>
      </c>
      <c r="AG25" s="274">
        <f ca="1">Tabla7[[#This Row],[INGRESO MES RECIBIDO NETO]]+SUMIFS(SALIDAS!F:F,SALIDAS!T:T,"Costo variable",SALIDAS!A:A,"&gt;="&amp;Tabla7[[#This Row],[MES]],SALIDAS!A:A,"&lt;="&amp;MIN(TODAY(),EOMONTH(Tabla7[[#This Row],[MES]],0)))</f>
        <v>0</v>
      </c>
      <c r="AH25" s="79">
        <f ca="1">+IFERROR(AVERAGEIFS(INGRESOS!J:J,INGRESOS!$A:$A,"&gt;="&amp;Tabla7[[#This Row],[MES]],INGRESOS!$A:$A,"&lt;="&amp;MIN(TODAY(),EOMONTH(Tabla7[[#This Row],[MES]],0))),0)</f>
        <v>0</v>
      </c>
    </row>
    <row r="26" spans="1:34">
      <c r="A26" s="58">
        <v>46327</v>
      </c>
      <c r="B26" s="63">
        <f>+Tabla7[[#This Row],[INGRESO MES RECIBIDO]]+Tabla7[[#This Row],[INGRESO PROGRAMADO PEND.]]</f>
        <v>68500</v>
      </c>
      <c r="C26" s="233">
        <f>IFERROR((Tabla7[[#This Row],[INGRESO TOTAL MES]]/B25)-1,"0")</f>
        <v>3.2279453871424613E-2</v>
      </c>
      <c r="D26" s="63">
        <f>SUMIFS(INGRESOS!G:G,INGRESOS!A:A,"&gt;="&amp;EOMONTH(Tabla7[[#This Row],[MES]],-1)+1,INGRESOS!A:A,"&lt;="&amp;EOMONTH(Tabla7[[#This Row],[MES]],0))</f>
        <v>0</v>
      </c>
      <c r="E26" s="309">
        <f ca="1">COUNTIFS(INGRESOS!$A:$A,"&gt;="&amp;Tabla7[[#This Row],[MES]],INGRESOS!$A:$A,"&lt;="&amp;MIN(TODAY(),EOMONTH(Tabla7[[#This Row],[MES]],0)))</f>
        <v>0</v>
      </c>
      <c r="F26"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v>
      </c>
      <c r="G26" s="79">
        <f>SUMIFS('CALENDARIO INGRESOS'!I:I,'CALENDARIO INGRESOS'!G:G,"&gt;="&amp;EOMONTH(Tabla7[[#This Row],[MES]],-1)+1,'CALENDARIO INGRESOS'!G:G,"&lt;="&amp;EOMONTH(Tabla7[[#This Row],[MES]],0),'CALENDARIO INGRESOS'!L:L, "&lt;&gt;PAGADA",'CALENDARIO INGRESOS'!D:D,"&lt;&gt;ELIMINADO",'CALENDARIO INGRESOS'!D:D,"&lt;&gt;¡REGULARIZAR!")</f>
        <v>68500</v>
      </c>
      <c r="H26"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26" s="341">
        <f ca="1">COUNTIFS('CALENDARIO INGRESOS'!$G:$G,"&gt;="&amp;EOMONTH(Tabla7[[#This Row],[MES]],-1)+1,'CALENDARIO INGRESOS'!$G:$G,"&lt;="&amp;EOMONTH(Tabla7[[#This Row],[MES]],0),'CALENDARIO INGRESOS'!$D:$D,"&lt;&gt;ELIMINADO",'CALENDARIO INGRESOS'!$D:$D,"&lt;&gt;¡REGULARIZAR!",'CALENDARIO INGRESOS'!$L:$L,"&lt;&gt;PAGADA",'CALENDARIO INGRESOS'!$G:$G,"&lt;="&amp;TODAY())</f>
        <v>0</v>
      </c>
      <c r="J26" s="63">
        <f ca="1">SUMIFS('CALENDARIO INGRESOS'!$I:$I,
                   'CALENDARIO INGRESOS'!$G:$G,"&gt;="&amp;EOMONTH(Tabla7[[#This Row],[MES]],-1)+1,
                   'CALENDARIO INGRESOS'!$G:$G,"&lt;="&amp;EOMONTH(Tabla7[[#This Row],[MES]],0),
                   'CALENDARIO INGRESOS'!$L:$L,"&lt;&gt;PAGADA",
                   'CALENDARIO INGRESOS'!$G:$G,"&gt;="&amp;TODAY(),'CALENDARIO INGRESOS'!$D:$D,"&lt;&gt;ELIMINADO",'CALENDARIO INGRESOS'!$D:$D,"&lt;&gt;¡REGULARIZAR!")</f>
        <v>68500</v>
      </c>
      <c r="K26" s="346">
        <f ca="1">COUNTIFS('CALENDARIO INGRESOS'!$G:$G,"&gt;="&amp;EOMONTH(Tabla7[[#This Row],[MES]],-1)+1,'CALENDARIO INGRESOS'!$G:$G,"&lt;="&amp;EOMONTH(Tabla7[[#This Row],[MES]],0),'CALENDARIO INGRESOS'!$D:$D,"&lt;&gt;ELIMINADO",'CALENDARIO INGRESOS'!$D:$D,"&lt;&gt;¡REGULARIZAR!",'CALENDARIO INGRESOS'!$L:$L,"&lt;&gt;PAGADA",'CALENDARIO INGRESOS'!$G:$G,"&gt;="&amp;TODAY())</f>
        <v>75</v>
      </c>
      <c r="L26" s="63">
        <f>SUMIFS('CALENDARIO INGRESOS'!I:I,'CALENDARIO INGRESOS'!G:G,"&gt;="&amp;EOMONTH(Tabla7[[#This Row],[MES]],-1)+1,'CALENDARIO INGRESOS'!G:G,"&lt;="&amp;EOMONTH(Tabla7[[#This Row],[MES]],0),'CALENDARIO INGRESOS'!L:L, "&lt;&gt;PAGADA",'CALENDARIO INGRESOS'!D:D,"¡REGULARIZAR!")</f>
        <v>3400</v>
      </c>
      <c r="M26" s="346">
        <f>COUNTIFS('CALENDARIO INGRESOS'!$G:$G,"&gt;="&amp;EOMONTH(Tabla7[[#This Row],[MES]],-1)+1,'CALENDARIO INGRESOS'!$G:$G,"&lt;="&amp;EOMONTH(Tabla7[[#This Row],[MES]],0),'CALENDARIO INGRESOS'!$D:$D,"¡REGULARIZAR!",'CALENDARIO INGRESOS'!$L:$L,"&lt;&gt;PAGADA")</f>
        <v>4</v>
      </c>
      <c r="N26" s="488">
        <f>SUMIFS('CALENDARIO INGRESOS'!I:I,'CALENDARIO INGRESOS'!G:G,"&gt;="&amp;EOMONTH(Tabla7[[#This Row],[MES]],-1)+1,'CALENDARIO INGRESOS'!G:G,"&lt;="&amp;EOMONTH(Tabla7[[#This Row],[MES]],0),'CALENDARIO INGRESOS'!L:L, "&lt;&gt;PAGADA",'CALENDARIO INGRESOS'!D:D,"ELIMINADO")</f>
        <v>0</v>
      </c>
      <c r="O26" s="184">
        <f>+IFERROR(Tabla7[[#This Row],[INCOBRABLE]]/Tabla7[[#This Row],[INGRESO TOTAL MES]],0)</f>
        <v>0</v>
      </c>
      <c r="P26" s="184">
        <f ca="1">IFERROR(AVERAGEIFS(INGRESOS!I:I,INGRESOS!A:A,"&gt;="&amp;Tabla7[[#This Row],[MES]],INGRESOS!A:A,"&lt;="&amp;MIN(TODAY(),EOMONTH(Tabla7[[#This Row],[MES]],0))),0)</f>
        <v>0</v>
      </c>
      <c r="Q26" s="283">
        <f ca="1">SUMIFS(INGRESOS!$J:$J,INGRESOS!$A:$A,"&gt;="&amp;Tabla7[[#This Row],[MES]],INGRESOS!$A:$A,"&lt;="&amp;MIN(TODAY(),EOMONTH(Tabla7[[#This Row],[MES]],0)))</f>
        <v>0</v>
      </c>
      <c r="R26" s="271">
        <f ca="1">SUMIFS(SALIDAS!F:F,SALIDAS!A:A,"&gt;="&amp;Tabla7[[#This Row],[MES]],SALIDAS!A:A,"&lt;="&amp;MIN(TODAY(),EOMONTH(Tabla7[[#This Row],[MES]],0)))</f>
        <v>0</v>
      </c>
      <c r="S26" s="272">
        <f ca="1">SUMIFS(SALIDAS!F:F,SALIDAS!U:U,"COR",SALIDAS!A:A,"&gt;="&amp;Tabla7[[#This Row],[MES]],SALIDAS!A:A,"&lt;="&amp;MIN(TODAY(),EOMONTH(Tabla7[[#This Row],[MES]],0)))</f>
        <v>0</v>
      </c>
      <c r="T26" s="273">
        <f ca="1">Tabla7[[#This Row],[INGRESO MES RECIBIDO NETO]]+Tabla7[[#This Row],[COR]]+Tabla7[[#This Row],[Customer Success]]</f>
        <v>0</v>
      </c>
      <c r="U26" s="388" t="str">
        <f ca="1">+IFERROR(Tabla7[[#This Row],[MARGEN BRUTO]]/Tabla7[[#This Row],[INGRESO MES RECIBIDO NETO]],"null")</f>
        <v>null</v>
      </c>
      <c r="V26" s="274">
        <f ca="1">SUMIFS(SALIDAS!F:F,SALIDAS!U:U,"OPEX",SALIDAS!V:V,Tabla7[[#Headers],[Sales &amp; Marketing]],SALIDAS!A:A,"&gt;="&amp;Tabla7[[#This Row],[MES]],SALIDAS!A:A,"&lt;="&amp;MIN(TODAY(),EOMONTH(Tabla7[[#This Row],[MES]],0)))</f>
        <v>0</v>
      </c>
      <c r="W26" s="272">
        <f ca="1">SUMIFS(SALIDAS!F:F,SALIDAS!U:U,"OPEX",SALIDAS!V:V,Tabla7[[#Headers],[Research &amp; Development]],SALIDAS!A:A,"&gt;="&amp;Tabla7[[#This Row],[MES]],SALIDAS!A:A,"&lt;="&amp;MIN(TODAY(),EOMONTH(Tabla7[[#This Row],[MES]],0)))</f>
        <v>0</v>
      </c>
      <c r="X26" s="272">
        <f ca="1">SUMIFS(SALIDAS!F:F,SALIDAS!U:U,"OPEX",SALIDAS!V:V,Tabla7[[#Headers],[General &amp; Administrative]],SALIDAS!A:A,"&gt;="&amp;Tabla7[[#This Row],[MES]],SALIDAS!A:A,"&lt;="&amp;MIN(TODAY(),EOMONTH(Tabla7[[#This Row],[MES]],0)))</f>
        <v>0</v>
      </c>
      <c r="Y26" s="272">
        <f ca="1">SUMIFS(SALIDAS!F:F,SALIDAS!U:U,"OPEX",SALIDAS!V:V,Tabla7[[#Headers],[Customer Success]],SALIDAS!A:A,"&gt;="&amp;Tabla7[[#This Row],[MES]],SALIDAS!A:A,"&lt;="&amp;MIN(TODAY(),EOMONTH(Tabla7[[#This Row],[MES]],0)))</f>
        <v>0</v>
      </c>
      <c r="Z26" s="271">
        <f ca="1">SUMIFS(SALIDAS!F:F,SALIDAS!U:U,"OPEX",SALIDAS!A:A,"&gt;="&amp;Tabla7[[#This Row],[MES]],SALIDAS!A:A,"&lt;="&amp;MIN(TODAY(),EOMONTH(Tabla7[[#This Row],[MES]],0)))</f>
        <v>0</v>
      </c>
      <c r="AA26" s="275">
        <f ca="1">+Tabla7[[#This Row],[MARGEN BRUTO]]+SUM(Tabla7[[#This Row],[Sales &amp; Marketing]:[General &amp; Administrative]])</f>
        <v>0</v>
      </c>
      <c r="AB26" s="276">
        <f ca="1">ABS(SUMIFS(SALIDAS!F:F,SALIDAS!U:U,"CAPEX",SALIDAS!A:A,"&gt;="&amp;Tabla7[[#This Row],[MES]],SALIDAS!A:A,"&lt;="&amp;MIN(TODAY(),EOMONTH(Tabla7[[#This Row],[MES]],0))))</f>
        <v>0</v>
      </c>
      <c r="AC26" s="81">
        <f ca="1">+Tabla7[[#This Row],[EBITDA]]-Tabla7[[#This Row],[TOTAL CAPEX]]</f>
        <v>0</v>
      </c>
      <c r="AD26" s="275">
        <f ca="1">+Tabla7[[#This Row],[FCF]]</f>
        <v>0</v>
      </c>
      <c r="AE26" s="79">
        <f ca="1">IFERROR(SUMIFS(SALIDAS!F:F,SALIDAS!U:U,"OPEX",SALIDAS!V:V,Tabla7[[#Headers],[Sales &amp; Marketing]],SALIDAS!A:A,"&gt;="&amp;Tabla7[[#This Row],[MES]],SALIDAS!A:A,"&lt;="&amp;MIN(TODAY(),EOMONTH(Tabla7[[#This Row],[MES]],0)))/_xlfn.XLOOKUP(Tabla7[[#This Row],[MES]],'COHORTES INGRESO'!A:A,'COHORTES INGRESO'!C:C),0)</f>
        <v>0</v>
      </c>
      <c r="AF26" s="271">
        <f ca="1">+IFERROR(Tabla7[[#This Row],[COR]]/Tabla711[[#This Row],[NUEVOS CLIENTES TOTAL]],0)</f>
        <v>0</v>
      </c>
      <c r="AG26" s="274">
        <f ca="1">Tabla7[[#This Row],[INGRESO MES RECIBIDO NETO]]+SUMIFS(SALIDAS!F:F,SALIDAS!T:T,"Costo variable",SALIDAS!A:A,"&gt;="&amp;Tabla7[[#This Row],[MES]],SALIDAS!A:A,"&lt;="&amp;MIN(TODAY(),EOMONTH(Tabla7[[#This Row],[MES]],0)))</f>
        <v>0</v>
      </c>
      <c r="AH26" s="79">
        <f ca="1">+IFERROR(AVERAGEIFS(INGRESOS!J:J,INGRESOS!$A:$A,"&gt;="&amp;Tabla7[[#This Row],[MES]],INGRESOS!$A:$A,"&lt;="&amp;MIN(TODAY(),EOMONTH(Tabla7[[#This Row],[MES]],0))),0)</f>
        <v>0</v>
      </c>
    </row>
    <row r="27" spans="1:34">
      <c r="A27" s="24">
        <v>46357</v>
      </c>
      <c r="B27" s="63">
        <f>+Tabla7[[#This Row],[INGRESO MES RECIBIDO]]+Tabla7[[#This Row],[INGRESO PROGRAMADO PEND.]]</f>
        <v>75470</v>
      </c>
      <c r="C27" s="233">
        <f>IFERROR((Tabla7[[#This Row],[INGRESO TOTAL MES]]/B26)-1,"0")</f>
        <v>0.10175182481751821</v>
      </c>
      <c r="D27" s="63">
        <f>SUMIFS(INGRESOS!G:G,INGRESOS!A:A,"&gt;="&amp;EOMONTH(Tabla7[[#This Row],[MES]],-1)+1,INGRESOS!A:A,"&lt;="&amp;EOMONTH(Tabla7[[#This Row],[MES]],0))</f>
        <v>0</v>
      </c>
      <c r="E27" s="309">
        <f ca="1">COUNTIFS(INGRESOS!$A:$A,"&gt;="&amp;Tabla7[[#This Row],[MES]],INGRESOS!$A:$A,"&lt;="&amp;MIN(TODAY(),EOMONTH(Tabla7[[#This Row],[MES]],0)))</f>
        <v>0</v>
      </c>
      <c r="F27"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v>
      </c>
      <c r="G27" s="79">
        <f>SUMIFS('CALENDARIO INGRESOS'!I:I,'CALENDARIO INGRESOS'!G:G,"&gt;="&amp;EOMONTH(Tabla7[[#This Row],[MES]],-1)+1,'CALENDARIO INGRESOS'!G:G,"&lt;="&amp;EOMONTH(Tabla7[[#This Row],[MES]],0),'CALENDARIO INGRESOS'!L:L, "&lt;&gt;PAGADA",'CALENDARIO INGRESOS'!D:D,"&lt;&gt;ELIMINADO",'CALENDARIO INGRESOS'!D:D,"&lt;&gt;¡REGULARIZAR!")</f>
        <v>75470</v>
      </c>
      <c r="H27"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27" s="341">
        <f ca="1">COUNTIFS('CALENDARIO INGRESOS'!$G:$G,"&gt;="&amp;EOMONTH(Tabla7[[#This Row],[MES]],-1)+1,'CALENDARIO INGRESOS'!$G:$G,"&lt;="&amp;EOMONTH(Tabla7[[#This Row],[MES]],0),'CALENDARIO INGRESOS'!$D:$D,"&lt;&gt;ELIMINADO",'CALENDARIO INGRESOS'!$D:$D,"&lt;&gt;¡REGULARIZAR!",'CALENDARIO INGRESOS'!$L:$L,"&lt;&gt;PAGADA",'CALENDARIO INGRESOS'!$G:$G,"&lt;="&amp;TODAY())</f>
        <v>0</v>
      </c>
      <c r="J27" s="63">
        <f ca="1">SUMIFS('CALENDARIO INGRESOS'!$I:$I,
                   'CALENDARIO INGRESOS'!$G:$G,"&gt;="&amp;EOMONTH(Tabla7[[#This Row],[MES]],-1)+1,
                   'CALENDARIO INGRESOS'!$G:$G,"&lt;="&amp;EOMONTH(Tabla7[[#This Row],[MES]],0),
                   'CALENDARIO INGRESOS'!$L:$L,"&lt;&gt;PAGADA",
                   'CALENDARIO INGRESOS'!$G:$G,"&gt;="&amp;TODAY(),'CALENDARIO INGRESOS'!$D:$D,"&lt;&gt;ELIMINADO",'CALENDARIO INGRESOS'!$D:$D,"&lt;&gt;¡REGULARIZAR!")</f>
        <v>75470</v>
      </c>
      <c r="K27" s="346">
        <f ca="1">COUNTIFS('CALENDARIO INGRESOS'!$G:$G,"&gt;="&amp;EOMONTH(Tabla7[[#This Row],[MES]],-1)+1,'CALENDARIO INGRESOS'!$G:$G,"&lt;="&amp;EOMONTH(Tabla7[[#This Row],[MES]],0),'CALENDARIO INGRESOS'!$D:$D,"&lt;&gt;ELIMINADO",'CALENDARIO INGRESOS'!$D:$D,"&lt;&gt;¡REGULARIZAR!",'CALENDARIO INGRESOS'!$L:$L,"&lt;&gt;PAGADA",'CALENDARIO INGRESOS'!$G:$G,"&gt;="&amp;TODAY())</f>
        <v>72</v>
      </c>
      <c r="L27" s="63">
        <f>SUMIFS('CALENDARIO INGRESOS'!I:I,'CALENDARIO INGRESOS'!G:G,"&gt;="&amp;EOMONTH(Tabla7[[#This Row],[MES]],-1)+1,'CALENDARIO INGRESOS'!G:G,"&lt;="&amp;EOMONTH(Tabla7[[#This Row],[MES]],0),'CALENDARIO INGRESOS'!L:L, "&lt;&gt;PAGADA",'CALENDARIO INGRESOS'!D:D,"¡REGULARIZAR!")</f>
        <v>2400</v>
      </c>
      <c r="M27" s="346">
        <f>COUNTIFS('CALENDARIO INGRESOS'!$G:$G,"&gt;="&amp;EOMONTH(Tabla7[[#This Row],[MES]],-1)+1,'CALENDARIO INGRESOS'!$G:$G,"&lt;="&amp;EOMONTH(Tabla7[[#This Row],[MES]],0),'CALENDARIO INGRESOS'!$D:$D,"¡REGULARIZAR!",'CALENDARIO INGRESOS'!$L:$L,"&lt;&gt;PAGADA")</f>
        <v>3</v>
      </c>
      <c r="N27" s="488">
        <f>SUMIFS('CALENDARIO INGRESOS'!I:I,'CALENDARIO INGRESOS'!G:G,"&gt;="&amp;EOMONTH(Tabla7[[#This Row],[MES]],-1)+1,'CALENDARIO INGRESOS'!G:G,"&lt;="&amp;EOMONTH(Tabla7[[#This Row],[MES]],0),'CALENDARIO INGRESOS'!L:L, "&lt;&gt;PAGADA",'CALENDARIO INGRESOS'!D:D,"ELIMINADO")</f>
        <v>0</v>
      </c>
      <c r="O27" s="184">
        <f>+IFERROR(Tabla7[[#This Row],[INCOBRABLE]]/Tabla7[[#This Row],[INGRESO TOTAL MES]],0)</f>
        <v>0</v>
      </c>
      <c r="P27" s="184">
        <f ca="1">IFERROR(AVERAGEIFS(INGRESOS!I:I,INGRESOS!A:A,"&gt;="&amp;Tabla7[[#This Row],[MES]],INGRESOS!A:A,"&lt;="&amp;MIN(TODAY(),EOMONTH(Tabla7[[#This Row],[MES]],0))),0)</f>
        <v>0</v>
      </c>
      <c r="Q27" s="283">
        <f ca="1">SUMIFS(INGRESOS!$J:$J,INGRESOS!$A:$A,"&gt;="&amp;Tabla7[[#This Row],[MES]],INGRESOS!$A:$A,"&lt;="&amp;MIN(TODAY(),EOMONTH(Tabla7[[#This Row],[MES]],0)))</f>
        <v>0</v>
      </c>
      <c r="R27" s="271">
        <f ca="1">SUMIFS(SALIDAS!F:F,SALIDAS!A:A,"&gt;="&amp;Tabla7[[#This Row],[MES]],SALIDAS!A:A,"&lt;="&amp;MIN(TODAY(),EOMONTH(Tabla7[[#This Row],[MES]],0)))</f>
        <v>0</v>
      </c>
      <c r="S27" s="272">
        <f ca="1">SUMIFS(SALIDAS!F:F,SALIDAS!U:U,"COR",SALIDAS!A:A,"&gt;="&amp;Tabla7[[#This Row],[MES]],SALIDAS!A:A,"&lt;="&amp;MIN(TODAY(),EOMONTH(Tabla7[[#This Row],[MES]],0)))</f>
        <v>0</v>
      </c>
      <c r="T27" s="273">
        <f ca="1">Tabla7[[#This Row],[INGRESO MES RECIBIDO NETO]]+Tabla7[[#This Row],[COR]]+Tabla7[[#This Row],[Customer Success]]</f>
        <v>0</v>
      </c>
      <c r="U27" s="388" t="str">
        <f ca="1">+IFERROR(Tabla7[[#This Row],[MARGEN BRUTO]]/Tabla7[[#This Row],[INGRESO MES RECIBIDO NETO]],"null")</f>
        <v>null</v>
      </c>
      <c r="V27" s="274">
        <f ca="1">SUMIFS(SALIDAS!F:F,SALIDAS!U:U,"OPEX",SALIDAS!V:V,Tabla7[[#Headers],[Sales &amp; Marketing]],SALIDAS!A:A,"&gt;="&amp;Tabla7[[#This Row],[MES]],SALIDAS!A:A,"&lt;="&amp;MIN(TODAY(),EOMONTH(Tabla7[[#This Row],[MES]],0)))</f>
        <v>0</v>
      </c>
      <c r="W27" s="272">
        <f ca="1">SUMIFS(SALIDAS!F:F,SALIDAS!U:U,"OPEX",SALIDAS!V:V,Tabla7[[#Headers],[Research &amp; Development]],SALIDAS!A:A,"&gt;="&amp;Tabla7[[#This Row],[MES]],SALIDAS!A:A,"&lt;="&amp;MIN(TODAY(),EOMONTH(Tabla7[[#This Row],[MES]],0)))</f>
        <v>0</v>
      </c>
      <c r="X27" s="272">
        <f ca="1">SUMIFS(SALIDAS!F:F,SALIDAS!U:U,"OPEX",SALIDAS!V:V,Tabla7[[#Headers],[General &amp; Administrative]],SALIDAS!A:A,"&gt;="&amp;Tabla7[[#This Row],[MES]],SALIDAS!A:A,"&lt;="&amp;MIN(TODAY(),EOMONTH(Tabla7[[#This Row],[MES]],0)))</f>
        <v>0</v>
      </c>
      <c r="Y27" s="272">
        <f ca="1">SUMIFS(SALIDAS!F:F,SALIDAS!U:U,"OPEX",SALIDAS!V:V,Tabla7[[#Headers],[Customer Success]],SALIDAS!A:A,"&gt;="&amp;Tabla7[[#This Row],[MES]],SALIDAS!A:A,"&lt;="&amp;MIN(TODAY(),EOMONTH(Tabla7[[#This Row],[MES]],0)))</f>
        <v>0</v>
      </c>
      <c r="Z27" s="271">
        <f ca="1">SUMIFS(SALIDAS!F:F,SALIDAS!U:U,"OPEX",SALIDAS!A:A,"&gt;="&amp;Tabla7[[#This Row],[MES]],SALIDAS!A:A,"&lt;="&amp;MIN(TODAY(),EOMONTH(Tabla7[[#This Row],[MES]],0)))</f>
        <v>0</v>
      </c>
      <c r="AA27" s="275">
        <f ca="1">+Tabla7[[#This Row],[MARGEN BRUTO]]+SUM(Tabla7[[#This Row],[Sales &amp; Marketing]:[General &amp; Administrative]])</f>
        <v>0</v>
      </c>
      <c r="AB27" s="276">
        <f ca="1">ABS(SUMIFS(SALIDAS!F:F,SALIDAS!U:U,"CAPEX",SALIDAS!A:A,"&gt;="&amp;Tabla7[[#This Row],[MES]],SALIDAS!A:A,"&lt;="&amp;MIN(TODAY(),EOMONTH(Tabla7[[#This Row],[MES]],0))))</f>
        <v>0</v>
      </c>
      <c r="AC27" s="81">
        <f ca="1">+Tabla7[[#This Row],[EBITDA]]-Tabla7[[#This Row],[TOTAL CAPEX]]</f>
        <v>0</v>
      </c>
      <c r="AD27" s="275">
        <f ca="1">+Tabla7[[#This Row],[FCF]]</f>
        <v>0</v>
      </c>
      <c r="AE27" s="79">
        <f ca="1">IFERROR(SUMIFS(SALIDAS!F:F,SALIDAS!U:U,"OPEX",SALIDAS!V:V,Tabla7[[#Headers],[Sales &amp; Marketing]],SALIDAS!A:A,"&gt;="&amp;Tabla7[[#This Row],[MES]],SALIDAS!A:A,"&lt;="&amp;MIN(TODAY(),EOMONTH(Tabla7[[#This Row],[MES]],0)))/_xlfn.XLOOKUP(Tabla7[[#This Row],[MES]],'COHORTES INGRESO'!A:A,'COHORTES INGRESO'!C:C),0)</f>
        <v>0</v>
      </c>
      <c r="AF27" s="271">
        <f ca="1">+IFERROR(Tabla7[[#This Row],[COR]]/Tabla711[[#This Row],[NUEVOS CLIENTES TOTAL]],0)</f>
        <v>0</v>
      </c>
      <c r="AG27" s="274">
        <f ca="1">Tabla7[[#This Row],[INGRESO MES RECIBIDO NETO]]+SUMIFS(SALIDAS!F:F,SALIDAS!T:T,"Costo variable",SALIDAS!A:A,"&gt;="&amp;Tabla7[[#This Row],[MES]],SALIDAS!A:A,"&lt;="&amp;MIN(TODAY(),EOMONTH(Tabla7[[#This Row],[MES]],0)))</f>
        <v>0</v>
      </c>
      <c r="AH27" s="79">
        <f ca="1">+IFERROR(AVERAGEIFS(INGRESOS!J:J,INGRESOS!$A:$A,"&gt;="&amp;Tabla7[[#This Row],[MES]],INGRESOS!$A:$A,"&lt;="&amp;MIN(TODAY(),EOMONTH(Tabla7[[#This Row],[MES]],0))),0)</f>
        <v>0</v>
      </c>
    </row>
    <row r="28" spans="1:34">
      <c r="A28" s="58">
        <v>46388</v>
      </c>
      <c r="B28" s="63">
        <f>+Tabla7[[#This Row],[INGRESO MES RECIBIDO]]+Tabla7[[#This Row],[INGRESO PROGRAMADO PEND.]]</f>
        <v>64142</v>
      </c>
      <c r="C28" s="233">
        <f>IFERROR((Tabla7[[#This Row],[INGRESO TOTAL MES]]/B27)-1,"0")</f>
        <v>-0.15009937723598776</v>
      </c>
      <c r="D28" s="63">
        <f>SUMIFS(INGRESOS!G:G,INGRESOS!A:A,"&gt;="&amp;EOMONTH(Tabla7[[#This Row],[MES]],-1)+1,INGRESOS!A:A,"&lt;="&amp;EOMONTH(Tabla7[[#This Row],[MES]],0))</f>
        <v>0</v>
      </c>
      <c r="E28" s="309">
        <f ca="1">COUNTIFS(INGRESOS!$A:$A,"&gt;="&amp;Tabla7[[#This Row],[MES]],INGRESOS!$A:$A,"&lt;="&amp;MIN(TODAY(),EOMONTH(Tabla7[[#This Row],[MES]],0)))</f>
        <v>0</v>
      </c>
      <c r="F28"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v>
      </c>
      <c r="G28" s="79">
        <f>SUMIFS('CALENDARIO INGRESOS'!I:I,'CALENDARIO INGRESOS'!G:G,"&gt;="&amp;EOMONTH(Tabla7[[#This Row],[MES]],-1)+1,'CALENDARIO INGRESOS'!G:G,"&lt;="&amp;EOMONTH(Tabla7[[#This Row],[MES]],0),'CALENDARIO INGRESOS'!L:L, "&lt;&gt;PAGADA",'CALENDARIO INGRESOS'!D:D,"&lt;&gt;ELIMINADO",'CALENDARIO INGRESOS'!D:D,"&lt;&gt;¡REGULARIZAR!")</f>
        <v>64142</v>
      </c>
      <c r="H28"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28" s="341">
        <f ca="1">COUNTIFS('CALENDARIO INGRESOS'!$G:$G,"&gt;="&amp;EOMONTH(Tabla7[[#This Row],[MES]],-1)+1,'CALENDARIO INGRESOS'!$G:$G,"&lt;="&amp;EOMONTH(Tabla7[[#This Row],[MES]],0),'CALENDARIO INGRESOS'!$D:$D,"&lt;&gt;ELIMINADO",'CALENDARIO INGRESOS'!$D:$D,"&lt;&gt;¡REGULARIZAR!",'CALENDARIO INGRESOS'!$L:$L,"&lt;&gt;PAGADA",'CALENDARIO INGRESOS'!$G:$G,"&lt;="&amp;TODAY())</f>
        <v>0</v>
      </c>
      <c r="J28" s="63">
        <f ca="1">SUMIFS('CALENDARIO INGRESOS'!$I:$I,
                   'CALENDARIO INGRESOS'!$G:$G,"&gt;="&amp;EOMONTH(Tabla7[[#This Row],[MES]],-1)+1,
                   'CALENDARIO INGRESOS'!$G:$G,"&lt;="&amp;EOMONTH(Tabla7[[#This Row],[MES]],0),
                   'CALENDARIO INGRESOS'!$L:$L,"&lt;&gt;PAGADA",
                   'CALENDARIO INGRESOS'!$G:$G,"&gt;="&amp;TODAY(),'CALENDARIO INGRESOS'!$D:$D,"&lt;&gt;ELIMINADO",'CALENDARIO INGRESOS'!$D:$D,"&lt;&gt;¡REGULARIZAR!")</f>
        <v>64142</v>
      </c>
      <c r="K28" s="346">
        <f ca="1">COUNTIFS('CALENDARIO INGRESOS'!$G:$G,"&gt;="&amp;EOMONTH(Tabla7[[#This Row],[MES]],-1)+1,'CALENDARIO INGRESOS'!$G:$G,"&lt;="&amp;EOMONTH(Tabla7[[#This Row],[MES]],0),'CALENDARIO INGRESOS'!$D:$D,"&lt;&gt;ELIMINADO",'CALENDARIO INGRESOS'!$D:$D,"&lt;&gt;¡REGULARIZAR!",'CALENDARIO INGRESOS'!$L:$L,"&lt;&gt;PAGADA",'CALENDARIO INGRESOS'!$G:$G,"&gt;="&amp;TODAY())</f>
        <v>68</v>
      </c>
      <c r="L28" s="63">
        <f>SUMIFS('CALENDARIO INGRESOS'!I:I,'CALENDARIO INGRESOS'!G:G,"&gt;="&amp;EOMONTH(Tabla7[[#This Row],[MES]],-1)+1,'CALENDARIO INGRESOS'!G:G,"&lt;="&amp;EOMONTH(Tabla7[[#This Row],[MES]],0),'CALENDARIO INGRESOS'!L:L, "&lt;&gt;PAGADA",'CALENDARIO INGRESOS'!D:D,"¡REGULARIZAR!")</f>
        <v>2400</v>
      </c>
      <c r="M28" s="346">
        <f>COUNTIFS('CALENDARIO INGRESOS'!$G:$G,"&gt;="&amp;EOMONTH(Tabla7[[#This Row],[MES]],-1)+1,'CALENDARIO INGRESOS'!$G:$G,"&lt;="&amp;EOMONTH(Tabla7[[#This Row],[MES]],0),'CALENDARIO INGRESOS'!$D:$D,"¡REGULARIZAR!",'CALENDARIO INGRESOS'!$L:$L,"&lt;&gt;PAGADA")</f>
        <v>3</v>
      </c>
      <c r="N28" s="488">
        <f>SUMIFS('CALENDARIO INGRESOS'!I:I,'CALENDARIO INGRESOS'!G:G,"&gt;="&amp;EOMONTH(Tabla7[[#This Row],[MES]],-1)+1,'CALENDARIO INGRESOS'!G:G,"&lt;="&amp;EOMONTH(Tabla7[[#This Row],[MES]],0),'CALENDARIO INGRESOS'!L:L, "&lt;&gt;PAGADA",'CALENDARIO INGRESOS'!D:D,"ELIMINADO")</f>
        <v>0</v>
      </c>
      <c r="O28" s="184">
        <f>+IFERROR(Tabla7[[#This Row],[INCOBRABLE]]/Tabla7[[#This Row],[INGRESO TOTAL MES]],0)</f>
        <v>0</v>
      </c>
      <c r="P28" s="184">
        <f ca="1">IFERROR(AVERAGEIFS(INGRESOS!I:I,INGRESOS!A:A,"&gt;="&amp;Tabla7[[#This Row],[MES]],INGRESOS!A:A,"&lt;="&amp;MIN(TODAY(),EOMONTH(Tabla7[[#This Row],[MES]],0))),0)</f>
        <v>0</v>
      </c>
      <c r="Q28" s="283">
        <f ca="1">SUMIFS(INGRESOS!$J:$J,INGRESOS!$A:$A,"&gt;="&amp;Tabla7[[#This Row],[MES]],INGRESOS!$A:$A,"&lt;="&amp;MIN(TODAY(),EOMONTH(Tabla7[[#This Row],[MES]],0)))</f>
        <v>0</v>
      </c>
      <c r="R28" s="271">
        <f ca="1">SUMIFS(SALIDAS!F:F,SALIDAS!A:A,"&gt;="&amp;Tabla7[[#This Row],[MES]],SALIDAS!A:A,"&lt;="&amp;MIN(TODAY(),EOMONTH(Tabla7[[#This Row],[MES]],0)))</f>
        <v>0</v>
      </c>
      <c r="S28" s="272">
        <f ca="1">SUMIFS(SALIDAS!F:F,SALIDAS!U:U,"COR",SALIDAS!A:A,"&gt;="&amp;Tabla7[[#This Row],[MES]],SALIDAS!A:A,"&lt;="&amp;MIN(TODAY(),EOMONTH(Tabla7[[#This Row],[MES]],0)))</f>
        <v>0</v>
      </c>
      <c r="T28" s="273">
        <f ca="1">Tabla7[[#This Row],[INGRESO MES RECIBIDO NETO]]+Tabla7[[#This Row],[COR]]+Tabla7[[#This Row],[Customer Success]]</f>
        <v>0</v>
      </c>
      <c r="U28" s="388" t="str">
        <f ca="1">+IFERROR(Tabla7[[#This Row],[MARGEN BRUTO]]/Tabla7[[#This Row],[INGRESO MES RECIBIDO NETO]],"null")</f>
        <v>null</v>
      </c>
      <c r="V28" s="274">
        <f ca="1">SUMIFS(SALIDAS!F:F,SALIDAS!U:U,"OPEX",SALIDAS!V:V,Tabla7[[#Headers],[Sales &amp; Marketing]],SALIDAS!A:A,"&gt;="&amp;Tabla7[[#This Row],[MES]],SALIDAS!A:A,"&lt;="&amp;MIN(TODAY(),EOMONTH(Tabla7[[#This Row],[MES]],0)))</f>
        <v>0</v>
      </c>
      <c r="W28" s="272">
        <f ca="1">SUMIFS(SALIDAS!F:F,SALIDAS!U:U,"OPEX",SALIDAS!V:V,Tabla7[[#Headers],[Research &amp; Development]],SALIDAS!A:A,"&gt;="&amp;Tabla7[[#This Row],[MES]],SALIDAS!A:A,"&lt;="&amp;MIN(TODAY(),EOMONTH(Tabla7[[#This Row],[MES]],0)))</f>
        <v>0</v>
      </c>
      <c r="X28" s="272">
        <f ca="1">SUMIFS(SALIDAS!F:F,SALIDAS!U:U,"OPEX",SALIDAS!V:V,Tabla7[[#Headers],[General &amp; Administrative]],SALIDAS!A:A,"&gt;="&amp;Tabla7[[#This Row],[MES]],SALIDAS!A:A,"&lt;="&amp;MIN(TODAY(),EOMONTH(Tabla7[[#This Row],[MES]],0)))</f>
        <v>0</v>
      </c>
      <c r="Y28" s="272">
        <f ca="1">SUMIFS(SALIDAS!F:F,SALIDAS!U:U,"OPEX",SALIDAS!V:V,Tabla7[[#Headers],[Customer Success]],SALIDAS!A:A,"&gt;="&amp;Tabla7[[#This Row],[MES]],SALIDAS!A:A,"&lt;="&amp;MIN(TODAY(),EOMONTH(Tabla7[[#This Row],[MES]],0)))</f>
        <v>0</v>
      </c>
      <c r="Z28" s="271">
        <f ca="1">SUMIFS(SALIDAS!F:F,SALIDAS!U:U,"OPEX",SALIDAS!A:A,"&gt;="&amp;Tabla7[[#This Row],[MES]],SALIDAS!A:A,"&lt;="&amp;MIN(TODAY(),EOMONTH(Tabla7[[#This Row],[MES]],0)))</f>
        <v>0</v>
      </c>
      <c r="AA28" s="275">
        <f ca="1">+Tabla7[[#This Row],[MARGEN BRUTO]]+SUM(Tabla7[[#This Row],[Sales &amp; Marketing]:[General &amp; Administrative]])</f>
        <v>0</v>
      </c>
      <c r="AB28" s="276">
        <f ca="1">ABS(SUMIFS(SALIDAS!F:F,SALIDAS!U:U,"CAPEX",SALIDAS!A:A,"&gt;="&amp;Tabla7[[#This Row],[MES]],SALIDAS!A:A,"&lt;="&amp;MIN(TODAY(),EOMONTH(Tabla7[[#This Row],[MES]],0))))</f>
        <v>0</v>
      </c>
      <c r="AC28" s="81">
        <f ca="1">+Tabla7[[#This Row],[EBITDA]]-Tabla7[[#This Row],[TOTAL CAPEX]]</f>
        <v>0</v>
      </c>
      <c r="AD28" s="275">
        <f ca="1">+Tabla7[[#This Row],[FCF]]</f>
        <v>0</v>
      </c>
      <c r="AE28" s="79">
        <f ca="1">IFERROR(SUMIFS(SALIDAS!F:F,SALIDAS!U:U,"OPEX",SALIDAS!V:V,Tabla7[[#Headers],[Sales &amp; Marketing]],SALIDAS!A:A,"&gt;="&amp;Tabla7[[#This Row],[MES]],SALIDAS!A:A,"&lt;="&amp;MIN(TODAY(),EOMONTH(Tabla7[[#This Row],[MES]],0)))/_xlfn.XLOOKUP(Tabla7[[#This Row],[MES]],'COHORTES INGRESO'!A:A,'COHORTES INGRESO'!C:C),0)</f>
        <v>0</v>
      </c>
      <c r="AF28" s="271">
        <f ca="1">+IFERROR(Tabla7[[#This Row],[COR]]/Tabla711[[#This Row],[NUEVOS CLIENTES TOTAL]],0)</f>
        <v>0</v>
      </c>
      <c r="AG28" s="274">
        <f ca="1">Tabla7[[#This Row],[INGRESO MES RECIBIDO NETO]]+SUMIFS(SALIDAS!F:F,SALIDAS!T:T,"Costo variable",SALIDAS!A:A,"&gt;="&amp;Tabla7[[#This Row],[MES]],SALIDAS!A:A,"&lt;="&amp;MIN(TODAY(),EOMONTH(Tabla7[[#This Row],[MES]],0)))</f>
        <v>0</v>
      </c>
      <c r="AH28" s="79">
        <f ca="1">+IFERROR(AVERAGEIFS(INGRESOS!J:J,INGRESOS!$A:$A,"&gt;="&amp;Tabla7[[#This Row],[MES]],INGRESOS!$A:$A,"&lt;="&amp;MIN(TODAY(),EOMONTH(Tabla7[[#This Row],[MES]],0))),0)</f>
        <v>0</v>
      </c>
    </row>
    <row r="29" spans="1:34">
      <c r="A29" s="24">
        <v>46419</v>
      </c>
      <c r="B29" s="63">
        <f>+Tabla7[[#This Row],[INGRESO MES RECIBIDO]]+Tabla7[[#This Row],[INGRESO PROGRAMADO PEND.]]</f>
        <v>63192</v>
      </c>
      <c r="C29" s="233">
        <f>IFERROR((Tabla7[[#This Row],[INGRESO TOTAL MES]]/B28)-1,"0")</f>
        <v>-1.4810888341492356E-2</v>
      </c>
      <c r="D29" s="63">
        <f>SUMIFS(INGRESOS!G:G,INGRESOS!A:A,"&gt;="&amp;EOMONTH(Tabla7[[#This Row],[MES]],-1)+1,INGRESOS!A:A,"&lt;="&amp;EOMONTH(Tabla7[[#This Row],[MES]],0))</f>
        <v>0</v>
      </c>
      <c r="E29" s="309">
        <f ca="1">COUNTIFS(INGRESOS!$A:$A,"&gt;="&amp;Tabla7[[#This Row],[MES]],INGRESOS!$A:$A,"&lt;="&amp;MIN(TODAY(),EOMONTH(Tabla7[[#This Row],[MES]],0)))</f>
        <v>0</v>
      </c>
      <c r="F29"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v>
      </c>
      <c r="G29" s="79">
        <f>SUMIFS('CALENDARIO INGRESOS'!I:I,'CALENDARIO INGRESOS'!G:G,"&gt;="&amp;EOMONTH(Tabla7[[#This Row],[MES]],-1)+1,'CALENDARIO INGRESOS'!G:G,"&lt;="&amp;EOMONTH(Tabla7[[#This Row],[MES]],0),'CALENDARIO INGRESOS'!L:L, "&lt;&gt;PAGADA",'CALENDARIO INGRESOS'!D:D,"&lt;&gt;ELIMINADO",'CALENDARIO INGRESOS'!D:D,"&lt;&gt;¡REGULARIZAR!")</f>
        <v>63192</v>
      </c>
      <c r="H29"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29" s="341">
        <f ca="1">COUNTIFS('CALENDARIO INGRESOS'!$G:$G,"&gt;="&amp;EOMONTH(Tabla7[[#This Row],[MES]],-1)+1,'CALENDARIO INGRESOS'!$G:$G,"&lt;="&amp;EOMONTH(Tabla7[[#This Row],[MES]],0),'CALENDARIO INGRESOS'!$D:$D,"&lt;&gt;ELIMINADO",'CALENDARIO INGRESOS'!$D:$D,"&lt;&gt;¡REGULARIZAR!",'CALENDARIO INGRESOS'!$L:$L,"&lt;&gt;PAGADA",'CALENDARIO INGRESOS'!$G:$G,"&lt;="&amp;TODAY())</f>
        <v>0</v>
      </c>
      <c r="J29" s="63">
        <f ca="1">SUMIFS('CALENDARIO INGRESOS'!$I:$I,
                   'CALENDARIO INGRESOS'!$G:$G,"&gt;="&amp;EOMONTH(Tabla7[[#This Row],[MES]],-1)+1,
                   'CALENDARIO INGRESOS'!$G:$G,"&lt;="&amp;EOMONTH(Tabla7[[#This Row],[MES]],0),
                   'CALENDARIO INGRESOS'!$L:$L,"&lt;&gt;PAGADA",
                   'CALENDARIO INGRESOS'!$G:$G,"&gt;="&amp;TODAY(),'CALENDARIO INGRESOS'!$D:$D,"&lt;&gt;ELIMINADO",'CALENDARIO INGRESOS'!$D:$D,"&lt;&gt;¡REGULARIZAR!")</f>
        <v>63192</v>
      </c>
      <c r="K29" s="346">
        <f ca="1">COUNTIFS('CALENDARIO INGRESOS'!$G:$G,"&gt;="&amp;EOMONTH(Tabla7[[#This Row],[MES]],-1)+1,'CALENDARIO INGRESOS'!$G:$G,"&lt;="&amp;EOMONTH(Tabla7[[#This Row],[MES]],0),'CALENDARIO INGRESOS'!$D:$D,"&lt;&gt;ELIMINADO",'CALENDARIO INGRESOS'!$D:$D,"&lt;&gt;¡REGULARIZAR!",'CALENDARIO INGRESOS'!$L:$L,"&lt;&gt;PAGADA",'CALENDARIO INGRESOS'!$G:$G,"&gt;="&amp;TODAY())</f>
        <v>69</v>
      </c>
      <c r="L29" s="63">
        <f>SUMIFS('CALENDARIO INGRESOS'!I:I,'CALENDARIO INGRESOS'!G:G,"&gt;="&amp;EOMONTH(Tabla7[[#This Row],[MES]],-1)+1,'CALENDARIO INGRESOS'!G:G,"&lt;="&amp;EOMONTH(Tabla7[[#This Row],[MES]],0),'CALENDARIO INGRESOS'!L:L, "&lt;&gt;PAGADA",'CALENDARIO INGRESOS'!D:D,"¡REGULARIZAR!")</f>
        <v>8450</v>
      </c>
      <c r="M29" s="346">
        <f>COUNTIFS('CALENDARIO INGRESOS'!$G:$G,"&gt;="&amp;EOMONTH(Tabla7[[#This Row],[MES]],-1)+1,'CALENDARIO INGRESOS'!$G:$G,"&lt;="&amp;EOMONTH(Tabla7[[#This Row],[MES]],0),'CALENDARIO INGRESOS'!$D:$D,"¡REGULARIZAR!",'CALENDARIO INGRESOS'!$L:$L,"&lt;&gt;PAGADA")</f>
        <v>4</v>
      </c>
      <c r="N29" s="488">
        <f>SUMIFS('CALENDARIO INGRESOS'!I:I,'CALENDARIO INGRESOS'!G:G,"&gt;="&amp;EOMONTH(Tabla7[[#This Row],[MES]],-1)+1,'CALENDARIO INGRESOS'!G:G,"&lt;="&amp;EOMONTH(Tabla7[[#This Row],[MES]],0),'CALENDARIO INGRESOS'!L:L, "&lt;&gt;PAGADA",'CALENDARIO INGRESOS'!D:D,"ELIMINADO")</f>
        <v>0</v>
      </c>
      <c r="O29" s="184">
        <f>+IFERROR(Tabla7[[#This Row],[INCOBRABLE]]/Tabla7[[#This Row],[INGRESO TOTAL MES]],0)</f>
        <v>0</v>
      </c>
      <c r="P29" s="184">
        <f ca="1">IFERROR(AVERAGEIFS(INGRESOS!I:I,INGRESOS!A:A,"&gt;="&amp;Tabla7[[#This Row],[MES]],INGRESOS!A:A,"&lt;="&amp;MIN(TODAY(),EOMONTH(Tabla7[[#This Row],[MES]],0))),0)</f>
        <v>0</v>
      </c>
      <c r="Q29" s="283">
        <f ca="1">SUMIFS(INGRESOS!$J:$J,INGRESOS!$A:$A,"&gt;="&amp;Tabla7[[#This Row],[MES]],INGRESOS!$A:$A,"&lt;="&amp;MIN(TODAY(),EOMONTH(Tabla7[[#This Row],[MES]],0)))</f>
        <v>0</v>
      </c>
      <c r="R29" s="271">
        <f ca="1">SUMIFS(SALIDAS!F:F,SALIDAS!A:A,"&gt;="&amp;Tabla7[[#This Row],[MES]],SALIDAS!A:A,"&lt;="&amp;MIN(TODAY(),EOMONTH(Tabla7[[#This Row],[MES]],0)))</f>
        <v>0</v>
      </c>
      <c r="S29" s="272">
        <f ca="1">SUMIFS(SALIDAS!F:F,SALIDAS!U:U,"COR",SALIDAS!A:A,"&gt;="&amp;Tabla7[[#This Row],[MES]],SALIDAS!A:A,"&lt;="&amp;MIN(TODAY(),EOMONTH(Tabla7[[#This Row],[MES]],0)))</f>
        <v>0</v>
      </c>
      <c r="T29" s="273">
        <f ca="1">Tabla7[[#This Row],[INGRESO MES RECIBIDO NETO]]+Tabla7[[#This Row],[COR]]+Tabla7[[#This Row],[Customer Success]]</f>
        <v>0</v>
      </c>
      <c r="U29" s="388" t="str">
        <f ca="1">+IFERROR(Tabla7[[#This Row],[MARGEN BRUTO]]/Tabla7[[#This Row],[INGRESO MES RECIBIDO NETO]],"null")</f>
        <v>null</v>
      </c>
      <c r="V29" s="274">
        <f ca="1">SUMIFS(SALIDAS!F:F,SALIDAS!U:U,"OPEX",SALIDAS!V:V,Tabla7[[#Headers],[Sales &amp; Marketing]],SALIDAS!A:A,"&gt;="&amp;Tabla7[[#This Row],[MES]],SALIDAS!A:A,"&lt;="&amp;MIN(TODAY(),EOMONTH(Tabla7[[#This Row],[MES]],0)))</f>
        <v>0</v>
      </c>
      <c r="W29" s="272">
        <f ca="1">SUMIFS(SALIDAS!F:F,SALIDAS!U:U,"OPEX",SALIDAS!V:V,Tabla7[[#Headers],[Research &amp; Development]],SALIDAS!A:A,"&gt;="&amp;Tabla7[[#This Row],[MES]],SALIDAS!A:A,"&lt;="&amp;MIN(TODAY(),EOMONTH(Tabla7[[#This Row],[MES]],0)))</f>
        <v>0</v>
      </c>
      <c r="X29" s="272">
        <f ca="1">SUMIFS(SALIDAS!F:F,SALIDAS!U:U,"OPEX",SALIDAS!V:V,Tabla7[[#Headers],[General &amp; Administrative]],SALIDAS!A:A,"&gt;="&amp;Tabla7[[#This Row],[MES]],SALIDAS!A:A,"&lt;="&amp;MIN(TODAY(),EOMONTH(Tabla7[[#This Row],[MES]],0)))</f>
        <v>0</v>
      </c>
      <c r="Y29" s="272">
        <f ca="1">SUMIFS(SALIDAS!F:F,SALIDAS!U:U,"OPEX",SALIDAS!V:V,Tabla7[[#Headers],[Customer Success]],SALIDAS!A:A,"&gt;="&amp;Tabla7[[#This Row],[MES]],SALIDAS!A:A,"&lt;="&amp;MIN(TODAY(),EOMONTH(Tabla7[[#This Row],[MES]],0)))</f>
        <v>0</v>
      </c>
      <c r="Z29" s="271">
        <f ca="1">SUMIFS(SALIDAS!F:F,SALIDAS!U:U,"OPEX",SALIDAS!A:A,"&gt;="&amp;Tabla7[[#This Row],[MES]],SALIDAS!A:A,"&lt;="&amp;MIN(TODAY(),EOMONTH(Tabla7[[#This Row],[MES]],0)))</f>
        <v>0</v>
      </c>
      <c r="AA29" s="275">
        <f ca="1">+Tabla7[[#This Row],[MARGEN BRUTO]]+SUM(Tabla7[[#This Row],[Sales &amp; Marketing]:[General &amp; Administrative]])</f>
        <v>0</v>
      </c>
      <c r="AB29" s="276">
        <f ca="1">ABS(SUMIFS(SALIDAS!F:F,SALIDAS!U:U,"CAPEX",SALIDAS!A:A,"&gt;="&amp;Tabla7[[#This Row],[MES]],SALIDAS!A:A,"&lt;="&amp;MIN(TODAY(),EOMONTH(Tabla7[[#This Row],[MES]],0))))</f>
        <v>0</v>
      </c>
      <c r="AC29" s="81">
        <f ca="1">+Tabla7[[#This Row],[EBITDA]]-Tabla7[[#This Row],[TOTAL CAPEX]]</f>
        <v>0</v>
      </c>
      <c r="AD29" s="275">
        <f ca="1">+Tabla7[[#This Row],[FCF]]</f>
        <v>0</v>
      </c>
      <c r="AE29" s="79">
        <f ca="1">IFERROR(SUMIFS(SALIDAS!F:F,SALIDAS!U:U,"OPEX",SALIDAS!V:V,Tabla7[[#Headers],[Sales &amp; Marketing]],SALIDAS!A:A,"&gt;="&amp;Tabla7[[#This Row],[MES]],SALIDAS!A:A,"&lt;="&amp;MIN(TODAY(),EOMONTH(Tabla7[[#This Row],[MES]],0)))/_xlfn.XLOOKUP(Tabla7[[#This Row],[MES]],'COHORTES INGRESO'!A:A,'COHORTES INGRESO'!C:C),0)</f>
        <v>0</v>
      </c>
      <c r="AF29" s="271">
        <f ca="1">+IFERROR(Tabla7[[#This Row],[COR]]/Tabla711[[#This Row],[NUEVOS CLIENTES TOTAL]],0)</f>
        <v>0</v>
      </c>
      <c r="AG29" s="274">
        <f ca="1">Tabla7[[#This Row],[INGRESO MES RECIBIDO NETO]]+SUMIFS(SALIDAS!F:F,SALIDAS!T:T,"Costo variable",SALIDAS!A:A,"&gt;="&amp;Tabla7[[#This Row],[MES]],SALIDAS!A:A,"&lt;="&amp;MIN(TODAY(),EOMONTH(Tabla7[[#This Row],[MES]],0)))</f>
        <v>0</v>
      </c>
      <c r="AH29" s="79">
        <f ca="1">+IFERROR(AVERAGEIFS(INGRESOS!J:J,INGRESOS!$A:$A,"&gt;="&amp;Tabla7[[#This Row],[MES]],INGRESOS!$A:$A,"&lt;="&amp;MIN(TODAY(),EOMONTH(Tabla7[[#This Row],[MES]],0))),0)</f>
        <v>0</v>
      </c>
    </row>
    <row r="30" spans="1:34">
      <c r="A30" s="58">
        <v>46447</v>
      </c>
      <c r="B30" s="63">
        <f>+Tabla7[[#This Row],[INGRESO MES RECIBIDO]]+Tabla7[[#This Row],[INGRESO PROGRAMADO PEND.]]</f>
        <v>60908</v>
      </c>
      <c r="C30" s="233">
        <f>IFERROR((Tabla7[[#This Row],[INGRESO TOTAL MES]]/B29)-1,"0")</f>
        <v>-3.614381567286995E-2</v>
      </c>
      <c r="D30" s="63">
        <f>SUMIFS(INGRESOS!G:G,INGRESOS!A:A,"&gt;="&amp;EOMONTH(Tabla7[[#This Row],[MES]],-1)+1,INGRESOS!A:A,"&lt;="&amp;EOMONTH(Tabla7[[#This Row],[MES]],0))</f>
        <v>0</v>
      </c>
      <c r="E30" s="309">
        <f ca="1">COUNTIFS(INGRESOS!$A:$A,"&gt;="&amp;Tabla7[[#This Row],[MES]],INGRESOS!$A:$A,"&lt;="&amp;MIN(TODAY(),EOMONTH(Tabla7[[#This Row],[MES]],0)))</f>
        <v>0</v>
      </c>
      <c r="F30"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v>
      </c>
      <c r="G30" s="79">
        <f>SUMIFS('CALENDARIO INGRESOS'!I:I,'CALENDARIO INGRESOS'!G:G,"&gt;="&amp;EOMONTH(Tabla7[[#This Row],[MES]],-1)+1,'CALENDARIO INGRESOS'!G:G,"&lt;="&amp;EOMONTH(Tabla7[[#This Row],[MES]],0),'CALENDARIO INGRESOS'!L:L, "&lt;&gt;PAGADA",'CALENDARIO INGRESOS'!D:D,"&lt;&gt;ELIMINADO",'CALENDARIO INGRESOS'!D:D,"&lt;&gt;¡REGULARIZAR!")</f>
        <v>60908</v>
      </c>
      <c r="H30"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30" s="341">
        <f ca="1">COUNTIFS('CALENDARIO INGRESOS'!$G:$G,"&gt;="&amp;EOMONTH(Tabla7[[#This Row],[MES]],-1)+1,'CALENDARIO INGRESOS'!$G:$G,"&lt;="&amp;EOMONTH(Tabla7[[#This Row],[MES]],0),'CALENDARIO INGRESOS'!$D:$D,"&lt;&gt;ELIMINADO",'CALENDARIO INGRESOS'!$D:$D,"&lt;&gt;¡REGULARIZAR!",'CALENDARIO INGRESOS'!$L:$L,"&lt;&gt;PAGADA",'CALENDARIO INGRESOS'!$G:$G,"&lt;="&amp;TODAY())</f>
        <v>0</v>
      </c>
      <c r="J30" s="63">
        <f ca="1">SUMIFS('CALENDARIO INGRESOS'!$I:$I,
                   'CALENDARIO INGRESOS'!$G:$G,"&gt;="&amp;EOMONTH(Tabla7[[#This Row],[MES]],-1)+1,
                   'CALENDARIO INGRESOS'!$G:$G,"&lt;="&amp;EOMONTH(Tabla7[[#This Row],[MES]],0),
                   'CALENDARIO INGRESOS'!$L:$L,"&lt;&gt;PAGADA",
                   'CALENDARIO INGRESOS'!$G:$G,"&gt;="&amp;TODAY(),'CALENDARIO INGRESOS'!$D:$D,"&lt;&gt;ELIMINADO",'CALENDARIO INGRESOS'!$D:$D,"&lt;&gt;¡REGULARIZAR!")</f>
        <v>60908</v>
      </c>
      <c r="K30" s="346">
        <f ca="1">COUNTIFS('CALENDARIO INGRESOS'!$G:$G,"&gt;="&amp;EOMONTH(Tabla7[[#This Row],[MES]],-1)+1,'CALENDARIO INGRESOS'!$G:$G,"&lt;="&amp;EOMONTH(Tabla7[[#This Row],[MES]],0),'CALENDARIO INGRESOS'!$D:$D,"&lt;&gt;ELIMINADO",'CALENDARIO INGRESOS'!$D:$D,"&lt;&gt;¡REGULARIZAR!",'CALENDARIO INGRESOS'!$L:$L,"&lt;&gt;PAGADA",'CALENDARIO INGRESOS'!$G:$G,"&gt;="&amp;TODAY())</f>
        <v>69</v>
      </c>
      <c r="L30" s="63">
        <f>SUMIFS('CALENDARIO INGRESOS'!I:I,'CALENDARIO INGRESOS'!G:G,"&gt;="&amp;EOMONTH(Tabla7[[#This Row],[MES]],-1)+1,'CALENDARIO INGRESOS'!G:G,"&lt;="&amp;EOMONTH(Tabla7[[#This Row],[MES]],0),'CALENDARIO INGRESOS'!L:L, "&lt;&gt;PAGADA",'CALENDARIO INGRESOS'!D:D,"¡REGULARIZAR!")</f>
        <v>2200</v>
      </c>
      <c r="M30" s="346">
        <f>COUNTIFS('CALENDARIO INGRESOS'!$G:$G,"&gt;="&amp;EOMONTH(Tabla7[[#This Row],[MES]],-1)+1,'CALENDARIO INGRESOS'!$G:$G,"&lt;="&amp;EOMONTH(Tabla7[[#This Row],[MES]],0),'CALENDARIO INGRESOS'!$D:$D,"¡REGULARIZAR!",'CALENDARIO INGRESOS'!$L:$L,"&lt;&gt;PAGADA")</f>
        <v>3</v>
      </c>
      <c r="N30" s="488">
        <f>SUMIFS('CALENDARIO INGRESOS'!I:I,'CALENDARIO INGRESOS'!G:G,"&gt;="&amp;EOMONTH(Tabla7[[#This Row],[MES]],-1)+1,'CALENDARIO INGRESOS'!G:G,"&lt;="&amp;EOMONTH(Tabla7[[#This Row],[MES]],0),'CALENDARIO INGRESOS'!L:L, "&lt;&gt;PAGADA",'CALENDARIO INGRESOS'!D:D,"ELIMINADO")</f>
        <v>0</v>
      </c>
      <c r="O30" s="184">
        <f>+IFERROR(Tabla7[[#This Row],[INCOBRABLE]]/Tabla7[[#This Row],[INGRESO TOTAL MES]],0)</f>
        <v>0</v>
      </c>
      <c r="P30" s="184">
        <f ca="1">IFERROR(AVERAGEIFS(INGRESOS!I:I,INGRESOS!A:A,"&gt;="&amp;Tabla7[[#This Row],[MES]],INGRESOS!A:A,"&lt;="&amp;MIN(TODAY(),EOMONTH(Tabla7[[#This Row],[MES]],0))),0)</f>
        <v>0</v>
      </c>
      <c r="Q30" s="283">
        <f ca="1">SUMIFS(INGRESOS!$J:$J,INGRESOS!$A:$A,"&gt;="&amp;Tabla7[[#This Row],[MES]],INGRESOS!$A:$A,"&lt;="&amp;MIN(TODAY(),EOMONTH(Tabla7[[#This Row],[MES]],0)))</f>
        <v>0</v>
      </c>
      <c r="R30" s="271">
        <f ca="1">SUMIFS(SALIDAS!F:F,SALIDAS!A:A,"&gt;="&amp;Tabla7[[#This Row],[MES]],SALIDAS!A:A,"&lt;="&amp;MIN(TODAY(),EOMONTH(Tabla7[[#This Row],[MES]],0)))</f>
        <v>0</v>
      </c>
      <c r="S30" s="272">
        <f ca="1">SUMIFS(SALIDAS!F:F,SALIDAS!U:U,"COR",SALIDAS!A:A,"&gt;="&amp;Tabla7[[#This Row],[MES]],SALIDAS!A:A,"&lt;="&amp;MIN(TODAY(),EOMONTH(Tabla7[[#This Row],[MES]],0)))</f>
        <v>0</v>
      </c>
      <c r="T30" s="273">
        <f ca="1">Tabla7[[#This Row],[INGRESO MES RECIBIDO NETO]]+Tabla7[[#This Row],[COR]]+Tabla7[[#This Row],[Customer Success]]</f>
        <v>0</v>
      </c>
      <c r="U30" s="388" t="str">
        <f ca="1">+IFERROR(Tabla7[[#This Row],[MARGEN BRUTO]]/Tabla7[[#This Row],[INGRESO MES RECIBIDO NETO]],"null")</f>
        <v>null</v>
      </c>
      <c r="V30" s="274">
        <f ca="1">SUMIFS(SALIDAS!F:F,SALIDAS!U:U,"OPEX",SALIDAS!V:V,Tabla7[[#Headers],[Sales &amp; Marketing]],SALIDAS!A:A,"&gt;="&amp;Tabla7[[#This Row],[MES]],SALIDAS!A:A,"&lt;="&amp;MIN(TODAY(),EOMONTH(Tabla7[[#This Row],[MES]],0)))</f>
        <v>0</v>
      </c>
      <c r="W30" s="272">
        <f ca="1">SUMIFS(SALIDAS!F:F,SALIDAS!U:U,"OPEX",SALIDAS!V:V,Tabla7[[#Headers],[Research &amp; Development]],SALIDAS!A:A,"&gt;="&amp;Tabla7[[#This Row],[MES]],SALIDAS!A:A,"&lt;="&amp;MIN(TODAY(),EOMONTH(Tabla7[[#This Row],[MES]],0)))</f>
        <v>0</v>
      </c>
      <c r="X30" s="272">
        <f ca="1">SUMIFS(SALIDAS!F:F,SALIDAS!U:U,"OPEX",SALIDAS!V:V,Tabla7[[#Headers],[General &amp; Administrative]],SALIDAS!A:A,"&gt;="&amp;Tabla7[[#This Row],[MES]],SALIDAS!A:A,"&lt;="&amp;MIN(TODAY(),EOMONTH(Tabla7[[#This Row],[MES]],0)))</f>
        <v>0</v>
      </c>
      <c r="Y30" s="272">
        <f ca="1">SUMIFS(SALIDAS!F:F,SALIDAS!U:U,"OPEX",SALIDAS!V:V,Tabla7[[#Headers],[Customer Success]],SALIDAS!A:A,"&gt;="&amp;Tabla7[[#This Row],[MES]],SALIDAS!A:A,"&lt;="&amp;MIN(TODAY(),EOMONTH(Tabla7[[#This Row],[MES]],0)))</f>
        <v>0</v>
      </c>
      <c r="Z30" s="271">
        <f ca="1">SUMIFS(SALIDAS!F:F,SALIDAS!U:U,"OPEX",SALIDAS!A:A,"&gt;="&amp;Tabla7[[#This Row],[MES]],SALIDAS!A:A,"&lt;="&amp;MIN(TODAY(),EOMONTH(Tabla7[[#This Row],[MES]],0)))</f>
        <v>0</v>
      </c>
      <c r="AA30" s="275">
        <f ca="1">+Tabla7[[#This Row],[MARGEN BRUTO]]+SUM(Tabla7[[#This Row],[Sales &amp; Marketing]:[General &amp; Administrative]])</f>
        <v>0</v>
      </c>
      <c r="AB30" s="276">
        <f ca="1">ABS(SUMIFS(SALIDAS!F:F,SALIDAS!U:U,"CAPEX",SALIDAS!A:A,"&gt;="&amp;Tabla7[[#This Row],[MES]],SALIDAS!A:A,"&lt;="&amp;MIN(TODAY(),EOMONTH(Tabla7[[#This Row],[MES]],0))))</f>
        <v>0</v>
      </c>
      <c r="AC30" s="81">
        <f ca="1">+Tabla7[[#This Row],[EBITDA]]-Tabla7[[#This Row],[TOTAL CAPEX]]</f>
        <v>0</v>
      </c>
      <c r="AD30" s="275">
        <f ca="1">+Tabla7[[#This Row],[FCF]]</f>
        <v>0</v>
      </c>
      <c r="AE30" s="79">
        <f ca="1">IFERROR(SUMIFS(SALIDAS!F:F,SALIDAS!U:U,"OPEX",SALIDAS!V:V,Tabla7[[#Headers],[Sales &amp; Marketing]],SALIDAS!A:A,"&gt;="&amp;Tabla7[[#This Row],[MES]],SALIDAS!A:A,"&lt;="&amp;MIN(TODAY(),EOMONTH(Tabla7[[#This Row],[MES]],0)))/_xlfn.XLOOKUP(Tabla7[[#This Row],[MES]],'COHORTES INGRESO'!A:A,'COHORTES INGRESO'!C:C),0)</f>
        <v>0</v>
      </c>
      <c r="AF30" s="271">
        <f ca="1">+IFERROR(Tabla7[[#This Row],[COR]]/Tabla711[[#This Row],[NUEVOS CLIENTES TOTAL]],0)</f>
        <v>0</v>
      </c>
      <c r="AG30" s="274">
        <f ca="1">Tabla7[[#This Row],[INGRESO MES RECIBIDO NETO]]+SUMIFS(SALIDAS!F:F,SALIDAS!T:T,"Costo variable",SALIDAS!A:A,"&gt;="&amp;Tabla7[[#This Row],[MES]],SALIDAS!A:A,"&lt;="&amp;MIN(TODAY(),EOMONTH(Tabla7[[#This Row],[MES]],0)))</f>
        <v>0</v>
      </c>
      <c r="AH30" s="79">
        <f ca="1">+IFERROR(AVERAGEIFS(INGRESOS!J:J,INGRESOS!$A:$A,"&gt;="&amp;Tabla7[[#This Row],[MES]],INGRESOS!$A:$A,"&lt;="&amp;MIN(TODAY(),EOMONTH(Tabla7[[#This Row],[MES]],0))),0)</f>
        <v>0</v>
      </c>
    </row>
    <row r="31" spans="1:34">
      <c r="A31" s="24">
        <v>46478</v>
      </c>
      <c r="B31" s="63">
        <f>+Tabla7[[#This Row],[INGRESO MES RECIBIDO]]+Tabla7[[#This Row],[INGRESO PROGRAMADO PEND.]]</f>
        <v>69062</v>
      </c>
      <c r="C31" s="233">
        <f>IFERROR((Tabla7[[#This Row],[INGRESO TOTAL MES]]/B30)-1,"0")</f>
        <v>0.1338740395350364</v>
      </c>
      <c r="D31" s="63">
        <f>SUMIFS(INGRESOS!G:G,INGRESOS!A:A,"&gt;="&amp;EOMONTH(Tabla7[[#This Row],[MES]],-1)+1,INGRESOS!A:A,"&lt;="&amp;EOMONTH(Tabla7[[#This Row],[MES]],0))</f>
        <v>0</v>
      </c>
      <c r="E31" s="309">
        <f ca="1">COUNTIFS(INGRESOS!$A:$A,"&gt;="&amp;Tabla7[[#This Row],[MES]],INGRESOS!$A:$A,"&lt;="&amp;MIN(TODAY(),EOMONTH(Tabla7[[#This Row],[MES]],0)))</f>
        <v>0</v>
      </c>
      <c r="F31"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v>
      </c>
      <c r="G31" s="79">
        <f>SUMIFS('CALENDARIO INGRESOS'!I:I,'CALENDARIO INGRESOS'!G:G,"&gt;="&amp;EOMONTH(Tabla7[[#This Row],[MES]],-1)+1,'CALENDARIO INGRESOS'!G:G,"&lt;="&amp;EOMONTH(Tabla7[[#This Row],[MES]],0),'CALENDARIO INGRESOS'!L:L, "&lt;&gt;PAGADA",'CALENDARIO INGRESOS'!D:D,"&lt;&gt;ELIMINADO",'CALENDARIO INGRESOS'!D:D,"&lt;&gt;¡REGULARIZAR!")</f>
        <v>69062</v>
      </c>
      <c r="H31"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31" s="341">
        <f ca="1">COUNTIFS('CALENDARIO INGRESOS'!$G:$G,"&gt;="&amp;EOMONTH(Tabla7[[#This Row],[MES]],-1)+1,'CALENDARIO INGRESOS'!$G:$G,"&lt;="&amp;EOMONTH(Tabla7[[#This Row],[MES]],0),'CALENDARIO INGRESOS'!$D:$D,"&lt;&gt;ELIMINADO",'CALENDARIO INGRESOS'!$D:$D,"&lt;&gt;¡REGULARIZAR!",'CALENDARIO INGRESOS'!$L:$L,"&lt;&gt;PAGADA",'CALENDARIO INGRESOS'!$G:$G,"&lt;="&amp;TODAY())</f>
        <v>0</v>
      </c>
      <c r="J31" s="63">
        <f ca="1">SUMIFS('CALENDARIO INGRESOS'!$I:$I,
                   'CALENDARIO INGRESOS'!$G:$G,"&gt;="&amp;EOMONTH(Tabla7[[#This Row],[MES]],-1)+1,
                   'CALENDARIO INGRESOS'!$G:$G,"&lt;="&amp;EOMONTH(Tabla7[[#This Row],[MES]],0),
                   'CALENDARIO INGRESOS'!$L:$L,"&lt;&gt;PAGADA",
                   'CALENDARIO INGRESOS'!$G:$G,"&gt;="&amp;TODAY(),'CALENDARIO INGRESOS'!$D:$D,"&lt;&gt;ELIMINADO",'CALENDARIO INGRESOS'!$D:$D,"&lt;&gt;¡REGULARIZAR!")</f>
        <v>69062</v>
      </c>
      <c r="K31" s="346">
        <f ca="1">COUNTIFS('CALENDARIO INGRESOS'!$G:$G,"&gt;="&amp;EOMONTH(Tabla7[[#This Row],[MES]],-1)+1,'CALENDARIO INGRESOS'!$G:$G,"&lt;="&amp;EOMONTH(Tabla7[[#This Row],[MES]],0),'CALENDARIO INGRESOS'!$D:$D,"&lt;&gt;ELIMINADO",'CALENDARIO INGRESOS'!$D:$D,"&lt;&gt;¡REGULARIZAR!",'CALENDARIO INGRESOS'!$L:$L,"&lt;&gt;PAGADA",'CALENDARIO INGRESOS'!$G:$G,"&gt;="&amp;TODAY())</f>
        <v>69</v>
      </c>
      <c r="L31" s="63">
        <f>SUMIFS('CALENDARIO INGRESOS'!I:I,'CALENDARIO INGRESOS'!G:G,"&gt;="&amp;EOMONTH(Tabla7[[#This Row],[MES]],-1)+1,'CALENDARIO INGRESOS'!G:G,"&lt;="&amp;EOMONTH(Tabla7[[#This Row],[MES]],0),'CALENDARIO INGRESOS'!L:L, "&lt;&gt;PAGADA",'CALENDARIO INGRESOS'!D:D,"¡REGULARIZAR!")</f>
        <v>2200</v>
      </c>
      <c r="M31" s="346">
        <f>COUNTIFS('CALENDARIO INGRESOS'!$G:$G,"&gt;="&amp;EOMONTH(Tabla7[[#This Row],[MES]],-1)+1,'CALENDARIO INGRESOS'!$G:$G,"&lt;="&amp;EOMONTH(Tabla7[[#This Row],[MES]],0),'CALENDARIO INGRESOS'!$D:$D,"¡REGULARIZAR!",'CALENDARIO INGRESOS'!$L:$L,"&lt;&gt;PAGADA")</f>
        <v>3</v>
      </c>
      <c r="N31" s="488">
        <f>SUMIFS('CALENDARIO INGRESOS'!I:I,'CALENDARIO INGRESOS'!G:G,"&gt;="&amp;EOMONTH(Tabla7[[#This Row],[MES]],-1)+1,'CALENDARIO INGRESOS'!G:G,"&lt;="&amp;EOMONTH(Tabla7[[#This Row],[MES]],0),'CALENDARIO INGRESOS'!L:L, "&lt;&gt;PAGADA",'CALENDARIO INGRESOS'!D:D,"ELIMINADO")</f>
        <v>0</v>
      </c>
      <c r="O31" s="184">
        <f>+IFERROR(Tabla7[[#This Row],[INCOBRABLE]]/Tabla7[[#This Row],[INGRESO TOTAL MES]],0)</f>
        <v>0</v>
      </c>
      <c r="P31" s="184">
        <f ca="1">IFERROR(AVERAGEIFS(INGRESOS!I:I,INGRESOS!A:A,"&gt;="&amp;Tabla7[[#This Row],[MES]],INGRESOS!A:A,"&lt;="&amp;MIN(TODAY(),EOMONTH(Tabla7[[#This Row],[MES]],0))),0)</f>
        <v>0</v>
      </c>
      <c r="Q31" s="283">
        <f ca="1">SUMIFS(INGRESOS!$J:$J,INGRESOS!$A:$A,"&gt;="&amp;Tabla7[[#This Row],[MES]],INGRESOS!$A:$A,"&lt;="&amp;MIN(TODAY(),EOMONTH(Tabla7[[#This Row],[MES]],0)))</f>
        <v>0</v>
      </c>
      <c r="R31" s="271">
        <f ca="1">SUMIFS(SALIDAS!F:F,SALIDAS!A:A,"&gt;="&amp;Tabla7[[#This Row],[MES]],SALIDAS!A:A,"&lt;="&amp;MIN(TODAY(),EOMONTH(Tabla7[[#This Row],[MES]],0)))</f>
        <v>0</v>
      </c>
      <c r="S31" s="272">
        <f ca="1">SUMIFS(SALIDAS!F:F,SALIDAS!U:U,"COR",SALIDAS!A:A,"&gt;="&amp;Tabla7[[#This Row],[MES]],SALIDAS!A:A,"&lt;="&amp;MIN(TODAY(),EOMONTH(Tabla7[[#This Row],[MES]],0)))</f>
        <v>0</v>
      </c>
      <c r="T31" s="273">
        <f ca="1">Tabla7[[#This Row],[INGRESO MES RECIBIDO NETO]]+Tabla7[[#This Row],[COR]]+Tabla7[[#This Row],[Customer Success]]</f>
        <v>0</v>
      </c>
      <c r="U31" s="388" t="str">
        <f ca="1">+IFERROR(Tabla7[[#This Row],[MARGEN BRUTO]]/Tabla7[[#This Row],[INGRESO MES RECIBIDO NETO]],"null")</f>
        <v>null</v>
      </c>
      <c r="V31" s="274">
        <f ca="1">SUMIFS(SALIDAS!F:F,SALIDAS!U:U,"OPEX",SALIDAS!V:V,Tabla7[[#Headers],[Sales &amp; Marketing]],SALIDAS!A:A,"&gt;="&amp;Tabla7[[#This Row],[MES]],SALIDAS!A:A,"&lt;="&amp;MIN(TODAY(),EOMONTH(Tabla7[[#This Row],[MES]],0)))</f>
        <v>0</v>
      </c>
      <c r="W31" s="272">
        <f ca="1">SUMIFS(SALIDAS!F:F,SALIDAS!U:U,"OPEX",SALIDAS!V:V,Tabla7[[#Headers],[Research &amp; Development]],SALIDAS!A:A,"&gt;="&amp;Tabla7[[#This Row],[MES]],SALIDAS!A:A,"&lt;="&amp;MIN(TODAY(),EOMONTH(Tabla7[[#This Row],[MES]],0)))</f>
        <v>0</v>
      </c>
      <c r="X31" s="272">
        <f ca="1">SUMIFS(SALIDAS!F:F,SALIDAS!U:U,"OPEX",SALIDAS!V:V,Tabla7[[#Headers],[General &amp; Administrative]],SALIDAS!A:A,"&gt;="&amp;Tabla7[[#This Row],[MES]],SALIDAS!A:A,"&lt;="&amp;MIN(TODAY(),EOMONTH(Tabla7[[#This Row],[MES]],0)))</f>
        <v>0</v>
      </c>
      <c r="Y31" s="272">
        <f ca="1">SUMIFS(SALIDAS!F:F,SALIDAS!U:U,"OPEX",SALIDAS!V:V,Tabla7[[#Headers],[Customer Success]],SALIDAS!A:A,"&gt;="&amp;Tabla7[[#This Row],[MES]],SALIDAS!A:A,"&lt;="&amp;MIN(TODAY(),EOMONTH(Tabla7[[#This Row],[MES]],0)))</f>
        <v>0</v>
      </c>
      <c r="Z31" s="271">
        <f ca="1">SUMIFS(SALIDAS!F:F,SALIDAS!U:U,"OPEX",SALIDAS!A:A,"&gt;="&amp;Tabla7[[#This Row],[MES]],SALIDAS!A:A,"&lt;="&amp;MIN(TODAY(),EOMONTH(Tabla7[[#This Row],[MES]],0)))</f>
        <v>0</v>
      </c>
      <c r="AA31" s="275">
        <f ca="1">+Tabla7[[#This Row],[MARGEN BRUTO]]+SUM(Tabla7[[#This Row],[Sales &amp; Marketing]:[General &amp; Administrative]])</f>
        <v>0</v>
      </c>
      <c r="AB31" s="276">
        <f ca="1">ABS(SUMIFS(SALIDAS!F:F,SALIDAS!U:U,"CAPEX",SALIDAS!A:A,"&gt;="&amp;Tabla7[[#This Row],[MES]],SALIDAS!A:A,"&lt;="&amp;MIN(TODAY(),EOMONTH(Tabla7[[#This Row],[MES]],0))))</f>
        <v>0</v>
      </c>
      <c r="AC31" s="81">
        <f ca="1">+Tabla7[[#This Row],[EBITDA]]-Tabla7[[#This Row],[TOTAL CAPEX]]</f>
        <v>0</v>
      </c>
      <c r="AD31" s="275">
        <f ca="1">+Tabla7[[#This Row],[FCF]]</f>
        <v>0</v>
      </c>
      <c r="AE31" s="79">
        <f ca="1">IFERROR(SUMIFS(SALIDAS!F:F,SALIDAS!U:U,"OPEX",SALIDAS!V:V,Tabla7[[#Headers],[Sales &amp; Marketing]],SALIDAS!A:A,"&gt;="&amp;Tabla7[[#This Row],[MES]],SALIDAS!A:A,"&lt;="&amp;MIN(TODAY(),EOMONTH(Tabla7[[#This Row],[MES]],0)))/_xlfn.XLOOKUP(Tabla7[[#This Row],[MES]],'COHORTES INGRESO'!A:A,'COHORTES INGRESO'!C:C),0)</f>
        <v>0</v>
      </c>
      <c r="AF31" s="271">
        <f ca="1">+IFERROR(Tabla7[[#This Row],[COR]]/Tabla711[[#This Row],[NUEVOS CLIENTES TOTAL]],0)</f>
        <v>0</v>
      </c>
      <c r="AG31" s="274">
        <f ca="1">Tabla7[[#This Row],[INGRESO MES RECIBIDO NETO]]+SUMIFS(SALIDAS!F:F,SALIDAS!T:T,"Costo variable",SALIDAS!A:A,"&gt;="&amp;Tabla7[[#This Row],[MES]],SALIDAS!A:A,"&lt;="&amp;MIN(TODAY(),EOMONTH(Tabla7[[#This Row],[MES]],0)))</f>
        <v>0</v>
      </c>
      <c r="AH31" s="79">
        <f ca="1">+IFERROR(AVERAGEIFS(INGRESOS!J:J,INGRESOS!$A:$A,"&gt;="&amp;Tabla7[[#This Row],[MES]],INGRESOS!$A:$A,"&lt;="&amp;MIN(TODAY(),EOMONTH(Tabla7[[#This Row],[MES]],0))),0)</f>
        <v>0</v>
      </c>
    </row>
    <row r="32" spans="1:34">
      <c r="A32" s="58">
        <v>46508</v>
      </c>
      <c r="B32" s="63">
        <f>+Tabla7[[#This Row],[INGRESO MES RECIBIDO]]+Tabla7[[#This Row],[INGRESO PROGRAMADO PEND.]]</f>
        <v>62974</v>
      </c>
      <c r="C32" s="233">
        <f>IFERROR((Tabla7[[#This Row],[INGRESO TOTAL MES]]/B31)-1,"0")</f>
        <v>-8.8152674408502496E-2</v>
      </c>
      <c r="D32" s="63">
        <f>SUMIFS(INGRESOS!G:G,INGRESOS!A:A,"&gt;="&amp;EOMONTH(Tabla7[[#This Row],[MES]],-1)+1,INGRESOS!A:A,"&lt;="&amp;EOMONTH(Tabla7[[#This Row],[MES]],0))</f>
        <v>0</v>
      </c>
      <c r="E32" s="309">
        <f ca="1">COUNTIFS(INGRESOS!$A:$A,"&gt;="&amp;Tabla7[[#This Row],[MES]],INGRESOS!$A:$A,"&lt;="&amp;MIN(TODAY(),EOMONTH(Tabla7[[#This Row],[MES]],0)))</f>
        <v>0</v>
      </c>
      <c r="F32"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v>
      </c>
      <c r="G32" s="79">
        <f>SUMIFS('CALENDARIO INGRESOS'!I:I,'CALENDARIO INGRESOS'!G:G,"&gt;="&amp;EOMONTH(Tabla7[[#This Row],[MES]],-1)+1,'CALENDARIO INGRESOS'!G:G,"&lt;="&amp;EOMONTH(Tabla7[[#This Row],[MES]],0),'CALENDARIO INGRESOS'!L:L, "&lt;&gt;PAGADA",'CALENDARIO INGRESOS'!D:D,"&lt;&gt;ELIMINADO",'CALENDARIO INGRESOS'!D:D,"&lt;&gt;¡REGULARIZAR!")</f>
        <v>62974</v>
      </c>
      <c r="H32"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32" s="341">
        <f ca="1">COUNTIFS('CALENDARIO INGRESOS'!$G:$G,"&gt;="&amp;EOMONTH(Tabla7[[#This Row],[MES]],-1)+1,'CALENDARIO INGRESOS'!$G:$G,"&lt;="&amp;EOMONTH(Tabla7[[#This Row],[MES]],0),'CALENDARIO INGRESOS'!$D:$D,"&lt;&gt;ELIMINADO",'CALENDARIO INGRESOS'!$D:$D,"&lt;&gt;¡REGULARIZAR!",'CALENDARIO INGRESOS'!$L:$L,"&lt;&gt;PAGADA",'CALENDARIO INGRESOS'!$G:$G,"&lt;="&amp;TODAY())</f>
        <v>0</v>
      </c>
      <c r="J32" s="63">
        <f ca="1">SUMIFS('CALENDARIO INGRESOS'!$I:$I,
                   'CALENDARIO INGRESOS'!$G:$G,"&gt;="&amp;EOMONTH(Tabla7[[#This Row],[MES]],-1)+1,
                   'CALENDARIO INGRESOS'!$G:$G,"&lt;="&amp;EOMONTH(Tabla7[[#This Row],[MES]],0),
                   'CALENDARIO INGRESOS'!$L:$L,"&lt;&gt;PAGADA",
                   'CALENDARIO INGRESOS'!$G:$G,"&gt;="&amp;TODAY(),'CALENDARIO INGRESOS'!$D:$D,"&lt;&gt;ELIMINADO",'CALENDARIO INGRESOS'!$D:$D,"&lt;&gt;¡REGULARIZAR!")</f>
        <v>62974</v>
      </c>
      <c r="K32" s="346">
        <f ca="1">COUNTIFS('CALENDARIO INGRESOS'!$G:$G,"&gt;="&amp;EOMONTH(Tabla7[[#This Row],[MES]],-1)+1,'CALENDARIO INGRESOS'!$G:$G,"&lt;="&amp;EOMONTH(Tabla7[[#This Row],[MES]],0),'CALENDARIO INGRESOS'!$D:$D,"&lt;&gt;ELIMINADO",'CALENDARIO INGRESOS'!$D:$D,"&lt;&gt;¡REGULARIZAR!",'CALENDARIO INGRESOS'!$L:$L,"&lt;&gt;PAGADA",'CALENDARIO INGRESOS'!$G:$G,"&gt;="&amp;TODAY())</f>
        <v>56</v>
      </c>
      <c r="L32" s="63">
        <f>SUMIFS('CALENDARIO INGRESOS'!I:I,'CALENDARIO INGRESOS'!G:G,"&gt;="&amp;EOMONTH(Tabla7[[#This Row],[MES]],-1)+1,'CALENDARIO INGRESOS'!G:G,"&lt;="&amp;EOMONTH(Tabla7[[#This Row],[MES]],0),'CALENDARIO INGRESOS'!L:L, "&lt;&gt;PAGADA",'CALENDARIO INGRESOS'!D:D,"¡REGULARIZAR!")</f>
        <v>2200</v>
      </c>
      <c r="M32" s="346">
        <f>COUNTIFS('CALENDARIO INGRESOS'!$G:$G,"&gt;="&amp;EOMONTH(Tabla7[[#This Row],[MES]],-1)+1,'CALENDARIO INGRESOS'!$G:$G,"&lt;="&amp;EOMONTH(Tabla7[[#This Row],[MES]],0),'CALENDARIO INGRESOS'!$D:$D,"¡REGULARIZAR!",'CALENDARIO INGRESOS'!$L:$L,"&lt;&gt;PAGADA")</f>
        <v>3</v>
      </c>
      <c r="N32" s="488">
        <f>SUMIFS('CALENDARIO INGRESOS'!I:I,'CALENDARIO INGRESOS'!G:G,"&gt;="&amp;EOMONTH(Tabla7[[#This Row],[MES]],-1)+1,'CALENDARIO INGRESOS'!G:G,"&lt;="&amp;EOMONTH(Tabla7[[#This Row],[MES]],0),'CALENDARIO INGRESOS'!L:L, "&lt;&gt;PAGADA",'CALENDARIO INGRESOS'!D:D,"ELIMINADO")</f>
        <v>0</v>
      </c>
      <c r="O32" s="184">
        <f>+IFERROR(Tabla7[[#This Row],[INCOBRABLE]]/Tabla7[[#This Row],[INGRESO TOTAL MES]],0)</f>
        <v>0</v>
      </c>
      <c r="P32" s="184">
        <f ca="1">IFERROR(AVERAGEIFS(INGRESOS!I:I,INGRESOS!A:A,"&gt;="&amp;Tabla7[[#This Row],[MES]],INGRESOS!A:A,"&lt;="&amp;MIN(TODAY(),EOMONTH(Tabla7[[#This Row],[MES]],0))),0)</f>
        <v>0</v>
      </c>
      <c r="Q32" s="283">
        <f ca="1">SUMIFS(INGRESOS!$J:$J,INGRESOS!$A:$A,"&gt;="&amp;Tabla7[[#This Row],[MES]],INGRESOS!$A:$A,"&lt;="&amp;MIN(TODAY(),EOMONTH(Tabla7[[#This Row],[MES]],0)))</f>
        <v>0</v>
      </c>
      <c r="R32" s="271">
        <f ca="1">SUMIFS(SALIDAS!F:F,SALIDAS!A:A,"&gt;="&amp;Tabla7[[#This Row],[MES]],SALIDAS!A:A,"&lt;="&amp;MIN(TODAY(),EOMONTH(Tabla7[[#This Row],[MES]],0)))</f>
        <v>0</v>
      </c>
      <c r="S32" s="272">
        <f ca="1">SUMIFS(SALIDAS!F:F,SALIDAS!U:U,"COR",SALIDAS!A:A,"&gt;="&amp;Tabla7[[#This Row],[MES]],SALIDAS!A:A,"&lt;="&amp;MIN(TODAY(),EOMONTH(Tabla7[[#This Row],[MES]],0)))</f>
        <v>0</v>
      </c>
      <c r="T32" s="273">
        <f ca="1">Tabla7[[#This Row],[INGRESO MES RECIBIDO NETO]]+Tabla7[[#This Row],[COR]]+Tabla7[[#This Row],[Customer Success]]</f>
        <v>0</v>
      </c>
      <c r="U32" s="388" t="str">
        <f ca="1">+IFERROR(Tabla7[[#This Row],[MARGEN BRUTO]]/Tabla7[[#This Row],[INGRESO MES RECIBIDO NETO]],"null")</f>
        <v>null</v>
      </c>
      <c r="V32" s="274">
        <f ca="1">SUMIFS(SALIDAS!F:F,SALIDAS!U:U,"OPEX",SALIDAS!V:V,Tabla7[[#Headers],[Sales &amp; Marketing]],SALIDAS!A:A,"&gt;="&amp;Tabla7[[#This Row],[MES]],SALIDAS!A:A,"&lt;="&amp;MIN(TODAY(),EOMONTH(Tabla7[[#This Row],[MES]],0)))</f>
        <v>0</v>
      </c>
      <c r="W32" s="272">
        <f ca="1">SUMIFS(SALIDAS!F:F,SALIDAS!U:U,"OPEX",SALIDAS!V:V,Tabla7[[#Headers],[Research &amp; Development]],SALIDAS!A:A,"&gt;="&amp;Tabla7[[#This Row],[MES]],SALIDAS!A:A,"&lt;="&amp;MIN(TODAY(),EOMONTH(Tabla7[[#This Row],[MES]],0)))</f>
        <v>0</v>
      </c>
      <c r="X32" s="272">
        <f ca="1">SUMIFS(SALIDAS!F:F,SALIDAS!U:U,"OPEX",SALIDAS!V:V,Tabla7[[#Headers],[General &amp; Administrative]],SALIDAS!A:A,"&gt;="&amp;Tabla7[[#This Row],[MES]],SALIDAS!A:A,"&lt;="&amp;MIN(TODAY(),EOMONTH(Tabla7[[#This Row],[MES]],0)))</f>
        <v>0</v>
      </c>
      <c r="Y32" s="272">
        <f ca="1">SUMIFS(SALIDAS!F:F,SALIDAS!U:U,"OPEX",SALIDAS!V:V,Tabla7[[#Headers],[Customer Success]],SALIDAS!A:A,"&gt;="&amp;Tabla7[[#This Row],[MES]],SALIDAS!A:A,"&lt;="&amp;MIN(TODAY(),EOMONTH(Tabla7[[#This Row],[MES]],0)))</f>
        <v>0</v>
      </c>
      <c r="Z32" s="271">
        <f ca="1">SUMIFS(SALIDAS!F:F,SALIDAS!U:U,"OPEX",SALIDAS!A:A,"&gt;="&amp;Tabla7[[#This Row],[MES]],SALIDAS!A:A,"&lt;="&amp;MIN(TODAY(),EOMONTH(Tabla7[[#This Row],[MES]],0)))</f>
        <v>0</v>
      </c>
      <c r="AA32" s="275">
        <f ca="1">+Tabla7[[#This Row],[MARGEN BRUTO]]+SUM(Tabla7[[#This Row],[Sales &amp; Marketing]:[General &amp; Administrative]])</f>
        <v>0</v>
      </c>
      <c r="AB32" s="276">
        <f ca="1">ABS(SUMIFS(SALIDAS!F:F,SALIDAS!U:U,"CAPEX",SALIDAS!A:A,"&gt;="&amp;Tabla7[[#This Row],[MES]],SALIDAS!A:A,"&lt;="&amp;MIN(TODAY(),EOMONTH(Tabla7[[#This Row],[MES]],0))))</f>
        <v>0</v>
      </c>
      <c r="AC32" s="81">
        <f ca="1">+Tabla7[[#This Row],[EBITDA]]-Tabla7[[#This Row],[TOTAL CAPEX]]</f>
        <v>0</v>
      </c>
      <c r="AD32" s="275">
        <f ca="1">+Tabla7[[#This Row],[FCF]]</f>
        <v>0</v>
      </c>
      <c r="AE32" s="79">
        <f ca="1">IFERROR(SUMIFS(SALIDAS!F:F,SALIDAS!U:U,"OPEX",SALIDAS!V:V,Tabla7[[#Headers],[Sales &amp; Marketing]],SALIDAS!A:A,"&gt;="&amp;Tabla7[[#This Row],[MES]],SALIDAS!A:A,"&lt;="&amp;MIN(TODAY(),EOMONTH(Tabla7[[#This Row],[MES]],0)))/_xlfn.XLOOKUP(Tabla7[[#This Row],[MES]],'COHORTES INGRESO'!A:A,'COHORTES INGRESO'!C:C),0)</f>
        <v>0</v>
      </c>
      <c r="AF32" s="271">
        <f ca="1">+IFERROR(Tabla7[[#This Row],[COR]]/Tabla711[[#This Row],[NUEVOS CLIENTES TOTAL]],0)</f>
        <v>0</v>
      </c>
      <c r="AG32" s="274">
        <f ca="1">Tabla7[[#This Row],[INGRESO MES RECIBIDO NETO]]+SUMIFS(SALIDAS!F:F,SALIDAS!T:T,"Costo variable",SALIDAS!A:A,"&gt;="&amp;Tabla7[[#This Row],[MES]],SALIDAS!A:A,"&lt;="&amp;MIN(TODAY(),EOMONTH(Tabla7[[#This Row],[MES]],0)))</f>
        <v>0</v>
      </c>
      <c r="AH32" s="79">
        <f ca="1">+IFERROR(AVERAGEIFS(INGRESOS!J:J,INGRESOS!$A:$A,"&gt;="&amp;Tabla7[[#This Row],[MES]],INGRESOS!$A:$A,"&lt;="&amp;MIN(TODAY(),EOMONTH(Tabla7[[#This Row],[MES]],0))),0)</f>
        <v>0</v>
      </c>
    </row>
    <row r="33" spans="1:34">
      <c r="A33" s="24">
        <v>46539</v>
      </c>
      <c r="B33" s="63">
        <f>+Tabla7[[#This Row],[INGRESO MES RECIBIDO]]+Tabla7[[#This Row],[INGRESO PROGRAMADO PEND.]]</f>
        <v>48208</v>
      </c>
      <c r="C33" s="233">
        <f>IFERROR((Tabla7[[#This Row],[INGRESO TOTAL MES]]/B32)-1,"0")</f>
        <v>-0.23447772096420749</v>
      </c>
      <c r="D33" s="63">
        <f>SUMIFS(INGRESOS!G:G,INGRESOS!A:A,"&gt;="&amp;EOMONTH(Tabla7[[#This Row],[MES]],-1)+1,INGRESOS!A:A,"&lt;="&amp;EOMONTH(Tabla7[[#This Row],[MES]],0))</f>
        <v>0</v>
      </c>
      <c r="E33" s="309">
        <f ca="1">COUNTIFS(INGRESOS!$A:$A,"&gt;="&amp;Tabla7[[#This Row],[MES]],INGRESOS!$A:$A,"&lt;="&amp;MIN(TODAY(),EOMONTH(Tabla7[[#This Row],[MES]],0)))</f>
        <v>0</v>
      </c>
      <c r="F33"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v>
      </c>
      <c r="G33" s="79">
        <f>SUMIFS('CALENDARIO INGRESOS'!I:I,'CALENDARIO INGRESOS'!G:G,"&gt;="&amp;EOMONTH(Tabla7[[#This Row],[MES]],-1)+1,'CALENDARIO INGRESOS'!G:G,"&lt;="&amp;EOMONTH(Tabla7[[#This Row],[MES]],0),'CALENDARIO INGRESOS'!L:L, "&lt;&gt;PAGADA",'CALENDARIO INGRESOS'!D:D,"&lt;&gt;ELIMINADO",'CALENDARIO INGRESOS'!D:D,"&lt;&gt;¡REGULARIZAR!")</f>
        <v>48208</v>
      </c>
      <c r="H33"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33" s="341">
        <f ca="1">COUNTIFS('CALENDARIO INGRESOS'!$G:$G,"&gt;="&amp;EOMONTH(Tabla7[[#This Row],[MES]],-1)+1,'CALENDARIO INGRESOS'!$G:$G,"&lt;="&amp;EOMONTH(Tabla7[[#This Row],[MES]],0),'CALENDARIO INGRESOS'!$D:$D,"&lt;&gt;ELIMINADO",'CALENDARIO INGRESOS'!$D:$D,"&lt;&gt;¡REGULARIZAR!",'CALENDARIO INGRESOS'!$L:$L,"&lt;&gt;PAGADA",'CALENDARIO INGRESOS'!$G:$G,"&lt;="&amp;TODAY())</f>
        <v>0</v>
      </c>
      <c r="J33" s="63">
        <f ca="1">SUMIFS('CALENDARIO INGRESOS'!$I:$I,
                   'CALENDARIO INGRESOS'!$G:$G,"&gt;="&amp;EOMONTH(Tabla7[[#This Row],[MES]],-1)+1,
                   'CALENDARIO INGRESOS'!$G:$G,"&lt;="&amp;EOMONTH(Tabla7[[#This Row],[MES]],0),
                   'CALENDARIO INGRESOS'!$L:$L,"&lt;&gt;PAGADA",
                   'CALENDARIO INGRESOS'!$G:$G,"&gt;="&amp;TODAY(),'CALENDARIO INGRESOS'!$D:$D,"&lt;&gt;ELIMINADO",'CALENDARIO INGRESOS'!$D:$D,"&lt;&gt;¡REGULARIZAR!")</f>
        <v>48208</v>
      </c>
      <c r="K33" s="346">
        <f ca="1">COUNTIFS('CALENDARIO INGRESOS'!$G:$G,"&gt;="&amp;EOMONTH(Tabla7[[#This Row],[MES]],-1)+1,'CALENDARIO INGRESOS'!$G:$G,"&lt;="&amp;EOMONTH(Tabla7[[#This Row],[MES]],0),'CALENDARIO INGRESOS'!$D:$D,"&lt;&gt;ELIMINADO",'CALENDARIO INGRESOS'!$D:$D,"&lt;&gt;¡REGULARIZAR!",'CALENDARIO INGRESOS'!$L:$L,"&lt;&gt;PAGADA",'CALENDARIO INGRESOS'!$G:$G,"&gt;="&amp;TODAY())</f>
        <v>55</v>
      </c>
      <c r="L33" s="63">
        <f>SUMIFS('CALENDARIO INGRESOS'!I:I,'CALENDARIO INGRESOS'!G:G,"&gt;="&amp;EOMONTH(Tabla7[[#This Row],[MES]],-1)+1,'CALENDARIO INGRESOS'!G:G,"&lt;="&amp;EOMONTH(Tabla7[[#This Row],[MES]],0),'CALENDARIO INGRESOS'!L:L, "&lt;&gt;PAGADA",'CALENDARIO INGRESOS'!D:D,"¡REGULARIZAR!")</f>
        <v>2200</v>
      </c>
      <c r="M33" s="346">
        <f>COUNTIFS('CALENDARIO INGRESOS'!$G:$G,"&gt;="&amp;EOMONTH(Tabla7[[#This Row],[MES]],-1)+1,'CALENDARIO INGRESOS'!$G:$G,"&lt;="&amp;EOMONTH(Tabla7[[#This Row],[MES]],0),'CALENDARIO INGRESOS'!$D:$D,"¡REGULARIZAR!",'CALENDARIO INGRESOS'!$L:$L,"&lt;&gt;PAGADA")</f>
        <v>3</v>
      </c>
      <c r="N33" s="488">
        <f>SUMIFS('CALENDARIO INGRESOS'!I:I,'CALENDARIO INGRESOS'!G:G,"&gt;="&amp;EOMONTH(Tabla7[[#This Row],[MES]],-1)+1,'CALENDARIO INGRESOS'!G:G,"&lt;="&amp;EOMONTH(Tabla7[[#This Row],[MES]],0),'CALENDARIO INGRESOS'!L:L, "&lt;&gt;PAGADA",'CALENDARIO INGRESOS'!D:D,"ELIMINADO")</f>
        <v>0</v>
      </c>
      <c r="O33" s="184">
        <f>+IFERROR(Tabla7[[#This Row],[INCOBRABLE]]/Tabla7[[#This Row],[INGRESO TOTAL MES]],0)</f>
        <v>0</v>
      </c>
      <c r="P33" s="184">
        <f ca="1">IFERROR(AVERAGEIFS(INGRESOS!I:I,INGRESOS!A:A,"&gt;="&amp;Tabla7[[#This Row],[MES]],INGRESOS!A:A,"&lt;="&amp;MIN(TODAY(),EOMONTH(Tabla7[[#This Row],[MES]],0))),0)</f>
        <v>0</v>
      </c>
      <c r="Q33" s="283">
        <f ca="1">SUMIFS(INGRESOS!$J:$J,INGRESOS!$A:$A,"&gt;="&amp;Tabla7[[#This Row],[MES]],INGRESOS!$A:$A,"&lt;="&amp;MIN(TODAY(),EOMONTH(Tabla7[[#This Row],[MES]],0)))</f>
        <v>0</v>
      </c>
      <c r="R33" s="271">
        <f ca="1">SUMIFS(SALIDAS!F:F,SALIDAS!A:A,"&gt;="&amp;Tabla7[[#This Row],[MES]],SALIDAS!A:A,"&lt;="&amp;MIN(TODAY(),EOMONTH(Tabla7[[#This Row],[MES]],0)))</f>
        <v>0</v>
      </c>
      <c r="S33" s="272">
        <f ca="1">SUMIFS(SALIDAS!F:F,SALIDAS!U:U,"COR",SALIDAS!A:A,"&gt;="&amp;Tabla7[[#This Row],[MES]],SALIDAS!A:A,"&lt;="&amp;MIN(TODAY(),EOMONTH(Tabla7[[#This Row],[MES]],0)))</f>
        <v>0</v>
      </c>
      <c r="T33" s="273">
        <f ca="1">Tabla7[[#This Row],[INGRESO MES RECIBIDO NETO]]+Tabla7[[#This Row],[COR]]+Tabla7[[#This Row],[Customer Success]]</f>
        <v>0</v>
      </c>
      <c r="U33" s="388" t="str">
        <f ca="1">+IFERROR(Tabla7[[#This Row],[MARGEN BRUTO]]/Tabla7[[#This Row],[INGRESO MES RECIBIDO NETO]],"null")</f>
        <v>null</v>
      </c>
      <c r="V33" s="274">
        <f ca="1">SUMIFS(SALIDAS!F:F,SALIDAS!U:U,"OPEX",SALIDAS!V:V,Tabla7[[#Headers],[Sales &amp; Marketing]],SALIDAS!A:A,"&gt;="&amp;Tabla7[[#This Row],[MES]],SALIDAS!A:A,"&lt;="&amp;MIN(TODAY(),EOMONTH(Tabla7[[#This Row],[MES]],0)))</f>
        <v>0</v>
      </c>
      <c r="W33" s="272">
        <f ca="1">SUMIFS(SALIDAS!F:F,SALIDAS!U:U,"OPEX",SALIDAS!V:V,Tabla7[[#Headers],[Research &amp; Development]],SALIDAS!A:A,"&gt;="&amp;Tabla7[[#This Row],[MES]],SALIDAS!A:A,"&lt;="&amp;MIN(TODAY(),EOMONTH(Tabla7[[#This Row],[MES]],0)))</f>
        <v>0</v>
      </c>
      <c r="X33" s="272">
        <f ca="1">SUMIFS(SALIDAS!F:F,SALIDAS!U:U,"OPEX",SALIDAS!V:V,Tabla7[[#Headers],[General &amp; Administrative]],SALIDAS!A:A,"&gt;="&amp;Tabla7[[#This Row],[MES]],SALIDAS!A:A,"&lt;="&amp;MIN(TODAY(),EOMONTH(Tabla7[[#This Row],[MES]],0)))</f>
        <v>0</v>
      </c>
      <c r="Y33" s="272">
        <f ca="1">SUMIFS(SALIDAS!F:F,SALIDAS!U:U,"OPEX",SALIDAS!V:V,Tabla7[[#Headers],[Customer Success]],SALIDAS!A:A,"&gt;="&amp;Tabla7[[#This Row],[MES]],SALIDAS!A:A,"&lt;="&amp;MIN(TODAY(),EOMONTH(Tabla7[[#This Row],[MES]],0)))</f>
        <v>0</v>
      </c>
      <c r="Z33" s="271">
        <f ca="1">SUMIFS(SALIDAS!F:F,SALIDAS!U:U,"OPEX",SALIDAS!A:A,"&gt;="&amp;Tabla7[[#This Row],[MES]],SALIDAS!A:A,"&lt;="&amp;MIN(TODAY(),EOMONTH(Tabla7[[#This Row],[MES]],0)))</f>
        <v>0</v>
      </c>
      <c r="AA33" s="275">
        <f ca="1">+Tabla7[[#This Row],[MARGEN BRUTO]]+SUM(Tabla7[[#This Row],[Sales &amp; Marketing]:[General &amp; Administrative]])</f>
        <v>0</v>
      </c>
      <c r="AB33" s="276">
        <f ca="1">ABS(SUMIFS(SALIDAS!F:F,SALIDAS!U:U,"CAPEX",SALIDAS!A:A,"&gt;="&amp;Tabla7[[#This Row],[MES]],SALIDAS!A:A,"&lt;="&amp;MIN(TODAY(),EOMONTH(Tabla7[[#This Row],[MES]],0))))</f>
        <v>0</v>
      </c>
      <c r="AC33" s="81">
        <f ca="1">+Tabla7[[#This Row],[EBITDA]]-Tabla7[[#This Row],[TOTAL CAPEX]]</f>
        <v>0</v>
      </c>
      <c r="AD33" s="275">
        <f ca="1">+Tabla7[[#This Row],[FCF]]</f>
        <v>0</v>
      </c>
      <c r="AE33" s="79">
        <f ca="1">IFERROR(SUMIFS(SALIDAS!F:F,SALIDAS!U:U,"OPEX",SALIDAS!V:V,Tabla7[[#Headers],[Sales &amp; Marketing]],SALIDAS!A:A,"&gt;="&amp;Tabla7[[#This Row],[MES]],SALIDAS!A:A,"&lt;="&amp;MIN(TODAY(),EOMONTH(Tabla7[[#This Row],[MES]],0)))/_xlfn.XLOOKUP(Tabla7[[#This Row],[MES]],'COHORTES INGRESO'!A:A,'COHORTES INGRESO'!C:C),0)</f>
        <v>0</v>
      </c>
      <c r="AF33" s="271">
        <f ca="1">+IFERROR(Tabla7[[#This Row],[COR]]/Tabla711[[#This Row],[NUEVOS CLIENTES TOTAL]],0)</f>
        <v>0</v>
      </c>
      <c r="AG33" s="274">
        <f ca="1">Tabla7[[#This Row],[INGRESO MES RECIBIDO NETO]]+SUMIFS(SALIDAS!F:F,SALIDAS!T:T,"Costo variable",SALIDAS!A:A,"&gt;="&amp;Tabla7[[#This Row],[MES]],SALIDAS!A:A,"&lt;="&amp;MIN(TODAY(),EOMONTH(Tabla7[[#This Row],[MES]],0)))</f>
        <v>0</v>
      </c>
      <c r="AH33" s="79">
        <f ca="1">+IFERROR(AVERAGEIFS(INGRESOS!J:J,INGRESOS!$A:$A,"&gt;="&amp;Tabla7[[#This Row],[MES]],INGRESOS!$A:$A,"&lt;="&amp;MIN(TODAY(),EOMONTH(Tabla7[[#This Row],[MES]],0))),0)</f>
        <v>0</v>
      </c>
    </row>
    <row r="34" spans="1:34">
      <c r="A34" s="58">
        <v>46569</v>
      </c>
      <c r="B34" s="63">
        <f>+Tabla7[[#This Row],[INGRESO MES RECIBIDO]]+Tabla7[[#This Row],[INGRESO PROGRAMADO PEND.]]</f>
        <v>45508</v>
      </c>
      <c r="C34" s="233">
        <f>IFERROR((Tabla7[[#This Row],[INGRESO TOTAL MES]]/B33)-1,"0")</f>
        <v>-5.6007301692665101E-2</v>
      </c>
      <c r="D34" s="63">
        <f>SUMIFS(INGRESOS!G:G,INGRESOS!A:A,"&gt;="&amp;EOMONTH(Tabla7[[#This Row],[MES]],-1)+1,INGRESOS!A:A,"&lt;="&amp;EOMONTH(Tabla7[[#This Row],[MES]],0))</f>
        <v>0</v>
      </c>
      <c r="E34" s="309">
        <f ca="1">COUNTIFS(INGRESOS!$A:$A,"&gt;="&amp;Tabla7[[#This Row],[MES]],INGRESOS!$A:$A,"&lt;="&amp;MIN(TODAY(),EOMONTH(Tabla7[[#This Row],[MES]],0)))</f>
        <v>0</v>
      </c>
      <c r="F34"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v>
      </c>
      <c r="G34" s="79">
        <f>SUMIFS('CALENDARIO INGRESOS'!I:I,'CALENDARIO INGRESOS'!G:G,"&gt;="&amp;EOMONTH(Tabla7[[#This Row],[MES]],-1)+1,'CALENDARIO INGRESOS'!G:G,"&lt;="&amp;EOMONTH(Tabla7[[#This Row],[MES]],0),'CALENDARIO INGRESOS'!L:L, "&lt;&gt;PAGADA",'CALENDARIO INGRESOS'!D:D,"&lt;&gt;ELIMINADO",'CALENDARIO INGRESOS'!D:D,"&lt;&gt;¡REGULARIZAR!")</f>
        <v>45508</v>
      </c>
      <c r="H34"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34" s="341">
        <f ca="1">COUNTIFS('CALENDARIO INGRESOS'!$G:$G,"&gt;="&amp;EOMONTH(Tabla7[[#This Row],[MES]],-1)+1,'CALENDARIO INGRESOS'!$G:$G,"&lt;="&amp;EOMONTH(Tabla7[[#This Row],[MES]],0),'CALENDARIO INGRESOS'!$D:$D,"&lt;&gt;ELIMINADO",'CALENDARIO INGRESOS'!$D:$D,"&lt;&gt;¡REGULARIZAR!",'CALENDARIO INGRESOS'!$L:$L,"&lt;&gt;PAGADA",'CALENDARIO INGRESOS'!$G:$G,"&lt;="&amp;TODAY())</f>
        <v>0</v>
      </c>
      <c r="J34" s="63">
        <f ca="1">SUMIFS('CALENDARIO INGRESOS'!$I:$I,
                   'CALENDARIO INGRESOS'!$G:$G,"&gt;="&amp;EOMONTH(Tabla7[[#This Row],[MES]],-1)+1,
                   'CALENDARIO INGRESOS'!$G:$G,"&lt;="&amp;EOMONTH(Tabla7[[#This Row],[MES]],0),
                   'CALENDARIO INGRESOS'!$L:$L,"&lt;&gt;PAGADA",
                   'CALENDARIO INGRESOS'!$G:$G,"&gt;="&amp;TODAY(),'CALENDARIO INGRESOS'!$D:$D,"&lt;&gt;ELIMINADO",'CALENDARIO INGRESOS'!$D:$D,"&lt;&gt;¡REGULARIZAR!")</f>
        <v>45508</v>
      </c>
      <c r="K34" s="346">
        <f ca="1">COUNTIFS('CALENDARIO INGRESOS'!$G:$G,"&gt;="&amp;EOMONTH(Tabla7[[#This Row],[MES]],-1)+1,'CALENDARIO INGRESOS'!$G:$G,"&lt;="&amp;EOMONTH(Tabla7[[#This Row],[MES]],0),'CALENDARIO INGRESOS'!$D:$D,"&lt;&gt;ELIMINADO",'CALENDARIO INGRESOS'!$D:$D,"&lt;&gt;¡REGULARIZAR!",'CALENDARIO INGRESOS'!$L:$L,"&lt;&gt;PAGADA",'CALENDARIO INGRESOS'!$G:$G,"&gt;="&amp;TODAY())</f>
        <v>48</v>
      </c>
      <c r="L34" s="63">
        <f>SUMIFS('CALENDARIO INGRESOS'!I:I,'CALENDARIO INGRESOS'!G:G,"&gt;="&amp;EOMONTH(Tabla7[[#This Row],[MES]],-1)+1,'CALENDARIO INGRESOS'!G:G,"&lt;="&amp;EOMONTH(Tabla7[[#This Row],[MES]],0),'CALENDARIO INGRESOS'!L:L, "&lt;&gt;PAGADA",'CALENDARIO INGRESOS'!D:D,"¡REGULARIZAR!")</f>
        <v>2200</v>
      </c>
      <c r="M34" s="346">
        <f>COUNTIFS('CALENDARIO INGRESOS'!$G:$G,"&gt;="&amp;EOMONTH(Tabla7[[#This Row],[MES]],-1)+1,'CALENDARIO INGRESOS'!$G:$G,"&lt;="&amp;EOMONTH(Tabla7[[#This Row],[MES]],0),'CALENDARIO INGRESOS'!$D:$D,"¡REGULARIZAR!",'CALENDARIO INGRESOS'!$L:$L,"&lt;&gt;PAGADA")</f>
        <v>3</v>
      </c>
      <c r="N34" s="488">
        <f>SUMIFS('CALENDARIO INGRESOS'!I:I,'CALENDARIO INGRESOS'!G:G,"&gt;="&amp;EOMONTH(Tabla7[[#This Row],[MES]],-1)+1,'CALENDARIO INGRESOS'!G:G,"&lt;="&amp;EOMONTH(Tabla7[[#This Row],[MES]],0),'CALENDARIO INGRESOS'!L:L, "&lt;&gt;PAGADA",'CALENDARIO INGRESOS'!D:D,"ELIMINADO")</f>
        <v>0</v>
      </c>
      <c r="O34" s="184">
        <f>+IFERROR(Tabla7[[#This Row],[INCOBRABLE]]/Tabla7[[#This Row],[INGRESO TOTAL MES]],0)</f>
        <v>0</v>
      </c>
      <c r="P34" s="184">
        <f ca="1">IFERROR(AVERAGEIFS(INGRESOS!I:I,INGRESOS!A:A,"&gt;="&amp;Tabla7[[#This Row],[MES]],INGRESOS!A:A,"&lt;="&amp;MIN(TODAY(),EOMONTH(Tabla7[[#This Row],[MES]],0))),0)</f>
        <v>0</v>
      </c>
      <c r="Q34" s="283">
        <f ca="1">SUMIFS(INGRESOS!$J:$J,INGRESOS!$A:$A,"&gt;="&amp;Tabla7[[#This Row],[MES]],INGRESOS!$A:$A,"&lt;="&amp;MIN(TODAY(),EOMONTH(Tabla7[[#This Row],[MES]],0)))</f>
        <v>0</v>
      </c>
      <c r="R34" s="271">
        <f ca="1">SUMIFS(SALIDAS!F:F,SALIDAS!A:A,"&gt;="&amp;Tabla7[[#This Row],[MES]],SALIDAS!A:A,"&lt;="&amp;MIN(TODAY(),EOMONTH(Tabla7[[#This Row],[MES]],0)))</f>
        <v>0</v>
      </c>
      <c r="S34" s="272">
        <f ca="1">SUMIFS(SALIDAS!F:F,SALIDAS!U:U,"COR",SALIDAS!A:A,"&gt;="&amp;Tabla7[[#This Row],[MES]],SALIDAS!A:A,"&lt;="&amp;MIN(TODAY(),EOMONTH(Tabla7[[#This Row],[MES]],0)))</f>
        <v>0</v>
      </c>
      <c r="T34" s="273">
        <f ca="1">Tabla7[[#This Row],[INGRESO MES RECIBIDO NETO]]+Tabla7[[#This Row],[COR]]+Tabla7[[#This Row],[Customer Success]]</f>
        <v>0</v>
      </c>
      <c r="U34" s="388" t="str">
        <f ca="1">+IFERROR(Tabla7[[#This Row],[MARGEN BRUTO]]/Tabla7[[#This Row],[INGRESO MES RECIBIDO NETO]],"null")</f>
        <v>null</v>
      </c>
      <c r="V34" s="274">
        <f ca="1">SUMIFS(SALIDAS!F:F,SALIDAS!U:U,"OPEX",SALIDAS!V:V,Tabla7[[#Headers],[Sales &amp; Marketing]],SALIDAS!A:A,"&gt;="&amp;Tabla7[[#This Row],[MES]],SALIDAS!A:A,"&lt;="&amp;MIN(TODAY(),EOMONTH(Tabla7[[#This Row],[MES]],0)))</f>
        <v>0</v>
      </c>
      <c r="W34" s="272">
        <f ca="1">SUMIFS(SALIDAS!F:F,SALIDAS!U:U,"OPEX",SALIDAS!V:V,Tabla7[[#Headers],[Research &amp; Development]],SALIDAS!A:A,"&gt;="&amp;Tabla7[[#This Row],[MES]],SALIDAS!A:A,"&lt;="&amp;MIN(TODAY(),EOMONTH(Tabla7[[#This Row],[MES]],0)))</f>
        <v>0</v>
      </c>
      <c r="X34" s="272">
        <f ca="1">SUMIFS(SALIDAS!F:F,SALIDAS!U:U,"OPEX",SALIDAS!V:V,Tabla7[[#Headers],[General &amp; Administrative]],SALIDAS!A:A,"&gt;="&amp;Tabla7[[#This Row],[MES]],SALIDAS!A:A,"&lt;="&amp;MIN(TODAY(),EOMONTH(Tabla7[[#This Row],[MES]],0)))</f>
        <v>0</v>
      </c>
      <c r="Y34" s="272">
        <f ca="1">SUMIFS(SALIDAS!F:F,SALIDAS!U:U,"OPEX",SALIDAS!V:V,Tabla7[[#Headers],[Customer Success]],SALIDAS!A:A,"&gt;="&amp;Tabla7[[#This Row],[MES]],SALIDAS!A:A,"&lt;="&amp;MIN(TODAY(),EOMONTH(Tabla7[[#This Row],[MES]],0)))</f>
        <v>0</v>
      </c>
      <c r="Z34" s="271">
        <f ca="1">SUMIFS(SALIDAS!F:F,SALIDAS!U:U,"OPEX",SALIDAS!A:A,"&gt;="&amp;Tabla7[[#This Row],[MES]],SALIDAS!A:A,"&lt;="&amp;MIN(TODAY(),EOMONTH(Tabla7[[#This Row],[MES]],0)))</f>
        <v>0</v>
      </c>
      <c r="AA34" s="275">
        <f ca="1">+Tabla7[[#This Row],[MARGEN BRUTO]]+SUM(Tabla7[[#This Row],[Sales &amp; Marketing]:[General &amp; Administrative]])</f>
        <v>0</v>
      </c>
      <c r="AB34" s="276">
        <f ca="1">ABS(SUMIFS(SALIDAS!F:F,SALIDAS!U:U,"CAPEX",SALIDAS!A:A,"&gt;="&amp;Tabla7[[#This Row],[MES]],SALIDAS!A:A,"&lt;="&amp;MIN(TODAY(),EOMONTH(Tabla7[[#This Row],[MES]],0))))</f>
        <v>0</v>
      </c>
      <c r="AC34" s="81">
        <f ca="1">+Tabla7[[#This Row],[EBITDA]]-Tabla7[[#This Row],[TOTAL CAPEX]]</f>
        <v>0</v>
      </c>
      <c r="AD34" s="275">
        <f ca="1">+Tabla7[[#This Row],[FCF]]</f>
        <v>0</v>
      </c>
      <c r="AE34" s="79">
        <f ca="1">IFERROR(SUMIFS(SALIDAS!F:F,SALIDAS!U:U,"OPEX",SALIDAS!V:V,Tabla7[[#Headers],[Sales &amp; Marketing]],SALIDAS!A:A,"&gt;="&amp;Tabla7[[#This Row],[MES]],SALIDAS!A:A,"&lt;="&amp;MIN(TODAY(),EOMONTH(Tabla7[[#This Row],[MES]],0)))/_xlfn.XLOOKUP(Tabla7[[#This Row],[MES]],'COHORTES INGRESO'!A:A,'COHORTES INGRESO'!C:C),0)</f>
        <v>0</v>
      </c>
      <c r="AF34" s="271">
        <f ca="1">+IFERROR(Tabla7[[#This Row],[COR]]/Tabla711[[#This Row],[NUEVOS CLIENTES TOTAL]],0)</f>
        <v>0</v>
      </c>
      <c r="AG34" s="274">
        <f ca="1">Tabla7[[#This Row],[INGRESO MES RECIBIDO NETO]]+SUMIFS(SALIDAS!F:F,SALIDAS!T:T,"Costo variable",SALIDAS!A:A,"&gt;="&amp;Tabla7[[#This Row],[MES]],SALIDAS!A:A,"&lt;="&amp;MIN(TODAY(),EOMONTH(Tabla7[[#This Row],[MES]],0)))</f>
        <v>0</v>
      </c>
      <c r="AH34" s="79">
        <f ca="1">+IFERROR(AVERAGEIFS(INGRESOS!J:J,INGRESOS!$A:$A,"&gt;="&amp;Tabla7[[#This Row],[MES]],INGRESOS!$A:$A,"&lt;="&amp;MIN(TODAY(),EOMONTH(Tabla7[[#This Row],[MES]],0))),0)</f>
        <v>0</v>
      </c>
    </row>
    <row r="35" spans="1:34">
      <c r="A35" s="24">
        <v>46600</v>
      </c>
      <c r="B35" s="63">
        <f>+Tabla7[[#This Row],[INGRESO MES RECIBIDO]]+Tabla7[[#This Row],[INGRESO PROGRAMADO PEND.]]</f>
        <v>40445</v>
      </c>
      <c r="C35" s="233">
        <f>IFERROR((Tabla7[[#This Row],[INGRESO TOTAL MES]]/B34)-1,"0")</f>
        <v>-0.11125516392722157</v>
      </c>
      <c r="D35" s="63">
        <f>SUMIFS(INGRESOS!G:G,INGRESOS!A:A,"&gt;="&amp;EOMONTH(Tabla7[[#This Row],[MES]],-1)+1,INGRESOS!A:A,"&lt;="&amp;EOMONTH(Tabla7[[#This Row],[MES]],0))</f>
        <v>0</v>
      </c>
      <c r="E35" s="309">
        <f ca="1">COUNTIFS(INGRESOS!$A:$A,"&gt;="&amp;Tabla7[[#This Row],[MES]],INGRESOS!$A:$A,"&lt;="&amp;MIN(TODAY(),EOMONTH(Tabla7[[#This Row],[MES]],0)))</f>
        <v>0</v>
      </c>
      <c r="F35"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v>
      </c>
      <c r="G35" s="79">
        <f>SUMIFS('CALENDARIO INGRESOS'!I:I,'CALENDARIO INGRESOS'!G:G,"&gt;="&amp;EOMONTH(Tabla7[[#This Row],[MES]],-1)+1,'CALENDARIO INGRESOS'!G:G,"&lt;="&amp;EOMONTH(Tabla7[[#This Row],[MES]],0),'CALENDARIO INGRESOS'!L:L, "&lt;&gt;PAGADA",'CALENDARIO INGRESOS'!D:D,"&lt;&gt;ELIMINADO",'CALENDARIO INGRESOS'!D:D,"&lt;&gt;¡REGULARIZAR!")</f>
        <v>40445</v>
      </c>
      <c r="H35"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35" s="341">
        <f ca="1">COUNTIFS('CALENDARIO INGRESOS'!$G:$G,"&gt;="&amp;EOMONTH(Tabla7[[#This Row],[MES]],-1)+1,'CALENDARIO INGRESOS'!$G:$G,"&lt;="&amp;EOMONTH(Tabla7[[#This Row],[MES]],0),'CALENDARIO INGRESOS'!$D:$D,"&lt;&gt;ELIMINADO",'CALENDARIO INGRESOS'!$D:$D,"&lt;&gt;¡REGULARIZAR!",'CALENDARIO INGRESOS'!$L:$L,"&lt;&gt;PAGADA",'CALENDARIO INGRESOS'!$G:$G,"&lt;="&amp;TODAY())</f>
        <v>0</v>
      </c>
      <c r="J35" s="63">
        <f ca="1">SUMIFS('CALENDARIO INGRESOS'!$I:$I,
                   'CALENDARIO INGRESOS'!$G:$G,"&gt;="&amp;EOMONTH(Tabla7[[#This Row],[MES]],-1)+1,
                   'CALENDARIO INGRESOS'!$G:$G,"&lt;="&amp;EOMONTH(Tabla7[[#This Row],[MES]],0),
                   'CALENDARIO INGRESOS'!$L:$L,"&lt;&gt;PAGADA",
                   'CALENDARIO INGRESOS'!$G:$G,"&gt;="&amp;TODAY(),'CALENDARIO INGRESOS'!$D:$D,"&lt;&gt;ELIMINADO",'CALENDARIO INGRESOS'!$D:$D,"&lt;&gt;¡REGULARIZAR!")</f>
        <v>40445</v>
      </c>
      <c r="K35" s="346">
        <f ca="1">COUNTIFS('CALENDARIO INGRESOS'!$G:$G,"&gt;="&amp;EOMONTH(Tabla7[[#This Row],[MES]],-1)+1,'CALENDARIO INGRESOS'!$G:$G,"&lt;="&amp;EOMONTH(Tabla7[[#This Row],[MES]],0),'CALENDARIO INGRESOS'!$D:$D,"&lt;&gt;ELIMINADO",'CALENDARIO INGRESOS'!$D:$D,"&lt;&gt;¡REGULARIZAR!",'CALENDARIO INGRESOS'!$L:$L,"&lt;&gt;PAGADA",'CALENDARIO INGRESOS'!$G:$G,"&gt;="&amp;TODAY())</f>
        <v>45</v>
      </c>
      <c r="L35" s="63">
        <f>SUMIFS('CALENDARIO INGRESOS'!I:I,'CALENDARIO INGRESOS'!G:G,"&gt;="&amp;EOMONTH(Tabla7[[#This Row],[MES]],-1)+1,'CALENDARIO INGRESOS'!G:G,"&lt;="&amp;EOMONTH(Tabla7[[#This Row],[MES]],0),'CALENDARIO INGRESOS'!L:L, "&lt;&gt;PAGADA",'CALENDARIO INGRESOS'!D:D,"¡REGULARIZAR!")</f>
        <v>1450</v>
      </c>
      <c r="M35" s="346">
        <f>COUNTIFS('CALENDARIO INGRESOS'!$G:$G,"&gt;="&amp;EOMONTH(Tabla7[[#This Row],[MES]],-1)+1,'CALENDARIO INGRESOS'!$G:$G,"&lt;="&amp;EOMONTH(Tabla7[[#This Row],[MES]],0),'CALENDARIO INGRESOS'!$D:$D,"¡REGULARIZAR!",'CALENDARIO INGRESOS'!$L:$L,"&lt;&gt;PAGADA")</f>
        <v>2</v>
      </c>
      <c r="N35" s="488">
        <f>SUMIFS('CALENDARIO INGRESOS'!I:I,'CALENDARIO INGRESOS'!G:G,"&gt;="&amp;EOMONTH(Tabla7[[#This Row],[MES]],-1)+1,'CALENDARIO INGRESOS'!G:G,"&lt;="&amp;EOMONTH(Tabla7[[#This Row],[MES]],0),'CALENDARIO INGRESOS'!L:L, "&lt;&gt;PAGADA",'CALENDARIO INGRESOS'!D:D,"ELIMINADO")</f>
        <v>0</v>
      </c>
      <c r="O35" s="184">
        <f>+IFERROR(Tabla7[[#This Row],[INCOBRABLE]]/Tabla7[[#This Row],[INGRESO TOTAL MES]],0)</f>
        <v>0</v>
      </c>
      <c r="P35" s="184">
        <f ca="1">IFERROR(AVERAGEIFS(INGRESOS!I:I,INGRESOS!A:A,"&gt;="&amp;Tabla7[[#This Row],[MES]],INGRESOS!A:A,"&lt;="&amp;MIN(TODAY(),EOMONTH(Tabla7[[#This Row],[MES]],0))),0)</f>
        <v>0</v>
      </c>
      <c r="Q35" s="283">
        <f ca="1">SUMIFS(INGRESOS!$J:$J,INGRESOS!$A:$A,"&gt;="&amp;Tabla7[[#This Row],[MES]],INGRESOS!$A:$A,"&lt;="&amp;MIN(TODAY(),EOMONTH(Tabla7[[#This Row],[MES]],0)))</f>
        <v>0</v>
      </c>
      <c r="R35" s="271">
        <f ca="1">SUMIFS(SALIDAS!F:F,SALIDAS!A:A,"&gt;="&amp;Tabla7[[#This Row],[MES]],SALIDAS!A:A,"&lt;="&amp;MIN(TODAY(),EOMONTH(Tabla7[[#This Row],[MES]],0)))</f>
        <v>0</v>
      </c>
      <c r="S35" s="272">
        <f ca="1">SUMIFS(SALIDAS!F:F,SALIDAS!U:U,"COR",SALIDAS!A:A,"&gt;="&amp;Tabla7[[#This Row],[MES]],SALIDAS!A:A,"&lt;="&amp;MIN(TODAY(),EOMONTH(Tabla7[[#This Row],[MES]],0)))</f>
        <v>0</v>
      </c>
      <c r="T35" s="273">
        <f ca="1">Tabla7[[#This Row],[INGRESO MES RECIBIDO NETO]]+Tabla7[[#This Row],[COR]]+Tabla7[[#This Row],[Customer Success]]</f>
        <v>0</v>
      </c>
      <c r="U35" s="388" t="str">
        <f ca="1">+IFERROR(Tabla7[[#This Row],[MARGEN BRUTO]]/Tabla7[[#This Row],[INGRESO MES RECIBIDO NETO]],"null")</f>
        <v>null</v>
      </c>
      <c r="V35" s="274">
        <f ca="1">SUMIFS(SALIDAS!F:F,SALIDAS!U:U,"OPEX",SALIDAS!V:V,Tabla7[[#Headers],[Sales &amp; Marketing]],SALIDAS!A:A,"&gt;="&amp;Tabla7[[#This Row],[MES]],SALIDAS!A:A,"&lt;="&amp;MIN(TODAY(),EOMONTH(Tabla7[[#This Row],[MES]],0)))</f>
        <v>0</v>
      </c>
      <c r="W35" s="272">
        <f ca="1">SUMIFS(SALIDAS!F:F,SALIDAS!U:U,"OPEX",SALIDAS!V:V,Tabla7[[#Headers],[Research &amp; Development]],SALIDAS!A:A,"&gt;="&amp;Tabla7[[#This Row],[MES]],SALIDAS!A:A,"&lt;="&amp;MIN(TODAY(),EOMONTH(Tabla7[[#This Row],[MES]],0)))</f>
        <v>0</v>
      </c>
      <c r="X35" s="272">
        <f ca="1">SUMIFS(SALIDAS!F:F,SALIDAS!U:U,"OPEX",SALIDAS!V:V,Tabla7[[#Headers],[General &amp; Administrative]],SALIDAS!A:A,"&gt;="&amp;Tabla7[[#This Row],[MES]],SALIDAS!A:A,"&lt;="&amp;MIN(TODAY(),EOMONTH(Tabla7[[#This Row],[MES]],0)))</f>
        <v>0</v>
      </c>
      <c r="Y35" s="272">
        <f ca="1">SUMIFS(SALIDAS!F:F,SALIDAS!U:U,"OPEX",SALIDAS!V:V,Tabla7[[#Headers],[Customer Success]],SALIDAS!A:A,"&gt;="&amp;Tabla7[[#This Row],[MES]],SALIDAS!A:A,"&lt;="&amp;MIN(TODAY(),EOMONTH(Tabla7[[#This Row],[MES]],0)))</f>
        <v>0</v>
      </c>
      <c r="Z35" s="271">
        <f ca="1">SUMIFS(SALIDAS!F:F,SALIDAS!U:U,"OPEX",SALIDAS!A:A,"&gt;="&amp;Tabla7[[#This Row],[MES]],SALIDAS!A:A,"&lt;="&amp;MIN(TODAY(),EOMONTH(Tabla7[[#This Row],[MES]],0)))</f>
        <v>0</v>
      </c>
      <c r="AA35" s="275">
        <f ca="1">+Tabla7[[#This Row],[MARGEN BRUTO]]+SUM(Tabla7[[#This Row],[Sales &amp; Marketing]:[General &amp; Administrative]])</f>
        <v>0</v>
      </c>
      <c r="AB35" s="276">
        <f ca="1">ABS(SUMIFS(SALIDAS!F:F,SALIDAS!U:U,"CAPEX",SALIDAS!A:A,"&gt;="&amp;Tabla7[[#This Row],[MES]],SALIDAS!A:A,"&lt;="&amp;MIN(TODAY(),EOMONTH(Tabla7[[#This Row],[MES]],0))))</f>
        <v>0</v>
      </c>
      <c r="AC35" s="81">
        <f ca="1">+Tabla7[[#This Row],[EBITDA]]-Tabla7[[#This Row],[TOTAL CAPEX]]</f>
        <v>0</v>
      </c>
      <c r="AD35" s="275">
        <f ca="1">+Tabla7[[#This Row],[FCF]]</f>
        <v>0</v>
      </c>
      <c r="AE35" s="79">
        <f ca="1">IFERROR(SUMIFS(SALIDAS!F:F,SALIDAS!U:U,"OPEX",SALIDAS!V:V,Tabla7[[#Headers],[Sales &amp; Marketing]],SALIDAS!A:A,"&gt;="&amp;Tabla7[[#This Row],[MES]],SALIDAS!A:A,"&lt;="&amp;MIN(TODAY(),EOMONTH(Tabla7[[#This Row],[MES]],0)))/_xlfn.XLOOKUP(Tabla7[[#This Row],[MES]],'COHORTES INGRESO'!A:A,'COHORTES INGRESO'!C:C),0)</f>
        <v>0</v>
      </c>
      <c r="AF35" s="271">
        <f ca="1">+IFERROR(Tabla7[[#This Row],[COR]]/Tabla711[[#This Row],[NUEVOS CLIENTES TOTAL]],0)</f>
        <v>0</v>
      </c>
      <c r="AG35" s="274">
        <f ca="1">Tabla7[[#This Row],[INGRESO MES RECIBIDO NETO]]+SUMIFS(SALIDAS!F:F,SALIDAS!T:T,"Costo variable",SALIDAS!A:A,"&gt;="&amp;Tabla7[[#This Row],[MES]],SALIDAS!A:A,"&lt;="&amp;MIN(TODAY(),EOMONTH(Tabla7[[#This Row],[MES]],0)))</f>
        <v>0</v>
      </c>
      <c r="AH35" s="79">
        <f ca="1">+IFERROR(AVERAGEIFS(INGRESOS!J:J,INGRESOS!$A:$A,"&gt;="&amp;Tabla7[[#This Row],[MES]],INGRESOS!$A:$A,"&lt;="&amp;MIN(TODAY(),EOMONTH(Tabla7[[#This Row],[MES]],0))),0)</f>
        <v>0</v>
      </c>
    </row>
    <row r="36" spans="1:34">
      <c r="A36" s="58">
        <v>46631</v>
      </c>
      <c r="B36" s="63">
        <f>+Tabla7[[#This Row],[INGRESO MES RECIBIDO]]+Tabla7[[#This Row],[INGRESO PROGRAMADO PEND.]]</f>
        <v>34708</v>
      </c>
      <c r="C36" s="233">
        <f>IFERROR((Tabla7[[#This Row],[INGRESO TOTAL MES]]/B35)-1,"0")</f>
        <v>-0.14184695265174929</v>
      </c>
      <c r="D36" s="63">
        <f>SUMIFS(INGRESOS!G:G,INGRESOS!A:A,"&gt;="&amp;EOMONTH(Tabla7[[#This Row],[MES]],-1)+1,INGRESOS!A:A,"&lt;="&amp;EOMONTH(Tabla7[[#This Row],[MES]],0))</f>
        <v>0</v>
      </c>
      <c r="E36" s="309">
        <f ca="1">COUNTIFS(INGRESOS!$A:$A,"&gt;="&amp;Tabla7[[#This Row],[MES]],INGRESOS!$A:$A,"&lt;="&amp;MIN(TODAY(),EOMONTH(Tabla7[[#This Row],[MES]],0)))</f>
        <v>0</v>
      </c>
      <c r="F36"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v>
      </c>
      <c r="G36" s="79">
        <f>SUMIFS('CALENDARIO INGRESOS'!I:I,'CALENDARIO INGRESOS'!G:G,"&gt;="&amp;EOMONTH(Tabla7[[#This Row],[MES]],-1)+1,'CALENDARIO INGRESOS'!G:G,"&lt;="&amp;EOMONTH(Tabla7[[#This Row],[MES]],0),'CALENDARIO INGRESOS'!L:L, "&lt;&gt;PAGADA",'CALENDARIO INGRESOS'!D:D,"&lt;&gt;ELIMINADO",'CALENDARIO INGRESOS'!D:D,"&lt;&gt;¡REGULARIZAR!")</f>
        <v>34708</v>
      </c>
      <c r="H36"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36" s="341">
        <f ca="1">COUNTIFS('CALENDARIO INGRESOS'!$G:$G,"&gt;="&amp;EOMONTH(Tabla7[[#This Row],[MES]],-1)+1,'CALENDARIO INGRESOS'!$G:$G,"&lt;="&amp;EOMONTH(Tabla7[[#This Row],[MES]],0),'CALENDARIO INGRESOS'!$D:$D,"&lt;&gt;ELIMINADO",'CALENDARIO INGRESOS'!$D:$D,"&lt;&gt;¡REGULARIZAR!",'CALENDARIO INGRESOS'!$L:$L,"&lt;&gt;PAGADA",'CALENDARIO INGRESOS'!$G:$G,"&lt;="&amp;TODAY())</f>
        <v>0</v>
      </c>
      <c r="J36" s="63">
        <f ca="1">SUMIFS('CALENDARIO INGRESOS'!$I:$I,
                   'CALENDARIO INGRESOS'!$G:$G,"&gt;="&amp;EOMONTH(Tabla7[[#This Row],[MES]],-1)+1,
                   'CALENDARIO INGRESOS'!$G:$G,"&lt;="&amp;EOMONTH(Tabla7[[#This Row],[MES]],0),
                   'CALENDARIO INGRESOS'!$L:$L,"&lt;&gt;PAGADA",
                   'CALENDARIO INGRESOS'!$G:$G,"&gt;="&amp;TODAY(),'CALENDARIO INGRESOS'!$D:$D,"&lt;&gt;ELIMINADO",'CALENDARIO INGRESOS'!$D:$D,"&lt;&gt;¡REGULARIZAR!")</f>
        <v>34708</v>
      </c>
      <c r="K36" s="346">
        <f ca="1">COUNTIFS('CALENDARIO INGRESOS'!$G:$G,"&gt;="&amp;EOMONTH(Tabla7[[#This Row],[MES]],-1)+1,'CALENDARIO INGRESOS'!$G:$G,"&lt;="&amp;EOMONTH(Tabla7[[#This Row],[MES]],0),'CALENDARIO INGRESOS'!$D:$D,"&lt;&gt;ELIMINADO",'CALENDARIO INGRESOS'!$D:$D,"&lt;&gt;¡REGULARIZAR!",'CALENDARIO INGRESOS'!$L:$L,"&lt;&gt;PAGADA",'CALENDARIO INGRESOS'!$G:$G,"&gt;="&amp;TODAY())</f>
        <v>41</v>
      </c>
      <c r="L36" s="63">
        <f>SUMIFS('CALENDARIO INGRESOS'!I:I,'CALENDARIO INGRESOS'!G:G,"&gt;="&amp;EOMONTH(Tabla7[[#This Row],[MES]],-1)+1,'CALENDARIO INGRESOS'!G:G,"&lt;="&amp;EOMONTH(Tabla7[[#This Row],[MES]],0),'CALENDARIO INGRESOS'!L:L, "&lt;&gt;PAGADA",'CALENDARIO INGRESOS'!D:D,"¡REGULARIZAR!")</f>
        <v>1450</v>
      </c>
      <c r="M36" s="346">
        <f>COUNTIFS('CALENDARIO INGRESOS'!$G:$G,"&gt;="&amp;EOMONTH(Tabla7[[#This Row],[MES]],-1)+1,'CALENDARIO INGRESOS'!$G:$G,"&lt;="&amp;EOMONTH(Tabla7[[#This Row],[MES]],0),'CALENDARIO INGRESOS'!$D:$D,"¡REGULARIZAR!",'CALENDARIO INGRESOS'!$L:$L,"&lt;&gt;PAGADA")</f>
        <v>2</v>
      </c>
      <c r="N36" s="488">
        <f>SUMIFS('CALENDARIO INGRESOS'!I:I,'CALENDARIO INGRESOS'!G:G,"&gt;="&amp;EOMONTH(Tabla7[[#This Row],[MES]],-1)+1,'CALENDARIO INGRESOS'!G:G,"&lt;="&amp;EOMONTH(Tabla7[[#This Row],[MES]],0),'CALENDARIO INGRESOS'!L:L, "&lt;&gt;PAGADA",'CALENDARIO INGRESOS'!D:D,"ELIMINADO")</f>
        <v>0</v>
      </c>
      <c r="O36" s="184">
        <f>+IFERROR(Tabla7[[#This Row],[INCOBRABLE]]/Tabla7[[#This Row],[INGRESO TOTAL MES]],0)</f>
        <v>0</v>
      </c>
      <c r="P36" s="184">
        <f ca="1">IFERROR(AVERAGEIFS(INGRESOS!I:I,INGRESOS!A:A,"&gt;="&amp;Tabla7[[#This Row],[MES]],INGRESOS!A:A,"&lt;="&amp;MIN(TODAY(),EOMONTH(Tabla7[[#This Row],[MES]],0))),0)</f>
        <v>0</v>
      </c>
      <c r="Q36" s="283">
        <f ca="1">SUMIFS(INGRESOS!$J:$J,INGRESOS!$A:$A,"&gt;="&amp;Tabla7[[#This Row],[MES]],INGRESOS!$A:$A,"&lt;="&amp;MIN(TODAY(),EOMONTH(Tabla7[[#This Row],[MES]],0)))</f>
        <v>0</v>
      </c>
      <c r="R36" s="271">
        <f ca="1">SUMIFS(SALIDAS!F:F,SALIDAS!A:A,"&gt;="&amp;Tabla7[[#This Row],[MES]],SALIDAS!A:A,"&lt;="&amp;MIN(TODAY(),EOMONTH(Tabla7[[#This Row],[MES]],0)))</f>
        <v>0</v>
      </c>
      <c r="S36" s="272">
        <f ca="1">SUMIFS(SALIDAS!F:F,SALIDAS!U:U,"COR",SALIDAS!A:A,"&gt;="&amp;Tabla7[[#This Row],[MES]],SALIDAS!A:A,"&lt;="&amp;MIN(TODAY(),EOMONTH(Tabla7[[#This Row],[MES]],0)))</f>
        <v>0</v>
      </c>
      <c r="T36" s="273">
        <f ca="1">Tabla7[[#This Row],[INGRESO MES RECIBIDO NETO]]+Tabla7[[#This Row],[COR]]+Tabla7[[#This Row],[Customer Success]]</f>
        <v>0</v>
      </c>
      <c r="U36" s="388" t="str">
        <f ca="1">+IFERROR(Tabla7[[#This Row],[MARGEN BRUTO]]/Tabla7[[#This Row],[INGRESO MES RECIBIDO NETO]],"null")</f>
        <v>null</v>
      </c>
      <c r="V36" s="274">
        <f ca="1">SUMIFS(SALIDAS!F:F,SALIDAS!U:U,"OPEX",SALIDAS!V:V,Tabla7[[#Headers],[Sales &amp; Marketing]],SALIDAS!A:A,"&gt;="&amp;Tabla7[[#This Row],[MES]],SALIDAS!A:A,"&lt;="&amp;MIN(TODAY(),EOMONTH(Tabla7[[#This Row],[MES]],0)))</f>
        <v>0</v>
      </c>
      <c r="W36" s="272">
        <f ca="1">SUMIFS(SALIDAS!F:F,SALIDAS!U:U,"OPEX",SALIDAS!V:V,Tabla7[[#Headers],[Research &amp; Development]],SALIDAS!A:A,"&gt;="&amp;Tabla7[[#This Row],[MES]],SALIDAS!A:A,"&lt;="&amp;MIN(TODAY(),EOMONTH(Tabla7[[#This Row],[MES]],0)))</f>
        <v>0</v>
      </c>
      <c r="X36" s="272">
        <f ca="1">SUMIFS(SALIDAS!F:F,SALIDAS!U:U,"OPEX",SALIDAS!V:V,Tabla7[[#Headers],[General &amp; Administrative]],SALIDAS!A:A,"&gt;="&amp;Tabla7[[#This Row],[MES]],SALIDAS!A:A,"&lt;="&amp;MIN(TODAY(),EOMONTH(Tabla7[[#This Row],[MES]],0)))</f>
        <v>0</v>
      </c>
      <c r="Y36" s="272">
        <f ca="1">SUMIFS(SALIDAS!F:F,SALIDAS!U:U,"OPEX",SALIDAS!V:V,Tabla7[[#Headers],[Customer Success]],SALIDAS!A:A,"&gt;="&amp;Tabla7[[#This Row],[MES]],SALIDAS!A:A,"&lt;="&amp;MIN(TODAY(),EOMONTH(Tabla7[[#This Row],[MES]],0)))</f>
        <v>0</v>
      </c>
      <c r="Z36" s="271">
        <f ca="1">SUMIFS(SALIDAS!F:F,SALIDAS!U:U,"OPEX",SALIDAS!A:A,"&gt;="&amp;Tabla7[[#This Row],[MES]],SALIDAS!A:A,"&lt;="&amp;MIN(TODAY(),EOMONTH(Tabla7[[#This Row],[MES]],0)))</f>
        <v>0</v>
      </c>
      <c r="AA36" s="275">
        <f ca="1">+Tabla7[[#This Row],[MARGEN BRUTO]]+SUM(Tabla7[[#This Row],[Sales &amp; Marketing]:[General &amp; Administrative]])</f>
        <v>0</v>
      </c>
      <c r="AB36" s="276">
        <f ca="1">ABS(SUMIFS(SALIDAS!F:F,SALIDAS!U:U,"CAPEX",SALIDAS!A:A,"&gt;="&amp;Tabla7[[#This Row],[MES]],SALIDAS!A:A,"&lt;="&amp;MIN(TODAY(),EOMONTH(Tabla7[[#This Row],[MES]],0))))</f>
        <v>0</v>
      </c>
      <c r="AC36" s="81">
        <f ca="1">+Tabla7[[#This Row],[EBITDA]]-Tabla7[[#This Row],[TOTAL CAPEX]]</f>
        <v>0</v>
      </c>
      <c r="AD36" s="275">
        <f ca="1">+Tabla7[[#This Row],[FCF]]</f>
        <v>0</v>
      </c>
      <c r="AE36" s="79">
        <f ca="1">IFERROR(SUMIFS(SALIDAS!F:F,SALIDAS!U:U,"OPEX",SALIDAS!V:V,Tabla7[[#Headers],[Sales &amp; Marketing]],SALIDAS!A:A,"&gt;="&amp;Tabla7[[#This Row],[MES]],SALIDAS!A:A,"&lt;="&amp;MIN(TODAY(),EOMONTH(Tabla7[[#This Row],[MES]],0)))/_xlfn.XLOOKUP(Tabla7[[#This Row],[MES]],'COHORTES INGRESO'!A:A,'COHORTES INGRESO'!C:C),0)</f>
        <v>0</v>
      </c>
      <c r="AF36" s="271">
        <f ca="1">+IFERROR(Tabla7[[#This Row],[COR]]/Tabla711[[#This Row],[NUEVOS CLIENTES TOTAL]],0)</f>
        <v>0</v>
      </c>
      <c r="AG36" s="274">
        <f ca="1">Tabla7[[#This Row],[INGRESO MES RECIBIDO NETO]]+SUMIFS(SALIDAS!F:F,SALIDAS!T:T,"Costo variable",SALIDAS!A:A,"&gt;="&amp;Tabla7[[#This Row],[MES]],SALIDAS!A:A,"&lt;="&amp;MIN(TODAY(),EOMONTH(Tabla7[[#This Row],[MES]],0)))</f>
        <v>0</v>
      </c>
      <c r="AH36" s="79">
        <f ca="1">+IFERROR(AVERAGEIFS(INGRESOS!J:J,INGRESOS!$A:$A,"&gt;="&amp;Tabla7[[#This Row],[MES]],INGRESOS!$A:$A,"&lt;="&amp;MIN(TODAY(),EOMONTH(Tabla7[[#This Row],[MES]],0))),0)</f>
        <v>0</v>
      </c>
    </row>
    <row r="37" spans="1:34">
      <c r="A37" s="24">
        <v>46661</v>
      </c>
      <c r="B37" s="63">
        <f>+Tabla7[[#This Row],[INGRESO MES RECIBIDO]]+Tabla7[[#This Row],[INGRESO PROGRAMADO PEND.]]</f>
        <v>30808</v>
      </c>
      <c r="C37" s="233">
        <f>IFERROR((Tabla7[[#This Row],[INGRESO TOTAL MES]]/B36)-1,"0")</f>
        <v>-0.11236602512389071</v>
      </c>
      <c r="D37" s="63">
        <f>SUMIFS(INGRESOS!G:G,INGRESOS!A:A,"&gt;="&amp;EOMONTH(Tabla7[[#This Row],[MES]],-1)+1,INGRESOS!A:A,"&lt;="&amp;EOMONTH(Tabla7[[#This Row],[MES]],0))</f>
        <v>0</v>
      </c>
      <c r="E37" s="309">
        <f ca="1">COUNTIFS(INGRESOS!$A:$A,"&gt;="&amp;Tabla7[[#This Row],[MES]],INGRESOS!$A:$A,"&lt;="&amp;MIN(TODAY(),EOMONTH(Tabla7[[#This Row],[MES]],0)))</f>
        <v>0</v>
      </c>
      <c r="F37"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v>
      </c>
      <c r="G37" s="79">
        <f>SUMIFS('CALENDARIO INGRESOS'!I:I,'CALENDARIO INGRESOS'!G:G,"&gt;="&amp;EOMONTH(Tabla7[[#This Row],[MES]],-1)+1,'CALENDARIO INGRESOS'!G:G,"&lt;="&amp;EOMONTH(Tabla7[[#This Row],[MES]],0),'CALENDARIO INGRESOS'!L:L, "&lt;&gt;PAGADA",'CALENDARIO INGRESOS'!D:D,"&lt;&gt;ELIMINADO",'CALENDARIO INGRESOS'!D:D,"&lt;&gt;¡REGULARIZAR!")</f>
        <v>30808</v>
      </c>
      <c r="H37"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37" s="341">
        <f ca="1">COUNTIFS('CALENDARIO INGRESOS'!$G:$G,"&gt;="&amp;EOMONTH(Tabla7[[#This Row],[MES]],-1)+1,'CALENDARIO INGRESOS'!$G:$G,"&lt;="&amp;EOMONTH(Tabla7[[#This Row],[MES]],0),'CALENDARIO INGRESOS'!$D:$D,"&lt;&gt;ELIMINADO",'CALENDARIO INGRESOS'!$D:$D,"&lt;&gt;¡REGULARIZAR!",'CALENDARIO INGRESOS'!$L:$L,"&lt;&gt;PAGADA",'CALENDARIO INGRESOS'!$G:$G,"&lt;="&amp;TODAY())</f>
        <v>0</v>
      </c>
      <c r="J37" s="63">
        <f ca="1">SUMIFS('CALENDARIO INGRESOS'!$I:$I,
                   'CALENDARIO INGRESOS'!$G:$G,"&gt;="&amp;EOMONTH(Tabla7[[#This Row],[MES]],-1)+1,
                   'CALENDARIO INGRESOS'!$G:$G,"&lt;="&amp;EOMONTH(Tabla7[[#This Row],[MES]],0),
                   'CALENDARIO INGRESOS'!$L:$L,"&lt;&gt;PAGADA",
                   'CALENDARIO INGRESOS'!$G:$G,"&gt;="&amp;TODAY(),'CALENDARIO INGRESOS'!$D:$D,"&lt;&gt;ELIMINADO",'CALENDARIO INGRESOS'!$D:$D,"&lt;&gt;¡REGULARIZAR!")</f>
        <v>30808</v>
      </c>
      <c r="K37" s="346">
        <f ca="1">COUNTIFS('CALENDARIO INGRESOS'!$G:$G,"&gt;="&amp;EOMONTH(Tabla7[[#This Row],[MES]],-1)+1,'CALENDARIO INGRESOS'!$G:$G,"&lt;="&amp;EOMONTH(Tabla7[[#This Row],[MES]],0),'CALENDARIO INGRESOS'!$D:$D,"&lt;&gt;ELIMINADO",'CALENDARIO INGRESOS'!$D:$D,"&lt;&gt;¡REGULARIZAR!",'CALENDARIO INGRESOS'!$L:$L,"&lt;&gt;PAGADA",'CALENDARIO INGRESOS'!$G:$G,"&gt;="&amp;TODAY())</f>
        <v>36</v>
      </c>
      <c r="L37" s="63">
        <f>SUMIFS('CALENDARIO INGRESOS'!I:I,'CALENDARIO INGRESOS'!G:G,"&gt;="&amp;EOMONTH(Tabla7[[#This Row],[MES]],-1)+1,'CALENDARIO INGRESOS'!G:G,"&lt;="&amp;EOMONTH(Tabla7[[#This Row],[MES]],0),'CALENDARIO INGRESOS'!L:L, "&lt;&gt;PAGADA",'CALENDARIO INGRESOS'!D:D,"¡REGULARIZAR!")</f>
        <v>1450</v>
      </c>
      <c r="M37" s="346">
        <f>COUNTIFS('CALENDARIO INGRESOS'!$G:$G,"&gt;="&amp;EOMONTH(Tabla7[[#This Row],[MES]],-1)+1,'CALENDARIO INGRESOS'!$G:$G,"&lt;="&amp;EOMONTH(Tabla7[[#This Row],[MES]],0),'CALENDARIO INGRESOS'!$D:$D,"¡REGULARIZAR!",'CALENDARIO INGRESOS'!$L:$L,"&lt;&gt;PAGADA")</f>
        <v>2</v>
      </c>
      <c r="N37" s="488">
        <f>SUMIFS('CALENDARIO INGRESOS'!I:I,'CALENDARIO INGRESOS'!G:G,"&gt;="&amp;EOMONTH(Tabla7[[#This Row],[MES]],-1)+1,'CALENDARIO INGRESOS'!G:G,"&lt;="&amp;EOMONTH(Tabla7[[#This Row],[MES]],0),'CALENDARIO INGRESOS'!L:L, "&lt;&gt;PAGADA",'CALENDARIO INGRESOS'!D:D,"ELIMINADO")</f>
        <v>0</v>
      </c>
      <c r="O37" s="184">
        <f>+IFERROR(Tabla7[[#This Row],[INCOBRABLE]]/Tabla7[[#This Row],[INGRESO TOTAL MES]],0)</f>
        <v>0</v>
      </c>
      <c r="P37" s="184">
        <f ca="1">IFERROR(AVERAGEIFS(INGRESOS!I:I,INGRESOS!A:A,"&gt;="&amp;Tabla7[[#This Row],[MES]],INGRESOS!A:A,"&lt;="&amp;MIN(TODAY(),EOMONTH(Tabla7[[#This Row],[MES]],0))),0)</f>
        <v>0</v>
      </c>
      <c r="Q37" s="283">
        <f ca="1">SUMIFS(INGRESOS!$J:$J,INGRESOS!$A:$A,"&gt;="&amp;Tabla7[[#This Row],[MES]],INGRESOS!$A:$A,"&lt;="&amp;MIN(TODAY(),EOMONTH(Tabla7[[#This Row],[MES]],0)))</f>
        <v>0</v>
      </c>
      <c r="R37" s="271">
        <f ca="1">SUMIFS(SALIDAS!F:F,SALIDAS!A:A,"&gt;="&amp;Tabla7[[#This Row],[MES]],SALIDAS!A:A,"&lt;="&amp;MIN(TODAY(),EOMONTH(Tabla7[[#This Row],[MES]],0)))</f>
        <v>0</v>
      </c>
      <c r="S37" s="272">
        <f ca="1">SUMIFS(SALIDAS!F:F,SALIDAS!U:U,"COR",SALIDAS!A:A,"&gt;="&amp;Tabla7[[#This Row],[MES]],SALIDAS!A:A,"&lt;="&amp;MIN(TODAY(),EOMONTH(Tabla7[[#This Row],[MES]],0)))</f>
        <v>0</v>
      </c>
      <c r="T37" s="273">
        <f ca="1">Tabla7[[#This Row],[INGRESO MES RECIBIDO NETO]]+Tabla7[[#This Row],[COR]]+Tabla7[[#This Row],[Customer Success]]</f>
        <v>0</v>
      </c>
      <c r="U37" s="388" t="str">
        <f ca="1">+IFERROR(Tabla7[[#This Row],[MARGEN BRUTO]]/Tabla7[[#This Row],[INGRESO MES RECIBIDO NETO]],"null")</f>
        <v>null</v>
      </c>
      <c r="V37" s="274">
        <f ca="1">SUMIFS(SALIDAS!F:F,SALIDAS!U:U,"OPEX",SALIDAS!V:V,Tabla7[[#Headers],[Sales &amp; Marketing]],SALIDAS!A:A,"&gt;="&amp;Tabla7[[#This Row],[MES]],SALIDAS!A:A,"&lt;="&amp;MIN(TODAY(),EOMONTH(Tabla7[[#This Row],[MES]],0)))</f>
        <v>0</v>
      </c>
      <c r="W37" s="272">
        <f ca="1">SUMIFS(SALIDAS!F:F,SALIDAS!U:U,"OPEX",SALIDAS!V:V,Tabla7[[#Headers],[Research &amp; Development]],SALIDAS!A:A,"&gt;="&amp;Tabla7[[#This Row],[MES]],SALIDAS!A:A,"&lt;="&amp;MIN(TODAY(),EOMONTH(Tabla7[[#This Row],[MES]],0)))</f>
        <v>0</v>
      </c>
      <c r="X37" s="272">
        <f ca="1">SUMIFS(SALIDAS!F:F,SALIDAS!U:U,"OPEX",SALIDAS!V:V,Tabla7[[#Headers],[General &amp; Administrative]],SALIDAS!A:A,"&gt;="&amp;Tabla7[[#This Row],[MES]],SALIDAS!A:A,"&lt;="&amp;MIN(TODAY(),EOMONTH(Tabla7[[#This Row],[MES]],0)))</f>
        <v>0</v>
      </c>
      <c r="Y37" s="272">
        <f ca="1">SUMIFS(SALIDAS!F:F,SALIDAS!U:U,"OPEX",SALIDAS!V:V,Tabla7[[#Headers],[Customer Success]],SALIDAS!A:A,"&gt;="&amp;Tabla7[[#This Row],[MES]],SALIDAS!A:A,"&lt;="&amp;MIN(TODAY(),EOMONTH(Tabla7[[#This Row],[MES]],0)))</f>
        <v>0</v>
      </c>
      <c r="Z37" s="271">
        <f ca="1">SUMIFS(SALIDAS!F:F,SALIDAS!U:U,"OPEX",SALIDAS!A:A,"&gt;="&amp;Tabla7[[#This Row],[MES]],SALIDAS!A:A,"&lt;="&amp;MIN(TODAY(),EOMONTH(Tabla7[[#This Row],[MES]],0)))</f>
        <v>0</v>
      </c>
      <c r="AA37" s="275">
        <f ca="1">+Tabla7[[#This Row],[MARGEN BRUTO]]+SUM(Tabla7[[#This Row],[Sales &amp; Marketing]:[General &amp; Administrative]])</f>
        <v>0</v>
      </c>
      <c r="AB37" s="276">
        <f ca="1">ABS(SUMIFS(SALIDAS!F:F,SALIDAS!U:U,"CAPEX",SALIDAS!A:A,"&gt;="&amp;Tabla7[[#This Row],[MES]],SALIDAS!A:A,"&lt;="&amp;MIN(TODAY(),EOMONTH(Tabla7[[#This Row],[MES]],0))))</f>
        <v>0</v>
      </c>
      <c r="AC37" s="81">
        <f ca="1">+Tabla7[[#This Row],[EBITDA]]-Tabla7[[#This Row],[TOTAL CAPEX]]</f>
        <v>0</v>
      </c>
      <c r="AD37" s="275">
        <f ca="1">+Tabla7[[#This Row],[FCF]]</f>
        <v>0</v>
      </c>
      <c r="AE37" s="79">
        <f ca="1">IFERROR(SUMIFS(SALIDAS!F:F,SALIDAS!U:U,"OPEX",SALIDAS!V:V,Tabla7[[#Headers],[Sales &amp; Marketing]],SALIDAS!A:A,"&gt;="&amp;Tabla7[[#This Row],[MES]],SALIDAS!A:A,"&lt;="&amp;MIN(TODAY(),EOMONTH(Tabla7[[#This Row],[MES]],0)))/_xlfn.XLOOKUP(Tabla7[[#This Row],[MES]],'COHORTES INGRESO'!A:A,'COHORTES INGRESO'!C:C),0)</f>
        <v>0</v>
      </c>
      <c r="AF37" s="271">
        <f ca="1">+IFERROR(Tabla7[[#This Row],[COR]]/Tabla711[[#This Row],[NUEVOS CLIENTES TOTAL]],0)</f>
        <v>0</v>
      </c>
      <c r="AG37" s="274">
        <f ca="1">Tabla7[[#This Row],[INGRESO MES RECIBIDO NETO]]+SUMIFS(SALIDAS!F:F,SALIDAS!T:T,"Costo variable",SALIDAS!A:A,"&gt;="&amp;Tabla7[[#This Row],[MES]],SALIDAS!A:A,"&lt;="&amp;MIN(TODAY(),EOMONTH(Tabla7[[#This Row],[MES]],0)))</f>
        <v>0</v>
      </c>
      <c r="AH37" s="79">
        <f ca="1">+IFERROR(AVERAGEIFS(INGRESOS!J:J,INGRESOS!$A:$A,"&gt;="&amp;Tabla7[[#This Row],[MES]],INGRESOS!$A:$A,"&lt;="&amp;MIN(TODAY(),EOMONTH(Tabla7[[#This Row],[MES]],0))),0)</f>
        <v>0</v>
      </c>
    </row>
    <row r="38" spans="1:34">
      <c r="A38" s="58">
        <v>46692</v>
      </c>
      <c r="B38" s="63">
        <f>+Tabla7[[#This Row],[INGRESO MES RECIBIDO]]+Tabla7[[#This Row],[INGRESO PROGRAMADO PEND.]]</f>
        <v>31408</v>
      </c>
      <c r="C38" s="233">
        <f>IFERROR((Tabla7[[#This Row],[INGRESO TOTAL MES]]/B37)-1,"0")</f>
        <v>1.9475460919241794E-2</v>
      </c>
      <c r="D38" s="63">
        <f>SUMIFS(INGRESOS!G:G,INGRESOS!A:A,"&gt;="&amp;EOMONTH(Tabla7[[#This Row],[MES]],-1)+1,INGRESOS!A:A,"&lt;="&amp;EOMONTH(Tabla7[[#This Row],[MES]],0))</f>
        <v>0</v>
      </c>
      <c r="E38" s="309">
        <f ca="1">COUNTIFS(INGRESOS!$A:$A,"&gt;="&amp;Tabla7[[#This Row],[MES]],INGRESOS!$A:$A,"&lt;="&amp;MIN(TODAY(),EOMONTH(Tabla7[[#This Row],[MES]],0)))</f>
        <v>0</v>
      </c>
      <c r="F38" s="483">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v>
      </c>
      <c r="G38" s="79">
        <f>SUMIFS('CALENDARIO INGRESOS'!I:I,'CALENDARIO INGRESOS'!G:G,"&gt;="&amp;EOMONTH(Tabla7[[#This Row],[MES]],-1)+1,'CALENDARIO INGRESOS'!G:G,"&lt;="&amp;EOMONTH(Tabla7[[#This Row],[MES]],0),'CALENDARIO INGRESOS'!L:L, "&lt;&gt;PAGADA",'CALENDARIO INGRESOS'!D:D,"&lt;&gt;ELIMINADO",'CALENDARIO INGRESOS'!D:D,"&lt;&gt;¡REGULARIZAR!")</f>
        <v>31408</v>
      </c>
      <c r="H38" s="63">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38" s="341">
        <f ca="1">COUNTIFS('CALENDARIO INGRESOS'!$G:$G,"&gt;="&amp;EOMONTH(Tabla7[[#This Row],[MES]],-1)+1,'CALENDARIO INGRESOS'!$G:$G,"&lt;="&amp;EOMONTH(Tabla7[[#This Row],[MES]],0),'CALENDARIO INGRESOS'!$D:$D,"&lt;&gt;ELIMINADO",'CALENDARIO INGRESOS'!$D:$D,"&lt;&gt;¡REGULARIZAR!",'CALENDARIO INGRESOS'!$L:$L,"&lt;&gt;PAGADA",'CALENDARIO INGRESOS'!$G:$G,"&lt;="&amp;TODAY())</f>
        <v>0</v>
      </c>
      <c r="J38" s="63">
        <f ca="1">SUMIFS('CALENDARIO INGRESOS'!$I:$I,
                   'CALENDARIO INGRESOS'!$G:$G,"&gt;="&amp;EOMONTH(Tabla7[[#This Row],[MES]],-1)+1,
                   'CALENDARIO INGRESOS'!$G:$G,"&lt;="&amp;EOMONTH(Tabla7[[#This Row],[MES]],0),
                   'CALENDARIO INGRESOS'!$L:$L,"&lt;&gt;PAGADA",
                   'CALENDARIO INGRESOS'!$G:$G,"&gt;="&amp;TODAY(),'CALENDARIO INGRESOS'!$D:$D,"&lt;&gt;ELIMINADO",'CALENDARIO INGRESOS'!$D:$D,"&lt;&gt;¡REGULARIZAR!")</f>
        <v>31408</v>
      </c>
      <c r="K38" s="346">
        <f ca="1">COUNTIFS('CALENDARIO INGRESOS'!$G:$G,"&gt;="&amp;EOMONTH(Tabla7[[#This Row],[MES]],-1)+1,'CALENDARIO INGRESOS'!$G:$G,"&lt;="&amp;EOMONTH(Tabla7[[#This Row],[MES]],0),'CALENDARIO INGRESOS'!$D:$D,"&lt;&gt;ELIMINADO",'CALENDARIO INGRESOS'!$D:$D,"&lt;&gt;¡REGULARIZAR!",'CALENDARIO INGRESOS'!$L:$L,"&lt;&gt;PAGADA",'CALENDARIO INGRESOS'!$G:$G,"&gt;="&amp;TODAY())</f>
        <v>37</v>
      </c>
      <c r="L38" s="63">
        <f>SUMIFS('CALENDARIO INGRESOS'!I:I,'CALENDARIO INGRESOS'!G:G,"&gt;="&amp;EOMONTH(Tabla7[[#This Row],[MES]],-1)+1,'CALENDARIO INGRESOS'!G:G,"&lt;="&amp;EOMONTH(Tabla7[[#This Row],[MES]],0),'CALENDARIO INGRESOS'!L:L, "&lt;&gt;PAGADA",'CALENDARIO INGRESOS'!D:D,"¡REGULARIZAR!")</f>
        <v>1450</v>
      </c>
      <c r="M38" s="346">
        <f>COUNTIFS('CALENDARIO INGRESOS'!$G:$G,"&gt;="&amp;EOMONTH(Tabla7[[#This Row],[MES]],-1)+1,'CALENDARIO INGRESOS'!$G:$G,"&lt;="&amp;EOMONTH(Tabla7[[#This Row],[MES]],0),'CALENDARIO INGRESOS'!$D:$D,"¡REGULARIZAR!",'CALENDARIO INGRESOS'!$L:$L,"&lt;&gt;PAGADA")</f>
        <v>2</v>
      </c>
      <c r="N38" s="488">
        <f>SUMIFS('CALENDARIO INGRESOS'!I:I,'CALENDARIO INGRESOS'!G:G,"&gt;="&amp;EOMONTH(Tabla7[[#This Row],[MES]],-1)+1,'CALENDARIO INGRESOS'!G:G,"&lt;="&amp;EOMONTH(Tabla7[[#This Row],[MES]],0),'CALENDARIO INGRESOS'!L:L, "&lt;&gt;PAGADA",'CALENDARIO INGRESOS'!D:D,"ELIMINADO")</f>
        <v>0</v>
      </c>
      <c r="O38" s="184">
        <f>+IFERROR(Tabla7[[#This Row],[INCOBRABLE]]/Tabla7[[#This Row],[INGRESO TOTAL MES]],0)</f>
        <v>0</v>
      </c>
      <c r="P38" s="184">
        <f ca="1">IFERROR(AVERAGEIFS(INGRESOS!I:I,INGRESOS!A:A,"&gt;="&amp;Tabla7[[#This Row],[MES]],INGRESOS!A:A,"&lt;="&amp;MIN(TODAY(),EOMONTH(Tabla7[[#This Row],[MES]],0))),0)</f>
        <v>0</v>
      </c>
      <c r="Q38" s="283">
        <f ca="1">SUMIFS(INGRESOS!$J:$J,INGRESOS!$A:$A,"&gt;="&amp;Tabla7[[#This Row],[MES]],INGRESOS!$A:$A,"&lt;="&amp;MIN(TODAY(),EOMONTH(Tabla7[[#This Row],[MES]],0)))</f>
        <v>0</v>
      </c>
      <c r="R38" s="271">
        <f ca="1">SUMIFS(SALIDAS!F:F,SALIDAS!A:A,"&gt;="&amp;Tabla7[[#This Row],[MES]],SALIDAS!A:A,"&lt;="&amp;MIN(TODAY(),EOMONTH(Tabla7[[#This Row],[MES]],0)))</f>
        <v>0</v>
      </c>
      <c r="S38" s="272">
        <f ca="1">SUMIFS(SALIDAS!F:F,SALIDAS!U:U,"COR",SALIDAS!A:A,"&gt;="&amp;Tabla7[[#This Row],[MES]],SALIDAS!A:A,"&lt;="&amp;MIN(TODAY(),EOMONTH(Tabla7[[#This Row],[MES]],0)))</f>
        <v>0</v>
      </c>
      <c r="T38" s="273">
        <f ca="1">Tabla7[[#This Row],[INGRESO MES RECIBIDO NETO]]+Tabla7[[#This Row],[COR]]+Tabla7[[#This Row],[Customer Success]]</f>
        <v>0</v>
      </c>
      <c r="U38" s="388" t="str">
        <f ca="1">+IFERROR(Tabla7[[#This Row],[MARGEN BRUTO]]/Tabla7[[#This Row],[INGRESO MES RECIBIDO NETO]],"null")</f>
        <v>null</v>
      </c>
      <c r="V38" s="274">
        <f ca="1">SUMIFS(SALIDAS!F:F,SALIDAS!U:U,"OPEX",SALIDAS!V:V,Tabla7[[#Headers],[Sales &amp; Marketing]],SALIDAS!A:A,"&gt;="&amp;Tabla7[[#This Row],[MES]],SALIDAS!A:A,"&lt;="&amp;MIN(TODAY(),EOMONTH(Tabla7[[#This Row],[MES]],0)))</f>
        <v>0</v>
      </c>
      <c r="W38" s="272">
        <f ca="1">SUMIFS(SALIDAS!F:F,SALIDAS!U:U,"OPEX",SALIDAS!V:V,Tabla7[[#Headers],[Research &amp; Development]],SALIDAS!A:A,"&gt;="&amp;Tabla7[[#This Row],[MES]],SALIDAS!A:A,"&lt;="&amp;MIN(TODAY(),EOMONTH(Tabla7[[#This Row],[MES]],0)))</f>
        <v>0</v>
      </c>
      <c r="X38" s="272">
        <f ca="1">SUMIFS(SALIDAS!F:F,SALIDAS!U:U,"OPEX",SALIDAS!V:V,Tabla7[[#Headers],[General &amp; Administrative]],SALIDAS!A:A,"&gt;="&amp;Tabla7[[#This Row],[MES]],SALIDAS!A:A,"&lt;="&amp;MIN(TODAY(),EOMONTH(Tabla7[[#This Row],[MES]],0)))</f>
        <v>0</v>
      </c>
      <c r="Y38" s="272">
        <f ca="1">SUMIFS(SALIDAS!F:F,SALIDAS!U:U,"OPEX",SALIDAS!V:V,Tabla7[[#Headers],[Customer Success]],SALIDAS!A:A,"&gt;="&amp;Tabla7[[#This Row],[MES]],SALIDAS!A:A,"&lt;="&amp;MIN(TODAY(),EOMONTH(Tabla7[[#This Row],[MES]],0)))</f>
        <v>0</v>
      </c>
      <c r="Z38" s="271">
        <f ca="1">SUMIFS(SALIDAS!F:F,SALIDAS!U:U,"OPEX",SALIDAS!A:A,"&gt;="&amp;Tabla7[[#This Row],[MES]],SALIDAS!A:A,"&lt;="&amp;MIN(TODAY(),EOMONTH(Tabla7[[#This Row],[MES]],0)))</f>
        <v>0</v>
      </c>
      <c r="AA38" s="275">
        <f ca="1">+Tabla7[[#This Row],[MARGEN BRUTO]]+SUM(Tabla7[[#This Row],[Sales &amp; Marketing]:[General &amp; Administrative]])</f>
        <v>0</v>
      </c>
      <c r="AB38" s="276">
        <f ca="1">ABS(SUMIFS(SALIDAS!F:F,SALIDAS!U:U,"CAPEX",SALIDAS!A:A,"&gt;="&amp;Tabla7[[#This Row],[MES]],SALIDAS!A:A,"&lt;="&amp;MIN(TODAY(),EOMONTH(Tabla7[[#This Row],[MES]],0))))</f>
        <v>0</v>
      </c>
      <c r="AC38" s="81">
        <f ca="1">+Tabla7[[#This Row],[EBITDA]]-Tabla7[[#This Row],[TOTAL CAPEX]]</f>
        <v>0</v>
      </c>
      <c r="AD38" s="275">
        <f ca="1">+Tabla7[[#This Row],[FCF]]</f>
        <v>0</v>
      </c>
      <c r="AE38" s="79">
        <f ca="1">IFERROR(SUMIFS(SALIDAS!F:F,SALIDAS!U:U,"OPEX",SALIDAS!V:V,Tabla7[[#Headers],[Sales &amp; Marketing]],SALIDAS!A:A,"&gt;="&amp;Tabla7[[#This Row],[MES]],SALIDAS!A:A,"&lt;="&amp;MIN(TODAY(),EOMONTH(Tabla7[[#This Row],[MES]],0)))/_xlfn.XLOOKUP(Tabla7[[#This Row],[MES]],'COHORTES INGRESO'!A:A,'COHORTES INGRESO'!C:C),0)</f>
        <v>0</v>
      </c>
      <c r="AF38" s="271">
        <f ca="1">+IFERROR(Tabla7[[#This Row],[COR]]/Tabla711[[#This Row],[NUEVOS CLIENTES TOTAL]],0)</f>
        <v>0</v>
      </c>
      <c r="AG38" s="274">
        <f ca="1">Tabla7[[#This Row],[INGRESO MES RECIBIDO NETO]]+SUMIFS(SALIDAS!F:F,SALIDAS!T:T,"Costo variable",SALIDAS!A:A,"&gt;="&amp;Tabla7[[#This Row],[MES]],SALIDAS!A:A,"&lt;="&amp;MIN(TODAY(),EOMONTH(Tabla7[[#This Row],[MES]],0)))</f>
        <v>0</v>
      </c>
      <c r="AH38" s="79">
        <f ca="1">+IFERROR(AVERAGEIFS(INGRESOS!J:J,INGRESOS!$A:$A,"&gt;="&amp;Tabla7[[#This Row],[MES]],INGRESOS!$A:$A,"&lt;="&amp;MIN(TODAY(),EOMONTH(Tabla7[[#This Row],[MES]],0))),0)</f>
        <v>0</v>
      </c>
    </row>
    <row r="39" spans="1:34" ht="16" thickBot="1">
      <c r="A39" s="24">
        <v>46722</v>
      </c>
      <c r="B39" s="63">
        <f>+Tabla7[[#This Row],[INGRESO MES RECIBIDO]]+Tabla7[[#This Row],[INGRESO PROGRAMADO PEND.]]</f>
        <v>34008</v>
      </c>
      <c r="C39" s="233">
        <f>IFERROR((Tabla7[[#This Row],[INGRESO TOTAL MES]]/B38)-1,"0")</f>
        <v>8.2781456953642474E-2</v>
      </c>
      <c r="D39" s="63">
        <f>SUMIFS(INGRESOS!G:G,INGRESOS!A:A,"&gt;="&amp;EOMONTH(Tabla7[[#This Row],[MES]],-1)+1,INGRESOS!A:A,"&lt;="&amp;EOMONTH(Tabla7[[#This Row],[MES]],0))</f>
        <v>0</v>
      </c>
      <c r="E39" s="309">
        <f ca="1">COUNTIFS(INGRESOS!$A:$A,"&gt;="&amp;Tabla7[[#This Row],[MES]],INGRESOS!$A:$A,"&lt;="&amp;MIN(TODAY(),EOMONTH(Tabla7[[#This Row],[MES]],0)))</f>
        <v>0</v>
      </c>
      <c r="F39" s="484">
        <f>SUMIFS('CALENDARIO INGRESOS'!I:I,'CALENDARIO INGRESOS'!G:G,"&gt;="&amp;EOMONTH(Tabla7[[#This Row],[MES]],-1)+1,'CALENDARIO INGRESOS'!G:G,"&lt;="&amp;EOMONTH(Tabla7[[#This Row],[MES]],0),'CALENDARIO INGRESOS'!L:L,"PAGADA")/SUMIFS('CALENDARIO INGRESOS'!I:I,'CALENDARIO INGRESOS'!G:G,"&gt;="&amp;EOMONTH(Tabla7[[#This Row],[MES]],-1)+1,'CALENDARIO INGRESOS'!G:G,"&lt;="&amp;EOMONTH(Tabla7[[#This Row],[MES]],0))</f>
        <v>0</v>
      </c>
      <c r="G39" s="79">
        <f>SUMIFS('CALENDARIO INGRESOS'!I:I,'CALENDARIO INGRESOS'!G:G,"&gt;="&amp;EOMONTH(Tabla7[[#This Row],[MES]],-1)+1,'CALENDARIO INGRESOS'!G:G,"&lt;="&amp;EOMONTH(Tabla7[[#This Row],[MES]],0),'CALENDARIO INGRESOS'!L:L, "&lt;&gt;PAGADA",'CALENDARIO INGRESOS'!D:D,"&lt;&gt;ELIMINADO",'CALENDARIO INGRESOS'!D:D,"&lt;&gt;¡REGULARIZAR!")</f>
        <v>34008</v>
      </c>
      <c r="H39" s="344">
        <f ca="1">SUMIFS('CALENDARIO INGRESOS'!$I:$I,
                   'CALENDARIO INGRESOS'!$G:$G,"&gt;="&amp;EOMONTH(Tabla7[[#This Row],[MES]],-1)+1,
                   'CALENDARIO INGRESOS'!$G:$G,"&lt;="&amp;EOMONTH(Tabla7[[#This Row],[MES]],0),
                   'CALENDARIO INGRESOS'!$L:$L,"&lt;&gt;PAGADA",
                   'CALENDARIO INGRESOS'!$G:$G,"&lt;="&amp;TODAY(),'CALENDARIO INGRESOS'!D:D,"&lt;&gt;¡REGULARIZAR!",'CALENDARIO INGRESOS'!D:D,"&lt;&gt;ELIMINADO")</f>
        <v>0</v>
      </c>
      <c r="I39" s="345">
        <f ca="1">COUNTIFS('CALENDARIO INGRESOS'!$G:$G,"&gt;="&amp;EOMONTH(Tabla7[[#This Row],[MES]],-1)+1,'CALENDARIO INGRESOS'!$G:$G,"&lt;="&amp;EOMONTH(Tabla7[[#This Row],[MES]],0),'CALENDARIO INGRESOS'!$D:$D,"&lt;&gt;ELIMINADO",'CALENDARIO INGRESOS'!$D:$D,"&lt;&gt;¡REGULARIZAR!",'CALENDARIO INGRESOS'!$L:$L,"&lt;&gt;PAGADA",'CALENDARIO INGRESOS'!$G:$G,"&lt;="&amp;TODAY())</f>
        <v>0</v>
      </c>
      <c r="J39" s="344">
        <f ca="1">SUMIFS('CALENDARIO INGRESOS'!$I:$I,
                   'CALENDARIO INGRESOS'!$G:$G,"&gt;="&amp;EOMONTH(Tabla7[[#This Row],[MES]],-1)+1,
                   'CALENDARIO INGRESOS'!$G:$G,"&lt;="&amp;EOMONTH(Tabla7[[#This Row],[MES]],0),
                   'CALENDARIO INGRESOS'!$L:$L,"&lt;&gt;PAGADA",
                   'CALENDARIO INGRESOS'!$G:$G,"&gt;="&amp;TODAY(),'CALENDARIO INGRESOS'!$D:$D,"&lt;&gt;ELIMINADO",'CALENDARIO INGRESOS'!$D:$D,"&lt;&gt;¡REGULARIZAR!")</f>
        <v>34008</v>
      </c>
      <c r="K39" s="348">
        <f ca="1">COUNTIFS('CALENDARIO INGRESOS'!$G:$G,"&gt;="&amp;EOMONTH(Tabla7[[#This Row],[MES]],-1)+1,'CALENDARIO INGRESOS'!$G:$G,"&lt;="&amp;EOMONTH(Tabla7[[#This Row],[MES]],0),'CALENDARIO INGRESOS'!$D:$D,"&lt;&gt;ELIMINADO",'CALENDARIO INGRESOS'!$D:$D,"&lt;&gt;¡REGULARIZAR!",'CALENDARIO INGRESOS'!$L:$L,"&lt;&gt;PAGADA",'CALENDARIO INGRESOS'!$G:$G,"&gt;="&amp;TODAY())</f>
        <v>37</v>
      </c>
      <c r="L39" s="344">
        <f>SUMIFS('CALENDARIO INGRESOS'!I:I,'CALENDARIO INGRESOS'!G:G,"&gt;="&amp;EOMONTH(Tabla7[[#This Row],[MES]],-1)+1,'CALENDARIO INGRESOS'!G:G,"&lt;="&amp;EOMONTH(Tabla7[[#This Row],[MES]],0),'CALENDARIO INGRESOS'!L:L, "&lt;&gt;PAGADA",'CALENDARIO INGRESOS'!D:D,"¡REGULARIZAR!")</f>
        <v>650</v>
      </c>
      <c r="M39" s="348">
        <f>COUNTIFS('CALENDARIO INGRESOS'!$G:$G,"&gt;="&amp;EOMONTH(Tabla7[[#This Row],[MES]],-1)+1,'CALENDARIO INGRESOS'!$G:$G,"&lt;="&amp;EOMONTH(Tabla7[[#This Row],[MES]],0),'CALENDARIO INGRESOS'!$D:$D,"¡REGULARIZAR!",'CALENDARIO INGRESOS'!$L:$L,"&lt;&gt;PAGADA")</f>
        <v>1</v>
      </c>
      <c r="N39" s="490">
        <f>SUMIFS('CALENDARIO INGRESOS'!I:I,'CALENDARIO INGRESOS'!G:G,"&gt;="&amp;EOMONTH(Tabla7[[#This Row],[MES]],-1)+1,'CALENDARIO INGRESOS'!G:G,"&lt;="&amp;EOMONTH(Tabla7[[#This Row],[MES]],0),'CALENDARIO INGRESOS'!L:L, "&lt;&gt;PAGADA",'CALENDARIO INGRESOS'!D:D,"ELIMINADO")</f>
        <v>0</v>
      </c>
      <c r="O39" s="184">
        <f>+IFERROR(Tabla7[[#This Row],[INCOBRABLE]]/Tabla7[[#This Row],[INGRESO TOTAL MES]],0)</f>
        <v>0</v>
      </c>
      <c r="P39" s="184">
        <f ca="1">IFERROR(AVERAGEIFS(INGRESOS!I:I,INGRESOS!A:A,"&gt;="&amp;Tabla7[[#This Row],[MES]],INGRESOS!A:A,"&lt;="&amp;MIN(TODAY(),EOMONTH(Tabla7[[#This Row],[MES]],0))),0)</f>
        <v>0</v>
      </c>
      <c r="Q39" s="283">
        <f ca="1">SUMIFS(INGRESOS!$J:$J,INGRESOS!$A:$A,"&gt;="&amp;Tabla7[[#This Row],[MES]],INGRESOS!$A:$A,"&lt;="&amp;MIN(TODAY(),EOMONTH(Tabla7[[#This Row],[MES]],0)))</f>
        <v>0</v>
      </c>
      <c r="R39" s="271">
        <f ca="1">SUMIFS(SALIDAS!F:F,SALIDAS!A:A,"&gt;="&amp;Tabla7[[#This Row],[MES]],SALIDAS!A:A,"&lt;="&amp;MIN(TODAY(),EOMONTH(Tabla7[[#This Row],[MES]],0)))</f>
        <v>0</v>
      </c>
      <c r="S39" s="272">
        <f ca="1">SUMIFS(SALIDAS!F:F,SALIDAS!U:U,"COR",SALIDAS!A:A,"&gt;="&amp;Tabla7[[#This Row],[MES]],SALIDAS!A:A,"&lt;="&amp;MIN(TODAY(),EOMONTH(Tabla7[[#This Row],[MES]],0)))</f>
        <v>0</v>
      </c>
      <c r="T39" s="273">
        <f ca="1">Tabla7[[#This Row],[INGRESO MES RECIBIDO NETO]]+Tabla7[[#This Row],[COR]]+Tabla7[[#This Row],[Customer Success]]</f>
        <v>0</v>
      </c>
      <c r="U39" s="394" t="str">
        <f ca="1">+IFERROR(Tabla7[[#This Row],[MARGEN BRUTO]]/Tabla7[[#This Row],[INGRESO MES RECIBIDO NETO]],"null")</f>
        <v>null</v>
      </c>
      <c r="V39" s="277">
        <f ca="1">SUMIFS(SALIDAS!F:F,SALIDAS!U:U,"OPEX",SALIDAS!V:V,Tabla7[[#Headers],[Sales &amp; Marketing]],SALIDAS!A:A,"&gt;="&amp;Tabla7[[#This Row],[MES]],SALIDAS!A:A,"&lt;="&amp;MIN(TODAY(),EOMONTH(Tabla7[[#This Row],[MES]],0)))</f>
        <v>0</v>
      </c>
      <c r="W39" s="278">
        <f ca="1">SUMIFS(SALIDAS!F:F,SALIDAS!U:U,"OPEX",SALIDAS!V:V,Tabla7[[#Headers],[Research &amp; Development]],SALIDAS!A:A,"&gt;="&amp;Tabla7[[#This Row],[MES]],SALIDAS!A:A,"&lt;="&amp;MIN(TODAY(),EOMONTH(Tabla7[[#This Row],[MES]],0)))</f>
        <v>0</v>
      </c>
      <c r="X39" s="278">
        <f ca="1">SUMIFS(SALIDAS!F:F,SALIDAS!U:U,"OPEX",SALIDAS!V:V,Tabla7[[#Headers],[General &amp; Administrative]],SALIDAS!A:A,"&gt;="&amp;Tabla7[[#This Row],[MES]],SALIDAS!A:A,"&lt;="&amp;MIN(TODAY(),EOMONTH(Tabla7[[#This Row],[MES]],0)))</f>
        <v>0</v>
      </c>
      <c r="Y39" s="278">
        <f ca="1">SUMIFS(SALIDAS!F:F,SALIDAS!U:U,"OPEX",SALIDAS!V:V,Tabla7[[#Headers],[Customer Success]],SALIDAS!A:A,"&gt;="&amp;Tabla7[[#This Row],[MES]],SALIDAS!A:A,"&lt;="&amp;MIN(TODAY(),EOMONTH(Tabla7[[#This Row],[MES]],0)))</f>
        <v>0</v>
      </c>
      <c r="Z39" s="307">
        <f ca="1">SUMIFS(SALIDAS!F:F,SALIDAS!U:U,"OPEX",SALIDAS!A:A,"&gt;="&amp;Tabla7[[#This Row],[MES]],SALIDAS!A:A,"&lt;="&amp;MIN(TODAY(),EOMONTH(Tabla7[[#This Row],[MES]],0)))</f>
        <v>0</v>
      </c>
      <c r="AA39" s="275">
        <f ca="1">+Tabla7[[#This Row],[MARGEN BRUTO]]+SUM(Tabla7[[#This Row],[Sales &amp; Marketing]:[General &amp; Administrative]])</f>
        <v>0</v>
      </c>
      <c r="AB39" s="276">
        <f ca="1">ABS(SUMIFS(SALIDAS!F:F,SALIDAS!U:U,"CAPEX",SALIDAS!A:A,"&gt;="&amp;Tabla7[[#This Row],[MES]],SALIDAS!A:A,"&lt;="&amp;MIN(TODAY(),EOMONTH(Tabla7[[#This Row],[MES]],0))))</f>
        <v>0</v>
      </c>
      <c r="AC39" s="81">
        <f ca="1">+Tabla7[[#This Row],[EBITDA]]-Tabla7[[#This Row],[TOTAL CAPEX]]</f>
        <v>0</v>
      </c>
      <c r="AD39" s="275">
        <f ca="1">+Tabla7[[#This Row],[FCF]]</f>
        <v>0</v>
      </c>
      <c r="AE39" s="79">
        <f ca="1">IFERROR(SUMIFS(SALIDAS!F:F,SALIDAS!U:U,"OPEX",SALIDAS!V:V,Tabla7[[#Headers],[Sales &amp; Marketing]],SALIDAS!A:A,"&gt;="&amp;Tabla7[[#This Row],[MES]],SALIDAS!A:A,"&lt;="&amp;MIN(TODAY(),EOMONTH(Tabla7[[#This Row],[MES]],0)))/_xlfn.XLOOKUP(Tabla7[[#This Row],[MES]],'COHORTES INGRESO'!A:A,'COHORTES INGRESO'!C:C),0)</f>
        <v>0</v>
      </c>
      <c r="AF39" s="271">
        <f ca="1">+IFERROR(Tabla7[[#This Row],[COR]]/Tabla711[[#This Row],[NUEVOS CLIENTES TOTAL]],0)</f>
        <v>0</v>
      </c>
      <c r="AG39" s="274">
        <f ca="1">Tabla7[[#This Row],[INGRESO MES RECIBIDO NETO]]+SUMIFS(SALIDAS!F:F,SALIDAS!T:T,"Costo variable",SALIDAS!A:A,"&gt;="&amp;Tabla7[[#This Row],[MES]],SALIDAS!A:A,"&lt;="&amp;MIN(TODAY(),EOMONTH(Tabla7[[#This Row],[MES]],0)))</f>
        <v>0</v>
      </c>
      <c r="AH39" s="79">
        <f ca="1">+IFERROR(AVERAGEIFS(INGRESOS!J:J,INGRESOS!$A:$A,"&gt;="&amp;Tabla7[[#This Row],[MES]],INGRESOS!$A:$A,"&lt;="&amp;MIN(TODAY(),EOMONTH(Tabla7[[#This Row],[MES]],0))),0)</f>
        <v>0</v>
      </c>
    </row>
    <row r="40" spans="1:34">
      <c r="C40" s="67" t="s">
        <v>40</v>
      </c>
    </row>
  </sheetData>
  <phoneticPr fontId="7"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8546C-4430-4304-A7D6-038F496DD37F}">
  <dimension ref="A1:AB1048573"/>
  <sheetViews>
    <sheetView zoomScale="79" zoomScaleNormal="79" workbookViewId="0">
      <pane xSplit="1" ySplit="1" topLeftCell="B183" activePane="bottomRight" state="frozen"/>
      <selection pane="topRight" activeCell="B1" sqref="B1"/>
      <selection pane="bottomLeft" activeCell="A3" sqref="A3"/>
      <selection pane="bottomRight" activeCell="D207" sqref="D207"/>
    </sheetView>
  </sheetViews>
  <sheetFormatPr baseColWidth="10" defaultColWidth="11.5" defaultRowHeight="15"/>
  <cols>
    <col min="1" max="1" width="35.6640625" bestFit="1" customWidth="1"/>
    <col min="2" max="2" width="33.1640625" customWidth="1"/>
    <col min="3" max="3" width="9.5" customWidth="1"/>
    <col min="4" max="4" width="21.6640625" bestFit="1" customWidth="1"/>
    <col min="5" max="6" width="12.5" customWidth="1"/>
    <col min="7" max="7" width="14" style="17" customWidth="1"/>
    <col min="8" max="8" width="13.83203125" style="7" customWidth="1"/>
    <col min="9" max="9" width="11.83203125" style="44" customWidth="1"/>
    <col min="10" max="10" width="13.83203125" style="17" customWidth="1"/>
    <col min="11" max="11" width="14.83203125" style="7" customWidth="1"/>
    <col min="12" max="12" width="8.5" style="7" customWidth="1"/>
    <col min="13" max="13" width="16.33203125" style="7" bestFit="1" customWidth="1"/>
    <col min="14" max="14" width="15.1640625" style="7" customWidth="1"/>
    <col min="15" max="15" width="15.6640625" customWidth="1"/>
    <col min="16" max="16" width="16.5" customWidth="1"/>
    <col min="17" max="17" width="19.5" bestFit="1" customWidth="1"/>
    <col min="18" max="18" width="9.1640625" customWidth="1"/>
    <col min="19" max="20" width="14.1640625" customWidth="1"/>
    <col min="21" max="21" width="13" customWidth="1"/>
    <col min="22" max="22" width="12.5" customWidth="1"/>
    <col min="23" max="23" width="8.1640625" style="251" customWidth="1"/>
    <col min="24" max="24" width="8.83203125" style="61" customWidth="1"/>
    <col min="25" max="25" width="18.5" style="17" bestFit="1" customWidth="1"/>
    <col min="26" max="26" width="12.83203125" style="673" bestFit="1" customWidth="1"/>
    <col min="28" max="28" width="13.5" customWidth="1"/>
  </cols>
  <sheetData>
    <row r="1" spans="1:28" s="187" customFormat="1" ht="22.25" customHeight="1" thickBot="1">
      <c r="A1" s="443" t="s">
        <v>67</v>
      </c>
      <c r="B1" s="444" t="s">
        <v>2098</v>
      </c>
      <c r="C1" s="444" t="s">
        <v>0</v>
      </c>
      <c r="D1" s="444" t="s">
        <v>2099</v>
      </c>
      <c r="E1" s="451" t="s">
        <v>4650</v>
      </c>
      <c r="F1" s="451" t="s">
        <v>6579</v>
      </c>
      <c r="G1" s="445" t="s">
        <v>2100</v>
      </c>
      <c r="H1" s="446" t="s">
        <v>2101</v>
      </c>
      <c r="I1" s="444" t="s">
        <v>2102</v>
      </c>
      <c r="J1" s="445" t="s">
        <v>2103</v>
      </c>
      <c r="K1" s="447" t="s">
        <v>2104</v>
      </c>
      <c r="L1" s="447" t="s">
        <v>2105</v>
      </c>
      <c r="M1" s="448" t="s">
        <v>68</v>
      </c>
      <c r="N1" s="448" t="s">
        <v>2106</v>
      </c>
      <c r="O1" s="446" t="s">
        <v>2107</v>
      </c>
      <c r="P1" s="446" t="s">
        <v>2108</v>
      </c>
      <c r="Q1" s="446" t="s">
        <v>2109</v>
      </c>
      <c r="R1" s="446" t="s">
        <v>72</v>
      </c>
      <c r="S1" s="449" t="s">
        <v>2110</v>
      </c>
      <c r="T1" s="449" t="s">
        <v>4596</v>
      </c>
      <c r="U1" s="449" t="s">
        <v>2111</v>
      </c>
      <c r="V1" s="446" t="s">
        <v>2112</v>
      </c>
      <c r="W1" s="450" t="s">
        <v>2113</v>
      </c>
      <c r="X1" s="451" t="s">
        <v>2114</v>
      </c>
      <c r="Y1" s="445" t="s">
        <v>2115</v>
      </c>
      <c r="Z1" s="651" t="s">
        <v>6048</v>
      </c>
      <c r="AA1" s="652" t="s">
        <v>6049</v>
      </c>
      <c r="AB1" s="650" t="s">
        <v>6050</v>
      </c>
    </row>
    <row r="2" spans="1:28">
      <c r="A2" s="5" t="s">
        <v>2116</v>
      </c>
      <c r="B2" s="1" t="s">
        <v>2117</v>
      </c>
      <c r="C2" s="1" t="s">
        <v>10</v>
      </c>
      <c r="D2" s="1" t="s">
        <v>84</v>
      </c>
      <c r="E2" s="60">
        <v>1814058</v>
      </c>
      <c r="F2" s="60"/>
      <c r="G2" s="18">
        <f>(_xlfn.MINIFS(INGRESOS!A:A,INGRESOS!C:C,Tabla3[[#This Row],[CORREO]]))</f>
        <v>45658</v>
      </c>
      <c r="H2" s="3">
        <f>+SUMIFS(INGRESOS!J:J,INGRESOS!D:D,Tabla3[[#This Row],[ID STRIPE]],INGRESOS!A:A,"&gt;="&amp;DATE(YEAR(Tabla3[[#This Row],[FECHA INGRESO]]),MONTH(Tabla3[[#This Row],[FECHA INGRESO]]),1),INGRESOS!A:A,"&lt;="&amp;DATE(YEAR(Tabla3[[#This Row],[FECHA INGRESO]]),MONTH(Tabla3[[#This Row],[FECHA INGRESO]])+1,0))</f>
        <v>2985</v>
      </c>
      <c r="I2" s="286">
        <f ca="1">DATEDIF(Tabla3[[#This Row],[FECHA INGRESO]],IF(OR(Tabla3[[#This Row],[ESTADO]]="OK",Tabla3[[#This Row],[ESTADO]]="¡REGULARIZAR!")=TRUE,TODAY(),IF(Tabla3[[#This Row],[ULTIMO PAGO]]="",TODAY(),Tabla3[[#This Row],[ULTIMO PAGO]])),"m")</f>
        <v>14</v>
      </c>
      <c r="J2" s="18">
        <f>(_xlfn.MAXIFS(INGRESOS!A:A,INGRESOS!C:C,Tabla3[[#This Row],[CORREO]]))</f>
        <v>46081</v>
      </c>
      <c r="K2" s="7">
        <f ca="1">+IFERROR(Tabla3[[#This Row],[ABONADO NETO ]]/Tabla3[[#This Row],[MESES ACT]],Tabla3[[#This Row],[ABONO 1ER MES]])</f>
        <v>540.53428571428572</v>
      </c>
      <c r="L2" s="7" t="s">
        <v>2118</v>
      </c>
      <c r="M2" s="287" t="s">
        <v>2119</v>
      </c>
      <c r="N2" s="288">
        <f>+SUMIF(INGRESOS!D:D,Tabla3[[#This Row],[ID STRIPE]],INGRESOS!J:J)</f>
        <v>7567.48</v>
      </c>
      <c r="O2" s="6">
        <v>22000</v>
      </c>
      <c r="P2" s="6">
        <f>+SUMIF('CALENDARIO INGRESOS'!A:A,Tabla3[[#This Row],[ID STRIPE]],'CALENDARIO INGRESOS'!I:I)</f>
        <v>22000</v>
      </c>
      <c r="Q2" s="288">
        <f>+SUMIF(INGRESOS!D:D,Tabla3[[#This Row],[ID STRIPE]],INGRESOS!G:G)</f>
        <v>7724</v>
      </c>
      <c r="R2" s="3" t="str">
        <f>IF(Tabla3[[#This Row],[ESTADO]]="OK",IF(COUNTIFS('CALENDARIO INGRESOS'!$A:$A,$D2,'CALENDARIO INGRESOS'!$H:$H,"LATAM",'CALENDARIO INGRESOS'!$L:$L,"&lt;&gt;PAGADA")&gt;0,"LATAM",
 IF(COUNTIFS('CALENDARIO INGRESOS'!$A:$A,$D2,'CALENDARIO INGRESOS'!$H:$H,"VISA",'CALENDARIO INGRESOS'!$L:$L,"&lt;&gt;PAGADA")&gt;0,"VISA",
  IF(COUNTIFS('CALENDARIO INGRESOS'!$A:$A,$D2,'CALENDARIO INGRESOS'!$H:$H,"FIRMA PA",'CALENDARIO INGRESOS'!$L:$L,"&lt;&gt;PAGADA")&gt;0,"FIRMA PA",
   IF(COUNTIFS('CALENDARIO INGRESOS'!$A:$A,$D2,'CALENDARIO INGRESOS'!$H:$H,"ALEM",'CALENDARIO INGRESOS'!$L:$L,"&lt;&gt;PAGADA")&gt;0,"ALEM","LISTO")))),"-")</f>
        <v>LATAM</v>
      </c>
      <c r="S2" s="188">
        <f>+SUMIFS('CALENDARIO INGRESOS'!I:I,'CALENDARIO INGRESOS'!A:A,Tabla3[[#This Row],[ID STRIPE]],'CALENDARIO INGRESOS'!H:H,"LATAM")</f>
        <v>11124</v>
      </c>
      <c r="T2" s="188">
        <f>+IF(Tabla3[[#This Row],[MONTO LATAM]]-Tabla3[[#This Row],[IMPORTE ABONADO]]&gt;=0,Tabla3[[#This Row],[MONTO LATAM]]-Tabla3[[#This Row],[IMPORTE ABONADO]],0)</f>
        <v>3400</v>
      </c>
      <c r="U2" s="188">
        <f>+SUMIFS('CALENDARIO INGRESOS'!I:I,'CALENDARIO INGRESOS'!A:A,Tabla3[[#This Row],[ID STRIPE]],'CALENDARIO INGRESOS'!H:H,"ALEM")</f>
        <v>10876</v>
      </c>
      <c r="V2" s="6">
        <f>+SUMIFS('CALENDARIO INGRESOS'!I:I,'CALENDARIO INGRESOS'!A:A,Tabla3[[#This Row],[ID STRIPE]],'CALENDARIO INGRESOS'!H:H,"VISA")+SUMIFS('CALENDARIO INGRESOS'!I:I,'CALENDARIO INGRESOS'!A:A,Tabla3[[#This Row],[ID STRIPE]],'CALENDARIO INGRESOS'!H:H,"FIRMA PA")</f>
        <v>0</v>
      </c>
      <c r="W2" s="252">
        <v>0</v>
      </c>
      <c r="X2" s="60">
        <f>+IFERROR(AVERAGEIF('CALENDARIO INGRESOS'!A:A,Tabla3[[#This Row],[ID STRIPE]],'CALENDARIO INGRESOS'!M:M),"0")</f>
        <v>-0.81818181818181823</v>
      </c>
      <c r="Y2" s="18">
        <v>46023</v>
      </c>
      <c r="Z2" s="286">
        <f>+IFERROR(_xlfn.XLOOKUP(Tabla3[[#This Row],[ID LINGODA]],LINGODA!D:D,LINGODA!S:S),0)</f>
        <v>0</v>
      </c>
      <c r="AA2" s="18" t="str">
        <f>+IFERROR(_xlfn.XLOOKUP(Tabla3[[#This Row],[ID LINGODA]],LINGODA!D:D,LINGODA!F:F),"null")</f>
        <v>-</v>
      </c>
      <c r="AB2" s="18" t="str">
        <f>+IFERROR(_xlfn.XLOOKUP(Tabla3[[#This Row],[ID LINGODA]],LINGODA!D:D,LINGODA!G:G),"null")</f>
        <v>-</v>
      </c>
    </row>
    <row r="3" spans="1:28">
      <c r="A3" s="5" t="s">
        <v>2120</v>
      </c>
      <c r="B3" s="1" t="s">
        <v>2121</v>
      </c>
      <c r="C3" s="1" t="s">
        <v>10</v>
      </c>
      <c r="D3" s="1" t="s">
        <v>87</v>
      </c>
      <c r="E3" s="60">
        <v>1672213</v>
      </c>
      <c r="F3" s="60"/>
      <c r="G3" s="18">
        <f>(_xlfn.MINIFS(INGRESOS!A:A,INGRESOS!C:C,Tabla3[[#This Row],[CORREO]]))</f>
        <v>45658</v>
      </c>
      <c r="H3" s="3">
        <f>+SUMIFS(INGRESOS!J:J,INGRESOS!D:D,Tabla3[[#This Row],[ID STRIPE]],INGRESOS!A:A,"&gt;="&amp;DATE(YEAR(Tabla3[[#This Row],[FECHA INGRESO]]),MONTH(Tabla3[[#This Row],[FECHA INGRESO]]),1),INGRESOS!A:A,"&lt;="&amp;DATE(YEAR(Tabla3[[#This Row],[FECHA INGRESO]]),MONTH(Tabla3[[#This Row],[FECHA INGRESO]])+1,0))</f>
        <v>2985</v>
      </c>
      <c r="I3" s="286">
        <f ca="1">DATEDIF(Tabla3[[#This Row],[FECHA INGRESO]],IF(OR(Tabla3[[#This Row],[ESTADO]]="OK",Tabla3[[#This Row],[ESTADO]]="¡REGULARIZAR!")=TRUE,TODAY(),IF(Tabla3[[#This Row],[ULTIMO PAGO]]="",TODAY(),Tabla3[[#This Row],[ULTIMO PAGO]])),"m")</f>
        <v>14</v>
      </c>
      <c r="J3" s="18">
        <f>(_xlfn.MAXIFS(INGRESOS!A:A,INGRESOS!C:C,Tabla3[[#This Row],[CORREO]]))</f>
        <v>46081</v>
      </c>
      <c r="K3" s="7">
        <f ca="1">+IFERROR(Tabla3[[#This Row],[ABONADO NETO ]]/Tabla3[[#This Row],[MESES ACT]],Tabla3[[#This Row],[ABONO 1ER MES]])</f>
        <v>540.51714285714286</v>
      </c>
      <c r="L3" s="7" t="s">
        <v>2118</v>
      </c>
      <c r="M3" s="287" t="s">
        <v>2119</v>
      </c>
      <c r="N3" s="288">
        <f>+SUMIF(INGRESOS!D:D,Tabla3[[#This Row],[ID STRIPE]],INGRESOS!J:J)</f>
        <v>7567.24</v>
      </c>
      <c r="O3" s="6">
        <v>22000</v>
      </c>
      <c r="P3" s="6">
        <f>+SUMIF('CALENDARIO INGRESOS'!A:A,Tabla3[[#This Row],[ID STRIPE]],'CALENDARIO INGRESOS'!I:I)</f>
        <v>21622</v>
      </c>
      <c r="Q3" s="6">
        <f>+SUMIF(INGRESOS!D:D,Tabla3[[#This Row],[ID STRIPE]],INGRESOS!G:G)</f>
        <v>7724</v>
      </c>
      <c r="R3" s="3" t="str">
        <f>IF(Tabla3[[#This Row],[ESTADO]]="OK",IF(COUNTIFS('CALENDARIO INGRESOS'!$A:$A,$D3,'CALENDARIO INGRESOS'!$H:$H,"LATAM",'CALENDARIO INGRESOS'!$L:$L,"&lt;&gt;PAGADA")&gt;0,"LATAM",
 IF(COUNTIFS('CALENDARIO INGRESOS'!$A:$A,$D3,'CALENDARIO INGRESOS'!$H:$H,"VISA",'CALENDARIO INGRESOS'!$L:$L,"&lt;&gt;PAGADA")&gt;0,"VISA",
  IF(COUNTIFS('CALENDARIO INGRESOS'!$A:$A,$D3,'CALENDARIO INGRESOS'!$H:$H,"FIRMA PA",'CALENDARIO INGRESOS'!$L:$L,"&lt;&gt;PAGADA")&gt;0,"FIRMA PA",
   IF(COUNTIFS('CALENDARIO INGRESOS'!$A:$A,$D3,'CALENDARIO INGRESOS'!$H:$H,"ALEM",'CALENDARIO INGRESOS'!$L:$L,"&lt;&gt;PAGADA")&gt;0,"ALEM","LISTO")))),"-")</f>
        <v>LATAM</v>
      </c>
      <c r="S3" s="188">
        <f>+SUMIFS('CALENDARIO INGRESOS'!I:I,'CALENDARIO INGRESOS'!A:A,Tabla3[[#This Row],[ID STRIPE]],'CALENDARIO INGRESOS'!H:H,"LATAM")</f>
        <v>11011</v>
      </c>
      <c r="T3" s="188">
        <f>+IF(Tabla3[[#This Row],[MONTO LATAM]]-Tabla3[[#This Row],[IMPORTE ABONADO]]&gt;=0,Tabla3[[#This Row],[MONTO LATAM]]-Tabla3[[#This Row],[IMPORTE ABONADO]],0)</f>
        <v>3287</v>
      </c>
      <c r="U3" s="188">
        <f>+SUMIFS('CALENDARIO INGRESOS'!I:I,'CALENDARIO INGRESOS'!A:A,Tabla3[[#This Row],[ID STRIPE]],'CALENDARIO INGRESOS'!H:H,"ALEM")</f>
        <v>10611</v>
      </c>
      <c r="V3" s="6">
        <f>+SUMIFS('CALENDARIO INGRESOS'!I:I,'CALENDARIO INGRESOS'!A:A,Tabla3[[#This Row],[ID STRIPE]],'CALENDARIO INGRESOS'!H:H,"VISA")+SUMIFS('CALENDARIO INGRESOS'!I:I,'CALENDARIO INGRESOS'!A:A,Tabla3[[#This Row],[ID STRIPE]],'CALENDARIO INGRESOS'!H:H,"FIRMA PA")</f>
        <v>0</v>
      </c>
      <c r="W3" s="250">
        <v>1</v>
      </c>
      <c r="X3" s="60">
        <f>+IFERROR(AVERAGEIF('CALENDARIO INGRESOS'!A:A,Tabla3[[#This Row],[ID STRIPE]],'CALENDARIO INGRESOS'!M:M),"0")</f>
        <v>-1.5833333333333333</v>
      </c>
      <c r="Y3" s="18">
        <v>46023</v>
      </c>
      <c r="Z3" s="286">
        <f>+IFERROR(_xlfn.XLOOKUP(Tabla3[[#This Row],[ID LINGODA]],LINGODA!D:D,LINGODA!S:S),0)</f>
        <v>85</v>
      </c>
      <c r="AA3" s="18" t="str">
        <f>+IFERROR(_xlfn.XLOOKUP(Tabla3[[#This Row],[ID LINGODA]],LINGODA!D:D,LINGODA!F:F),"null")</f>
        <v>A2.1</v>
      </c>
      <c r="AB3" s="286" t="str">
        <f>+IFERROR(_xlfn.XLOOKUP(Tabla3[[#This Row],[ID LINGODA]],LINGODA!D:D,LINGODA!G:G),"null")</f>
        <v>A2.2</v>
      </c>
    </row>
    <row r="4" spans="1:28">
      <c r="A4" s="5" t="s">
        <v>2122</v>
      </c>
      <c r="B4" s="1" t="s">
        <v>2123</v>
      </c>
      <c r="C4" s="1" t="s">
        <v>11</v>
      </c>
      <c r="D4" s="1" t="s">
        <v>80</v>
      </c>
      <c r="E4" s="60">
        <v>1672215</v>
      </c>
      <c r="F4" s="60"/>
      <c r="G4" s="18">
        <f>(_xlfn.MINIFS(INGRESOS!A:A,INGRESOS!C:C,Tabla3[[#This Row],[CORREO]]))</f>
        <v>45684</v>
      </c>
      <c r="H4" s="3">
        <f>+SUMIFS(INGRESOS!J:J,INGRESOS!D:D,Tabla3[[#This Row],[ID STRIPE]],INGRESOS!A:A,"&gt;="&amp;DATE(YEAR(Tabla3[[#This Row],[FECHA INGRESO]]),MONTH(Tabla3[[#This Row],[FECHA INGRESO]]),1),INGRESOS!A:A,"&lt;="&amp;DATE(YEAR(Tabla3[[#This Row],[FECHA INGRESO]]),MONTH(Tabla3[[#This Row],[FECHA INGRESO]])+1,0))</f>
        <v>4983.5962712473829</v>
      </c>
      <c r="I4" s="286">
        <f ca="1">DATEDIF(Tabla3[[#This Row],[FECHA INGRESO]],IF(OR(Tabla3[[#This Row],[ESTADO]]="OK",Tabla3[[#This Row],[ESTADO]]="¡REGULARIZAR!")=TRUE,TODAY(),IF(Tabla3[[#This Row],[ULTIMO PAGO]]="",TODAY(),Tabla3[[#This Row],[ULTIMO PAGO]])),"m")</f>
        <v>13</v>
      </c>
      <c r="J4" s="18">
        <f>(_xlfn.MAXIFS(INGRESOS!A:A,INGRESOS!C:C,Tabla3[[#This Row],[CORREO]]))</f>
        <v>46085</v>
      </c>
      <c r="K4" s="7">
        <f ca="1">+IFERROR(Tabla3[[#This Row],[ABONADO NETO ]]/Tabla3[[#This Row],[MESES ACT]],Tabla3[[#This Row],[ABONO 1ER MES]])</f>
        <v>871.84807153253178</v>
      </c>
      <c r="L4" s="7" t="s">
        <v>2118</v>
      </c>
      <c r="M4" s="287" t="s">
        <v>2119</v>
      </c>
      <c r="N4" s="288">
        <f>+SUMIF(INGRESOS!D:D,Tabla3[[#This Row],[ID STRIPE]],INGRESOS!J:J)</f>
        <v>11334.024929922913</v>
      </c>
      <c r="O4" s="6">
        <v>22000</v>
      </c>
      <c r="P4" s="6">
        <f>+SUMIF('CALENDARIO INGRESOS'!A:A,Tabla3[[#This Row],[ID STRIPE]],'CALENDARIO INGRESOS'!I:I)</f>
        <v>21301.66</v>
      </c>
      <c r="Q4" s="6">
        <f>+SUMIF(INGRESOS!D:D,Tabla3[[#This Row],[ID STRIPE]],INGRESOS!G:G)</f>
        <v>11455.984929922912</v>
      </c>
      <c r="R4" s="3" t="str">
        <f>IF(Tabla3[[#This Row],[ESTADO]]="OK",IF(COUNTIFS('CALENDARIO INGRESOS'!$A:$A,$D4,'CALENDARIO INGRESOS'!$H:$H,"LATAM",'CALENDARIO INGRESOS'!$L:$L,"&lt;&gt;PAGADA")&gt;0,"LATAM",
 IF(COUNTIFS('CALENDARIO INGRESOS'!$A:$A,$D4,'CALENDARIO INGRESOS'!$H:$H,"VISA",'CALENDARIO INGRESOS'!$L:$L,"&lt;&gt;PAGADA")&gt;0,"VISA",
  IF(COUNTIFS('CALENDARIO INGRESOS'!$A:$A,$D4,'CALENDARIO INGRESOS'!$H:$H,"FIRMA PA",'CALENDARIO INGRESOS'!$L:$L,"&lt;&gt;PAGADA")&gt;0,"FIRMA PA",
   IF(COUNTIFS('CALENDARIO INGRESOS'!$A:$A,$D4,'CALENDARIO INGRESOS'!$H:$H,"ALEM",'CALENDARIO INGRESOS'!$L:$L,"&lt;&gt;PAGADA")&gt;0,"ALEM","LISTO")))),"-")</f>
        <v>LATAM</v>
      </c>
      <c r="S4" s="188">
        <f>+SUMIFS('CALENDARIO INGRESOS'!I:I,'CALENDARIO INGRESOS'!A:A,Tabla3[[#This Row],[ID STRIPE]],'CALENDARIO INGRESOS'!H:H,"LATAM")</f>
        <v>21301.66</v>
      </c>
      <c r="T4" s="188">
        <f>+IF(Tabla3[[#This Row],[MONTO LATAM]]-Tabla3[[#This Row],[IMPORTE ABONADO]]&gt;=0,Tabla3[[#This Row],[MONTO LATAM]]-Tabla3[[#This Row],[IMPORTE ABONADO]],0)</f>
        <v>9845.6750700770881</v>
      </c>
      <c r="U4" s="188">
        <f>+SUMIFS('CALENDARIO INGRESOS'!I:I,'CALENDARIO INGRESOS'!A:A,Tabla3[[#This Row],[ID STRIPE]],'CALENDARIO INGRESOS'!H:H,"ALEM")</f>
        <v>0</v>
      </c>
      <c r="V4" s="6">
        <f>+SUMIFS('CALENDARIO INGRESOS'!I:I,'CALENDARIO INGRESOS'!A:A,Tabla3[[#This Row],[ID STRIPE]],'CALENDARIO INGRESOS'!H:H,"VISA")+SUMIFS('CALENDARIO INGRESOS'!I:I,'CALENDARIO INGRESOS'!A:A,Tabla3[[#This Row],[ID STRIPE]],'CALENDARIO INGRESOS'!H:H,"FIRMA PA")</f>
        <v>0</v>
      </c>
      <c r="W4" s="250">
        <v>1</v>
      </c>
      <c r="X4" s="60">
        <f>+IFERROR(AVERAGEIF('CALENDARIO INGRESOS'!A:A,Tabla3[[#This Row],[ID STRIPE]],'CALENDARIO INGRESOS'!M:M),"0")</f>
        <v>5</v>
      </c>
      <c r="Y4" s="18">
        <v>46023</v>
      </c>
      <c r="Z4" s="286">
        <f>+IFERROR(_xlfn.XLOOKUP(Tabla3[[#This Row],[ID LINGODA]],LINGODA!D:D,LINGODA!S:S),0)</f>
        <v>312</v>
      </c>
      <c r="AA4" s="18" t="str">
        <f>+IFERROR(_xlfn.XLOOKUP(Tabla3[[#This Row],[ID LINGODA]],LINGODA!D:D,LINGODA!F:F),"null")</f>
        <v>A1.1</v>
      </c>
      <c r="AB4" s="286" t="str">
        <f>+IFERROR(_xlfn.XLOOKUP(Tabla3[[#This Row],[ID LINGODA]],LINGODA!D:D,LINGODA!G:G),"null")</f>
        <v>B1.3</v>
      </c>
    </row>
    <row r="5" spans="1:28">
      <c r="A5" s="5" t="s">
        <v>2124</v>
      </c>
      <c r="B5" s="1" t="s">
        <v>2125</v>
      </c>
      <c r="C5" s="1" t="s">
        <v>11</v>
      </c>
      <c r="D5" s="1" t="s">
        <v>118</v>
      </c>
      <c r="E5" s="60">
        <v>1750227</v>
      </c>
      <c r="F5" s="60"/>
      <c r="G5" s="18">
        <f>(_xlfn.MINIFS(INGRESOS!A:A,INGRESOS!C:C,Tabla3[[#This Row],[CORREO]]))</f>
        <v>45699</v>
      </c>
      <c r="H5" s="3">
        <f>+SUMIFS(INGRESOS!J:J,INGRESOS!D:D,Tabla3[[#This Row],[ID STRIPE]],INGRESOS!A:A,"&gt;="&amp;DATE(YEAR(Tabla3[[#This Row],[FECHA INGRESO]]),MONTH(Tabla3[[#This Row],[FECHA INGRESO]]),1),INGRESOS!A:A,"&lt;="&amp;DATE(YEAR(Tabla3[[#This Row],[FECHA INGRESO]]),MONTH(Tabla3[[#This Row],[FECHA INGRESO]])+1,0))</f>
        <v>10194.845567790571</v>
      </c>
      <c r="I5" s="286">
        <f ca="1">DATEDIF(Tabla3[[#This Row],[FECHA INGRESO]],IF(OR(Tabla3[[#This Row],[ESTADO]]="OK",Tabla3[[#This Row],[ESTADO]]="¡REGULARIZAR!")=TRUE,TODAY(),IF(Tabla3[[#This Row],[ULTIMO PAGO]]="",TODAY(),Tabla3[[#This Row],[ULTIMO PAGO]])),"m")</f>
        <v>12</v>
      </c>
      <c r="J5" s="18">
        <f>(_xlfn.MAXIFS(INGRESOS!A:A,INGRESOS!C:C,Tabla3[[#This Row],[CORREO]]))</f>
        <v>45999</v>
      </c>
      <c r="K5" s="7">
        <f ca="1">+IFERROR(Tabla3[[#This Row],[ABONADO NETO ]]/Tabla3[[#This Row],[MESES ACT]],Tabla3[[#This Row],[ABONO 1ER MES]])</f>
        <v>1676.2287973158811</v>
      </c>
      <c r="L5" s="7" t="s">
        <v>2118</v>
      </c>
      <c r="M5" s="287" t="s">
        <v>2119</v>
      </c>
      <c r="N5" s="288">
        <f>+SUMIF(INGRESOS!D:D,Tabla3[[#This Row],[ID STRIPE]],INGRESOS!J:J)</f>
        <v>20114.745567790575</v>
      </c>
      <c r="O5" s="6">
        <v>22000</v>
      </c>
      <c r="P5" s="6">
        <f>+SUMIF('CALENDARIO INGRESOS'!A:A,Tabla3[[#This Row],[ID STRIPE]],'CALENDARIO INGRESOS'!I:I)</f>
        <v>21393.34</v>
      </c>
      <c r="Q5" s="6">
        <f>+SUMIF(INGRESOS!D:D,Tabla3[[#This Row],[ID STRIPE]],INGRESOS!G:G)</f>
        <v>20990.392773957818</v>
      </c>
      <c r="R5" s="3" t="str">
        <f>IF(Tabla3[[#This Row],[ESTADO]]="OK",IF(COUNTIFS('CALENDARIO INGRESOS'!$A:$A,$D5,'CALENDARIO INGRESOS'!$H:$H,"LATAM",'CALENDARIO INGRESOS'!$L:$L,"&lt;&gt;PAGADA")&gt;0,"LATAM",
 IF(COUNTIFS('CALENDARIO INGRESOS'!$A:$A,$D5,'CALENDARIO INGRESOS'!$H:$H,"VISA",'CALENDARIO INGRESOS'!$L:$L,"&lt;&gt;PAGADA")&gt;0,"VISA",
  IF(COUNTIFS('CALENDARIO INGRESOS'!$A:$A,$D5,'CALENDARIO INGRESOS'!$H:$H,"FIRMA PA",'CALENDARIO INGRESOS'!$L:$L,"&lt;&gt;PAGADA")&gt;0,"FIRMA PA",
   IF(COUNTIFS('CALENDARIO INGRESOS'!$A:$A,$D5,'CALENDARIO INGRESOS'!$H:$H,"ALEM",'CALENDARIO INGRESOS'!$L:$L,"&lt;&gt;PAGADA")&gt;0,"ALEM","LISTO")))),"-")</f>
        <v>LISTO</v>
      </c>
      <c r="S5" s="188">
        <f>+SUMIFS('CALENDARIO INGRESOS'!I:I,'CALENDARIO INGRESOS'!A:A,Tabla3[[#This Row],[ID STRIPE]],'CALENDARIO INGRESOS'!H:H,"LATAM")</f>
        <v>21393.34</v>
      </c>
      <c r="T5" s="188">
        <f>+IF(Tabla3[[#This Row],[MONTO LATAM]]-Tabla3[[#This Row],[IMPORTE ABONADO]]&gt;=0,Tabla3[[#This Row],[MONTO LATAM]]-Tabla3[[#This Row],[IMPORTE ABONADO]],0)</f>
        <v>402.94722604218259</v>
      </c>
      <c r="U5" s="188">
        <f>+SUMIFS('CALENDARIO INGRESOS'!I:I,'CALENDARIO INGRESOS'!A:A,Tabla3[[#This Row],[ID STRIPE]],'CALENDARIO INGRESOS'!H:H,"ALEM")</f>
        <v>0</v>
      </c>
      <c r="V5" s="6">
        <f>+SUMIFS('CALENDARIO INGRESOS'!I:I,'CALENDARIO INGRESOS'!A:A,Tabla3[[#This Row],[ID STRIPE]],'CALENDARIO INGRESOS'!H:H,"VISA")+SUMIFS('CALENDARIO INGRESOS'!I:I,'CALENDARIO INGRESOS'!A:A,Tabla3[[#This Row],[ID STRIPE]],'CALENDARIO INGRESOS'!H:H,"FIRMA PA")</f>
        <v>0</v>
      </c>
      <c r="W5" s="250">
        <v>1</v>
      </c>
      <c r="X5" s="60">
        <f>+IFERROR(AVERAGEIF('CALENDARIO INGRESOS'!A:A,Tabla3[[#This Row],[ID STRIPE]],'CALENDARIO INGRESOS'!M:M),"0")</f>
        <v>-1</v>
      </c>
      <c r="Y5" s="18" t="s">
        <v>2093</v>
      </c>
      <c r="Z5" s="286">
        <f>+IFERROR(_xlfn.XLOOKUP(Tabla3[[#This Row],[ID LINGODA]],LINGODA!D:D,LINGODA!S:S),0)</f>
        <v>8</v>
      </c>
      <c r="AA5" s="18" t="str">
        <f>+IFERROR(_xlfn.XLOOKUP(Tabla3[[#This Row],[ID LINGODA]],LINGODA!D:D,LINGODA!F:F),"null")</f>
        <v>B2.1</v>
      </c>
      <c r="AB5" s="286" t="str">
        <f>+IFERROR(_xlfn.XLOOKUP(Tabla3[[#This Row],[ID LINGODA]],LINGODA!D:D,LINGODA!G:G),"null")</f>
        <v>B2.1</v>
      </c>
    </row>
    <row r="6" spans="1:28">
      <c r="A6" s="5" t="s">
        <v>2126</v>
      </c>
      <c r="B6" s="1" t="s">
        <v>2127</v>
      </c>
      <c r="C6" s="1" t="s">
        <v>12</v>
      </c>
      <c r="D6" s="1" t="s">
        <v>98</v>
      </c>
      <c r="E6" s="60">
        <v>1765563</v>
      </c>
      <c r="F6" s="60"/>
      <c r="G6" s="18">
        <f>(_xlfn.MINIFS(INGRESOS!A:A,INGRESOS!C:C,Tabla3[[#This Row],[CORREO]]))</f>
        <v>45721</v>
      </c>
      <c r="H6" s="3">
        <f>+SUMIFS(INGRESOS!J:J,INGRESOS!D:D,Tabla3[[#This Row],[ID STRIPE]],INGRESOS!A:A,"&gt;="&amp;DATE(YEAR(Tabla3[[#This Row],[FECHA INGRESO]]),MONTH(Tabla3[[#This Row],[FECHA INGRESO]]),1),INGRESOS!A:A,"&lt;="&amp;DATE(YEAR(Tabla3[[#This Row],[FECHA INGRESO]]),MONTH(Tabla3[[#This Row],[FECHA INGRESO]])+1,0))</f>
        <v>1451</v>
      </c>
      <c r="I6" s="286">
        <f ca="1">DATEDIF(Tabla3[[#This Row],[FECHA INGRESO]],IF(OR(Tabla3[[#This Row],[ESTADO]]="OK",Tabla3[[#This Row],[ESTADO]]="¡REGULARIZAR!")=TRUE,TODAY(),IF(Tabla3[[#This Row],[ULTIMO PAGO]]="",TODAY(),Tabla3[[#This Row],[ULTIMO PAGO]])),"m")</f>
        <v>12</v>
      </c>
      <c r="J6" s="18">
        <f>(_xlfn.MAXIFS(INGRESOS!A:A,INGRESOS!C:C,Tabla3[[#This Row],[CORREO]]))</f>
        <v>46068</v>
      </c>
      <c r="K6" s="7">
        <f ca="1">+IFERROR(Tabla3[[#This Row],[ABONADO NETO ]]/Tabla3[[#This Row],[MESES ACT]],Tabla3[[#This Row],[ABONO 1ER MES]])</f>
        <v>241.70833333333334</v>
      </c>
      <c r="L6" s="7" t="s">
        <v>2118</v>
      </c>
      <c r="M6" s="287" t="s">
        <v>2119</v>
      </c>
      <c r="N6" s="288">
        <f>+SUMIF(INGRESOS!D:D,Tabla3[[#This Row],[ID STRIPE]],INGRESOS!J:J)</f>
        <v>2900.5</v>
      </c>
      <c r="O6" s="6">
        <v>7500</v>
      </c>
      <c r="P6" s="6">
        <f>+SUMIF('CALENDARIO INGRESOS'!A:A,Tabla3[[#This Row],[ID STRIPE]],'CALENDARIO INGRESOS'!I:I)</f>
        <v>7500</v>
      </c>
      <c r="Q6" s="6">
        <f>+SUMIF(INGRESOS!D:D,Tabla3[[#This Row],[ID STRIPE]],INGRESOS!G:G)</f>
        <v>3000</v>
      </c>
      <c r="R6" s="3" t="str">
        <f>IF(Tabla3[[#This Row],[ESTADO]]="OK",IF(COUNTIFS('CALENDARIO INGRESOS'!$A:$A,$D6,'CALENDARIO INGRESOS'!$H:$H,"LATAM",'CALENDARIO INGRESOS'!$L:$L,"&lt;&gt;PAGADA")&gt;0,"LATAM",
 IF(COUNTIFS('CALENDARIO INGRESOS'!$A:$A,$D6,'CALENDARIO INGRESOS'!$H:$H,"VISA",'CALENDARIO INGRESOS'!$L:$L,"&lt;&gt;PAGADA")&gt;0,"VISA",
  IF(COUNTIFS('CALENDARIO INGRESOS'!$A:$A,$D6,'CALENDARIO INGRESOS'!$H:$H,"FIRMA PA",'CALENDARIO INGRESOS'!$L:$L,"&lt;&gt;PAGADA")&gt;0,"FIRMA PA",
   IF(COUNTIFS('CALENDARIO INGRESOS'!$A:$A,$D6,'CALENDARIO INGRESOS'!$H:$H,"ALEM",'CALENDARIO INGRESOS'!$L:$L,"&lt;&gt;PAGADA")&gt;0,"ALEM","LISTO")))),"-")</f>
        <v>LATAM</v>
      </c>
      <c r="S6" s="188">
        <f>+SUMIFS('CALENDARIO INGRESOS'!I:I,'CALENDARIO INGRESOS'!A:A,Tabla3[[#This Row],[ID STRIPE]],'CALENDARIO INGRESOS'!H:H,"LATAM")</f>
        <v>7500</v>
      </c>
      <c r="T6" s="188">
        <f>+IF(Tabla3[[#This Row],[MONTO LATAM]]-Tabla3[[#This Row],[IMPORTE ABONADO]]&gt;=0,Tabla3[[#This Row],[MONTO LATAM]]-Tabla3[[#This Row],[IMPORTE ABONADO]],0)</f>
        <v>4500</v>
      </c>
      <c r="U6" s="188">
        <f>+SUMIFS('CALENDARIO INGRESOS'!I:I,'CALENDARIO INGRESOS'!A:A,Tabla3[[#This Row],[ID STRIPE]],'CALENDARIO INGRESOS'!H:H,"ALEM")</f>
        <v>0</v>
      </c>
      <c r="V6" s="6">
        <f>+SUMIFS('CALENDARIO INGRESOS'!I:I,'CALENDARIO INGRESOS'!A:A,Tabla3[[#This Row],[ID STRIPE]],'CALENDARIO INGRESOS'!H:H,"VISA")+SUMIFS('CALENDARIO INGRESOS'!I:I,'CALENDARIO INGRESOS'!A:A,Tabla3[[#This Row],[ID STRIPE]],'CALENDARIO INGRESOS'!H:H,"FIRMA PA")</f>
        <v>0</v>
      </c>
      <c r="W6" s="252">
        <v>0</v>
      </c>
      <c r="X6" s="60">
        <f>+IFERROR(AVERAGEIF('CALENDARIO INGRESOS'!A:A,Tabla3[[#This Row],[ID STRIPE]],'CALENDARIO INGRESOS'!M:M),"0")</f>
        <v>-1.25</v>
      </c>
      <c r="Y6" s="18">
        <v>46054</v>
      </c>
      <c r="Z6" s="286">
        <f>+IFERROR(_xlfn.XLOOKUP(Tabla3[[#This Row],[ID LINGODA]],LINGODA!D:D,LINGODA!S:S),0)</f>
        <v>190</v>
      </c>
      <c r="AA6" s="18" t="str">
        <f>+IFERROR(_xlfn.XLOOKUP(Tabla3[[#This Row],[ID LINGODA]],LINGODA!D:D,LINGODA!F:F),"null")</f>
        <v>B2.1</v>
      </c>
      <c r="AB6" s="286" t="str">
        <f>+IFERROR(_xlfn.XLOOKUP(Tabla3[[#This Row],[ID LINGODA]],LINGODA!D:D,LINGODA!G:G),"null")</f>
        <v>B2.2</v>
      </c>
    </row>
    <row r="7" spans="1:28">
      <c r="A7" s="5" t="s">
        <v>2128</v>
      </c>
      <c r="B7" s="1" t="s">
        <v>2129</v>
      </c>
      <c r="C7" s="1" t="s">
        <v>12</v>
      </c>
      <c r="D7" s="1" t="s">
        <v>95</v>
      </c>
      <c r="E7" s="60">
        <v>1765562</v>
      </c>
      <c r="F7" s="60"/>
      <c r="G7" s="18">
        <f>(_xlfn.MINIFS(INGRESOS!A:A,INGRESOS!C:C,Tabla3[[#This Row],[CORREO]]))</f>
        <v>45721</v>
      </c>
      <c r="H7" s="3">
        <f>+SUMIFS(INGRESOS!J:J,INGRESOS!D:D,Tabla3[[#This Row],[ID STRIPE]],INGRESOS!A:A,"&gt;="&amp;DATE(YEAR(Tabla3[[#This Row],[FECHA INGRESO]]),MONTH(Tabla3[[#This Row],[FECHA INGRESO]]),1),INGRESOS!A:A,"&lt;="&amp;DATE(YEAR(Tabla3[[#This Row],[FECHA INGRESO]]),MONTH(Tabla3[[#This Row],[FECHA INGRESO]])+1,0))</f>
        <v>3386</v>
      </c>
      <c r="I7" s="286">
        <f ca="1">DATEDIF(Tabla3[[#This Row],[FECHA INGRESO]],IF(OR(Tabla3[[#This Row],[ESTADO]]="OK",Tabla3[[#This Row],[ESTADO]]="¡REGULARIZAR!")=TRUE,TODAY(),IF(Tabla3[[#This Row],[ULTIMO PAGO]]="",TODAY(),Tabla3[[#This Row],[ULTIMO PAGO]])),"m")</f>
        <v>12</v>
      </c>
      <c r="J7" s="18">
        <f>(_xlfn.MAXIFS(INGRESOS!A:A,INGRESOS!C:C,Tabla3[[#This Row],[CORREO]]))</f>
        <v>46067</v>
      </c>
      <c r="K7" s="7">
        <f ca="1">+IFERROR(Tabla3[[#This Row],[ABONADO NETO ]]/Tabla3[[#This Row],[MESES ACT]],Tabla3[[#This Row],[ABONO 1ER MES]])</f>
        <v>592.71413934426232</v>
      </c>
      <c r="L7" s="7" t="s">
        <v>2118</v>
      </c>
      <c r="M7" s="287" t="s">
        <v>2119</v>
      </c>
      <c r="N7" s="288">
        <f>+SUMIF(INGRESOS!D:D,Tabla3[[#This Row],[ID STRIPE]],INGRESOS!J:J)</f>
        <v>7112.5696721311479</v>
      </c>
      <c r="O7" s="6">
        <v>17500</v>
      </c>
      <c r="P7" s="6">
        <f>+SUMIF('CALENDARIO INGRESOS'!A:A,Tabla3[[#This Row],[ID STRIPE]],'CALENDARIO INGRESOS'!I:I)</f>
        <v>17500</v>
      </c>
      <c r="Q7" s="6">
        <f>+SUMIF(INGRESOS!D:D,Tabla3[[#This Row],[ID STRIPE]],INGRESOS!G:G)</f>
        <v>7353.8251366120221</v>
      </c>
      <c r="R7" s="3" t="str">
        <f>IF(Tabla3[[#This Row],[ESTADO]]="OK",IF(COUNTIFS('CALENDARIO INGRESOS'!$A:$A,$D7,'CALENDARIO INGRESOS'!$H:$H,"LATAM",'CALENDARIO INGRESOS'!$L:$L,"&lt;&gt;PAGADA")&gt;0,"LATAM",
 IF(COUNTIFS('CALENDARIO INGRESOS'!$A:$A,$D7,'CALENDARIO INGRESOS'!$H:$H,"VISA",'CALENDARIO INGRESOS'!$L:$L,"&lt;&gt;PAGADA")&gt;0,"VISA",
  IF(COUNTIFS('CALENDARIO INGRESOS'!$A:$A,$D7,'CALENDARIO INGRESOS'!$H:$H,"FIRMA PA",'CALENDARIO INGRESOS'!$L:$L,"&lt;&gt;PAGADA")&gt;0,"FIRMA PA",
   IF(COUNTIFS('CALENDARIO INGRESOS'!$A:$A,$D7,'CALENDARIO INGRESOS'!$H:$H,"ALEM",'CALENDARIO INGRESOS'!$L:$L,"&lt;&gt;PAGADA")&gt;0,"ALEM","LISTO")))),"-")</f>
        <v>LATAM</v>
      </c>
      <c r="S7" s="188">
        <f>+SUMIFS('CALENDARIO INGRESOS'!I:I,'CALENDARIO INGRESOS'!A:A,Tabla3[[#This Row],[ID STRIPE]],'CALENDARIO INGRESOS'!H:H,"LATAM")</f>
        <v>17500</v>
      </c>
      <c r="T7" s="188">
        <f>+IF(Tabla3[[#This Row],[MONTO LATAM]]-Tabla3[[#This Row],[IMPORTE ABONADO]]&gt;=0,Tabla3[[#This Row],[MONTO LATAM]]-Tabla3[[#This Row],[IMPORTE ABONADO]],0)</f>
        <v>10146.174863387978</v>
      </c>
      <c r="U7" s="188">
        <f>+SUMIFS('CALENDARIO INGRESOS'!I:I,'CALENDARIO INGRESOS'!A:A,Tabla3[[#This Row],[ID STRIPE]],'CALENDARIO INGRESOS'!H:H,"ALEM")</f>
        <v>0</v>
      </c>
      <c r="V7" s="6">
        <f>+SUMIFS('CALENDARIO INGRESOS'!I:I,'CALENDARIO INGRESOS'!A:A,Tabla3[[#This Row],[ID STRIPE]],'CALENDARIO INGRESOS'!H:H,"VISA")+SUMIFS('CALENDARIO INGRESOS'!I:I,'CALENDARIO INGRESOS'!A:A,Tabla3[[#This Row],[ID STRIPE]],'CALENDARIO INGRESOS'!H:H,"FIRMA PA")</f>
        <v>0</v>
      </c>
      <c r="W7" s="252">
        <v>0</v>
      </c>
      <c r="X7" s="60">
        <f>+IFERROR(AVERAGEIF('CALENDARIO INGRESOS'!A:A,Tabla3[[#This Row],[ID STRIPE]],'CALENDARIO INGRESOS'!M:M),"0")</f>
        <v>-0.1111111111111111</v>
      </c>
      <c r="Y7" s="18">
        <v>46054</v>
      </c>
      <c r="Z7" s="286">
        <f>+IFERROR(_xlfn.XLOOKUP(Tabla3[[#This Row],[ID LINGODA]],LINGODA!D:D,LINGODA!S:S),0)</f>
        <v>205</v>
      </c>
      <c r="AA7" s="18" t="str">
        <f>+IFERROR(_xlfn.XLOOKUP(Tabla3[[#This Row],[ID LINGODA]],LINGODA!D:D,LINGODA!F:F),"null")</f>
        <v>B2.1</v>
      </c>
      <c r="AB7" s="286" t="str">
        <f>+IFERROR(_xlfn.XLOOKUP(Tabla3[[#This Row],[ID LINGODA]],LINGODA!D:D,LINGODA!G:G),"null")</f>
        <v>B2.3</v>
      </c>
    </row>
    <row r="8" spans="1:28">
      <c r="A8" s="5" t="s">
        <v>2130</v>
      </c>
      <c r="B8" s="1" t="s">
        <v>2131</v>
      </c>
      <c r="C8" s="1" t="s">
        <v>13</v>
      </c>
      <c r="D8" s="1" t="s">
        <v>103</v>
      </c>
      <c r="E8" s="60">
        <v>0</v>
      </c>
      <c r="F8" s="60"/>
      <c r="G8" s="18">
        <f>(_xlfn.MINIFS(INGRESOS!A:A,INGRESOS!C:C,Tabla3[[#This Row],[CORREO]]))</f>
        <v>45725</v>
      </c>
      <c r="H8" s="3">
        <f>+SUMIFS(INGRESOS!J:J,INGRESOS!D:D,Tabla3[[#This Row],[ID STRIPE]],INGRESOS!A:A,"&gt;="&amp;DATE(YEAR(Tabla3[[#This Row],[FECHA INGRESO]]),MONTH(Tabla3[[#This Row],[FECHA INGRESO]]),1),INGRESOS!A:A,"&lt;="&amp;DATE(YEAR(Tabla3[[#This Row],[FECHA INGRESO]]),MONTH(Tabla3[[#This Row],[FECHA INGRESO]])+1,0))</f>
        <v>967.25</v>
      </c>
      <c r="I8" s="286">
        <f ca="1">DATEDIF(Tabla3[[#This Row],[FECHA INGRESO]],IF(OR(Tabla3[[#This Row],[ESTADO]]="OK",Tabla3[[#This Row],[ESTADO]]="¡REGULARIZAR!")=TRUE,TODAY(),IF(Tabla3[[#This Row],[ULTIMO PAGO]]="",TODAY(),Tabla3[[#This Row],[ULTIMO PAGO]])),"m")</f>
        <v>11</v>
      </c>
      <c r="J8" s="18">
        <f>(_xlfn.MAXIFS(INGRESOS!A:A,INGRESOS!C:C,Tabla3[[#This Row],[CORREO]]))</f>
        <v>46064</v>
      </c>
      <c r="K8" s="7">
        <f ca="1">+IFERROR(Tabla3[[#This Row],[ABONADO NETO ]]/Tabla3[[#This Row],[MESES ACT]],Tabla3[[#This Row],[ABONO 1ER MES]])</f>
        <v>720.42181818181803</v>
      </c>
      <c r="L8" s="7" t="s">
        <v>2118</v>
      </c>
      <c r="M8" s="287" t="s">
        <v>2119</v>
      </c>
      <c r="N8" s="288">
        <f>+SUMIF(INGRESOS!D:D,Tabla3[[#This Row],[ID STRIPE]],INGRESOS!J:J)</f>
        <v>7924.6399999999985</v>
      </c>
      <c r="O8" s="6">
        <v>18000</v>
      </c>
      <c r="P8" s="6">
        <f>+SUMIF('CALENDARIO INGRESOS'!A:A,Tabla3[[#This Row],[ID STRIPE]],'CALENDARIO INGRESOS'!I:I)</f>
        <v>17934</v>
      </c>
      <c r="Q8" s="6">
        <f>+SUMIF(INGRESOS!D:D,Tabla3[[#This Row],[ID STRIPE]],INGRESOS!G:G)</f>
        <v>8194</v>
      </c>
      <c r="R8" s="3" t="str">
        <f>IF(Tabla3[[#This Row],[ESTADO]]="OK",IF(COUNTIFS('CALENDARIO INGRESOS'!$A:$A,$D8,'CALENDARIO INGRESOS'!$H:$H,"LATAM",'CALENDARIO INGRESOS'!$L:$L,"&lt;&gt;PAGADA")&gt;0,"LATAM",
 IF(COUNTIFS('CALENDARIO INGRESOS'!$A:$A,$D8,'CALENDARIO INGRESOS'!$H:$H,"VISA",'CALENDARIO INGRESOS'!$L:$L,"&lt;&gt;PAGADA")&gt;0,"VISA",
  IF(COUNTIFS('CALENDARIO INGRESOS'!$A:$A,$D8,'CALENDARIO INGRESOS'!$H:$H,"FIRMA PA",'CALENDARIO INGRESOS'!$L:$L,"&lt;&gt;PAGADA")&gt;0,"FIRMA PA",
   IF(COUNTIFS('CALENDARIO INGRESOS'!$A:$A,$D8,'CALENDARIO INGRESOS'!$H:$H,"ALEM",'CALENDARIO INGRESOS'!$L:$L,"&lt;&gt;PAGADA")&gt;0,"ALEM","LISTO")))),"-")</f>
        <v>LATAM</v>
      </c>
      <c r="S8" s="188">
        <f>+SUMIFS('CALENDARIO INGRESOS'!I:I,'CALENDARIO INGRESOS'!A:A,Tabla3[[#This Row],[ID STRIPE]],'CALENDARIO INGRESOS'!H:H,"LATAM")</f>
        <v>17934</v>
      </c>
      <c r="T8" s="188">
        <f>+IF(Tabla3[[#This Row],[MONTO LATAM]]-Tabla3[[#This Row],[IMPORTE ABONADO]]&gt;=0,Tabla3[[#This Row],[MONTO LATAM]]-Tabla3[[#This Row],[IMPORTE ABONADO]],0)</f>
        <v>9740</v>
      </c>
      <c r="U8" s="188">
        <f>+SUMIFS('CALENDARIO INGRESOS'!I:I,'CALENDARIO INGRESOS'!A:A,Tabla3[[#This Row],[ID STRIPE]],'CALENDARIO INGRESOS'!H:H,"ALEM")</f>
        <v>0</v>
      </c>
      <c r="V8" s="6">
        <f>+SUMIFS('CALENDARIO INGRESOS'!I:I,'CALENDARIO INGRESOS'!A:A,Tabla3[[#This Row],[ID STRIPE]],'CALENDARIO INGRESOS'!H:H,"VISA")+SUMIFS('CALENDARIO INGRESOS'!I:I,'CALENDARIO INGRESOS'!A:A,Tabla3[[#This Row],[ID STRIPE]],'CALENDARIO INGRESOS'!H:H,"FIRMA PA")</f>
        <v>0</v>
      </c>
      <c r="W8" s="250">
        <v>1</v>
      </c>
      <c r="X8" s="60">
        <f>+IFERROR(AVERAGEIF('CALENDARIO INGRESOS'!A:A,Tabla3[[#This Row],[ID STRIPE]],'CALENDARIO INGRESOS'!M:M),"0")</f>
        <v>0.5</v>
      </c>
      <c r="Y8" s="18" t="s">
        <v>2093</v>
      </c>
      <c r="Z8" s="286">
        <f>+IFERROR(_xlfn.XLOOKUP(Tabla3[[#This Row],[ID LINGODA]],LINGODA!D:D,LINGODA!S:S),0)</f>
        <v>0</v>
      </c>
      <c r="AA8" s="18" t="str">
        <f>+IFERROR(_xlfn.XLOOKUP(Tabla3[[#This Row],[ID LINGODA]],LINGODA!D:D,LINGODA!F:F),"null")</f>
        <v>null</v>
      </c>
      <c r="AB8" s="286" t="str">
        <f>+IFERROR(_xlfn.XLOOKUP(Tabla3[[#This Row],[ID LINGODA]],LINGODA!D:D,LINGODA!G:G),"null")</f>
        <v>null</v>
      </c>
    </row>
    <row r="9" spans="1:28">
      <c r="A9" s="5" t="s">
        <v>2132</v>
      </c>
      <c r="B9" s="1" t="s">
        <v>2133</v>
      </c>
      <c r="C9" s="1" t="s">
        <v>14</v>
      </c>
      <c r="D9" s="1" t="s">
        <v>106</v>
      </c>
      <c r="E9" s="60">
        <v>1814376</v>
      </c>
      <c r="F9" s="60"/>
      <c r="G9" s="18">
        <f>(_xlfn.MINIFS(INGRESOS!A:A,INGRESOS!C:C,Tabla3[[#This Row],[CORREO]]))</f>
        <v>45726</v>
      </c>
      <c r="H9" s="3">
        <f>+SUMIFS(INGRESOS!J:J,INGRESOS!D:D,Tabla3[[#This Row],[ID STRIPE]],INGRESOS!A:A,"&gt;="&amp;DATE(YEAR(Tabla3[[#This Row],[FECHA INGRESO]]),MONTH(Tabla3[[#This Row],[FECHA INGRESO]]),1),INGRESOS!A:A,"&lt;="&amp;DATE(YEAR(Tabla3[[#This Row],[FECHA INGRESO]]),MONTH(Tabla3[[#This Row],[FECHA INGRESO]])+1,0))</f>
        <v>1451</v>
      </c>
      <c r="I9" s="286">
        <f ca="1">DATEDIF(Tabla3[[#This Row],[FECHA INGRESO]],IF(OR(Tabla3[[#This Row],[ESTADO]]="OK",Tabla3[[#This Row],[ESTADO]]="¡REGULARIZAR!")=TRUE,TODAY(),IF(Tabla3[[#This Row],[ULTIMO PAGO]]="",TODAY(),Tabla3[[#This Row],[ULTIMO PAGO]])),"m")</f>
        <v>11</v>
      </c>
      <c r="J9" s="18">
        <f>(_xlfn.MAXIFS(INGRESOS!A:A,INGRESOS!C:C,Tabla3[[#This Row],[CORREO]]))</f>
        <v>46080</v>
      </c>
      <c r="K9" s="7">
        <f ca="1">+IFERROR(Tabla3[[#This Row],[ABONADO NETO ]]/Tabla3[[#This Row],[MESES ACT]],Tabla3[[#This Row],[ABONO 1ER MES]])</f>
        <v>1275.1363636363637</v>
      </c>
      <c r="L9" s="7" t="s">
        <v>2118</v>
      </c>
      <c r="M9" s="287" t="s">
        <v>2119</v>
      </c>
      <c r="N9" s="288">
        <f>+SUMIF(INGRESOS!D:D,Tabla3[[#This Row],[ID STRIPE]],INGRESOS!J:J)</f>
        <v>14026.5</v>
      </c>
      <c r="O9" s="6">
        <v>22000</v>
      </c>
      <c r="P9" s="6">
        <f>+SUMIF('CALENDARIO INGRESOS'!A:A,Tabla3[[#This Row],[ID STRIPE]],'CALENDARIO INGRESOS'!I:I)</f>
        <v>22000</v>
      </c>
      <c r="Q9" s="6">
        <f>+SUMIF(INGRESOS!D:D,Tabla3[[#This Row],[ID STRIPE]],INGRESOS!G:G)</f>
        <v>14500</v>
      </c>
      <c r="R9" s="3" t="str">
        <f>IF(Tabla3[[#This Row],[ESTADO]]="OK",IF(COUNTIFS('CALENDARIO INGRESOS'!$A:$A,$D9,'CALENDARIO INGRESOS'!$H:$H,"LATAM",'CALENDARIO INGRESOS'!$L:$L,"&lt;&gt;PAGADA")&gt;0,"LATAM",
 IF(COUNTIFS('CALENDARIO INGRESOS'!$A:$A,$D9,'CALENDARIO INGRESOS'!$H:$H,"VISA",'CALENDARIO INGRESOS'!$L:$L,"&lt;&gt;PAGADA")&gt;0,"VISA",
  IF(COUNTIFS('CALENDARIO INGRESOS'!$A:$A,$D9,'CALENDARIO INGRESOS'!$H:$H,"FIRMA PA",'CALENDARIO INGRESOS'!$L:$L,"&lt;&gt;PAGADA")&gt;0,"FIRMA PA",
   IF(COUNTIFS('CALENDARIO INGRESOS'!$A:$A,$D9,'CALENDARIO INGRESOS'!$H:$H,"ALEM",'CALENDARIO INGRESOS'!$L:$L,"&lt;&gt;PAGADA")&gt;0,"ALEM","LISTO")))),"-")</f>
        <v>LATAM</v>
      </c>
      <c r="S9" s="188">
        <f>+SUMIFS('CALENDARIO INGRESOS'!I:I,'CALENDARIO INGRESOS'!A:A,Tabla3[[#This Row],[ID STRIPE]],'CALENDARIO INGRESOS'!H:H,"LATAM")</f>
        <v>16000</v>
      </c>
      <c r="T9" s="188">
        <f>+IF(Tabla3[[#This Row],[MONTO LATAM]]-Tabla3[[#This Row],[IMPORTE ABONADO]]&gt;=0,Tabla3[[#This Row],[MONTO LATAM]]-Tabla3[[#This Row],[IMPORTE ABONADO]],0)</f>
        <v>1500</v>
      </c>
      <c r="U9" s="188">
        <f>+SUMIFS('CALENDARIO INGRESOS'!I:I,'CALENDARIO INGRESOS'!A:A,Tabla3[[#This Row],[ID STRIPE]],'CALENDARIO INGRESOS'!H:H,"ALEM")</f>
        <v>6000</v>
      </c>
      <c r="V9" s="6">
        <f>+SUMIFS('CALENDARIO INGRESOS'!I:I,'CALENDARIO INGRESOS'!A:A,Tabla3[[#This Row],[ID STRIPE]],'CALENDARIO INGRESOS'!H:H,"VISA")+SUMIFS('CALENDARIO INGRESOS'!I:I,'CALENDARIO INGRESOS'!A:A,Tabla3[[#This Row],[ID STRIPE]],'CALENDARIO INGRESOS'!H:H,"FIRMA PA")</f>
        <v>0</v>
      </c>
      <c r="W9" s="250">
        <v>0</v>
      </c>
      <c r="X9" s="60">
        <f>+IFERROR(AVERAGEIF('CALENDARIO INGRESOS'!A:A,Tabla3[[#This Row],[ID STRIPE]],'CALENDARIO INGRESOS'!M:M),"0")</f>
        <v>1.1111111111111112</v>
      </c>
      <c r="Y9" s="18" t="s">
        <v>2093</v>
      </c>
      <c r="Z9" s="286">
        <f>+IFERROR(_xlfn.XLOOKUP(Tabla3[[#This Row],[ID LINGODA]],LINGODA!D:D,LINGODA!S:S),0)</f>
        <v>45</v>
      </c>
      <c r="AA9" s="18" t="str">
        <f>+IFERROR(_xlfn.XLOOKUP(Tabla3[[#This Row],[ID LINGODA]],LINGODA!D:D,LINGODA!F:F),"null")</f>
        <v>B1.2</v>
      </c>
      <c r="AB9" s="286" t="str">
        <f>+IFERROR(_xlfn.XLOOKUP(Tabla3[[#This Row],[ID LINGODA]],LINGODA!D:D,LINGODA!G:G),"null")</f>
        <v>B1.2</v>
      </c>
    </row>
    <row r="10" spans="1:28">
      <c r="A10" s="5" t="s">
        <v>2134</v>
      </c>
      <c r="B10" s="1" t="s">
        <v>2135</v>
      </c>
      <c r="C10" s="1" t="s">
        <v>13</v>
      </c>
      <c r="D10" s="1" t="s">
        <v>109</v>
      </c>
      <c r="E10" s="60">
        <v>1773355</v>
      </c>
      <c r="F10" s="60"/>
      <c r="G10" s="18">
        <f>(_xlfn.MINIFS(INGRESOS!A:A,INGRESOS!C:C,Tabla3[[#This Row],[CORREO]]))</f>
        <v>45729</v>
      </c>
      <c r="H10" s="3">
        <f>+SUMIFS(INGRESOS!J:J,INGRESOS!D:D,Tabla3[[#This Row],[ID STRIPE]],INGRESOS!A:A,"&gt;="&amp;DATE(YEAR(Tabla3[[#This Row],[FECHA INGRESO]]),MONTH(Tabla3[[#This Row],[FECHA INGRESO]]),1),INGRESOS!A:A,"&lt;="&amp;DATE(YEAR(Tabla3[[#This Row],[FECHA INGRESO]]),MONTH(Tabla3[[#This Row],[FECHA INGRESO]])+1,0))</f>
        <v>1451</v>
      </c>
      <c r="I10" s="286">
        <f ca="1">DATEDIF(Tabla3[[#This Row],[FECHA INGRESO]],IF(OR(Tabla3[[#This Row],[ESTADO]]="OK",Tabla3[[#This Row],[ESTADO]]="¡REGULARIZAR!")=TRUE,TODAY(),IF(Tabla3[[#This Row],[ULTIMO PAGO]]="",TODAY(),Tabla3[[#This Row],[ULTIMO PAGO]])),"m")</f>
        <v>11</v>
      </c>
      <c r="J10" s="18">
        <f>(_xlfn.MAXIFS(INGRESOS!A:A,INGRESOS!C:C,Tabla3[[#This Row],[CORREO]]))</f>
        <v>46058</v>
      </c>
      <c r="K10" s="7">
        <f ca="1">+IFERROR(Tabla3[[#This Row],[ABONADO NETO ]]/Tabla3[[#This Row],[MESES ACT]],Tabla3[[#This Row],[ABONO 1ER MES]])</f>
        <v>1134.3854545454546</v>
      </c>
      <c r="L10" s="7" t="s">
        <v>2118</v>
      </c>
      <c r="M10" s="287" t="s">
        <v>2119</v>
      </c>
      <c r="N10" s="288">
        <f>+SUMIF(INGRESOS!D:D,Tabla3[[#This Row],[ID STRIPE]],INGRESOS!J:J)</f>
        <v>12478.240000000002</v>
      </c>
      <c r="O10" s="6">
        <v>20000</v>
      </c>
      <c r="P10" s="6">
        <f>+SUMIF('CALENDARIO INGRESOS'!A:A,Tabla3[[#This Row],[ID STRIPE]],'CALENDARIO INGRESOS'!I:I)</f>
        <v>19934</v>
      </c>
      <c r="Q10" s="6">
        <f>+SUMIF(INGRESOS!D:D,Tabla3[[#This Row],[ID STRIPE]],INGRESOS!G:G)</f>
        <v>12900</v>
      </c>
      <c r="R10" s="3" t="str">
        <f>IF(Tabla3[[#This Row],[ESTADO]]="OK",IF(COUNTIFS('CALENDARIO INGRESOS'!$A:$A,$D10,'CALENDARIO INGRESOS'!$H:$H,"LATAM",'CALENDARIO INGRESOS'!$L:$L,"&lt;&gt;PAGADA")&gt;0,"LATAM",
 IF(COUNTIFS('CALENDARIO INGRESOS'!$A:$A,$D10,'CALENDARIO INGRESOS'!$H:$H,"VISA",'CALENDARIO INGRESOS'!$L:$L,"&lt;&gt;PAGADA")&gt;0,"VISA",
  IF(COUNTIFS('CALENDARIO INGRESOS'!$A:$A,$D10,'CALENDARIO INGRESOS'!$H:$H,"FIRMA PA",'CALENDARIO INGRESOS'!$L:$L,"&lt;&gt;PAGADA")&gt;0,"FIRMA PA",
   IF(COUNTIFS('CALENDARIO INGRESOS'!$A:$A,$D10,'CALENDARIO INGRESOS'!$H:$H,"ALEM",'CALENDARIO INGRESOS'!$L:$L,"&lt;&gt;PAGADA")&gt;0,"ALEM","LISTO")))),"-")</f>
        <v>LATAM</v>
      </c>
      <c r="S10" s="188">
        <f>+SUMIFS('CALENDARIO INGRESOS'!I:I,'CALENDARIO INGRESOS'!A:A,Tabla3[[#This Row],[ID STRIPE]],'CALENDARIO INGRESOS'!H:H,"LATAM")</f>
        <v>19934</v>
      </c>
      <c r="T10" s="188">
        <f>+IF(Tabla3[[#This Row],[MONTO LATAM]]-Tabla3[[#This Row],[IMPORTE ABONADO]]&gt;=0,Tabla3[[#This Row],[MONTO LATAM]]-Tabla3[[#This Row],[IMPORTE ABONADO]],0)</f>
        <v>7034</v>
      </c>
      <c r="U10" s="188">
        <f>+SUMIFS('CALENDARIO INGRESOS'!I:I,'CALENDARIO INGRESOS'!A:A,Tabla3[[#This Row],[ID STRIPE]],'CALENDARIO INGRESOS'!H:H,"ALEM")</f>
        <v>0</v>
      </c>
      <c r="V10" s="6">
        <f>+SUMIFS('CALENDARIO INGRESOS'!I:I,'CALENDARIO INGRESOS'!A:A,Tabla3[[#This Row],[ID STRIPE]],'CALENDARIO INGRESOS'!H:H,"VISA")+SUMIFS('CALENDARIO INGRESOS'!I:I,'CALENDARIO INGRESOS'!A:A,Tabla3[[#This Row],[ID STRIPE]],'CALENDARIO INGRESOS'!H:H,"FIRMA PA")</f>
        <v>0</v>
      </c>
      <c r="W10" s="250">
        <v>1</v>
      </c>
      <c r="X10" s="60">
        <f>+IFERROR(AVERAGEIF('CALENDARIO INGRESOS'!A:A,Tabla3[[#This Row],[ID STRIPE]],'CALENDARIO INGRESOS'!M:M),"0")</f>
        <v>0.1</v>
      </c>
      <c r="Y10" s="18" t="s">
        <v>2093</v>
      </c>
      <c r="Z10" s="286">
        <f>+IFERROR(_xlfn.XLOOKUP(Tabla3[[#This Row],[ID LINGODA]],LINGODA!D:D,LINGODA!S:S),0)</f>
        <v>98</v>
      </c>
      <c r="AA10" s="18" t="str">
        <f>+IFERROR(_xlfn.XLOOKUP(Tabla3[[#This Row],[ID LINGODA]],LINGODA!D:D,LINGODA!F:F),"null")</f>
        <v>B2.1</v>
      </c>
      <c r="AB10" s="286" t="str">
        <f>+IFERROR(_xlfn.XLOOKUP(Tabla3[[#This Row],[ID LINGODA]],LINGODA!D:D,LINGODA!G:G),"null")</f>
        <v>B2.1</v>
      </c>
    </row>
    <row r="11" spans="1:28">
      <c r="A11" s="5" t="s">
        <v>2136</v>
      </c>
      <c r="B11" s="1" t="s">
        <v>2137</v>
      </c>
      <c r="C11" s="1" t="s">
        <v>15</v>
      </c>
      <c r="D11" s="1" t="s">
        <v>2138</v>
      </c>
      <c r="E11" s="57">
        <v>0</v>
      </c>
      <c r="F11" s="57"/>
      <c r="G11" s="18">
        <f>(_xlfn.MINIFS(INGRESOS!A:A,INGRESOS!C:C,Tabla3[[#This Row],[CORREO]]))</f>
        <v>45733</v>
      </c>
      <c r="H11" s="3">
        <f>+SUMIFS(INGRESOS!J:J,INGRESOS!D:D,Tabla3[[#This Row],[ID STRIPE]],INGRESOS!A:A,"&gt;="&amp;DATE(YEAR(Tabla3[[#This Row],[FECHA INGRESO]]),MONTH(Tabla3[[#This Row],[FECHA INGRESO]]),1),INGRESOS!A:A,"&lt;="&amp;DATE(YEAR(Tabla3[[#This Row],[FECHA INGRESO]]),MONTH(Tabla3[[#This Row],[FECHA INGRESO]])+1,0))</f>
        <v>483.5</v>
      </c>
      <c r="I11" s="286">
        <f ca="1">DATEDIF(Tabla3[[#This Row],[FECHA INGRESO]],IF(OR(Tabla3[[#This Row],[ESTADO]]="OK",Tabla3[[#This Row],[ESTADO]]="¡REGULARIZAR!")=TRUE,TODAY(),IF(Tabla3[[#This Row],[ULTIMO PAGO]]="",TODAY(),Tabla3[[#This Row],[ULTIMO PAGO]])),"m")</f>
        <v>0</v>
      </c>
      <c r="J11" s="18">
        <f>(_xlfn.MAXIFS(INGRESOS!A:A,INGRESOS!C:C,Tabla3[[#This Row],[CORREO]]))</f>
        <v>45733</v>
      </c>
      <c r="K11" s="7">
        <f ca="1">+IFERROR(Tabla3[[#This Row],[ABONADO NETO ]]/Tabla3[[#This Row],[MESES ACT]],Tabla3[[#This Row],[ABONO 1ER MES]])</f>
        <v>483.5</v>
      </c>
      <c r="L11" s="7" t="s">
        <v>2118</v>
      </c>
      <c r="M11" s="287" t="s">
        <v>2139</v>
      </c>
      <c r="N11" s="288">
        <f>+SUMIF(INGRESOS!D:D,Tabla3[[#This Row],[ID STRIPE]],INGRESOS!J:J)</f>
        <v>483.5</v>
      </c>
      <c r="O11" s="6">
        <v>19500</v>
      </c>
      <c r="P11" s="6">
        <f>+SUMIF('CALENDARIO INGRESOS'!A:A,Tabla3[[#This Row],[ID STRIPE]],'CALENDARIO INGRESOS'!I:I)</f>
        <v>0</v>
      </c>
      <c r="Q11" s="6">
        <f>+SUMIF(INGRESOS!D:D,Tabla3[[#This Row],[ID STRIPE]],INGRESOS!G:G)</f>
        <v>500</v>
      </c>
      <c r="R11" s="3" t="str">
        <f>IF(Tabla3[[#This Row],[ESTADO]]="OK",IF(COUNTIFS('CALENDARIO INGRESOS'!$A:$A,$D11,'CALENDARIO INGRESOS'!$H:$H,"LATAM",'CALENDARIO INGRESOS'!$L:$L,"&lt;&gt;PAGADA")&gt;0,"LATAM",
 IF(COUNTIFS('CALENDARIO INGRESOS'!$A:$A,$D11,'CALENDARIO INGRESOS'!$H:$H,"VISA",'CALENDARIO INGRESOS'!$L:$L,"&lt;&gt;PAGADA")&gt;0,"VISA",
  IF(COUNTIFS('CALENDARIO INGRESOS'!$A:$A,$D11,'CALENDARIO INGRESOS'!$H:$H,"FIRMA PA",'CALENDARIO INGRESOS'!$L:$L,"&lt;&gt;PAGADA")&gt;0,"FIRMA PA",
   IF(COUNTIFS('CALENDARIO INGRESOS'!$A:$A,$D11,'CALENDARIO INGRESOS'!$H:$H,"ALEM",'CALENDARIO INGRESOS'!$L:$L,"&lt;&gt;PAGADA")&gt;0,"ALEM","LISTO")))),"-")</f>
        <v>-</v>
      </c>
      <c r="S11" s="188">
        <f>+SUMIFS('CALENDARIO INGRESOS'!I:I,'CALENDARIO INGRESOS'!A:A,Tabla3[[#This Row],[ID STRIPE]],'CALENDARIO INGRESOS'!H:H,"LATAM")</f>
        <v>0</v>
      </c>
      <c r="T11" s="188">
        <f>+IF(Tabla3[[#This Row],[MONTO LATAM]]-Tabla3[[#This Row],[IMPORTE ABONADO]]&gt;=0,Tabla3[[#This Row],[MONTO LATAM]]-Tabla3[[#This Row],[IMPORTE ABONADO]],0)</f>
        <v>0</v>
      </c>
      <c r="U11" s="188">
        <f>+SUMIFS('CALENDARIO INGRESOS'!J:J,'CALENDARIO INGRESOS'!B:B,Tabla3[[#This Row],[ID STRIPE]],'CALENDARIO INGRESOS'!I:I,"ALEM")</f>
        <v>0</v>
      </c>
      <c r="V11" s="6">
        <f>+SUMIFS('CALENDARIO INGRESOS'!I:I,'CALENDARIO INGRESOS'!A:A,Tabla3[[#This Row],[ID STRIPE]],'CALENDARIO INGRESOS'!H:H,"VISA")+SUMIFS('CALENDARIO INGRESOS'!I:I,'CALENDARIO INGRESOS'!A:A,Tabla3[[#This Row],[ID STRIPE]],'CALENDARIO INGRESOS'!H:H,"FIRMA PA")</f>
        <v>0</v>
      </c>
      <c r="W11" s="250">
        <v>0</v>
      </c>
      <c r="X11" s="57" t="str">
        <f>+IFERROR(AVERAGEIF('CALENDARIO INGRESOS'!A:A,Tabla3[[#This Row],[ID STRIPE]],'CALENDARIO INGRESOS'!M:M),"0")</f>
        <v>0</v>
      </c>
      <c r="Y11" s="18" t="s">
        <v>2093</v>
      </c>
      <c r="Z11" s="286">
        <f>+IFERROR(_xlfn.XLOOKUP(Tabla3[[#This Row],[ID LINGODA]],LINGODA!D:D,LINGODA!S:S),0)</f>
        <v>0</v>
      </c>
      <c r="AA11" s="18" t="str">
        <f>+IFERROR(_xlfn.XLOOKUP(Tabla3[[#This Row],[ID LINGODA]],LINGODA!D:D,LINGODA!F:F),"null")</f>
        <v>null</v>
      </c>
      <c r="AB11" s="286" t="str">
        <f>+IFERROR(_xlfn.XLOOKUP(Tabla3[[#This Row],[ID LINGODA]],LINGODA!D:D,LINGODA!G:G),"null")</f>
        <v>null</v>
      </c>
    </row>
    <row r="12" spans="1:28">
      <c r="A12" s="5" t="s">
        <v>2140</v>
      </c>
      <c r="B12" s="1" t="s">
        <v>2141</v>
      </c>
      <c r="C12" s="1" t="s">
        <v>13</v>
      </c>
      <c r="D12" s="1" t="s">
        <v>112</v>
      </c>
      <c r="E12" s="60">
        <v>1769994</v>
      </c>
      <c r="F12" s="60"/>
      <c r="G12" s="18">
        <f>(_xlfn.MINIFS(INGRESOS!A:A,INGRESOS!C:C,Tabla3[[#This Row],[CORREO]]))</f>
        <v>45735</v>
      </c>
      <c r="H12" s="3">
        <f>+SUMIFS(INGRESOS!J:J,INGRESOS!D:D,Tabla3[[#This Row],[ID STRIPE]],INGRESOS!A:A,"&gt;="&amp;DATE(YEAR(Tabla3[[#This Row],[FECHA INGRESO]]),MONTH(Tabla3[[#This Row],[FECHA INGRESO]]),1),INGRESOS!A:A,"&lt;="&amp;DATE(YEAR(Tabla3[[#This Row],[FECHA INGRESO]]),MONTH(Tabla3[[#This Row],[FECHA INGRESO]])+1,0))</f>
        <v>2844.11</v>
      </c>
      <c r="I12" s="286">
        <f ca="1">DATEDIF(Tabla3[[#This Row],[FECHA INGRESO]],IF(OR(Tabla3[[#This Row],[ESTADO]]="OK",Tabla3[[#This Row],[ESTADO]]="¡REGULARIZAR!")=TRUE,TODAY(),IF(Tabla3[[#This Row],[ULTIMO PAGO]]="",TODAY(),Tabla3[[#This Row],[ULTIMO PAGO]])),"m")</f>
        <v>11</v>
      </c>
      <c r="J12" s="18">
        <f>(_xlfn.MAXIFS(INGRESOS!A:A,INGRESOS!C:C,Tabla3[[#This Row],[CORREO]]))</f>
        <v>46086</v>
      </c>
      <c r="K12" s="7">
        <f ca="1">+IFERROR(Tabla3[[#This Row],[ABONADO NETO ]]/Tabla3[[#This Row],[MESES ACT]],Tabla3[[#This Row],[ABONO 1ER MES]])</f>
        <v>946.57272727272732</v>
      </c>
      <c r="L12" s="7" t="s">
        <v>2118</v>
      </c>
      <c r="M12" s="287" t="s">
        <v>2119</v>
      </c>
      <c r="N12" s="288">
        <f>+SUMIF(INGRESOS!D:D,Tabla3[[#This Row],[ID STRIPE]],INGRESOS!J:J)</f>
        <v>10412.300000000001</v>
      </c>
      <c r="O12" s="6">
        <v>14000</v>
      </c>
      <c r="P12" s="6">
        <f>+SUMIF('CALENDARIO INGRESOS'!A:A,Tabla3[[#This Row],[ID STRIPE]],'CALENDARIO INGRESOS'!I:I)</f>
        <v>13225</v>
      </c>
      <c r="Q12" s="6">
        <f>+SUMIF(INGRESOS!D:D,Tabla3[[#This Row],[ID STRIPE]],INGRESOS!G:G)</f>
        <v>10825</v>
      </c>
      <c r="R12" s="3" t="str">
        <f>IF(Tabla3[[#This Row],[ESTADO]]="OK",IF(COUNTIFS('CALENDARIO INGRESOS'!$A:$A,$D12,'CALENDARIO INGRESOS'!$H:$H,"LATAM",'CALENDARIO INGRESOS'!$L:$L,"&lt;&gt;PAGADA")&gt;0,"LATAM",
 IF(COUNTIFS('CALENDARIO INGRESOS'!$A:$A,$D12,'CALENDARIO INGRESOS'!$H:$H,"VISA",'CALENDARIO INGRESOS'!$L:$L,"&lt;&gt;PAGADA")&gt;0,"VISA",
  IF(COUNTIFS('CALENDARIO INGRESOS'!$A:$A,$D12,'CALENDARIO INGRESOS'!$H:$H,"FIRMA PA",'CALENDARIO INGRESOS'!$L:$L,"&lt;&gt;PAGADA")&gt;0,"FIRMA PA",
   IF(COUNTIFS('CALENDARIO INGRESOS'!$A:$A,$D12,'CALENDARIO INGRESOS'!$H:$H,"ALEM",'CALENDARIO INGRESOS'!$L:$L,"&lt;&gt;PAGADA")&gt;0,"ALEM","LISTO")))),"-")</f>
        <v>LATAM</v>
      </c>
      <c r="S12" s="188">
        <f>+SUMIFS('CALENDARIO INGRESOS'!I:I,'CALENDARIO INGRESOS'!A:A,Tabla3[[#This Row],[ID STRIPE]],'CALENDARIO INGRESOS'!H:H,"LATAM")</f>
        <v>13225</v>
      </c>
      <c r="T12" s="188">
        <f>+IF(Tabla3[[#This Row],[MONTO LATAM]]-Tabla3[[#This Row],[IMPORTE ABONADO]]&gt;=0,Tabla3[[#This Row],[MONTO LATAM]]-Tabla3[[#This Row],[IMPORTE ABONADO]],0)</f>
        <v>2400</v>
      </c>
      <c r="U12" s="188">
        <f>+SUMIFS('CALENDARIO INGRESOS'!I:I,'CALENDARIO INGRESOS'!A:A,Tabla3[[#This Row],[ID STRIPE]],'CALENDARIO INGRESOS'!H:H,"ALEM")</f>
        <v>0</v>
      </c>
      <c r="V12" s="6">
        <f>+SUMIFS('CALENDARIO INGRESOS'!I:I,'CALENDARIO INGRESOS'!A:A,Tabla3[[#This Row],[ID STRIPE]],'CALENDARIO INGRESOS'!H:H,"VISA")+SUMIFS('CALENDARIO INGRESOS'!I:I,'CALENDARIO INGRESOS'!A:A,Tabla3[[#This Row],[ID STRIPE]],'CALENDARIO INGRESOS'!H:H,"FIRMA PA")</f>
        <v>0</v>
      </c>
      <c r="W12" s="250">
        <v>1</v>
      </c>
      <c r="X12" s="60">
        <f>+IFERROR(AVERAGEIF('CALENDARIO INGRESOS'!A:A,Tabla3[[#This Row],[ID STRIPE]],'CALENDARIO INGRESOS'!M:M),"0")</f>
        <v>-1.2727272727272727</v>
      </c>
      <c r="Y12" s="18" t="s">
        <v>2093</v>
      </c>
      <c r="Z12" s="286">
        <f>+IFERROR(_xlfn.XLOOKUP(Tabla3[[#This Row],[ID LINGODA]],LINGODA!D:D,LINGODA!S:S),0)</f>
        <v>82</v>
      </c>
      <c r="AA12" s="18" t="str">
        <f>+IFERROR(_xlfn.XLOOKUP(Tabla3[[#This Row],[ID LINGODA]],LINGODA!D:D,LINGODA!F:F),"null")</f>
        <v>B2.1</v>
      </c>
      <c r="AB12" s="286" t="str">
        <f>+IFERROR(_xlfn.XLOOKUP(Tabla3[[#This Row],[ID LINGODA]],LINGODA!D:D,LINGODA!G:G),"null")</f>
        <v>B2.3</v>
      </c>
    </row>
    <row r="13" spans="1:28">
      <c r="A13" s="5" t="s">
        <v>2142</v>
      </c>
      <c r="B13" s="1" t="s">
        <v>2143</v>
      </c>
      <c r="C13" s="1" t="s">
        <v>13</v>
      </c>
      <c r="D13" s="1" t="s">
        <v>115</v>
      </c>
      <c r="E13" s="60">
        <v>0</v>
      </c>
      <c r="F13" s="60"/>
      <c r="G13" s="18">
        <f>(_xlfn.MINIFS(INGRESOS!A:A,INGRESOS!C:C,Tabla3[[#This Row],[CORREO]]))</f>
        <v>45737</v>
      </c>
      <c r="H13" s="3">
        <f>+SUMIFS(INGRESOS!J:J,INGRESOS!D:D,Tabla3[[#This Row],[ID STRIPE]],INGRESOS!A:A,"&gt;="&amp;DATE(YEAR(Tabla3[[#This Row],[FECHA INGRESO]]),MONTH(Tabla3[[#This Row],[FECHA INGRESO]]),1),INGRESOS!A:A,"&lt;="&amp;DATE(YEAR(Tabla3[[#This Row],[FECHA INGRESO]]),MONTH(Tabla3[[#This Row],[FECHA INGRESO]])+1,0))</f>
        <v>1421.81</v>
      </c>
      <c r="I13" s="286">
        <f ca="1">DATEDIF(Tabla3[[#This Row],[FECHA INGRESO]],IF(OR(Tabla3[[#This Row],[ESTADO]]="OK",Tabla3[[#This Row],[ESTADO]]="¡REGULARIZAR!")=TRUE,TODAY(),IF(Tabla3[[#This Row],[ULTIMO PAGO]]="",TODAY(),Tabla3[[#This Row],[ULTIMO PAGO]])),"m")</f>
        <v>11</v>
      </c>
      <c r="J13" s="18">
        <f>(_xlfn.MAXIFS(INGRESOS!A:A,INGRESOS!C:C,Tabla3[[#This Row],[CORREO]]))</f>
        <v>46022</v>
      </c>
      <c r="K13" s="7">
        <f ca="1">+IFERROR(Tabla3[[#This Row],[ABONADO NETO ]]/Tabla3[[#This Row],[MESES ACT]],Tabla3[[#This Row],[ABONO 1ER MES]])</f>
        <v>1048.2109090909091</v>
      </c>
      <c r="L13" s="7" t="s">
        <v>2118</v>
      </c>
      <c r="M13" s="287" t="s">
        <v>2119</v>
      </c>
      <c r="N13" s="288">
        <f>+SUMIF(INGRESOS!D:D,Tabla3[[#This Row],[ID STRIPE]],INGRESOS!J:J)</f>
        <v>11530.32</v>
      </c>
      <c r="O13" s="6">
        <v>18000</v>
      </c>
      <c r="P13" s="6">
        <f>+SUMIF('CALENDARIO INGRESOS'!A:A,Tabla3[[#This Row],[ID STRIPE]],'CALENDARIO INGRESOS'!I:I)</f>
        <v>18120</v>
      </c>
      <c r="Q13" s="6">
        <f>+SUMIF(INGRESOS!D:D,Tabla3[[#This Row],[ID STRIPE]],INGRESOS!G:G)</f>
        <v>12000</v>
      </c>
      <c r="R13" s="3" t="str">
        <f>IF(Tabla3[[#This Row],[ESTADO]]="OK",IF(COUNTIFS('CALENDARIO INGRESOS'!$A:$A,$D13,'CALENDARIO INGRESOS'!$H:$H,"LATAM",'CALENDARIO INGRESOS'!$L:$L,"&lt;&gt;PAGADA")&gt;0,"LATAM",
 IF(COUNTIFS('CALENDARIO INGRESOS'!$A:$A,$D13,'CALENDARIO INGRESOS'!$H:$H,"VISA",'CALENDARIO INGRESOS'!$L:$L,"&lt;&gt;PAGADA")&gt;0,"VISA",
  IF(COUNTIFS('CALENDARIO INGRESOS'!$A:$A,$D13,'CALENDARIO INGRESOS'!$H:$H,"FIRMA PA",'CALENDARIO INGRESOS'!$L:$L,"&lt;&gt;PAGADA")&gt;0,"FIRMA PA",
   IF(COUNTIFS('CALENDARIO INGRESOS'!$A:$A,$D13,'CALENDARIO INGRESOS'!$H:$H,"ALEM",'CALENDARIO INGRESOS'!$L:$L,"&lt;&gt;PAGADA")&gt;0,"ALEM","LISTO")))),"-")</f>
        <v>FIRMA PA</v>
      </c>
      <c r="S13" s="188">
        <f>+SUMIFS('CALENDARIO INGRESOS'!I:I,'CALENDARIO INGRESOS'!A:A,Tabla3[[#This Row],[ID STRIPE]],'CALENDARIO INGRESOS'!H:H,"LATAM")</f>
        <v>12000</v>
      </c>
      <c r="T13" s="188">
        <f>+IF(Tabla3[[#This Row],[MONTO LATAM]]-Tabla3[[#This Row],[IMPORTE ABONADO]]&gt;=0,Tabla3[[#This Row],[MONTO LATAM]]-Tabla3[[#This Row],[IMPORTE ABONADO]],0)</f>
        <v>0</v>
      </c>
      <c r="U13" s="188">
        <f>+SUMIFS('CALENDARIO INGRESOS'!I:I,'CALENDARIO INGRESOS'!A:A,Tabla3[[#This Row],[ID STRIPE]],'CALENDARIO INGRESOS'!H:H,"ALEM")</f>
        <v>0</v>
      </c>
      <c r="V13" s="6">
        <f>+SUMIFS('CALENDARIO INGRESOS'!I:I,'CALENDARIO INGRESOS'!A:A,Tabla3[[#This Row],[ID STRIPE]],'CALENDARIO INGRESOS'!H:H,"VISA")+SUMIFS('CALENDARIO INGRESOS'!I:I,'CALENDARIO INGRESOS'!A:A,Tabla3[[#This Row],[ID STRIPE]],'CALENDARIO INGRESOS'!H:H,"FIRMA PA")</f>
        <v>6120</v>
      </c>
      <c r="W13" s="250">
        <v>1</v>
      </c>
      <c r="X13" s="60">
        <f>+IFERROR(AVERAGEIF('CALENDARIO INGRESOS'!A:A,Tabla3[[#This Row],[ID STRIPE]],'CALENDARIO INGRESOS'!M:M),"0")</f>
        <v>-0.5</v>
      </c>
      <c r="Y13" s="18" t="s">
        <v>2093</v>
      </c>
      <c r="Z13" s="286">
        <f>+IFERROR(_xlfn.XLOOKUP(Tabla3[[#This Row],[ID LINGODA]],LINGODA!D:D,LINGODA!S:S),0)</f>
        <v>0</v>
      </c>
      <c r="AA13" s="18" t="str">
        <f>+IFERROR(_xlfn.XLOOKUP(Tabla3[[#This Row],[ID LINGODA]],LINGODA!D:D,LINGODA!F:F),"null")</f>
        <v>null</v>
      </c>
      <c r="AB13" s="286" t="str">
        <f>+IFERROR(_xlfn.XLOOKUP(Tabla3[[#This Row],[ID LINGODA]],LINGODA!D:D,LINGODA!G:G),"null")</f>
        <v>null</v>
      </c>
    </row>
    <row r="14" spans="1:28">
      <c r="A14" s="5" t="s">
        <v>2144</v>
      </c>
      <c r="B14" s="1" t="s">
        <v>2145</v>
      </c>
      <c r="C14" s="1" t="s">
        <v>11</v>
      </c>
      <c r="D14" s="1" t="s">
        <v>122</v>
      </c>
      <c r="E14" s="60">
        <v>1773356</v>
      </c>
      <c r="F14" s="60"/>
      <c r="G14" s="18">
        <f>(_xlfn.MINIFS(INGRESOS!A:A,INGRESOS!C:C,Tabla3[[#This Row],[CORREO]]))</f>
        <v>45740</v>
      </c>
      <c r="H14" s="3">
        <f>+SUMIFS(INGRESOS!J:J,INGRESOS!D:D,Tabla3[[#This Row],[ID STRIPE]],INGRESOS!A:A,"&gt;="&amp;DATE(YEAR(Tabla3[[#This Row],[FECHA INGRESO]]),MONTH(Tabla3[[#This Row],[FECHA INGRESO]]),1),INGRESOS!A:A,"&lt;="&amp;DATE(YEAR(Tabla3[[#This Row],[FECHA INGRESO]]),MONTH(Tabla3[[#This Row],[FECHA INGRESO]])+1,0))</f>
        <v>3848.069184</v>
      </c>
      <c r="I14" s="286">
        <f ca="1">DATEDIF(Tabla3[[#This Row],[FECHA INGRESO]],IF(OR(Tabla3[[#This Row],[ESTADO]]="OK",Tabla3[[#This Row],[ESTADO]]="¡REGULARIZAR!")=TRUE,TODAY(),IF(Tabla3[[#This Row],[ULTIMO PAGO]]="",TODAY(),Tabla3[[#This Row],[ULTIMO PAGO]])),"m")</f>
        <v>11</v>
      </c>
      <c r="J14" s="18">
        <f>(_xlfn.MAXIFS(INGRESOS!A:A,INGRESOS!C:C,Tabla3[[#This Row],[CORREO]]))</f>
        <v>45812</v>
      </c>
      <c r="K14" s="7">
        <f ca="1">+IFERROR(Tabla3[[#This Row],[ABONADO NETO ]]/Tabla3[[#This Row],[MESES ACT]],Tabla3[[#This Row],[ABONO 1ER MES]])</f>
        <v>1089.138797964918</v>
      </c>
      <c r="L14" s="7" t="s">
        <v>2118</v>
      </c>
      <c r="M14" s="287" t="s">
        <v>2119</v>
      </c>
      <c r="N14" s="288">
        <f>+SUMIF(INGRESOS!D:D,Tabla3[[#This Row],[ID STRIPE]],INGRESOS!J:J)</f>
        <v>11980.526777614097</v>
      </c>
      <c r="O14" s="6">
        <v>20000</v>
      </c>
      <c r="P14" s="6">
        <f>+SUMIF('CALENDARIO INGRESOS'!A:A,Tabla3[[#This Row],[ID STRIPE]],'CALENDARIO INGRESOS'!I:I)</f>
        <v>19000</v>
      </c>
      <c r="Q14" s="6">
        <f>+SUMIF(INGRESOS!D:D,Tabla3[[#This Row],[ID STRIPE]],INGRESOS!G:G)</f>
        <v>11980.526777614097</v>
      </c>
      <c r="R14" s="3" t="str">
        <f>IF(Tabla3[[#This Row],[ESTADO]]="OK",IF(COUNTIFS('CALENDARIO INGRESOS'!$A:$A,$D14,'CALENDARIO INGRESOS'!$H:$H,"LATAM",'CALENDARIO INGRESOS'!$L:$L,"&lt;&gt;PAGADA")&gt;0,"LATAM",
 IF(COUNTIFS('CALENDARIO INGRESOS'!$A:$A,$D14,'CALENDARIO INGRESOS'!$H:$H,"VISA",'CALENDARIO INGRESOS'!$L:$L,"&lt;&gt;PAGADA")&gt;0,"VISA",
  IF(COUNTIFS('CALENDARIO INGRESOS'!$A:$A,$D14,'CALENDARIO INGRESOS'!$H:$H,"FIRMA PA",'CALENDARIO INGRESOS'!$L:$L,"&lt;&gt;PAGADA")&gt;0,"FIRMA PA",
   IF(COUNTIFS('CALENDARIO INGRESOS'!$A:$A,$D14,'CALENDARIO INGRESOS'!$H:$H,"ALEM",'CALENDARIO INGRESOS'!$L:$L,"&lt;&gt;PAGADA")&gt;0,"ALEM","LISTO")))),"-")</f>
        <v>FIRMA PA</v>
      </c>
      <c r="S14" s="188">
        <f>+SUMIFS('CALENDARIO INGRESOS'!I:I,'CALENDARIO INGRESOS'!A:A,Tabla3[[#This Row],[ID STRIPE]],'CALENDARIO INGRESOS'!H:H,"LATAM")</f>
        <v>11000</v>
      </c>
      <c r="T14" s="188">
        <f>+IF(Tabla3[[#This Row],[MONTO LATAM]]-Tabla3[[#This Row],[IMPORTE ABONADO]]&gt;=0,Tabla3[[#This Row],[MONTO LATAM]]-Tabla3[[#This Row],[IMPORTE ABONADO]],0)</f>
        <v>0</v>
      </c>
      <c r="U14" s="188">
        <f>+SUMIFS('CALENDARIO INGRESOS'!I:I,'CALENDARIO INGRESOS'!A:A,Tabla3[[#This Row],[ID STRIPE]],'CALENDARIO INGRESOS'!H:H,"ALEM")</f>
        <v>0</v>
      </c>
      <c r="V14" s="6">
        <f>+SUMIFS('CALENDARIO INGRESOS'!I:I,'CALENDARIO INGRESOS'!A:A,Tabla3[[#This Row],[ID STRIPE]],'CALENDARIO INGRESOS'!H:H,"VISA")+SUMIFS('CALENDARIO INGRESOS'!I:I,'CALENDARIO INGRESOS'!A:A,Tabla3[[#This Row],[ID STRIPE]],'CALENDARIO INGRESOS'!H:H,"FIRMA PA")</f>
        <v>8000</v>
      </c>
      <c r="W14" s="252">
        <v>0</v>
      </c>
      <c r="X14" s="60">
        <f>+IFERROR(AVERAGEIF('CALENDARIO INGRESOS'!A:A,Tabla3[[#This Row],[ID STRIPE]],'CALENDARIO INGRESOS'!M:M),"0")</f>
        <v>1</v>
      </c>
      <c r="Y14" s="18">
        <v>46113</v>
      </c>
      <c r="Z14" s="286">
        <f>+IFERROR(_xlfn.XLOOKUP(Tabla3[[#This Row],[ID LINGODA]],LINGODA!D:D,LINGODA!S:S),0)</f>
        <v>67</v>
      </c>
      <c r="AA14" s="18" t="str">
        <f>+IFERROR(_xlfn.XLOOKUP(Tabla3[[#This Row],[ID LINGODA]],LINGODA!D:D,LINGODA!F:F),"null")</f>
        <v>A2.1</v>
      </c>
      <c r="AB14" s="286" t="str">
        <f>+IFERROR(_xlfn.XLOOKUP(Tabla3[[#This Row],[ID LINGODA]],LINGODA!D:D,LINGODA!G:G),"null")</f>
        <v>A2.2</v>
      </c>
    </row>
    <row r="15" spans="1:28">
      <c r="A15" s="5" t="s">
        <v>2146</v>
      </c>
      <c r="B15" s="1" t="s">
        <v>2147</v>
      </c>
      <c r="C15" s="1" t="s">
        <v>11</v>
      </c>
      <c r="D15" s="1" t="s">
        <v>129</v>
      </c>
      <c r="E15" s="60">
        <v>1788049</v>
      </c>
      <c r="F15" s="60"/>
      <c r="G15" s="18">
        <f>(_xlfn.MINIFS(INGRESOS!A:A,INGRESOS!C:C,Tabla3[[#This Row],[CORREO]]))</f>
        <v>45740</v>
      </c>
      <c r="H15" s="3">
        <f>+SUMIFS(INGRESOS!J:J,INGRESOS!D:D,Tabla3[[#This Row],[ID STRIPE]],INGRESOS!A:A,"&gt;="&amp;DATE(YEAR(Tabla3[[#This Row],[FECHA INGRESO]]),MONTH(Tabla3[[#This Row],[FECHA INGRESO]]),1),INGRESOS!A:A,"&lt;="&amp;DATE(YEAR(Tabla3[[#This Row],[FECHA INGRESO]]),MONTH(Tabla3[[#This Row],[FECHA INGRESO]])+1,0))</f>
        <v>1445.8846400000002</v>
      </c>
      <c r="I15" s="286">
        <f ca="1">DATEDIF(Tabla3[[#This Row],[FECHA INGRESO]],IF(OR(Tabla3[[#This Row],[ESTADO]]="OK",Tabla3[[#This Row],[ESTADO]]="¡REGULARIZAR!")=TRUE,TODAY(),IF(Tabla3[[#This Row],[ULTIMO PAGO]]="",TODAY(),Tabla3[[#This Row],[ULTIMO PAGO]])),"m")</f>
        <v>11</v>
      </c>
      <c r="J15" s="18">
        <f>(_xlfn.MAXIFS(INGRESOS!A:A,INGRESOS!C:C,Tabla3[[#This Row],[CORREO]]))</f>
        <v>46087</v>
      </c>
      <c r="K15" s="7">
        <f ca="1">+IFERROR(Tabla3[[#This Row],[ABONADO NETO ]]/Tabla3[[#This Row],[MESES ACT]],Tabla3[[#This Row],[ABONO 1ER MES]])</f>
        <v>1177.853149090909</v>
      </c>
      <c r="L15" s="7" t="s">
        <v>2118</v>
      </c>
      <c r="M15" s="287" t="s">
        <v>2119</v>
      </c>
      <c r="N15" s="288">
        <f>+SUMIF(INGRESOS!D:D,Tabla3[[#This Row],[ID STRIPE]],INGRESOS!J:J)</f>
        <v>12956.38464</v>
      </c>
      <c r="O15" s="6">
        <v>18000</v>
      </c>
      <c r="P15" s="6">
        <f>+SUMIF('CALENDARIO INGRESOS'!A:A,Tabla3[[#This Row],[ID STRIPE]],'CALENDARIO INGRESOS'!I:I)</f>
        <v>18000</v>
      </c>
      <c r="Q15" s="6">
        <f>+SUMIF(INGRESOS!D:D,Tabla3[[#This Row],[ID STRIPE]],INGRESOS!G:G)</f>
        <v>13402.999040000001</v>
      </c>
      <c r="R15" s="3" t="str">
        <f>IF(Tabla3[[#This Row],[ESTADO]]="OK",IF(COUNTIFS('CALENDARIO INGRESOS'!$A:$A,$D15,'CALENDARIO INGRESOS'!$H:$H,"LATAM",'CALENDARIO INGRESOS'!$L:$L,"&lt;&gt;PAGADA")&gt;0,"LATAM",
 IF(COUNTIFS('CALENDARIO INGRESOS'!$A:$A,$D15,'CALENDARIO INGRESOS'!$H:$H,"VISA",'CALENDARIO INGRESOS'!$L:$L,"&lt;&gt;PAGADA")&gt;0,"VISA",
  IF(COUNTIFS('CALENDARIO INGRESOS'!$A:$A,$D15,'CALENDARIO INGRESOS'!$H:$H,"FIRMA PA",'CALENDARIO INGRESOS'!$L:$L,"&lt;&gt;PAGADA")&gt;0,"FIRMA PA",
   IF(COUNTIFS('CALENDARIO INGRESOS'!$A:$A,$D15,'CALENDARIO INGRESOS'!$H:$H,"ALEM",'CALENDARIO INGRESOS'!$L:$L,"&lt;&gt;PAGADA")&gt;0,"ALEM","LISTO")))),"-")</f>
        <v>LATAM</v>
      </c>
      <c r="S15" s="188">
        <f>+SUMIFS('CALENDARIO INGRESOS'!I:I,'CALENDARIO INGRESOS'!A:A,Tabla3[[#This Row],[ID STRIPE]],'CALENDARIO INGRESOS'!H:H,"LATAM")</f>
        <v>18000</v>
      </c>
      <c r="T15" s="188">
        <f>+IF(Tabla3[[#This Row],[MONTO LATAM]]-Tabla3[[#This Row],[IMPORTE ABONADO]]&gt;=0,Tabla3[[#This Row],[MONTO LATAM]]-Tabla3[[#This Row],[IMPORTE ABONADO]],0)</f>
        <v>4597.0009599999994</v>
      </c>
      <c r="U15" s="188">
        <f>+SUMIFS('CALENDARIO INGRESOS'!I:I,'CALENDARIO INGRESOS'!A:A,Tabla3[[#This Row],[ID STRIPE]],'CALENDARIO INGRESOS'!H:H,"ALEM")</f>
        <v>0</v>
      </c>
      <c r="V15" s="6">
        <f>+SUMIFS('CALENDARIO INGRESOS'!I:I,'CALENDARIO INGRESOS'!A:A,Tabla3[[#This Row],[ID STRIPE]],'CALENDARIO INGRESOS'!H:H,"VISA")+SUMIFS('CALENDARIO INGRESOS'!I:I,'CALENDARIO INGRESOS'!A:A,Tabla3[[#This Row],[ID STRIPE]],'CALENDARIO INGRESOS'!H:H,"FIRMA PA")</f>
        <v>0</v>
      </c>
      <c r="W15" s="250">
        <v>1</v>
      </c>
      <c r="X15" s="60">
        <f>+IFERROR(AVERAGEIF('CALENDARIO INGRESOS'!A:A,Tabla3[[#This Row],[ID STRIPE]],'CALENDARIO INGRESOS'!M:M),"0")</f>
        <v>0</v>
      </c>
      <c r="Y15" s="18">
        <v>46113</v>
      </c>
      <c r="Z15" s="286">
        <f>+IFERROR(_xlfn.XLOOKUP(Tabla3[[#This Row],[ID LINGODA]],LINGODA!D:D,LINGODA!S:S),0)</f>
        <v>0</v>
      </c>
      <c r="AA15" s="18" t="str">
        <f>+IFERROR(_xlfn.XLOOKUP(Tabla3[[#This Row],[ID LINGODA]],LINGODA!D:D,LINGODA!F:F),"null")</f>
        <v>null</v>
      </c>
      <c r="AB15" s="286" t="str">
        <f>+IFERROR(_xlfn.XLOOKUP(Tabla3[[#This Row],[ID LINGODA]],LINGODA!D:D,LINGODA!G:G),"null")</f>
        <v>null</v>
      </c>
    </row>
    <row r="16" spans="1:28">
      <c r="A16" s="5" t="s">
        <v>2148</v>
      </c>
      <c r="B16" s="1" t="s">
        <v>2149</v>
      </c>
      <c r="C16" s="1" t="s">
        <v>13</v>
      </c>
      <c r="D16" s="1" t="s">
        <v>187</v>
      </c>
      <c r="E16" s="60">
        <v>1790500</v>
      </c>
      <c r="F16" s="60"/>
      <c r="G16" s="18">
        <f>(_xlfn.MINIFS(INGRESOS!A:A,INGRESOS!C:C,Tabla3[[#This Row],[CORREO]]))</f>
        <v>45741</v>
      </c>
      <c r="H16" s="3">
        <f>+SUMIFS(INGRESOS!J:J,INGRESOS!D:D,Tabla3[[#This Row],[ID STRIPE]],INGRESOS!A:A,"&gt;="&amp;DATE(YEAR(Tabla3[[#This Row],[FECHA INGRESO]]),MONTH(Tabla3[[#This Row],[FECHA INGRESO]]),1),INGRESOS!A:A,"&lt;="&amp;DATE(YEAR(Tabla3[[#This Row],[FECHA INGRESO]]),MONTH(Tabla3[[#This Row],[FECHA INGRESO]])+1,0))</f>
        <v>967.25</v>
      </c>
      <c r="I16" s="286">
        <f ca="1">DATEDIF(Tabla3[[#This Row],[FECHA INGRESO]],IF(OR(Tabla3[[#This Row],[ESTADO]]="OK",Tabla3[[#This Row],[ESTADO]]="¡REGULARIZAR!")=TRUE,TODAY(),IF(Tabla3[[#This Row],[ULTIMO PAGO]]="",TODAY(),Tabla3[[#This Row],[ULTIMO PAGO]])),"m")</f>
        <v>11</v>
      </c>
      <c r="J16" s="18">
        <f>(_xlfn.MAXIFS(INGRESOS!A:A,INGRESOS!C:C,Tabla3[[#This Row],[CORREO]]))</f>
        <v>46067</v>
      </c>
      <c r="K16" s="7">
        <f ca="1">+IFERROR(Tabla3[[#This Row],[ABONADO NETO ]]/Tabla3[[#This Row],[MESES ACT]],Tabla3[[#This Row],[ABONO 1ER MES]])</f>
        <v>1298.6400000000001</v>
      </c>
      <c r="L16" s="7" t="s">
        <v>2118</v>
      </c>
      <c r="M16" s="287" t="s">
        <v>2119</v>
      </c>
      <c r="N16" s="288">
        <f>+SUMIF(INGRESOS!D:D,Tabla3[[#This Row],[ID STRIPE]],INGRESOS!J:J)</f>
        <v>14285.04</v>
      </c>
      <c r="O16" s="6">
        <v>20000</v>
      </c>
      <c r="P16" s="6">
        <f>+SUMIF('CALENDARIO INGRESOS'!A:A,Tabla3[[#This Row],[ID STRIPE]],'CALENDARIO INGRESOS'!I:I)</f>
        <v>19718</v>
      </c>
      <c r="Q16" s="6">
        <f>+SUMIF(INGRESOS!D:D,Tabla3[[#This Row],[ID STRIPE]],INGRESOS!G:G)</f>
        <v>14768</v>
      </c>
      <c r="R16" s="3" t="str">
        <f>IF(Tabla3[[#This Row],[ESTADO]]="OK",IF(COUNTIFS('CALENDARIO INGRESOS'!$A:$A,$D16,'CALENDARIO INGRESOS'!$H:$H,"LATAM",'CALENDARIO INGRESOS'!$L:$L,"&lt;&gt;PAGADA")&gt;0,"LATAM",
 IF(COUNTIFS('CALENDARIO INGRESOS'!$A:$A,$D16,'CALENDARIO INGRESOS'!$H:$H,"VISA",'CALENDARIO INGRESOS'!$L:$L,"&lt;&gt;PAGADA")&gt;0,"VISA",
  IF(COUNTIFS('CALENDARIO INGRESOS'!$A:$A,$D16,'CALENDARIO INGRESOS'!$H:$H,"FIRMA PA",'CALENDARIO INGRESOS'!$L:$L,"&lt;&gt;PAGADA")&gt;0,"FIRMA PA",
   IF(COUNTIFS('CALENDARIO INGRESOS'!$A:$A,$D16,'CALENDARIO INGRESOS'!$H:$H,"ALEM",'CALENDARIO INGRESOS'!$L:$L,"&lt;&gt;PAGADA")&gt;0,"ALEM","LISTO")))),"-")</f>
        <v>LATAM</v>
      </c>
      <c r="S16" s="188">
        <f>+SUMIFS('CALENDARIO INGRESOS'!I:I,'CALENDARIO INGRESOS'!A:A,Tabla3[[#This Row],[ID STRIPE]],'CALENDARIO INGRESOS'!H:H,"LATAM")</f>
        <v>19718</v>
      </c>
      <c r="T16" s="188">
        <f>+IF(Tabla3[[#This Row],[MONTO LATAM]]-Tabla3[[#This Row],[IMPORTE ABONADO]]&gt;=0,Tabla3[[#This Row],[MONTO LATAM]]-Tabla3[[#This Row],[IMPORTE ABONADO]],0)</f>
        <v>4950</v>
      </c>
      <c r="U16" s="188">
        <f>+SUMIFS('CALENDARIO INGRESOS'!I:I,'CALENDARIO INGRESOS'!A:A,Tabla3[[#This Row],[ID STRIPE]],'CALENDARIO INGRESOS'!H:H,"ALEM")</f>
        <v>0</v>
      </c>
      <c r="V16" s="6">
        <f>+SUMIFS('CALENDARIO INGRESOS'!I:I,'CALENDARIO INGRESOS'!A:A,Tabla3[[#This Row],[ID STRIPE]],'CALENDARIO INGRESOS'!H:H,"VISA")+SUMIFS('CALENDARIO INGRESOS'!I:I,'CALENDARIO INGRESOS'!A:A,Tabla3[[#This Row],[ID STRIPE]],'CALENDARIO INGRESOS'!H:H,"FIRMA PA")</f>
        <v>0</v>
      </c>
      <c r="W16" s="250">
        <v>1</v>
      </c>
      <c r="X16" s="60">
        <f>+IFERROR(AVERAGEIF('CALENDARIO INGRESOS'!A:A,Tabla3[[#This Row],[ID STRIPE]],'CALENDARIO INGRESOS'!M:M),"0")</f>
        <v>21.583333333333332</v>
      </c>
      <c r="Y16" s="18" t="s">
        <v>2093</v>
      </c>
      <c r="Z16" s="286">
        <f>+IFERROR(_xlfn.XLOOKUP(Tabla3[[#This Row],[ID LINGODA]],LINGODA!D:D,LINGODA!S:S),0)</f>
        <v>93</v>
      </c>
      <c r="AA16" s="18" t="str">
        <f>+IFERROR(_xlfn.XLOOKUP(Tabla3[[#This Row],[ID LINGODA]],LINGODA!D:D,LINGODA!F:F),"null")</f>
        <v>B1.1</v>
      </c>
      <c r="AB16" s="286" t="str">
        <f>+IFERROR(_xlfn.XLOOKUP(Tabla3[[#This Row],[ID LINGODA]],LINGODA!D:D,LINGODA!G:G),"null")</f>
        <v>B2.2</v>
      </c>
    </row>
    <row r="17" spans="1:28">
      <c r="A17" s="5" t="s">
        <v>2150</v>
      </c>
      <c r="B17" s="1" t="s">
        <v>2151</v>
      </c>
      <c r="C17" s="1" t="s">
        <v>12</v>
      </c>
      <c r="D17" s="1" t="s">
        <v>132</v>
      </c>
      <c r="E17" s="57">
        <v>1822194</v>
      </c>
      <c r="F17" s="57"/>
      <c r="G17" s="18">
        <f>(_xlfn.MINIFS(INGRESOS!A:A,INGRESOS!C:C,Tabla3[[#This Row],[CORREO]]))</f>
        <v>45742</v>
      </c>
      <c r="H17" s="3">
        <f>+SUMIFS(INGRESOS!J:J,INGRESOS!D:D,Tabla3[[#This Row],[ID STRIPE]],INGRESOS!A:A,"&gt;="&amp;DATE(YEAR(Tabla3[[#This Row],[FECHA INGRESO]]),MONTH(Tabla3[[#This Row],[FECHA INGRESO]]),1),INGRESOS!A:A,"&lt;="&amp;DATE(YEAR(Tabla3[[#This Row],[FECHA INGRESO]]),MONTH(Tabla3[[#This Row],[FECHA INGRESO]])+1,0))</f>
        <v>491.42130000000009</v>
      </c>
      <c r="I17" s="286">
        <f ca="1">DATEDIF(Tabla3[[#This Row],[FECHA INGRESO]],IF(OR(Tabla3[[#This Row],[ESTADO]]="OK",Tabla3[[#This Row],[ESTADO]]="¡REGULARIZAR!")=TRUE,TODAY(),IF(Tabla3[[#This Row],[ULTIMO PAGO]]="",TODAY(),Tabla3[[#This Row],[ULTIMO PAGO]])),"m")</f>
        <v>6</v>
      </c>
      <c r="J17" s="18">
        <f>(_xlfn.MAXIFS(INGRESOS!A:A,INGRESOS!C:C,Tabla3[[#This Row],[CORREO]]))</f>
        <v>45930</v>
      </c>
      <c r="K17" s="7">
        <f ca="1">+IFERROR(Tabla3[[#This Row],[ABONADO NETO ]]/Tabla3[[#This Row],[MESES ACT]],Tabla3[[#This Row],[ABONO 1ER MES]])</f>
        <v>243.07021666666665</v>
      </c>
      <c r="L17" s="7" t="s">
        <v>2118</v>
      </c>
      <c r="M17" s="287" t="s">
        <v>2152</v>
      </c>
      <c r="N17" s="288">
        <f>+SUMIF(INGRESOS!D:D,Tabla3[[#This Row],[ID STRIPE]],INGRESOS!J:J)</f>
        <v>1458.4213</v>
      </c>
      <c r="O17" s="6">
        <v>22000</v>
      </c>
      <c r="P17" s="6">
        <f>+SUMIF('CALENDARIO INGRESOS'!A:A,Tabla3[[#This Row],[ID STRIPE]],'CALENDARIO INGRESOS'!I:I)</f>
        <v>1500</v>
      </c>
      <c r="Q17" s="6">
        <f>+SUMIF(INGRESOS!D:D,Tabla3[[#This Row],[ID STRIPE]],INGRESOS!G:G)</f>
        <v>1508.2171000000001</v>
      </c>
      <c r="R17" s="3" t="str">
        <f>IF(Tabla3[[#This Row],[ESTADO]]="OK",IF(COUNTIFS('CALENDARIO INGRESOS'!$A:$A,$D17,'CALENDARIO INGRESOS'!$H:$H,"LATAM",'CALENDARIO INGRESOS'!$L:$L,"&lt;&gt;PAGADA")&gt;0,"LATAM",
 IF(COUNTIFS('CALENDARIO INGRESOS'!$A:$A,$D17,'CALENDARIO INGRESOS'!$H:$H,"VISA",'CALENDARIO INGRESOS'!$L:$L,"&lt;&gt;PAGADA")&gt;0,"VISA",
  IF(COUNTIFS('CALENDARIO INGRESOS'!$A:$A,$D17,'CALENDARIO INGRESOS'!$H:$H,"FIRMA PA",'CALENDARIO INGRESOS'!$L:$L,"&lt;&gt;PAGADA")&gt;0,"FIRMA PA",
   IF(COUNTIFS('CALENDARIO INGRESOS'!$A:$A,$D17,'CALENDARIO INGRESOS'!$H:$H,"ALEM",'CALENDARIO INGRESOS'!$L:$L,"&lt;&gt;PAGADA")&gt;0,"ALEM","LISTO")))),"-")</f>
        <v>-</v>
      </c>
      <c r="S17" s="188">
        <f>+SUMIFS('CALENDARIO INGRESOS'!I:I,'CALENDARIO INGRESOS'!A:A,Tabla3[[#This Row],[ID STRIPE]],'CALENDARIO INGRESOS'!H:H,"LATAM")</f>
        <v>1500</v>
      </c>
      <c r="T17" s="188">
        <f>+IF(Tabla3[[#This Row],[MONTO LATAM]]-Tabla3[[#This Row],[IMPORTE ABONADO]]&gt;=0,Tabla3[[#This Row],[MONTO LATAM]]-Tabla3[[#This Row],[IMPORTE ABONADO]],0)</f>
        <v>0</v>
      </c>
      <c r="U17" s="188">
        <f>+SUMIFS('CALENDARIO INGRESOS'!I:I,'CALENDARIO INGRESOS'!A:A,Tabla3[[#This Row],[ID STRIPE]],'CALENDARIO INGRESOS'!H:H,"ALEM")</f>
        <v>0</v>
      </c>
      <c r="V17" s="6">
        <f>+SUMIFS('CALENDARIO INGRESOS'!I:I,'CALENDARIO INGRESOS'!A:A,Tabla3[[#This Row],[ID STRIPE]],'CALENDARIO INGRESOS'!H:H,"VISA")+SUMIFS('CALENDARIO INGRESOS'!I:I,'CALENDARIO INGRESOS'!A:A,Tabla3[[#This Row],[ID STRIPE]],'CALENDARIO INGRESOS'!H:H,"FIRMA PA")</f>
        <v>0</v>
      </c>
      <c r="W17" s="252">
        <v>0</v>
      </c>
      <c r="X17" s="57">
        <f>+IFERROR(AVERAGEIF('CALENDARIO INGRESOS'!A:A,Tabla3[[#This Row],[ID STRIPE]],'CALENDARIO INGRESOS'!M:M),"0")</f>
        <v>0</v>
      </c>
      <c r="Y17" s="18" t="s">
        <v>2093</v>
      </c>
      <c r="Z17" s="286">
        <f>+IFERROR(_xlfn.XLOOKUP(Tabla3[[#This Row],[ID LINGODA]],LINGODA!D:D,LINGODA!S:S),0)</f>
        <v>38</v>
      </c>
      <c r="AA17" s="18" t="str">
        <f>+IFERROR(_xlfn.XLOOKUP(Tabla3[[#This Row],[ID LINGODA]],LINGODA!D:D,LINGODA!F:F),"null")</f>
        <v>A1.1</v>
      </c>
      <c r="AB17" s="286" t="str">
        <f>+IFERROR(_xlfn.XLOOKUP(Tabla3[[#This Row],[ID LINGODA]],LINGODA!D:D,LINGODA!G:G),"null")</f>
        <v>A1.1</v>
      </c>
    </row>
    <row r="18" spans="1:28">
      <c r="A18" s="5" t="s">
        <v>2153</v>
      </c>
      <c r="B18" s="1" t="s">
        <v>2154</v>
      </c>
      <c r="C18" s="1" t="s">
        <v>11</v>
      </c>
      <c r="D18" s="1" t="s">
        <v>136</v>
      </c>
      <c r="E18" s="60">
        <v>1777591</v>
      </c>
      <c r="F18" s="60"/>
      <c r="G18" s="18">
        <f>(_xlfn.MINIFS(INGRESOS!A:A,INGRESOS!C:C,Tabla3[[#This Row],[CORREO]]))</f>
        <v>45743</v>
      </c>
      <c r="H18" s="3">
        <f>+SUMIFS(INGRESOS!J:J,INGRESOS!D:D,Tabla3[[#This Row],[ID STRIPE]],INGRESOS!A:A,"&gt;="&amp;DATE(YEAR(Tabla3[[#This Row],[FECHA INGRESO]]),MONTH(Tabla3[[#This Row],[FECHA INGRESO]]),1),INGRESOS!A:A,"&lt;="&amp;DATE(YEAR(Tabla3[[#This Row],[FECHA INGRESO]]),MONTH(Tabla3[[#This Row],[FECHA INGRESO]])+1,0))</f>
        <v>3847.7537280000001</v>
      </c>
      <c r="I18" s="286">
        <f ca="1">DATEDIF(Tabla3[[#This Row],[FECHA INGRESO]],IF(OR(Tabla3[[#This Row],[ESTADO]]="OK",Tabla3[[#This Row],[ESTADO]]="¡REGULARIZAR!")=TRUE,TODAY(),IF(Tabla3[[#This Row],[ULTIMO PAGO]]="",TODAY(),Tabla3[[#This Row],[ULTIMO PAGO]])),"m")</f>
        <v>11</v>
      </c>
      <c r="J18" s="18">
        <f>(_xlfn.MAXIFS(INGRESOS!A:A,INGRESOS!C:C,Tabla3[[#This Row],[CORREO]]))</f>
        <v>45942</v>
      </c>
      <c r="K18" s="7">
        <f ca="1">+IFERROR(Tabla3[[#This Row],[ABONADO NETO ]]/Tabla3[[#This Row],[MESES ACT]],Tabla3[[#This Row],[ABONO 1ER MES]])</f>
        <v>1053.2957934545454</v>
      </c>
      <c r="L18" s="7" t="s">
        <v>2118</v>
      </c>
      <c r="M18" s="287" t="s">
        <v>2119</v>
      </c>
      <c r="N18" s="288">
        <f>+SUMIF(INGRESOS!D:D,Tabla3[[#This Row],[ID STRIPE]],INGRESOS!J:J)</f>
        <v>11586.253728</v>
      </c>
      <c r="O18" s="6">
        <v>20000</v>
      </c>
      <c r="P18" s="6">
        <f>+SUMIF('CALENDARIO INGRESOS'!A:A,Tabla3[[#This Row],[ID STRIPE]],'CALENDARIO INGRESOS'!I:I)</f>
        <v>19855</v>
      </c>
      <c r="Q18" s="6">
        <f>+SUMIF(INGRESOS!D:D,Tabla3[[#This Row],[ID STRIPE]],INGRESOS!G:G)</f>
        <v>11999.744000000001</v>
      </c>
      <c r="R18" s="3" t="str">
        <f>IF(Tabla3[[#This Row],[ESTADO]]="OK",IF(COUNTIFS('CALENDARIO INGRESOS'!$A:$A,$D18,'CALENDARIO INGRESOS'!$H:$H,"LATAM",'CALENDARIO INGRESOS'!$L:$L,"&lt;&gt;PAGADA")&gt;0,"LATAM",
 IF(COUNTIFS('CALENDARIO INGRESOS'!$A:$A,$D18,'CALENDARIO INGRESOS'!$H:$H,"VISA",'CALENDARIO INGRESOS'!$L:$L,"&lt;&gt;PAGADA")&gt;0,"VISA",
  IF(COUNTIFS('CALENDARIO INGRESOS'!$A:$A,$D18,'CALENDARIO INGRESOS'!$H:$H,"FIRMA PA",'CALENDARIO INGRESOS'!$L:$L,"&lt;&gt;PAGADA")&gt;0,"FIRMA PA",
   IF(COUNTIFS('CALENDARIO INGRESOS'!$A:$A,$D18,'CALENDARIO INGRESOS'!$H:$H,"ALEM",'CALENDARIO INGRESOS'!$L:$L,"&lt;&gt;PAGADA")&gt;0,"ALEM","LISTO")))),"-")</f>
        <v>FIRMA PA</v>
      </c>
      <c r="S18" s="188">
        <f>+SUMIFS('CALENDARIO INGRESOS'!I:I,'CALENDARIO INGRESOS'!A:A,Tabla3[[#This Row],[ID STRIPE]],'CALENDARIO INGRESOS'!H:H,"LATAM")</f>
        <v>12000</v>
      </c>
      <c r="T18" s="188">
        <f>+IF(Tabla3[[#This Row],[MONTO LATAM]]-Tabla3[[#This Row],[IMPORTE ABONADO]]&gt;=0,Tabla3[[#This Row],[MONTO LATAM]]-Tabla3[[#This Row],[IMPORTE ABONADO]],0)</f>
        <v>0.25599999999940337</v>
      </c>
      <c r="U18" s="188">
        <f>+SUMIFS('CALENDARIO INGRESOS'!I:I,'CALENDARIO INGRESOS'!A:A,Tabla3[[#This Row],[ID STRIPE]],'CALENDARIO INGRESOS'!H:H,"ALEM")</f>
        <v>0</v>
      </c>
      <c r="V18" s="6">
        <f>+SUMIFS('CALENDARIO INGRESOS'!I:I,'CALENDARIO INGRESOS'!A:A,Tabla3[[#This Row],[ID STRIPE]],'CALENDARIO INGRESOS'!H:H,"VISA")+SUMIFS('CALENDARIO INGRESOS'!I:I,'CALENDARIO INGRESOS'!A:A,Tabla3[[#This Row],[ID STRIPE]],'CALENDARIO INGRESOS'!H:H,"FIRMA PA")</f>
        <v>7855</v>
      </c>
      <c r="W18" s="250">
        <v>1</v>
      </c>
      <c r="X18" s="60">
        <f>+IFERROR(AVERAGEIF('CALENDARIO INGRESOS'!A:A,Tabla3[[#This Row],[ID STRIPE]],'CALENDARIO INGRESOS'!M:M),"0")</f>
        <v>1.5714285714285714</v>
      </c>
      <c r="Y18" s="18">
        <v>46096</v>
      </c>
      <c r="Z18" s="286">
        <f>+IFERROR(_xlfn.XLOOKUP(Tabla3[[#This Row],[ID LINGODA]],LINGODA!D:D,LINGODA!S:S),0)</f>
        <v>223</v>
      </c>
      <c r="AA18" s="18" t="str">
        <f>+IFERROR(_xlfn.XLOOKUP(Tabla3[[#This Row],[ID LINGODA]],LINGODA!D:D,LINGODA!F:F),"null")</f>
        <v>B1.1</v>
      </c>
      <c r="AB18" s="286" t="str">
        <f>+IFERROR(_xlfn.XLOOKUP(Tabla3[[#This Row],[ID LINGODA]],LINGODA!D:D,LINGODA!G:G),"null")</f>
        <v>C1.1</v>
      </c>
    </row>
    <row r="19" spans="1:28">
      <c r="A19" s="5" t="s">
        <v>2155</v>
      </c>
      <c r="B19" s="1" t="s">
        <v>2156</v>
      </c>
      <c r="C19" s="1" t="s">
        <v>12</v>
      </c>
      <c r="D19" s="1" t="s">
        <v>139</v>
      </c>
      <c r="E19" s="60">
        <v>0</v>
      </c>
      <c r="F19" s="60"/>
      <c r="G19" s="18">
        <f>(_xlfn.MINIFS(INGRESOS!A:A,INGRESOS!C:C,Tabla3[[#This Row],[CORREO]]))</f>
        <v>45747</v>
      </c>
      <c r="H19" s="3">
        <f>+SUMIFS(INGRESOS!J:J,INGRESOS!D:D,Tabla3[[#This Row],[ID STRIPE]],INGRESOS!A:A,"&gt;="&amp;DATE(YEAR(Tabla3[[#This Row],[FECHA INGRESO]]),MONTH(Tabla3[[#This Row],[FECHA INGRESO]]),1),INGRESOS!A:A,"&lt;="&amp;DATE(YEAR(Tabla3[[#This Row],[FECHA INGRESO]]),MONTH(Tabla3[[#This Row],[FECHA INGRESO]])+1,0))</f>
        <v>241.62</v>
      </c>
      <c r="I19" s="286">
        <f ca="1">DATEDIF(Tabla3[[#This Row],[FECHA INGRESO]],IF(OR(Tabla3[[#This Row],[ESTADO]]="OK",Tabla3[[#This Row],[ESTADO]]="¡REGULARIZAR!")=TRUE,TODAY(),IF(Tabla3[[#This Row],[ULTIMO PAGO]]="",TODAY(),Tabla3[[#This Row],[ULTIMO PAGO]])),"m")</f>
        <v>11</v>
      </c>
      <c r="J19" s="18">
        <f>(_xlfn.MAXIFS(INGRESOS!A:A,INGRESOS!C:C,Tabla3[[#This Row],[CORREO]]))</f>
        <v>46081</v>
      </c>
      <c r="K19" s="7">
        <f ca="1">+IFERROR(Tabla3[[#This Row],[ABONADO NETO ]]/Tabla3[[#This Row],[MESES ACT]],Tabla3[[#This Row],[ABONO 1ER MES]])</f>
        <v>439.61272727272723</v>
      </c>
      <c r="L19" s="7" t="s">
        <v>2118</v>
      </c>
      <c r="M19" s="287" t="s">
        <v>2119</v>
      </c>
      <c r="N19" s="288">
        <f>+SUMIF(INGRESOS!D:D,Tabla3[[#This Row],[ID STRIPE]],INGRESOS!J:J)</f>
        <v>4835.74</v>
      </c>
      <c r="O19" s="6">
        <v>40000</v>
      </c>
      <c r="P19" s="6">
        <f>+SUMIF('CALENDARIO INGRESOS'!A:A,Tabla3[[#This Row],[ID STRIPE]],'CALENDARIO INGRESOS'!I:I)</f>
        <v>40000</v>
      </c>
      <c r="Q19" s="6">
        <f>+SUMIF(INGRESOS!D:D,Tabla3[[#This Row],[ID STRIPE]],INGRESOS!G:G)</f>
        <v>5000</v>
      </c>
      <c r="R19" s="3" t="str">
        <f>IF(Tabla3[[#This Row],[ESTADO]]="OK",IF(COUNTIFS('CALENDARIO INGRESOS'!$A:$A,$D19,'CALENDARIO INGRESOS'!$H:$H,"LATAM",'CALENDARIO INGRESOS'!$L:$L,"&lt;&gt;PAGADA")&gt;0,"LATAM",
 IF(COUNTIFS('CALENDARIO INGRESOS'!$A:$A,$D19,'CALENDARIO INGRESOS'!$H:$H,"VISA",'CALENDARIO INGRESOS'!$L:$L,"&lt;&gt;PAGADA")&gt;0,"VISA",
  IF(COUNTIFS('CALENDARIO INGRESOS'!$A:$A,$D19,'CALENDARIO INGRESOS'!$H:$H,"FIRMA PA",'CALENDARIO INGRESOS'!$L:$L,"&lt;&gt;PAGADA")&gt;0,"FIRMA PA",
   IF(COUNTIFS('CALENDARIO INGRESOS'!$A:$A,$D19,'CALENDARIO INGRESOS'!$H:$H,"ALEM",'CALENDARIO INGRESOS'!$L:$L,"&lt;&gt;PAGADA")&gt;0,"ALEM","LISTO")))),"-")</f>
        <v>LATAM</v>
      </c>
      <c r="S19" s="188">
        <f>+SUMIFS('CALENDARIO INGRESOS'!I:I,'CALENDARIO INGRESOS'!A:A,Tabla3[[#This Row],[ID STRIPE]],'CALENDARIO INGRESOS'!H:H,"LATAM")</f>
        <v>28000</v>
      </c>
      <c r="T19" s="188">
        <f>+IF(Tabla3[[#This Row],[MONTO LATAM]]-Tabla3[[#This Row],[IMPORTE ABONADO]]&gt;=0,Tabla3[[#This Row],[MONTO LATAM]]-Tabla3[[#This Row],[IMPORTE ABONADO]],0)</f>
        <v>23000</v>
      </c>
      <c r="U19" s="188">
        <f>+SUMIFS('CALENDARIO INGRESOS'!I:I,'CALENDARIO INGRESOS'!A:A,Tabla3[[#This Row],[ID STRIPE]],'CALENDARIO INGRESOS'!H:H,"ALEM")</f>
        <v>12000</v>
      </c>
      <c r="V19" s="6">
        <f>+SUMIFS('CALENDARIO INGRESOS'!I:I,'CALENDARIO INGRESOS'!A:A,Tabla3[[#This Row],[ID STRIPE]],'CALENDARIO INGRESOS'!H:H,"VISA")+SUMIFS('CALENDARIO INGRESOS'!I:I,'CALENDARIO INGRESOS'!A:A,Tabla3[[#This Row],[ID STRIPE]],'CALENDARIO INGRESOS'!H:H,"FIRMA PA")</f>
        <v>0</v>
      </c>
      <c r="W19" s="252">
        <v>0</v>
      </c>
      <c r="X19" s="60">
        <f>+IFERROR(AVERAGEIF('CALENDARIO INGRESOS'!A:A,Tabla3[[#This Row],[ID STRIPE]],'CALENDARIO INGRESOS'!M:M),"0")</f>
        <v>0</v>
      </c>
      <c r="Y19" s="18">
        <v>46569</v>
      </c>
      <c r="Z19" s="286">
        <f>+IFERROR(_xlfn.XLOOKUP(Tabla3[[#This Row],[ID LINGODA]],LINGODA!D:D,LINGODA!S:S),0)</f>
        <v>0</v>
      </c>
      <c r="AA19" s="18" t="str">
        <f>+IFERROR(_xlfn.XLOOKUP(Tabla3[[#This Row],[ID LINGODA]],LINGODA!D:D,LINGODA!F:F),"null")</f>
        <v>null</v>
      </c>
      <c r="AB19" s="286" t="str">
        <f>+IFERROR(_xlfn.XLOOKUP(Tabla3[[#This Row],[ID LINGODA]],LINGODA!D:D,LINGODA!G:G),"null")</f>
        <v>null</v>
      </c>
    </row>
    <row r="20" spans="1:28">
      <c r="A20" s="5" t="s">
        <v>2157</v>
      </c>
      <c r="B20" s="1" t="s">
        <v>2158</v>
      </c>
      <c r="C20" s="1" t="s">
        <v>11</v>
      </c>
      <c r="D20" s="1" t="s">
        <v>142</v>
      </c>
      <c r="E20" s="60">
        <v>1520019</v>
      </c>
      <c r="F20" s="60"/>
      <c r="G20" s="18">
        <f>(_xlfn.MINIFS(INGRESOS!A:A,INGRESOS!C:C,Tabla3[[#This Row],[CORREO]]))</f>
        <v>45748</v>
      </c>
      <c r="H20" s="3">
        <f>+SUMIFS(INGRESOS!J:J,INGRESOS!D:D,Tabla3[[#This Row],[ID STRIPE]],INGRESOS!A:A,"&gt;="&amp;DATE(YEAR(Tabla3[[#This Row],[FECHA INGRESO]]),MONTH(Tabla3[[#This Row],[FECHA INGRESO]]),1),INGRESOS!A:A,"&lt;="&amp;DATE(YEAR(Tabla3[[#This Row],[FECHA INGRESO]]),MONTH(Tabla3[[#This Row],[FECHA INGRESO]])+1,0))</f>
        <v>6233.3959696753709</v>
      </c>
      <c r="I20" s="286">
        <f ca="1">DATEDIF(Tabla3[[#This Row],[FECHA INGRESO]],IF(OR(Tabla3[[#This Row],[ESTADO]]="OK",Tabla3[[#This Row],[ESTADO]]="¡REGULARIZAR!")=TRUE,TODAY(),IF(Tabla3[[#This Row],[ULTIMO PAGO]]="",TODAY(),Tabla3[[#This Row],[ULTIMO PAGO]])),"m")</f>
        <v>11</v>
      </c>
      <c r="J20" s="18">
        <f>(_xlfn.MAXIFS(INGRESOS!A:A,INGRESOS!C:C,Tabla3[[#This Row],[CORREO]]))</f>
        <v>46088</v>
      </c>
      <c r="K20" s="7">
        <f ca="1">+IFERROR(Tabla3[[#This Row],[ABONADO NETO ]]/Tabla3[[#This Row],[MESES ACT]],Tabla3[[#This Row],[ABONO 1ER MES]])</f>
        <v>1050.1723608795792</v>
      </c>
      <c r="L20" s="7" t="s">
        <v>2118</v>
      </c>
      <c r="M20" s="287" t="s">
        <v>2119</v>
      </c>
      <c r="N20" s="288">
        <f>+SUMIF(INGRESOS!D:D,Tabla3[[#This Row],[ID STRIPE]],INGRESOS!J:J)</f>
        <v>11551.89596967537</v>
      </c>
      <c r="O20" s="6">
        <v>33000</v>
      </c>
      <c r="P20" s="6">
        <f>+SUMIF('CALENDARIO INGRESOS'!A:A,Tabla3[[#This Row],[ID STRIPE]],'CALENDARIO INGRESOS'!I:I)</f>
        <v>33000.621590099137</v>
      </c>
      <c r="Q20" s="6">
        <f>+SUMIF(INGRESOS!D:D,Tabla3[[#This Row],[ID STRIPE]],INGRESOS!G:G)</f>
        <v>11979.621590099137</v>
      </c>
      <c r="R20" s="3" t="str">
        <f>IF(Tabla3[[#This Row],[ESTADO]]="OK",IF(COUNTIFS('CALENDARIO INGRESOS'!$A:$A,$D20,'CALENDARIO INGRESOS'!$H:$H,"LATAM",'CALENDARIO INGRESOS'!$L:$L,"&lt;&gt;PAGADA")&gt;0,"LATAM",
 IF(COUNTIFS('CALENDARIO INGRESOS'!$A:$A,$D20,'CALENDARIO INGRESOS'!$H:$H,"VISA",'CALENDARIO INGRESOS'!$L:$L,"&lt;&gt;PAGADA")&gt;0,"VISA",
  IF(COUNTIFS('CALENDARIO INGRESOS'!$A:$A,$D20,'CALENDARIO INGRESOS'!$H:$H,"FIRMA PA",'CALENDARIO INGRESOS'!$L:$L,"&lt;&gt;PAGADA")&gt;0,"FIRMA PA",
   IF(COUNTIFS('CALENDARIO INGRESOS'!$A:$A,$D20,'CALENDARIO INGRESOS'!$H:$H,"ALEM",'CALENDARIO INGRESOS'!$L:$L,"&lt;&gt;PAGADA")&gt;0,"ALEM","LISTO")))),"-")</f>
        <v>LATAM</v>
      </c>
      <c r="S20" s="188">
        <f>+SUMIFS('CALENDARIO INGRESOS'!I:I,'CALENDARIO INGRESOS'!A:A,Tabla3[[#This Row],[ID STRIPE]],'CALENDARIO INGRESOS'!H:H,"LATAM")</f>
        <v>27000.621590099137</v>
      </c>
      <c r="T20" s="188">
        <f>+IF(Tabla3[[#This Row],[MONTO LATAM]]-Tabla3[[#This Row],[IMPORTE ABONADO]]&gt;=0,Tabla3[[#This Row],[MONTO LATAM]]-Tabla3[[#This Row],[IMPORTE ABONADO]],0)</f>
        <v>15021</v>
      </c>
      <c r="U20" s="188">
        <f>+SUMIFS('CALENDARIO INGRESOS'!I:I,'CALENDARIO INGRESOS'!A:A,Tabla3[[#This Row],[ID STRIPE]],'CALENDARIO INGRESOS'!H:H,"ALEM")</f>
        <v>6000</v>
      </c>
      <c r="V20" s="6">
        <f>+SUMIFS('CALENDARIO INGRESOS'!I:I,'CALENDARIO INGRESOS'!A:A,Tabla3[[#This Row],[ID STRIPE]],'CALENDARIO INGRESOS'!H:H,"VISA")+SUMIFS('CALENDARIO INGRESOS'!I:I,'CALENDARIO INGRESOS'!A:A,Tabla3[[#This Row],[ID STRIPE]],'CALENDARIO INGRESOS'!H:H,"FIRMA PA")</f>
        <v>0</v>
      </c>
      <c r="W20" s="250">
        <v>0</v>
      </c>
      <c r="X20" s="60">
        <f>+IFERROR(AVERAGEIF('CALENDARIO INGRESOS'!A:A,Tabla3[[#This Row],[ID STRIPE]],'CALENDARIO INGRESOS'!M:M),"0")</f>
        <v>-1.6153846153846154</v>
      </c>
      <c r="Y20" s="18">
        <v>46143</v>
      </c>
      <c r="Z20" s="286">
        <f>+IFERROR(_xlfn.XLOOKUP(Tabla3[[#This Row],[ID LINGODA]],LINGODA!D:D,LINGODA!S:S),0)</f>
        <v>5</v>
      </c>
      <c r="AA20" s="18" t="str">
        <f>+IFERROR(_xlfn.XLOOKUP(Tabla3[[#This Row],[ID LINGODA]],LINGODA!D:D,LINGODA!F:F),"null")</f>
        <v>A1.1</v>
      </c>
      <c r="AB20" s="286" t="str">
        <f>+IFERROR(_xlfn.XLOOKUP(Tabla3[[#This Row],[ID LINGODA]],LINGODA!D:D,LINGODA!G:G),"null")</f>
        <v>A1.1</v>
      </c>
    </row>
    <row r="21" spans="1:28">
      <c r="A21" s="5" t="s">
        <v>2159</v>
      </c>
      <c r="B21" s="1" t="s">
        <v>2160</v>
      </c>
      <c r="C21" s="1" t="s">
        <v>12</v>
      </c>
      <c r="D21" s="1" t="s">
        <v>2161</v>
      </c>
      <c r="E21" s="60">
        <v>0</v>
      </c>
      <c r="F21" s="60"/>
      <c r="G21" s="18">
        <f>(_xlfn.MINIFS(INGRESOS!A:A,INGRESOS!C:C,Tabla3[[#This Row],[CORREO]]))</f>
        <v>45748</v>
      </c>
      <c r="H21" s="3">
        <f>+SUMIFS(INGRESOS!J:J,INGRESOS!D:D,Tabla3[[#This Row],[ID STRIPE]],INGRESOS!A:A,"&gt;="&amp;DATE(YEAR(Tabla3[[#This Row],[FECHA INGRESO]]),MONTH(Tabla3[[#This Row],[FECHA INGRESO]]),1),INGRESOS!A:A,"&lt;="&amp;DATE(YEAR(Tabla3[[#This Row],[FECHA INGRESO]]),MONTH(Tabla3[[#This Row],[FECHA INGRESO]])+1,0))</f>
        <v>241.62</v>
      </c>
      <c r="I21" s="286">
        <f ca="1">DATEDIF(Tabla3[[#This Row],[FECHA INGRESO]],IF(OR(Tabla3[[#This Row],[ESTADO]]="OK",Tabla3[[#This Row],[ESTADO]]="¡REGULARIZAR!")=TRUE,TODAY(),IF(Tabla3[[#This Row],[ULTIMO PAGO]]="",TODAY(),Tabla3[[#This Row],[ULTIMO PAGO]])),"m")</f>
        <v>0</v>
      </c>
      <c r="J21" s="18">
        <f>(_xlfn.MAXIFS(INGRESOS!A:A,INGRESOS!C:C,Tabla3[[#This Row],[CORREO]]))</f>
        <v>45748</v>
      </c>
      <c r="K21" s="7">
        <f ca="1">+IFERROR(Tabla3[[#This Row],[ABONADO NETO ]]/Tabla3[[#This Row],[MESES ACT]],Tabla3[[#This Row],[ABONO 1ER MES]])</f>
        <v>241.62</v>
      </c>
      <c r="L21" s="7" t="s">
        <v>2118</v>
      </c>
      <c r="M21" s="287" t="s">
        <v>2162</v>
      </c>
      <c r="N21" s="288">
        <f>+SUMIF(INGRESOS!D:D,Tabla3[[#This Row],[ID STRIPE]],INGRESOS!J:J)</f>
        <v>241.62</v>
      </c>
      <c r="O21" s="6">
        <v>0</v>
      </c>
      <c r="P21" s="6">
        <f>+SUMIF('CALENDARIO INGRESOS'!A:A,Tabla3[[#This Row],[ID STRIPE]],'CALENDARIO INGRESOS'!I:I)</f>
        <v>0</v>
      </c>
      <c r="Q21" s="6">
        <f>+SUMIF(INGRESOS!D:D,Tabla3[[#This Row],[ID STRIPE]],INGRESOS!G:G)</f>
        <v>250</v>
      </c>
      <c r="R21" s="3" t="str">
        <f>IF(Tabla3[[#This Row],[ESTADO]]="OK",IF(COUNTIFS('CALENDARIO INGRESOS'!$A:$A,$D21,'CALENDARIO INGRESOS'!$H:$H,"LATAM",'CALENDARIO INGRESOS'!$L:$L,"&lt;&gt;PAGADA")&gt;0,"LATAM",
 IF(COUNTIFS('CALENDARIO INGRESOS'!$A:$A,$D21,'CALENDARIO INGRESOS'!$H:$H,"VISA",'CALENDARIO INGRESOS'!$L:$L,"&lt;&gt;PAGADA")&gt;0,"VISA",
  IF(COUNTIFS('CALENDARIO INGRESOS'!$A:$A,$D21,'CALENDARIO INGRESOS'!$H:$H,"FIRMA PA",'CALENDARIO INGRESOS'!$L:$L,"&lt;&gt;PAGADA")&gt;0,"FIRMA PA",
   IF(COUNTIFS('CALENDARIO INGRESOS'!$A:$A,$D21,'CALENDARIO INGRESOS'!$H:$H,"ALEM",'CALENDARIO INGRESOS'!$L:$L,"&lt;&gt;PAGADA")&gt;0,"ALEM","LISTO")))),"-")</f>
        <v>-</v>
      </c>
      <c r="S21" s="188">
        <f>+SUMIFS('CALENDARIO INGRESOS'!I:I,'CALENDARIO INGRESOS'!A:A,Tabla3[[#This Row],[ID STRIPE]],'CALENDARIO INGRESOS'!H:H,"LATAM")</f>
        <v>0</v>
      </c>
      <c r="T21" s="188">
        <f>+IF(Tabla3[[#This Row],[MONTO LATAM]]-Tabla3[[#This Row],[IMPORTE ABONADO]]&gt;=0,Tabla3[[#This Row],[MONTO LATAM]]-Tabla3[[#This Row],[IMPORTE ABONADO]],0)</f>
        <v>0</v>
      </c>
      <c r="U21" s="188">
        <f>+SUMIFS('CALENDARIO INGRESOS'!I:I,'CALENDARIO INGRESOS'!A:A,Tabla3[[#This Row],[ID STRIPE]],'CALENDARIO INGRESOS'!H:H,"ALEM")</f>
        <v>0</v>
      </c>
      <c r="V21" s="6">
        <f>+SUMIFS('CALENDARIO INGRESOS'!I:I,'CALENDARIO INGRESOS'!A:A,Tabla3[[#This Row],[ID STRIPE]],'CALENDARIO INGRESOS'!H:H,"VISA")+SUMIFS('CALENDARIO INGRESOS'!I:I,'CALENDARIO INGRESOS'!A:A,Tabla3[[#This Row],[ID STRIPE]],'CALENDARIO INGRESOS'!H:H,"FIRMA PA")</f>
        <v>0</v>
      </c>
      <c r="W21" s="252">
        <v>0</v>
      </c>
      <c r="X21" s="60" t="str">
        <f>+IFERROR(AVERAGEIF('CALENDARIO INGRESOS'!A:A,Tabla3[[#This Row],[ID STRIPE]],'CALENDARIO INGRESOS'!M:M),"0")</f>
        <v>0</v>
      </c>
      <c r="Y21" s="18" t="s">
        <v>2093</v>
      </c>
      <c r="Z21" s="286">
        <f>+IFERROR(_xlfn.XLOOKUP(Tabla3[[#This Row],[ID LINGODA]],LINGODA!D:D,LINGODA!S:S),0)</f>
        <v>0</v>
      </c>
      <c r="AA21" s="18" t="str">
        <f>+IFERROR(_xlfn.XLOOKUP(Tabla3[[#This Row],[ID LINGODA]],LINGODA!D:D,LINGODA!F:F),"null")</f>
        <v>null</v>
      </c>
      <c r="AB21" s="286" t="str">
        <f>+IFERROR(_xlfn.XLOOKUP(Tabla3[[#This Row],[ID LINGODA]],LINGODA!D:D,LINGODA!G:G),"null")</f>
        <v>null</v>
      </c>
    </row>
    <row r="22" spans="1:28">
      <c r="A22" s="5" t="s">
        <v>2163</v>
      </c>
      <c r="B22" s="1" t="s">
        <v>2164</v>
      </c>
      <c r="C22" s="1" t="s">
        <v>11</v>
      </c>
      <c r="D22" s="1" t="s">
        <v>156</v>
      </c>
      <c r="E22" s="60">
        <v>1781934</v>
      </c>
      <c r="F22" s="60"/>
      <c r="G22" s="18">
        <f>(_xlfn.MINIFS(INGRESOS!A:A,INGRESOS!C:C,Tabla3[[#This Row],[CORREO]]))</f>
        <v>45755</v>
      </c>
      <c r="H22" s="3">
        <f>+SUMIFS(INGRESOS!J:J,INGRESOS!D:D,Tabla3[[#This Row],[ID STRIPE]],INGRESOS!A:A,"&gt;="&amp;DATE(YEAR(Tabla3[[#This Row],[FECHA INGRESO]]),MONTH(Tabla3[[#This Row],[FECHA INGRESO]]),1),INGRESOS!A:A,"&lt;="&amp;DATE(YEAR(Tabla3[[#This Row],[FECHA INGRESO]]),MONTH(Tabla3[[#This Row],[FECHA INGRESO]])+1,0))</f>
        <v>2671.4554155751589</v>
      </c>
      <c r="I22" s="286">
        <f ca="1">DATEDIF(Tabla3[[#This Row],[FECHA INGRESO]],IF(OR(Tabla3[[#This Row],[ESTADO]]="OK",Tabla3[[#This Row],[ESTADO]]="¡REGULARIZAR!")=TRUE,TODAY(),IF(Tabla3[[#This Row],[ULTIMO PAGO]]="",TODAY(),Tabla3[[#This Row],[ULTIMO PAGO]])),"m")</f>
        <v>10</v>
      </c>
      <c r="J22" s="18">
        <f>(_xlfn.MAXIFS(INGRESOS!A:A,INGRESOS!C:C,Tabla3[[#This Row],[CORREO]]))</f>
        <v>46064</v>
      </c>
      <c r="K22" s="7">
        <f ca="1">+IFERROR(Tabla3[[#This Row],[ABONADO NETO ]]/Tabla3[[#This Row],[MESES ACT]],Tabla3[[#This Row],[ABONO 1ER MES]])</f>
        <v>1234.2505415575163</v>
      </c>
      <c r="L22" s="7" t="s">
        <v>2118</v>
      </c>
      <c r="M22" s="287" t="s">
        <v>2119</v>
      </c>
      <c r="N22" s="288">
        <f>+SUMIF(INGRESOS!D:D,Tabla3[[#This Row],[ID STRIPE]],INGRESOS!J:J)</f>
        <v>12342.505415575162</v>
      </c>
      <c r="O22" s="6">
        <v>15000</v>
      </c>
      <c r="P22" s="6">
        <f>+SUMIF('CALENDARIO INGRESOS'!A:A,Tabla3[[#This Row],[ID STRIPE]],'CALENDARIO INGRESOS'!I:I)</f>
        <v>14598.54</v>
      </c>
      <c r="Q22" s="6">
        <f>+SUMIF(INGRESOS!D:D,Tabla3[[#This Row],[ID STRIPE]],INGRESOS!G:G)</f>
        <v>12775.52068147106</v>
      </c>
      <c r="R22" s="3" t="str">
        <f>IF(Tabla3[[#This Row],[ESTADO]]="OK",IF(COUNTIFS('CALENDARIO INGRESOS'!$A:$A,$D22,'CALENDARIO INGRESOS'!$H:$H,"LATAM",'CALENDARIO INGRESOS'!$L:$L,"&lt;&gt;PAGADA")&gt;0,"LATAM",
 IF(COUNTIFS('CALENDARIO INGRESOS'!$A:$A,$D22,'CALENDARIO INGRESOS'!$H:$H,"VISA",'CALENDARIO INGRESOS'!$L:$L,"&lt;&gt;PAGADA")&gt;0,"VISA",
  IF(COUNTIFS('CALENDARIO INGRESOS'!$A:$A,$D22,'CALENDARIO INGRESOS'!$H:$H,"FIRMA PA",'CALENDARIO INGRESOS'!$L:$L,"&lt;&gt;PAGADA")&gt;0,"FIRMA PA",
   IF(COUNTIFS('CALENDARIO INGRESOS'!$A:$A,$D22,'CALENDARIO INGRESOS'!$H:$H,"ALEM",'CALENDARIO INGRESOS'!$L:$L,"&lt;&gt;PAGADA")&gt;0,"ALEM","LISTO")))),"-")</f>
        <v>LATAM</v>
      </c>
      <c r="S22" s="188">
        <f>+SUMIFS('CALENDARIO INGRESOS'!I:I,'CALENDARIO INGRESOS'!A:A,Tabla3[[#This Row],[ID STRIPE]],'CALENDARIO INGRESOS'!H:H,"LATAM")</f>
        <v>14598.54</v>
      </c>
      <c r="T22" s="188">
        <f>+IF(Tabla3[[#This Row],[MONTO LATAM]]-Tabla3[[#This Row],[IMPORTE ABONADO]]&gt;=0,Tabla3[[#This Row],[MONTO LATAM]]-Tabla3[[#This Row],[IMPORTE ABONADO]],0)</f>
        <v>1823.0193185289409</v>
      </c>
      <c r="U22" s="188">
        <f>+SUMIFS('CALENDARIO INGRESOS'!I:I,'CALENDARIO INGRESOS'!A:A,Tabla3[[#This Row],[ID STRIPE]],'CALENDARIO INGRESOS'!H:H,"ALEM")</f>
        <v>0</v>
      </c>
      <c r="V22" s="6">
        <f>+SUMIFS('CALENDARIO INGRESOS'!I:I,'CALENDARIO INGRESOS'!A:A,Tabla3[[#This Row],[ID STRIPE]],'CALENDARIO INGRESOS'!H:H,"VISA")+SUMIFS('CALENDARIO INGRESOS'!I:I,'CALENDARIO INGRESOS'!A:A,Tabla3[[#This Row],[ID STRIPE]],'CALENDARIO INGRESOS'!H:H,"FIRMA PA")</f>
        <v>0</v>
      </c>
      <c r="W22" s="250">
        <v>1</v>
      </c>
      <c r="X22" s="60">
        <f>+IFERROR(AVERAGEIF('CALENDARIO INGRESOS'!A:A,Tabla3[[#This Row],[ID STRIPE]],'CALENDARIO INGRESOS'!M:M),"0")</f>
        <v>1.5454545454545454</v>
      </c>
      <c r="Y22" s="18">
        <v>46023</v>
      </c>
      <c r="Z22" s="286">
        <f>+IFERROR(_xlfn.XLOOKUP(Tabla3[[#This Row],[ID LINGODA]],LINGODA!D:D,LINGODA!S:S),0)</f>
        <v>36</v>
      </c>
      <c r="AA22" s="18" t="str">
        <f>+IFERROR(_xlfn.XLOOKUP(Tabla3[[#This Row],[ID LINGODA]],LINGODA!D:D,LINGODA!F:F),"null")</f>
        <v>B1.3</v>
      </c>
      <c r="AB22" s="286" t="str">
        <f>+IFERROR(_xlfn.XLOOKUP(Tabla3[[#This Row],[ID LINGODA]],LINGODA!D:D,LINGODA!G:G),"null")</f>
        <v>B2.2</v>
      </c>
    </row>
    <row r="23" spans="1:28">
      <c r="A23" s="5" t="s">
        <v>2165</v>
      </c>
      <c r="B23" s="1" t="s">
        <v>2166</v>
      </c>
      <c r="C23" s="1" t="s">
        <v>13</v>
      </c>
      <c r="D23" s="1" t="s">
        <v>188</v>
      </c>
      <c r="E23" s="60">
        <v>1805028</v>
      </c>
      <c r="F23" s="60"/>
      <c r="G23" s="18">
        <f>(_xlfn.MINIFS(INGRESOS!A:A,INGRESOS!C:C,Tabla3[[#This Row],[CORREO]]))</f>
        <v>45757</v>
      </c>
      <c r="H23" s="3">
        <f>+SUMIFS(INGRESOS!J:J,INGRESOS!D:D,Tabla3[[#This Row],[ID STRIPE]],INGRESOS!A:A,"&gt;="&amp;DATE(YEAR(Tabla3[[#This Row],[FECHA INGRESO]]),MONTH(Tabla3[[#This Row],[FECHA INGRESO]]),1),INGRESOS!A:A,"&lt;="&amp;DATE(YEAR(Tabla3[[#This Row],[FECHA INGRESO]]),MONTH(Tabla3[[#This Row],[FECHA INGRESO]])+1,0))</f>
        <v>2491.62</v>
      </c>
      <c r="I23" s="286">
        <f ca="1">DATEDIF(Tabla3[[#This Row],[FECHA INGRESO]],IF(OR(Tabla3[[#This Row],[ESTADO]]="OK",Tabla3[[#This Row],[ESTADO]]="¡REGULARIZAR!")=TRUE,TODAY(),IF(Tabla3[[#This Row],[ULTIMO PAGO]]="",TODAY(),Tabla3[[#This Row],[ULTIMO PAGO]])),"m")</f>
        <v>10</v>
      </c>
      <c r="J23" s="18">
        <f>(_xlfn.MAXIFS(INGRESOS!A:A,INGRESOS!C:C,Tabla3[[#This Row],[CORREO]]))</f>
        <v>46025</v>
      </c>
      <c r="K23" s="7">
        <f ca="1">+IFERROR(Tabla3[[#This Row],[ABONADO NETO ]]/Tabla3[[#This Row],[MESES ACT]],Tabla3[[#This Row],[ABONO 1ER MES]])</f>
        <v>753.15100000000007</v>
      </c>
      <c r="L23" s="7" t="s">
        <v>2118</v>
      </c>
      <c r="M23" s="287" t="s">
        <v>2119</v>
      </c>
      <c r="N23" s="288">
        <f>+SUMIF(INGRESOS!D:D,Tabla3[[#This Row],[ID STRIPE]],INGRESOS!J:J)</f>
        <v>7531.51</v>
      </c>
      <c r="O23" s="6">
        <v>12800</v>
      </c>
      <c r="P23" s="6">
        <f>+SUMIF('CALENDARIO INGRESOS'!A:A,Tabla3[[#This Row],[ID STRIPE]],'CALENDARIO INGRESOS'!I:I)</f>
        <v>11811</v>
      </c>
      <c r="Q23" s="6">
        <f>+SUMIF(INGRESOS!D:D,Tabla3[[#This Row],[ID STRIPE]],INGRESOS!G:G)</f>
        <v>7711</v>
      </c>
      <c r="R23" s="3" t="str">
        <f>IF(Tabla3[[#This Row],[ESTADO]]="OK",IF(COUNTIFS('CALENDARIO INGRESOS'!$A:$A,$D23,'CALENDARIO INGRESOS'!$H:$H,"LATAM",'CALENDARIO INGRESOS'!$L:$L,"&lt;&gt;PAGADA")&gt;0,"LATAM",
 IF(COUNTIFS('CALENDARIO INGRESOS'!$A:$A,$D23,'CALENDARIO INGRESOS'!$H:$H,"VISA",'CALENDARIO INGRESOS'!$L:$L,"&lt;&gt;PAGADA")&gt;0,"VISA",
  IF(COUNTIFS('CALENDARIO INGRESOS'!$A:$A,$D23,'CALENDARIO INGRESOS'!$H:$H,"FIRMA PA",'CALENDARIO INGRESOS'!$L:$L,"&lt;&gt;PAGADA")&gt;0,"FIRMA PA",
   IF(COUNTIFS('CALENDARIO INGRESOS'!$A:$A,$D23,'CALENDARIO INGRESOS'!$H:$H,"ALEM",'CALENDARIO INGRESOS'!$L:$L,"&lt;&gt;PAGADA")&gt;0,"ALEM","LISTO")))),"-")</f>
        <v>LATAM</v>
      </c>
      <c r="S23" s="188">
        <f>+SUMIFS('CALENDARIO INGRESOS'!I:I,'CALENDARIO INGRESOS'!A:A,Tabla3[[#This Row],[ID STRIPE]],'CALENDARIO INGRESOS'!H:H,"LATAM")</f>
        <v>7711</v>
      </c>
      <c r="T23" s="188">
        <f>+IF(Tabla3[[#This Row],[MONTO LATAM]]-Tabla3[[#This Row],[IMPORTE ABONADO]]&gt;=0,Tabla3[[#This Row],[MONTO LATAM]]-Tabla3[[#This Row],[IMPORTE ABONADO]],0)</f>
        <v>0</v>
      </c>
      <c r="U23" s="188">
        <f>+SUMIFS('CALENDARIO INGRESOS'!I:I,'CALENDARIO INGRESOS'!A:A,Tabla3[[#This Row],[ID STRIPE]],'CALENDARIO INGRESOS'!H:H,"ALEM")</f>
        <v>4100</v>
      </c>
      <c r="V23" s="6">
        <f>+SUMIFS('CALENDARIO INGRESOS'!I:I,'CALENDARIO INGRESOS'!A:A,Tabla3[[#This Row],[ID STRIPE]],'CALENDARIO INGRESOS'!H:H,"VISA")+SUMIFS('CALENDARIO INGRESOS'!I:I,'CALENDARIO INGRESOS'!A:A,Tabla3[[#This Row],[ID STRIPE]],'CALENDARIO INGRESOS'!H:H,"FIRMA PA")</f>
        <v>0</v>
      </c>
      <c r="W23" s="250">
        <v>1</v>
      </c>
      <c r="X23" s="60">
        <f>+IFERROR(AVERAGEIF('CALENDARIO INGRESOS'!A:A,Tabla3[[#This Row],[ID STRIPE]],'CALENDARIO INGRESOS'!M:M),"0")</f>
        <v>2.625</v>
      </c>
      <c r="Y23" s="18" t="s">
        <v>2093</v>
      </c>
      <c r="Z23" s="286">
        <f>+IFERROR(_xlfn.XLOOKUP(Tabla3[[#This Row],[ID LINGODA]],LINGODA!D:D,LINGODA!S:S),0)</f>
        <v>88</v>
      </c>
      <c r="AA23" s="18" t="str">
        <f>+IFERROR(_xlfn.XLOOKUP(Tabla3[[#This Row],[ID LINGODA]],LINGODA!D:D,LINGODA!F:F),"null")</f>
        <v>B2.1</v>
      </c>
      <c r="AB23" s="286" t="str">
        <f>+IFERROR(_xlfn.XLOOKUP(Tabla3[[#This Row],[ID LINGODA]],LINGODA!D:D,LINGODA!G:G),"null")</f>
        <v>C1.1</v>
      </c>
    </row>
    <row r="24" spans="1:28">
      <c r="A24" s="5" t="s">
        <v>2167</v>
      </c>
      <c r="B24" s="1" t="s">
        <v>2168</v>
      </c>
      <c r="C24" s="1" t="s">
        <v>13</v>
      </c>
      <c r="D24" s="1" t="s">
        <v>194</v>
      </c>
      <c r="E24" s="60">
        <v>1805027</v>
      </c>
      <c r="F24" s="60"/>
      <c r="G24" s="18">
        <f>(_xlfn.MINIFS(INGRESOS!A:A,INGRESOS!C:C,Tabla3[[#This Row],[CORREO]]))</f>
        <v>45757</v>
      </c>
      <c r="H24" s="3">
        <f>+SUMIFS(INGRESOS!J:J,INGRESOS!D:D,Tabla3[[#This Row],[ID STRIPE]],INGRESOS!A:A,"&gt;="&amp;DATE(YEAR(Tabla3[[#This Row],[FECHA INGRESO]]),MONTH(Tabla3[[#This Row],[FECHA INGRESO]]),1),INGRESOS!A:A,"&lt;="&amp;DATE(YEAR(Tabla3[[#This Row],[FECHA INGRESO]]),MONTH(Tabla3[[#This Row],[FECHA INGRESO]])+1,0))</f>
        <v>2491.62</v>
      </c>
      <c r="I24" s="286">
        <f ca="1">DATEDIF(Tabla3[[#This Row],[FECHA INGRESO]],IF(OR(Tabla3[[#This Row],[ESTADO]]="OK",Tabla3[[#This Row],[ESTADO]]="¡REGULARIZAR!")=TRUE,TODAY(),IF(Tabla3[[#This Row],[ULTIMO PAGO]]="",TODAY(),Tabla3[[#This Row],[ULTIMO PAGO]])),"m")</f>
        <v>10</v>
      </c>
      <c r="J24" s="18">
        <f>(_xlfn.MAXIFS(INGRESOS!A:A,INGRESOS!C:C,Tabla3[[#This Row],[CORREO]]))</f>
        <v>46084</v>
      </c>
      <c r="K24" s="7">
        <f ca="1">+IFERROR(Tabla3[[#This Row],[ABONADO NETO ]]/Tabla3[[#This Row],[MESES ACT]],Tabla3[[#This Row],[ABONO 1ER MES]])</f>
        <v>975.57599999999979</v>
      </c>
      <c r="L24" s="7" t="s">
        <v>2118</v>
      </c>
      <c r="M24" s="287" t="s">
        <v>2119</v>
      </c>
      <c r="N24" s="288">
        <f>+SUMIF(INGRESOS!D:D,Tabla3[[#This Row],[ID STRIPE]],INGRESOS!J:J)</f>
        <v>9755.7599999999984</v>
      </c>
      <c r="O24" s="6">
        <v>12800</v>
      </c>
      <c r="P24" s="6">
        <f>+SUMIF('CALENDARIO INGRESOS'!A:A,Tabla3[[#This Row],[ID STRIPE]],'CALENDARIO INGRESOS'!I:I)</f>
        <v>11811</v>
      </c>
      <c r="Q24" s="6">
        <f>+SUMIF(INGRESOS!D:D,Tabla3[[#This Row],[ID STRIPE]],INGRESOS!G:G)</f>
        <v>10011</v>
      </c>
      <c r="R24" s="3" t="str">
        <f>IF(Tabla3[[#This Row],[ESTADO]]="OK",IF(COUNTIFS('CALENDARIO INGRESOS'!$A:$A,$D24,'CALENDARIO INGRESOS'!$H:$H,"LATAM",'CALENDARIO INGRESOS'!$L:$L,"&lt;&gt;PAGADA")&gt;0,"LATAM",
 IF(COUNTIFS('CALENDARIO INGRESOS'!$A:$A,$D24,'CALENDARIO INGRESOS'!$H:$H,"VISA",'CALENDARIO INGRESOS'!$L:$L,"&lt;&gt;PAGADA")&gt;0,"VISA",
  IF(COUNTIFS('CALENDARIO INGRESOS'!$A:$A,$D24,'CALENDARIO INGRESOS'!$H:$H,"FIRMA PA",'CALENDARIO INGRESOS'!$L:$L,"&lt;&gt;PAGADA")&gt;0,"FIRMA PA",
   IF(COUNTIFS('CALENDARIO INGRESOS'!$A:$A,$D24,'CALENDARIO INGRESOS'!$H:$H,"ALEM",'CALENDARIO INGRESOS'!$L:$L,"&lt;&gt;PAGADA")&gt;0,"ALEM","LISTO")))),"-")</f>
        <v>ALEM</v>
      </c>
      <c r="S24" s="188">
        <f>+SUMIFS('CALENDARIO INGRESOS'!I:I,'CALENDARIO INGRESOS'!A:A,Tabla3[[#This Row],[ID STRIPE]],'CALENDARIO INGRESOS'!H:H,"LATAM")</f>
        <v>10011</v>
      </c>
      <c r="T24" s="188">
        <f>+IF(Tabla3[[#This Row],[MONTO LATAM]]-Tabla3[[#This Row],[IMPORTE ABONADO]]&gt;=0,Tabla3[[#This Row],[MONTO LATAM]]-Tabla3[[#This Row],[IMPORTE ABONADO]],0)</f>
        <v>0</v>
      </c>
      <c r="U24" s="188">
        <f>+SUMIFS('CALENDARIO INGRESOS'!I:I,'CALENDARIO INGRESOS'!A:A,Tabla3[[#This Row],[ID STRIPE]],'CALENDARIO INGRESOS'!H:H,"ALEM")</f>
        <v>1800</v>
      </c>
      <c r="V24" s="6">
        <f>+SUMIFS('CALENDARIO INGRESOS'!I:I,'CALENDARIO INGRESOS'!A:A,Tabla3[[#This Row],[ID STRIPE]],'CALENDARIO INGRESOS'!H:H,"VISA")+SUMIFS('CALENDARIO INGRESOS'!I:I,'CALENDARIO INGRESOS'!A:A,Tabla3[[#This Row],[ID STRIPE]],'CALENDARIO INGRESOS'!H:H,"FIRMA PA")</f>
        <v>0</v>
      </c>
      <c r="W24" s="250">
        <v>0</v>
      </c>
      <c r="X24" s="60">
        <f>+IFERROR(AVERAGEIF('CALENDARIO INGRESOS'!A:A,Tabla3[[#This Row],[ID STRIPE]],'CALENDARIO INGRESOS'!M:M),"0")</f>
        <v>2.75</v>
      </c>
      <c r="Y24" s="18">
        <v>46037</v>
      </c>
      <c r="Z24" s="286">
        <f>+IFERROR(_xlfn.XLOOKUP(Tabla3[[#This Row],[ID LINGODA]],LINGODA!D:D,LINGODA!S:S),0)</f>
        <v>63</v>
      </c>
      <c r="AA24" s="18" t="str">
        <f>+IFERROR(_xlfn.XLOOKUP(Tabla3[[#This Row],[ID LINGODA]],LINGODA!D:D,LINGODA!F:F),"null")</f>
        <v>B2.1</v>
      </c>
      <c r="AB24" s="286" t="str">
        <f>+IFERROR(_xlfn.XLOOKUP(Tabla3[[#This Row],[ID LINGODA]],LINGODA!D:D,LINGODA!G:G),"null")</f>
        <v>C1.2</v>
      </c>
    </row>
    <row r="25" spans="1:28">
      <c r="A25" s="5" t="s">
        <v>2169</v>
      </c>
      <c r="B25" s="1" t="s">
        <v>2170</v>
      </c>
      <c r="C25" s="1" t="s">
        <v>11</v>
      </c>
      <c r="D25" s="1" t="s">
        <v>159</v>
      </c>
      <c r="E25" s="60">
        <v>1781936</v>
      </c>
      <c r="F25" s="60"/>
      <c r="G25" s="18">
        <f>(_xlfn.MINIFS(INGRESOS!A:A,INGRESOS!C:C,Tabla3[[#This Row],[CORREO]]))</f>
        <v>45757</v>
      </c>
      <c r="H25" s="3">
        <f>+SUMIFS(INGRESOS!J:J,INGRESOS!D:D,Tabla3[[#This Row],[ID STRIPE]],INGRESOS!A:A,"&gt;="&amp;DATE(YEAR(Tabla3[[#This Row],[FECHA INGRESO]]),MONTH(Tabla3[[#This Row],[FECHA INGRESO]]),1),INGRESOS!A:A,"&lt;="&amp;DATE(YEAR(Tabla3[[#This Row],[FECHA INGRESO]]),MONTH(Tabla3[[#This Row],[FECHA INGRESO]])+1,0))</f>
        <v>3869.75</v>
      </c>
      <c r="I25" s="286">
        <f ca="1">DATEDIF(Tabla3[[#This Row],[FECHA INGRESO]],IF(OR(Tabla3[[#This Row],[ESTADO]]="OK",Tabla3[[#This Row],[ESTADO]]="¡REGULARIZAR!")=TRUE,TODAY(),IF(Tabla3[[#This Row],[ULTIMO PAGO]]="",TODAY(),Tabla3[[#This Row],[ULTIMO PAGO]])),"m")</f>
        <v>10</v>
      </c>
      <c r="J25" s="18">
        <f>(_xlfn.MAXIFS(INGRESOS!A:A,INGRESOS!C:C,Tabla3[[#This Row],[CORREO]]))</f>
        <v>46083</v>
      </c>
      <c r="K25" s="7">
        <f ca="1">+IFERROR(Tabla3[[#This Row],[ABONADO NETO ]]/Tabla3[[#This Row],[MESES ACT]],Tabla3[[#This Row],[ABONO 1ER MES]])</f>
        <v>1431.65</v>
      </c>
      <c r="L25" s="7" t="s">
        <v>2118</v>
      </c>
      <c r="M25" s="287" t="s">
        <v>2119</v>
      </c>
      <c r="N25" s="288">
        <f>+SUMIF(INGRESOS!D:D,Tabla3[[#This Row],[ID STRIPE]],INGRESOS!J:J)</f>
        <v>14316.5</v>
      </c>
      <c r="O25" s="6">
        <v>22000</v>
      </c>
      <c r="P25" s="6">
        <f>+SUMIF('CALENDARIO INGRESOS'!A:A,Tabla3[[#This Row],[ID STRIPE]],'CALENDARIO INGRESOS'!I:I)</f>
        <v>22000</v>
      </c>
      <c r="Q25" s="6">
        <f>+SUMIF(INGRESOS!D:D,Tabla3[[#This Row],[ID STRIPE]],INGRESOS!G:G)</f>
        <v>14800</v>
      </c>
      <c r="R25" s="3" t="str">
        <f>IF(Tabla3[[#This Row],[ESTADO]]="OK",IF(COUNTIFS('CALENDARIO INGRESOS'!$A:$A,$D25,'CALENDARIO INGRESOS'!$H:$H,"LATAM",'CALENDARIO INGRESOS'!$L:$L,"&lt;&gt;PAGADA")&gt;0,"LATAM",
 IF(COUNTIFS('CALENDARIO INGRESOS'!$A:$A,$D25,'CALENDARIO INGRESOS'!$H:$H,"VISA",'CALENDARIO INGRESOS'!$L:$L,"&lt;&gt;PAGADA")&gt;0,"VISA",
  IF(COUNTIFS('CALENDARIO INGRESOS'!$A:$A,$D25,'CALENDARIO INGRESOS'!$H:$H,"FIRMA PA",'CALENDARIO INGRESOS'!$L:$L,"&lt;&gt;PAGADA")&gt;0,"FIRMA PA",
   IF(COUNTIFS('CALENDARIO INGRESOS'!$A:$A,$D25,'CALENDARIO INGRESOS'!$H:$H,"ALEM",'CALENDARIO INGRESOS'!$L:$L,"&lt;&gt;PAGADA")&gt;0,"ALEM","LISTO")))),"-")</f>
        <v>LATAM</v>
      </c>
      <c r="S25" s="188">
        <f>+SUMIFS('CALENDARIO INGRESOS'!I:I,'CALENDARIO INGRESOS'!A:A,Tabla3[[#This Row],[ID STRIPE]],'CALENDARIO INGRESOS'!H:H,"LATAM")</f>
        <v>22000</v>
      </c>
      <c r="T25" s="188">
        <f>+IF(Tabla3[[#This Row],[MONTO LATAM]]-Tabla3[[#This Row],[IMPORTE ABONADO]]&gt;=0,Tabla3[[#This Row],[MONTO LATAM]]-Tabla3[[#This Row],[IMPORTE ABONADO]],0)</f>
        <v>7200</v>
      </c>
      <c r="U25" s="188">
        <f>+SUMIFS('CALENDARIO INGRESOS'!I:I,'CALENDARIO INGRESOS'!A:A,Tabla3[[#This Row],[ID STRIPE]],'CALENDARIO INGRESOS'!H:H,"ALEM")</f>
        <v>0</v>
      </c>
      <c r="V25" s="6">
        <f>+SUMIFS('CALENDARIO INGRESOS'!I:I,'CALENDARIO INGRESOS'!A:A,Tabla3[[#This Row],[ID STRIPE]],'CALENDARIO INGRESOS'!H:H,"VISA")+SUMIFS('CALENDARIO INGRESOS'!I:I,'CALENDARIO INGRESOS'!A:A,Tabla3[[#This Row],[ID STRIPE]],'CALENDARIO INGRESOS'!H:H,"FIRMA PA")</f>
        <v>0</v>
      </c>
      <c r="W25" s="250">
        <v>1</v>
      </c>
      <c r="X25" s="60">
        <f>+IFERROR(AVERAGEIF('CALENDARIO INGRESOS'!A:A,Tabla3[[#This Row],[ID STRIPE]],'CALENDARIO INGRESOS'!M:M),"0")</f>
        <v>0.8</v>
      </c>
      <c r="Y25" s="18" t="s">
        <v>2093</v>
      </c>
      <c r="Z25" s="286">
        <f>+IFERROR(_xlfn.XLOOKUP(Tabla3[[#This Row],[ID LINGODA]],LINGODA!D:D,LINGODA!S:S),0)</f>
        <v>39</v>
      </c>
      <c r="AA25" s="18" t="str">
        <f>+IFERROR(_xlfn.XLOOKUP(Tabla3[[#This Row],[ID LINGODA]],LINGODA!D:D,LINGODA!F:F),"null")</f>
        <v>A1.1</v>
      </c>
      <c r="AB25" s="286" t="str">
        <f>+IFERROR(_xlfn.XLOOKUP(Tabla3[[#This Row],[ID LINGODA]],LINGODA!D:D,LINGODA!G:G),"null")</f>
        <v>A1.1</v>
      </c>
    </row>
    <row r="26" spans="1:28">
      <c r="A26" s="5" t="s">
        <v>2171</v>
      </c>
      <c r="B26" s="1" t="s">
        <v>2172</v>
      </c>
      <c r="C26" s="1" t="s">
        <v>11</v>
      </c>
      <c r="D26" s="1" t="s">
        <v>162</v>
      </c>
      <c r="E26" s="60">
        <v>1782015</v>
      </c>
      <c r="F26" s="60"/>
      <c r="G26" s="18">
        <f>(_xlfn.MINIFS(INGRESOS!A:A,INGRESOS!C:C,Tabla3[[#This Row],[CORREO]]))</f>
        <v>45758</v>
      </c>
      <c r="H26" s="3">
        <f>+SUMIFS(INGRESOS!J:J,INGRESOS!D:D,Tabla3[[#This Row],[ID STRIPE]],INGRESOS!A:A,"&gt;="&amp;DATE(YEAR(Tabla3[[#This Row],[FECHA INGRESO]]),MONTH(Tabla3[[#This Row],[FECHA INGRESO]]),1),INGRESOS!A:A,"&lt;="&amp;DATE(YEAR(Tabla3[[#This Row],[FECHA INGRESO]]),MONTH(Tabla3[[#This Row],[FECHA INGRESO]])+1,0))</f>
        <v>4050.6891540391184</v>
      </c>
      <c r="I26" s="286">
        <f ca="1">DATEDIF(Tabla3[[#This Row],[FECHA INGRESO]],IF(OR(Tabla3[[#This Row],[ESTADO]]="OK",Tabla3[[#This Row],[ESTADO]]="¡REGULARIZAR!")=TRUE,TODAY(),IF(Tabla3[[#This Row],[ULTIMO PAGO]]="",TODAY(),Tabla3[[#This Row],[ULTIMO PAGO]])),"m")</f>
        <v>10</v>
      </c>
      <c r="J26" s="18">
        <f>(_xlfn.MAXIFS(INGRESOS!A:A,INGRESOS!C:C,Tabla3[[#This Row],[CORREO]]))</f>
        <v>46076</v>
      </c>
      <c r="K26" s="7">
        <f ca="1">+IFERROR(Tabla3[[#This Row],[ABONADO NETO ]]/Tabla3[[#This Row],[MESES ACT]],Tabla3[[#This Row],[ABONO 1ER MES]])</f>
        <v>1217.593915403912</v>
      </c>
      <c r="L26" s="7" t="s">
        <v>2118</v>
      </c>
      <c r="M26" s="287" t="s">
        <v>2119</v>
      </c>
      <c r="N26" s="288">
        <f>+SUMIF(INGRESOS!D:D,Tabla3[[#This Row],[ID STRIPE]],INGRESOS!J:J)</f>
        <v>12175.939154039119</v>
      </c>
      <c r="O26" s="6">
        <v>22000</v>
      </c>
      <c r="P26" s="6">
        <f>+SUMIF('CALENDARIO INGRESOS'!A:A,Tabla3[[#This Row],[ID STRIPE]],'CALENDARIO INGRESOS'!I:I)</f>
        <v>22000</v>
      </c>
      <c r="Q26" s="6">
        <f>+SUMIF(INGRESOS!D:D,Tabla3[[#This Row],[ID STRIPE]],INGRESOS!G:G)</f>
        <v>12450.689154039119</v>
      </c>
      <c r="R26" s="3" t="str">
        <f>IF(Tabla3[[#This Row],[ESTADO]]="OK",IF(COUNTIFS('CALENDARIO INGRESOS'!$A:$A,$D26,'CALENDARIO INGRESOS'!$H:$H,"LATAM",'CALENDARIO INGRESOS'!$L:$L,"&lt;&gt;PAGADA")&gt;0,"LATAM",
 IF(COUNTIFS('CALENDARIO INGRESOS'!$A:$A,$D26,'CALENDARIO INGRESOS'!$H:$H,"VISA",'CALENDARIO INGRESOS'!$L:$L,"&lt;&gt;PAGADA")&gt;0,"VISA",
  IF(COUNTIFS('CALENDARIO INGRESOS'!$A:$A,$D26,'CALENDARIO INGRESOS'!$H:$H,"FIRMA PA",'CALENDARIO INGRESOS'!$L:$L,"&lt;&gt;PAGADA")&gt;0,"FIRMA PA",
   IF(COUNTIFS('CALENDARIO INGRESOS'!$A:$A,$D26,'CALENDARIO INGRESOS'!$H:$H,"ALEM",'CALENDARIO INGRESOS'!$L:$L,"&lt;&gt;PAGADA")&gt;0,"ALEM","LISTO")))),"-")</f>
        <v>LATAM</v>
      </c>
      <c r="S26" s="188">
        <f>+SUMIFS('CALENDARIO INGRESOS'!I:I,'CALENDARIO INGRESOS'!A:A,Tabla3[[#This Row],[ID STRIPE]],'CALENDARIO INGRESOS'!H:H,"LATAM")</f>
        <v>16000</v>
      </c>
      <c r="T26" s="188">
        <f>+IF(Tabla3[[#This Row],[MONTO LATAM]]-Tabla3[[#This Row],[IMPORTE ABONADO]]&gt;=0,Tabla3[[#This Row],[MONTO LATAM]]-Tabla3[[#This Row],[IMPORTE ABONADO]],0)</f>
        <v>3549.3108459608811</v>
      </c>
      <c r="U26" s="188">
        <f>+SUMIFS('CALENDARIO INGRESOS'!I:I,'CALENDARIO INGRESOS'!A:A,Tabla3[[#This Row],[ID STRIPE]],'CALENDARIO INGRESOS'!H:H,"ALEM")</f>
        <v>6000</v>
      </c>
      <c r="V26" s="6">
        <f>+SUMIFS('CALENDARIO INGRESOS'!I:I,'CALENDARIO INGRESOS'!A:A,Tabla3[[#This Row],[ID STRIPE]],'CALENDARIO INGRESOS'!H:H,"VISA")+SUMIFS('CALENDARIO INGRESOS'!I:I,'CALENDARIO INGRESOS'!A:A,Tabla3[[#This Row],[ID STRIPE]],'CALENDARIO INGRESOS'!H:H,"FIRMA PA")</f>
        <v>0</v>
      </c>
      <c r="W26" s="250">
        <v>1</v>
      </c>
      <c r="X26" s="60">
        <f>+IFERROR(AVERAGEIF('CALENDARIO INGRESOS'!A:A,Tabla3[[#This Row],[ID STRIPE]],'CALENDARIO INGRESOS'!M:M),"0")</f>
        <v>4.125</v>
      </c>
      <c r="Y26" s="18">
        <v>46082</v>
      </c>
      <c r="Z26" s="286">
        <f>+IFERROR(_xlfn.XLOOKUP(Tabla3[[#This Row],[ID LINGODA]],LINGODA!D:D,LINGODA!S:S),0)</f>
        <v>292</v>
      </c>
      <c r="AA26" s="18" t="str">
        <f>+IFERROR(_xlfn.XLOOKUP(Tabla3[[#This Row],[ID LINGODA]],LINGODA!D:D,LINGODA!F:F),"null")</f>
        <v>A1.1</v>
      </c>
      <c r="AB26" s="286" t="str">
        <f>+IFERROR(_xlfn.XLOOKUP(Tabla3[[#This Row],[ID LINGODA]],LINGODA!D:D,LINGODA!G:G),"null")</f>
        <v>B1.2</v>
      </c>
    </row>
    <row r="27" spans="1:28">
      <c r="A27" s="5" t="s">
        <v>2175</v>
      </c>
      <c r="B27" s="1" t="s">
        <v>2176</v>
      </c>
      <c r="C27" s="1" t="s">
        <v>13</v>
      </c>
      <c r="D27" s="1" t="s">
        <v>171</v>
      </c>
      <c r="E27" s="60">
        <v>1796115</v>
      </c>
      <c r="F27" s="60"/>
      <c r="G27" s="18">
        <f>(_xlfn.MINIFS(INGRESOS!A:A,INGRESOS!C:C,Tabla3[[#This Row],[CORREO]]))</f>
        <v>45762</v>
      </c>
      <c r="H27" s="3">
        <f>+SUMIFS(INGRESOS!J:J,INGRESOS!D:D,Tabla3[[#This Row],[ID STRIPE]],INGRESOS!A:A,"&gt;="&amp;DATE(YEAR(Tabla3[[#This Row],[FECHA INGRESO]]),MONTH(Tabla3[[#This Row],[FECHA INGRESO]]),1),INGRESOS!A:A,"&lt;="&amp;DATE(YEAR(Tabla3[[#This Row],[FECHA INGRESO]]),MONTH(Tabla3[[#This Row],[FECHA INGRESO]])+1,0))</f>
        <v>967.25</v>
      </c>
      <c r="I27" s="286">
        <f ca="1">DATEDIF(Tabla3[[#This Row],[FECHA INGRESO]],IF(OR(Tabla3[[#This Row],[ESTADO]]="OK",Tabla3[[#This Row],[ESTADO]]="¡REGULARIZAR!")=TRUE,TODAY(),IF(Tabla3[[#This Row],[ULTIMO PAGO]]="",TODAY(),Tabla3[[#This Row],[ULTIMO PAGO]])),"m")</f>
        <v>10</v>
      </c>
      <c r="J27" s="18">
        <f>(_xlfn.MAXIFS(INGRESOS!A:A,INGRESOS!C:C,Tabla3[[#This Row],[CORREO]]))</f>
        <v>46085</v>
      </c>
      <c r="K27" s="7">
        <f ca="1">+IFERROR(Tabla3[[#This Row],[ABONADO NETO ]]/Tabla3[[#This Row],[MESES ACT]],Tabla3[[#This Row],[ABONO 1ER MES]])</f>
        <v>928.22500000000002</v>
      </c>
      <c r="L27" s="7" t="s">
        <v>2118</v>
      </c>
      <c r="M27" s="287" t="s">
        <v>2119</v>
      </c>
      <c r="N27" s="288">
        <f>+SUMIF(INGRESOS!D:D,Tabla3[[#This Row],[ID STRIPE]],INGRESOS!J:J)</f>
        <v>9282.25</v>
      </c>
      <c r="O27" s="6">
        <v>20000</v>
      </c>
      <c r="P27" s="6">
        <f>+SUMIF('CALENDARIO INGRESOS'!A:A,Tabla3[[#This Row],[ID STRIPE]],'CALENDARIO INGRESOS'!I:I)</f>
        <v>20000</v>
      </c>
      <c r="Q27" s="6">
        <f>+SUMIF(INGRESOS!D:D,Tabla3[[#This Row],[ID STRIPE]],INGRESOS!G:G)</f>
        <v>9600</v>
      </c>
      <c r="R27" s="3" t="str">
        <f>IF(Tabla3[[#This Row],[ESTADO]]="OK",IF(COUNTIFS('CALENDARIO INGRESOS'!$A:$A,$D27,'CALENDARIO INGRESOS'!$H:$H,"LATAM",'CALENDARIO INGRESOS'!$L:$L,"&lt;&gt;PAGADA")&gt;0,"LATAM",
 IF(COUNTIFS('CALENDARIO INGRESOS'!$A:$A,$D27,'CALENDARIO INGRESOS'!$H:$H,"VISA",'CALENDARIO INGRESOS'!$L:$L,"&lt;&gt;PAGADA")&gt;0,"VISA",
  IF(COUNTIFS('CALENDARIO INGRESOS'!$A:$A,$D27,'CALENDARIO INGRESOS'!$H:$H,"FIRMA PA",'CALENDARIO INGRESOS'!$L:$L,"&lt;&gt;PAGADA")&gt;0,"FIRMA PA",
   IF(COUNTIFS('CALENDARIO INGRESOS'!$A:$A,$D27,'CALENDARIO INGRESOS'!$H:$H,"ALEM",'CALENDARIO INGRESOS'!$L:$L,"&lt;&gt;PAGADA")&gt;0,"ALEM","LISTO")))),"-")</f>
        <v>LATAM</v>
      </c>
      <c r="S27" s="188">
        <f>+SUMIFS('CALENDARIO INGRESOS'!I:I,'CALENDARIO INGRESOS'!A:A,Tabla3[[#This Row],[ID STRIPE]],'CALENDARIO INGRESOS'!H:H,"LATAM")</f>
        <v>20000</v>
      </c>
      <c r="T27" s="188">
        <f>+IF(Tabla3[[#This Row],[MONTO LATAM]]-Tabla3[[#This Row],[IMPORTE ABONADO]]&gt;=0,Tabla3[[#This Row],[MONTO LATAM]]-Tabla3[[#This Row],[IMPORTE ABONADO]],0)</f>
        <v>10400</v>
      </c>
      <c r="U27" s="188">
        <f>+SUMIFS('CALENDARIO INGRESOS'!I:I,'CALENDARIO INGRESOS'!A:A,Tabla3[[#This Row],[ID STRIPE]],'CALENDARIO INGRESOS'!H:H,"ALEM")</f>
        <v>0</v>
      </c>
      <c r="V27" s="6">
        <f>+SUMIFS('CALENDARIO INGRESOS'!I:I,'CALENDARIO INGRESOS'!A:A,Tabla3[[#This Row],[ID STRIPE]],'CALENDARIO INGRESOS'!H:H,"VISA")+SUMIFS('CALENDARIO INGRESOS'!I:I,'CALENDARIO INGRESOS'!A:A,Tabla3[[#This Row],[ID STRIPE]],'CALENDARIO INGRESOS'!H:H,"FIRMA PA")</f>
        <v>0</v>
      </c>
      <c r="W27" s="250">
        <v>1</v>
      </c>
      <c r="X27" s="60">
        <f>+IFERROR(AVERAGEIF('CALENDARIO INGRESOS'!A:A,Tabla3[[#This Row],[ID STRIPE]],'CALENDARIO INGRESOS'!M:M),"0")</f>
        <v>1.173913043478261</v>
      </c>
      <c r="Y27" s="18">
        <v>46113</v>
      </c>
      <c r="Z27" s="286">
        <f>+IFERROR(_xlfn.XLOOKUP(Tabla3[[#This Row],[ID LINGODA]],LINGODA!D:D,LINGODA!S:S),0)</f>
        <v>27</v>
      </c>
      <c r="AA27" s="18" t="str">
        <f>+IFERROR(_xlfn.XLOOKUP(Tabla3[[#This Row],[ID LINGODA]],LINGODA!D:D,LINGODA!F:F),"null")</f>
        <v>A2.1</v>
      </c>
      <c r="AB27" s="286" t="str">
        <f>+IFERROR(_xlfn.XLOOKUP(Tabla3[[#This Row],[ID LINGODA]],LINGODA!D:D,LINGODA!G:G),"null")</f>
        <v>B1.1</v>
      </c>
    </row>
    <row r="28" spans="1:28">
      <c r="A28" s="5" t="s">
        <v>2177</v>
      </c>
      <c r="B28" s="1" t="s">
        <v>2178</v>
      </c>
      <c r="C28" s="1" t="s">
        <v>13</v>
      </c>
      <c r="D28" s="1" t="s">
        <v>165</v>
      </c>
      <c r="E28" s="60">
        <v>1782737</v>
      </c>
      <c r="F28" s="60"/>
      <c r="G28" s="18">
        <f>(_xlfn.MINIFS(INGRESOS!A:A,INGRESOS!C:C,Tabla3[[#This Row],[CORREO]]))</f>
        <v>45762</v>
      </c>
      <c r="H28" s="3">
        <f>+SUMIFS(INGRESOS!J:J,INGRESOS!D:D,Tabla3[[#This Row],[ID STRIPE]],INGRESOS!A:A,"&gt;="&amp;DATE(YEAR(Tabla3[[#This Row],[FECHA INGRESO]]),MONTH(Tabla3[[#This Row],[FECHA INGRESO]]),1),INGRESOS!A:A,"&lt;="&amp;DATE(YEAR(Tabla3[[#This Row],[FECHA INGRESO]]),MONTH(Tabla3[[#This Row],[FECHA INGRESO]])+1,0))</f>
        <v>3869.75</v>
      </c>
      <c r="I28" s="286">
        <f ca="1">DATEDIF(Tabla3[[#This Row],[FECHA INGRESO]],IF(OR(Tabla3[[#This Row],[ESTADO]]="OK",Tabla3[[#This Row],[ESTADO]]="¡REGULARIZAR!")=TRUE,TODAY(),IF(Tabla3[[#This Row],[ULTIMO PAGO]]="",TODAY(),Tabla3[[#This Row],[ULTIMO PAGO]])),"m")</f>
        <v>10</v>
      </c>
      <c r="J28" s="18">
        <f>(_xlfn.MAXIFS(INGRESOS!A:A,INGRESOS!C:C,Tabla3[[#This Row],[CORREO]]))</f>
        <v>46086</v>
      </c>
      <c r="K28" s="7">
        <f ca="1">+IFERROR(Tabla3[[#This Row],[ABONADO NETO ]]/Tabla3[[#This Row],[MESES ACT]],Tabla3[[#This Row],[ABONO 1ER MES]])</f>
        <v>1450.9749999999999</v>
      </c>
      <c r="L28" s="7" t="s">
        <v>2118</v>
      </c>
      <c r="M28" s="287" t="s">
        <v>2119</v>
      </c>
      <c r="N28" s="288">
        <f>+SUMIF(INGRESOS!D:D,Tabla3[[#This Row],[ID STRIPE]],INGRESOS!J:J)</f>
        <v>14509.75</v>
      </c>
      <c r="O28" s="6">
        <v>20000</v>
      </c>
      <c r="P28" s="6">
        <f>+SUMIF('CALENDARIO INGRESOS'!A:A,Tabla3[[#This Row],[ID STRIPE]],'CALENDARIO INGRESOS'!I:I)</f>
        <v>20000</v>
      </c>
      <c r="Q28" s="6">
        <f>+SUMIF(INGRESOS!D:D,Tabla3[[#This Row],[ID STRIPE]],INGRESOS!G:G)</f>
        <v>15000</v>
      </c>
      <c r="R28" s="3" t="str">
        <f>IF(Tabla3[[#This Row],[ESTADO]]="OK",IF(COUNTIFS('CALENDARIO INGRESOS'!$A:$A,$D28,'CALENDARIO INGRESOS'!$H:$H,"LATAM",'CALENDARIO INGRESOS'!$L:$L,"&lt;&gt;PAGADA")&gt;0,"LATAM",
 IF(COUNTIFS('CALENDARIO INGRESOS'!$A:$A,$D28,'CALENDARIO INGRESOS'!$H:$H,"VISA",'CALENDARIO INGRESOS'!$L:$L,"&lt;&gt;PAGADA")&gt;0,"VISA",
  IF(COUNTIFS('CALENDARIO INGRESOS'!$A:$A,$D28,'CALENDARIO INGRESOS'!$H:$H,"FIRMA PA",'CALENDARIO INGRESOS'!$L:$L,"&lt;&gt;PAGADA")&gt;0,"FIRMA PA",
   IF(COUNTIFS('CALENDARIO INGRESOS'!$A:$A,$D28,'CALENDARIO INGRESOS'!$H:$H,"ALEM",'CALENDARIO INGRESOS'!$L:$L,"&lt;&gt;PAGADA")&gt;0,"ALEM","LISTO")))),"-")</f>
        <v>LATAM</v>
      </c>
      <c r="S28" s="188">
        <f>+SUMIFS('CALENDARIO INGRESOS'!I:I,'CALENDARIO INGRESOS'!A:A,Tabla3[[#This Row],[ID STRIPE]],'CALENDARIO INGRESOS'!H:H,"LATAM")</f>
        <v>20000</v>
      </c>
      <c r="T28" s="188">
        <f>+IF(Tabla3[[#This Row],[MONTO LATAM]]-Tabla3[[#This Row],[IMPORTE ABONADO]]&gt;=0,Tabla3[[#This Row],[MONTO LATAM]]-Tabla3[[#This Row],[IMPORTE ABONADO]],0)</f>
        <v>5000</v>
      </c>
      <c r="U28" s="188">
        <f>+SUMIFS('CALENDARIO INGRESOS'!I:I,'CALENDARIO INGRESOS'!A:A,Tabla3[[#This Row],[ID STRIPE]],'CALENDARIO INGRESOS'!H:H,"ALEM")</f>
        <v>0</v>
      </c>
      <c r="V28" s="6">
        <f>+SUMIFS('CALENDARIO INGRESOS'!I:I,'CALENDARIO INGRESOS'!A:A,Tabla3[[#This Row],[ID STRIPE]],'CALENDARIO INGRESOS'!H:H,"VISA")+SUMIFS('CALENDARIO INGRESOS'!I:I,'CALENDARIO INGRESOS'!A:A,Tabla3[[#This Row],[ID STRIPE]],'CALENDARIO INGRESOS'!H:H,"FIRMA PA")</f>
        <v>0</v>
      </c>
      <c r="W28" s="250">
        <v>1</v>
      </c>
      <c r="X28" s="60">
        <f>+IFERROR(AVERAGEIF('CALENDARIO INGRESOS'!A:A,Tabla3[[#This Row],[ID STRIPE]],'CALENDARIO INGRESOS'!M:M),"0")</f>
        <v>0</v>
      </c>
      <c r="Y28" s="18" t="s">
        <v>2093</v>
      </c>
      <c r="Z28" s="286">
        <f>+IFERROR(_xlfn.XLOOKUP(Tabla3[[#This Row],[ID LINGODA]],LINGODA!D:D,LINGODA!S:S),0)</f>
        <v>96</v>
      </c>
      <c r="AA28" s="18" t="str">
        <f>+IFERROR(_xlfn.XLOOKUP(Tabla3[[#This Row],[ID LINGODA]],LINGODA!D:D,LINGODA!F:F),"null")</f>
        <v>A1.1</v>
      </c>
      <c r="AB28" s="286" t="str">
        <f>+IFERROR(_xlfn.XLOOKUP(Tabla3[[#This Row],[ID LINGODA]],LINGODA!D:D,LINGODA!G:G),"null")</f>
        <v>A1.2</v>
      </c>
    </row>
    <row r="29" spans="1:28">
      <c r="A29" s="5" t="s">
        <v>2179</v>
      </c>
      <c r="B29" s="1" t="s">
        <v>2180</v>
      </c>
      <c r="C29" s="1" t="s">
        <v>11</v>
      </c>
      <c r="D29" s="1" t="s">
        <v>168</v>
      </c>
      <c r="E29" s="60">
        <v>1784874</v>
      </c>
      <c r="F29" s="60"/>
      <c r="G29" s="18">
        <f>(_xlfn.MINIFS(INGRESOS!A:A,INGRESOS!C:C,Tabla3[[#This Row],[CORREO]]))</f>
        <v>45762</v>
      </c>
      <c r="H29" s="3">
        <f>+SUMIFS(INGRESOS!J:J,INGRESOS!D:D,Tabla3[[#This Row],[ID STRIPE]],INGRESOS!A:A,"&gt;="&amp;DATE(YEAR(Tabla3[[#This Row],[FECHA INGRESO]]),MONTH(Tabla3[[#This Row],[FECHA INGRESO]]),1),INGRESOS!A:A,"&lt;="&amp;DATE(YEAR(Tabla3[[#This Row],[FECHA INGRESO]]),MONTH(Tabla3[[#This Row],[FECHA INGRESO]])+1,0))</f>
        <v>3869.5</v>
      </c>
      <c r="I29" s="286">
        <f ca="1">DATEDIF(Tabla3[[#This Row],[FECHA INGRESO]],IF(OR(Tabla3[[#This Row],[ESTADO]]="OK",Tabla3[[#This Row],[ESTADO]]="¡REGULARIZAR!")=TRUE,TODAY(),IF(Tabla3[[#This Row],[ULTIMO PAGO]]="",TODAY(),Tabla3[[#This Row],[ULTIMO PAGO]])),"m")</f>
        <v>10</v>
      </c>
      <c r="J29" s="18">
        <f>(_xlfn.MAXIFS(INGRESOS!A:A,INGRESOS!C:C,Tabla3[[#This Row],[CORREO]]))</f>
        <v>46083</v>
      </c>
      <c r="K29" s="7">
        <f ca="1">+IFERROR(Tabla3[[#This Row],[ABONADO NETO ]]/Tabla3[[#This Row],[MESES ACT]],Tabla3[[#This Row],[ABONO 1ER MES]])</f>
        <v>1634.7750000000001</v>
      </c>
      <c r="L29" s="7" t="s">
        <v>2118</v>
      </c>
      <c r="M29" s="287" t="s">
        <v>2119</v>
      </c>
      <c r="N29" s="288">
        <f>+SUMIF(INGRESOS!D:D,Tabla3[[#This Row],[ID STRIPE]],INGRESOS!J:J)</f>
        <v>16347.75</v>
      </c>
      <c r="O29" s="6">
        <v>20000</v>
      </c>
      <c r="P29" s="6">
        <f>+SUMIF('CALENDARIO INGRESOS'!A:A,Tabla3[[#This Row],[ID STRIPE]],'CALENDARIO INGRESOS'!I:I)</f>
        <v>20000</v>
      </c>
      <c r="Q29" s="6">
        <f>+SUMIF(INGRESOS!D:D,Tabla3[[#This Row],[ID STRIPE]],INGRESOS!G:G)</f>
        <v>16900</v>
      </c>
      <c r="R29" s="3" t="str">
        <f>IF(Tabla3[[#This Row],[ESTADO]]="OK",IF(COUNTIFS('CALENDARIO INGRESOS'!$A:$A,$D29,'CALENDARIO INGRESOS'!$H:$H,"LATAM",'CALENDARIO INGRESOS'!$L:$L,"&lt;&gt;PAGADA")&gt;0,"LATAM",
 IF(COUNTIFS('CALENDARIO INGRESOS'!$A:$A,$D29,'CALENDARIO INGRESOS'!$H:$H,"VISA",'CALENDARIO INGRESOS'!$L:$L,"&lt;&gt;PAGADA")&gt;0,"VISA",
  IF(COUNTIFS('CALENDARIO INGRESOS'!$A:$A,$D29,'CALENDARIO INGRESOS'!$H:$H,"FIRMA PA",'CALENDARIO INGRESOS'!$L:$L,"&lt;&gt;PAGADA")&gt;0,"FIRMA PA",
   IF(COUNTIFS('CALENDARIO INGRESOS'!$A:$A,$D29,'CALENDARIO INGRESOS'!$H:$H,"ALEM",'CALENDARIO INGRESOS'!$L:$L,"&lt;&gt;PAGADA")&gt;0,"ALEM","LISTO")))),"-")</f>
        <v>LATAM</v>
      </c>
      <c r="S29" s="188">
        <f>+SUMIFS('CALENDARIO INGRESOS'!I:I,'CALENDARIO INGRESOS'!A:A,Tabla3[[#This Row],[ID STRIPE]],'CALENDARIO INGRESOS'!H:H,"LATAM")</f>
        <v>20000</v>
      </c>
      <c r="T29" s="188">
        <f>+IF(Tabla3[[#This Row],[MONTO LATAM]]-Tabla3[[#This Row],[IMPORTE ABONADO]]&gt;=0,Tabla3[[#This Row],[MONTO LATAM]]-Tabla3[[#This Row],[IMPORTE ABONADO]],0)</f>
        <v>3100</v>
      </c>
      <c r="U29" s="188">
        <f>+SUMIFS('CALENDARIO INGRESOS'!I:I,'CALENDARIO INGRESOS'!A:A,Tabla3[[#This Row],[ID STRIPE]],'CALENDARIO INGRESOS'!H:H,"ALEM")</f>
        <v>0</v>
      </c>
      <c r="V29" s="6">
        <f>+SUMIFS('CALENDARIO INGRESOS'!I:I,'CALENDARIO INGRESOS'!A:A,Tabla3[[#This Row],[ID STRIPE]],'CALENDARIO INGRESOS'!H:H,"VISA")+SUMIFS('CALENDARIO INGRESOS'!I:I,'CALENDARIO INGRESOS'!A:A,Tabla3[[#This Row],[ID STRIPE]],'CALENDARIO INGRESOS'!H:H,"FIRMA PA")</f>
        <v>0</v>
      </c>
      <c r="W29" s="250">
        <v>1</v>
      </c>
      <c r="X29" s="60">
        <f>+IFERROR(AVERAGEIF('CALENDARIO INGRESOS'!A:A,Tabla3[[#This Row],[ID STRIPE]],'CALENDARIO INGRESOS'!M:M),"0")</f>
        <v>0.75</v>
      </c>
      <c r="Y29" s="18" t="s">
        <v>2093</v>
      </c>
      <c r="Z29" s="286">
        <f>+IFERROR(_xlfn.XLOOKUP(Tabla3[[#This Row],[ID LINGODA]],LINGODA!D:D,LINGODA!S:S),0)</f>
        <v>40</v>
      </c>
      <c r="AA29" s="18" t="str">
        <f>+IFERROR(_xlfn.XLOOKUP(Tabla3[[#This Row],[ID LINGODA]],LINGODA!D:D,LINGODA!F:F),"null")</f>
        <v>B2.1</v>
      </c>
      <c r="AB29" s="286" t="str">
        <f>+IFERROR(_xlfn.XLOOKUP(Tabla3[[#This Row],[ID LINGODA]],LINGODA!D:D,LINGODA!G:G),"null")</f>
        <v>B2.1</v>
      </c>
    </row>
    <row r="30" spans="1:28">
      <c r="A30" s="5" t="s">
        <v>2181</v>
      </c>
      <c r="B30" s="1" t="s">
        <v>2182</v>
      </c>
      <c r="C30" s="1" t="s">
        <v>11</v>
      </c>
      <c r="D30" s="1" t="s">
        <v>178</v>
      </c>
      <c r="E30" s="60">
        <v>1797026</v>
      </c>
      <c r="F30" s="60"/>
      <c r="G30" s="18">
        <f>(_xlfn.MINIFS(INGRESOS!A:A,INGRESOS!C:C,Tabla3[[#This Row],[CORREO]]))</f>
        <v>45769</v>
      </c>
      <c r="H30" s="3">
        <f>+SUMIFS(INGRESOS!J:J,INGRESOS!D:D,Tabla3[[#This Row],[ID STRIPE]],INGRESOS!A:A,"&gt;="&amp;DATE(YEAR(Tabla3[[#This Row],[FECHA INGRESO]]),MONTH(Tabla3[[#This Row],[FECHA INGRESO]]),1),INGRESOS!A:A,"&lt;="&amp;DATE(YEAR(Tabla3[[#This Row],[FECHA INGRESO]]),MONTH(Tabla3[[#This Row],[FECHA INGRESO]])+1,0))</f>
        <v>983.90554563042087</v>
      </c>
      <c r="I30" s="286">
        <f ca="1">DATEDIF(Tabla3[[#This Row],[FECHA INGRESO]],IF(OR(Tabla3[[#This Row],[ESTADO]]="OK",Tabla3[[#This Row],[ESTADO]]="¡REGULARIZAR!")=TRUE,TODAY(),IF(Tabla3[[#This Row],[ULTIMO PAGO]]="",TODAY(),Tabla3[[#This Row],[ULTIMO PAGO]])),"m")</f>
        <v>10</v>
      </c>
      <c r="J30" s="18">
        <f>(_xlfn.MAXIFS(INGRESOS!A:A,INGRESOS!C:C,Tabla3[[#This Row],[CORREO]]))</f>
        <v>46059</v>
      </c>
      <c r="K30" s="7">
        <f ca="1">+IFERROR(Tabla3[[#This Row],[ABONADO NETO ]]/Tabla3[[#This Row],[MESES ACT]],Tabla3[[#This Row],[ABONO 1ER MES]])</f>
        <v>1839.7655545630419</v>
      </c>
      <c r="L30" s="7" t="s">
        <v>2118</v>
      </c>
      <c r="M30" s="287" t="s">
        <v>2119</v>
      </c>
      <c r="N30" s="288">
        <f>+SUMIF(INGRESOS!D:D,Tabla3[[#This Row],[ID STRIPE]],INGRESOS!J:J)</f>
        <v>18397.65554563042</v>
      </c>
      <c r="O30" s="6">
        <v>19000</v>
      </c>
      <c r="P30" s="6">
        <f>+SUMIF('CALENDARIO INGRESOS'!A:A,Tabla3[[#This Row],[ID STRIPE]],'CALENDARIO INGRESOS'!I:I)</f>
        <v>19000</v>
      </c>
      <c r="Q30" s="6">
        <f>+SUMIF(INGRESOS!D:D,Tabla3[[#This Row],[ID STRIPE]],INGRESOS!G:G)</f>
        <v>19022.771241588063</v>
      </c>
      <c r="R30" s="3" t="str">
        <f>IF(Tabla3[[#This Row],[ESTADO]]="OK",IF(COUNTIFS('CALENDARIO INGRESOS'!$A:$A,$D30,'CALENDARIO INGRESOS'!$H:$H,"LATAM",'CALENDARIO INGRESOS'!$L:$L,"&lt;&gt;PAGADA")&gt;0,"LATAM",
 IF(COUNTIFS('CALENDARIO INGRESOS'!$A:$A,$D30,'CALENDARIO INGRESOS'!$H:$H,"VISA",'CALENDARIO INGRESOS'!$L:$L,"&lt;&gt;PAGADA")&gt;0,"VISA",
  IF(COUNTIFS('CALENDARIO INGRESOS'!$A:$A,$D30,'CALENDARIO INGRESOS'!$H:$H,"FIRMA PA",'CALENDARIO INGRESOS'!$L:$L,"&lt;&gt;PAGADA")&gt;0,"FIRMA PA",
   IF(COUNTIFS('CALENDARIO INGRESOS'!$A:$A,$D30,'CALENDARIO INGRESOS'!$H:$H,"ALEM",'CALENDARIO INGRESOS'!$L:$L,"&lt;&gt;PAGADA")&gt;0,"ALEM","LISTO")))),"-")</f>
        <v>LISTO</v>
      </c>
      <c r="S30" s="188">
        <f>+SUMIFS('CALENDARIO INGRESOS'!I:I,'CALENDARIO INGRESOS'!A:A,Tabla3[[#This Row],[ID STRIPE]],'CALENDARIO INGRESOS'!H:H,"LATAM")</f>
        <v>19000</v>
      </c>
      <c r="T30" s="188">
        <f>+IF(Tabla3[[#This Row],[MONTO LATAM]]-Tabla3[[#This Row],[IMPORTE ABONADO]]&gt;=0,Tabla3[[#This Row],[MONTO LATAM]]-Tabla3[[#This Row],[IMPORTE ABONADO]],0)</f>
        <v>0</v>
      </c>
      <c r="U30" s="188">
        <f>+SUMIFS('CALENDARIO INGRESOS'!I:I,'CALENDARIO INGRESOS'!A:A,Tabla3[[#This Row],[ID STRIPE]],'CALENDARIO INGRESOS'!H:H,"ALEM")</f>
        <v>0</v>
      </c>
      <c r="V30" s="6">
        <f>+SUMIFS('CALENDARIO INGRESOS'!I:I,'CALENDARIO INGRESOS'!A:A,Tabla3[[#This Row],[ID STRIPE]],'CALENDARIO INGRESOS'!H:H,"VISA")+SUMIFS('CALENDARIO INGRESOS'!I:I,'CALENDARIO INGRESOS'!A:A,Tabla3[[#This Row],[ID STRIPE]],'CALENDARIO INGRESOS'!H:H,"FIRMA PA")</f>
        <v>0</v>
      </c>
      <c r="W30" s="252">
        <v>0</v>
      </c>
      <c r="X30" s="60">
        <f>+IFERROR(AVERAGEIF('CALENDARIO INGRESOS'!A:A,Tabla3[[#This Row],[ID STRIPE]],'CALENDARIO INGRESOS'!M:M),"0")</f>
        <v>-0.33333333333333331</v>
      </c>
      <c r="Y30" s="18">
        <v>46023</v>
      </c>
      <c r="Z30" s="286">
        <f>+IFERROR(_xlfn.XLOOKUP(Tabla3[[#This Row],[ID LINGODA]],LINGODA!D:D,LINGODA!S:S),0)</f>
        <v>0</v>
      </c>
      <c r="AA30" s="18" t="str">
        <f>+IFERROR(_xlfn.XLOOKUP(Tabla3[[#This Row],[ID LINGODA]],LINGODA!D:D,LINGODA!F:F),"null")</f>
        <v>null</v>
      </c>
      <c r="AB30" s="286" t="str">
        <f>+IFERROR(_xlfn.XLOOKUP(Tabla3[[#This Row],[ID LINGODA]],LINGODA!D:D,LINGODA!G:G),"null")</f>
        <v>null</v>
      </c>
    </row>
    <row r="31" spans="1:28">
      <c r="A31" s="5" t="s">
        <v>2183</v>
      </c>
      <c r="B31" s="1" t="s">
        <v>2184</v>
      </c>
      <c r="C31" s="1" t="s">
        <v>11</v>
      </c>
      <c r="D31" s="1" t="s">
        <v>184</v>
      </c>
      <c r="E31" s="60">
        <v>1784876</v>
      </c>
      <c r="F31" s="60"/>
      <c r="G31" s="18">
        <f>(_xlfn.MINIFS(INGRESOS!A:A,INGRESOS!C:C,Tabla3[[#This Row],[CORREO]]))</f>
        <v>45771</v>
      </c>
      <c r="H31" s="3">
        <f>+SUMIFS(INGRESOS!J:J,INGRESOS!D:D,Tabla3[[#This Row],[ID STRIPE]],INGRESOS!A:A,"&gt;="&amp;DATE(YEAR(Tabla3[[#This Row],[FECHA INGRESO]]),MONTH(Tabla3[[#This Row],[FECHA INGRESO]]),1),INGRESOS!A:A,"&lt;="&amp;DATE(YEAR(Tabla3[[#This Row],[FECHA INGRESO]]),MONTH(Tabla3[[#This Row],[FECHA INGRESO]])+1,0))</f>
        <v>2043.8577815626998</v>
      </c>
      <c r="I31" s="286">
        <f ca="1">DATEDIF(Tabla3[[#This Row],[FECHA INGRESO]],IF(OR(Tabla3[[#This Row],[ESTADO]]="OK",Tabla3[[#This Row],[ESTADO]]="¡REGULARIZAR!")=TRUE,TODAY(),IF(Tabla3[[#This Row],[ULTIMO PAGO]]="",TODAY(),Tabla3[[#This Row],[ULTIMO PAGO]])),"m")</f>
        <v>10</v>
      </c>
      <c r="J31" s="18">
        <f>(_xlfn.MAXIFS(INGRESOS!A:A,INGRESOS!C:C,Tabla3[[#This Row],[CORREO]]))</f>
        <v>46083</v>
      </c>
      <c r="K31" s="7">
        <f ca="1">+IFERROR(Tabla3[[#This Row],[ABONADO NETO ]]/Tabla3[[#This Row],[MESES ACT]],Tabla3[[#This Row],[ABONO 1ER MES]])</f>
        <v>709.60577815626993</v>
      </c>
      <c r="M31" s="287" t="s">
        <v>2119</v>
      </c>
      <c r="N31" s="288">
        <f>+SUMIF(INGRESOS!D:D,Tabla3[[#This Row],[ID STRIPE]],INGRESOS!J:J)</f>
        <v>7096.0577815626993</v>
      </c>
      <c r="O31" s="6">
        <v>16500</v>
      </c>
      <c r="P31" s="6">
        <f>+SUMIF('CALENDARIO INGRESOS'!A:A,Tabla3[[#This Row],[ID STRIPE]],'CALENDARIO INGRESOS'!I:I)</f>
        <v>16206.8577815627</v>
      </c>
      <c r="Q31" s="6">
        <f>+SUMIF(INGRESOS!D:D,Tabla3[[#This Row],[ID STRIPE]],INGRESOS!G:G)</f>
        <v>7267.8577815626995</v>
      </c>
      <c r="R31" s="3" t="str">
        <f>IF(Tabla3[[#This Row],[ESTADO]]="OK",IF(COUNTIFS('CALENDARIO INGRESOS'!$A:$A,$D31,'CALENDARIO INGRESOS'!$H:$H,"LATAM",'CALENDARIO INGRESOS'!$L:$L,"&lt;&gt;PAGADA")&gt;0,"LATAM",
 IF(COUNTIFS('CALENDARIO INGRESOS'!$A:$A,$D31,'CALENDARIO INGRESOS'!$H:$H,"VISA",'CALENDARIO INGRESOS'!$L:$L,"&lt;&gt;PAGADA")&gt;0,"VISA",
  IF(COUNTIFS('CALENDARIO INGRESOS'!$A:$A,$D31,'CALENDARIO INGRESOS'!$H:$H,"FIRMA PA",'CALENDARIO INGRESOS'!$L:$L,"&lt;&gt;PAGADA")&gt;0,"FIRMA PA",
   IF(COUNTIFS('CALENDARIO INGRESOS'!$A:$A,$D31,'CALENDARIO INGRESOS'!$H:$H,"ALEM",'CALENDARIO INGRESOS'!$L:$L,"&lt;&gt;PAGADA")&gt;0,"ALEM","LISTO")))),"-")</f>
        <v>LATAM</v>
      </c>
      <c r="S31" s="188">
        <f>+SUMIFS('CALENDARIO INGRESOS'!I:I,'CALENDARIO INGRESOS'!A:A,Tabla3[[#This Row],[ID STRIPE]],'CALENDARIO INGRESOS'!H:H,"LATAM")</f>
        <v>7962.8577815626995</v>
      </c>
      <c r="T31" s="188">
        <f>+IF(Tabla3[[#This Row],[MONTO LATAM]]-Tabla3[[#This Row],[IMPORTE ABONADO]]&gt;=0,Tabla3[[#This Row],[MONTO LATAM]]-Tabla3[[#This Row],[IMPORTE ABONADO]],0)</f>
        <v>695</v>
      </c>
      <c r="U31" s="188">
        <f>+SUMIFS('CALENDARIO INGRESOS'!I:I,'CALENDARIO INGRESOS'!A:A,Tabla3[[#This Row],[ID STRIPE]],'CALENDARIO INGRESOS'!H:H,"ALEM")</f>
        <v>8244</v>
      </c>
      <c r="V31" s="6">
        <f>+SUMIFS('CALENDARIO INGRESOS'!I:I,'CALENDARIO INGRESOS'!A:A,Tabla3[[#This Row],[ID STRIPE]],'CALENDARIO INGRESOS'!H:H,"VISA")+SUMIFS('CALENDARIO INGRESOS'!I:I,'CALENDARIO INGRESOS'!A:A,Tabla3[[#This Row],[ID STRIPE]],'CALENDARIO INGRESOS'!H:H,"FIRMA PA")</f>
        <v>0</v>
      </c>
      <c r="W31" s="252">
        <v>0</v>
      </c>
      <c r="X31" s="60">
        <f>+IFERROR(AVERAGEIF('CALENDARIO INGRESOS'!A:A,Tabla3[[#This Row],[ID STRIPE]],'CALENDARIO INGRESOS'!M:M),"0")</f>
        <v>2.1111111111111112</v>
      </c>
      <c r="Y31" s="18">
        <v>46082</v>
      </c>
      <c r="Z31" s="286">
        <f>+IFERROR(_xlfn.XLOOKUP(Tabla3[[#This Row],[ID LINGODA]],LINGODA!D:D,LINGODA!S:S),0)</f>
        <v>119</v>
      </c>
      <c r="AA31" s="18" t="str">
        <f>+IFERROR(_xlfn.XLOOKUP(Tabla3[[#This Row],[ID LINGODA]],LINGODA!D:D,LINGODA!F:F),"null")</f>
        <v>C1.1</v>
      </c>
      <c r="AB31" s="286" t="str">
        <f>+IFERROR(_xlfn.XLOOKUP(Tabla3[[#This Row],[ID LINGODA]],LINGODA!D:D,LINGODA!G:G),"null")</f>
        <v>C1.3</v>
      </c>
    </row>
    <row r="32" spans="1:28">
      <c r="A32" s="5" t="s">
        <v>2173</v>
      </c>
      <c r="B32" s="1" t="s">
        <v>2174</v>
      </c>
      <c r="C32" s="1" t="s">
        <v>16</v>
      </c>
      <c r="D32" s="1" t="s">
        <v>181</v>
      </c>
      <c r="E32" s="60">
        <v>1792945</v>
      </c>
      <c r="F32" s="60"/>
      <c r="G32" s="18">
        <f>(_xlfn.MINIFS(INGRESOS!A:A,INGRESOS!C:C,Tabla3[[#This Row],[CORREO]]))</f>
        <v>45772</v>
      </c>
      <c r="H32" s="3">
        <f>+SUMIFS(INGRESOS!J:J,INGRESOS!D:D,Tabla3[[#This Row],[ID STRIPE]],INGRESOS!A:A,"&gt;="&amp;DATE(YEAR(Tabla3[[#This Row],[FECHA INGRESO]]),MONTH(Tabla3[[#This Row],[FECHA INGRESO]]),1),INGRESOS!A:A,"&lt;="&amp;DATE(YEAR(Tabla3[[#This Row],[FECHA INGRESO]]),MONTH(Tabla3[[#This Row],[FECHA INGRESO]])+1,0))</f>
        <v>2934.75</v>
      </c>
      <c r="I32" s="286">
        <f ca="1">DATEDIF(Tabla3[[#This Row],[FECHA INGRESO]],IF(OR(Tabla3[[#This Row],[ESTADO]]="OK",Tabla3[[#This Row],[ESTADO]]="¡REGULARIZAR!")=TRUE,TODAY(),IF(Tabla3[[#This Row],[ULTIMO PAGO]]="",TODAY(),Tabla3[[#This Row],[ULTIMO PAGO]])),"m")</f>
        <v>10</v>
      </c>
      <c r="J32" s="18">
        <f>(_xlfn.MAXIFS(INGRESOS!A:A,INGRESOS!C:C,Tabla3[[#This Row],[CORREO]]))</f>
        <v>45838</v>
      </c>
      <c r="K32" s="7">
        <f ca="1">+IFERROR(Tabla3[[#This Row],[ABONADO NETO ]]/Tabla3[[#This Row],[MESES ACT]],Tabla3[[#This Row],[ABONO 1ER MES]])</f>
        <v>1454.3</v>
      </c>
      <c r="L32" s="7" t="s">
        <v>2118</v>
      </c>
      <c r="M32" s="287" t="s">
        <v>2119</v>
      </c>
      <c r="N32" s="288">
        <f>+SUMIF(INGRESOS!D:D,Tabla3[[#This Row],[ID STRIPE]],INGRESOS!J:J)</f>
        <v>14543</v>
      </c>
      <c r="O32" s="6">
        <v>13500</v>
      </c>
      <c r="P32" s="6">
        <f>+SUMIF('CALENDARIO INGRESOS'!A:A,Tabla3[[#This Row],[ID STRIPE]],'CALENDARIO INGRESOS'!I:I)</f>
        <v>15000</v>
      </c>
      <c r="Q32" s="6">
        <f>+SUMIF(INGRESOS!D:D,Tabla3[[#This Row],[ID STRIPE]],INGRESOS!G:G)</f>
        <v>15000</v>
      </c>
      <c r="R32" s="3" t="str">
        <f>IF(Tabla3[[#This Row],[ESTADO]]="OK",IF(COUNTIFS('CALENDARIO INGRESOS'!$A:$A,$D32,'CALENDARIO INGRESOS'!$H:$H,"LATAM",'CALENDARIO INGRESOS'!$L:$L,"&lt;&gt;PAGADA")&gt;0,"LATAM",
 IF(COUNTIFS('CALENDARIO INGRESOS'!$A:$A,$D32,'CALENDARIO INGRESOS'!$H:$H,"VISA",'CALENDARIO INGRESOS'!$L:$L,"&lt;&gt;PAGADA")&gt;0,"VISA",
  IF(COUNTIFS('CALENDARIO INGRESOS'!$A:$A,$D32,'CALENDARIO INGRESOS'!$H:$H,"FIRMA PA",'CALENDARIO INGRESOS'!$L:$L,"&lt;&gt;PAGADA")&gt;0,"FIRMA PA",
   IF(COUNTIFS('CALENDARIO INGRESOS'!$A:$A,$D32,'CALENDARIO INGRESOS'!$H:$H,"ALEM",'CALENDARIO INGRESOS'!$L:$L,"&lt;&gt;PAGADA")&gt;0,"ALEM","LISTO")))),"-")</f>
        <v>LISTO</v>
      </c>
      <c r="S32" s="188">
        <f>+SUMIFS('CALENDARIO INGRESOS'!I:I,'CALENDARIO INGRESOS'!A:A,Tabla3[[#This Row],[ID STRIPE]],'CALENDARIO INGRESOS'!H:H,"LATAM")</f>
        <v>15000</v>
      </c>
      <c r="T32" s="188">
        <f>+IF(Tabla3[[#This Row],[MONTO LATAM]]-Tabla3[[#This Row],[IMPORTE ABONADO]]&gt;=0,Tabla3[[#This Row],[MONTO LATAM]]-Tabla3[[#This Row],[IMPORTE ABONADO]],0)</f>
        <v>0</v>
      </c>
      <c r="U32" s="188">
        <f>+SUMIFS('CALENDARIO INGRESOS'!I:I,'CALENDARIO INGRESOS'!A:A,Tabla3[[#This Row],[ID STRIPE]],'CALENDARIO INGRESOS'!H:H,"ALEM")</f>
        <v>0</v>
      </c>
      <c r="V32" s="6">
        <f>+SUMIFS('CALENDARIO INGRESOS'!I:I,'CALENDARIO INGRESOS'!A:A,Tabla3[[#This Row],[ID STRIPE]],'CALENDARIO INGRESOS'!H:H,"VISA")+SUMIFS('CALENDARIO INGRESOS'!I:I,'CALENDARIO INGRESOS'!A:A,Tabla3[[#This Row],[ID STRIPE]],'CALENDARIO INGRESOS'!H:H,"FIRMA PA")</f>
        <v>0</v>
      </c>
      <c r="W32" s="252">
        <v>0</v>
      </c>
      <c r="X32" s="60">
        <f>+IFERROR(AVERAGEIF('CALENDARIO INGRESOS'!A:A,Tabla3[[#This Row],[ID STRIPE]],'CALENDARIO INGRESOS'!M:M),"0")</f>
        <v>0</v>
      </c>
      <c r="Y32" s="18" t="s">
        <v>2093</v>
      </c>
      <c r="Z32" s="286">
        <f>+IFERROR(_xlfn.XLOOKUP(Tabla3[[#This Row],[ID LINGODA]],LINGODA!D:D,LINGODA!S:S),0)</f>
        <v>136</v>
      </c>
      <c r="AA32" s="18" t="str">
        <f>+IFERROR(_xlfn.XLOOKUP(Tabla3[[#This Row],[ID LINGODA]],LINGODA!D:D,LINGODA!F:F),"null")</f>
        <v>B2.1</v>
      </c>
      <c r="AB32" s="286" t="str">
        <f>+IFERROR(_xlfn.XLOOKUP(Tabla3[[#This Row],[ID LINGODA]],LINGODA!D:D,LINGODA!G:G),"null")</f>
        <v>B2.3</v>
      </c>
    </row>
    <row r="33" spans="1:28">
      <c r="A33" s="5" t="s">
        <v>2185</v>
      </c>
      <c r="B33" s="1" t="s">
        <v>2186</v>
      </c>
      <c r="C33" s="1" t="s">
        <v>17</v>
      </c>
      <c r="D33" s="1" t="s">
        <v>2187</v>
      </c>
      <c r="E33" s="57">
        <v>1786890</v>
      </c>
      <c r="F33" s="57"/>
      <c r="G33" s="18">
        <f>(_xlfn.MINIFS(INGRESOS!A:A,INGRESOS!C:C,Tabla3[[#This Row],[CORREO]]))</f>
        <v>45772</v>
      </c>
      <c r="H33" s="3">
        <f>+SUMIFS(INGRESOS!J:J,INGRESOS!D:D,Tabla3[[#This Row],[ID STRIPE]],INGRESOS!A:A,"&gt;="&amp;DATE(YEAR(Tabla3[[#This Row],[FECHA INGRESO]]),MONTH(Tabla3[[#This Row],[FECHA INGRESO]]),1),INGRESOS!A:A,"&lt;="&amp;DATE(YEAR(Tabla3[[#This Row],[FECHA INGRESO]]),MONTH(Tabla3[[#This Row],[FECHA INGRESO]])+1,0))</f>
        <v>3871.91</v>
      </c>
      <c r="I33" s="286">
        <f ca="1">DATEDIF(Tabla3[[#This Row],[FECHA INGRESO]],IF(OR(Tabla3[[#This Row],[ESTADO]]="OK",Tabla3[[#This Row],[ESTADO]]="¡REGULARIZAR!")=TRUE,TODAY(),IF(Tabla3[[#This Row],[ULTIMO PAGO]]="",TODAY(),Tabla3[[#This Row],[ULTIMO PAGO]])),"m")</f>
        <v>0</v>
      </c>
      <c r="J33" s="18">
        <f>(_xlfn.MAXIFS(INGRESOS!A:A,INGRESOS!C:C,Tabla3[[#This Row],[CORREO]]))</f>
        <v>45772</v>
      </c>
      <c r="K33" s="7">
        <f ca="1">+IFERROR(Tabla3[[#This Row],[ABONADO NETO ]]/Tabla3[[#This Row],[MESES ACT]],Tabla3[[#This Row],[ABONO 1ER MES]])</f>
        <v>3871.91</v>
      </c>
      <c r="M33" s="287" t="s">
        <v>2139</v>
      </c>
      <c r="N33" s="288">
        <f>+SUMIF(INGRESOS!D:D,Tabla3[[#This Row],[ID STRIPE]],INGRESOS!J:J)</f>
        <v>3871.91</v>
      </c>
      <c r="O33" s="6">
        <v>16000</v>
      </c>
      <c r="P33" s="6">
        <f>+SUMIF('CALENDARIO INGRESOS'!A:A,Tabla3[[#This Row],[ID STRIPE]],'CALENDARIO INGRESOS'!I:I)</f>
        <v>0</v>
      </c>
      <c r="Q33" s="6">
        <f>+SUMIF(INGRESOS!D:D,Tabla3[[#This Row],[ID STRIPE]],INGRESOS!G:G)</f>
        <v>4000</v>
      </c>
      <c r="R33" s="3" t="str">
        <f>IF(Tabla3[[#This Row],[ESTADO]]="OK",IF(COUNTIFS('CALENDARIO INGRESOS'!$A:$A,$D33,'CALENDARIO INGRESOS'!$H:$H,"LATAM",'CALENDARIO INGRESOS'!$L:$L,"&lt;&gt;PAGADA")&gt;0,"LATAM",
 IF(COUNTIFS('CALENDARIO INGRESOS'!$A:$A,$D33,'CALENDARIO INGRESOS'!$H:$H,"VISA",'CALENDARIO INGRESOS'!$L:$L,"&lt;&gt;PAGADA")&gt;0,"VISA",
  IF(COUNTIFS('CALENDARIO INGRESOS'!$A:$A,$D33,'CALENDARIO INGRESOS'!$H:$H,"FIRMA PA",'CALENDARIO INGRESOS'!$L:$L,"&lt;&gt;PAGADA")&gt;0,"FIRMA PA",
   IF(COUNTIFS('CALENDARIO INGRESOS'!$A:$A,$D33,'CALENDARIO INGRESOS'!$H:$H,"ALEM",'CALENDARIO INGRESOS'!$L:$L,"&lt;&gt;PAGADA")&gt;0,"ALEM","LISTO")))),"-")</f>
        <v>-</v>
      </c>
      <c r="S33" s="188">
        <f>+SUMIFS('CALENDARIO INGRESOS'!I:I,'CALENDARIO INGRESOS'!A:A,Tabla3[[#This Row],[ID STRIPE]],'CALENDARIO INGRESOS'!H:H,"LATAM")</f>
        <v>0</v>
      </c>
      <c r="T33" s="188">
        <f>+IF(Tabla3[[#This Row],[MONTO LATAM]]-Tabla3[[#This Row],[IMPORTE ABONADO]]&gt;=0,Tabla3[[#This Row],[MONTO LATAM]]-Tabla3[[#This Row],[IMPORTE ABONADO]],0)</f>
        <v>0</v>
      </c>
      <c r="U33" s="188">
        <f>+SUMIFS('CALENDARIO INGRESOS'!J:J,'CALENDARIO INGRESOS'!B:B,Tabla3[[#This Row],[ID STRIPE]],'CALENDARIO INGRESOS'!I:I,"ALEM")</f>
        <v>0</v>
      </c>
      <c r="V33" s="6">
        <f>+SUMIFS('CALENDARIO INGRESOS'!I:I,'CALENDARIO INGRESOS'!A:A,Tabla3[[#This Row],[ID STRIPE]],'CALENDARIO INGRESOS'!H:H,"VISA")+SUMIFS('CALENDARIO INGRESOS'!I:I,'CALENDARIO INGRESOS'!A:A,Tabla3[[#This Row],[ID STRIPE]],'CALENDARIO INGRESOS'!H:H,"FIRMA PA")</f>
        <v>0</v>
      </c>
      <c r="W33" s="250">
        <v>0</v>
      </c>
      <c r="X33" s="57" t="str">
        <f>+IFERROR(AVERAGEIF('CALENDARIO INGRESOS'!A:A,Tabla3[[#This Row],[ID STRIPE]],'CALENDARIO INGRESOS'!M:M),"0")</f>
        <v>0</v>
      </c>
      <c r="Y33" s="18" t="s">
        <v>2093</v>
      </c>
      <c r="Z33" s="286">
        <f>+IFERROR(_xlfn.XLOOKUP(Tabla3[[#This Row],[ID LINGODA]],LINGODA!D:D,LINGODA!S:S),0)</f>
        <v>0</v>
      </c>
      <c r="AA33" s="18" t="str">
        <f>+IFERROR(_xlfn.XLOOKUP(Tabla3[[#This Row],[ID LINGODA]],LINGODA!D:D,LINGODA!F:F),"null")</f>
        <v>null</v>
      </c>
      <c r="AB33" s="286" t="str">
        <f>+IFERROR(_xlfn.XLOOKUP(Tabla3[[#This Row],[ID LINGODA]],LINGODA!D:D,LINGODA!G:G),"null")</f>
        <v>null</v>
      </c>
    </row>
    <row r="34" spans="1:28">
      <c r="A34" s="5" t="s">
        <v>2188</v>
      </c>
      <c r="B34" s="1" t="s">
        <v>2189</v>
      </c>
      <c r="C34" s="1" t="s">
        <v>18</v>
      </c>
      <c r="D34" s="1" t="s">
        <v>90</v>
      </c>
      <c r="E34" s="60">
        <v>1672216</v>
      </c>
      <c r="F34" s="60"/>
      <c r="G34" s="18">
        <f>(_xlfn.MINIFS(INGRESOS!A:A,INGRESOS!C:C,Tabla3[[#This Row],[CORREO]]))</f>
        <v>45774</v>
      </c>
      <c r="H34" s="3">
        <f>+SUMIFS(INGRESOS!J:J,INGRESOS!D:D,Tabla3[[#This Row],[ID STRIPE]],INGRESOS!A:A,"&gt;="&amp;DATE(YEAR(Tabla3[[#This Row],[FECHA INGRESO]]),MONTH(Tabla3[[#This Row],[FECHA INGRESO]]),1),INGRESOS!A:A,"&lt;="&amp;DATE(YEAR(Tabla3[[#This Row],[FECHA INGRESO]]),MONTH(Tabla3[[#This Row],[FECHA INGRESO]])+1,0))</f>
        <v>1500</v>
      </c>
      <c r="I34" s="286">
        <f ca="1">DATEDIF(Tabla3[[#This Row],[FECHA INGRESO]],IF(OR(Tabla3[[#This Row],[ESTADO]]="OK",Tabla3[[#This Row],[ESTADO]]="¡REGULARIZAR!")=TRUE,TODAY(),IF(Tabla3[[#This Row],[ULTIMO PAGO]]="",TODAY(),Tabla3[[#This Row],[ULTIMO PAGO]])),"m")</f>
        <v>10</v>
      </c>
      <c r="J34" s="18">
        <f>(_xlfn.MAXIFS(INGRESOS!A:A,INGRESOS!C:C,Tabla3[[#This Row],[CORREO]]))</f>
        <v>46069</v>
      </c>
      <c r="K34" s="7">
        <f ca="1">+IFERROR(Tabla3[[#This Row],[ABONADO NETO ]]/Tabla3[[#This Row],[MESES ACT]],Tabla3[[#This Row],[ABONO 1ER MES]])</f>
        <v>950</v>
      </c>
      <c r="M34" s="287" t="s">
        <v>2119</v>
      </c>
      <c r="N34" s="288">
        <f>+SUMIF(INGRESOS!D:D,Tabla3[[#This Row],[ID STRIPE]],INGRESOS!J:J)</f>
        <v>9500</v>
      </c>
      <c r="O34" s="6">
        <v>22000</v>
      </c>
      <c r="P34" s="6">
        <f>+SUMIF('CALENDARIO INGRESOS'!A:A,Tabla3[[#This Row],[ID STRIPE]],'CALENDARIO INGRESOS'!I:I)</f>
        <v>21748</v>
      </c>
      <c r="Q34" s="6">
        <f>+SUMIF(INGRESOS!D:D,Tabla3[[#This Row],[ID STRIPE]],INGRESOS!G:G)</f>
        <v>9500</v>
      </c>
      <c r="R34" s="3" t="str">
        <f>IF(Tabla3[[#This Row],[ESTADO]]="OK",IF(COUNTIFS('CALENDARIO INGRESOS'!$A:$A,$D34,'CALENDARIO INGRESOS'!$H:$H,"LATAM",'CALENDARIO INGRESOS'!$L:$L,"&lt;&gt;PAGADA")&gt;0,"LATAM",
 IF(COUNTIFS('CALENDARIO INGRESOS'!$A:$A,$D34,'CALENDARIO INGRESOS'!$H:$H,"VISA",'CALENDARIO INGRESOS'!$L:$L,"&lt;&gt;PAGADA")&gt;0,"VISA",
  IF(COUNTIFS('CALENDARIO INGRESOS'!$A:$A,$D34,'CALENDARIO INGRESOS'!$H:$H,"FIRMA PA",'CALENDARIO INGRESOS'!$L:$L,"&lt;&gt;PAGADA")&gt;0,"FIRMA PA",
   IF(COUNTIFS('CALENDARIO INGRESOS'!$A:$A,$D34,'CALENDARIO INGRESOS'!$H:$H,"ALEM",'CALENDARIO INGRESOS'!$L:$L,"&lt;&gt;PAGADA")&gt;0,"ALEM","LISTO")))),"-")</f>
        <v>LATAM</v>
      </c>
      <c r="S34" s="188">
        <f>+SUMIFS('CALENDARIO INGRESOS'!I:I,'CALENDARIO INGRESOS'!A:A,Tabla3[[#This Row],[ID STRIPE]],'CALENDARIO INGRESOS'!H:H,"LATAM")</f>
        <v>11000</v>
      </c>
      <c r="T34" s="188">
        <f>+IF(Tabla3[[#This Row],[MONTO LATAM]]-Tabla3[[#This Row],[IMPORTE ABONADO]]&gt;=0,Tabla3[[#This Row],[MONTO LATAM]]-Tabla3[[#This Row],[IMPORTE ABONADO]],0)</f>
        <v>1500</v>
      </c>
      <c r="U34" s="188">
        <f>+SUMIFS('CALENDARIO INGRESOS'!I:I,'CALENDARIO INGRESOS'!A:A,Tabla3[[#This Row],[ID STRIPE]],'CALENDARIO INGRESOS'!H:H,"ALEM")</f>
        <v>10748</v>
      </c>
      <c r="V34" s="6">
        <f>+SUMIFS('CALENDARIO INGRESOS'!I:I,'CALENDARIO INGRESOS'!A:A,Tabla3[[#This Row],[ID STRIPE]],'CALENDARIO INGRESOS'!H:H,"VISA")+SUMIFS('CALENDARIO INGRESOS'!I:I,'CALENDARIO INGRESOS'!A:A,Tabla3[[#This Row],[ID STRIPE]],'CALENDARIO INGRESOS'!H:H,"FIRMA PA")</f>
        <v>0</v>
      </c>
      <c r="W34" s="250">
        <v>1</v>
      </c>
      <c r="X34" s="60">
        <f>+IFERROR(AVERAGEIF('CALENDARIO INGRESOS'!A:A,Tabla3[[#This Row],[ID STRIPE]],'CALENDARIO INGRESOS'!M:M),"0")</f>
        <v>-15.217592592592862</v>
      </c>
      <c r="Y34" s="18">
        <v>46023</v>
      </c>
      <c r="Z34" s="286">
        <f>+IFERROR(_xlfn.XLOOKUP(Tabla3[[#This Row],[ID LINGODA]],LINGODA!D:D,LINGODA!S:S),0)</f>
        <v>292</v>
      </c>
      <c r="AA34" s="18" t="str">
        <f>+IFERROR(_xlfn.XLOOKUP(Tabla3[[#This Row],[ID LINGODA]],LINGODA!D:D,LINGODA!F:F),"null")</f>
        <v>A1.1</v>
      </c>
      <c r="AB34" s="286" t="str">
        <f>+IFERROR(_xlfn.XLOOKUP(Tabla3[[#This Row],[ID LINGODA]],LINGODA!D:D,LINGODA!G:G),"null")</f>
        <v>B1.2</v>
      </c>
    </row>
    <row r="35" spans="1:28">
      <c r="A35" s="5" t="s">
        <v>2190</v>
      </c>
      <c r="B35" s="1" t="s">
        <v>2191</v>
      </c>
      <c r="C35" s="1" t="s">
        <v>11</v>
      </c>
      <c r="D35" s="1" t="s">
        <v>4464</v>
      </c>
      <c r="E35" s="60">
        <v>1786353</v>
      </c>
      <c r="F35" s="60"/>
      <c r="G35" s="18">
        <f>(_xlfn.MINIFS(INGRESOS!A:A,INGRESOS!C:C,Tabla3[[#This Row],[CORREO]]))</f>
        <v>45775</v>
      </c>
      <c r="H35" s="3">
        <f>+SUMIFS(INGRESOS!J:J,INGRESOS!D:D,Tabla3[[#This Row],[ID STRIPE]],INGRESOS!A:A,"&gt;="&amp;DATE(YEAR(Tabla3[[#This Row],[FECHA INGRESO]]),MONTH(Tabla3[[#This Row],[FECHA INGRESO]]),1),INGRESOS!A:A,"&lt;="&amp;DATE(YEAR(Tabla3[[#This Row],[FECHA INGRESO]]),MONTH(Tabla3[[#This Row],[FECHA INGRESO]])+1,0))</f>
        <v>7566.4873971360075</v>
      </c>
      <c r="I35" s="286">
        <f ca="1">DATEDIF(Tabla3[[#This Row],[FECHA INGRESO]],IF(OR(Tabla3[[#This Row],[ESTADO]]="OK",Tabla3[[#This Row],[ESTADO]]="¡REGULARIZAR!")=TRUE,TODAY(),IF(Tabla3[[#This Row],[ULTIMO PAGO]]="",TODAY(),Tabla3[[#This Row],[ULTIMO PAGO]])),"m")</f>
        <v>10</v>
      </c>
      <c r="J35" s="18">
        <f>(_xlfn.MAXIFS(INGRESOS!A:A,INGRESOS!C:C,Tabla3[[#This Row],[CORREO]]))</f>
        <v>46052</v>
      </c>
      <c r="K35" s="7">
        <f ca="1">+IFERROR(Tabla3[[#This Row],[ABONADO NETO ]]/Tabla3[[#This Row],[MESES ACT]],Tabla3[[#This Row],[ABONO 1ER MES]])</f>
        <v>1541.7730472779288</v>
      </c>
      <c r="M35" s="287" t="s">
        <v>2119</v>
      </c>
      <c r="N35" s="288">
        <f>+SUMIF(INGRESOS!D:D,Tabla3[[#This Row],[ID STRIPE]],INGRESOS!J:J)</f>
        <v>15417.730472779287</v>
      </c>
      <c r="O35" s="6">
        <v>20000</v>
      </c>
      <c r="P35" s="6">
        <f>+SUMIF('CALENDARIO INGRESOS'!A:A,Tabla3[[#This Row],[ID STRIPE]],'CALENDARIO INGRESOS'!I:I)</f>
        <v>20000.365599999997</v>
      </c>
      <c r="Q35" s="6">
        <f>+SUMIF(INGRESOS!D:D,Tabla3[[#This Row],[ID STRIPE]],INGRESOS!G:G)</f>
        <v>16026.746827676798</v>
      </c>
      <c r="R35" s="3" t="str">
        <f>IF(Tabla3[[#This Row],[ESTADO]]="OK",IF(COUNTIFS('CALENDARIO INGRESOS'!$A:$A,$D35,'CALENDARIO INGRESOS'!$H:$H,"LATAM",'CALENDARIO INGRESOS'!$L:$L,"&lt;&gt;PAGADA")&gt;0,"LATAM",
 IF(COUNTIFS('CALENDARIO INGRESOS'!$A:$A,$D35,'CALENDARIO INGRESOS'!$H:$H,"VISA",'CALENDARIO INGRESOS'!$L:$L,"&lt;&gt;PAGADA")&gt;0,"VISA",
  IF(COUNTIFS('CALENDARIO INGRESOS'!$A:$A,$D35,'CALENDARIO INGRESOS'!$H:$H,"FIRMA PA",'CALENDARIO INGRESOS'!$L:$L,"&lt;&gt;PAGADA")&gt;0,"FIRMA PA",
   IF(COUNTIFS('CALENDARIO INGRESOS'!$A:$A,$D35,'CALENDARIO INGRESOS'!$H:$H,"ALEM",'CALENDARIO INGRESOS'!$L:$L,"&lt;&gt;PAGADA")&gt;0,"ALEM","LISTO")))),"-")</f>
        <v>ALEM</v>
      </c>
      <c r="S35" s="188">
        <f>+SUMIFS('CALENDARIO INGRESOS'!I:I,'CALENDARIO INGRESOS'!A:A,Tabla3[[#This Row],[ID STRIPE]],'CALENDARIO INGRESOS'!H:H,"LATAM")</f>
        <v>16000.365599999999</v>
      </c>
      <c r="T35" s="188">
        <f>+IF(Tabla3[[#This Row],[MONTO LATAM]]-Tabla3[[#This Row],[IMPORTE ABONADO]]&gt;=0,Tabla3[[#This Row],[MONTO LATAM]]-Tabla3[[#This Row],[IMPORTE ABONADO]],0)</f>
        <v>0</v>
      </c>
      <c r="U35" s="188">
        <f>+SUMIFS('CALENDARIO INGRESOS'!I:I,'CALENDARIO INGRESOS'!A:A,Tabla3[[#This Row],[ID STRIPE]],'CALENDARIO INGRESOS'!H:H,"ALEM")</f>
        <v>4000</v>
      </c>
      <c r="V35" s="6">
        <f>+SUMIFS('CALENDARIO INGRESOS'!I:I,'CALENDARIO INGRESOS'!A:A,Tabla3[[#This Row],[ID STRIPE]],'CALENDARIO INGRESOS'!H:H,"VISA")+SUMIFS('CALENDARIO INGRESOS'!I:I,'CALENDARIO INGRESOS'!A:A,Tabla3[[#This Row],[ID STRIPE]],'CALENDARIO INGRESOS'!H:H,"FIRMA PA")</f>
        <v>0</v>
      </c>
      <c r="W35" s="252">
        <v>0</v>
      </c>
      <c r="X35" s="60">
        <f>+IFERROR(AVERAGEIF('CALENDARIO INGRESOS'!A:A,Tabla3[[#This Row],[ID STRIPE]],'CALENDARIO INGRESOS'!M:M),"0")</f>
        <v>0</v>
      </c>
      <c r="Y35" s="18">
        <v>46096</v>
      </c>
      <c r="Z35" s="286">
        <f>+IFERROR(_xlfn.XLOOKUP(Tabla3[[#This Row],[ID LINGODA]],LINGODA!D:D,LINGODA!S:S),0)</f>
        <v>117</v>
      </c>
      <c r="AA35" s="18" t="str">
        <f>+IFERROR(_xlfn.XLOOKUP(Tabla3[[#This Row],[ID LINGODA]],LINGODA!D:D,LINGODA!F:F),"null")</f>
        <v>A2.2</v>
      </c>
      <c r="AB35" s="286" t="str">
        <f>+IFERROR(_xlfn.XLOOKUP(Tabla3[[#This Row],[ID LINGODA]],LINGODA!D:D,LINGODA!G:G),"null")</f>
        <v>B1.2</v>
      </c>
    </row>
    <row r="36" spans="1:28">
      <c r="A36" s="5" t="s">
        <v>2192</v>
      </c>
      <c r="B36" s="1" t="s">
        <v>2193</v>
      </c>
      <c r="C36" s="1" t="s">
        <v>19</v>
      </c>
      <c r="D36" s="1" t="s">
        <v>200</v>
      </c>
      <c r="E36" s="60">
        <v>1795935</v>
      </c>
      <c r="F36" s="60"/>
      <c r="G36" s="18">
        <f>(_xlfn.MINIFS(INGRESOS!A:A,INGRESOS!C:C,Tabla3[[#This Row],[CORREO]]))</f>
        <v>45777</v>
      </c>
      <c r="H36" s="3">
        <f>+SUMIFS(INGRESOS!J:J,INGRESOS!D:D,Tabla3[[#This Row],[ID STRIPE]],INGRESOS!A:A,"&gt;="&amp;DATE(YEAR(Tabla3[[#This Row],[FECHA INGRESO]]),MONTH(Tabla3[[#This Row],[FECHA INGRESO]]),1),INGRESOS!A:A,"&lt;="&amp;DATE(YEAR(Tabla3[[#This Row],[FECHA INGRESO]]),MONTH(Tabla3[[#This Row],[FECHA INGRESO]])+1,0))</f>
        <v>497.07213670150236</v>
      </c>
      <c r="I36" s="286">
        <f ca="1">DATEDIF(Tabla3[[#This Row],[FECHA INGRESO]],IF(OR(Tabla3[[#This Row],[ESTADO]]="OK",Tabla3[[#This Row],[ESTADO]]="¡REGULARIZAR!")=TRUE,TODAY(),IF(Tabla3[[#This Row],[ULTIMO PAGO]]="",TODAY(),Tabla3[[#This Row],[ULTIMO PAGO]])),"m")</f>
        <v>10</v>
      </c>
      <c r="J36" s="18">
        <f>(_xlfn.MAXIFS(INGRESOS!A:A,INGRESOS!C:C,Tabla3[[#This Row],[CORREO]]))</f>
        <v>46077</v>
      </c>
      <c r="K36" s="7">
        <f ca="1">+IFERROR(Tabla3[[#This Row],[ABONADO NETO ]]/Tabla3[[#This Row],[MESES ACT]],Tabla3[[#This Row],[ABONO 1ER MES]])</f>
        <v>866.26075491767847</v>
      </c>
      <c r="M36" s="287" t="s">
        <v>2119</v>
      </c>
      <c r="N36" s="288">
        <f>+SUMIF(INGRESOS!D:D,Tabla3[[#This Row],[ID STRIPE]],INGRESOS!J:J)</f>
        <v>8662.6075491767842</v>
      </c>
      <c r="O36" s="6">
        <v>22000</v>
      </c>
      <c r="P36" s="6">
        <f>+SUMIF('CALENDARIO INGRESOS'!A:A,Tabla3[[#This Row],[ID STRIPE]],'CALENDARIO INGRESOS'!I:I)</f>
        <v>22000.363729726359</v>
      </c>
      <c r="Q36" s="6">
        <f>+SUMIF(INGRESOS!D:D,Tabla3[[#This Row],[ID STRIPE]],INGRESOS!G:G)</f>
        <v>8759.3637297263595</v>
      </c>
      <c r="R36" s="3" t="str">
        <f>IF(Tabla3[[#This Row],[ESTADO]]="OK",IF(COUNTIFS('CALENDARIO INGRESOS'!$A:$A,$D36,'CALENDARIO INGRESOS'!$H:$H,"LATAM",'CALENDARIO INGRESOS'!$L:$L,"&lt;&gt;PAGADA")&gt;0,"LATAM",
 IF(COUNTIFS('CALENDARIO INGRESOS'!$A:$A,$D36,'CALENDARIO INGRESOS'!$H:$H,"VISA",'CALENDARIO INGRESOS'!$L:$L,"&lt;&gt;PAGADA")&gt;0,"VISA",
  IF(COUNTIFS('CALENDARIO INGRESOS'!$A:$A,$D36,'CALENDARIO INGRESOS'!$H:$H,"FIRMA PA",'CALENDARIO INGRESOS'!$L:$L,"&lt;&gt;PAGADA")&gt;0,"FIRMA PA",
   IF(COUNTIFS('CALENDARIO INGRESOS'!$A:$A,$D36,'CALENDARIO INGRESOS'!$H:$H,"ALEM",'CALENDARIO INGRESOS'!$L:$L,"&lt;&gt;PAGADA")&gt;0,"ALEM","LISTO")))),"-")</f>
        <v>LATAM</v>
      </c>
      <c r="S36" s="188">
        <f>+SUMIFS('CALENDARIO INGRESOS'!I:I,'CALENDARIO INGRESOS'!A:A,Tabla3[[#This Row],[ID STRIPE]],'CALENDARIO INGRESOS'!H:H,"LATAM")</f>
        <v>16000.363729726359</v>
      </c>
      <c r="T36" s="188">
        <f>+IF(Tabla3[[#This Row],[MONTO LATAM]]-Tabla3[[#This Row],[IMPORTE ABONADO]]&gt;=0,Tabla3[[#This Row],[MONTO LATAM]]-Tabla3[[#This Row],[IMPORTE ABONADO]],0)</f>
        <v>7241</v>
      </c>
      <c r="U36" s="188">
        <f>+SUMIFS('CALENDARIO INGRESOS'!I:I,'CALENDARIO INGRESOS'!A:A,Tabla3[[#This Row],[ID STRIPE]],'CALENDARIO INGRESOS'!H:H,"ALEM")</f>
        <v>6000</v>
      </c>
      <c r="V36" s="6">
        <f>+SUMIFS('CALENDARIO INGRESOS'!I:I,'CALENDARIO INGRESOS'!A:A,Tabla3[[#This Row],[ID STRIPE]],'CALENDARIO INGRESOS'!H:H,"VISA")+SUMIFS('CALENDARIO INGRESOS'!I:I,'CALENDARIO INGRESOS'!A:A,Tabla3[[#This Row],[ID STRIPE]],'CALENDARIO INGRESOS'!H:H,"FIRMA PA")</f>
        <v>0</v>
      </c>
      <c r="W36" s="252">
        <v>0</v>
      </c>
      <c r="X36" s="60">
        <f>+IFERROR(AVERAGEIF('CALENDARIO INGRESOS'!A:A,Tabla3[[#This Row],[ID STRIPE]],'CALENDARIO INGRESOS'!M:M),"0")</f>
        <v>-0.5</v>
      </c>
      <c r="Y36" s="18" t="s">
        <v>2093</v>
      </c>
      <c r="Z36" s="286">
        <f>+IFERROR(_xlfn.XLOOKUP(Tabla3[[#This Row],[ID LINGODA]],LINGODA!D:D,LINGODA!S:S),0)</f>
        <v>82</v>
      </c>
      <c r="AA36" s="18" t="str">
        <f>+IFERROR(_xlfn.XLOOKUP(Tabla3[[#This Row],[ID LINGODA]],LINGODA!D:D,LINGODA!F:F),"null")</f>
        <v>A1.1</v>
      </c>
      <c r="AB36" s="286" t="str">
        <f>+IFERROR(_xlfn.XLOOKUP(Tabla3[[#This Row],[ID LINGODA]],LINGODA!D:D,LINGODA!G:G),"null")</f>
        <v>A2.1</v>
      </c>
    </row>
    <row r="37" spans="1:28">
      <c r="A37" s="5" t="s">
        <v>2194</v>
      </c>
      <c r="B37" s="1" t="s">
        <v>2195</v>
      </c>
      <c r="C37" s="1" t="s">
        <v>14</v>
      </c>
      <c r="D37" s="1" t="s">
        <v>191</v>
      </c>
      <c r="E37" s="60">
        <v>1784630</v>
      </c>
      <c r="F37" s="60"/>
      <c r="G37" s="18">
        <f>(_xlfn.MINIFS(INGRESOS!A:A,INGRESOS!C:C,Tabla3[[#This Row],[CORREO]]))</f>
        <v>45777</v>
      </c>
      <c r="H37" s="3">
        <f>+SUMIFS(INGRESOS!J:J,INGRESOS!D:D,Tabla3[[#This Row],[ID STRIPE]],INGRESOS!A:A,"&gt;="&amp;DATE(YEAR(Tabla3[[#This Row],[FECHA INGRESO]]),MONTH(Tabla3[[#This Row],[FECHA INGRESO]]),1),INGRESOS!A:A,"&lt;="&amp;DATE(YEAR(Tabla3[[#This Row],[FECHA INGRESO]]),MONTH(Tabla3[[#This Row],[FECHA INGRESO]])+1,0))</f>
        <v>2600</v>
      </c>
      <c r="I37" s="286">
        <f ca="1">DATEDIF(Tabla3[[#This Row],[FECHA INGRESO]],IF(OR(Tabla3[[#This Row],[ESTADO]]="OK",Tabla3[[#This Row],[ESTADO]]="¡REGULARIZAR!")=TRUE,TODAY(),IF(Tabla3[[#This Row],[ULTIMO PAGO]]="",TODAY(),Tabla3[[#This Row],[ULTIMO PAGO]])),"m")</f>
        <v>10</v>
      </c>
      <c r="J37" s="18">
        <f>(_xlfn.MAXIFS(INGRESOS!A:A,INGRESOS!C:C,Tabla3[[#This Row],[CORREO]]))</f>
        <v>46078</v>
      </c>
      <c r="K37" s="7">
        <f ca="1">+IFERROR(Tabla3[[#This Row],[ABONADO NETO ]]/Tabla3[[#This Row],[MESES ACT]],Tabla3[[#This Row],[ABONO 1ER MES]])</f>
        <v>1266.318</v>
      </c>
      <c r="M37" s="287" t="s">
        <v>2119</v>
      </c>
      <c r="N37" s="288">
        <f>+SUMIF(INGRESOS!D:D,Tabla3[[#This Row],[ID STRIPE]],INGRESOS!J:J)</f>
        <v>12663.18</v>
      </c>
      <c r="O37" s="6">
        <v>15600</v>
      </c>
      <c r="P37" s="6">
        <f>+SUMIF('CALENDARIO INGRESOS'!A:A,Tabla3[[#This Row],[ID STRIPE]],'CALENDARIO INGRESOS'!I:I)</f>
        <v>15402</v>
      </c>
      <c r="Q37" s="6">
        <f>+SUMIF(INGRESOS!D:D,Tabla3[[#This Row],[ID STRIPE]],INGRESOS!G:G)</f>
        <v>13002</v>
      </c>
      <c r="R37" s="3" t="str">
        <f>IF(Tabla3[[#This Row],[ESTADO]]="OK",IF(COUNTIFS('CALENDARIO INGRESOS'!$A:$A,$D37,'CALENDARIO INGRESOS'!$H:$H,"LATAM",'CALENDARIO INGRESOS'!$L:$L,"&lt;&gt;PAGADA")&gt;0,"LATAM",
 IF(COUNTIFS('CALENDARIO INGRESOS'!$A:$A,$D37,'CALENDARIO INGRESOS'!$H:$H,"VISA",'CALENDARIO INGRESOS'!$L:$L,"&lt;&gt;PAGADA")&gt;0,"VISA",
  IF(COUNTIFS('CALENDARIO INGRESOS'!$A:$A,$D37,'CALENDARIO INGRESOS'!$H:$H,"FIRMA PA",'CALENDARIO INGRESOS'!$L:$L,"&lt;&gt;PAGADA")&gt;0,"FIRMA PA",
   IF(COUNTIFS('CALENDARIO INGRESOS'!$A:$A,$D37,'CALENDARIO INGRESOS'!$H:$H,"ALEM",'CALENDARIO INGRESOS'!$L:$L,"&lt;&gt;PAGADA")&gt;0,"ALEM","LISTO")))),"-")</f>
        <v>LATAM</v>
      </c>
      <c r="S37" s="188">
        <f>+SUMIFS('CALENDARIO INGRESOS'!I:I,'CALENDARIO INGRESOS'!A:A,Tabla3[[#This Row],[ID STRIPE]],'CALENDARIO INGRESOS'!H:H,"LATAM")</f>
        <v>10402</v>
      </c>
      <c r="T37" s="188">
        <f>+IF(Tabla3[[#This Row],[MONTO LATAM]]-Tabla3[[#This Row],[IMPORTE ABONADO]]&gt;=0,Tabla3[[#This Row],[MONTO LATAM]]-Tabla3[[#This Row],[IMPORTE ABONADO]],0)</f>
        <v>0</v>
      </c>
      <c r="U37" s="188">
        <f>+SUMIFS('CALENDARIO INGRESOS'!I:I,'CALENDARIO INGRESOS'!A:A,Tabla3[[#This Row],[ID STRIPE]],'CALENDARIO INGRESOS'!H:H,"ALEM")</f>
        <v>0</v>
      </c>
      <c r="V37" s="6">
        <f>+SUMIFS('CALENDARIO INGRESOS'!I:I,'CALENDARIO INGRESOS'!A:A,Tabla3[[#This Row],[ID STRIPE]],'CALENDARIO INGRESOS'!H:H,"VISA")+SUMIFS('CALENDARIO INGRESOS'!I:I,'CALENDARIO INGRESOS'!A:A,Tabla3[[#This Row],[ID STRIPE]],'CALENDARIO INGRESOS'!H:H,"FIRMA PA")</f>
        <v>5000</v>
      </c>
      <c r="W37" s="252">
        <v>1</v>
      </c>
      <c r="X37" s="60">
        <f>+IFERROR(AVERAGEIF('CALENDARIO INGRESOS'!A:A,Tabla3[[#This Row],[ID STRIPE]],'CALENDARIO INGRESOS'!M:M),"0")</f>
        <v>0.75</v>
      </c>
      <c r="Y37" s="18" t="s">
        <v>2093</v>
      </c>
      <c r="Z37" s="286">
        <f>+IFERROR(_xlfn.XLOOKUP(Tabla3[[#This Row],[ID LINGODA]],LINGODA!D:D,LINGODA!S:S),0)</f>
        <v>105</v>
      </c>
      <c r="AA37" s="18" t="str">
        <f>+IFERROR(_xlfn.XLOOKUP(Tabla3[[#This Row],[ID LINGODA]],LINGODA!D:D,LINGODA!F:F),"null")</f>
        <v>B1.1</v>
      </c>
      <c r="AB37" s="286" t="str">
        <f>+IFERROR(_xlfn.XLOOKUP(Tabla3[[#This Row],[ID LINGODA]],LINGODA!D:D,LINGODA!G:G),"null")</f>
        <v>B2.2</v>
      </c>
    </row>
    <row r="38" spans="1:28">
      <c r="A38" s="5" t="s">
        <v>2196</v>
      </c>
      <c r="B38" s="1" t="s">
        <v>2197</v>
      </c>
      <c r="C38" s="1" t="s">
        <v>14</v>
      </c>
      <c r="D38" s="1" t="s">
        <v>197</v>
      </c>
      <c r="E38" s="60">
        <v>1784632</v>
      </c>
      <c r="F38" s="60"/>
      <c r="G38" s="18">
        <f>(_xlfn.MINIFS(INGRESOS!A:A,INGRESOS!C:C,Tabla3[[#This Row],[CORREO]]))</f>
        <v>45777</v>
      </c>
      <c r="H38" s="3">
        <f>+SUMIFS(INGRESOS!J:J,INGRESOS!D:D,Tabla3[[#This Row],[ID STRIPE]],INGRESOS!A:A,"&gt;="&amp;DATE(YEAR(Tabla3[[#This Row],[FECHA INGRESO]]),MONTH(Tabla3[[#This Row],[FECHA INGRESO]]),1),INGRESOS!A:A,"&lt;="&amp;DATE(YEAR(Tabla3[[#This Row],[FECHA INGRESO]]),MONTH(Tabla3[[#This Row],[FECHA INGRESO]])+1,0))</f>
        <v>2600</v>
      </c>
      <c r="I38" s="286">
        <f ca="1">DATEDIF(Tabla3[[#This Row],[FECHA INGRESO]],IF(OR(Tabla3[[#This Row],[ESTADO]]="OK",Tabla3[[#This Row],[ESTADO]]="¡REGULARIZAR!")=TRUE,TODAY(),IF(Tabla3[[#This Row],[ULTIMO PAGO]]="",TODAY(),Tabla3[[#This Row],[ULTIMO PAGO]])),"m")</f>
        <v>10</v>
      </c>
      <c r="J38" s="18">
        <f>(_xlfn.MAXIFS(INGRESOS!A:A,INGRESOS!C:C,Tabla3[[#This Row],[CORREO]]))</f>
        <v>46046</v>
      </c>
      <c r="K38" s="7">
        <f ca="1">+IFERROR(Tabla3[[#This Row],[ABONADO NETO ]]/Tabla3[[#This Row],[MESES ACT]],Tabla3[[#This Row],[ABONO 1ER MES]])</f>
        <v>550.22500000000002</v>
      </c>
      <c r="M38" s="287" t="s">
        <v>2198</v>
      </c>
      <c r="N38" s="288">
        <f>+SUMIF(INGRESOS!D:D,Tabla3[[#This Row],[ID STRIPE]],INGRESOS!J:J)</f>
        <v>5502.25</v>
      </c>
      <c r="O38" s="207">
        <v>15600</v>
      </c>
      <c r="P38" s="207">
        <f>+SUMIF('CALENDARIO INGRESOS'!A:A,Tabla3[[#This Row],[ID STRIPE]],'CALENDARIO INGRESOS'!I:I)</f>
        <v>10600</v>
      </c>
      <c r="Q38" s="207">
        <f>+SUMIF(INGRESOS!D:D,Tabla3[[#This Row],[ID STRIPE]],INGRESOS!G:G)</f>
        <v>5600</v>
      </c>
      <c r="R38" s="3" t="str">
        <f>IF(Tabla3[[#This Row],[ESTADO]]="OK",IF(COUNTIFS('CALENDARIO INGRESOS'!$A:$A,$D38,'CALENDARIO INGRESOS'!$H:$H,"LATAM",'CALENDARIO INGRESOS'!$L:$L,"&lt;&gt;PAGADA")&gt;0,"LATAM",
 IF(COUNTIFS('CALENDARIO INGRESOS'!$A:$A,$D38,'CALENDARIO INGRESOS'!$H:$H,"VISA",'CALENDARIO INGRESOS'!$L:$L,"&lt;&gt;PAGADA")&gt;0,"VISA",
  IF(COUNTIFS('CALENDARIO INGRESOS'!$A:$A,$D38,'CALENDARIO INGRESOS'!$H:$H,"FIRMA PA",'CALENDARIO INGRESOS'!$L:$L,"&lt;&gt;PAGADA")&gt;0,"FIRMA PA",
   IF(COUNTIFS('CALENDARIO INGRESOS'!$A:$A,$D38,'CALENDARIO INGRESOS'!$H:$H,"ALEM",'CALENDARIO INGRESOS'!$L:$L,"&lt;&gt;PAGADA")&gt;0,"ALEM","LISTO")))),"-")</f>
        <v>-</v>
      </c>
      <c r="S38" s="188">
        <f>+SUMIFS('CALENDARIO INGRESOS'!I:I,'CALENDARIO INGRESOS'!A:A,Tabla3[[#This Row],[ID STRIPE]],'CALENDARIO INGRESOS'!H:H,"LATAM")</f>
        <v>5600</v>
      </c>
      <c r="T38" s="188">
        <f>+IF(Tabla3[[#This Row],[MONTO LATAM]]-Tabla3[[#This Row],[IMPORTE ABONADO]]&gt;=0,Tabla3[[#This Row],[MONTO LATAM]]-Tabla3[[#This Row],[IMPORTE ABONADO]],0)</f>
        <v>0</v>
      </c>
      <c r="U38" s="188">
        <f>+SUMIFS('CALENDARIO INGRESOS'!I:I,'CALENDARIO INGRESOS'!A:A,Tabla3[[#This Row],[ID STRIPE]],'CALENDARIO INGRESOS'!H:H,"ALEM")</f>
        <v>0</v>
      </c>
      <c r="V38" s="6">
        <f>+SUMIFS('CALENDARIO INGRESOS'!I:I,'CALENDARIO INGRESOS'!A:A,Tabla3[[#This Row],[ID STRIPE]],'CALENDARIO INGRESOS'!H:H,"VISA")+SUMIFS('CALENDARIO INGRESOS'!I:I,'CALENDARIO INGRESOS'!A:A,Tabla3[[#This Row],[ID STRIPE]],'CALENDARIO INGRESOS'!H:H,"FIRMA PA")</f>
        <v>5000</v>
      </c>
      <c r="W38" s="252">
        <v>0</v>
      </c>
      <c r="X38" s="60">
        <f>+IFERROR(AVERAGEIF('CALENDARIO INGRESOS'!A:A,Tabla3[[#This Row],[ID STRIPE]],'CALENDARIO INGRESOS'!M:M),"0")</f>
        <v>0.5</v>
      </c>
      <c r="Y38" s="18" t="s">
        <v>2093</v>
      </c>
      <c r="Z38" s="286">
        <f>+IFERROR(_xlfn.XLOOKUP(Tabla3[[#This Row],[ID LINGODA]],LINGODA!D:D,LINGODA!S:S),0)</f>
        <v>103</v>
      </c>
      <c r="AA38" s="18" t="str">
        <f>+IFERROR(_xlfn.XLOOKUP(Tabla3[[#This Row],[ID LINGODA]],LINGODA!D:D,LINGODA!F:F),"null")</f>
        <v>B1.1</v>
      </c>
      <c r="AB38" s="286" t="str">
        <f>+IFERROR(_xlfn.XLOOKUP(Tabla3[[#This Row],[ID LINGODA]],LINGODA!D:D,LINGODA!G:G),"null")</f>
        <v>B2.2</v>
      </c>
    </row>
    <row r="39" spans="1:28">
      <c r="A39" s="5" t="s">
        <v>2201</v>
      </c>
      <c r="B39" s="1" t="s">
        <v>2202</v>
      </c>
      <c r="C39" s="1" t="s">
        <v>13</v>
      </c>
      <c r="D39" s="1" t="s">
        <v>203</v>
      </c>
      <c r="E39" s="60">
        <v>1788048</v>
      </c>
      <c r="F39" s="60"/>
      <c r="G39" s="18">
        <f>(_xlfn.MINIFS(INGRESOS!A:A,INGRESOS!C:C,Tabla3[[#This Row],[CORREO]]))</f>
        <v>45779</v>
      </c>
      <c r="H39" s="3">
        <f>+SUMIFS(INGRESOS!J:J,INGRESOS!D:D,Tabla3[[#This Row],[ID STRIPE]],INGRESOS!A:A,"&gt;="&amp;DATE(YEAR(Tabla3[[#This Row],[FECHA INGRESO]]),MONTH(Tabla3[[#This Row],[FECHA INGRESO]]),1),INGRESOS!A:A,"&lt;="&amp;DATE(YEAR(Tabla3[[#This Row],[FECHA INGRESO]]),MONTH(Tabla3[[#This Row],[FECHA INGRESO]])+1,0))</f>
        <v>3869.75</v>
      </c>
      <c r="I39" s="286">
        <f ca="1">DATEDIF(Tabla3[[#This Row],[FECHA INGRESO]],IF(OR(Tabla3[[#This Row],[ESTADO]]="OK",Tabla3[[#This Row],[ESTADO]]="¡REGULARIZAR!")=TRUE,TODAY(),IF(Tabla3[[#This Row],[ULTIMO PAGO]]="",TODAY(),Tabla3[[#This Row],[ULTIMO PAGO]])),"m")</f>
        <v>10</v>
      </c>
      <c r="J39" s="18">
        <f>(_xlfn.MAXIFS(INGRESOS!A:A,INGRESOS!C:C,Tabla3[[#This Row],[CORREO]]))</f>
        <v>46086</v>
      </c>
      <c r="K39" s="7">
        <f ca="1">+IFERROR(Tabla3[[#This Row],[ABONADO NETO ]]/Tabla3[[#This Row],[MESES ACT]],Tabla3[[#This Row],[ABONO 1ER MES]])</f>
        <v>1160.75</v>
      </c>
      <c r="M39" s="287" t="s">
        <v>2119</v>
      </c>
      <c r="N39" s="288">
        <f>+SUMIF(INGRESOS!D:D,Tabla3[[#This Row],[ID STRIPE]],INGRESOS!J:J)</f>
        <v>11607.5</v>
      </c>
      <c r="O39" s="6">
        <v>20000</v>
      </c>
      <c r="P39" s="6">
        <f>+SUMIF('CALENDARIO INGRESOS'!A:A,Tabla3[[#This Row],[ID STRIPE]],'CALENDARIO INGRESOS'!I:I)</f>
        <v>20000</v>
      </c>
      <c r="Q39" s="6">
        <f>+SUMIF(INGRESOS!D:D,Tabla3[[#This Row],[ID STRIPE]],INGRESOS!G:G)</f>
        <v>12000</v>
      </c>
      <c r="R39" s="3" t="str">
        <f>IF(Tabla3[[#This Row],[ESTADO]]="OK",IF(COUNTIFS('CALENDARIO INGRESOS'!$A:$A,$D39,'CALENDARIO INGRESOS'!$H:$H,"LATAM",'CALENDARIO INGRESOS'!$L:$L,"&lt;&gt;PAGADA")&gt;0,"LATAM",
 IF(COUNTIFS('CALENDARIO INGRESOS'!$A:$A,$D39,'CALENDARIO INGRESOS'!$H:$H,"VISA",'CALENDARIO INGRESOS'!$L:$L,"&lt;&gt;PAGADA")&gt;0,"VISA",
  IF(COUNTIFS('CALENDARIO INGRESOS'!$A:$A,$D39,'CALENDARIO INGRESOS'!$H:$H,"FIRMA PA",'CALENDARIO INGRESOS'!$L:$L,"&lt;&gt;PAGADA")&gt;0,"FIRMA PA",
   IF(COUNTIFS('CALENDARIO INGRESOS'!$A:$A,$D39,'CALENDARIO INGRESOS'!$H:$H,"ALEM",'CALENDARIO INGRESOS'!$L:$L,"&lt;&gt;PAGADA")&gt;0,"ALEM","LISTO")))),"-")</f>
        <v>LATAM</v>
      </c>
      <c r="S39" s="188">
        <f>+SUMIFS('CALENDARIO INGRESOS'!I:I,'CALENDARIO INGRESOS'!A:A,Tabla3[[#This Row],[ID STRIPE]],'CALENDARIO INGRESOS'!H:H,"LATAM")</f>
        <v>20000</v>
      </c>
      <c r="T39" s="188">
        <f>+IF(Tabla3[[#This Row],[MONTO LATAM]]-Tabla3[[#This Row],[IMPORTE ABONADO]]&gt;=0,Tabla3[[#This Row],[MONTO LATAM]]-Tabla3[[#This Row],[IMPORTE ABONADO]],0)</f>
        <v>8000</v>
      </c>
      <c r="U39" s="188">
        <f>+SUMIFS('CALENDARIO INGRESOS'!I:I,'CALENDARIO INGRESOS'!A:A,Tabla3[[#This Row],[ID STRIPE]],'CALENDARIO INGRESOS'!H:H,"ALEM")</f>
        <v>0</v>
      </c>
      <c r="V39" s="6">
        <f>+SUMIFS('CALENDARIO INGRESOS'!I:I,'CALENDARIO INGRESOS'!A:A,Tabla3[[#This Row],[ID STRIPE]],'CALENDARIO INGRESOS'!H:H,"VISA")+SUMIFS('CALENDARIO INGRESOS'!I:I,'CALENDARIO INGRESOS'!A:A,Tabla3[[#This Row],[ID STRIPE]],'CALENDARIO INGRESOS'!H:H,"FIRMA PA")</f>
        <v>0</v>
      </c>
      <c r="W39" s="250">
        <v>1</v>
      </c>
      <c r="X39" s="60">
        <f>+IFERROR(AVERAGEIF('CALENDARIO INGRESOS'!A:A,Tabla3[[#This Row],[ID STRIPE]],'CALENDARIO INGRESOS'!M:M),"0")</f>
        <v>-0.8</v>
      </c>
      <c r="Y39" s="18">
        <v>46082</v>
      </c>
      <c r="Z39" s="286">
        <f>+IFERROR(_xlfn.XLOOKUP(Tabla3[[#This Row],[ID LINGODA]],LINGODA!D:D,LINGODA!S:S),0)</f>
        <v>141</v>
      </c>
      <c r="AA39" s="18" t="str">
        <f>+IFERROR(_xlfn.XLOOKUP(Tabla3[[#This Row],[ID LINGODA]],LINGODA!D:D,LINGODA!F:F),"null")</f>
        <v>A1.1</v>
      </c>
      <c r="AB39" s="286" t="str">
        <f>+IFERROR(_xlfn.XLOOKUP(Tabla3[[#This Row],[ID LINGODA]],LINGODA!D:D,LINGODA!G:G),"null")</f>
        <v>A2.1</v>
      </c>
    </row>
    <row r="40" spans="1:28">
      <c r="A40" s="5" t="s">
        <v>2203</v>
      </c>
      <c r="B40" s="1" t="s">
        <v>2204</v>
      </c>
      <c r="C40" s="1" t="s">
        <v>14</v>
      </c>
      <c r="D40" s="1" t="s">
        <v>218</v>
      </c>
      <c r="E40" s="60">
        <v>1790498</v>
      </c>
      <c r="F40" s="60"/>
      <c r="G40" s="18">
        <f>(_xlfn.MINIFS(INGRESOS!A:A,INGRESOS!C:C,Tabla3[[#This Row],[CORREO]]))</f>
        <v>45786</v>
      </c>
      <c r="H40" s="3">
        <f>+SUMIFS(INGRESOS!J:J,INGRESOS!D:D,Tabla3[[#This Row],[ID STRIPE]],INGRESOS!A:A,"&gt;="&amp;DATE(YEAR(Tabla3[[#This Row],[FECHA INGRESO]]),MONTH(Tabla3[[#This Row],[FECHA INGRESO]]),1),INGRESOS!A:A,"&lt;="&amp;DATE(YEAR(Tabla3[[#This Row],[FECHA INGRESO]]),MONTH(Tabla3[[#This Row],[FECHA INGRESO]])+1,0))</f>
        <v>580.25</v>
      </c>
      <c r="I40" s="286">
        <f ca="1">DATEDIF(Tabla3[[#This Row],[FECHA INGRESO]],IF(OR(Tabla3[[#This Row],[ESTADO]]="OK",Tabla3[[#This Row],[ESTADO]]="¡REGULARIZAR!")=TRUE,TODAY(),IF(Tabla3[[#This Row],[ULTIMO PAGO]]="",TODAY(),Tabla3[[#This Row],[ULTIMO PAGO]])),"m")</f>
        <v>4</v>
      </c>
      <c r="J40" s="18">
        <f>(_xlfn.MAXIFS(INGRESOS!A:A,INGRESOS!C:C,Tabla3[[#This Row],[CORREO]]))</f>
        <v>45931</v>
      </c>
      <c r="K40" s="7">
        <f ca="1">+IFERROR(Tabla3[[#This Row],[ABONADO NETO ]]/Tabla3[[#This Row],[MESES ACT]],Tabla3[[#This Row],[ABONO 1ER MES]])</f>
        <v>725.3125</v>
      </c>
      <c r="M40" s="287" t="s">
        <v>2139</v>
      </c>
      <c r="N40" s="288">
        <f>+SUMIF(INGRESOS!D:D,Tabla3[[#This Row],[ID STRIPE]],INGRESOS!J:J)</f>
        <v>2901.25</v>
      </c>
      <c r="O40" s="6">
        <v>22000</v>
      </c>
      <c r="P40" s="6">
        <f>+SUMIF('CALENDARIO INGRESOS'!A:A,Tabla3[[#This Row],[ID STRIPE]],'CALENDARIO INGRESOS'!I:I)</f>
        <v>3000</v>
      </c>
      <c r="Q40" s="6">
        <f>+SUMIF(INGRESOS!D:D,Tabla3[[#This Row],[ID STRIPE]],INGRESOS!G:G)</f>
        <v>3000</v>
      </c>
      <c r="R40" s="3" t="str">
        <f>IF(Tabla3[[#This Row],[ESTADO]]="OK",IF(COUNTIFS('CALENDARIO INGRESOS'!$A:$A,$D40,'CALENDARIO INGRESOS'!$H:$H,"LATAM",'CALENDARIO INGRESOS'!$L:$L,"&lt;&gt;PAGADA")&gt;0,"LATAM",
 IF(COUNTIFS('CALENDARIO INGRESOS'!$A:$A,$D40,'CALENDARIO INGRESOS'!$H:$H,"VISA",'CALENDARIO INGRESOS'!$L:$L,"&lt;&gt;PAGADA")&gt;0,"VISA",
  IF(COUNTIFS('CALENDARIO INGRESOS'!$A:$A,$D40,'CALENDARIO INGRESOS'!$H:$H,"FIRMA PA",'CALENDARIO INGRESOS'!$L:$L,"&lt;&gt;PAGADA")&gt;0,"FIRMA PA",
   IF(COUNTIFS('CALENDARIO INGRESOS'!$A:$A,$D40,'CALENDARIO INGRESOS'!$H:$H,"ALEM",'CALENDARIO INGRESOS'!$L:$L,"&lt;&gt;PAGADA")&gt;0,"ALEM","LISTO")))),"-")</f>
        <v>-</v>
      </c>
      <c r="S40" s="188">
        <f>+SUMIFS('CALENDARIO INGRESOS'!I:I,'CALENDARIO INGRESOS'!A:A,Tabla3[[#This Row],[ID STRIPE]],'CALENDARIO INGRESOS'!H:H,"LATAM")</f>
        <v>3000</v>
      </c>
      <c r="T40" s="188">
        <f>+IF(Tabla3[[#This Row],[MONTO LATAM]]-Tabla3[[#This Row],[IMPORTE ABONADO]]&gt;=0,Tabla3[[#This Row],[MONTO LATAM]]-Tabla3[[#This Row],[IMPORTE ABONADO]],0)</f>
        <v>0</v>
      </c>
      <c r="U40" s="188">
        <f>+SUMIFS('CALENDARIO INGRESOS'!I:I,'CALENDARIO INGRESOS'!A:A,Tabla3[[#This Row],[ID STRIPE]],'CALENDARIO INGRESOS'!H:H,"ALEM")</f>
        <v>0</v>
      </c>
      <c r="V40" s="6">
        <f>+SUMIFS('CALENDARIO INGRESOS'!I:I,'CALENDARIO INGRESOS'!A:A,Tabla3[[#This Row],[ID STRIPE]],'CALENDARIO INGRESOS'!H:H,"VISA")+SUMIFS('CALENDARIO INGRESOS'!I:I,'CALENDARIO INGRESOS'!A:A,Tabla3[[#This Row],[ID STRIPE]],'CALENDARIO INGRESOS'!H:H,"FIRMA PA")</f>
        <v>0</v>
      </c>
      <c r="W40" s="250">
        <v>0</v>
      </c>
      <c r="X40" s="60">
        <f>+IFERROR(AVERAGEIF('CALENDARIO INGRESOS'!A:A,Tabla3[[#This Row],[ID STRIPE]],'CALENDARIO INGRESOS'!M:M),"0")</f>
        <v>-0.2</v>
      </c>
      <c r="Y40" s="18">
        <v>46174</v>
      </c>
      <c r="Z40" s="286">
        <f>+IFERROR(_xlfn.XLOOKUP(Tabla3[[#This Row],[ID LINGODA]],LINGODA!D:D,LINGODA!S:S),0)</f>
        <v>52</v>
      </c>
      <c r="AA40" s="18" t="str">
        <f>+IFERROR(_xlfn.XLOOKUP(Tabla3[[#This Row],[ID LINGODA]],LINGODA!D:D,LINGODA!F:F),"null")</f>
        <v>A1.1</v>
      </c>
      <c r="AB40" s="286" t="str">
        <f>+IFERROR(_xlfn.XLOOKUP(Tabla3[[#This Row],[ID LINGODA]],LINGODA!D:D,LINGODA!G:G),"null")</f>
        <v>A1.1</v>
      </c>
    </row>
    <row r="41" spans="1:28">
      <c r="A41" s="5" t="s">
        <v>2205</v>
      </c>
      <c r="B41" s="1" t="s">
        <v>2206</v>
      </c>
      <c r="C41" s="1" t="s">
        <v>12</v>
      </c>
      <c r="D41" s="1" t="s">
        <v>221</v>
      </c>
      <c r="E41" s="60">
        <v>1790499</v>
      </c>
      <c r="F41" s="60"/>
      <c r="G41" s="18">
        <f>(_xlfn.MINIFS(INGRESOS!A:A,INGRESOS!C:C,Tabla3[[#This Row],[CORREO]]))</f>
        <v>45787</v>
      </c>
      <c r="H41" s="3">
        <f>+SUMIFS(INGRESOS!J:J,INGRESOS!D:D,Tabla3[[#This Row],[ID STRIPE]],INGRESOS!A:A,"&gt;="&amp;DATE(YEAR(Tabla3[[#This Row],[FECHA INGRESO]]),MONTH(Tabla3[[#This Row],[FECHA INGRESO]]),1),INGRESOS!A:A,"&lt;="&amp;DATE(YEAR(Tabla3[[#This Row],[FECHA INGRESO]]),MONTH(Tabla3[[#This Row],[FECHA INGRESO]])+1,0))</f>
        <v>1935.71</v>
      </c>
      <c r="I41" s="286">
        <f ca="1">DATEDIF(Tabla3[[#This Row],[FECHA INGRESO]],IF(OR(Tabla3[[#This Row],[ESTADO]]="OK",Tabla3[[#This Row],[ESTADO]]="¡REGULARIZAR!")=TRUE,TODAY(),IF(Tabla3[[#This Row],[ULTIMO PAGO]]="",TODAY(),Tabla3[[#This Row],[ULTIMO PAGO]])),"m")</f>
        <v>9</v>
      </c>
      <c r="J41" s="18">
        <f>(_xlfn.MAXIFS(INGRESOS!A:A,INGRESOS!C:C,Tabla3[[#This Row],[CORREO]]))</f>
        <v>45839</v>
      </c>
      <c r="K41" s="7">
        <f ca="1">+IFERROR(Tabla3[[#This Row],[ABONADO NETO ]]/Tabla3[[#This Row],[MESES ACT]],Tabla3[[#This Row],[ABONO 1ER MES]])</f>
        <v>543.3844444444444</v>
      </c>
      <c r="M41" s="287" t="s">
        <v>2198</v>
      </c>
      <c r="N41" s="288">
        <f>+SUMIF(INGRESOS!D:D,Tabla3[[#This Row],[ID STRIPE]],INGRESOS!J:J)</f>
        <v>4890.46</v>
      </c>
      <c r="O41" s="6">
        <v>21000</v>
      </c>
      <c r="P41" s="6">
        <f>+SUMIF('CALENDARIO INGRESOS'!A:A,Tabla3[[#This Row],[ID STRIPE]],'CALENDARIO INGRESOS'!I:I)</f>
        <v>21000</v>
      </c>
      <c r="Q41" s="6">
        <f>+SUMIF(INGRESOS!D:D,Tabla3[[#This Row],[ID STRIPE]],INGRESOS!G:G)</f>
        <v>5000</v>
      </c>
      <c r="R41" s="3" t="str">
        <f>IF(Tabla3[[#This Row],[ESTADO]]="OK",IF(COUNTIFS('CALENDARIO INGRESOS'!$A:$A,$D41,'CALENDARIO INGRESOS'!$H:$H,"LATAM",'CALENDARIO INGRESOS'!$L:$L,"&lt;&gt;PAGADA")&gt;0,"LATAM",
 IF(COUNTIFS('CALENDARIO INGRESOS'!$A:$A,$D41,'CALENDARIO INGRESOS'!$H:$H,"VISA",'CALENDARIO INGRESOS'!$L:$L,"&lt;&gt;PAGADA")&gt;0,"VISA",
  IF(COUNTIFS('CALENDARIO INGRESOS'!$A:$A,$D41,'CALENDARIO INGRESOS'!$H:$H,"FIRMA PA",'CALENDARIO INGRESOS'!$L:$L,"&lt;&gt;PAGADA")&gt;0,"FIRMA PA",
   IF(COUNTIFS('CALENDARIO INGRESOS'!$A:$A,$D41,'CALENDARIO INGRESOS'!$H:$H,"ALEM",'CALENDARIO INGRESOS'!$L:$L,"&lt;&gt;PAGADA")&gt;0,"ALEM","LISTO")))),"-")</f>
        <v>-</v>
      </c>
      <c r="S41" s="188">
        <f>+SUMIFS('CALENDARIO INGRESOS'!I:I,'CALENDARIO INGRESOS'!A:A,Tabla3[[#This Row],[ID STRIPE]],'CALENDARIO INGRESOS'!H:H,"LATAM")</f>
        <v>21000</v>
      </c>
      <c r="T41" s="188">
        <f>+IF(Tabla3[[#This Row],[MONTO LATAM]]-Tabla3[[#This Row],[IMPORTE ABONADO]]&gt;=0,Tabla3[[#This Row],[MONTO LATAM]]-Tabla3[[#This Row],[IMPORTE ABONADO]],0)</f>
        <v>16000</v>
      </c>
      <c r="U41" s="188">
        <f>+SUMIFS('CALENDARIO INGRESOS'!I:I,'CALENDARIO INGRESOS'!A:A,Tabla3[[#This Row],[ID STRIPE]],'CALENDARIO INGRESOS'!H:H,"ALEM")</f>
        <v>0</v>
      </c>
      <c r="V41" s="6">
        <f>+SUMIFS('CALENDARIO INGRESOS'!I:I,'CALENDARIO INGRESOS'!A:A,Tabla3[[#This Row],[ID STRIPE]],'CALENDARIO INGRESOS'!H:H,"VISA")+SUMIFS('CALENDARIO INGRESOS'!I:I,'CALENDARIO INGRESOS'!A:A,Tabla3[[#This Row],[ID STRIPE]],'CALENDARIO INGRESOS'!H:H,"FIRMA PA")</f>
        <v>0</v>
      </c>
      <c r="W41" s="252">
        <v>0</v>
      </c>
      <c r="X41" s="60">
        <f>+IFERROR(AVERAGEIF('CALENDARIO INGRESOS'!A:A,Tabla3[[#This Row],[ID STRIPE]],'CALENDARIO INGRESOS'!M:M),"0")</f>
        <v>-0.5</v>
      </c>
      <c r="Y41" s="18" t="s">
        <v>2093</v>
      </c>
      <c r="Z41" s="286">
        <f>+IFERROR(_xlfn.XLOOKUP(Tabla3[[#This Row],[ID LINGODA]],LINGODA!D:D,LINGODA!S:S),0)</f>
        <v>59</v>
      </c>
      <c r="AA41" s="18" t="str">
        <f>+IFERROR(_xlfn.XLOOKUP(Tabla3[[#This Row],[ID LINGODA]],LINGODA!D:D,LINGODA!F:F),"null")</f>
        <v>A1.2</v>
      </c>
      <c r="AB41" s="286" t="str">
        <f>+IFERROR(_xlfn.XLOOKUP(Tabla3[[#This Row],[ID LINGODA]],LINGODA!D:D,LINGODA!G:G),"null")</f>
        <v>A2.1</v>
      </c>
    </row>
    <row r="42" spans="1:28">
      <c r="A42" s="5" t="s">
        <v>2207</v>
      </c>
      <c r="B42" s="1" t="s">
        <v>2208</v>
      </c>
      <c r="C42" s="1" t="s">
        <v>10</v>
      </c>
      <c r="D42" s="1" t="s">
        <v>226</v>
      </c>
      <c r="E42" s="60">
        <v>1791057</v>
      </c>
      <c r="F42" s="60"/>
      <c r="G42" s="18">
        <f>(_xlfn.MINIFS(INGRESOS!A:A,INGRESOS!C:C,Tabla3[[#This Row],[CORREO]]))</f>
        <v>45790</v>
      </c>
      <c r="H42" s="3">
        <f>+SUMIFS(INGRESOS!J:J,INGRESOS!D:D,Tabla3[[#This Row],[ID STRIPE]],INGRESOS!A:A,"&gt;="&amp;DATE(YEAR(Tabla3[[#This Row],[FECHA INGRESO]]),MONTH(Tabla3[[#This Row],[FECHA INGRESO]]),1),INGRESOS!A:A,"&lt;="&amp;DATE(YEAR(Tabla3[[#This Row],[FECHA INGRESO]]),MONTH(Tabla3[[#This Row],[FECHA INGRESO]])+1,0))</f>
        <v>2000</v>
      </c>
      <c r="I42" s="286">
        <f ca="1">DATEDIF(Tabla3[[#This Row],[FECHA INGRESO]],IF(OR(Tabla3[[#This Row],[ESTADO]]="OK",Tabla3[[#This Row],[ESTADO]]="¡REGULARIZAR!")=TRUE,TODAY(),IF(Tabla3[[#This Row],[ULTIMO PAGO]]="",TODAY(),Tabla3[[#This Row],[ULTIMO PAGO]])),"m")</f>
        <v>9</v>
      </c>
      <c r="J42" s="18">
        <f>(_xlfn.MAXIFS(INGRESOS!A:A,INGRESOS!C:C,Tabla3[[#This Row],[CORREO]]))</f>
        <v>46080</v>
      </c>
      <c r="K42" s="7">
        <f ca="1">+IFERROR(Tabla3[[#This Row],[ABONADO NETO ]]/Tabla3[[#This Row],[MESES ACT]],Tabla3[[#This Row],[ABONO 1ER MES]])</f>
        <v>705.72222222222217</v>
      </c>
      <c r="M42" s="287" t="s">
        <v>2119</v>
      </c>
      <c r="N42" s="288">
        <f>+SUMIF(INGRESOS!D:D,Tabla3[[#This Row],[ID STRIPE]],INGRESOS!J:J)</f>
        <v>6351.5</v>
      </c>
      <c r="O42" s="6">
        <v>20000</v>
      </c>
      <c r="P42" s="6">
        <f>+SUMIF('CALENDARIO INGRESOS'!A:A,Tabla3[[#This Row],[ID STRIPE]],'CALENDARIO INGRESOS'!I:I)</f>
        <v>20000</v>
      </c>
      <c r="Q42" s="6">
        <f>+SUMIF(INGRESOS!D:D,Tabla3[[#This Row],[ID STRIPE]],INGRESOS!G:G)</f>
        <v>6500</v>
      </c>
      <c r="R42" s="3" t="str">
        <f>IF(Tabla3[[#This Row],[ESTADO]]="OK",IF(COUNTIFS('CALENDARIO INGRESOS'!$A:$A,$D42,'CALENDARIO INGRESOS'!$H:$H,"LATAM",'CALENDARIO INGRESOS'!$L:$L,"&lt;&gt;PAGADA")&gt;0,"LATAM",
 IF(COUNTIFS('CALENDARIO INGRESOS'!$A:$A,$D42,'CALENDARIO INGRESOS'!$H:$H,"VISA",'CALENDARIO INGRESOS'!$L:$L,"&lt;&gt;PAGADA")&gt;0,"VISA",
  IF(COUNTIFS('CALENDARIO INGRESOS'!$A:$A,$D42,'CALENDARIO INGRESOS'!$H:$H,"FIRMA PA",'CALENDARIO INGRESOS'!$L:$L,"&lt;&gt;PAGADA")&gt;0,"FIRMA PA",
   IF(COUNTIFS('CALENDARIO INGRESOS'!$A:$A,$D42,'CALENDARIO INGRESOS'!$H:$H,"ALEM",'CALENDARIO INGRESOS'!$L:$L,"&lt;&gt;PAGADA")&gt;0,"ALEM","LISTO")))),"-")</f>
        <v>LATAM</v>
      </c>
      <c r="S42" s="188">
        <f>+SUMIFS('CALENDARIO INGRESOS'!I:I,'CALENDARIO INGRESOS'!A:A,Tabla3[[#This Row],[ID STRIPE]],'CALENDARIO INGRESOS'!H:H,"LATAM")</f>
        <v>16000</v>
      </c>
      <c r="T42" s="188">
        <f>+IF(Tabla3[[#This Row],[MONTO LATAM]]-Tabla3[[#This Row],[IMPORTE ABONADO]]&gt;=0,Tabla3[[#This Row],[MONTO LATAM]]-Tabla3[[#This Row],[IMPORTE ABONADO]],0)</f>
        <v>9500</v>
      </c>
      <c r="U42" s="188">
        <f>+SUMIFS('CALENDARIO INGRESOS'!I:I,'CALENDARIO INGRESOS'!A:A,Tabla3[[#This Row],[ID STRIPE]],'CALENDARIO INGRESOS'!H:H,"ALEM")</f>
        <v>4000</v>
      </c>
      <c r="V42" s="6">
        <f>+SUMIFS('CALENDARIO INGRESOS'!I:I,'CALENDARIO INGRESOS'!A:A,Tabla3[[#This Row],[ID STRIPE]],'CALENDARIO INGRESOS'!H:H,"VISA")+SUMIFS('CALENDARIO INGRESOS'!I:I,'CALENDARIO INGRESOS'!A:A,Tabla3[[#This Row],[ID STRIPE]],'CALENDARIO INGRESOS'!H:H,"FIRMA PA")</f>
        <v>0</v>
      </c>
      <c r="W42" s="250">
        <v>0</v>
      </c>
      <c r="X42" s="60">
        <f>+IFERROR(AVERAGEIF('CALENDARIO INGRESOS'!A:A,Tabla3[[#This Row],[ID STRIPE]],'CALENDARIO INGRESOS'!M:M),"0")</f>
        <v>0.8</v>
      </c>
      <c r="Y42" s="18">
        <v>46096</v>
      </c>
      <c r="Z42" s="286">
        <f>+IFERROR(_xlfn.XLOOKUP(Tabla3[[#This Row],[ID LINGODA]],LINGODA!D:D,LINGODA!S:S),0)</f>
        <v>1</v>
      </c>
      <c r="AA42" s="18" t="str">
        <f>+IFERROR(_xlfn.XLOOKUP(Tabla3[[#This Row],[ID LINGODA]],LINGODA!D:D,LINGODA!F:F),"null")</f>
        <v>B1.1</v>
      </c>
      <c r="AB42" s="286" t="str">
        <f>+IFERROR(_xlfn.XLOOKUP(Tabla3[[#This Row],[ID LINGODA]],LINGODA!D:D,LINGODA!G:G),"null")</f>
        <v>B1.1</v>
      </c>
    </row>
    <row r="43" spans="1:28">
      <c r="A43" s="5" t="s">
        <v>2209</v>
      </c>
      <c r="B43" s="1" t="s">
        <v>2210</v>
      </c>
      <c r="C43" s="1" t="s">
        <v>10</v>
      </c>
      <c r="D43" s="1" t="s">
        <v>229</v>
      </c>
      <c r="E43" s="60">
        <v>1791058</v>
      </c>
      <c r="F43" s="60"/>
      <c r="G43" s="18">
        <f>(_xlfn.MINIFS(INGRESOS!A:A,INGRESOS!C:C,Tabla3[[#This Row],[CORREO]]))</f>
        <v>45790</v>
      </c>
      <c r="H43" s="3">
        <f>+SUMIFS(INGRESOS!J:J,INGRESOS!D:D,Tabla3[[#This Row],[ID STRIPE]],INGRESOS!A:A,"&gt;="&amp;DATE(YEAR(Tabla3[[#This Row],[FECHA INGRESO]]),MONTH(Tabla3[[#This Row],[FECHA INGRESO]]),1),INGRESOS!A:A,"&lt;="&amp;DATE(YEAR(Tabla3[[#This Row],[FECHA INGRESO]]),MONTH(Tabla3[[#This Row],[FECHA INGRESO]])+1,0))</f>
        <v>2000</v>
      </c>
      <c r="I43" s="286">
        <f ca="1">DATEDIF(Tabla3[[#This Row],[FECHA INGRESO]],IF(OR(Tabla3[[#This Row],[ESTADO]]="OK",Tabla3[[#This Row],[ESTADO]]="¡REGULARIZAR!")=TRUE,TODAY(),IF(Tabla3[[#This Row],[ULTIMO PAGO]]="",TODAY(),Tabla3[[#This Row],[ULTIMO PAGO]])),"m")</f>
        <v>9</v>
      </c>
      <c r="J43" s="18">
        <f>(_xlfn.MAXIFS(INGRESOS!A:A,INGRESOS!C:C,Tabla3[[#This Row],[CORREO]]))</f>
        <v>46081</v>
      </c>
      <c r="K43" s="7">
        <f ca="1">+IFERROR(Tabla3[[#This Row],[ABONADO NETO ]]/Tabla3[[#This Row],[MESES ACT]],Tabla3[[#This Row],[ABONO 1ER MES]])</f>
        <v>705.72222222222217</v>
      </c>
      <c r="M43" s="287" t="s">
        <v>2119</v>
      </c>
      <c r="N43" s="288">
        <f>+SUMIF(INGRESOS!D:D,Tabla3[[#This Row],[ID STRIPE]],INGRESOS!J:J)</f>
        <v>6351.5</v>
      </c>
      <c r="O43" s="6">
        <v>20000</v>
      </c>
      <c r="P43" s="6">
        <f>+SUMIF('CALENDARIO INGRESOS'!A:A,Tabla3[[#This Row],[ID STRIPE]],'CALENDARIO INGRESOS'!I:I)</f>
        <v>20000</v>
      </c>
      <c r="Q43" s="6">
        <f>+SUMIF(INGRESOS!D:D,Tabla3[[#This Row],[ID STRIPE]],INGRESOS!G:G)</f>
        <v>6500</v>
      </c>
      <c r="R43" s="3" t="str">
        <f>IF(Tabla3[[#This Row],[ESTADO]]="OK",IF(COUNTIFS('CALENDARIO INGRESOS'!$A:$A,$D43,'CALENDARIO INGRESOS'!$H:$H,"LATAM",'CALENDARIO INGRESOS'!$L:$L,"&lt;&gt;PAGADA")&gt;0,"LATAM",
 IF(COUNTIFS('CALENDARIO INGRESOS'!$A:$A,$D43,'CALENDARIO INGRESOS'!$H:$H,"VISA",'CALENDARIO INGRESOS'!$L:$L,"&lt;&gt;PAGADA")&gt;0,"VISA",
  IF(COUNTIFS('CALENDARIO INGRESOS'!$A:$A,$D43,'CALENDARIO INGRESOS'!$H:$H,"FIRMA PA",'CALENDARIO INGRESOS'!$L:$L,"&lt;&gt;PAGADA")&gt;0,"FIRMA PA",
   IF(COUNTIFS('CALENDARIO INGRESOS'!$A:$A,$D43,'CALENDARIO INGRESOS'!$H:$H,"ALEM",'CALENDARIO INGRESOS'!$L:$L,"&lt;&gt;PAGADA")&gt;0,"ALEM","LISTO")))),"-")</f>
        <v>LATAM</v>
      </c>
      <c r="S43" s="188">
        <f>+SUMIFS('CALENDARIO INGRESOS'!I:I,'CALENDARIO INGRESOS'!A:A,Tabla3[[#This Row],[ID STRIPE]],'CALENDARIO INGRESOS'!H:H,"LATAM")</f>
        <v>16000</v>
      </c>
      <c r="T43" s="188">
        <f>+IF(Tabla3[[#This Row],[MONTO LATAM]]-Tabla3[[#This Row],[IMPORTE ABONADO]]&gt;=0,Tabla3[[#This Row],[MONTO LATAM]]-Tabla3[[#This Row],[IMPORTE ABONADO]],0)</f>
        <v>9500</v>
      </c>
      <c r="U43" s="188">
        <f>+SUMIFS('CALENDARIO INGRESOS'!I:I,'CALENDARIO INGRESOS'!A:A,Tabla3[[#This Row],[ID STRIPE]],'CALENDARIO INGRESOS'!H:H,"ALEM")</f>
        <v>4000</v>
      </c>
      <c r="V43" s="6">
        <f>+SUMIFS('CALENDARIO INGRESOS'!I:I,'CALENDARIO INGRESOS'!A:A,Tabla3[[#This Row],[ID STRIPE]],'CALENDARIO INGRESOS'!H:H,"VISA")+SUMIFS('CALENDARIO INGRESOS'!I:I,'CALENDARIO INGRESOS'!A:A,Tabla3[[#This Row],[ID STRIPE]],'CALENDARIO INGRESOS'!H:H,"FIRMA PA")</f>
        <v>0</v>
      </c>
      <c r="W43" s="250">
        <v>0</v>
      </c>
      <c r="X43" s="60">
        <f>+IFERROR(AVERAGEIF('CALENDARIO INGRESOS'!A:A,Tabla3[[#This Row],[ID STRIPE]],'CALENDARIO INGRESOS'!M:M),"0")</f>
        <v>0.7</v>
      </c>
      <c r="Y43" s="18">
        <v>46174</v>
      </c>
      <c r="Z43" s="286">
        <f>+IFERROR(_xlfn.XLOOKUP(Tabla3[[#This Row],[ID LINGODA]],LINGODA!D:D,LINGODA!S:S),0)</f>
        <v>0</v>
      </c>
      <c r="AA43" s="18" t="str">
        <f>+IFERROR(_xlfn.XLOOKUP(Tabla3[[#This Row],[ID LINGODA]],LINGODA!D:D,LINGODA!F:F),"null")</f>
        <v>null</v>
      </c>
      <c r="AB43" s="286" t="str">
        <f>+IFERROR(_xlfn.XLOOKUP(Tabla3[[#This Row],[ID LINGODA]],LINGODA!D:D,LINGODA!G:G),"null")</f>
        <v>null</v>
      </c>
    </row>
    <row r="44" spans="1:28">
      <c r="A44" s="5" t="s">
        <v>2211</v>
      </c>
      <c r="B44" s="1" t="s">
        <v>2212</v>
      </c>
      <c r="C44" s="1" t="s">
        <v>16</v>
      </c>
      <c r="D44" s="1" t="s">
        <v>247</v>
      </c>
      <c r="E44" s="60">
        <v>1792194</v>
      </c>
      <c r="F44" s="60"/>
      <c r="G44" s="18">
        <f>(_xlfn.MINIFS(INGRESOS!A:A,INGRESOS!C:C,Tabla3[[#This Row],[CORREO]]))</f>
        <v>45794</v>
      </c>
      <c r="H44" s="3">
        <f>+SUMIFS(INGRESOS!J:J,INGRESOS!D:D,Tabla3[[#This Row],[ID STRIPE]],INGRESOS!A:A,"&gt;="&amp;DATE(YEAR(Tabla3[[#This Row],[FECHA INGRESO]]),MONTH(Tabla3[[#This Row],[FECHA INGRESO]]),1),INGRESOS!A:A,"&lt;="&amp;DATE(YEAR(Tabla3[[#This Row],[FECHA INGRESO]]),MONTH(Tabla3[[#This Row],[FECHA INGRESO]])+1,0))</f>
        <v>967.25</v>
      </c>
      <c r="I44" s="286">
        <f ca="1">DATEDIF(Tabla3[[#This Row],[FECHA INGRESO]],IF(OR(Tabla3[[#This Row],[ESTADO]]="OK",Tabla3[[#This Row],[ESTADO]]="¡REGULARIZAR!")=TRUE,TODAY(),IF(Tabla3[[#This Row],[ULTIMO PAGO]]="",TODAY(),Tabla3[[#This Row],[ULTIMO PAGO]])),"m")</f>
        <v>9</v>
      </c>
      <c r="J44" s="18">
        <f>(_xlfn.MAXIFS(INGRESOS!A:A,INGRESOS!C:C,Tabla3[[#This Row],[CORREO]]))</f>
        <v>46070</v>
      </c>
      <c r="K44" s="7">
        <f ca="1">+IFERROR(Tabla3[[#This Row],[ABONADO NETO ]]/Tabla3[[#This Row],[MESES ACT]],Tabla3[[#This Row],[ABONO 1ER MES]])</f>
        <v>1074.7222222222222</v>
      </c>
      <c r="M44" s="287" t="s">
        <v>2119</v>
      </c>
      <c r="N44" s="288">
        <f>+SUMIF(INGRESOS!D:D,Tabla3[[#This Row],[ID STRIPE]],INGRESOS!J:J)</f>
        <v>9672.5</v>
      </c>
      <c r="O44" s="6">
        <v>20000</v>
      </c>
      <c r="P44" s="6">
        <f>+SUMIF('CALENDARIO INGRESOS'!A:A,Tabla3[[#This Row],[ID STRIPE]],'CALENDARIO INGRESOS'!I:I)</f>
        <v>20000</v>
      </c>
      <c r="Q44" s="6">
        <f>+SUMIF(INGRESOS!D:D,Tabla3[[#This Row],[ID STRIPE]],INGRESOS!G:G)</f>
        <v>10000</v>
      </c>
      <c r="R44" s="3" t="str">
        <f>IF(Tabla3[[#This Row],[ESTADO]]="OK",IF(COUNTIFS('CALENDARIO INGRESOS'!$A:$A,$D44,'CALENDARIO INGRESOS'!$H:$H,"LATAM",'CALENDARIO INGRESOS'!$L:$L,"&lt;&gt;PAGADA")&gt;0,"LATAM",
 IF(COUNTIFS('CALENDARIO INGRESOS'!$A:$A,$D44,'CALENDARIO INGRESOS'!$H:$H,"VISA",'CALENDARIO INGRESOS'!$L:$L,"&lt;&gt;PAGADA")&gt;0,"VISA",
  IF(COUNTIFS('CALENDARIO INGRESOS'!$A:$A,$D44,'CALENDARIO INGRESOS'!$H:$H,"FIRMA PA",'CALENDARIO INGRESOS'!$L:$L,"&lt;&gt;PAGADA")&gt;0,"FIRMA PA",
   IF(COUNTIFS('CALENDARIO INGRESOS'!$A:$A,$D44,'CALENDARIO INGRESOS'!$H:$H,"ALEM",'CALENDARIO INGRESOS'!$L:$L,"&lt;&gt;PAGADA")&gt;0,"ALEM","LISTO")))),"-")</f>
        <v>LATAM</v>
      </c>
      <c r="S44" s="188">
        <f>+SUMIFS('CALENDARIO INGRESOS'!I:I,'CALENDARIO INGRESOS'!A:A,Tabla3[[#This Row],[ID STRIPE]],'CALENDARIO INGRESOS'!H:H,"LATAM")</f>
        <v>16000</v>
      </c>
      <c r="T44" s="188">
        <f>+IF(Tabla3[[#This Row],[MONTO LATAM]]-Tabla3[[#This Row],[IMPORTE ABONADO]]&gt;=0,Tabla3[[#This Row],[MONTO LATAM]]-Tabla3[[#This Row],[IMPORTE ABONADO]],0)</f>
        <v>6000</v>
      </c>
      <c r="U44" s="188">
        <f>+SUMIFS('CALENDARIO INGRESOS'!I:I,'CALENDARIO INGRESOS'!A:A,Tabla3[[#This Row],[ID STRIPE]],'CALENDARIO INGRESOS'!H:H,"ALEM")</f>
        <v>4000</v>
      </c>
      <c r="V44" s="6">
        <f>+SUMIFS('CALENDARIO INGRESOS'!I:I,'CALENDARIO INGRESOS'!A:A,Tabla3[[#This Row],[ID STRIPE]],'CALENDARIO INGRESOS'!H:H,"VISA")+SUMIFS('CALENDARIO INGRESOS'!I:I,'CALENDARIO INGRESOS'!A:A,Tabla3[[#This Row],[ID STRIPE]],'CALENDARIO INGRESOS'!H:H,"FIRMA PA")</f>
        <v>0</v>
      </c>
      <c r="W44" s="250">
        <v>1</v>
      </c>
      <c r="X44" s="60">
        <f>+IFERROR(AVERAGEIF('CALENDARIO INGRESOS'!A:A,Tabla3[[#This Row],[ID STRIPE]],'CALENDARIO INGRESOS'!M:M),"0")</f>
        <v>0.9</v>
      </c>
      <c r="Y44" s="18">
        <v>46113</v>
      </c>
      <c r="Z44" s="286">
        <f>+IFERROR(_xlfn.XLOOKUP(Tabla3[[#This Row],[ID LINGODA]],LINGODA!D:D,LINGODA!S:S),0)</f>
        <v>195</v>
      </c>
      <c r="AA44" s="18" t="str">
        <f>+IFERROR(_xlfn.XLOOKUP(Tabla3[[#This Row],[ID LINGODA]],LINGODA!D:D,LINGODA!F:F),"null")</f>
        <v>B1.1</v>
      </c>
      <c r="AB44" s="286" t="str">
        <f>+IFERROR(_xlfn.XLOOKUP(Tabla3[[#This Row],[ID LINGODA]],LINGODA!D:D,LINGODA!G:G),"null")</f>
        <v>B1.1</v>
      </c>
    </row>
    <row r="45" spans="1:28">
      <c r="A45" s="5" t="s">
        <v>2213</v>
      </c>
      <c r="B45" s="1" t="s">
        <v>2214</v>
      </c>
      <c r="C45" s="1" t="s">
        <v>13</v>
      </c>
      <c r="D45" s="1" t="s">
        <v>242</v>
      </c>
      <c r="E45" s="60">
        <v>1791056</v>
      </c>
      <c r="F45" s="60"/>
      <c r="G45" s="18">
        <f>(_xlfn.MINIFS(INGRESOS!A:A,INGRESOS!C:C,Tabla3[[#This Row],[CORREO]]))</f>
        <v>45798</v>
      </c>
      <c r="H45" s="3">
        <f>+SUMIFS(INGRESOS!J:J,INGRESOS!D:D,Tabla3[[#This Row],[ID STRIPE]],INGRESOS!A:A,"&gt;="&amp;DATE(YEAR(Tabla3[[#This Row],[FECHA INGRESO]]),MONTH(Tabla3[[#This Row],[FECHA INGRESO]]),1),INGRESOS!A:A,"&lt;="&amp;DATE(YEAR(Tabla3[[#This Row],[FECHA INGRESO]]),MONTH(Tabla3[[#This Row],[FECHA INGRESO]])+1,0))</f>
        <v>3995</v>
      </c>
      <c r="I45" s="286">
        <f ca="1">DATEDIF(Tabla3[[#This Row],[FECHA INGRESO]],IF(OR(Tabla3[[#This Row],[ESTADO]]="OK",Tabla3[[#This Row],[ESTADO]]="¡REGULARIZAR!")=TRUE,TODAY(),IF(Tabla3[[#This Row],[ULTIMO PAGO]]="",TODAY(),Tabla3[[#This Row],[ULTIMO PAGO]])),"m")</f>
        <v>9</v>
      </c>
      <c r="J45" s="18">
        <f>(_xlfn.MAXIFS(INGRESOS!A:A,INGRESOS!C:C,Tabla3[[#This Row],[CORREO]]))</f>
        <v>46069</v>
      </c>
      <c r="K45" s="7">
        <f ca="1">+IFERROR(Tabla3[[#This Row],[ABONADO NETO ]]/Tabla3[[#This Row],[MESES ACT]],Tabla3[[#This Row],[ABONO 1ER MES]])</f>
        <v>1677.7777777777778</v>
      </c>
      <c r="M45" s="287" t="s">
        <v>2119</v>
      </c>
      <c r="N45" s="288">
        <f>+SUMIF(INGRESOS!D:D,Tabla3[[#This Row],[ID STRIPE]],INGRESOS!J:J)</f>
        <v>15100</v>
      </c>
      <c r="O45" s="6">
        <v>20800</v>
      </c>
      <c r="P45" s="6">
        <f>+SUMIF('CALENDARIO INGRESOS'!A:A,Tabla3[[#This Row],[ID STRIPE]],'CALENDARIO INGRESOS'!I:I)</f>
        <v>20800</v>
      </c>
      <c r="Q45" s="6">
        <f>+SUMIF(INGRESOS!D:D,Tabla3[[#This Row],[ID STRIPE]],INGRESOS!G:G)</f>
        <v>15130</v>
      </c>
      <c r="R45" s="3" t="str">
        <f>IF(Tabla3[[#This Row],[ESTADO]]="OK",IF(COUNTIFS('CALENDARIO INGRESOS'!$A:$A,$D45,'CALENDARIO INGRESOS'!$H:$H,"LATAM",'CALENDARIO INGRESOS'!$L:$L,"&lt;&gt;PAGADA")&gt;0,"LATAM",
 IF(COUNTIFS('CALENDARIO INGRESOS'!$A:$A,$D45,'CALENDARIO INGRESOS'!$H:$H,"VISA",'CALENDARIO INGRESOS'!$L:$L,"&lt;&gt;PAGADA")&gt;0,"VISA",
  IF(COUNTIFS('CALENDARIO INGRESOS'!$A:$A,$D45,'CALENDARIO INGRESOS'!$H:$H,"FIRMA PA",'CALENDARIO INGRESOS'!$L:$L,"&lt;&gt;PAGADA")&gt;0,"FIRMA PA",
   IF(COUNTIFS('CALENDARIO INGRESOS'!$A:$A,$D45,'CALENDARIO INGRESOS'!$H:$H,"ALEM",'CALENDARIO INGRESOS'!$L:$L,"&lt;&gt;PAGADA")&gt;0,"ALEM","LISTO")))),"-")</f>
        <v>LATAM</v>
      </c>
      <c r="S45" s="188">
        <f>+SUMIFS('CALENDARIO INGRESOS'!I:I,'CALENDARIO INGRESOS'!A:A,Tabla3[[#This Row],[ID STRIPE]],'CALENDARIO INGRESOS'!H:H,"LATAM")</f>
        <v>20800</v>
      </c>
      <c r="T45" s="188">
        <f>+IF(Tabla3[[#This Row],[MONTO LATAM]]-Tabla3[[#This Row],[IMPORTE ABONADO]]&gt;=0,Tabla3[[#This Row],[MONTO LATAM]]-Tabla3[[#This Row],[IMPORTE ABONADO]],0)</f>
        <v>5670</v>
      </c>
      <c r="U45" s="188">
        <f>+SUMIFS('CALENDARIO INGRESOS'!I:I,'CALENDARIO INGRESOS'!A:A,Tabla3[[#This Row],[ID STRIPE]],'CALENDARIO INGRESOS'!H:H,"ALEM")</f>
        <v>0</v>
      </c>
      <c r="V45" s="6">
        <f>+SUMIFS('CALENDARIO INGRESOS'!I:I,'CALENDARIO INGRESOS'!A:A,Tabla3[[#This Row],[ID STRIPE]],'CALENDARIO INGRESOS'!H:H,"VISA")+SUMIFS('CALENDARIO INGRESOS'!I:I,'CALENDARIO INGRESOS'!A:A,Tabla3[[#This Row],[ID STRIPE]],'CALENDARIO INGRESOS'!H:H,"FIRMA PA")</f>
        <v>0</v>
      </c>
      <c r="W45" s="250">
        <v>1</v>
      </c>
      <c r="X45" s="60">
        <f>+IFERROR(AVERAGEIF('CALENDARIO INGRESOS'!A:A,Tabla3[[#This Row],[ID STRIPE]],'CALENDARIO INGRESOS'!M:M),"0")</f>
        <v>-1.4285714285714286</v>
      </c>
      <c r="Y45" s="18" t="s">
        <v>2093</v>
      </c>
      <c r="Z45" s="286">
        <f>+IFERROR(_xlfn.XLOOKUP(Tabla3[[#This Row],[ID LINGODA]],LINGODA!D:D,LINGODA!S:S),0)</f>
        <v>0</v>
      </c>
      <c r="AA45" s="18" t="str">
        <f>+IFERROR(_xlfn.XLOOKUP(Tabla3[[#This Row],[ID LINGODA]],LINGODA!D:D,LINGODA!F:F),"null")</f>
        <v>null</v>
      </c>
      <c r="AB45" s="286" t="str">
        <f>+IFERROR(_xlfn.XLOOKUP(Tabla3[[#This Row],[ID LINGODA]],LINGODA!D:D,LINGODA!G:G),"null")</f>
        <v>null</v>
      </c>
    </row>
    <row r="46" spans="1:28">
      <c r="A46" s="5" t="s">
        <v>2215</v>
      </c>
      <c r="B46" s="1" t="s">
        <v>2216</v>
      </c>
      <c r="C46" s="1" t="s">
        <v>16</v>
      </c>
      <c r="D46" s="1" t="s">
        <v>253</v>
      </c>
      <c r="E46" s="60">
        <v>1795208</v>
      </c>
      <c r="F46" s="60"/>
      <c r="G46" s="18">
        <f>(_xlfn.MINIFS(INGRESOS!A:A,INGRESOS!C:C,Tabla3[[#This Row],[CORREO]]))</f>
        <v>45803</v>
      </c>
      <c r="H46" s="3">
        <f>+SUMIFS(INGRESOS!J:J,INGRESOS!D:D,Tabla3[[#This Row],[ID STRIPE]],INGRESOS!A:A,"&gt;="&amp;DATE(YEAR(Tabla3[[#This Row],[FECHA INGRESO]]),MONTH(Tabla3[[#This Row],[FECHA INGRESO]]),1),INGRESOS!A:A,"&lt;="&amp;DATE(YEAR(Tabla3[[#This Row],[FECHA INGRESO]]),MONTH(Tabla3[[#This Row],[FECHA INGRESO]])+1,0))</f>
        <v>241.62</v>
      </c>
      <c r="I46" s="286">
        <f ca="1">DATEDIF(Tabla3[[#This Row],[FECHA INGRESO]],IF(OR(Tabla3[[#This Row],[ESTADO]]="OK",Tabla3[[#This Row],[ESTADO]]="¡REGULARIZAR!")=TRUE,TODAY(),IF(Tabla3[[#This Row],[ULTIMO PAGO]]="",TODAY(),Tabla3[[#This Row],[ULTIMO PAGO]])),"m")</f>
        <v>9</v>
      </c>
      <c r="J46" s="18">
        <f>(_xlfn.MAXIFS(INGRESOS!A:A,INGRESOS!C:C,Tabla3[[#This Row],[CORREO]]))</f>
        <v>46085</v>
      </c>
      <c r="K46" s="7">
        <f ca="1">+IFERROR(Tabla3[[#This Row],[ABONADO NETO ]]/Tabla3[[#This Row],[MESES ACT]],Tabla3[[#This Row],[ABONO 1ER MES]])</f>
        <v>1289.6933333333334</v>
      </c>
      <c r="M46" s="287" t="s">
        <v>2119</v>
      </c>
      <c r="N46" s="288">
        <f>+SUMIF(INGRESOS!D:D,Tabla3[[#This Row],[ID STRIPE]],INGRESOS!J:J)</f>
        <v>11607.24</v>
      </c>
      <c r="O46" s="6">
        <v>20000</v>
      </c>
      <c r="P46" s="6">
        <f>+SUMIF('CALENDARIO INGRESOS'!A:A,Tabla3[[#This Row],[ID STRIPE]],'CALENDARIO INGRESOS'!I:I)</f>
        <v>20000</v>
      </c>
      <c r="Q46" s="6">
        <f>+SUMIF(INGRESOS!D:D,Tabla3[[#This Row],[ID STRIPE]],INGRESOS!G:G)</f>
        <v>12000</v>
      </c>
      <c r="R46" s="3" t="str">
        <f>IF(Tabla3[[#This Row],[ESTADO]]="OK",IF(COUNTIFS('CALENDARIO INGRESOS'!$A:$A,$D46,'CALENDARIO INGRESOS'!$H:$H,"LATAM",'CALENDARIO INGRESOS'!$L:$L,"&lt;&gt;PAGADA")&gt;0,"LATAM",
 IF(COUNTIFS('CALENDARIO INGRESOS'!$A:$A,$D46,'CALENDARIO INGRESOS'!$H:$H,"VISA",'CALENDARIO INGRESOS'!$L:$L,"&lt;&gt;PAGADA")&gt;0,"VISA",
  IF(COUNTIFS('CALENDARIO INGRESOS'!$A:$A,$D46,'CALENDARIO INGRESOS'!$H:$H,"FIRMA PA",'CALENDARIO INGRESOS'!$L:$L,"&lt;&gt;PAGADA")&gt;0,"FIRMA PA",
   IF(COUNTIFS('CALENDARIO INGRESOS'!$A:$A,$D46,'CALENDARIO INGRESOS'!$H:$H,"ALEM",'CALENDARIO INGRESOS'!$L:$L,"&lt;&gt;PAGADA")&gt;0,"ALEM","LISTO")))),"-")</f>
        <v>LATAM</v>
      </c>
      <c r="S46" s="188">
        <f>+SUMIFS('CALENDARIO INGRESOS'!I:I,'CALENDARIO INGRESOS'!A:A,Tabla3[[#This Row],[ID STRIPE]],'CALENDARIO INGRESOS'!H:H,"LATAM")</f>
        <v>14600</v>
      </c>
      <c r="T46" s="188">
        <f>+IF(Tabla3[[#This Row],[MONTO LATAM]]-Tabla3[[#This Row],[IMPORTE ABONADO]]&gt;=0,Tabla3[[#This Row],[MONTO LATAM]]-Tabla3[[#This Row],[IMPORTE ABONADO]],0)</f>
        <v>2600</v>
      </c>
      <c r="U46" s="188">
        <f>+SUMIFS('CALENDARIO INGRESOS'!I:I,'CALENDARIO INGRESOS'!A:A,Tabla3[[#This Row],[ID STRIPE]],'CALENDARIO INGRESOS'!H:H,"ALEM")</f>
        <v>5400</v>
      </c>
      <c r="V46" s="6">
        <f>+SUMIFS('CALENDARIO INGRESOS'!I:I,'CALENDARIO INGRESOS'!A:A,Tabla3[[#This Row],[ID STRIPE]],'CALENDARIO INGRESOS'!H:H,"VISA")+SUMIFS('CALENDARIO INGRESOS'!I:I,'CALENDARIO INGRESOS'!A:A,Tabla3[[#This Row],[ID STRIPE]],'CALENDARIO INGRESOS'!H:H,"FIRMA PA")</f>
        <v>0</v>
      </c>
      <c r="W46" s="250">
        <v>1</v>
      </c>
      <c r="X46" s="60">
        <f>+IFERROR(AVERAGEIF('CALENDARIO INGRESOS'!A:A,Tabla3[[#This Row],[ID STRIPE]],'CALENDARIO INGRESOS'!M:M),"0")</f>
        <v>0.18560606059988707</v>
      </c>
      <c r="Y46" s="18">
        <v>46082</v>
      </c>
      <c r="Z46" s="286">
        <f>+IFERROR(_xlfn.XLOOKUP(Tabla3[[#This Row],[ID LINGODA]],LINGODA!D:D,LINGODA!S:S),0)</f>
        <v>200</v>
      </c>
      <c r="AA46" s="18" t="str">
        <f>+IFERROR(_xlfn.XLOOKUP(Tabla3[[#This Row],[ID LINGODA]],LINGODA!D:D,LINGODA!F:F),"null")</f>
        <v>A1.1</v>
      </c>
      <c r="AB46" s="286" t="str">
        <f>+IFERROR(_xlfn.XLOOKUP(Tabla3[[#This Row],[ID LINGODA]],LINGODA!D:D,LINGODA!G:G),"null")</f>
        <v>B1.1</v>
      </c>
    </row>
    <row r="47" spans="1:28">
      <c r="A47" s="5" t="s">
        <v>2217</v>
      </c>
      <c r="B47" s="1" t="s">
        <v>2218</v>
      </c>
      <c r="C47" s="1" t="s">
        <v>12</v>
      </c>
      <c r="D47" s="1" t="s">
        <v>250</v>
      </c>
      <c r="E47" s="60">
        <v>1795207</v>
      </c>
      <c r="F47" s="60"/>
      <c r="G47" s="18">
        <f>(_xlfn.MINIFS(INGRESOS!A:A,INGRESOS!C:C,Tabla3[[#This Row],[CORREO]]))</f>
        <v>45803</v>
      </c>
      <c r="H47" s="3">
        <f>+SUMIFS(INGRESOS!J:J,INGRESOS!D:D,Tabla3[[#This Row],[ID STRIPE]],INGRESOS!A:A,"&gt;="&amp;DATE(YEAR(Tabla3[[#This Row],[FECHA INGRESO]]),MONTH(Tabla3[[#This Row],[FECHA INGRESO]]),1),INGRESOS!A:A,"&lt;="&amp;DATE(YEAR(Tabla3[[#This Row],[FECHA INGRESO]]),MONTH(Tabla3[[#This Row],[FECHA INGRESO]])+1,0))</f>
        <v>1934.75</v>
      </c>
      <c r="I47" s="286">
        <f ca="1">DATEDIF(Tabla3[[#This Row],[FECHA INGRESO]],IF(OR(Tabla3[[#This Row],[ESTADO]]="OK",Tabla3[[#This Row],[ESTADO]]="¡REGULARIZAR!")=TRUE,TODAY(),IF(Tabla3[[#This Row],[ULTIMO PAGO]]="",TODAY(),Tabla3[[#This Row],[ULTIMO PAGO]])),"m")</f>
        <v>9</v>
      </c>
      <c r="J47" s="18">
        <f>(_xlfn.MAXIFS(INGRESOS!A:A,INGRESOS!C:C,Tabla3[[#This Row],[CORREO]]))</f>
        <v>46073</v>
      </c>
      <c r="K47" s="7">
        <f ca="1">+IFERROR(Tabla3[[#This Row],[ABONADO NETO ]]/Tabla3[[#This Row],[MESES ACT]],Tabla3[[#This Row],[ABONO 1ER MES]])</f>
        <v>1182.2222222222222</v>
      </c>
      <c r="M47" s="287" t="s">
        <v>2119</v>
      </c>
      <c r="N47" s="288">
        <f>+SUMIF(INGRESOS!D:D,Tabla3[[#This Row],[ID STRIPE]],INGRESOS!J:J)</f>
        <v>10640</v>
      </c>
      <c r="O47" s="6">
        <v>22000</v>
      </c>
      <c r="P47" s="6">
        <f>+SUMIF('CALENDARIO INGRESOS'!A:A,Tabla3[[#This Row],[ID STRIPE]],'CALENDARIO INGRESOS'!I:I)</f>
        <v>22000</v>
      </c>
      <c r="Q47" s="6">
        <f>+SUMIF(INGRESOS!D:D,Tabla3[[#This Row],[ID STRIPE]],INGRESOS!G:G)</f>
        <v>11000</v>
      </c>
      <c r="R47" s="3" t="str">
        <f>IF(Tabla3[[#This Row],[ESTADO]]="OK",IF(COUNTIFS('CALENDARIO INGRESOS'!$A:$A,$D47,'CALENDARIO INGRESOS'!$H:$H,"LATAM",'CALENDARIO INGRESOS'!$L:$L,"&lt;&gt;PAGADA")&gt;0,"LATAM",
 IF(COUNTIFS('CALENDARIO INGRESOS'!$A:$A,$D47,'CALENDARIO INGRESOS'!$H:$H,"VISA",'CALENDARIO INGRESOS'!$L:$L,"&lt;&gt;PAGADA")&gt;0,"VISA",
  IF(COUNTIFS('CALENDARIO INGRESOS'!$A:$A,$D47,'CALENDARIO INGRESOS'!$H:$H,"FIRMA PA",'CALENDARIO INGRESOS'!$L:$L,"&lt;&gt;PAGADA")&gt;0,"FIRMA PA",
   IF(COUNTIFS('CALENDARIO INGRESOS'!$A:$A,$D47,'CALENDARIO INGRESOS'!$H:$H,"ALEM",'CALENDARIO INGRESOS'!$L:$L,"&lt;&gt;PAGADA")&gt;0,"ALEM","LISTO")))),"-")</f>
        <v>LATAM</v>
      </c>
      <c r="S47" s="188">
        <f>+SUMIFS('CALENDARIO INGRESOS'!I:I,'CALENDARIO INGRESOS'!A:A,Tabla3[[#This Row],[ID STRIPE]],'CALENDARIO INGRESOS'!H:H,"LATAM")</f>
        <v>16000</v>
      </c>
      <c r="T47" s="188">
        <f>+IF(Tabla3[[#This Row],[MONTO LATAM]]-Tabla3[[#This Row],[IMPORTE ABONADO]]&gt;=0,Tabla3[[#This Row],[MONTO LATAM]]-Tabla3[[#This Row],[IMPORTE ABONADO]],0)</f>
        <v>5000</v>
      </c>
      <c r="U47" s="188">
        <f>+SUMIFS('CALENDARIO INGRESOS'!I:I,'CALENDARIO INGRESOS'!A:A,Tabla3[[#This Row],[ID STRIPE]],'CALENDARIO INGRESOS'!H:H,"ALEM")</f>
        <v>6000</v>
      </c>
      <c r="V47" s="6">
        <f>+SUMIFS('CALENDARIO INGRESOS'!I:I,'CALENDARIO INGRESOS'!A:A,Tabla3[[#This Row],[ID STRIPE]],'CALENDARIO INGRESOS'!H:H,"VISA")+SUMIFS('CALENDARIO INGRESOS'!I:I,'CALENDARIO INGRESOS'!A:A,Tabla3[[#This Row],[ID STRIPE]],'CALENDARIO INGRESOS'!H:H,"FIRMA PA")</f>
        <v>0</v>
      </c>
      <c r="W47" s="250">
        <v>1</v>
      </c>
      <c r="X47" s="60">
        <f>+IFERROR(AVERAGEIF('CALENDARIO INGRESOS'!A:A,Tabla3[[#This Row],[ID STRIPE]],'CALENDARIO INGRESOS'!M:M),"0")</f>
        <v>0</v>
      </c>
      <c r="Y47" s="18">
        <v>46174</v>
      </c>
      <c r="Z47" s="286">
        <f>+IFERROR(_xlfn.XLOOKUP(Tabla3[[#This Row],[ID LINGODA]],LINGODA!D:D,LINGODA!S:S),0)</f>
        <v>113</v>
      </c>
      <c r="AA47" s="18" t="str">
        <f>+IFERROR(_xlfn.XLOOKUP(Tabla3[[#This Row],[ID LINGODA]],LINGODA!D:D,LINGODA!F:F),"null")</f>
        <v>A2.1</v>
      </c>
      <c r="AB47" s="286" t="str">
        <f>+IFERROR(_xlfn.XLOOKUP(Tabla3[[#This Row],[ID LINGODA]],LINGODA!D:D,LINGODA!G:G),"null")</f>
        <v>B1.1</v>
      </c>
    </row>
    <row r="48" spans="1:28">
      <c r="A48" s="5" t="s">
        <v>2219</v>
      </c>
      <c r="B48" s="1" t="s">
        <v>2220</v>
      </c>
      <c r="C48" s="1" t="s">
        <v>16</v>
      </c>
      <c r="D48" s="1" t="s">
        <v>258</v>
      </c>
      <c r="E48" s="60">
        <v>1795209</v>
      </c>
      <c r="F48" s="60"/>
      <c r="G48" s="18">
        <f>(_xlfn.MINIFS(INGRESOS!A:A,INGRESOS!C:C,Tabla3[[#This Row],[CORREO]]))</f>
        <v>45805</v>
      </c>
      <c r="H48" s="3">
        <f>+SUMIFS(INGRESOS!J:J,INGRESOS!D:D,Tabla3[[#This Row],[ID STRIPE]],INGRESOS!A:A,"&gt;="&amp;DATE(YEAR(Tabla3[[#This Row],[FECHA INGRESO]]),MONTH(Tabla3[[#This Row],[FECHA INGRESO]]),1),INGRESOS!A:A,"&lt;="&amp;DATE(YEAR(Tabla3[[#This Row],[FECHA INGRESO]]),MONTH(Tabla3[[#This Row],[FECHA INGRESO]])+1,0))</f>
        <v>238.47</v>
      </c>
      <c r="I48" s="286">
        <f ca="1">DATEDIF(Tabla3[[#This Row],[FECHA INGRESO]],IF(OR(Tabla3[[#This Row],[ESTADO]]="OK",Tabla3[[#This Row],[ESTADO]]="¡REGULARIZAR!")=TRUE,TODAY(),IF(Tabla3[[#This Row],[ULTIMO PAGO]]="",TODAY(),Tabla3[[#This Row],[ULTIMO PAGO]])),"m")</f>
        <v>9</v>
      </c>
      <c r="J48" s="18">
        <f>(_xlfn.MAXIFS(INGRESOS!A:A,INGRESOS!C:C,Tabla3[[#This Row],[CORREO]]))</f>
        <v>46080</v>
      </c>
      <c r="K48" s="7">
        <f ca="1">+IFERROR(Tabla3[[#This Row],[ABONADO NETO ]]/Tabla3[[#This Row],[MESES ACT]],Tabla3[[#This Row],[ABONO 1ER MES]])</f>
        <v>799.34314615715698</v>
      </c>
      <c r="M48" s="287" t="s">
        <v>2119</v>
      </c>
      <c r="N48" s="288">
        <f>+SUMIF(INGRESOS!D:D,Tabla3[[#This Row],[ID STRIPE]],INGRESOS!J:J)</f>
        <v>7194.088315414413</v>
      </c>
      <c r="O48" s="6">
        <v>20400</v>
      </c>
      <c r="P48" s="6">
        <f>+SUMIF('CALENDARIO INGRESOS'!A:A,Tabla3[[#This Row],[ID STRIPE]],'CALENDARIO INGRESOS'!I:I)</f>
        <v>20182</v>
      </c>
      <c r="Q48" s="6">
        <f>+SUMIF(INGRESOS!D:D,Tabla3[[#This Row],[ID STRIPE]],INGRESOS!G:G)</f>
        <v>7439.9927135359821</v>
      </c>
      <c r="R48" s="3" t="str">
        <f>IF(Tabla3[[#This Row],[ESTADO]]="OK",IF(COUNTIFS('CALENDARIO INGRESOS'!$A:$A,$D48,'CALENDARIO INGRESOS'!$H:$H,"LATAM",'CALENDARIO INGRESOS'!$L:$L,"&lt;&gt;PAGADA")&gt;0,"LATAM",
 IF(COUNTIFS('CALENDARIO INGRESOS'!$A:$A,$D48,'CALENDARIO INGRESOS'!$H:$H,"VISA",'CALENDARIO INGRESOS'!$L:$L,"&lt;&gt;PAGADA")&gt;0,"VISA",
  IF(COUNTIFS('CALENDARIO INGRESOS'!$A:$A,$D48,'CALENDARIO INGRESOS'!$H:$H,"FIRMA PA",'CALENDARIO INGRESOS'!$L:$L,"&lt;&gt;PAGADA")&gt;0,"FIRMA PA",
   IF(COUNTIFS('CALENDARIO INGRESOS'!$A:$A,$D48,'CALENDARIO INGRESOS'!$H:$H,"ALEM",'CALENDARIO INGRESOS'!$L:$L,"&lt;&gt;PAGADA")&gt;0,"ALEM","LISTO")))),"-")</f>
        <v>LATAM</v>
      </c>
      <c r="S48" s="188">
        <f>+SUMIFS('CALENDARIO INGRESOS'!I:I,'CALENDARIO INGRESOS'!A:A,Tabla3[[#This Row],[ID STRIPE]],'CALENDARIO INGRESOS'!H:H,"LATAM")</f>
        <v>15182</v>
      </c>
      <c r="T48" s="188">
        <f>+IF(Tabla3[[#This Row],[MONTO LATAM]]-Tabla3[[#This Row],[IMPORTE ABONADO]]&gt;=0,Tabla3[[#This Row],[MONTO LATAM]]-Tabla3[[#This Row],[IMPORTE ABONADO]],0)</f>
        <v>7742.0072864640179</v>
      </c>
      <c r="U48" s="188">
        <f>+SUMIFS('CALENDARIO INGRESOS'!I:I,'CALENDARIO INGRESOS'!A:A,Tabla3[[#This Row],[ID STRIPE]],'CALENDARIO INGRESOS'!H:H,"ALEM")</f>
        <v>5000</v>
      </c>
      <c r="V48" s="6">
        <f>+SUMIFS('CALENDARIO INGRESOS'!I:I,'CALENDARIO INGRESOS'!A:A,Tabla3[[#This Row],[ID STRIPE]],'CALENDARIO INGRESOS'!H:H,"VISA")+SUMIFS('CALENDARIO INGRESOS'!I:I,'CALENDARIO INGRESOS'!A:A,Tabla3[[#This Row],[ID STRIPE]],'CALENDARIO INGRESOS'!H:H,"FIRMA PA")</f>
        <v>0</v>
      </c>
      <c r="W48" s="250">
        <v>0</v>
      </c>
      <c r="X48" s="60">
        <f>+IFERROR(AVERAGEIF('CALENDARIO INGRESOS'!A:A,Tabla3[[#This Row],[ID STRIPE]],'CALENDARIO INGRESOS'!M:M),"0")</f>
        <v>1.4545454545454546</v>
      </c>
      <c r="Y48" s="18">
        <v>46174</v>
      </c>
      <c r="Z48" s="286">
        <f>+IFERROR(_xlfn.XLOOKUP(Tabla3[[#This Row],[ID LINGODA]],LINGODA!D:D,LINGODA!S:S),0)</f>
        <v>127</v>
      </c>
      <c r="AA48" s="18" t="str">
        <f>+IFERROR(_xlfn.XLOOKUP(Tabla3[[#This Row],[ID LINGODA]],LINGODA!D:D,LINGODA!F:F),"null")</f>
        <v>B1.1</v>
      </c>
      <c r="AB48" s="286" t="str">
        <f>+IFERROR(_xlfn.XLOOKUP(Tabla3[[#This Row],[ID LINGODA]],LINGODA!D:D,LINGODA!G:G),"null")</f>
        <v>C1.1</v>
      </c>
    </row>
    <row r="49" spans="1:28">
      <c r="A49" s="5" t="s">
        <v>2199</v>
      </c>
      <c r="B49" s="1" t="s">
        <v>2200</v>
      </c>
      <c r="C49" s="1" t="s">
        <v>19</v>
      </c>
      <c r="D49" s="1" t="s">
        <v>816</v>
      </c>
      <c r="E49" s="60">
        <v>1795917</v>
      </c>
      <c r="F49" s="60"/>
      <c r="G49" s="18">
        <f>(_xlfn.MINIFS(INGRESOS!A:A,INGRESOS!C:C,Tabla3[[#This Row],[CORREO]]))</f>
        <v>45807</v>
      </c>
      <c r="H49" s="3">
        <f>+SUMIFS(INGRESOS!J:J,INGRESOS!D:D,Tabla3[[#This Row],[ID STRIPE]],INGRESOS!A:A,"&gt;="&amp;DATE(YEAR(Tabla3[[#This Row],[FECHA INGRESO]]),MONTH(Tabla3[[#This Row],[FECHA INGRESO]]),1),INGRESOS!A:A,"&lt;="&amp;DATE(YEAR(Tabla3[[#This Row],[FECHA INGRESO]]),MONTH(Tabla3[[#This Row],[FECHA INGRESO]])+1,0))</f>
        <v>3860.07</v>
      </c>
      <c r="I49" s="286">
        <f ca="1">DATEDIF(Tabla3[[#This Row],[FECHA INGRESO]],IF(OR(Tabla3[[#This Row],[ESTADO]]="OK",Tabla3[[#This Row],[ESTADO]]="¡REGULARIZAR!")=TRUE,TODAY(),IF(Tabla3[[#This Row],[ULTIMO PAGO]]="",TODAY(),Tabla3[[#This Row],[ULTIMO PAGO]])),"m")</f>
        <v>9</v>
      </c>
      <c r="J49" s="18">
        <f>(_xlfn.MAXIFS(INGRESOS!A:A,INGRESOS!C:C,Tabla3[[#This Row],[CORREO]]))</f>
        <v>45900</v>
      </c>
      <c r="K49" s="7">
        <f ca="1">+IFERROR(Tabla3[[#This Row],[ABONADO NETO ]]/Tabla3[[#This Row],[MESES ACT]],Tabla3[[#This Row],[ABONO 1ER MES]])</f>
        <v>1289.0800000000002</v>
      </c>
      <c r="M49" s="287" t="s">
        <v>2198</v>
      </c>
      <c r="N49" s="288">
        <f>+SUMIF(INGRESOS!D:D,Tabla3[[#This Row],[ID STRIPE]],INGRESOS!J:J)</f>
        <v>11601.720000000001</v>
      </c>
      <c r="O49" s="207">
        <v>17500</v>
      </c>
      <c r="P49" s="207">
        <f>+SUMIF('CALENDARIO INGRESOS'!A:A,Tabla3[[#This Row],[ID STRIPE]],'CALENDARIO INGRESOS'!I:I)</f>
        <v>12000</v>
      </c>
      <c r="Q49" s="207">
        <f>+SUMIF(INGRESOS!D:D,Tabla3[[#This Row],[ID STRIPE]],INGRESOS!G:G)</f>
        <v>12000</v>
      </c>
      <c r="R49" s="3" t="str">
        <f>IF(Tabla3[[#This Row],[ESTADO]]="OK",IF(COUNTIFS('CALENDARIO INGRESOS'!$A:$A,$D49,'CALENDARIO INGRESOS'!$H:$H,"LATAM",'CALENDARIO INGRESOS'!$L:$L,"&lt;&gt;PAGADA")&gt;0,"LATAM",
 IF(COUNTIFS('CALENDARIO INGRESOS'!$A:$A,$D49,'CALENDARIO INGRESOS'!$H:$H,"VISA",'CALENDARIO INGRESOS'!$L:$L,"&lt;&gt;PAGADA")&gt;0,"VISA",
  IF(COUNTIFS('CALENDARIO INGRESOS'!$A:$A,$D49,'CALENDARIO INGRESOS'!$H:$H,"FIRMA PA",'CALENDARIO INGRESOS'!$L:$L,"&lt;&gt;PAGADA")&gt;0,"FIRMA PA",
   IF(COUNTIFS('CALENDARIO INGRESOS'!$A:$A,$D49,'CALENDARIO INGRESOS'!$H:$H,"ALEM",'CALENDARIO INGRESOS'!$L:$L,"&lt;&gt;PAGADA")&gt;0,"ALEM","LISTO")))),"-")</f>
        <v>-</v>
      </c>
      <c r="S49" s="188">
        <f>+SUMIFS('CALENDARIO INGRESOS'!I:I,'CALENDARIO INGRESOS'!A:A,Tabla3[[#This Row],[ID STRIPE]],'CALENDARIO INGRESOS'!H:H,"LATAM")</f>
        <v>12000</v>
      </c>
      <c r="T49" s="188">
        <f>+IF(Tabla3[[#This Row],[MONTO LATAM]]-Tabla3[[#This Row],[IMPORTE ABONADO]]&gt;=0,Tabla3[[#This Row],[MONTO LATAM]]-Tabla3[[#This Row],[IMPORTE ABONADO]],0)</f>
        <v>0</v>
      </c>
      <c r="U49" s="188">
        <f>+SUMIFS('CALENDARIO INGRESOS'!I:I,'CALENDARIO INGRESOS'!A:A,Tabla3[[#This Row],[ID STRIPE]],'CALENDARIO INGRESOS'!H:H,"ALEM")</f>
        <v>0</v>
      </c>
      <c r="V49" s="6">
        <f>+SUMIFS('CALENDARIO INGRESOS'!I:I,'CALENDARIO INGRESOS'!A:A,Tabla3[[#This Row],[ID STRIPE]],'CALENDARIO INGRESOS'!H:H,"VISA")+SUMIFS('CALENDARIO INGRESOS'!I:I,'CALENDARIO INGRESOS'!A:A,Tabla3[[#This Row],[ID STRIPE]],'CALENDARIO INGRESOS'!H:H,"FIRMA PA")</f>
        <v>0</v>
      </c>
      <c r="W49" s="252">
        <v>0</v>
      </c>
      <c r="X49" s="60">
        <f>+IFERROR(AVERAGEIF('CALENDARIO INGRESOS'!A:A,Tabla3[[#This Row],[ID STRIPE]],'CALENDARIO INGRESOS'!M:M),"0")</f>
        <v>0</v>
      </c>
      <c r="Y49" s="18" t="s">
        <v>2093</v>
      </c>
      <c r="Z49" s="286">
        <f>+IFERROR(_xlfn.XLOOKUP(Tabla3[[#This Row],[ID LINGODA]],LINGODA!D:D,LINGODA!S:S),0)</f>
        <v>0</v>
      </c>
      <c r="AA49" s="18" t="str">
        <f>+IFERROR(_xlfn.XLOOKUP(Tabla3[[#This Row],[ID LINGODA]],LINGODA!D:D,LINGODA!F:F),"null")</f>
        <v>null</v>
      </c>
      <c r="AB49" s="286" t="str">
        <f>+IFERROR(_xlfn.XLOOKUP(Tabla3[[#This Row],[ID LINGODA]],LINGODA!D:D,LINGODA!G:G),"null")</f>
        <v>null</v>
      </c>
    </row>
    <row r="50" spans="1:28">
      <c r="A50" s="5" t="s">
        <v>2221</v>
      </c>
      <c r="B50" s="1" t="s">
        <v>2222</v>
      </c>
      <c r="C50" s="1" t="s">
        <v>12</v>
      </c>
      <c r="D50" s="1" t="s">
        <v>2223</v>
      </c>
      <c r="E50" s="60">
        <v>1795912</v>
      </c>
      <c r="F50" s="60"/>
      <c r="G50" s="18">
        <f>(_xlfn.MINIFS(INGRESOS!A:A,INGRESOS!C:C,Tabla3[[#This Row],[CORREO]]))</f>
        <v>45807</v>
      </c>
      <c r="H50" s="3">
        <f>+SUMIFS(INGRESOS!J:J,INGRESOS!D:D,Tabla3[[#This Row],[ID STRIPE]],INGRESOS!A:A,"&gt;="&amp;DATE(YEAR(Tabla3[[#This Row],[FECHA INGRESO]]),MONTH(Tabla3[[#This Row],[FECHA INGRESO]]),1),INGRESOS!A:A,"&lt;="&amp;DATE(YEAR(Tabla3[[#This Row],[FECHA INGRESO]]),MONTH(Tabla3[[#This Row],[FECHA INGRESO]])+1,0))</f>
        <v>241.62</v>
      </c>
      <c r="I50" s="286">
        <f ca="1">DATEDIF(Tabla3[[#This Row],[FECHA INGRESO]],IF(OR(Tabla3[[#This Row],[ESTADO]]="OK",Tabla3[[#This Row],[ESTADO]]="¡REGULARIZAR!")=TRUE,TODAY(),IF(Tabla3[[#This Row],[ULTIMO PAGO]]="",TODAY(),Tabla3[[#This Row],[ULTIMO PAGO]])),"m")</f>
        <v>0</v>
      </c>
      <c r="J50" s="18">
        <f>(_xlfn.MAXIFS(INGRESOS!A:A,INGRESOS!C:C,Tabla3[[#This Row],[CORREO]]))</f>
        <v>45807</v>
      </c>
      <c r="K50" s="7">
        <f ca="1">+IFERROR(Tabla3[[#This Row],[ABONADO NETO ]]/Tabla3[[#This Row],[MESES ACT]],Tabla3[[#This Row],[ABONO 1ER MES]])</f>
        <v>241.62</v>
      </c>
      <c r="M50" s="287" t="s">
        <v>2139</v>
      </c>
      <c r="N50" s="288">
        <f>+SUMIF(INGRESOS!D:D,Tabla3[[#This Row],[ID STRIPE]],INGRESOS!J:J)</f>
        <v>241.62</v>
      </c>
      <c r="O50" s="207">
        <v>22000</v>
      </c>
      <c r="P50" s="207">
        <f>+SUMIF('CALENDARIO INGRESOS'!A:A,Tabla3[[#This Row],[ID STRIPE]],'CALENDARIO INGRESOS'!I:I)</f>
        <v>0</v>
      </c>
      <c r="Q50" s="207">
        <f>+SUMIF(INGRESOS!D:D,Tabla3[[#This Row],[ID STRIPE]],INGRESOS!G:G)</f>
        <v>250</v>
      </c>
      <c r="R50" s="3" t="str">
        <f>IF(Tabla3[[#This Row],[ESTADO]]="OK",IF(COUNTIFS('CALENDARIO INGRESOS'!$A:$A,$D50,'CALENDARIO INGRESOS'!$H:$H,"LATAM",'CALENDARIO INGRESOS'!$L:$L,"&lt;&gt;PAGADA")&gt;0,"LATAM",
 IF(COUNTIFS('CALENDARIO INGRESOS'!$A:$A,$D50,'CALENDARIO INGRESOS'!$H:$H,"VISA",'CALENDARIO INGRESOS'!$L:$L,"&lt;&gt;PAGADA")&gt;0,"VISA",
  IF(COUNTIFS('CALENDARIO INGRESOS'!$A:$A,$D50,'CALENDARIO INGRESOS'!$H:$H,"FIRMA PA",'CALENDARIO INGRESOS'!$L:$L,"&lt;&gt;PAGADA")&gt;0,"FIRMA PA",
   IF(COUNTIFS('CALENDARIO INGRESOS'!$A:$A,$D50,'CALENDARIO INGRESOS'!$H:$H,"ALEM",'CALENDARIO INGRESOS'!$L:$L,"&lt;&gt;PAGADA")&gt;0,"ALEM","LISTO")))),"-")</f>
        <v>-</v>
      </c>
      <c r="S50" s="188">
        <f>+SUMIFS('CALENDARIO INGRESOS'!I:I,'CALENDARIO INGRESOS'!A:A,Tabla3[[#This Row],[ID STRIPE]],'CALENDARIO INGRESOS'!H:H,"LATAM")</f>
        <v>0</v>
      </c>
      <c r="T50" s="188">
        <f>+IF(Tabla3[[#This Row],[MONTO LATAM]]-Tabla3[[#This Row],[IMPORTE ABONADO]]&gt;=0,Tabla3[[#This Row],[MONTO LATAM]]-Tabla3[[#This Row],[IMPORTE ABONADO]],0)</f>
        <v>0</v>
      </c>
      <c r="U50" s="188">
        <f>+SUMIFS('CALENDARIO INGRESOS'!I:I,'CALENDARIO INGRESOS'!A:A,Tabla3[[#This Row],[ID STRIPE]],'CALENDARIO INGRESOS'!H:H,"ALEM")</f>
        <v>0</v>
      </c>
      <c r="V50" s="6">
        <f>+SUMIFS('CALENDARIO INGRESOS'!I:I,'CALENDARIO INGRESOS'!A:A,Tabla3[[#This Row],[ID STRIPE]],'CALENDARIO INGRESOS'!H:H,"VISA")+SUMIFS('CALENDARIO INGRESOS'!I:I,'CALENDARIO INGRESOS'!A:A,Tabla3[[#This Row],[ID STRIPE]],'CALENDARIO INGRESOS'!H:H,"FIRMA PA")</f>
        <v>0</v>
      </c>
      <c r="W50" s="250">
        <v>0</v>
      </c>
      <c r="X50" s="60" t="str">
        <f>+IFERROR(AVERAGEIF('CALENDARIO INGRESOS'!A:A,Tabla3[[#This Row],[ID STRIPE]],'CALENDARIO INGRESOS'!M:M),"0")</f>
        <v>0</v>
      </c>
      <c r="Y50" s="18" t="s">
        <v>2093</v>
      </c>
      <c r="Z50" s="286">
        <f>+IFERROR(_xlfn.XLOOKUP(Tabla3[[#This Row],[ID LINGODA]],LINGODA!D:D,LINGODA!S:S),0)</f>
        <v>17</v>
      </c>
      <c r="AA50" s="18" t="str">
        <f>+IFERROR(_xlfn.XLOOKUP(Tabla3[[#This Row],[ID LINGODA]],LINGODA!D:D,LINGODA!F:F),"null")</f>
        <v>A1.1</v>
      </c>
      <c r="AB50" s="286" t="str">
        <f>+IFERROR(_xlfn.XLOOKUP(Tabla3[[#This Row],[ID LINGODA]],LINGODA!D:D,LINGODA!G:G),"null")</f>
        <v>A1.1</v>
      </c>
    </row>
    <row r="51" spans="1:28">
      <c r="A51" s="5" t="s">
        <v>2224</v>
      </c>
      <c r="B51" s="1" t="s">
        <v>2225</v>
      </c>
      <c r="C51" s="1" t="s">
        <v>16</v>
      </c>
      <c r="D51" s="1" t="s">
        <v>261</v>
      </c>
      <c r="E51" s="60">
        <v>1795913</v>
      </c>
      <c r="F51" s="60"/>
      <c r="G51" s="18">
        <f>(_xlfn.MINIFS(INGRESOS!A:A,INGRESOS!C:C,Tabla3[[#This Row],[CORREO]]))</f>
        <v>45807</v>
      </c>
      <c r="H51" s="3">
        <f>+SUMIFS(INGRESOS!J:J,INGRESOS!D:D,Tabla3[[#This Row],[ID STRIPE]],INGRESOS!A:A,"&gt;="&amp;DATE(YEAR(Tabla3[[#This Row],[FECHA INGRESO]]),MONTH(Tabla3[[#This Row],[FECHA INGRESO]]),1),INGRESOS!A:A,"&lt;="&amp;DATE(YEAR(Tabla3[[#This Row],[FECHA INGRESO]]),MONTH(Tabla3[[#This Row],[FECHA INGRESO]])+1,0))</f>
        <v>241.62</v>
      </c>
      <c r="I51" s="286">
        <f ca="1">DATEDIF(Tabla3[[#This Row],[FECHA INGRESO]],IF(OR(Tabla3[[#This Row],[ESTADO]]="OK",Tabla3[[#This Row],[ESTADO]]="¡REGULARIZAR!")=TRUE,TODAY(),IF(Tabla3[[#This Row],[ULTIMO PAGO]]="",TODAY(),Tabla3[[#This Row],[ULTIMO PAGO]])),"m")</f>
        <v>9</v>
      </c>
      <c r="J51" s="18">
        <f>(_xlfn.MAXIFS(INGRESOS!A:A,INGRESOS!C:C,Tabla3[[#This Row],[CORREO]]))</f>
        <v>46077</v>
      </c>
      <c r="K51" s="7">
        <f ca="1">+IFERROR(Tabla3[[#This Row],[ABONADO NETO ]]/Tabla3[[#This Row],[MESES ACT]],Tabla3[[#This Row],[ABONO 1ER MES]])</f>
        <v>1074.7488888888888</v>
      </c>
      <c r="M51" s="287" t="s">
        <v>2119</v>
      </c>
      <c r="N51" s="288">
        <f>+SUMIF(INGRESOS!D:D,Tabla3[[#This Row],[ID STRIPE]],INGRESOS!J:J)</f>
        <v>9672.74</v>
      </c>
      <c r="O51" s="6">
        <v>22000</v>
      </c>
      <c r="P51" s="6">
        <f>+SUMIF('CALENDARIO INGRESOS'!A:A,Tabla3[[#This Row],[ID STRIPE]],'CALENDARIO INGRESOS'!I:I)</f>
        <v>22000</v>
      </c>
      <c r="Q51" s="6">
        <f>+SUMIF(INGRESOS!D:D,Tabla3[[#This Row],[ID STRIPE]],INGRESOS!G:G)</f>
        <v>10000</v>
      </c>
      <c r="R51" s="3" t="str">
        <f>IF(Tabla3[[#This Row],[ESTADO]]="OK",IF(COUNTIFS('CALENDARIO INGRESOS'!$A:$A,$D51,'CALENDARIO INGRESOS'!$H:$H,"LATAM",'CALENDARIO INGRESOS'!$L:$L,"&lt;&gt;PAGADA")&gt;0,"LATAM",
 IF(COUNTIFS('CALENDARIO INGRESOS'!$A:$A,$D51,'CALENDARIO INGRESOS'!$H:$H,"VISA",'CALENDARIO INGRESOS'!$L:$L,"&lt;&gt;PAGADA")&gt;0,"VISA",
  IF(COUNTIFS('CALENDARIO INGRESOS'!$A:$A,$D51,'CALENDARIO INGRESOS'!$H:$H,"FIRMA PA",'CALENDARIO INGRESOS'!$L:$L,"&lt;&gt;PAGADA")&gt;0,"FIRMA PA",
   IF(COUNTIFS('CALENDARIO INGRESOS'!$A:$A,$D51,'CALENDARIO INGRESOS'!$H:$H,"ALEM",'CALENDARIO INGRESOS'!$L:$L,"&lt;&gt;PAGADA")&gt;0,"ALEM","LISTO")))),"-")</f>
        <v>LATAM</v>
      </c>
      <c r="S51" s="188">
        <f>+SUMIFS('CALENDARIO INGRESOS'!I:I,'CALENDARIO INGRESOS'!A:A,Tabla3[[#This Row],[ID STRIPE]],'CALENDARIO INGRESOS'!H:H,"LATAM")</f>
        <v>16000</v>
      </c>
      <c r="T51" s="188">
        <f>+IF(Tabla3[[#This Row],[MONTO LATAM]]-Tabla3[[#This Row],[IMPORTE ABONADO]]&gt;=0,Tabla3[[#This Row],[MONTO LATAM]]-Tabla3[[#This Row],[IMPORTE ABONADO]],0)</f>
        <v>6000</v>
      </c>
      <c r="U51" s="188">
        <f>+SUMIFS('CALENDARIO INGRESOS'!I:I,'CALENDARIO INGRESOS'!A:A,Tabla3[[#This Row],[ID STRIPE]],'CALENDARIO INGRESOS'!H:H,"ALEM")</f>
        <v>6000</v>
      </c>
      <c r="V51" s="6">
        <f>+SUMIFS('CALENDARIO INGRESOS'!I:I,'CALENDARIO INGRESOS'!A:A,Tabla3[[#This Row],[ID STRIPE]],'CALENDARIO INGRESOS'!H:H,"VISA")+SUMIFS('CALENDARIO INGRESOS'!I:I,'CALENDARIO INGRESOS'!A:A,Tabla3[[#This Row],[ID STRIPE]],'CALENDARIO INGRESOS'!H:H,"FIRMA PA")</f>
        <v>0</v>
      </c>
      <c r="W51" s="250">
        <v>1</v>
      </c>
      <c r="X51" s="60">
        <f>+IFERROR(AVERAGEIF('CALENDARIO INGRESOS'!A:A,Tabla3[[#This Row],[ID STRIPE]],'CALENDARIO INGRESOS'!M:M),"0")</f>
        <v>-0.88425925925952875</v>
      </c>
      <c r="Y51" s="18">
        <v>46208</v>
      </c>
      <c r="Z51" s="286">
        <f>+IFERROR(_xlfn.XLOOKUP(Tabla3[[#This Row],[ID LINGODA]],LINGODA!D:D,LINGODA!S:S),0)</f>
        <v>65</v>
      </c>
      <c r="AA51" s="18" t="str">
        <f>+IFERROR(_xlfn.XLOOKUP(Tabla3[[#This Row],[ID LINGODA]],LINGODA!D:D,LINGODA!F:F),"null")</f>
        <v>A1.1</v>
      </c>
      <c r="AB51" s="286" t="str">
        <f>+IFERROR(_xlfn.XLOOKUP(Tabla3[[#This Row],[ID LINGODA]],LINGODA!D:D,LINGODA!G:G),"null")</f>
        <v>A1.2</v>
      </c>
    </row>
    <row r="52" spans="1:28">
      <c r="A52" s="5" t="s">
        <v>2226</v>
      </c>
      <c r="B52" s="1" t="s">
        <v>2227</v>
      </c>
      <c r="C52" s="1" t="s">
        <v>14</v>
      </c>
      <c r="D52" s="1" t="s">
        <v>266</v>
      </c>
      <c r="E52" s="60">
        <v>1795911</v>
      </c>
      <c r="F52" s="60"/>
      <c r="G52" s="18">
        <f>(_xlfn.MINIFS(INGRESOS!A:A,INGRESOS!C:C,Tabla3[[#This Row],[CORREO]]))</f>
        <v>45807</v>
      </c>
      <c r="H52" s="3">
        <f>+SUMIFS(INGRESOS!J:J,INGRESOS!D:D,Tabla3[[#This Row],[ID STRIPE]],INGRESOS!A:A,"&gt;="&amp;DATE(YEAR(Tabla3[[#This Row],[FECHA INGRESO]]),MONTH(Tabla3[[#This Row],[FECHA INGRESO]]),1),INGRESOS!A:A,"&lt;="&amp;DATE(YEAR(Tabla3[[#This Row],[FECHA INGRESO]]),MONTH(Tabla3[[#This Row],[FECHA INGRESO]])+1,0))</f>
        <v>1934.75</v>
      </c>
      <c r="I52" s="286">
        <f ca="1">DATEDIF(Tabla3[[#This Row],[FECHA INGRESO]],IF(OR(Tabla3[[#This Row],[ESTADO]]="OK",Tabla3[[#This Row],[ESTADO]]="¡REGULARIZAR!")=TRUE,TODAY(),IF(Tabla3[[#This Row],[ULTIMO PAGO]]="",TODAY(),Tabla3[[#This Row],[ULTIMO PAGO]])),"m")</f>
        <v>9</v>
      </c>
      <c r="J52" s="18">
        <f>(_xlfn.MAXIFS(INGRESOS!A:A,INGRESOS!C:C,Tabla3[[#This Row],[CORREO]]))</f>
        <v>46081</v>
      </c>
      <c r="K52" s="7">
        <f ca="1">+IFERROR(Tabla3[[#This Row],[ABONADO NETO ]]/Tabla3[[#This Row],[MESES ACT]],Tabla3[[#This Row],[ABONO 1ER MES]])</f>
        <v>1289.7222222222222</v>
      </c>
      <c r="M52" s="287" t="s">
        <v>2119</v>
      </c>
      <c r="N52" s="288">
        <f>+SUMIF(INGRESOS!D:D,Tabla3[[#This Row],[ID STRIPE]],INGRESOS!J:J)</f>
        <v>11607.5</v>
      </c>
      <c r="O52" s="6">
        <v>22000</v>
      </c>
      <c r="P52" s="6">
        <f>+SUMIF('CALENDARIO INGRESOS'!A:A,Tabla3[[#This Row],[ID STRIPE]],'CALENDARIO INGRESOS'!I:I)</f>
        <v>22000</v>
      </c>
      <c r="Q52" s="6">
        <f>+SUMIF(INGRESOS!D:D,Tabla3[[#This Row],[ID STRIPE]],INGRESOS!G:G)</f>
        <v>12000</v>
      </c>
      <c r="R52" s="3" t="str">
        <f>IF(Tabla3[[#This Row],[ESTADO]]="OK",IF(COUNTIFS('CALENDARIO INGRESOS'!$A:$A,$D52,'CALENDARIO INGRESOS'!$H:$H,"LATAM",'CALENDARIO INGRESOS'!$L:$L,"&lt;&gt;PAGADA")&gt;0,"LATAM",
 IF(COUNTIFS('CALENDARIO INGRESOS'!$A:$A,$D52,'CALENDARIO INGRESOS'!$H:$H,"VISA",'CALENDARIO INGRESOS'!$L:$L,"&lt;&gt;PAGADA")&gt;0,"VISA",
  IF(COUNTIFS('CALENDARIO INGRESOS'!$A:$A,$D52,'CALENDARIO INGRESOS'!$H:$H,"FIRMA PA",'CALENDARIO INGRESOS'!$L:$L,"&lt;&gt;PAGADA")&gt;0,"FIRMA PA",
   IF(COUNTIFS('CALENDARIO INGRESOS'!$A:$A,$D52,'CALENDARIO INGRESOS'!$H:$H,"ALEM",'CALENDARIO INGRESOS'!$L:$L,"&lt;&gt;PAGADA")&gt;0,"ALEM","LISTO")))),"-")</f>
        <v>LATAM</v>
      </c>
      <c r="S52" s="188">
        <f>+SUMIFS('CALENDARIO INGRESOS'!I:I,'CALENDARIO INGRESOS'!A:A,Tabla3[[#This Row],[ID STRIPE]],'CALENDARIO INGRESOS'!H:H,"LATAM")</f>
        <v>16000</v>
      </c>
      <c r="T52" s="188">
        <f>+IF(Tabla3[[#This Row],[MONTO LATAM]]-Tabla3[[#This Row],[IMPORTE ABONADO]]&gt;=0,Tabla3[[#This Row],[MONTO LATAM]]-Tabla3[[#This Row],[IMPORTE ABONADO]],0)</f>
        <v>4000</v>
      </c>
      <c r="U52" s="188">
        <f>+SUMIFS('CALENDARIO INGRESOS'!I:I,'CALENDARIO INGRESOS'!A:A,Tabla3[[#This Row],[ID STRIPE]],'CALENDARIO INGRESOS'!H:H,"ALEM")</f>
        <v>6000</v>
      </c>
      <c r="V52" s="6">
        <f>+SUMIFS('CALENDARIO INGRESOS'!I:I,'CALENDARIO INGRESOS'!A:A,Tabla3[[#This Row],[ID STRIPE]],'CALENDARIO INGRESOS'!H:H,"VISA")+SUMIFS('CALENDARIO INGRESOS'!I:I,'CALENDARIO INGRESOS'!A:A,Tabla3[[#This Row],[ID STRIPE]],'CALENDARIO INGRESOS'!H:H,"FIRMA PA")</f>
        <v>0</v>
      </c>
      <c r="W52" s="250">
        <v>0</v>
      </c>
      <c r="X52" s="60">
        <f>+IFERROR(AVERAGEIF('CALENDARIO INGRESOS'!A:A,Tabla3[[#This Row],[ID STRIPE]],'CALENDARIO INGRESOS'!M:M),"0")</f>
        <v>0.2</v>
      </c>
      <c r="Y52" s="18">
        <v>46341</v>
      </c>
      <c r="Z52" s="286">
        <f>+IFERROR(_xlfn.XLOOKUP(Tabla3[[#This Row],[ID LINGODA]],LINGODA!D:D,LINGODA!S:S),0)</f>
        <v>94</v>
      </c>
      <c r="AA52" s="18" t="str">
        <f>+IFERROR(_xlfn.XLOOKUP(Tabla3[[#This Row],[ID LINGODA]],LINGODA!D:D,LINGODA!F:F),"null")</f>
        <v>A1.1</v>
      </c>
      <c r="AB52" s="286" t="str">
        <f>+IFERROR(_xlfn.XLOOKUP(Tabla3[[#This Row],[ID LINGODA]],LINGODA!D:D,LINGODA!G:G),"null")</f>
        <v>A1.2</v>
      </c>
    </row>
    <row r="53" spans="1:28">
      <c r="A53" s="5" t="s">
        <v>2228</v>
      </c>
      <c r="B53" s="1" t="s">
        <v>2229</v>
      </c>
      <c r="C53" s="1" t="s">
        <v>14</v>
      </c>
      <c r="D53" s="1" t="s">
        <v>271</v>
      </c>
      <c r="E53" s="60">
        <v>1792195</v>
      </c>
      <c r="F53" s="60"/>
      <c r="G53" s="18">
        <f>(_xlfn.MINIFS(INGRESOS!A:A,INGRESOS!C:C,Tabla3[[#This Row],[CORREO]]))</f>
        <v>45807</v>
      </c>
      <c r="H53" s="3">
        <f>+SUMIFS(INGRESOS!J:J,INGRESOS!D:D,Tabla3[[#This Row],[ID STRIPE]],INGRESOS!A:A,"&gt;="&amp;DATE(YEAR(Tabla3[[#This Row],[FECHA INGRESO]]),MONTH(Tabla3[[#This Row],[FECHA INGRESO]]),1),INGRESOS!A:A,"&lt;="&amp;DATE(YEAR(Tabla3[[#This Row],[FECHA INGRESO]]),MONTH(Tabla3[[#This Row],[FECHA INGRESO]])+1,0))</f>
        <v>5000</v>
      </c>
      <c r="I53" s="286">
        <f ca="1">DATEDIF(Tabla3[[#This Row],[FECHA INGRESO]],IF(OR(Tabla3[[#This Row],[ESTADO]]="OK",Tabla3[[#This Row],[ESTADO]]="¡REGULARIZAR!")=TRUE,TODAY(),IF(Tabla3[[#This Row],[ULTIMO PAGO]]="",TODAY(),Tabla3[[#This Row],[ULTIMO PAGO]])),"m")</f>
        <v>9</v>
      </c>
      <c r="J53" s="18">
        <f>(_xlfn.MAXIFS(INGRESOS!A:A,INGRESOS!C:C,Tabla3[[#This Row],[CORREO]]))</f>
        <v>45867</v>
      </c>
      <c r="K53" s="7">
        <f ca="1">+IFERROR(Tabla3[[#This Row],[ABONADO NETO ]]/Tabla3[[#This Row],[MESES ACT]],Tabla3[[#This Row],[ABONO 1ER MES]])</f>
        <v>2000</v>
      </c>
      <c r="M53" s="287" t="s">
        <v>2119</v>
      </c>
      <c r="N53" s="288">
        <f>+SUMIF(INGRESOS!D:D,Tabla3[[#This Row],[ID STRIPE]],INGRESOS!J:J)</f>
        <v>18000</v>
      </c>
      <c r="O53" s="6">
        <v>18000</v>
      </c>
      <c r="P53" s="6">
        <f>+SUMIF('CALENDARIO INGRESOS'!A:A,Tabla3[[#This Row],[ID STRIPE]],'CALENDARIO INGRESOS'!I:I)</f>
        <v>18000</v>
      </c>
      <c r="Q53" s="6">
        <f>+SUMIF(INGRESOS!D:D,Tabla3[[#This Row],[ID STRIPE]],INGRESOS!G:G)</f>
        <v>18000</v>
      </c>
      <c r="R53" s="3" t="str">
        <f>IF(Tabla3[[#This Row],[ESTADO]]="OK",IF(COUNTIFS('CALENDARIO INGRESOS'!$A:$A,$D53,'CALENDARIO INGRESOS'!$H:$H,"LATAM",'CALENDARIO INGRESOS'!$L:$L,"&lt;&gt;PAGADA")&gt;0,"LATAM",
 IF(COUNTIFS('CALENDARIO INGRESOS'!$A:$A,$D53,'CALENDARIO INGRESOS'!$H:$H,"VISA",'CALENDARIO INGRESOS'!$L:$L,"&lt;&gt;PAGADA")&gt;0,"VISA",
  IF(COUNTIFS('CALENDARIO INGRESOS'!$A:$A,$D53,'CALENDARIO INGRESOS'!$H:$H,"FIRMA PA",'CALENDARIO INGRESOS'!$L:$L,"&lt;&gt;PAGADA")&gt;0,"FIRMA PA",
   IF(COUNTIFS('CALENDARIO INGRESOS'!$A:$A,$D53,'CALENDARIO INGRESOS'!$H:$H,"ALEM",'CALENDARIO INGRESOS'!$L:$L,"&lt;&gt;PAGADA")&gt;0,"ALEM","LISTO")))),"-")</f>
        <v>LISTO</v>
      </c>
      <c r="S53" s="188">
        <f>+SUMIFS('CALENDARIO INGRESOS'!I:I,'CALENDARIO INGRESOS'!A:A,Tabla3[[#This Row],[ID STRIPE]],'CALENDARIO INGRESOS'!H:H,"LATAM")</f>
        <v>18000</v>
      </c>
      <c r="T53" s="188">
        <f>+IF(Tabla3[[#This Row],[MONTO LATAM]]-Tabla3[[#This Row],[IMPORTE ABONADO]]&gt;=0,Tabla3[[#This Row],[MONTO LATAM]]-Tabla3[[#This Row],[IMPORTE ABONADO]],0)</f>
        <v>0</v>
      </c>
      <c r="U53" s="188">
        <f>+SUMIFS('CALENDARIO INGRESOS'!I:I,'CALENDARIO INGRESOS'!A:A,Tabla3[[#This Row],[ID STRIPE]],'CALENDARIO INGRESOS'!H:H,"ALEM")</f>
        <v>0</v>
      </c>
      <c r="V53" s="6">
        <f>+SUMIFS('CALENDARIO INGRESOS'!I:I,'CALENDARIO INGRESOS'!A:A,Tabla3[[#This Row],[ID STRIPE]],'CALENDARIO INGRESOS'!H:H,"VISA")+SUMIFS('CALENDARIO INGRESOS'!I:I,'CALENDARIO INGRESOS'!A:A,Tabla3[[#This Row],[ID STRIPE]],'CALENDARIO INGRESOS'!H:H,"FIRMA PA")</f>
        <v>0</v>
      </c>
      <c r="W53" s="252">
        <v>0</v>
      </c>
      <c r="X53" s="60">
        <f>+IFERROR(AVERAGEIF('CALENDARIO INGRESOS'!A:A,Tabla3[[#This Row],[ID STRIPE]],'CALENDARIO INGRESOS'!M:M),"0")</f>
        <v>0.5</v>
      </c>
      <c r="Y53" s="18" t="s">
        <v>2093</v>
      </c>
      <c r="Z53" s="286">
        <f>+IFERROR(_xlfn.XLOOKUP(Tabla3[[#This Row],[ID LINGODA]],LINGODA!D:D,LINGODA!S:S),0)</f>
        <v>67</v>
      </c>
      <c r="AA53" s="18" t="str">
        <f>+IFERROR(_xlfn.XLOOKUP(Tabla3[[#This Row],[ID LINGODA]],LINGODA!D:D,LINGODA!F:F),"null")</f>
        <v>B1.1</v>
      </c>
      <c r="AB53" s="286" t="str">
        <f>+IFERROR(_xlfn.XLOOKUP(Tabla3[[#This Row],[ID LINGODA]],LINGODA!D:D,LINGODA!G:G),"null")</f>
        <v>C1.2</v>
      </c>
    </row>
    <row r="54" spans="1:28">
      <c r="A54" s="5" t="s">
        <v>2230</v>
      </c>
      <c r="B54" s="1" t="s">
        <v>2231</v>
      </c>
      <c r="C54" s="1" t="s">
        <v>11</v>
      </c>
      <c r="D54" s="1" t="s">
        <v>275</v>
      </c>
      <c r="E54" s="60">
        <v>0</v>
      </c>
      <c r="F54" s="60"/>
      <c r="G54" s="18">
        <f>(_xlfn.MINIFS(INGRESOS!A:A,INGRESOS!C:C,Tabla3[[#This Row],[CORREO]]))</f>
        <v>45810</v>
      </c>
      <c r="H54" s="3">
        <f>+SUMIFS(INGRESOS!J:J,INGRESOS!D:D,Tabla3[[#This Row],[ID STRIPE]],INGRESOS!A:A,"&gt;="&amp;DATE(YEAR(Tabla3[[#This Row],[FECHA INGRESO]]),MONTH(Tabla3[[#This Row],[FECHA INGRESO]]),1),INGRESOS!A:A,"&lt;="&amp;DATE(YEAR(Tabla3[[#This Row],[FECHA INGRESO]]),MONTH(Tabla3[[#This Row],[FECHA INGRESO]])+1,0))</f>
        <v>1057.4000000000001</v>
      </c>
      <c r="I54" s="286">
        <f ca="1">DATEDIF(Tabla3[[#This Row],[FECHA INGRESO]],IF(OR(Tabla3[[#This Row],[ESTADO]]="OK",Tabla3[[#This Row],[ESTADO]]="¡REGULARIZAR!")=TRUE,TODAY(),IF(Tabla3[[#This Row],[ULTIMO PAGO]]="",TODAY(),Tabla3[[#This Row],[ULTIMO PAGO]])),"m")</f>
        <v>9</v>
      </c>
      <c r="J54" s="18">
        <f>(_xlfn.MAXIFS(INGRESOS!A:A,INGRESOS!C:C,Tabla3[[#This Row],[CORREO]]))</f>
        <v>46063</v>
      </c>
      <c r="K54" s="7">
        <f ca="1">+IFERROR(Tabla3[[#This Row],[ABONADO NETO ]]/Tabla3[[#This Row],[MESES ACT]],Tabla3[[#This Row],[ABONO 1ER MES]])</f>
        <v>1068.6377777777777</v>
      </c>
      <c r="M54" s="287" t="s">
        <v>2119</v>
      </c>
      <c r="N54" s="288">
        <f>+SUMIF(INGRESOS!D:D,Tabla3[[#This Row],[ID STRIPE]],INGRESOS!J:J)</f>
        <v>9617.74</v>
      </c>
      <c r="O54" s="6">
        <v>17500</v>
      </c>
      <c r="P54" s="6">
        <f>+SUMIF('CALENDARIO INGRESOS'!A:A,Tabla3[[#This Row],[ID STRIPE]],'CALENDARIO INGRESOS'!I:I)</f>
        <v>17461.5</v>
      </c>
      <c r="Q54" s="6">
        <f>+SUMIF(INGRESOS!D:D,Tabla3[[#This Row],[ID STRIPE]],INGRESOS!G:G)</f>
        <v>9943.18</v>
      </c>
      <c r="R54" s="3" t="str">
        <f>IF(Tabla3[[#This Row],[ESTADO]]="OK",IF(COUNTIFS('CALENDARIO INGRESOS'!$A:$A,$D54,'CALENDARIO INGRESOS'!$H:$H,"LATAM",'CALENDARIO INGRESOS'!$L:$L,"&lt;&gt;PAGADA")&gt;0,"LATAM",
 IF(COUNTIFS('CALENDARIO INGRESOS'!$A:$A,$D54,'CALENDARIO INGRESOS'!$H:$H,"VISA",'CALENDARIO INGRESOS'!$L:$L,"&lt;&gt;PAGADA")&gt;0,"VISA",
  IF(COUNTIFS('CALENDARIO INGRESOS'!$A:$A,$D54,'CALENDARIO INGRESOS'!$H:$H,"FIRMA PA",'CALENDARIO INGRESOS'!$L:$L,"&lt;&gt;PAGADA")&gt;0,"FIRMA PA",
   IF(COUNTIFS('CALENDARIO INGRESOS'!$A:$A,$D54,'CALENDARIO INGRESOS'!$H:$H,"ALEM",'CALENDARIO INGRESOS'!$L:$L,"&lt;&gt;PAGADA")&gt;0,"ALEM","LISTO")))),"-")</f>
        <v>ALEM</v>
      </c>
      <c r="S54" s="188">
        <f>+SUMIFS('CALENDARIO INGRESOS'!I:I,'CALENDARIO INGRESOS'!A:A,Tabla3[[#This Row],[ID STRIPE]],'CALENDARIO INGRESOS'!H:H,"LATAM")</f>
        <v>9961.5</v>
      </c>
      <c r="T54" s="188">
        <f>+IF(Tabla3[[#This Row],[MONTO LATAM]]-Tabla3[[#This Row],[IMPORTE ABONADO]]&gt;=0,Tabla3[[#This Row],[MONTO LATAM]]-Tabla3[[#This Row],[IMPORTE ABONADO]],0)</f>
        <v>18.319999999999709</v>
      </c>
      <c r="U54" s="188">
        <f>+SUMIFS('CALENDARIO INGRESOS'!I:I,'CALENDARIO INGRESOS'!A:A,Tabla3[[#This Row],[ID STRIPE]],'CALENDARIO INGRESOS'!H:H,"ALEM")</f>
        <v>7500</v>
      </c>
      <c r="V54" s="6">
        <f>+SUMIFS('CALENDARIO INGRESOS'!I:I,'CALENDARIO INGRESOS'!A:A,Tabla3[[#This Row],[ID STRIPE]],'CALENDARIO INGRESOS'!H:H,"VISA")+SUMIFS('CALENDARIO INGRESOS'!I:I,'CALENDARIO INGRESOS'!A:A,Tabla3[[#This Row],[ID STRIPE]],'CALENDARIO INGRESOS'!H:H,"FIRMA PA")</f>
        <v>0</v>
      </c>
      <c r="W54" s="250">
        <v>1</v>
      </c>
      <c r="X54" s="60">
        <f>+IFERROR(AVERAGEIF('CALENDARIO INGRESOS'!A:A,Tabla3[[#This Row],[ID STRIPE]],'CALENDARIO INGRESOS'!M:M),"0")</f>
        <v>0.33333333333333331</v>
      </c>
      <c r="Y54" s="18">
        <v>46082</v>
      </c>
      <c r="Z54" s="286">
        <f>+IFERROR(_xlfn.XLOOKUP(Tabla3[[#This Row],[ID LINGODA]],LINGODA!D:D,LINGODA!S:S),0)</f>
        <v>0</v>
      </c>
      <c r="AA54" s="18" t="str">
        <f>+IFERROR(_xlfn.XLOOKUP(Tabla3[[#This Row],[ID LINGODA]],LINGODA!D:D,LINGODA!F:F),"null")</f>
        <v>null</v>
      </c>
      <c r="AB54" s="286" t="str">
        <f>+IFERROR(_xlfn.XLOOKUP(Tabla3[[#This Row],[ID LINGODA]],LINGODA!D:D,LINGODA!G:G),"null")</f>
        <v>null</v>
      </c>
    </row>
    <row r="55" spans="1:28">
      <c r="A55" s="5" t="s">
        <v>2232</v>
      </c>
      <c r="B55" s="1" t="s">
        <v>2233</v>
      </c>
      <c r="C55" s="1" t="s">
        <v>11</v>
      </c>
      <c r="D55" s="1" t="s">
        <v>274</v>
      </c>
      <c r="E55" s="60">
        <v>1795918</v>
      </c>
      <c r="F55" s="60"/>
      <c r="G55" s="18">
        <f>(_xlfn.MINIFS(INGRESOS!A:A,INGRESOS!C:C,Tabla3[[#This Row],[CORREO]]))</f>
        <v>45810</v>
      </c>
      <c r="H55" s="3">
        <f>+SUMIFS(INGRESOS!J:J,INGRESOS!D:D,Tabla3[[#This Row],[ID STRIPE]],INGRESOS!A:A,"&gt;="&amp;DATE(YEAR(Tabla3[[#This Row],[FECHA INGRESO]]),MONTH(Tabla3[[#This Row],[FECHA INGRESO]]),1),INGRESOS!A:A,"&lt;="&amp;DATE(YEAR(Tabla3[[#This Row],[FECHA INGRESO]]),MONTH(Tabla3[[#This Row],[FECHA INGRESO]])+1,0))</f>
        <v>1480.48</v>
      </c>
      <c r="I55" s="286">
        <f ca="1">DATEDIF(Tabla3[[#This Row],[FECHA INGRESO]],IF(OR(Tabla3[[#This Row],[ESTADO]]="OK",Tabla3[[#This Row],[ESTADO]]="¡REGULARIZAR!")=TRUE,TODAY(),IF(Tabla3[[#This Row],[ULTIMO PAGO]]="",TODAY(),Tabla3[[#This Row],[ULTIMO PAGO]])),"m")</f>
        <v>9</v>
      </c>
      <c r="J55" s="18">
        <f>(_xlfn.MAXIFS(INGRESOS!A:A,INGRESOS!C:C,Tabla3[[#This Row],[CORREO]]))</f>
        <v>46062</v>
      </c>
      <c r="K55" s="7">
        <f ca="1">+IFERROR(Tabla3[[#This Row],[ABONADO NETO ]]/Tabla3[[#This Row],[MESES ACT]],Tabla3[[#This Row],[ABONO 1ER MES]])</f>
        <v>1450.2444444444443</v>
      </c>
      <c r="M55" s="287" t="s">
        <v>2119</v>
      </c>
      <c r="N55" s="288">
        <f>+SUMIF(INGRESOS!D:D,Tabla3[[#This Row],[ID STRIPE]],INGRESOS!J:J)</f>
        <v>13052.199999999999</v>
      </c>
      <c r="O55" s="6">
        <v>20500</v>
      </c>
      <c r="P55" s="6">
        <f>+SUMIF('CALENDARIO INGRESOS'!A:A,Tabla3[[#This Row],[ID STRIPE]],'CALENDARIO INGRESOS'!I:I)</f>
        <v>20436.97</v>
      </c>
      <c r="Q55" s="6">
        <f>+SUMIF(INGRESOS!D:D,Tabla3[[#This Row],[ID STRIPE]],INGRESOS!G:G)</f>
        <v>13492.970000000001</v>
      </c>
      <c r="R55" s="3" t="str">
        <f>IF(Tabla3[[#This Row],[ESTADO]]="OK",IF(COUNTIFS('CALENDARIO INGRESOS'!$A:$A,$D55,'CALENDARIO INGRESOS'!$H:$H,"LATAM",'CALENDARIO INGRESOS'!$L:$L,"&lt;&gt;PAGADA")&gt;0,"LATAM",
 IF(COUNTIFS('CALENDARIO INGRESOS'!$A:$A,$D55,'CALENDARIO INGRESOS'!$H:$H,"VISA",'CALENDARIO INGRESOS'!$L:$L,"&lt;&gt;PAGADA")&gt;0,"VISA",
  IF(COUNTIFS('CALENDARIO INGRESOS'!$A:$A,$D55,'CALENDARIO INGRESOS'!$H:$H,"FIRMA PA",'CALENDARIO INGRESOS'!$L:$L,"&lt;&gt;PAGADA")&gt;0,"FIRMA PA",
   IF(COUNTIFS('CALENDARIO INGRESOS'!$A:$A,$D55,'CALENDARIO INGRESOS'!$H:$H,"ALEM",'CALENDARIO INGRESOS'!$L:$L,"&lt;&gt;PAGADA")&gt;0,"ALEM","LISTO")))),"-")</f>
        <v>ALEM</v>
      </c>
      <c r="S55" s="188">
        <f>+SUMIFS('CALENDARIO INGRESOS'!I:I,'CALENDARIO INGRESOS'!A:A,Tabla3[[#This Row],[ID STRIPE]],'CALENDARIO INGRESOS'!H:H,"LATAM")</f>
        <v>13492.970000000001</v>
      </c>
      <c r="T55" s="188">
        <f>+IF(Tabla3[[#This Row],[MONTO LATAM]]-Tabla3[[#This Row],[IMPORTE ABONADO]]&gt;=0,Tabla3[[#This Row],[MONTO LATAM]]-Tabla3[[#This Row],[IMPORTE ABONADO]],0)</f>
        <v>0</v>
      </c>
      <c r="U55" s="188">
        <f>+SUMIFS('CALENDARIO INGRESOS'!I:I,'CALENDARIO INGRESOS'!A:A,Tabla3[[#This Row],[ID STRIPE]],'CALENDARIO INGRESOS'!H:H,"ALEM")</f>
        <v>6944</v>
      </c>
      <c r="V55" s="6">
        <f>+SUMIFS('CALENDARIO INGRESOS'!I:I,'CALENDARIO INGRESOS'!A:A,Tabla3[[#This Row],[ID STRIPE]],'CALENDARIO INGRESOS'!H:H,"VISA")+SUMIFS('CALENDARIO INGRESOS'!I:I,'CALENDARIO INGRESOS'!A:A,Tabla3[[#This Row],[ID STRIPE]],'CALENDARIO INGRESOS'!H:H,"FIRMA PA")</f>
        <v>0</v>
      </c>
      <c r="W55" s="250">
        <v>1</v>
      </c>
      <c r="X55" s="60">
        <f>+IFERROR(AVERAGEIF('CALENDARIO INGRESOS'!A:A,Tabla3[[#This Row],[ID STRIPE]],'CALENDARIO INGRESOS'!M:M),"0")</f>
        <v>0.22222222222222221</v>
      </c>
      <c r="Y55" s="18">
        <v>46082</v>
      </c>
      <c r="Z55" s="286">
        <f>+IFERROR(_xlfn.XLOOKUP(Tabla3[[#This Row],[ID LINGODA]],LINGODA!D:D,LINGODA!S:S),0)</f>
        <v>329</v>
      </c>
      <c r="AA55" s="18" t="str">
        <f>+IFERROR(_xlfn.XLOOKUP(Tabla3[[#This Row],[ID LINGODA]],LINGODA!D:D,LINGODA!F:F),"null")</f>
        <v>A1.1</v>
      </c>
      <c r="AB55" s="286" t="str">
        <f>+IFERROR(_xlfn.XLOOKUP(Tabla3[[#This Row],[ID LINGODA]],LINGODA!D:D,LINGODA!G:G),"null")</f>
        <v>B1.3</v>
      </c>
    </row>
    <row r="56" spans="1:28">
      <c r="A56" s="5" t="s">
        <v>2234</v>
      </c>
      <c r="B56" s="1" t="s">
        <v>2235</v>
      </c>
      <c r="C56" s="1" t="s">
        <v>16</v>
      </c>
      <c r="D56" s="1" t="s">
        <v>281</v>
      </c>
      <c r="E56" s="60">
        <v>1798174</v>
      </c>
      <c r="F56" s="60"/>
      <c r="G56" s="18">
        <f>(_xlfn.MINIFS(INGRESOS!A:A,INGRESOS!C:C,Tabla3[[#This Row],[CORREO]]))</f>
        <v>45812</v>
      </c>
      <c r="H56" s="3">
        <f>+SUMIFS(INGRESOS!J:J,INGRESOS!D:D,Tabla3[[#This Row],[ID STRIPE]],INGRESOS!A:A,"&gt;="&amp;DATE(YEAR(Tabla3[[#This Row],[FECHA INGRESO]]),MONTH(Tabla3[[#This Row],[FECHA INGRESO]]),1),INGRESOS!A:A,"&lt;="&amp;DATE(YEAR(Tabla3[[#This Row],[FECHA INGRESO]]),MONTH(Tabla3[[#This Row],[FECHA INGRESO]])+1,0))</f>
        <v>1495</v>
      </c>
      <c r="I56" s="286">
        <f ca="1">DATEDIF(Tabla3[[#This Row],[FECHA INGRESO]],IF(OR(Tabla3[[#This Row],[ESTADO]]="OK",Tabla3[[#This Row],[ESTADO]]="¡REGULARIZAR!")=TRUE,TODAY(),IF(Tabla3[[#This Row],[ULTIMO PAGO]]="",TODAY(),Tabla3[[#This Row],[ULTIMO PAGO]])),"m")</f>
        <v>9</v>
      </c>
      <c r="J56" s="18">
        <f>(_xlfn.MAXIFS(INGRESOS!A:A,INGRESOS!C:C,Tabla3[[#This Row],[CORREO]]))</f>
        <v>46085</v>
      </c>
      <c r="K56" s="7">
        <f ca="1">+IFERROR(Tabla3[[#This Row],[ABONADO NETO ]]/Tabla3[[#This Row],[MESES ACT]],Tabla3[[#This Row],[ABONO 1ER MES]])</f>
        <v>472.37333333333328</v>
      </c>
      <c r="M56" s="287" t="s">
        <v>2119</v>
      </c>
      <c r="N56" s="288">
        <f>+SUMIF(INGRESOS!D:D,Tabla3[[#This Row],[ID STRIPE]],INGRESOS!J:J)</f>
        <v>4251.3599999999997</v>
      </c>
      <c r="O56" s="6">
        <v>22000</v>
      </c>
      <c r="P56" s="6">
        <f>+SUMIF('CALENDARIO INGRESOS'!A:A,Tabla3[[#This Row],[ID STRIPE]],'CALENDARIO INGRESOS'!I:I)</f>
        <v>22000</v>
      </c>
      <c r="Q56" s="6">
        <f>+SUMIF(INGRESOS!D:D,Tabla3[[#This Row],[ID STRIPE]],INGRESOS!G:G)</f>
        <v>4300</v>
      </c>
      <c r="R56" s="3" t="str">
        <f>IF(Tabla3[[#This Row],[ESTADO]]="OK",IF(COUNTIFS('CALENDARIO INGRESOS'!$A:$A,$D56,'CALENDARIO INGRESOS'!$H:$H,"LATAM",'CALENDARIO INGRESOS'!$L:$L,"&lt;&gt;PAGADA")&gt;0,"LATAM",
 IF(COUNTIFS('CALENDARIO INGRESOS'!$A:$A,$D56,'CALENDARIO INGRESOS'!$H:$H,"VISA",'CALENDARIO INGRESOS'!$L:$L,"&lt;&gt;PAGADA")&gt;0,"VISA",
  IF(COUNTIFS('CALENDARIO INGRESOS'!$A:$A,$D56,'CALENDARIO INGRESOS'!$H:$H,"FIRMA PA",'CALENDARIO INGRESOS'!$L:$L,"&lt;&gt;PAGADA")&gt;0,"FIRMA PA",
   IF(COUNTIFS('CALENDARIO INGRESOS'!$A:$A,$D56,'CALENDARIO INGRESOS'!$H:$H,"ALEM",'CALENDARIO INGRESOS'!$L:$L,"&lt;&gt;PAGADA")&gt;0,"ALEM","LISTO")))),"-")</f>
        <v>LATAM</v>
      </c>
      <c r="S56" s="188">
        <f>+SUMIFS('CALENDARIO INGRESOS'!I:I,'CALENDARIO INGRESOS'!A:A,Tabla3[[#This Row],[ID STRIPE]],'CALENDARIO INGRESOS'!H:H,"LATAM")</f>
        <v>16000</v>
      </c>
      <c r="T56" s="188">
        <f>+IF(Tabla3[[#This Row],[MONTO LATAM]]-Tabla3[[#This Row],[IMPORTE ABONADO]]&gt;=0,Tabla3[[#This Row],[MONTO LATAM]]-Tabla3[[#This Row],[IMPORTE ABONADO]],0)</f>
        <v>11700</v>
      </c>
      <c r="U56" s="188">
        <f>+SUMIFS('CALENDARIO INGRESOS'!I:I,'CALENDARIO INGRESOS'!A:A,Tabla3[[#This Row],[ID STRIPE]],'CALENDARIO INGRESOS'!H:H,"ALEM")</f>
        <v>6000</v>
      </c>
      <c r="V56" s="6">
        <f>+SUMIFS('CALENDARIO INGRESOS'!I:I,'CALENDARIO INGRESOS'!A:A,Tabla3[[#This Row],[ID STRIPE]],'CALENDARIO INGRESOS'!H:H,"VISA")+SUMIFS('CALENDARIO INGRESOS'!I:I,'CALENDARIO INGRESOS'!A:A,Tabla3[[#This Row],[ID STRIPE]],'CALENDARIO INGRESOS'!H:H,"FIRMA PA")</f>
        <v>0</v>
      </c>
      <c r="W56" s="250">
        <v>1</v>
      </c>
      <c r="X56" s="60">
        <f>+IFERROR(AVERAGEIF('CALENDARIO INGRESOS'!A:A,Tabla3[[#This Row],[ID STRIPE]],'CALENDARIO INGRESOS'!M:M),"0")</f>
        <v>0.88888888888888884</v>
      </c>
      <c r="Y56" s="18">
        <v>46143</v>
      </c>
      <c r="Z56" s="286">
        <f>+IFERROR(_xlfn.XLOOKUP(Tabla3[[#This Row],[ID LINGODA]],LINGODA!D:D,LINGODA!S:S),0)</f>
        <v>189</v>
      </c>
      <c r="AA56" s="18" t="str">
        <f>+IFERROR(_xlfn.XLOOKUP(Tabla3[[#This Row],[ID LINGODA]],LINGODA!D:D,LINGODA!F:F),"null")</f>
        <v>A1.1</v>
      </c>
      <c r="AB56" s="286" t="str">
        <f>+IFERROR(_xlfn.XLOOKUP(Tabla3[[#This Row],[ID LINGODA]],LINGODA!D:D,LINGODA!G:G),"null")</f>
        <v>A2.2</v>
      </c>
    </row>
    <row r="57" spans="1:28">
      <c r="A57" s="5" t="s">
        <v>2236</v>
      </c>
      <c r="B57" s="1" t="s">
        <v>2237</v>
      </c>
      <c r="C57" s="1" t="s">
        <v>10</v>
      </c>
      <c r="D57" s="1" t="s">
        <v>278</v>
      </c>
      <c r="E57" s="60">
        <v>1796500</v>
      </c>
      <c r="F57" s="60"/>
      <c r="G57" s="18">
        <f>(_xlfn.MINIFS(INGRESOS!A:A,INGRESOS!C:C,Tabla3[[#This Row],[CORREO]]))</f>
        <v>45812</v>
      </c>
      <c r="H57" s="3">
        <f>+SUMIFS(INGRESOS!J:J,INGRESOS!D:D,Tabla3[[#This Row],[ID STRIPE]],INGRESOS!A:A,"&gt;="&amp;DATE(YEAR(Tabla3[[#This Row],[FECHA INGRESO]]),MONTH(Tabla3[[#This Row],[FECHA INGRESO]]),1),INGRESOS!A:A,"&lt;="&amp;DATE(YEAR(Tabla3[[#This Row],[FECHA INGRESO]]),MONTH(Tabla3[[#This Row],[FECHA INGRESO]])+1,0))</f>
        <v>3869</v>
      </c>
      <c r="I57" s="286">
        <f ca="1">DATEDIF(Tabla3[[#This Row],[FECHA INGRESO]],IF(OR(Tabla3[[#This Row],[ESTADO]]="OK",Tabla3[[#This Row],[ESTADO]]="¡REGULARIZAR!")=TRUE,TODAY(),IF(Tabla3[[#This Row],[ULTIMO PAGO]]="",TODAY(),Tabla3[[#This Row],[ULTIMO PAGO]])),"m")</f>
        <v>5</v>
      </c>
      <c r="J57" s="18">
        <f>(_xlfn.MAXIFS(INGRESOS!A:A,INGRESOS!C:C,Tabla3[[#This Row],[CORREO]]))</f>
        <v>45975</v>
      </c>
      <c r="K57" s="7">
        <f ca="1">+IFERROR(Tabla3[[#This Row],[ABONADO NETO ]]/Tabla3[[#This Row],[MESES ACT]],Tabla3[[#This Row],[ABONO 1ER MES]])</f>
        <v>1257.3</v>
      </c>
      <c r="M57" s="287" t="s">
        <v>2139</v>
      </c>
      <c r="N57" s="288">
        <f>+SUMIF(INGRESOS!D:D,Tabla3[[#This Row],[ID STRIPE]],INGRESOS!J:J)</f>
        <v>6286.5</v>
      </c>
      <c r="O57" s="6">
        <v>22000</v>
      </c>
      <c r="P57" s="6">
        <f>+SUMIF('CALENDARIO INGRESOS'!A:A,Tabla3[[#This Row],[ID STRIPE]],'CALENDARIO INGRESOS'!I:I)</f>
        <v>6500</v>
      </c>
      <c r="Q57" s="6">
        <f>+SUMIF(INGRESOS!D:D,Tabla3[[#This Row],[ID STRIPE]],INGRESOS!G:G)</f>
        <v>6500</v>
      </c>
      <c r="R57" s="3" t="str">
        <f>IF(Tabla3[[#This Row],[ESTADO]]="OK",IF(COUNTIFS('CALENDARIO INGRESOS'!$A:$A,$D57,'CALENDARIO INGRESOS'!$H:$H,"LATAM",'CALENDARIO INGRESOS'!$L:$L,"&lt;&gt;PAGADA")&gt;0,"LATAM",
 IF(COUNTIFS('CALENDARIO INGRESOS'!$A:$A,$D57,'CALENDARIO INGRESOS'!$H:$H,"VISA",'CALENDARIO INGRESOS'!$L:$L,"&lt;&gt;PAGADA")&gt;0,"VISA",
  IF(COUNTIFS('CALENDARIO INGRESOS'!$A:$A,$D57,'CALENDARIO INGRESOS'!$H:$H,"FIRMA PA",'CALENDARIO INGRESOS'!$L:$L,"&lt;&gt;PAGADA")&gt;0,"FIRMA PA",
   IF(COUNTIFS('CALENDARIO INGRESOS'!$A:$A,$D57,'CALENDARIO INGRESOS'!$H:$H,"ALEM",'CALENDARIO INGRESOS'!$L:$L,"&lt;&gt;PAGADA")&gt;0,"ALEM","LISTO")))),"-")</f>
        <v>-</v>
      </c>
      <c r="S57" s="188">
        <f>+SUMIFS('CALENDARIO INGRESOS'!I:I,'CALENDARIO INGRESOS'!A:A,Tabla3[[#This Row],[ID STRIPE]],'CALENDARIO INGRESOS'!H:H,"LATAM")</f>
        <v>6500</v>
      </c>
      <c r="T57" s="188">
        <f>+IF(Tabla3[[#This Row],[MONTO LATAM]]-Tabla3[[#This Row],[IMPORTE ABONADO]]&gt;=0,Tabla3[[#This Row],[MONTO LATAM]]-Tabla3[[#This Row],[IMPORTE ABONADO]],0)</f>
        <v>0</v>
      </c>
      <c r="U57" s="188">
        <f>+SUMIFS('CALENDARIO INGRESOS'!I:I,'CALENDARIO INGRESOS'!A:A,Tabla3[[#This Row],[ID STRIPE]],'CALENDARIO INGRESOS'!H:H,"ALEM")</f>
        <v>0</v>
      </c>
      <c r="V57" s="6">
        <f>+SUMIFS('CALENDARIO INGRESOS'!I:I,'CALENDARIO INGRESOS'!A:A,Tabla3[[#This Row],[ID STRIPE]],'CALENDARIO INGRESOS'!H:H,"VISA")+SUMIFS('CALENDARIO INGRESOS'!I:I,'CALENDARIO INGRESOS'!A:A,Tabla3[[#This Row],[ID STRIPE]],'CALENDARIO INGRESOS'!H:H,"FIRMA PA")</f>
        <v>0</v>
      </c>
      <c r="W57" s="250">
        <v>0</v>
      </c>
      <c r="X57" s="60">
        <f>+IFERROR(AVERAGEIF('CALENDARIO INGRESOS'!A:A,Tabla3[[#This Row],[ID STRIPE]],'CALENDARIO INGRESOS'!M:M),"0")</f>
        <v>-1.4444444444444444</v>
      </c>
      <c r="Y57" s="18">
        <v>46115</v>
      </c>
      <c r="Z57" s="286">
        <f>+IFERROR(_xlfn.XLOOKUP(Tabla3[[#This Row],[ID LINGODA]],LINGODA!D:D,LINGODA!S:S),0)</f>
        <v>30</v>
      </c>
      <c r="AA57" s="18" t="str">
        <f>+IFERROR(_xlfn.XLOOKUP(Tabla3[[#This Row],[ID LINGODA]],LINGODA!D:D,LINGODA!F:F),"null")</f>
        <v>A1.1</v>
      </c>
      <c r="AB57" s="286" t="str">
        <f>+IFERROR(_xlfn.XLOOKUP(Tabla3[[#This Row],[ID LINGODA]],LINGODA!D:D,LINGODA!G:G),"null")</f>
        <v>A1.1</v>
      </c>
    </row>
    <row r="58" spans="1:28">
      <c r="A58" s="5" t="s">
        <v>2238</v>
      </c>
      <c r="B58" s="1" t="s">
        <v>2239</v>
      </c>
      <c r="C58" s="1" t="s">
        <v>20</v>
      </c>
      <c r="D58" s="1" t="s">
        <v>2240</v>
      </c>
      <c r="E58" s="57">
        <v>1797025</v>
      </c>
      <c r="F58" s="57"/>
      <c r="G58" s="18">
        <f>(_xlfn.MINIFS(INGRESOS!A:A,INGRESOS!C:C,Tabla3[[#This Row],[CORREO]]))</f>
        <v>45815</v>
      </c>
      <c r="H58" s="3">
        <f>+SUMIFS(INGRESOS!J:J,INGRESOS!D:D,Tabla3[[#This Row],[ID STRIPE]],INGRESOS!A:A,"&gt;="&amp;DATE(YEAR(Tabla3[[#This Row],[FECHA INGRESO]]),MONTH(Tabla3[[#This Row],[FECHA INGRESO]]),1),INGRESOS!A:A,"&lt;="&amp;DATE(YEAR(Tabla3[[#This Row],[FECHA INGRESO]]),MONTH(Tabla3[[#This Row],[FECHA INGRESO]])+1,0))</f>
        <v>241.62</v>
      </c>
      <c r="I58" s="286">
        <f ca="1">DATEDIF(Tabla3[[#This Row],[FECHA INGRESO]],IF(OR(Tabla3[[#This Row],[ESTADO]]="OK",Tabla3[[#This Row],[ESTADO]]="¡REGULARIZAR!")=TRUE,TODAY(),IF(Tabla3[[#This Row],[ULTIMO PAGO]]="",TODAY(),Tabla3[[#This Row],[ULTIMO PAGO]])),"m")</f>
        <v>0</v>
      </c>
      <c r="J58" s="18">
        <f>(_xlfn.MAXIFS(INGRESOS!A:A,INGRESOS!C:C,Tabla3[[#This Row],[CORREO]]))</f>
        <v>45815</v>
      </c>
      <c r="K58" s="7">
        <f ca="1">+IFERROR(Tabla3[[#This Row],[ABONADO NETO ]]/Tabla3[[#This Row],[MESES ACT]],Tabla3[[#This Row],[ABONO 1ER MES]])</f>
        <v>241.62</v>
      </c>
      <c r="M58" s="287" t="s">
        <v>2139</v>
      </c>
      <c r="N58" s="288">
        <f>+SUMIF(INGRESOS!D:D,Tabla3[[#This Row],[ID STRIPE]],INGRESOS!J:J)</f>
        <v>241.62</v>
      </c>
      <c r="O58" s="6">
        <v>22000</v>
      </c>
      <c r="P58" s="6">
        <f>+SUMIF('CALENDARIO INGRESOS'!A:A,Tabla3[[#This Row],[ID STRIPE]],'CALENDARIO INGRESOS'!I:I)</f>
        <v>0</v>
      </c>
      <c r="Q58" s="6">
        <f>+SUMIF(INGRESOS!D:D,Tabla3[[#This Row],[ID STRIPE]],INGRESOS!G:G)</f>
        <v>250</v>
      </c>
      <c r="R58" s="3" t="str">
        <f>IF(Tabla3[[#This Row],[ESTADO]]="OK",IF(COUNTIFS('CALENDARIO INGRESOS'!$A:$A,$D58,'CALENDARIO INGRESOS'!$H:$H,"LATAM",'CALENDARIO INGRESOS'!$L:$L,"&lt;&gt;PAGADA")&gt;0,"LATAM",
 IF(COUNTIFS('CALENDARIO INGRESOS'!$A:$A,$D58,'CALENDARIO INGRESOS'!$H:$H,"VISA",'CALENDARIO INGRESOS'!$L:$L,"&lt;&gt;PAGADA")&gt;0,"VISA",
  IF(COUNTIFS('CALENDARIO INGRESOS'!$A:$A,$D58,'CALENDARIO INGRESOS'!$H:$H,"FIRMA PA",'CALENDARIO INGRESOS'!$L:$L,"&lt;&gt;PAGADA")&gt;0,"FIRMA PA",
   IF(COUNTIFS('CALENDARIO INGRESOS'!$A:$A,$D58,'CALENDARIO INGRESOS'!$H:$H,"ALEM",'CALENDARIO INGRESOS'!$L:$L,"&lt;&gt;PAGADA")&gt;0,"ALEM","LISTO")))),"-")</f>
        <v>-</v>
      </c>
      <c r="S58" s="188">
        <f>+SUMIFS('CALENDARIO INGRESOS'!I:I,'CALENDARIO INGRESOS'!A:A,Tabla3[[#This Row],[ID STRIPE]],'CALENDARIO INGRESOS'!H:H,"LATAM")</f>
        <v>0</v>
      </c>
      <c r="T58" s="188">
        <f>+IF(Tabla3[[#This Row],[MONTO LATAM]]-Tabla3[[#This Row],[IMPORTE ABONADO]]&gt;=0,Tabla3[[#This Row],[MONTO LATAM]]-Tabla3[[#This Row],[IMPORTE ABONADO]],0)</f>
        <v>0</v>
      </c>
      <c r="U58" s="188">
        <f>+SUMIFS('CALENDARIO INGRESOS'!J:J,'CALENDARIO INGRESOS'!B:B,Tabla3[[#This Row],[ID STRIPE]],'CALENDARIO INGRESOS'!I:I,"ALEM")</f>
        <v>0</v>
      </c>
      <c r="V58" s="6">
        <f>+SUMIFS('CALENDARIO INGRESOS'!I:I,'CALENDARIO INGRESOS'!A:A,Tabla3[[#This Row],[ID STRIPE]],'CALENDARIO INGRESOS'!H:H,"VISA")+SUMIFS('CALENDARIO INGRESOS'!I:I,'CALENDARIO INGRESOS'!A:A,Tabla3[[#This Row],[ID STRIPE]],'CALENDARIO INGRESOS'!H:H,"FIRMA PA")</f>
        <v>0</v>
      </c>
      <c r="W58" s="250">
        <v>0</v>
      </c>
      <c r="X58" s="57" t="str">
        <f>+IFERROR(AVERAGEIF('CALENDARIO INGRESOS'!A:A,Tabla3[[#This Row],[ID STRIPE]],'CALENDARIO INGRESOS'!M:M),"0")</f>
        <v>0</v>
      </c>
      <c r="Y58" s="18" t="s">
        <v>2093</v>
      </c>
      <c r="Z58" s="286">
        <f>+IFERROR(_xlfn.XLOOKUP(Tabla3[[#This Row],[ID LINGODA]],LINGODA!D:D,LINGODA!S:S),0)</f>
        <v>0</v>
      </c>
      <c r="AA58" s="18" t="str">
        <f>+IFERROR(_xlfn.XLOOKUP(Tabla3[[#This Row],[ID LINGODA]],LINGODA!D:D,LINGODA!F:F),"null")</f>
        <v>null</v>
      </c>
      <c r="AB58" s="286" t="str">
        <f>+IFERROR(_xlfn.XLOOKUP(Tabla3[[#This Row],[ID LINGODA]],LINGODA!D:D,LINGODA!G:G),"null")</f>
        <v>null</v>
      </c>
    </row>
    <row r="59" spans="1:28">
      <c r="A59" s="5" t="s">
        <v>2241</v>
      </c>
      <c r="B59" s="1" t="s">
        <v>2242</v>
      </c>
      <c r="C59" s="1" t="s">
        <v>12</v>
      </c>
      <c r="D59" s="1" t="s">
        <v>314</v>
      </c>
      <c r="E59" s="60">
        <v>1798176</v>
      </c>
      <c r="F59" s="60"/>
      <c r="G59" s="18">
        <f>(_xlfn.MINIFS(INGRESOS!A:A,INGRESOS!C:C,Tabla3[[#This Row],[CORREO]]))</f>
        <v>45816</v>
      </c>
      <c r="H59" s="3">
        <f>+SUMIFS(INGRESOS!J:J,INGRESOS!D:D,Tabla3[[#This Row],[ID STRIPE]],INGRESOS!A:A,"&gt;="&amp;DATE(YEAR(Tabla3[[#This Row],[FECHA INGRESO]]),MONTH(Tabla3[[#This Row],[FECHA INGRESO]]),1),INGRESOS!A:A,"&lt;="&amp;DATE(YEAR(Tabla3[[#This Row],[FECHA INGRESO]]),MONTH(Tabla3[[#This Row],[FECHA INGRESO]])+1,0))</f>
        <v>1934.4899999999998</v>
      </c>
      <c r="I59" s="286">
        <f ca="1">DATEDIF(Tabla3[[#This Row],[FECHA INGRESO]],IF(OR(Tabla3[[#This Row],[ESTADO]]="OK",Tabla3[[#This Row],[ESTADO]]="¡REGULARIZAR!")=TRUE,TODAY(),IF(Tabla3[[#This Row],[ULTIMO PAGO]]="",TODAY(),Tabla3[[#This Row],[ULTIMO PAGO]])),"m")</f>
        <v>8</v>
      </c>
      <c r="J59" s="18">
        <f>(_xlfn.MAXIFS(INGRESOS!A:A,INGRESOS!C:C,Tabla3[[#This Row],[CORREO]]))</f>
        <v>46081</v>
      </c>
      <c r="K59" s="7">
        <f ca="1">+IFERROR(Tabla3[[#This Row],[ABONADO NETO ]]/Tabla3[[#This Row],[MESES ACT]],Tabla3[[#This Row],[ABONO 1ER MES]])</f>
        <v>1329.99875</v>
      </c>
      <c r="M59" s="287" t="s">
        <v>2119</v>
      </c>
      <c r="N59" s="288">
        <f>+SUMIF(INGRESOS!D:D,Tabla3[[#This Row],[ID STRIPE]],INGRESOS!J:J)</f>
        <v>10639.99</v>
      </c>
      <c r="O59" s="6">
        <v>22000</v>
      </c>
      <c r="P59" s="6">
        <f>+SUMIF('CALENDARIO INGRESOS'!A:A,Tabla3[[#This Row],[ID STRIPE]],'CALENDARIO INGRESOS'!I:I)</f>
        <v>22000</v>
      </c>
      <c r="Q59" s="6">
        <f>+SUMIF(INGRESOS!D:D,Tabla3[[#This Row],[ID STRIPE]],INGRESOS!G:G)</f>
        <v>11000</v>
      </c>
      <c r="R59" s="3" t="str">
        <f>IF(Tabla3[[#This Row],[ESTADO]]="OK",IF(COUNTIFS('CALENDARIO INGRESOS'!$A:$A,$D59,'CALENDARIO INGRESOS'!$H:$H,"LATAM",'CALENDARIO INGRESOS'!$L:$L,"&lt;&gt;PAGADA")&gt;0,"LATAM",
 IF(COUNTIFS('CALENDARIO INGRESOS'!$A:$A,$D59,'CALENDARIO INGRESOS'!$H:$H,"VISA",'CALENDARIO INGRESOS'!$L:$L,"&lt;&gt;PAGADA")&gt;0,"VISA",
  IF(COUNTIFS('CALENDARIO INGRESOS'!$A:$A,$D59,'CALENDARIO INGRESOS'!$H:$H,"FIRMA PA",'CALENDARIO INGRESOS'!$L:$L,"&lt;&gt;PAGADA")&gt;0,"FIRMA PA",
   IF(COUNTIFS('CALENDARIO INGRESOS'!$A:$A,$D59,'CALENDARIO INGRESOS'!$H:$H,"ALEM",'CALENDARIO INGRESOS'!$L:$L,"&lt;&gt;PAGADA")&gt;0,"ALEM","LISTO")))),"-")</f>
        <v>LATAM</v>
      </c>
      <c r="S59" s="188">
        <f>+SUMIFS('CALENDARIO INGRESOS'!I:I,'CALENDARIO INGRESOS'!A:A,Tabla3[[#This Row],[ID STRIPE]],'CALENDARIO INGRESOS'!H:H,"LATAM")</f>
        <v>16000</v>
      </c>
      <c r="T59" s="188">
        <f>+IF(Tabla3[[#This Row],[MONTO LATAM]]-Tabla3[[#This Row],[IMPORTE ABONADO]]&gt;=0,Tabla3[[#This Row],[MONTO LATAM]]-Tabla3[[#This Row],[IMPORTE ABONADO]],0)</f>
        <v>5000</v>
      </c>
      <c r="U59" s="188">
        <f>+SUMIFS('CALENDARIO INGRESOS'!I:I,'CALENDARIO INGRESOS'!A:A,Tabla3[[#This Row],[ID STRIPE]],'CALENDARIO INGRESOS'!H:H,"ALEM")</f>
        <v>6000</v>
      </c>
      <c r="V59" s="6">
        <f>+SUMIFS('CALENDARIO INGRESOS'!I:I,'CALENDARIO INGRESOS'!A:A,Tabla3[[#This Row],[ID STRIPE]],'CALENDARIO INGRESOS'!H:H,"VISA")+SUMIFS('CALENDARIO INGRESOS'!I:I,'CALENDARIO INGRESOS'!A:A,Tabla3[[#This Row],[ID STRIPE]],'CALENDARIO INGRESOS'!H:H,"FIRMA PA")</f>
        <v>0</v>
      </c>
      <c r="W59" s="250">
        <v>0</v>
      </c>
      <c r="X59" s="60">
        <f>+IFERROR(AVERAGEIF('CALENDARIO INGRESOS'!A:A,Tabla3[[#This Row],[ID STRIPE]],'CALENDARIO INGRESOS'!M:M),"0")</f>
        <v>0.6</v>
      </c>
      <c r="Y59" s="18">
        <v>46296</v>
      </c>
      <c r="Z59" s="286">
        <f>+IFERROR(_xlfn.XLOOKUP(Tabla3[[#This Row],[ID LINGODA]],LINGODA!D:D,LINGODA!S:S),0)</f>
        <v>134</v>
      </c>
      <c r="AA59" s="18" t="str">
        <f>+IFERROR(_xlfn.XLOOKUP(Tabla3[[#This Row],[ID LINGODA]],LINGODA!D:D,LINGODA!F:F),"null")</f>
        <v>A1.1</v>
      </c>
      <c r="AB59" s="286" t="str">
        <f>+IFERROR(_xlfn.XLOOKUP(Tabla3[[#This Row],[ID LINGODA]],LINGODA!D:D,LINGODA!G:G),"null")</f>
        <v>A2.1</v>
      </c>
    </row>
    <row r="60" spans="1:28">
      <c r="A60" s="5" t="s">
        <v>2245</v>
      </c>
      <c r="B60" s="1" t="s">
        <v>2246</v>
      </c>
      <c r="C60" s="1" t="s">
        <v>16</v>
      </c>
      <c r="D60" s="1" t="s">
        <v>2247</v>
      </c>
      <c r="E60" s="57">
        <v>1798180</v>
      </c>
      <c r="F60" s="57"/>
      <c r="G60" s="18">
        <f>(_xlfn.MINIFS(INGRESOS!A:A,INGRESOS!C:C,Tabla3[[#This Row],[CORREO]]))</f>
        <v>45819</v>
      </c>
      <c r="H60" s="3">
        <f>+SUMIFS(INGRESOS!J:J,INGRESOS!D:D,Tabla3[[#This Row],[ID STRIPE]],INGRESOS!A:A,"&gt;="&amp;DATE(YEAR(Tabla3[[#This Row],[FECHA INGRESO]]),MONTH(Tabla3[[#This Row],[FECHA INGRESO]]),1),INGRESOS!A:A,"&lt;="&amp;DATE(YEAR(Tabla3[[#This Row],[FECHA INGRESO]]),MONTH(Tabla3[[#This Row],[FECHA INGRESO]])+1,0))</f>
        <v>236.56</v>
      </c>
      <c r="I60" s="286">
        <f ca="1">DATEDIF(Tabla3[[#This Row],[FECHA INGRESO]],IF(OR(Tabla3[[#This Row],[ESTADO]]="OK",Tabla3[[#This Row],[ESTADO]]="¡REGULARIZAR!")=TRUE,TODAY(),IF(Tabla3[[#This Row],[ULTIMO PAGO]]="",TODAY(),Tabla3[[#This Row],[ULTIMO PAGO]])),"m")</f>
        <v>0</v>
      </c>
      <c r="J60" s="18">
        <f>(_xlfn.MAXIFS(INGRESOS!A:A,INGRESOS!C:C,Tabla3[[#This Row],[CORREO]]))</f>
        <v>45819</v>
      </c>
      <c r="K60" s="7">
        <f ca="1">+IFERROR(Tabla3[[#This Row],[ABONADO NETO ]]/Tabla3[[#This Row],[MESES ACT]],Tabla3[[#This Row],[ABONO 1ER MES]])</f>
        <v>236.56</v>
      </c>
      <c r="M60" s="287" t="s">
        <v>2139</v>
      </c>
      <c r="N60" s="288">
        <f>+SUMIF(INGRESOS!D:D,Tabla3[[#This Row],[ID STRIPE]],INGRESOS!J:J)</f>
        <v>236.56</v>
      </c>
      <c r="O60" s="6">
        <v>22000</v>
      </c>
      <c r="P60" s="6">
        <f>+SUMIF('CALENDARIO INGRESOS'!A:A,Tabla3[[#This Row],[ID STRIPE]],'CALENDARIO INGRESOS'!I:I)</f>
        <v>0</v>
      </c>
      <c r="Q60" s="6">
        <f>+SUMIF(INGRESOS!D:D,Tabla3[[#This Row],[ID STRIPE]],INGRESOS!G:G)</f>
        <v>250</v>
      </c>
      <c r="R60" s="3" t="str">
        <f>IF(Tabla3[[#This Row],[ESTADO]]="OK",IF(COUNTIFS('CALENDARIO INGRESOS'!$A:$A,$D60,'CALENDARIO INGRESOS'!$H:$H,"LATAM",'CALENDARIO INGRESOS'!$L:$L,"&lt;&gt;PAGADA")&gt;0,"LATAM",
 IF(COUNTIFS('CALENDARIO INGRESOS'!$A:$A,$D60,'CALENDARIO INGRESOS'!$H:$H,"VISA",'CALENDARIO INGRESOS'!$L:$L,"&lt;&gt;PAGADA")&gt;0,"VISA",
  IF(COUNTIFS('CALENDARIO INGRESOS'!$A:$A,$D60,'CALENDARIO INGRESOS'!$H:$H,"FIRMA PA",'CALENDARIO INGRESOS'!$L:$L,"&lt;&gt;PAGADA")&gt;0,"FIRMA PA",
   IF(COUNTIFS('CALENDARIO INGRESOS'!$A:$A,$D60,'CALENDARIO INGRESOS'!$H:$H,"ALEM",'CALENDARIO INGRESOS'!$L:$L,"&lt;&gt;PAGADA")&gt;0,"ALEM","LISTO")))),"-")</f>
        <v>-</v>
      </c>
      <c r="S60" s="188">
        <f>+SUMIFS('CALENDARIO INGRESOS'!I:I,'CALENDARIO INGRESOS'!A:A,Tabla3[[#This Row],[ID STRIPE]],'CALENDARIO INGRESOS'!H:H,"LATAM")</f>
        <v>0</v>
      </c>
      <c r="T60" s="188">
        <f>+IF(Tabla3[[#This Row],[MONTO LATAM]]-Tabla3[[#This Row],[IMPORTE ABONADO]]&gt;=0,Tabla3[[#This Row],[MONTO LATAM]]-Tabla3[[#This Row],[IMPORTE ABONADO]],0)</f>
        <v>0</v>
      </c>
      <c r="U60" s="188">
        <f>+SUMIFS('CALENDARIO INGRESOS'!J:J,'CALENDARIO INGRESOS'!B:B,Tabla3[[#This Row],[ID STRIPE]],'CALENDARIO INGRESOS'!I:I,"ALEM")</f>
        <v>0</v>
      </c>
      <c r="V60" s="6">
        <f>+SUMIFS('CALENDARIO INGRESOS'!I:I,'CALENDARIO INGRESOS'!A:A,Tabla3[[#This Row],[ID STRIPE]],'CALENDARIO INGRESOS'!H:H,"VISA")+SUMIFS('CALENDARIO INGRESOS'!I:I,'CALENDARIO INGRESOS'!A:A,Tabla3[[#This Row],[ID STRIPE]],'CALENDARIO INGRESOS'!H:H,"FIRMA PA")</f>
        <v>0</v>
      </c>
      <c r="W60" s="250">
        <v>0</v>
      </c>
      <c r="X60" s="57" t="str">
        <f>+IFERROR(AVERAGEIF('CALENDARIO INGRESOS'!A:A,Tabla3[[#This Row],[ID STRIPE]],'CALENDARIO INGRESOS'!M:M),"0")</f>
        <v>0</v>
      </c>
      <c r="Y60" s="18" t="s">
        <v>2093</v>
      </c>
      <c r="Z60" s="286">
        <f>+IFERROR(_xlfn.XLOOKUP(Tabla3[[#This Row],[ID LINGODA]],LINGODA!D:D,LINGODA!S:S),0)</f>
        <v>0</v>
      </c>
      <c r="AA60" s="18" t="str">
        <f>+IFERROR(_xlfn.XLOOKUP(Tabla3[[#This Row],[ID LINGODA]],LINGODA!D:D,LINGODA!F:F),"null")</f>
        <v>null</v>
      </c>
      <c r="AB60" s="286" t="str">
        <f>+IFERROR(_xlfn.XLOOKUP(Tabla3[[#This Row],[ID LINGODA]],LINGODA!D:D,LINGODA!G:G),"null")</f>
        <v>null</v>
      </c>
    </row>
    <row r="61" spans="1:28">
      <c r="A61" s="5" t="s">
        <v>2248</v>
      </c>
      <c r="B61" s="1" t="s">
        <v>2249</v>
      </c>
      <c r="C61" s="1" t="s">
        <v>13</v>
      </c>
      <c r="D61" s="1" t="s">
        <v>319</v>
      </c>
      <c r="E61" s="57">
        <v>1798179</v>
      </c>
      <c r="F61" s="57"/>
      <c r="G61" s="18">
        <f>(_xlfn.MINIFS(INGRESOS!A:A,INGRESOS!C:C,Tabla3[[#This Row],[CORREO]]))</f>
        <v>45819</v>
      </c>
      <c r="H61" s="3">
        <f>+SUMIFS(INGRESOS!J:J,INGRESOS!D:D,Tabla3[[#This Row],[ID STRIPE]],INGRESOS!A:A,"&gt;="&amp;DATE(YEAR(Tabla3[[#This Row],[FECHA INGRESO]]),MONTH(Tabla3[[#This Row],[FECHA INGRESO]]),1),INGRESOS!A:A,"&lt;="&amp;DATE(YEAR(Tabla3[[#This Row],[FECHA INGRESO]]),MONTH(Tabla3[[#This Row],[FECHA INGRESO]])+1,0))</f>
        <v>1934.5</v>
      </c>
      <c r="I61" s="286">
        <f ca="1">DATEDIF(Tabla3[[#This Row],[FECHA INGRESO]],IF(OR(Tabla3[[#This Row],[ESTADO]]="OK",Tabla3[[#This Row],[ESTADO]]="¡REGULARIZAR!")=TRUE,TODAY(),IF(Tabla3[[#This Row],[ULTIMO PAGO]]="",TODAY(),Tabla3[[#This Row],[ULTIMO PAGO]])),"m")</f>
        <v>0</v>
      </c>
      <c r="J61" s="18">
        <f>(_xlfn.MAXIFS(INGRESOS!A:A,INGRESOS!C:C,Tabla3[[#This Row],[CORREO]]))</f>
        <v>45848</v>
      </c>
      <c r="K61" s="7">
        <f ca="1">+IFERROR(Tabla3[[#This Row],[ABONADO NETO ]]/Tabla3[[#This Row],[MESES ACT]],Tabla3[[#This Row],[ABONO 1ER MES]])</f>
        <v>1934.5</v>
      </c>
      <c r="M61" s="287" t="s">
        <v>2152</v>
      </c>
      <c r="N61" s="288">
        <f>+SUMIF(INGRESOS!D:D,Tabla3[[#This Row],[ID STRIPE]],INGRESOS!J:J)</f>
        <v>2901.75</v>
      </c>
      <c r="O61" s="6">
        <v>22000</v>
      </c>
      <c r="P61" s="6">
        <f>+SUMIF('CALENDARIO INGRESOS'!A:A,Tabla3[[#This Row],[ID STRIPE]],'CALENDARIO INGRESOS'!I:I)</f>
        <v>3000</v>
      </c>
      <c r="Q61" s="6">
        <f>+SUMIF(INGRESOS!D:D,Tabla3[[#This Row],[ID STRIPE]],INGRESOS!G:G)</f>
        <v>3000</v>
      </c>
      <c r="R61" s="3" t="str">
        <f>IF(Tabla3[[#This Row],[ESTADO]]="OK",IF(COUNTIFS('CALENDARIO INGRESOS'!$A:$A,$D61,'CALENDARIO INGRESOS'!$H:$H,"LATAM",'CALENDARIO INGRESOS'!$L:$L,"&lt;&gt;PAGADA")&gt;0,"LATAM",
 IF(COUNTIFS('CALENDARIO INGRESOS'!$A:$A,$D61,'CALENDARIO INGRESOS'!$H:$H,"VISA",'CALENDARIO INGRESOS'!$L:$L,"&lt;&gt;PAGADA")&gt;0,"VISA",
  IF(COUNTIFS('CALENDARIO INGRESOS'!$A:$A,$D61,'CALENDARIO INGRESOS'!$H:$H,"FIRMA PA",'CALENDARIO INGRESOS'!$L:$L,"&lt;&gt;PAGADA")&gt;0,"FIRMA PA",
   IF(COUNTIFS('CALENDARIO INGRESOS'!$A:$A,$D61,'CALENDARIO INGRESOS'!$H:$H,"ALEM",'CALENDARIO INGRESOS'!$L:$L,"&lt;&gt;PAGADA")&gt;0,"ALEM","LISTO")))),"-")</f>
        <v>-</v>
      </c>
      <c r="S61" s="188">
        <f>+SUMIFS('CALENDARIO INGRESOS'!I:I,'CALENDARIO INGRESOS'!A:A,Tabla3[[#This Row],[ID STRIPE]],'CALENDARIO INGRESOS'!H:H,"LATAM")</f>
        <v>3000</v>
      </c>
      <c r="T61" s="188">
        <f>+IF(Tabla3[[#This Row],[MONTO LATAM]]-Tabla3[[#This Row],[IMPORTE ABONADO]]&gt;=0,Tabla3[[#This Row],[MONTO LATAM]]-Tabla3[[#This Row],[IMPORTE ABONADO]],0)</f>
        <v>0</v>
      </c>
      <c r="U61" s="188">
        <f>+SUMIFS('CALENDARIO INGRESOS'!I:I,'CALENDARIO INGRESOS'!A:A,Tabla3[[#This Row],[ID STRIPE]],'CALENDARIO INGRESOS'!H:H,"ALEM")</f>
        <v>0</v>
      </c>
      <c r="V61" s="6">
        <f>+SUMIFS('CALENDARIO INGRESOS'!I:I,'CALENDARIO INGRESOS'!A:A,Tabla3[[#This Row],[ID STRIPE]],'CALENDARIO INGRESOS'!H:H,"VISA")+SUMIFS('CALENDARIO INGRESOS'!I:I,'CALENDARIO INGRESOS'!A:A,Tabla3[[#This Row],[ID STRIPE]],'CALENDARIO INGRESOS'!H:H,"FIRMA PA")</f>
        <v>0</v>
      </c>
      <c r="W61" s="252">
        <v>0</v>
      </c>
      <c r="X61" s="57">
        <f>+IFERROR(AVERAGEIF('CALENDARIO INGRESOS'!A:A,Tabla3[[#This Row],[ID STRIPE]],'CALENDARIO INGRESOS'!M:M),"0")</f>
        <v>0</v>
      </c>
      <c r="Y61" s="18" t="s">
        <v>2093</v>
      </c>
      <c r="Z61" s="286">
        <f>+IFERROR(_xlfn.XLOOKUP(Tabla3[[#This Row],[ID LINGODA]],LINGODA!D:D,LINGODA!S:S),0)</f>
        <v>0</v>
      </c>
      <c r="AA61" s="18" t="str">
        <f>+IFERROR(_xlfn.XLOOKUP(Tabla3[[#This Row],[ID LINGODA]],LINGODA!D:D,LINGODA!F:F),"null")</f>
        <v>null</v>
      </c>
      <c r="AB61" s="286" t="str">
        <f>+IFERROR(_xlfn.XLOOKUP(Tabla3[[#This Row],[ID LINGODA]],LINGODA!D:D,LINGODA!G:G),"null")</f>
        <v>null</v>
      </c>
    </row>
    <row r="62" spans="1:28">
      <c r="A62" s="5" t="s">
        <v>2250</v>
      </c>
      <c r="B62" s="1" t="s">
        <v>2251</v>
      </c>
      <c r="C62" s="1" t="s">
        <v>11</v>
      </c>
      <c r="D62" s="1" t="s">
        <v>322</v>
      </c>
      <c r="E62" s="60">
        <v>1798178</v>
      </c>
      <c r="F62" s="60"/>
      <c r="G62" s="18">
        <f>(_xlfn.MINIFS(INGRESOS!A:A,INGRESOS!C:C,Tabla3[[#This Row],[CORREO]]))</f>
        <v>45819</v>
      </c>
      <c r="H62" s="3">
        <f>+SUMIFS(INGRESOS!J:J,INGRESOS!D:D,Tabla3[[#This Row],[ID STRIPE]],INGRESOS!A:A,"&gt;="&amp;DATE(YEAR(Tabla3[[#This Row],[FECHA INGRESO]]),MONTH(Tabla3[[#This Row],[FECHA INGRESO]]),1),INGRESOS!A:A,"&lt;="&amp;DATE(YEAR(Tabla3[[#This Row],[FECHA INGRESO]]),MONTH(Tabla3[[#This Row],[FECHA INGRESO]])+1,0))</f>
        <v>1934.4899999999998</v>
      </c>
      <c r="I62" s="286">
        <f ca="1">DATEDIF(Tabla3[[#This Row],[FECHA INGRESO]],IF(OR(Tabla3[[#This Row],[ESTADO]]="OK",Tabla3[[#This Row],[ESTADO]]="¡REGULARIZAR!")=TRUE,TODAY(),IF(Tabla3[[#This Row],[ULTIMO PAGO]]="",TODAY(),Tabla3[[#This Row],[ULTIMO PAGO]])),"m")</f>
        <v>8</v>
      </c>
      <c r="J62" s="18">
        <f>(_xlfn.MAXIFS(INGRESOS!A:A,INGRESOS!C:C,Tabla3[[#This Row],[CORREO]]))</f>
        <v>46078</v>
      </c>
      <c r="K62" s="7">
        <f ca="1">+IFERROR(Tabla3[[#This Row],[ABONADO NETO ]]/Tabla3[[#This Row],[MESES ACT]],Tabla3[[#This Row],[ABONO 1ER MES]])</f>
        <v>1449.7262499999999</v>
      </c>
      <c r="M62" s="287" t="s">
        <v>2119</v>
      </c>
      <c r="N62" s="288">
        <f>+SUMIF(INGRESOS!D:D,Tabla3[[#This Row],[ID STRIPE]],INGRESOS!J:J)</f>
        <v>11597.81</v>
      </c>
      <c r="O62" s="6">
        <v>19000</v>
      </c>
      <c r="P62" s="6">
        <f>+SUMIF('CALENDARIO INGRESOS'!A:A,Tabla3[[#This Row],[ID STRIPE]],'CALENDARIO INGRESOS'!I:I)</f>
        <v>18490</v>
      </c>
      <c r="Q62" s="6">
        <f>+SUMIF(INGRESOS!D:D,Tabla3[[#This Row],[ID STRIPE]],INGRESOS!G:G)</f>
        <v>11990</v>
      </c>
      <c r="R62" s="3" t="str">
        <f>IF(Tabla3[[#This Row],[ESTADO]]="OK",IF(COUNTIFS('CALENDARIO INGRESOS'!$A:$A,$D62,'CALENDARIO INGRESOS'!$H:$H,"LATAM",'CALENDARIO INGRESOS'!$L:$L,"&lt;&gt;PAGADA")&gt;0,"LATAM",
 IF(COUNTIFS('CALENDARIO INGRESOS'!$A:$A,$D62,'CALENDARIO INGRESOS'!$H:$H,"VISA",'CALENDARIO INGRESOS'!$L:$L,"&lt;&gt;PAGADA")&gt;0,"VISA",
  IF(COUNTIFS('CALENDARIO INGRESOS'!$A:$A,$D62,'CALENDARIO INGRESOS'!$H:$H,"FIRMA PA",'CALENDARIO INGRESOS'!$L:$L,"&lt;&gt;PAGADA")&gt;0,"FIRMA PA",
   IF(COUNTIFS('CALENDARIO INGRESOS'!$A:$A,$D62,'CALENDARIO INGRESOS'!$H:$H,"ALEM",'CALENDARIO INGRESOS'!$L:$L,"&lt;&gt;PAGADA")&gt;0,"ALEM","LISTO")))),"-")</f>
        <v>ALEM</v>
      </c>
      <c r="S62" s="188">
        <f>+SUMIFS('CALENDARIO INGRESOS'!I:I,'CALENDARIO INGRESOS'!A:A,Tabla3[[#This Row],[ID STRIPE]],'CALENDARIO INGRESOS'!H:H,"LATAM")</f>
        <v>11990</v>
      </c>
      <c r="T62" s="188">
        <f>+IF(Tabla3[[#This Row],[MONTO LATAM]]-Tabla3[[#This Row],[IMPORTE ABONADO]]&gt;=0,Tabla3[[#This Row],[MONTO LATAM]]-Tabla3[[#This Row],[IMPORTE ABONADO]],0)</f>
        <v>0</v>
      </c>
      <c r="U62" s="188">
        <f>+SUMIFS('CALENDARIO INGRESOS'!I:I,'CALENDARIO INGRESOS'!A:A,Tabla3[[#This Row],[ID STRIPE]],'CALENDARIO INGRESOS'!H:H,"ALEM")</f>
        <v>6500</v>
      </c>
      <c r="V62" s="6">
        <f>+SUMIFS('CALENDARIO INGRESOS'!I:I,'CALENDARIO INGRESOS'!A:A,Tabla3[[#This Row],[ID STRIPE]],'CALENDARIO INGRESOS'!H:H,"VISA")+SUMIFS('CALENDARIO INGRESOS'!I:I,'CALENDARIO INGRESOS'!A:A,Tabla3[[#This Row],[ID STRIPE]],'CALENDARIO INGRESOS'!H:H,"FIRMA PA")</f>
        <v>0</v>
      </c>
      <c r="W62" s="250">
        <v>0</v>
      </c>
      <c r="X62" s="60">
        <f>+IFERROR(AVERAGEIF('CALENDARIO INGRESOS'!A:A,Tabla3[[#This Row],[ID STRIPE]],'CALENDARIO INGRESOS'!M:M),"0")</f>
        <v>-0.3</v>
      </c>
      <c r="Y62" s="18" t="s">
        <v>2093</v>
      </c>
      <c r="Z62" s="286">
        <f>+IFERROR(_xlfn.XLOOKUP(Tabla3[[#This Row],[ID LINGODA]],LINGODA!D:D,LINGODA!S:S),0)</f>
        <v>75</v>
      </c>
      <c r="AA62" s="18" t="str">
        <f>+IFERROR(_xlfn.XLOOKUP(Tabla3[[#This Row],[ID LINGODA]],LINGODA!D:D,LINGODA!F:F),"null")</f>
        <v>B2.1</v>
      </c>
      <c r="AB62" s="286" t="str">
        <f>+IFERROR(_xlfn.XLOOKUP(Tabla3[[#This Row],[ID LINGODA]],LINGODA!D:D,LINGODA!G:G),"null")</f>
        <v>B2.2</v>
      </c>
    </row>
    <row r="63" spans="1:28">
      <c r="A63" s="5" t="s">
        <v>2252</v>
      </c>
      <c r="B63" s="1" t="s">
        <v>2253</v>
      </c>
      <c r="C63" s="1" t="s">
        <v>11</v>
      </c>
      <c r="D63" s="1" t="s">
        <v>2254</v>
      </c>
      <c r="E63" s="57">
        <v>1798763</v>
      </c>
      <c r="F63" s="57"/>
      <c r="G63" s="18">
        <f>(_xlfn.MINIFS(INGRESOS!A:A,INGRESOS!C:C,Tabla3[[#This Row],[CORREO]]))</f>
        <v>45820</v>
      </c>
      <c r="H63" s="3">
        <f>+SUMIFS(INGRESOS!J:J,INGRESOS!D:D,Tabla3[[#This Row],[ID STRIPE]],INGRESOS!A:A,"&gt;="&amp;DATE(YEAR(Tabla3[[#This Row],[FECHA INGRESO]]),MONTH(Tabla3[[#This Row],[FECHA INGRESO]]),1),INGRESOS!A:A,"&lt;="&amp;DATE(YEAR(Tabla3[[#This Row],[FECHA INGRESO]]),MONTH(Tabla3[[#This Row],[FECHA INGRESO]])+1,0))</f>
        <v>241.62</v>
      </c>
      <c r="I63" s="286">
        <f ca="1">DATEDIF(Tabla3[[#This Row],[FECHA INGRESO]],IF(OR(Tabla3[[#This Row],[ESTADO]]="OK",Tabla3[[#This Row],[ESTADO]]="¡REGULARIZAR!")=TRUE,TODAY(),IF(Tabla3[[#This Row],[ULTIMO PAGO]]="",TODAY(),Tabla3[[#This Row],[ULTIMO PAGO]])),"m")</f>
        <v>0</v>
      </c>
      <c r="J63" s="18">
        <f>(_xlfn.MAXIFS(INGRESOS!A:A,INGRESOS!C:C,Tabla3[[#This Row],[CORREO]]))</f>
        <v>45820</v>
      </c>
      <c r="K63" s="7">
        <f ca="1">+IFERROR(Tabla3[[#This Row],[ABONADO NETO ]]/Tabla3[[#This Row],[MESES ACT]],Tabla3[[#This Row],[ABONO 1ER MES]])</f>
        <v>241.62</v>
      </c>
      <c r="M63" s="287" t="s">
        <v>2139</v>
      </c>
      <c r="N63" s="288">
        <f>+SUMIF(INGRESOS!D:D,Tabla3[[#This Row],[ID STRIPE]],INGRESOS!J:J)</f>
        <v>241.62</v>
      </c>
      <c r="O63" s="6">
        <v>22000</v>
      </c>
      <c r="P63" s="6">
        <f>+SUMIF('CALENDARIO INGRESOS'!A:A,Tabla3[[#This Row],[ID STRIPE]],'CALENDARIO INGRESOS'!I:I)</f>
        <v>0</v>
      </c>
      <c r="Q63" s="6">
        <f>+SUMIF(INGRESOS!D:D,Tabla3[[#This Row],[ID STRIPE]],INGRESOS!G:G)</f>
        <v>250</v>
      </c>
      <c r="R63" s="3" t="str">
        <f>IF(Tabla3[[#This Row],[ESTADO]]="OK",IF(COUNTIFS('CALENDARIO INGRESOS'!$A:$A,$D63,'CALENDARIO INGRESOS'!$H:$H,"LATAM",'CALENDARIO INGRESOS'!$L:$L,"&lt;&gt;PAGADA")&gt;0,"LATAM",
 IF(COUNTIFS('CALENDARIO INGRESOS'!$A:$A,$D63,'CALENDARIO INGRESOS'!$H:$H,"VISA",'CALENDARIO INGRESOS'!$L:$L,"&lt;&gt;PAGADA")&gt;0,"VISA",
  IF(COUNTIFS('CALENDARIO INGRESOS'!$A:$A,$D63,'CALENDARIO INGRESOS'!$H:$H,"FIRMA PA",'CALENDARIO INGRESOS'!$L:$L,"&lt;&gt;PAGADA")&gt;0,"FIRMA PA",
   IF(COUNTIFS('CALENDARIO INGRESOS'!$A:$A,$D63,'CALENDARIO INGRESOS'!$H:$H,"ALEM",'CALENDARIO INGRESOS'!$L:$L,"&lt;&gt;PAGADA")&gt;0,"ALEM","LISTO")))),"-")</f>
        <v>-</v>
      </c>
      <c r="S63" s="188">
        <f>+SUMIFS('CALENDARIO INGRESOS'!I:I,'CALENDARIO INGRESOS'!A:A,Tabla3[[#This Row],[ID STRIPE]],'CALENDARIO INGRESOS'!H:H,"LATAM")</f>
        <v>0</v>
      </c>
      <c r="T63" s="188">
        <f>+IF(Tabla3[[#This Row],[MONTO LATAM]]-Tabla3[[#This Row],[IMPORTE ABONADO]]&gt;=0,Tabla3[[#This Row],[MONTO LATAM]]-Tabla3[[#This Row],[IMPORTE ABONADO]],0)</f>
        <v>0</v>
      </c>
      <c r="U63" s="188">
        <f>+SUMIFS('CALENDARIO INGRESOS'!J:J,'CALENDARIO INGRESOS'!B:B,Tabla3[[#This Row],[ID STRIPE]],'CALENDARIO INGRESOS'!I:I,"ALEM")</f>
        <v>0</v>
      </c>
      <c r="V63" s="6">
        <f>+SUMIFS('CALENDARIO INGRESOS'!I:I,'CALENDARIO INGRESOS'!A:A,Tabla3[[#This Row],[ID STRIPE]],'CALENDARIO INGRESOS'!H:H,"VISA")+SUMIFS('CALENDARIO INGRESOS'!I:I,'CALENDARIO INGRESOS'!A:A,Tabla3[[#This Row],[ID STRIPE]],'CALENDARIO INGRESOS'!H:H,"FIRMA PA")</f>
        <v>0</v>
      </c>
      <c r="W63" s="250">
        <v>0</v>
      </c>
      <c r="X63" s="57" t="str">
        <f>+IFERROR(AVERAGEIF('CALENDARIO INGRESOS'!A:A,Tabla3[[#This Row],[ID STRIPE]],'CALENDARIO INGRESOS'!M:M),"0")</f>
        <v>0</v>
      </c>
      <c r="Y63" s="18" t="s">
        <v>2093</v>
      </c>
      <c r="Z63" s="286">
        <f>+IFERROR(_xlfn.XLOOKUP(Tabla3[[#This Row],[ID LINGODA]],LINGODA!D:D,LINGODA!S:S),0)</f>
        <v>0</v>
      </c>
      <c r="AA63" s="18" t="str">
        <f>+IFERROR(_xlfn.XLOOKUP(Tabla3[[#This Row],[ID LINGODA]],LINGODA!D:D,LINGODA!F:F),"null")</f>
        <v>null</v>
      </c>
      <c r="AB63" s="286" t="str">
        <f>+IFERROR(_xlfn.XLOOKUP(Tabla3[[#This Row],[ID LINGODA]],LINGODA!D:D,LINGODA!G:G),"null")</f>
        <v>null</v>
      </c>
    </row>
    <row r="64" spans="1:28">
      <c r="A64" s="5" t="s">
        <v>2255</v>
      </c>
      <c r="B64" s="1" t="s">
        <v>2256</v>
      </c>
      <c r="C64" s="1" t="s">
        <v>12</v>
      </c>
      <c r="D64" s="1" t="s">
        <v>330</v>
      </c>
      <c r="E64" s="57">
        <v>1798762</v>
      </c>
      <c r="F64" s="57"/>
      <c r="G64" s="18">
        <f>(_xlfn.MINIFS(INGRESOS!A:A,INGRESOS!C:C,Tabla3[[#This Row],[CORREO]]))</f>
        <v>45820</v>
      </c>
      <c r="H64" s="3">
        <f>+SUMIFS(INGRESOS!J:J,INGRESOS!D:D,Tabla3[[#This Row],[ID STRIPE]],INGRESOS!A:A,"&gt;="&amp;DATE(YEAR(Tabla3[[#This Row],[FECHA INGRESO]]),MONTH(Tabla3[[#This Row],[FECHA INGRESO]]),1),INGRESOS!A:A,"&lt;="&amp;DATE(YEAR(Tabla3[[#This Row],[FECHA INGRESO]]),MONTH(Tabla3[[#This Row],[FECHA INGRESO]])+1,0))</f>
        <v>1934.4899999999998</v>
      </c>
      <c r="I64" s="286">
        <f ca="1">DATEDIF(Tabla3[[#This Row],[FECHA INGRESO]],IF(OR(Tabla3[[#This Row],[ESTADO]]="OK",Tabla3[[#This Row],[ESTADO]]="¡REGULARIZAR!")=TRUE,TODAY(),IF(Tabla3[[#This Row],[ULTIMO PAGO]]="",TODAY(),Tabla3[[#This Row],[ULTIMO PAGO]])),"m")</f>
        <v>1</v>
      </c>
      <c r="J64" s="18">
        <f>(_xlfn.MAXIFS(INGRESOS!A:A,INGRESOS!C:C,Tabla3[[#This Row],[CORREO]]))</f>
        <v>45866</v>
      </c>
      <c r="K64" s="7">
        <f ca="1">+IFERROR(Tabla3[[#This Row],[ABONADO NETO ]]/Tabla3[[#This Row],[MESES ACT]],Tabla3[[#This Row],[ABONO 1ER MES]])</f>
        <v>3869.24</v>
      </c>
      <c r="M64" s="287" t="s">
        <v>2139</v>
      </c>
      <c r="N64" s="288">
        <f>+SUMIF(INGRESOS!D:D,Tabla3[[#This Row],[ID STRIPE]],INGRESOS!J:J)</f>
        <v>3869.24</v>
      </c>
      <c r="O64" s="6">
        <v>22000</v>
      </c>
      <c r="P64" s="6">
        <f>+SUMIF('CALENDARIO INGRESOS'!A:A,Tabla3[[#This Row],[ID STRIPE]],'CALENDARIO INGRESOS'!I:I)</f>
        <v>4000</v>
      </c>
      <c r="Q64" s="6">
        <f>+SUMIF(INGRESOS!D:D,Tabla3[[#This Row],[ID STRIPE]],INGRESOS!G:G)</f>
        <v>4000</v>
      </c>
      <c r="R64" s="3" t="str">
        <f>IF(Tabla3[[#This Row],[ESTADO]]="OK",IF(COUNTIFS('CALENDARIO INGRESOS'!$A:$A,$D64,'CALENDARIO INGRESOS'!$H:$H,"LATAM",'CALENDARIO INGRESOS'!$L:$L,"&lt;&gt;PAGADA")&gt;0,"LATAM",
 IF(COUNTIFS('CALENDARIO INGRESOS'!$A:$A,$D64,'CALENDARIO INGRESOS'!$H:$H,"VISA",'CALENDARIO INGRESOS'!$L:$L,"&lt;&gt;PAGADA")&gt;0,"VISA",
  IF(COUNTIFS('CALENDARIO INGRESOS'!$A:$A,$D64,'CALENDARIO INGRESOS'!$H:$H,"FIRMA PA",'CALENDARIO INGRESOS'!$L:$L,"&lt;&gt;PAGADA")&gt;0,"FIRMA PA",
   IF(COUNTIFS('CALENDARIO INGRESOS'!$A:$A,$D64,'CALENDARIO INGRESOS'!$H:$H,"ALEM",'CALENDARIO INGRESOS'!$L:$L,"&lt;&gt;PAGADA")&gt;0,"ALEM","LISTO")))),"-")</f>
        <v>-</v>
      </c>
      <c r="S64" s="188">
        <f>+SUMIFS('CALENDARIO INGRESOS'!I:I,'CALENDARIO INGRESOS'!A:A,Tabla3[[#This Row],[ID STRIPE]],'CALENDARIO INGRESOS'!H:H,"LATAM")</f>
        <v>4000</v>
      </c>
      <c r="T64" s="188">
        <f>+IF(Tabla3[[#This Row],[MONTO LATAM]]-Tabla3[[#This Row],[IMPORTE ABONADO]]&gt;=0,Tabla3[[#This Row],[MONTO LATAM]]-Tabla3[[#This Row],[IMPORTE ABONADO]],0)</f>
        <v>0</v>
      </c>
      <c r="U64" s="188">
        <f>+SUMIFS('CALENDARIO INGRESOS'!J:J,'CALENDARIO INGRESOS'!B:B,Tabla3[[#This Row],[ID STRIPE]],'CALENDARIO INGRESOS'!I:I,"ALEM")</f>
        <v>0</v>
      </c>
      <c r="V64" s="6">
        <f>+SUMIFS('CALENDARIO INGRESOS'!I:I,'CALENDARIO INGRESOS'!A:A,Tabla3[[#This Row],[ID STRIPE]],'CALENDARIO INGRESOS'!H:H,"VISA")+SUMIFS('CALENDARIO INGRESOS'!I:I,'CALENDARIO INGRESOS'!A:A,Tabla3[[#This Row],[ID STRIPE]],'CALENDARIO INGRESOS'!H:H,"FIRMA PA")</f>
        <v>0</v>
      </c>
      <c r="W64" s="250">
        <v>0</v>
      </c>
      <c r="X64" s="57">
        <f>+IFERROR(AVERAGEIF('CALENDARIO INGRESOS'!A:A,Tabla3[[#This Row],[ID STRIPE]],'CALENDARIO INGRESOS'!M:M),"0")</f>
        <v>0</v>
      </c>
      <c r="Y64" s="18" t="s">
        <v>2093</v>
      </c>
      <c r="Z64" s="286">
        <f>+IFERROR(_xlfn.XLOOKUP(Tabla3[[#This Row],[ID LINGODA]],LINGODA!D:D,LINGODA!S:S),0)</f>
        <v>0</v>
      </c>
      <c r="AA64" s="18" t="str">
        <f>+IFERROR(_xlfn.XLOOKUP(Tabla3[[#This Row],[ID LINGODA]],LINGODA!D:D,LINGODA!F:F),"null")</f>
        <v>null</v>
      </c>
      <c r="AB64" s="286" t="str">
        <f>+IFERROR(_xlfn.XLOOKUP(Tabla3[[#This Row],[ID LINGODA]],LINGODA!D:D,LINGODA!G:G),"null")</f>
        <v>null</v>
      </c>
    </row>
    <row r="65" spans="1:28">
      <c r="A65" s="5" t="s">
        <v>2257</v>
      </c>
      <c r="B65" s="1" t="s">
        <v>2258</v>
      </c>
      <c r="C65" s="1" t="s">
        <v>12</v>
      </c>
      <c r="D65" s="1" t="s">
        <v>2259</v>
      </c>
      <c r="E65" s="57">
        <v>0</v>
      </c>
      <c r="F65" s="57"/>
      <c r="G65" s="18">
        <f>(_xlfn.MINIFS(INGRESOS!A:A,INGRESOS!C:C,Tabla3[[#This Row],[CORREO]]))</f>
        <v>45821</v>
      </c>
      <c r="H65" s="3">
        <f>+SUMIFS(INGRESOS!J:J,INGRESOS!D:D,Tabla3[[#This Row],[ID STRIPE]],INGRESOS!A:A,"&gt;="&amp;DATE(YEAR(Tabla3[[#This Row],[FECHA INGRESO]]),MONTH(Tabla3[[#This Row],[FECHA INGRESO]]),1),INGRESOS!A:A,"&lt;="&amp;DATE(YEAR(Tabla3[[#This Row],[FECHA INGRESO]]),MONTH(Tabla3[[#This Row],[FECHA INGRESO]])+1,0))</f>
        <v>241.62</v>
      </c>
      <c r="I65" s="286">
        <f ca="1">DATEDIF(Tabla3[[#This Row],[FECHA INGRESO]],IF(OR(Tabla3[[#This Row],[ESTADO]]="OK",Tabla3[[#This Row],[ESTADO]]="¡REGULARIZAR!")=TRUE,TODAY(),IF(Tabla3[[#This Row],[ULTIMO PAGO]]="",TODAY(),Tabla3[[#This Row],[ULTIMO PAGO]])),"m")</f>
        <v>0</v>
      </c>
      <c r="J65" s="18">
        <f>(_xlfn.MAXIFS(INGRESOS!A:A,INGRESOS!C:C,Tabla3[[#This Row],[CORREO]]))</f>
        <v>45821</v>
      </c>
      <c r="K65" s="7">
        <f ca="1">+IFERROR(Tabla3[[#This Row],[ABONADO NETO ]]/Tabla3[[#This Row],[MESES ACT]],Tabla3[[#This Row],[ABONO 1ER MES]])</f>
        <v>241.62</v>
      </c>
      <c r="M65" s="287" t="s">
        <v>2139</v>
      </c>
      <c r="N65" s="288">
        <f>+SUMIF(INGRESOS!D:D,Tabla3[[#This Row],[ID STRIPE]],INGRESOS!J:J)</f>
        <v>241.62</v>
      </c>
      <c r="O65" s="6">
        <v>0</v>
      </c>
      <c r="P65" s="6">
        <f>+SUMIF('CALENDARIO INGRESOS'!A:A,Tabla3[[#This Row],[ID STRIPE]],'CALENDARIO INGRESOS'!I:I)</f>
        <v>0</v>
      </c>
      <c r="Q65" s="6">
        <f>+SUMIF(INGRESOS!D:D,Tabla3[[#This Row],[ID STRIPE]],INGRESOS!G:G)</f>
        <v>250</v>
      </c>
      <c r="R65" s="3" t="str">
        <f>IF(Tabla3[[#This Row],[ESTADO]]="OK",IF(COUNTIFS('CALENDARIO INGRESOS'!$A:$A,$D65,'CALENDARIO INGRESOS'!$H:$H,"LATAM",'CALENDARIO INGRESOS'!$L:$L,"&lt;&gt;PAGADA")&gt;0,"LATAM",
 IF(COUNTIFS('CALENDARIO INGRESOS'!$A:$A,$D65,'CALENDARIO INGRESOS'!$H:$H,"VISA",'CALENDARIO INGRESOS'!$L:$L,"&lt;&gt;PAGADA")&gt;0,"VISA",
  IF(COUNTIFS('CALENDARIO INGRESOS'!$A:$A,$D65,'CALENDARIO INGRESOS'!$H:$H,"FIRMA PA",'CALENDARIO INGRESOS'!$L:$L,"&lt;&gt;PAGADA")&gt;0,"FIRMA PA",
   IF(COUNTIFS('CALENDARIO INGRESOS'!$A:$A,$D65,'CALENDARIO INGRESOS'!$H:$H,"ALEM",'CALENDARIO INGRESOS'!$L:$L,"&lt;&gt;PAGADA")&gt;0,"ALEM","LISTO")))),"-")</f>
        <v>-</v>
      </c>
      <c r="S65" s="188">
        <f>+SUMIFS('CALENDARIO INGRESOS'!I:I,'CALENDARIO INGRESOS'!A:A,Tabla3[[#This Row],[ID STRIPE]],'CALENDARIO INGRESOS'!H:H,"LATAM")</f>
        <v>0</v>
      </c>
      <c r="T65" s="188">
        <f>+IF(Tabla3[[#This Row],[MONTO LATAM]]-Tabla3[[#This Row],[IMPORTE ABONADO]]&gt;=0,Tabla3[[#This Row],[MONTO LATAM]]-Tabla3[[#This Row],[IMPORTE ABONADO]],0)</f>
        <v>0</v>
      </c>
      <c r="U65" s="188">
        <f>+SUMIFS('CALENDARIO INGRESOS'!J:J,'CALENDARIO INGRESOS'!B:B,Tabla3[[#This Row],[ID STRIPE]],'CALENDARIO INGRESOS'!I:I,"ALEM")</f>
        <v>0</v>
      </c>
      <c r="V65" s="6"/>
      <c r="W65" s="250">
        <v>0</v>
      </c>
      <c r="X65" s="57" t="str">
        <f>+IFERROR(AVERAGEIF('CALENDARIO INGRESOS'!A:A,Tabla3[[#This Row],[ID STRIPE]],'CALENDARIO INGRESOS'!M:M),"0")</f>
        <v>0</v>
      </c>
      <c r="Y65" s="18" t="s">
        <v>2093</v>
      </c>
      <c r="Z65" s="286">
        <f>+IFERROR(_xlfn.XLOOKUP(Tabla3[[#This Row],[ID LINGODA]],LINGODA!D:D,LINGODA!S:S),0)</f>
        <v>0</v>
      </c>
      <c r="AA65" s="18" t="str">
        <f>+IFERROR(_xlfn.XLOOKUP(Tabla3[[#This Row],[ID LINGODA]],LINGODA!D:D,LINGODA!F:F),"null")</f>
        <v>null</v>
      </c>
      <c r="AB65" s="286" t="str">
        <f>+IFERROR(_xlfn.XLOOKUP(Tabla3[[#This Row],[ID LINGODA]],LINGODA!D:D,LINGODA!G:G),"null")</f>
        <v>null</v>
      </c>
    </row>
    <row r="66" spans="1:28">
      <c r="A66" s="5" t="s">
        <v>2260</v>
      </c>
      <c r="B66" s="1" t="s">
        <v>2261</v>
      </c>
      <c r="C66" s="1" t="s">
        <v>21</v>
      </c>
      <c r="D66" s="1" t="s">
        <v>333</v>
      </c>
      <c r="E66" s="60">
        <v>1799500</v>
      </c>
      <c r="F66" s="60"/>
      <c r="G66" s="18">
        <f>(_xlfn.MINIFS(INGRESOS!A:A,INGRESOS!C:C,Tabla3[[#This Row],[CORREO]]))</f>
        <v>45821</v>
      </c>
      <c r="H66" s="3">
        <f>+SUMIFS(INGRESOS!J:J,INGRESOS!D:D,Tabla3[[#This Row],[ID STRIPE]],INGRESOS!A:A,"&gt;="&amp;DATE(YEAR(Tabla3[[#This Row],[FECHA INGRESO]]),MONTH(Tabla3[[#This Row],[FECHA INGRESO]]),1),INGRESOS!A:A,"&lt;="&amp;DATE(YEAR(Tabla3[[#This Row],[FECHA INGRESO]]),MONTH(Tabla3[[#This Row],[FECHA INGRESO]])+1,0))</f>
        <v>483.5</v>
      </c>
      <c r="I66" s="286">
        <f ca="1">DATEDIF(Tabla3[[#This Row],[FECHA INGRESO]],IF(OR(Tabla3[[#This Row],[ESTADO]]="OK",Tabla3[[#This Row],[ESTADO]]="¡REGULARIZAR!")=TRUE,TODAY(),IF(Tabla3[[#This Row],[ULTIMO PAGO]]="",TODAY(),Tabla3[[#This Row],[ULTIMO PAGO]])),"m")</f>
        <v>8</v>
      </c>
      <c r="J66" s="18">
        <f>(_xlfn.MAXIFS(INGRESOS!A:A,INGRESOS!C:C,Tabla3[[#This Row],[CORREO]]))</f>
        <v>46078</v>
      </c>
      <c r="K66" s="7">
        <f ca="1">+IFERROR(Tabla3[[#This Row],[ABONADO NETO ]]/Tabla3[[#This Row],[MESES ACT]],Tabla3[[#This Row],[ABONO 1ER MES]])</f>
        <v>1678.33</v>
      </c>
      <c r="M66" s="287" t="s">
        <v>2119</v>
      </c>
      <c r="N66" s="288">
        <f>+SUMIF(INGRESOS!D:D,Tabla3[[#This Row],[ID STRIPE]],INGRESOS!J:J)</f>
        <v>13426.64</v>
      </c>
      <c r="O66" s="6">
        <v>20400</v>
      </c>
      <c r="P66" s="6">
        <f>+SUMIF('CALENDARIO INGRESOS'!A:A,Tabla3[[#This Row],[ID STRIPE]],'CALENDARIO INGRESOS'!I:I)</f>
        <v>20256</v>
      </c>
      <c r="Q66" s="6">
        <f>+SUMIF(INGRESOS!D:D,Tabla3[[#This Row],[ID STRIPE]],INGRESOS!G:G)</f>
        <v>13880</v>
      </c>
      <c r="R66" s="3" t="str">
        <f>IF(Tabla3[[#This Row],[ESTADO]]="OK",IF(COUNTIFS('CALENDARIO INGRESOS'!$A:$A,$D66,'CALENDARIO INGRESOS'!$H:$H,"LATAM",'CALENDARIO INGRESOS'!$L:$L,"&lt;&gt;PAGADA")&gt;0,"LATAM",
 IF(COUNTIFS('CALENDARIO INGRESOS'!$A:$A,$D66,'CALENDARIO INGRESOS'!$H:$H,"VISA",'CALENDARIO INGRESOS'!$L:$L,"&lt;&gt;PAGADA")&gt;0,"VISA",
  IF(COUNTIFS('CALENDARIO INGRESOS'!$A:$A,$D66,'CALENDARIO INGRESOS'!$H:$H,"FIRMA PA",'CALENDARIO INGRESOS'!$L:$L,"&lt;&gt;PAGADA")&gt;0,"FIRMA PA",
   IF(COUNTIFS('CALENDARIO INGRESOS'!$A:$A,$D66,'CALENDARIO INGRESOS'!$H:$H,"ALEM",'CALENDARIO INGRESOS'!$L:$L,"&lt;&gt;PAGADA")&gt;0,"ALEM","LISTO")))),"-")</f>
        <v>ALEM</v>
      </c>
      <c r="S66" s="188">
        <f>+SUMIFS('CALENDARIO INGRESOS'!I:I,'CALENDARIO INGRESOS'!A:A,Tabla3[[#This Row],[ID STRIPE]],'CALENDARIO INGRESOS'!H:H,"LATAM")</f>
        <v>13880</v>
      </c>
      <c r="T66" s="188">
        <f>+IF(Tabla3[[#This Row],[MONTO LATAM]]-Tabla3[[#This Row],[IMPORTE ABONADO]]&gt;=0,Tabla3[[#This Row],[MONTO LATAM]]-Tabla3[[#This Row],[IMPORTE ABONADO]],0)</f>
        <v>0</v>
      </c>
      <c r="U66" s="188">
        <f>+SUMIFS('CALENDARIO INGRESOS'!I:I,'CALENDARIO INGRESOS'!A:A,Tabla3[[#This Row],[ID STRIPE]],'CALENDARIO INGRESOS'!H:H,"ALEM")</f>
        <v>6376</v>
      </c>
      <c r="V66" s="6">
        <f>+SUMIFS('CALENDARIO INGRESOS'!I:I,'CALENDARIO INGRESOS'!A:A,Tabla3[[#This Row],[ID STRIPE]],'CALENDARIO INGRESOS'!H:H,"VISA")+SUMIFS('CALENDARIO INGRESOS'!I:I,'CALENDARIO INGRESOS'!A:A,Tabla3[[#This Row],[ID STRIPE]],'CALENDARIO INGRESOS'!H:H,"FIRMA PA")</f>
        <v>0</v>
      </c>
      <c r="W66" s="250">
        <v>1</v>
      </c>
      <c r="X66" s="60">
        <f>+IFERROR(AVERAGEIF('CALENDARIO INGRESOS'!A:A,Tabla3[[#This Row],[ID STRIPE]],'CALENDARIO INGRESOS'!M:M),"0")</f>
        <v>0.1157407407331953</v>
      </c>
      <c r="Y66" s="18">
        <v>46068</v>
      </c>
      <c r="Z66" s="286">
        <f>+IFERROR(_xlfn.XLOOKUP(Tabla3[[#This Row],[ID LINGODA]],LINGODA!D:D,LINGODA!S:S),0)</f>
        <v>231</v>
      </c>
      <c r="AA66" s="18" t="str">
        <f>+IFERROR(_xlfn.XLOOKUP(Tabla3[[#This Row],[ID LINGODA]],LINGODA!D:D,LINGODA!F:F),"null")</f>
        <v>B1.1</v>
      </c>
      <c r="AB66" s="286" t="str">
        <f>+IFERROR(_xlfn.XLOOKUP(Tabla3[[#This Row],[ID LINGODA]],LINGODA!D:D,LINGODA!G:G),"null")</f>
        <v>C1.1</v>
      </c>
    </row>
    <row r="67" spans="1:28">
      <c r="A67" s="5" t="s">
        <v>2262</v>
      </c>
      <c r="B67" s="1" t="s">
        <v>2263</v>
      </c>
      <c r="C67" s="1" t="s">
        <v>13</v>
      </c>
      <c r="D67" s="1" t="s">
        <v>350</v>
      </c>
      <c r="E67" s="60">
        <v>1801519</v>
      </c>
      <c r="F67" s="60"/>
      <c r="G67" s="18">
        <f>(_xlfn.MINIFS(INGRESOS!A:A,INGRESOS!C:C,Tabla3[[#This Row],[CORREO]]))</f>
        <v>45827</v>
      </c>
      <c r="H67" s="3">
        <f>+SUMIFS(INGRESOS!J:J,INGRESOS!D:D,Tabla3[[#This Row],[ID STRIPE]],INGRESOS!A:A,"&gt;="&amp;DATE(YEAR(Tabla3[[#This Row],[FECHA INGRESO]]),MONTH(Tabla3[[#This Row],[FECHA INGRESO]]),1),INGRESOS!A:A,"&lt;="&amp;DATE(YEAR(Tabla3[[#This Row],[FECHA INGRESO]]),MONTH(Tabla3[[#This Row],[FECHA INGRESO]])+1,0))</f>
        <v>241.62</v>
      </c>
      <c r="I67" s="286">
        <f ca="1">DATEDIF(Tabla3[[#This Row],[FECHA INGRESO]],IF(OR(Tabla3[[#This Row],[ESTADO]]="OK",Tabla3[[#This Row],[ESTADO]]="¡REGULARIZAR!")=TRUE,TODAY(),IF(Tabla3[[#This Row],[ULTIMO PAGO]]="",TODAY(),Tabla3[[#This Row],[ULTIMO PAGO]])),"m")</f>
        <v>8</v>
      </c>
      <c r="J67" s="18">
        <f>(_xlfn.MAXIFS(INGRESOS!A:A,INGRESOS!C:C,Tabla3[[#This Row],[CORREO]]))</f>
        <v>46082</v>
      </c>
      <c r="K67" s="7">
        <f ca="1">+IFERROR(Tabla3[[#This Row],[ABONADO NETO ]]/Tabla3[[#This Row],[MESES ACT]],Tabla3[[#This Row],[ABONO 1ER MES]])</f>
        <v>1450.93625</v>
      </c>
      <c r="M67" s="287" t="s">
        <v>2119</v>
      </c>
      <c r="N67" s="288">
        <f>+SUMIF(INGRESOS!D:D,Tabla3[[#This Row],[ID STRIPE]],INGRESOS!J:J)</f>
        <v>11607.49</v>
      </c>
      <c r="O67" s="6">
        <v>22000</v>
      </c>
      <c r="P67" s="6">
        <f>+SUMIF('CALENDARIO INGRESOS'!A:A,Tabla3[[#This Row],[ID STRIPE]],'CALENDARIO INGRESOS'!I:I)</f>
        <v>22000</v>
      </c>
      <c r="Q67" s="6">
        <f>+SUMIF(INGRESOS!D:D,Tabla3[[#This Row],[ID STRIPE]],INGRESOS!G:G)</f>
        <v>12000</v>
      </c>
      <c r="R67" s="3" t="str">
        <f>IF(Tabla3[[#This Row],[ESTADO]]="OK",IF(COUNTIFS('CALENDARIO INGRESOS'!$A:$A,$D67,'CALENDARIO INGRESOS'!$H:$H,"LATAM",'CALENDARIO INGRESOS'!$L:$L,"&lt;&gt;PAGADA")&gt;0,"LATAM",
 IF(COUNTIFS('CALENDARIO INGRESOS'!$A:$A,$D67,'CALENDARIO INGRESOS'!$H:$H,"VISA",'CALENDARIO INGRESOS'!$L:$L,"&lt;&gt;PAGADA")&gt;0,"VISA",
  IF(COUNTIFS('CALENDARIO INGRESOS'!$A:$A,$D67,'CALENDARIO INGRESOS'!$H:$H,"FIRMA PA",'CALENDARIO INGRESOS'!$L:$L,"&lt;&gt;PAGADA")&gt;0,"FIRMA PA",
   IF(COUNTIFS('CALENDARIO INGRESOS'!$A:$A,$D67,'CALENDARIO INGRESOS'!$H:$H,"ALEM",'CALENDARIO INGRESOS'!$L:$L,"&lt;&gt;PAGADA")&gt;0,"ALEM","LISTO")))),"-")</f>
        <v>LATAM</v>
      </c>
      <c r="S67" s="188">
        <f>+SUMIFS('CALENDARIO INGRESOS'!I:I,'CALENDARIO INGRESOS'!A:A,Tabla3[[#This Row],[ID STRIPE]],'CALENDARIO INGRESOS'!H:H,"LATAM")</f>
        <v>16000</v>
      </c>
      <c r="T67" s="188">
        <f>+IF(Tabla3[[#This Row],[MONTO LATAM]]-Tabla3[[#This Row],[IMPORTE ABONADO]]&gt;=0,Tabla3[[#This Row],[MONTO LATAM]]-Tabla3[[#This Row],[IMPORTE ABONADO]],0)</f>
        <v>4000</v>
      </c>
      <c r="U67" s="188">
        <f>+SUMIFS('CALENDARIO INGRESOS'!I:I,'CALENDARIO INGRESOS'!A:A,Tabla3[[#This Row],[ID STRIPE]],'CALENDARIO INGRESOS'!H:H,"ALEM")</f>
        <v>6000</v>
      </c>
      <c r="V67" s="6">
        <f>+SUMIFS('CALENDARIO INGRESOS'!I:I,'CALENDARIO INGRESOS'!A:A,Tabla3[[#This Row],[ID STRIPE]],'CALENDARIO INGRESOS'!H:H,"VISA")+SUMIFS('CALENDARIO INGRESOS'!I:I,'CALENDARIO INGRESOS'!A:A,Tabla3[[#This Row],[ID STRIPE]],'CALENDARIO INGRESOS'!H:H,"FIRMA PA")</f>
        <v>0</v>
      </c>
      <c r="W67" s="250">
        <v>1</v>
      </c>
      <c r="X67" s="60">
        <f>+IFERROR(AVERAGEIF('CALENDARIO INGRESOS'!A:A,Tabla3[[#This Row],[ID STRIPE]],'CALENDARIO INGRESOS'!M:M),"0")</f>
        <v>-0.3</v>
      </c>
      <c r="Y67" s="18" t="s">
        <v>2093</v>
      </c>
      <c r="Z67" s="286">
        <f>+IFERROR(_xlfn.XLOOKUP(Tabla3[[#This Row],[ID LINGODA]],LINGODA!D:D,LINGODA!S:S),0)</f>
        <v>6</v>
      </c>
      <c r="AA67" s="18" t="str">
        <f>+IFERROR(_xlfn.XLOOKUP(Tabla3[[#This Row],[ID LINGODA]],LINGODA!D:D,LINGODA!F:F),"null")</f>
        <v>A1.1</v>
      </c>
      <c r="AB67" s="286" t="str">
        <f>+IFERROR(_xlfn.XLOOKUP(Tabla3[[#This Row],[ID LINGODA]],LINGODA!D:D,LINGODA!G:G),"null")</f>
        <v>A1.1</v>
      </c>
    </row>
    <row r="68" spans="1:28">
      <c r="A68" s="5" t="s">
        <v>2264</v>
      </c>
      <c r="B68" s="1" t="s">
        <v>2265</v>
      </c>
      <c r="C68" s="1" t="s">
        <v>20</v>
      </c>
      <c r="D68" s="1" t="s">
        <v>362</v>
      </c>
      <c r="E68" s="60">
        <v>1801517</v>
      </c>
      <c r="F68" s="60"/>
      <c r="G68" s="18">
        <f>(_xlfn.MINIFS(INGRESOS!A:A,INGRESOS!C:C,Tabla3[[#This Row],[CORREO]]))</f>
        <v>45830</v>
      </c>
      <c r="H68" s="3">
        <f>+SUMIFS(INGRESOS!J:J,INGRESOS!D:D,Tabla3[[#This Row],[ID STRIPE]],INGRESOS!A:A,"&gt;="&amp;DATE(YEAR(Tabla3[[#This Row],[FECHA INGRESO]]),MONTH(Tabla3[[#This Row],[FECHA INGRESO]]),1),INGRESOS!A:A,"&lt;="&amp;DATE(YEAR(Tabla3[[#This Row],[FECHA INGRESO]]),MONTH(Tabla3[[#This Row],[FECHA INGRESO]])+1,0))</f>
        <v>241.62</v>
      </c>
      <c r="I68" s="286">
        <f ca="1">DATEDIF(Tabla3[[#This Row],[FECHA INGRESO]],IF(OR(Tabla3[[#This Row],[ESTADO]]="OK",Tabla3[[#This Row],[ESTADO]]="¡REGULARIZAR!")=TRUE,TODAY(),IF(Tabla3[[#This Row],[ULTIMO PAGO]]="",TODAY(),Tabla3[[#This Row],[ULTIMO PAGO]])),"m")</f>
        <v>8</v>
      </c>
      <c r="J68" s="18">
        <f>(_xlfn.MAXIFS(INGRESOS!A:A,INGRESOS!C:C,Tabla3[[#This Row],[CORREO]]))</f>
        <v>46069</v>
      </c>
      <c r="K68" s="7">
        <f ca="1">+IFERROR(Tabla3[[#This Row],[ABONADO NETO ]]/Tabla3[[#This Row],[MESES ACT]],Tabla3[[#This Row],[ABONO 1ER MES]])</f>
        <v>1233.28</v>
      </c>
      <c r="M68" s="287" t="s">
        <v>2119</v>
      </c>
      <c r="N68" s="288">
        <f>+SUMIF(INGRESOS!D:D,Tabla3[[#This Row],[ID STRIPE]],INGRESOS!J:J)</f>
        <v>9866.24</v>
      </c>
      <c r="O68" s="6">
        <v>21000</v>
      </c>
      <c r="P68" s="6">
        <f>+SUMIF('CALENDARIO INGRESOS'!A:A,Tabla3[[#This Row],[ID STRIPE]],'CALENDARIO INGRESOS'!I:I)</f>
        <v>21000</v>
      </c>
      <c r="Q68" s="6">
        <f>+SUMIF(INGRESOS!D:D,Tabla3[[#This Row],[ID STRIPE]],INGRESOS!G:G)</f>
        <v>10000</v>
      </c>
      <c r="R68" s="3" t="str">
        <f>IF(Tabla3[[#This Row],[ESTADO]]="OK",IF(COUNTIFS('CALENDARIO INGRESOS'!$A:$A,$D68,'CALENDARIO INGRESOS'!$H:$H,"LATAM",'CALENDARIO INGRESOS'!$L:$L,"&lt;&gt;PAGADA")&gt;0,"LATAM",
 IF(COUNTIFS('CALENDARIO INGRESOS'!$A:$A,$D68,'CALENDARIO INGRESOS'!$H:$H,"VISA",'CALENDARIO INGRESOS'!$L:$L,"&lt;&gt;PAGADA")&gt;0,"VISA",
  IF(COUNTIFS('CALENDARIO INGRESOS'!$A:$A,$D68,'CALENDARIO INGRESOS'!$H:$H,"FIRMA PA",'CALENDARIO INGRESOS'!$L:$L,"&lt;&gt;PAGADA")&gt;0,"FIRMA PA",
   IF(COUNTIFS('CALENDARIO INGRESOS'!$A:$A,$D68,'CALENDARIO INGRESOS'!$H:$H,"ALEM",'CALENDARIO INGRESOS'!$L:$L,"&lt;&gt;PAGADA")&gt;0,"ALEM","LISTO")))),"-")</f>
        <v>LATAM</v>
      </c>
      <c r="S68" s="188">
        <f>+SUMIFS('CALENDARIO INGRESOS'!I:I,'CALENDARIO INGRESOS'!A:A,Tabla3[[#This Row],[ID STRIPE]],'CALENDARIO INGRESOS'!H:H,"LATAM")</f>
        <v>16000</v>
      </c>
      <c r="T68" s="188">
        <f>+IF(Tabla3[[#This Row],[MONTO LATAM]]-Tabla3[[#This Row],[IMPORTE ABONADO]]&gt;=0,Tabla3[[#This Row],[MONTO LATAM]]-Tabla3[[#This Row],[IMPORTE ABONADO]],0)</f>
        <v>6000</v>
      </c>
      <c r="U68" s="188">
        <f>+SUMIFS('CALENDARIO INGRESOS'!I:I,'CALENDARIO INGRESOS'!A:A,Tabla3[[#This Row],[ID STRIPE]],'CALENDARIO INGRESOS'!H:H,"ALEM")</f>
        <v>5000</v>
      </c>
      <c r="V68" s="6">
        <f>+SUMIFS('CALENDARIO INGRESOS'!I:I,'CALENDARIO INGRESOS'!A:A,Tabla3[[#This Row],[ID STRIPE]],'CALENDARIO INGRESOS'!H:H,"VISA")+SUMIFS('CALENDARIO INGRESOS'!I:I,'CALENDARIO INGRESOS'!A:A,Tabla3[[#This Row],[ID STRIPE]],'CALENDARIO INGRESOS'!H:H,"FIRMA PA")</f>
        <v>0</v>
      </c>
      <c r="W68" s="250">
        <v>1</v>
      </c>
      <c r="X68" s="60">
        <f>+IFERROR(AVERAGEIF('CALENDARIO INGRESOS'!A:A,Tabla3[[#This Row],[ID STRIPE]],'CALENDARIO INGRESOS'!M:M),"0")</f>
        <v>-2.1538461538461537</v>
      </c>
      <c r="Y68" s="18">
        <v>46235</v>
      </c>
      <c r="Z68" s="286">
        <f>+IFERROR(_xlfn.XLOOKUP(Tabla3[[#This Row],[ID LINGODA]],LINGODA!D:D,LINGODA!S:S),0)</f>
        <v>43</v>
      </c>
      <c r="AA68" s="18" t="str">
        <f>+IFERROR(_xlfn.XLOOKUP(Tabla3[[#This Row],[ID LINGODA]],LINGODA!D:D,LINGODA!F:F),"null")</f>
        <v>B1.1</v>
      </c>
      <c r="AB68" s="286" t="str">
        <f>+IFERROR(_xlfn.XLOOKUP(Tabla3[[#This Row],[ID LINGODA]],LINGODA!D:D,LINGODA!G:G),"null")</f>
        <v>B1.1</v>
      </c>
    </row>
    <row r="69" spans="1:28">
      <c r="A69" s="5" t="s">
        <v>2266</v>
      </c>
      <c r="B69" s="1" t="s">
        <v>2267</v>
      </c>
      <c r="C69" s="1" t="s">
        <v>12</v>
      </c>
      <c r="D69" s="1" t="s">
        <v>325</v>
      </c>
      <c r="E69" s="60">
        <v>1800680</v>
      </c>
      <c r="F69" s="60"/>
      <c r="G69" s="18">
        <f>(_xlfn.MINIFS(INGRESOS!A:A,INGRESOS!C:C,Tabla3[[#This Row],[CORREO]]))</f>
        <v>45831</v>
      </c>
      <c r="H69" s="3">
        <f>+SUMIFS(INGRESOS!J:J,INGRESOS!D:D,Tabla3[[#This Row],[ID STRIPE]],INGRESOS!A:A,"&gt;="&amp;DATE(YEAR(Tabla3[[#This Row],[FECHA INGRESO]]),MONTH(Tabla3[[#This Row],[FECHA INGRESO]]),1),INGRESOS!A:A,"&lt;="&amp;DATE(YEAR(Tabla3[[#This Row],[FECHA INGRESO]]),MONTH(Tabla3[[#This Row],[FECHA INGRESO]])+1,0))</f>
        <v>500</v>
      </c>
      <c r="I69" s="286">
        <f ca="1">DATEDIF(Tabla3[[#This Row],[FECHA INGRESO]],IF(OR(Tabla3[[#This Row],[ESTADO]]="OK",Tabla3[[#This Row],[ESTADO]]="¡REGULARIZAR!")=TRUE,TODAY(),IF(Tabla3[[#This Row],[ULTIMO PAGO]]="",TODAY(),Tabla3[[#This Row],[ULTIMO PAGO]])),"m")</f>
        <v>8</v>
      </c>
      <c r="J69" s="18">
        <f>(_xlfn.MAXIFS(INGRESOS!A:A,INGRESOS!C:C,Tabla3[[#This Row],[CORREO]]))</f>
        <v>46074</v>
      </c>
      <c r="K69" s="7">
        <f ca="1">+IFERROR(Tabla3[[#This Row],[ABONADO NETO ]]/Tabla3[[#This Row],[MESES ACT]],Tabla3[[#This Row],[ABONO 1ER MES]])</f>
        <v>985.5625</v>
      </c>
      <c r="M69" s="287" t="s">
        <v>2119</v>
      </c>
      <c r="N69" s="288">
        <f>+SUMIF(INGRESOS!D:D,Tabla3[[#This Row],[ID STRIPE]],INGRESOS!J:J)</f>
        <v>7884.5</v>
      </c>
      <c r="O69" s="6">
        <v>22000</v>
      </c>
      <c r="P69" s="6">
        <f>+SUMIF('CALENDARIO INGRESOS'!A:A,Tabla3[[#This Row],[ID STRIPE]],'CALENDARIO INGRESOS'!I:I)</f>
        <v>22000</v>
      </c>
      <c r="Q69" s="6">
        <f>+SUMIF(INGRESOS!D:D,Tabla3[[#This Row],[ID STRIPE]],INGRESOS!G:G)</f>
        <v>8000</v>
      </c>
      <c r="R69" s="3" t="str">
        <f>IF(Tabla3[[#This Row],[ESTADO]]="OK",IF(COUNTIFS('CALENDARIO INGRESOS'!$A:$A,$D69,'CALENDARIO INGRESOS'!$H:$H,"LATAM",'CALENDARIO INGRESOS'!$L:$L,"&lt;&gt;PAGADA")&gt;0,"LATAM",
 IF(COUNTIFS('CALENDARIO INGRESOS'!$A:$A,$D69,'CALENDARIO INGRESOS'!$H:$H,"VISA",'CALENDARIO INGRESOS'!$L:$L,"&lt;&gt;PAGADA")&gt;0,"VISA",
  IF(COUNTIFS('CALENDARIO INGRESOS'!$A:$A,$D69,'CALENDARIO INGRESOS'!$H:$H,"FIRMA PA",'CALENDARIO INGRESOS'!$L:$L,"&lt;&gt;PAGADA")&gt;0,"FIRMA PA",
   IF(COUNTIFS('CALENDARIO INGRESOS'!$A:$A,$D69,'CALENDARIO INGRESOS'!$H:$H,"ALEM",'CALENDARIO INGRESOS'!$L:$L,"&lt;&gt;PAGADA")&gt;0,"ALEM","LISTO")))),"-")</f>
        <v>LATAM</v>
      </c>
      <c r="S69" s="188">
        <f>+SUMIFS('CALENDARIO INGRESOS'!I:I,'CALENDARIO INGRESOS'!A:A,Tabla3[[#This Row],[ID STRIPE]],'CALENDARIO INGRESOS'!H:H,"LATAM")</f>
        <v>16000</v>
      </c>
      <c r="T69" s="188">
        <f>+IF(Tabla3[[#This Row],[MONTO LATAM]]-Tabla3[[#This Row],[IMPORTE ABONADO]]&gt;=0,Tabla3[[#This Row],[MONTO LATAM]]-Tabla3[[#This Row],[IMPORTE ABONADO]],0)</f>
        <v>8000</v>
      </c>
      <c r="U69" s="188">
        <f>+SUMIFS('CALENDARIO INGRESOS'!I:I,'CALENDARIO INGRESOS'!A:A,Tabla3[[#This Row],[ID STRIPE]],'CALENDARIO INGRESOS'!H:H,"ALEM")</f>
        <v>6000</v>
      </c>
      <c r="V69" s="6">
        <f>+SUMIFS('CALENDARIO INGRESOS'!I:I,'CALENDARIO INGRESOS'!A:A,Tabla3[[#This Row],[ID STRIPE]],'CALENDARIO INGRESOS'!H:H,"VISA")+SUMIFS('CALENDARIO INGRESOS'!I:I,'CALENDARIO INGRESOS'!A:A,Tabla3[[#This Row],[ID STRIPE]],'CALENDARIO INGRESOS'!H:H,"FIRMA PA")</f>
        <v>0</v>
      </c>
      <c r="W69" s="250">
        <v>1</v>
      </c>
      <c r="X69" s="60">
        <f>+IFERROR(AVERAGEIF('CALENDARIO INGRESOS'!A:A,Tabla3[[#This Row],[ID STRIPE]],'CALENDARIO INGRESOS'!M:M),"0")</f>
        <v>-3.6666666666666665</v>
      </c>
      <c r="Y69" s="18">
        <v>46023</v>
      </c>
      <c r="Z69" s="286">
        <f>+IFERROR(_xlfn.XLOOKUP(Tabla3[[#This Row],[ID LINGODA]],LINGODA!D:D,LINGODA!S:S),0)</f>
        <v>17</v>
      </c>
      <c r="AA69" s="18" t="str">
        <f>+IFERROR(_xlfn.XLOOKUP(Tabla3[[#This Row],[ID LINGODA]],LINGODA!D:D,LINGODA!F:F),"null")</f>
        <v>A1.1</v>
      </c>
      <c r="AB69" s="286" t="str">
        <f>+IFERROR(_xlfn.XLOOKUP(Tabla3[[#This Row],[ID LINGODA]],LINGODA!D:D,LINGODA!G:G),"null")</f>
        <v>A1.1</v>
      </c>
    </row>
    <row r="70" spans="1:28">
      <c r="A70" s="5" t="s">
        <v>2268</v>
      </c>
      <c r="B70" s="1" t="s">
        <v>2269</v>
      </c>
      <c r="C70" s="1" t="s">
        <v>11</v>
      </c>
      <c r="D70" s="1" t="s">
        <v>367</v>
      </c>
      <c r="E70" s="60">
        <v>1798175</v>
      </c>
      <c r="F70" s="60"/>
      <c r="G70" s="18">
        <f>(_xlfn.MINIFS(INGRESOS!A:A,INGRESOS!C:C,Tabla3[[#This Row],[CORREO]]))</f>
        <v>45833</v>
      </c>
      <c r="H70" s="3">
        <f>+SUMIFS(INGRESOS!J:J,INGRESOS!D:D,Tabla3[[#This Row],[ID STRIPE]],INGRESOS!A:A,"&gt;="&amp;DATE(YEAR(Tabla3[[#This Row],[FECHA INGRESO]]),MONTH(Tabla3[[#This Row],[FECHA INGRESO]]),1),INGRESOS!A:A,"&lt;="&amp;DATE(YEAR(Tabla3[[#This Row],[FECHA INGRESO]]),MONTH(Tabla3[[#This Row],[FECHA INGRESO]])+1,0))</f>
        <v>4104.1474480863008</v>
      </c>
      <c r="I70" s="286">
        <f ca="1">DATEDIF(Tabla3[[#This Row],[FECHA INGRESO]],IF(OR(Tabla3[[#This Row],[ESTADO]]="OK",Tabla3[[#This Row],[ESTADO]]="¡REGULARIZAR!")=TRUE,TODAY(),IF(Tabla3[[#This Row],[ULTIMO PAGO]]="",TODAY(),Tabla3[[#This Row],[ULTIMO PAGO]])),"m")</f>
        <v>8</v>
      </c>
      <c r="J70" s="18">
        <f>(_xlfn.MAXIFS(INGRESOS!A:A,INGRESOS!C:C,Tabla3[[#This Row],[CORREO]]))</f>
        <v>46055</v>
      </c>
      <c r="K70" s="7">
        <f ca="1">+IFERROR(Tabla3[[#This Row],[ABONADO NETO ]]/Tabla3[[#This Row],[MESES ACT]],Tabla3[[#This Row],[ABONO 1ER MES]])</f>
        <v>525.08093101078759</v>
      </c>
      <c r="M70" s="287" t="s">
        <v>2119</v>
      </c>
      <c r="N70" s="288">
        <f>+SUMIF(INGRESOS!D:D,Tabla3[[#This Row],[ID STRIPE]],INGRESOS!J:J)</f>
        <v>4200.6474480863008</v>
      </c>
      <c r="O70" s="6">
        <v>22000</v>
      </c>
      <c r="P70" s="6">
        <f>+SUMIF('CALENDARIO INGRESOS'!A:A,Tabla3[[#This Row],[ID STRIPE]],'CALENDARIO INGRESOS'!I:I)</f>
        <v>22000</v>
      </c>
      <c r="Q70" s="6">
        <f>+SUMIF(INGRESOS!D:D,Tabla3[[#This Row],[ID STRIPE]],INGRESOS!G:G)</f>
        <v>4204.1474480863008</v>
      </c>
      <c r="R70" s="3" t="str">
        <f>IF(Tabla3[[#This Row],[ESTADO]]="OK",IF(COUNTIFS('CALENDARIO INGRESOS'!$A:$A,$D70,'CALENDARIO INGRESOS'!$H:$H,"LATAM",'CALENDARIO INGRESOS'!$L:$L,"&lt;&gt;PAGADA")&gt;0,"LATAM",
 IF(COUNTIFS('CALENDARIO INGRESOS'!$A:$A,$D70,'CALENDARIO INGRESOS'!$H:$H,"VISA",'CALENDARIO INGRESOS'!$L:$L,"&lt;&gt;PAGADA")&gt;0,"VISA",
  IF(COUNTIFS('CALENDARIO INGRESOS'!$A:$A,$D70,'CALENDARIO INGRESOS'!$H:$H,"FIRMA PA",'CALENDARIO INGRESOS'!$L:$L,"&lt;&gt;PAGADA")&gt;0,"FIRMA PA",
   IF(COUNTIFS('CALENDARIO INGRESOS'!$A:$A,$D70,'CALENDARIO INGRESOS'!$H:$H,"ALEM",'CALENDARIO INGRESOS'!$L:$L,"&lt;&gt;PAGADA")&gt;0,"ALEM","LISTO")))),"-")</f>
        <v>LATAM</v>
      </c>
      <c r="S70" s="188">
        <f>+SUMIFS('CALENDARIO INGRESOS'!I:I,'CALENDARIO INGRESOS'!A:A,Tabla3[[#This Row],[ID STRIPE]],'CALENDARIO INGRESOS'!H:H,"LATAM")</f>
        <v>16000</v>
      </c>
      <c r="T70" s="188">
        <f>+IF(Tabla3[[#This Row],[MONTO LATAM]]-Tabla3[[#This Row],[IMPORTE ABONADO]]&gt;=0,Tabla3[[#This Row],[MONTO LATAM]]-Tabla3[[#This Row],[IMPORTE ABONADO]],0)</f>
        <v>11795.8525519137</v>
      </c>
      <c r="U70" s="188">
        <f>+SUMIFS('CALENDARIO INGRESOS'!I:I,'CALENDARIO INGRESOS'!A:A,Tabla3[[#This Row],[ID STRIPE]],'CALENDARIO INGRESOS'!H:H,"ALEM")</f>
        <v>6000</v>
      </c>
      <c r="V70" s="6">
        <f>+SUMIFS('CALENDARIO INGRESOS'!I:I,'CALENDARIO INGRESOS'!A:A,Tabla3[[#This Row],[ID STRIPE]],'CALENDARIO INGRESOS'!H:H,"VISA")+SUMIFS('CALENDARIO INGRESOS'!I:I,'CALENDARIO INGRESOS'!A:A,Tabla3[[#This Row],[ID STRIPE]],'CALENDARIO INGRESOS'!H:H,"FIRMA PA")</f>
        <v>0</v>
      </c>
      <c r="W70" s="252">
        <v>0</v>
      </c>
      <c r="X70" s="60">
        <f>+IFERROR(AVERAGEIF('CALENDARIO INGRESOS'!A:A,Tabla3[[#This Row],[ID STRIPE]],'CALENDARIO INGRESOS'!M:M),"0")</f>
        <v>-11.5</v>
      </c>
      <c r="Y70" s="18">
        <v>46388</v>
      </c>
      <c r="Z70" s="286">
        <f>+IFERROR(_xlfn.XLOOKUP(Tabla3[[#This Row],[ID LINGODA]],LINGODA!D:D,LINGODA!S:S),0)</f>
        <v>24</v>
      </c>
      <c r="AA70" s="18" t="str">
        <f>+IFERROR(_xlfn.XLOOKUP(Tabla3[[#This Row],[ID LINGODA]],LINGODA!D:D,LINGODA!F:F),"null")</f>
        <v>A1.1</v>
      </c>
      <c r="AB70" s="286" t="str">
        <f>+IFERROR(_xlfn.XLOOKUP(Tabla3[[#This Row],[ID LINGODA]],LINGODA!D:D,LINGODA!G:G),"null")</f>
        <v>A1.1</v>
      </c>
    </row>
    <row r="71" spans="1:28">
      <c r="A71" s="5" t="s">
        <v>2270</v>
      </c>
      <c r="B71" s="1" t="s">
        <v>2271</v>
      </c>
      <c r="C71" s="1" t="s">
        <v>11</v>
      </c>
      <c r="D71" s="1" t="s">
        <v>372</v>
      </c>
      <c r="E71" s="60">
        <v>1804001</v>
      </c>
      <c r="F71" s="60"/>
      <c r="G71" s="18">
        <f>(_xlfn.MINIFS(INGRESOS!A:A,INGRESOS!C:C,Tabla3[[#This Row],[CORREO]]))</f>
        <v>45836</v>
      </c>
      <c r="H71" s="3">
        <f>+SUMIFS(INGRESOS!J:J,INGRESOS!D:D,Tabla3[[#This Row],[ID STRIPE]],INGRESOS!A:A,"&gt;="&amp;DATE(YEAR(Tabla3[[#This Row],[FECHA INGRESO]]),MONTH(Tabla3[[#This Row],[FECHA INGRESO]]),1),INGRESOS!A:A,"&lt;="&amp;DATE(YEAR(Tabla3[[#This Row],[FECHA INGRESO]]),MONTH(Tabla3[[#This Row],[FECHA INGRESO]])+1,0))</f>
        <v>3869.75</v>
      </c>
      <c r="I71" s="286">
        <f ca="1">DATEDIF(Tabla3[[#This Row],[FECHA INGRESO]],IF(OR(Tabla3[[#This Row],[ESTADO]]="OK",Tabla3[[#This Row],[ESTADO]]="¡REGULARIZAR!")=TRUE,TODAY(),IF(Tabla3[[#This Row],[ULTIMO PAGO]]="",TODAY(),Tabla3[[#This Row],[ULTIMO PAGO]])),"m")</f>
        <v>8</v>
      </c>
      <c r="J71" s="18">
        <f>(_xlfn.MAXIFS(INGRESOS!A:A,INGRESOS!C:C,Tabla3[[#This Row],[CORREO]]))</f>
        <v>46078</v>
      </c>
      <c r="K71" s="7">
        <f ca="1">+IFERROR(Tabla3[[#This Row],[ABONADO NETO ]]/Tabla3[[#This Row],[MESES ACT]],Tabla3[[#This Row],[ABONO 1ER MES]])</f>
        <v>1450.96875</v>
      </c>
      <c r="M71" s="287" t="s">
        <v>2119</v>
      </c>
      <c r="N71" s="288">
        <f>+SUMIF(INGRESOS!D:D,Tabla3[[#This Row],[ID STRIPE]],INGRESOS!J:J)</f>
        <v>11607.75</v>
      </c>
      <c r="O71" s="6">
        <v>22000</v>
      </c>
      <c r="P71" s="6">
        <f>+SUMIF('CALENDARIO INGRESOS'!A:A,Tabla3[[#This Row],[ID STRIPE]],'CALENDARIO INGRESOS'!I:I)</f>
        <v>21856</v>
      </c>
      <c r="Q71" s="6">
        <f>+SUMIF(INGRESOS!D:D,Tabla3[[#This Row],[ID STRIPE]],INGRESOS!G:G)</f>
        <v>12000</v>
      </c>
      <c r="R71" s="3" t="str">
        <f>IF(Tabla3[[#This Row],[ESTADO]]="OK",IF(COUNTIFS('CALENDARIO INGRESOS'!$A:$A,$D71,'CALENDARIO INGRESOS'!$H:$H,"LATAM",'CALENDARIO INGRESOS'!$L:$L,"&lt;&gt;PAGADA")&gt;0,"LATAM",
 IF(COUNTIFS('CALENDARIO INGRESOS'!$A:$A,$D71,'CALENDARIO INGRESOS'!$H:$H,"VISA",'CALENDARIO INGRESOS'!$L:$L,"&lt;&gt;PAGADA")&gt;0,"VISA",
  IF(COUNTIFS('CALENDARIO INGRESOS'!$A:$A,$D71,'CALENDARIO INGRESOS'!$H:$H,"FIRMA PA",'CALENDARIO INGRESOS'!$L:$L,"&lt;&gt;PAGADA")&gt;0,"FIRMA PA",
   IF(COUNTIFS('CALENDARIO INGRESOS'!$A:$A,$D71,'CALENDARIO INGRESOS'!$H:$H,"ALEM",'CALENDARIO INGRESOS'!$L:$L,"&lt;&gt;PAGADA")&gt;0,"ALEM","LISTO")))),"-")</f>
        <v>LATAM</v>
      </c>
      <c r="S71" s="188">
        <f>+SUMIFS('CALENDARIO INGRESOS'!I:I,'CALENDARIO INGRESOS'!A:A,Tabla3[[#This Row],[ID STRIPE]],'CALENDARIO INGRESOS'!H:H,"LATAM")</f>
        <v>15856</v>
      </c>
      <c r="T71" s="188">
        <f>+IF(Tabla3[[#This Row],[MONTO LATAM]]-Tabla3[[#This Row],[IMPORTE ABONADO]]&gt;=0,Tabla3[[#This Row],[MONTO LATAM]]-Tabla3[[#This Row],[IMPORTE ABONADO]],0)</f>
        <v>3856</v>
      </c>
      <c r="U71" s="188">
        <f>+SUMIFS('CALENDARIO INGRESOS'!I:I,'CALENDARIO INGRESOS'!A:A,Tabla3[[#This Row],[ID STRIPE]],'CALENDARIO INGRESOS'!H:H,"ALEM")</f>
        <v>6000</v>
      </c>
      <c r="V71" s="6">
        <f>+SUMIFS('CALENDARIO INGRESOS'!I:I,'CALENDARIO INGRESOS'!A:A,Tabla3[[#This Row],[ID STRIPE]],'CALENDARIO INGRESOS'!H:H,"VISA")+SUMIFS('CALENDARIO INGRESOS'!I:I,'CALENDARIO INGRESOS'!A:A,Tabla3[[#This Row],[ID STRIPE]],'CALENDARIO INGRESOS'!H:H,"FIRMA PA")</f>
        <v>0</v>
      </c>
      <c r="W71" s="250">
        <v>1</v>
      </c>
      <c r="X71" s="60">
        <f>+IFERROR(AVERAGEIF('CALENDARIO INGRESOS'!A:A,Tabla3[[#This Row],[ID STRIPE]],'CALENDARIO INGRESOS'!M:M),"0")</f>
        <v>1</v>
      </c>
      <c r="Y71" s="18">
        <v>46137</v>
      </c>
      <c r="Z71" s="286">
        <f>+IFERROR(_xlfn.XLOOKUP(Tabla3[[#This Row],[ID LINGODA]],LINGODA!D:D,LINGODA!S:S),0)</f>
        <v>257</v>
      </c>
      <c r="AA71" s="18" t="str">
        <f>+IFERROR(_xlfn.XLOOKUP(Tabla3[[#This Row],[ID LINGODA]],LINGODA!D:D,LINGODA!F:F),"null")</f>
        <v>A1.1</v>
      </c>
      <c r="AB71" s="286" t="str">
        <f>+IFERROR(_xlfn.XLOOKUP(Tabla3[[#This Row],[ID LINGODA]],LINGODA!D:D,LINGODA!G:G),"null")</f>
        <v>B1.2</v>
      </c>
    </row>
    <row r="72" spans="1:28">
      <c r="A72" s="5" t="s">
        <v>2272</v>
      </c>
      <c r="B72" s="1" t="s">
        <v>2273</v>
      </c>
      <c r="C72" s="1" t="s">
        <v>15</v>
      </c>
      <c r="D72" s="1" t="s">
        <v>385</v>
      </c>
      <c r="E72" s="60">
        <v>1798181</v>
      </c>
      <c r="F72" s="60"/>
      <c r="G72" s="18">
        <f>(_xlfn.MINIFS(INGRESOS!A:A,INGRESOS!C:C,Tabla3[[#This Row],[CORREO]]))</f>
        <v>45838</v>
      </c>
      <c r="H72" s="3">
        <f>+SUMIFS(INGRESOS!J:J,INGRESOS!D:D,Tabla3[[#This Row],[ID STRIPE]],INGRESOS!A:A,"&gt;="&amp;DATE(YEAR(Tabla3[[#This Row],[FECHA INGRESO]]),MONTH(Tabla3[[#This Row],[FECHA INGRESO]]),1),INGRESOS!A:A,"&lt;="&amp;DATE(YEAR(Tabla3[[#This Row],[FECHA INGRESO]]),MONTH(Tabla3[[#This Row],[FECHA INGRESO]])+1,0))</f>
        <v>3869.75</v>
      </c>
      <c r="I72" s="286">
        <f ca="1">DATEDIF(Tabla3[[#This Row],[FECHA INGRESO]],IF(OR(Tabla3[[#This Row],[ESTADO]]="OK",Tabla3[[#This Row],[ESTADO]]="¡REGULARIZAR!")=TRUE,TODAY(),IF(Tabla3[[#This Row],[ULTIMO PAGO]]="",TODAY(),Tabla3[[#This Row],[ULTIMO PAGO]])),"m")</f>
        <v>8</v>
      </c>
      <c r="J72" s="18">
        <f>(_xlfn.MAXIFS(INGRESOS!A:A,INGRESOS!C:C,Tabla3[[#This Row],[CORREO]]))</f>
        <v>46079</v>
      </c>
      <c r="K72" s="7">
        <f ca="1">+IFERROR(Tabla3[[#This Row],[ABONADO NETO ]]/Tabla3[[#This Row],[MESES ACT]],Tabla3[[#This Row],[ABONO 1ER MES]])</f>
        <v>1063.96875</v>
      </c>
      <c r="M72" s="287" t="s">
        <v>2119</v>
      </c>
      <c r="N72" s="288">
        <f>+SUMIF(INGRESOS!D:D,Tabla3[[#This Row],[ID STRIPE]],INGRESOS!J:J)</f>
        <v>8511.75</v>
      </c>
      <c r="O72" s="6">
        <v>22000</v>
      </c>
      <c r="P72" s="6">
        <f>+SUMIF('CALENDARIO INGRESOS'!A:A,Tabla3[[#This Row],[ID STRIPE]],'CALENDARIO INGRESOS'!I:I)</f>
        <v>22000</v>
      </c>
      <c r="Q72" s="6">
        <f>+SUMIF(INGRESOS!D:D,Tabla3[[#This Row],[ID STRIPE]],INGRESOS!G:G)</f>
        <v>8800</v>
      </c>
      <c r="R72" s="3" t="str">
        <f>IF(Tabla3[[#This Row],[ESTADO]]="OK",IF(COUNTIFS('CALENDARIO INGRESOS'!$A:$A,$D72,'CALENDARIO INGRESOS'!$H:$H,"LATAM",'CALENDARIO INGRESOS'!$L:$L,"&lt;&gt;PAGADA")&gt;0,"LATAM",
 IF(COUNTIFS('CALENDARIO INGRESOS'!$A:$A,$D72,'CALENDARIO INGRESOS'!$H:$H,"VISA",'CALENDARIO INGRESOS'!$L:$L,"&lt;&gt;PAGADA")&gt;0,"VISA",
  IF(COUNTIFS('CALENDARIO INGRESOS'!$A:$A,$D72,'CALENDARIO INGRESOS'!$H:$H,"FIRMA PA",'CALENDARIO INGRESOS'!$L:$L,"&lt;&gt;PAGADA")&gt;0,"FIRMA PA",
   IF(COUNTIFS('CALENDARIO INGRESOS'!$A:$A,$D72,'CALENDARIO INGRESOS'!$H:$H,"ALEM",'CALENDARIO INGRESOS'!$L:$L,"&lt;&gt;PAGADA")&gt;0,"ALEM","LISTO")))),"-")</f>
        <v>LATAM</v>
      </c>
      <c r="S72" s="188">
        <f>+SUMIFS('CALENDARIO INGRESOS'!I:I,'CALENDARIO INGRESOS'!A:A,Tabla3[[#This Row],[ID STRIPE]],'CALENDARIO INGRESOS'!H:H,"LATAM")</f>
        <v>16000</v>
      </c>
      <c r="T72" s="188">
        <f>+IF(Tabla3[[#This Row],[MONTO LATAM]]-Tabla3[[#This Row],[IMPORTE ABONADO]]&gt;=0,Tabla3[[#This Row],[MONTO LATAM]]-Tabla3[[#This Row],[IMPORTE ABONADO]],0)</f>
        <v>7200</v>
      </c>
      <c r="U72" s="188">
        <f>+SUMIFS('CALENDARIO INGRESOS'!I:I,'CALENDARIO INGRESOS'!A:A,Tabla3[[#This Row],[ID STRIPE]],'CALENDARIO INGRESOS'!H:H,"ALEM")</f>
        <v>6000</v>
      </c>
      <c r="V72" s="6">
        <f>+SUMIFS('CALENDARIO INGRESOS'!I:I,'CALENDARIO INGRESOS'!A:A,Tabla3[[#This Row],[ID STRIPE]],'CALENDARIO INGRESOS'!H:H,"VISA")+SUMIFS('CALENDARIO INGRESOS'!I:I,'CALENDARIO INGRESOS'!A:A,Tabla3[[#This Row],[ID STRIPE]],'CALENDARIO INGRESOS'!H:H,"FIRMA PA")</f>
        <v>0</v>
      </c>
      <c r="W72" s="250">
        <v>1</v>
      </c>
      <c r="X72" s="60">
        <f>+IFERROR(AVERAGEIF('CALENDARIO INGRESOS'!A:A,Tabla3[[#This Row],[ID STRIPE]],'CALENDARIO INGRESOS'!M:M),"0")</f>
        <v>1.5555555555555556</v>
      </c>
      <c r="Y72" s="18">
        <v>46174</v>
      </c>
      <c r="Z72" s="286">
        <f>+IFERROR(_xlfn.XLOOKUP(Tabla3[[#This Row],[ID LINGODA]],LINGODA!D:D,LINGODA!S:S),0)</f>
        <v>102</v>
      </c>
      <c r="AA72" s="18" t="str">
        <f>+IFERROR(_xlfn.XLOOKUP(Tabla3[[#This Row],[ID LINGODA]],LINGODA!D:D,LINGODA!F:F),"null")</f>
        <v>A1.1</v>
      </c>
      <c r="AB72" s="286" t="str">
        <f>+IFERROR(_xlfn.XLOOKUP(Tabla3[[#This Row],[ID LINGODA]],LINGODA!D:D,LINGODA!G:G),"null")</f>
        <v>B1.1</v>
      </c>
    </row>
    <row r="73" spans="1:28">
      <c r="A73" s="5" t="s">
        <v>2274</v>
      </c>
      <c r="B73" s="1" t="s">
        <v>2275</v>
      </c>
      <c r="C73" s="1" t="s">
        <v>12</v>
      </c>
      <c r="D73" s="1" t="s">
        <v>390</v>
      </c>
      <c r="E73" s="60">
        <v>1802728</v>
      </c>
      <c r="F73" s="60"/>
      <c r="G73" s="18">
        <f>(_xlfn.MINIFS(INGRESOS!A:A,INGRESOS!C:C,Tabla3[[#This Row],[CORREO]]))</f>
        <v>45839</v>
      </c>
      <c r="H73" s="3">
        <f>+SUMIFS(INGRESOS!J:J,INGRESOS!D:D,Tabla3[[#This Row],[ID STRIPE]],INGRESOS!A:A,"&gt;="&amp;DATE(YEAR(Tabla3[[#This Row],[FECHA INGRESO]]),MONTH(Tabla3[[#This Row],[FECHA INGRESO]]),1),INGRESOS!A:A,"&lt;="&amp;DATE(YEAR(Tabla3[[#This Row],[FECHA INGRESO]]),MONTH(Tabla3[[#This Row],[FECHA INGRESO]])+1,0))</f>
        <v>241.62</v>
      </c>
      <c r="I73" s="286">
        <f ca="1">DATEDIF(Tabla3[[#This Row],[FECHA INGRESO]],IF(OR(Tabla3[[#This Row],[ESTADO]]="OK",Tabla3[[#This Row],[ESTADO]]="¡REGULARIZAR!")=TRUE,TODAY(),IF(Tabla3[[#This Row],[ULTIMO PAGO]]="",TODAY(),Tabla3[[#This Row],[ULTIMO PAGO]])),"m")</f>
        <v>8</v>
      </c>
      <c r="J73" s="18">
        <f>(_xlfn.MAXIFS(INGRESOS!A:A,INGRESOS!C:C,Tabla3[[#This Row],[CORREO]]))</f>
        <v>46020</v>
      </c>
      <c r="K73" s="7">
        <f ca="1">+IFERROR(Tabla3[[#This Row],[ABONADO NETO ]]/Tabla3[[#This Row],[MESES ACT]],Tabla3[[#This Row],[ABONO 1ER MES]])</f>
        <v>193.28375</v>
      </c>
      <c r="M73" s="287" t="s">
        <v>2198</v>
      </c>
      <c r="N73" s="288">
        <f>+SUMIF(INGRESOS!D:D,Tabla3[[#This Row],[ID STRIPE]],INGRESOS!J:J)</f>
        <v>1546.27</v>
      </c>
      <c r="O73" s="6">
        <v>19000</v>
      </c>
      <c r="P73" s="6">
        <f>+SUMIF('CALENDARIO INGRESOS'!A:A,Tabla3[[#This Row],[ID STRIPE]],'CALENDARIO INGRESOS'!I:I)</f>
        <v>2797</v>
      </c>
      <c r="Q73" s="6">
        <f>+SUMIF(INGRESOS!D:D,Tabla3[[#This Row],[ID STRIPE]],INGRESOS!G:G)</f>
        <v>1599</v>
      </c>
      <c r="R73" s="3" t="str">
        <f>IF(Tabla3[[#This Row],[ESTADO]]="OK",IF(COUNTIFS('CALENDARIO INGRESOS'!$A:$A,$D73,'CALENDARIO INGRESOS'!$H:$H,"LATAM",'CALENDARIO INGRESOS'!$L:$L,"&lt;&gt;PAGADA")&gt;0,"LATAM",
 IF(COUNTIFS('CALENDARIO INGRESOS'!$A:$A,$D73,'CALENDARIO INGRESOS'!$H:$H,"VISA",'CALENDARIO INGRESOS'!$L:$L,"&lt;&gt;PAGADA")&gt;0,"VISA",
  IF(COUNTIFS('CALENDARIO INGRESOS'!$A:$A,$D73,'CALENDARIO INGRESOS'!$H:$H,"FIRMA PA",'CALENDARIO INGRESOS'!$L:$L,"&lt;&gt;PAGADA")&gt;0,"FIRMA PA",
   IF(COUNTIFS('CALENDARIO INGRESOS'!$A:$A,$D73,'CALENDARIO INGRESOS'!$H:$H,"ALEM",'CALENDARIO INGRESOS'!$L:$L,"&lt;&gt;PAGADA")&gt;0,"ALEM","LISTO")))),"-")</f>
        <v>-</v>
      </c>
      <c r="S73" s="188">
        <f>+SUMIFS('CALENDARIO INGRESOS'!I:I,'CALENDARIO INGRESOS'!A:A,Tabla3[[#This Row],[ID STRIPE]],'CALENDARIO INGRESOS'!H:H,"LATAM")</f>
        <v>2797</v>
      </c>
      <c r="T73" s="188">
        <f>+IF(Tabla3[[#This Row],[MONTO LATAM]]-Tabla3[[#This Row],[IMPORTE ABONADO]]&gt;=0,Tabla3[[#This Row],[MONTO LATAM]]-Tabla3[[#This Row],[IMPORTE ABONADO]],0)</f>
        <v>1198</v>
      </c>
      <c r="U73" s="188">
        <f>+SUMIFS('CALENDARIO INGRESOS'!I:I,'CALENDARIO INGRESOS'!A:A,Tabla3[[#This Row],[ID STRIPE]],'CALENDARIO INGRESOS'!H:H,"ALEM")</f>
        <v>0</v>
      </c>
      <c r="V73" s="6">
        <f>+SUMIFS('CALENDARIO INGRESOS'!I:I,'CALENDARIO INGRESOS'!A:A,Tabla3[[#This Row],[ID STRIPE]],'CALENDARIO INGRESOS'!H:H,"VISA")+SUMIFS('CALENDARIO INGRESOS'!I:I,'CALENDARIO INGRESOS'!A:A,Tabla3[[#This Row],[ID STRIPE]],'CALENDARIO INGRESOS'!H:H,"FIRMA PA")</f>
        <v>0</v>
      </c>
      <c r="W73" s="250">
        <v>0</v>
      </c>
      <c r="X73" s="60">
        <f>+IFERROR(AVERAGEIF('CALENDARIO INGRESOS'!A:A,Tabla3[[#This Row],[ID STRIPE]],'CALENDARIO INGRESOS'!M:M),"0")</f>
        <v>0.66666666666666663</v>
      </c>
      <c r="Y73" s="18">
        <v>46181</v>
      </c>
      <c r="Z73" s="286">
        <f>+IFERROR(_xlfn.XLOOKUP(Tabla3[[#This Row],[ID LINGODA]],LINGODA!D:D,LINGODA!S:S),0)</f>
        <v>0</v>
      </c>
      <c r="AA73" s="18" t="str">
        <f>+IFERROR(_xlfn.XLOOKUP(Tabla3[[#This Row],[ID LINGODA]],LINGODA!D:D,LINGODA!F:F),"null")</f>
        <v>null</v>
      </c>
      <c r="AB73" s="286" t="str">
        <f>+IFERROR(_xlfn.XLOOKUP(Tabla3[[#This Row],[ID LINGODA]],LINGODA!D:D,LINGODA!G:G),"null")</f>
        <v>null</v>
      </c>
    </row>
    <row r="74" spans="1:28">
      <c r="A74" s="5" t="s">
        <v>2276</v>
      </c>
      <c r="B74" s="1" t="s">
        <v>2277</v>
      </c>
      <c r="C74" s="1" t="s">
        <v>13</v>
      </c>
      <c r="D74" s="1" t="s">
        <v>2278</v>
      </c>
      <c r="E74" s="57">
        <v>1805029</v>
      </c>
      <c r="F74" s="57"/>
      <c r="G74" s="18">
        <f>(_xlfn.MINIFS(INGRESOS!A:A,INGRESOS!C:C,Tabla3[[#This Row],[CORREO]]))</f>
        <v>45841</v>
      </c>
      <c r="H74" s="3">
        <f>+SUMIFS(INGRESOS!J:J,INGRESOS!D:D,Tabla3[[#This Row],[ID STRIPE]],INGRESOS!A:A,"&gt;="&amp;DATE(YEAR(Tabla3[[#This Row],[FECHA INGRESO]]),MONTH(Tabla3[[#This Row],[FECHA INGRESO]]),1),INGRESOS!A:A,"&lt;="&amp;DATE(YEAR(Tabla3[[#This Row],[FECHA INGRESO]]),MONTH(Tabla3[[#This Row],[FECHA INGRESO]])+1,0))</f>
        <v>241.62</v>
      </c>
      <c r="I74" s="286">
        <f ca="1">DATEDIF(Tabla3[[#This Row],[FECHA INGRESO]],IF(OR(Tabla3[[#This Row],[ESTADO]]="OK",Tabla3[[#This Row],[ESTADO]]="¡REGULARIZAR!")=TRUE,TODAY(),IF(Tabla3[[#This Row],[ULTIMO PAGO]]="",TODAY(),Tabla3[[#This Row],[ULTIMO PAGO]])),"m")</f>
        <v>0</v>
      </c>
      <c r="J74" s="18">
        <f>(_xlfn.MAXIFS(INGRESOS!A:A,INGRESOS!C:C,Tabla3[[#This Row],[CORREO]]))</f>
        <v>45841</v>
      </c>
      <c r="K74" s="7">
        <f ca="1">+IFERROR(Tabla3[[#This Row],[ABONADO NETO ]]/Tabla3[[#This Row],[MESES ACT]],Tabla3[[#This Row],[ABONO 1ER MES]])</f>
        <v>241.62</v>
      </c>
      <c r="M74" s="287" t="s">
        <v>2139</v>
      </c>
      <c r="N74" s="288">
        <f>+SUMIF(INGRESOS!D:D,Tabla3[[#This Row],[ID STRIPE]],INGRESOS!J:J)</f>
        <v>241.62</v>
      </c>
      <c r="O74" s="6">
        <v>22000</v>
      </c>
      <c r="P74" s="6">
        <f>+SUMIF('CALENDARIO INGRESOS'!A:A,Tabla3[[#This Row],[ID STRIPE]],'CALENDARIO INGRESOS'!I:I)</f>
        <v>0</v>
      </c>
      <c r="Q74" s="6">
        <f>+SUMIF(INGRESOS!D:D,Tabla3[[#This Row],[ID STRIPE]],INGRESOS!G:G)</f>
        <v>250</v>
      </c>
      <c r="R74" s="3" t="str">
        <f>IF(Tabla3[[#This Row],[ESTADO]]="OK",IF(COUNTIFS('CALENDARIO INGRESOS'!$A:$A,$D74,'CALENDARIO INGRESOS'!$H:$H,"LATAM",'CALENDARIO INGRESOS'!$L:$L,"&lt;&gt;PAGADA")&gt;0,"LATAM",
 IF(COUNTIFS('CALENDARIO INGRESOS'!$A:$A,$D74,'CALENDARIO INGRESOS'!$H:$H,"VISA",'CALENDARIO INGRESOS'!$L:$L,"&lt;&gt;PAGADA")&gt;0,"VISA",
  IF(COUNTIFS('CALENDARIO INGRESOS'!$A:$A,$D74,'CALENDARIO INGRESOS'!$H:$H,"FIRMA PA",'CALENDARIO INGRESOS'!$L:$L,"&lt;&gt;PAGADA")&gt;0,"FIRMA PA",
   IF(COUNTIFS('CALENDARIO INGRESOS'!$A:$A,$D74,'CALENDARIO INGRESOS'!$H:$H,"ALEM",'CALENDARIO INGRESOS'!$L:$L,"&lt;&gt;PAGADA")&gt;0,"ALEM","LISTO")))),"-")</f>
        <v>-</v>
      </c>
      <c r="S74" s="188">
        <f>+SUMIFS('CALENDARIO INGRESOS'!I:I,'CALENDARIO INGRESOS'!A:A,Tabla3[[#This Row],[ID STRIPE]],'CALENDARIO INGRESOS'!H:H,"LATAM")</f>
        <v>0</v>
      </c>
      <c r="T74" s="188">
        <f>+IF(Tabla3[[#This Row],[MONTO LATAM]]-Tabla3[[#This Row],[IMPORTE ABONADO]]&gt;=0,Tabla3[[#This Row],[MONTO LATAM]]-Tabla3[[#This Row],[IMPORTE ABONADO]],0)</f>
        <v>0</v>
      </c>
      <c r="U74" s="188">
        <f>+SUMIFS('CALENDARIO INGRESOS'!J:J,'CALENDARIO INGRESOS'!B:B,Tabla3[[#This Row],[ID STRIPE]],'CALENDARIO INGRESOS'!I:I,"ALEM")</f>
        <v>0</v>
      </c>
      <c r="V74" s="6">
        <f>+SUMIFS('CALENDARIO INGRESOS'!I:I,'CALENDARIO INGRESOS'!A:A,Tabla3[[#This Row],[ID STRIPE]],'CALENDARIO INGRESOS'!H:H,"VISA")+SUMIFS('CALENDARIO INGRESOS'!I:I,'CALENDARIO INGRESOS'!A:A,Tabla3[[#This Row],[ID STRIPE]],'CALENDARIO INGRESOS'!H:H,"FIRMA PA")</f>
        <v>0</v>
      </c>
      <c r="W74" s="250">
        <v>0</v>
      </c>
      <c r="X74" s="57" t="str">
        <f>+IFERROR(AVERAGEIF('CALENDARIO INGRESOS'!A:A,Tabla3[[#This Row],[ID STRIPE]],'CALENDARIO INGRESOS'!M:M),"0")</f>
        <v>0</v>
      </c>
      <c r="Y74" s="18" t="s">
        <v>2093</v>
      </c>
      <c r="Z74" s="286">
        <f>+IFERROR(_xlfn.XLOOKUP(Tabla3[[#This Row],[ID LINGODA]],LINGODA!D:D,LINGODA!S:S),0)</f>
        <v>0</v>
      </c>
      <c r="AA74" s="18" t="str">
        <f>+IFERROR(_xlfn.XLOOKUP(Tabla3[[#This Row],[ID LINGODA]],LINGODA!D:D,LINGODA!F:F),"null")</f>
        <v>null</v>
      </c>
      <c r="AB74" s="286" t="str">
        <f>+IFERROR(_xlfn.XLOOKUP(Tabla3[[#This Row],[ID LINGODA]],LINGODA!D:D,LINGODA!G:G),"null")</f>
        <v>null</v>
      </c>
    </row>
    <row r="75" spans="1:28">
      <c r="A75" s="5" t="s">
        <v>2279</v>
      </c>
      <c r="B75" s="1" t="s">
        <v>2280</v>
      </c>
      <c r="C75" s="1" t="s">
        <v>16</v>
      </c>
      <c r="D75" s="1" t="s">
        <v>407</v>
      </c>
      <c r="E75" s="60">
        <v>1806120</v>
      </c>
      <c r="F75" s="60"/>
      <c r="G75" s="18">
        <f>(_xlfn.MINIFS(INGRESOS!A:A,INGRESOS!C:C,Tabla3[[#This Row],[CORREO]]))</f>
        <v>45842</v>
      </c>
      <c r="H75" s="3">
        <f>+SUMIFS(INGRESOS!J:J,INGRESOS!D:D,Tabla3[[#This Row],[ID STRIPE]],INGRESOS!A:A,"&gt;="&amp;DATE(YEAR(Tabla3[[#This Row],[FECHA INGRESO]]),MONTH(Tabla3[[#This Row],[FECHA INGRESO]]),1),INGRESOS!A:A,"&lt;="&amp;DATE(YEAR(Tabla3[[#This Row],[FECHA INGRESO]]),MONTH(Tabla3[[#This Row],[FECHA INGRESO]])+1,0))</f>
        <v>3869.75</v>
      </c>
      <c r="I75" s="286">
        <f ca="1">DATEDIF(Tabla3[[#This Row],[FECHA INGRESO]],IF(OR(Tabla3[[#This Row],[ESTADO]]="OK",Tabla3[[#This Row],[ESTADO]]="¡REGULARIZAR!")=TRUE,TODAY(),IF(Tabla3[[#This Row],[ULTIMO PAGO]]="",TODAY(),Tabla3[[#This Row],[ULTIMO PAGO]])),"m")</f>
        <v>8</v>
      </c>
      <c r="J75" s="18">
        <f>(_xlfn.MAXIFS(INGRESOS!A:A,INGRESOS!C:C,Tabla3[[#This Row],[CORREO]]))</f>
        <v>46085</v>
      </c>
      <c r="K75" s="7">
        <f ca="1">+IFERROR(Tabla3[[#This Row],[ABONADO NETO ]]/Tabla3[[#This Row],[MESES ACT]],Tabla3[[#This Row],[ABONO 1ER MES]])</f>
        <v>1450.96875</v>
      </c>
      <c r="M75" s="287" t="s">
        <v>2119</v>
      </c>
      <c r="N75" s="288">
        <f>+SUMIF(INGRESOS!D:D,Tabla3[[#This Row],[ID STRIPE]],INGRESOS!J:J)</f>
        <v>11607.75</v>
      </c>
      <c r="O75" s="6">
        <v>22000</v>
      </c>
      <c r="P75" s="6">
        <f>+SUMIF('CALENDARIO INGRESOS'!A:A,Tabla3[[#This Row],[ID STRIPE]],'CALENDARIO INGRESOS'!I:I)</f>
        <v>22000</v>
      </c>
      <c r="Q75" s="6">
        <f>+SUMIF(INGRESOS!D:D,Tabla3[[#This Row],[ID STRIPE]],INGRESOS!G:G)</f>
        <v>12000</v>
      </c>
      <c r="R75" s="3" t="str">
        <f>IF(Tabla3[[#This Row],[ESTADO]]="OK",IF(COUNTIFS('CALENDARIO INGRESOS'!$A:$A,$D75,'CALENDARIO INGRESOS'!$H:$H,"LATAM",'CALENDARIO INGRESOS'!$L:$L,"&lt;&gt;PAGADA")&gt;0,"LATAM",
 IF(COUNTIFS('CALENDARIO INGRESOS'!$A:$A,$D75,'CALENDARIO INGRESOS'!$H:$H,"VISA",'CALENDARIO INGRESOS'!$L:$L,"&lt;&gt;PAGADA")&gt;0,"VISA",
  IF(COUNTIFS('CALENDARIO INGRESOS'!$A:$A,$D75,'CALENDARIO INGRESOS'!$H:$H,"FIRMA PA",'CALENDARIO INGRESOS'!$L:$L,"&lt;&gt;PAGADA")&gt;0,"FIRMA PA",
   IF(COUNTIFS('CALENDARIO INGRESOS'!$A:$A,$D75,'CALENDARIO INGRESOS'!$H:$H,"ALEM",'CALENDARIO INGRESOS'!$L:$L,"&lt;&gt;PAGADA")&gt;0,"ALEM","LISTO")))),"-")</f>
        <v>LATAM</v>
      </c>
      <c r="S75" s="188">
        <f>+SUMIFS('CALENDARIO INGRESOS'!I:I,'CALENDARIO INGRESOS'!A:A,Tabla3[[#This Row],[ID STRIPE]],'CALENDARIO INGRESOS'!H:H,"LATAM")</f>
        <v>16000</v>
      </c>
      <c r="T75" s="188">
        <f>+IF(Tabla3[[#This Row],[MONTO LATAM]]-Tabla3[[#This Row],[IMPORTE ABONADO]]&gt;=0,Tabla3[[#This Row],[MONTO LATAM]]-Tabla3[[#This Row],[IMPORTE ABONADO]],0)</f>
        <v>4000</v>
      </c>
      <c r="U75" s="188">
        <f>+SUMIFS('CALENDARIO INGRESOS'!I:I,'CALENDARIO INGRESOS'!A:A,Tabla3[[#This Row],[ID STRIPE]],'CALENDARIO INGRESOS'!H:H,"ALEM")</f>
        <v>6000</v>
      </c>
      <c r="V75" s="6">
        <f>+SUMIFS('CALENDARIO INGRESOS'!I:I,'CALENDARIO INGRESOS'!A:A,Tabla3[[#This Row],[ID STRIPE]],'CALENDARIO INGRESOS'!H:H,"VISA")+SUMIFS('CALENDARIO INGRESOS'!I:I,'CALENDARIO INGRESOS'!A:A,Tabla3[[#This Row],[ID STRIPE]],'CALENDARIO INGRESOS'!H:H,"FIRMA PA")</f>
        <v>0</v>
      </c>
      <c r="W75" s="250">
        <v>0</v>
      </c>
      <c r="X75" s="60">
        <f>+IFERROR(AVERAGEIF('CALENDARIO INGRESOS'!A:A,Tabla3[[#This Row],[ID STRIPE]],'CALENDARIO INGRESOS'!M:M),"0")</f>
        <v>-0.22222222222222221</v>
      </c>
      <c r="Y75" s="18" t="s">
        <v>2093</v>
      </c>
      <c r="Z75" s="286">
        <f>+IFERROR(_xlfn.XLOOKUP(Tabla3[[#This Row],[ID LINGODA]],LINGODA!D:D,LINGODA!S:S),0)</f>
        <v>81</v>
      </c>
      <c r="AA75" s="18" t="str">
        <f>+IFERROR(_xlfn.XLOOKUP(Tabla3[[#This Row],[ID LINGODA]],LINGODA!D:D,LINGODA!F:F),"null")</f>
        <v>A1.1</v>
      </c>
      <c r="AB75" s="286" t="str">
        <f>+IFERROR(_xlfn.XLOOKUP(Tabla3[[#This Row],[ID LINGODA]],LINGODA!D:D,LINGODA!G:G),"null")</f>
        <v>A2.1</v>
      </c>
    </row>
    <row r="76" spans="1:28">
      <c r="A76" s="5" t="s">
        <v>2281</v>
      </c>
      <c r="B76" s="1" t="s">
        <v>2282</v>
      </c>
      <c r="C76" s="1" t="s">
        <v>13</v>
      </c>
      <c r="D76" s="1" t="s">
        <v>444</v>
      </c>
      <c r="E76" s="57">
        <v>1806189</v>
      </c>
      <c r="F76" s="57"/>
      <c r="G76" s="18">
        <f>(_xlfn.MINIFS(INGRESOS!A:A,INGRESOS!C:C,Tabla3[[#This Row],[CORREO]]))</f>
        <v>45845</v>
      </c>
      <c r="H76" s="3">
        <f>+SUMIFS(INGRESOS!J:J,INGRESOS!D:D,Tabla3[[#This Row],[ID STRIPE]],INGRESOS!A:A,"&gt;="&amp;DATE(YEAR(Tabla3[[#This Row],[FECHA INGRESO]]),MONTH(Tabla3[[#This Row],[FECHA INGRESO]]),1),INGRESOS!A:A,"&lt;="&amp;DATE(YEAR(Tabla3[[#This Row],[FECHA INGRESO]]),MONTH(Tabla3[[#This Row],[FECHA INGRESO]])+1,0))</f>
        <v>725.12</v>
      </c>
      <c r="I76" s="286">
        <f ca="1">DATEDIF(Tabla3[[#This Row],[FECHA INGRESO]],IF(OR(Tabla3[[#This Row],[ESTADO]]="OK",Tabla3[[#This Row],[ESTADO]]="¡REGULARIZAR!")=TRUE,TODAY(),IF(Tabla3[[#This Row],[ULTIMO PAGO]]="",TODAY(),Tabla3[[#This Row],[ULTIMO PAGO]])),"m")</f>
        <v>0</v>
      </c>
      <c r="J76" s="18">
        <f>(_xlfn.MAXIFS(INGRESOS!A:A,INGRESOS!C:C,Tabla3[[#This Row],[CORREO]]))</f>
        <v>45868</v>
      </c>
      <c r="K76" s="7">
        <f ca="1">+IFERROR(Tabla3[[#This Row],[ABONADO NETO ]]/Tabla3[[#This Row],[MESES ACT]],Tabla3[[#This Row],[ABONO 1ER MES]])</f>
        <v>725.12</v>
      </c>
      <c r="M76" s="287" t="s">
        <v>2139</v>
      </c>
      <c r="N76" s="288">
        <f>+SUMIF(INGRESOS!D:D,Tabla3[[#This Row],[ID STRIPE]],INGRESOS!J:J)</f>
        <v>725.12</v>
      </c>
      <c r="O76" s="6">
        <v>22000</v>
      </c>
      <c r="P76" s="6">
        <f>+SUMIF('CALENDARIO INGRESOS'!A:A,Tabla3[[#This Row],[ID STRIPE]],'CALENDARIO INGRESOS'!I:I)</f>
        <v>750</v>
      </c>
      <c r="Q76" s="6">
        <f>+SUMIF(INGRESOS!D:D,Tabla3[[#This Row],[ID STRIPE]],INGRESOS!G:G)</f>
        <v>750</v>
      </c>
      <c r="R76" s="3" t="str">
        <f>IF(Tabla3[[#This Row],[ESTADO]]="OK",IF(COUNTIFS('CALENDARIO INGRESOS'!$A:$A,$D76,'CALENDARIO INGRESOS'!$H:$H,"LATAM",'CALENDARIO INGRESOS'!$L:$L,"&lt;&gt;PAGADA")&gt;0,"LATAM",
 IF(COUNTIFS('CALENDARIO INGRESOS'!$A:$A,$D76,'CALENDARIO INGRESOS'!$H:$H,"VISA",'CALENDARIO INGRESOS'!$L:$L,"&lt;&gt;PAGADA")&gt;0,"VISA",
  IF(COUNTIFS('CALENDARIO INGRESOS'!$A:$A,$D76,'CALENDARIO INGRESOS'!$H:$H,"FIRMA PA",'CALENDARIO INGRESOS'!$L:$L,"&lt;&gt;PAGADA")&gt;0,"FIRMA PA",
   IF(COUNTIFS('CALENDARIO INGRESOS'!$A:$A,$D76,'CALENDARIO INGRESOS'!$H:$H,"ALEM",'CALENDARIO INGRESOS'!$L:$L,"&lt;&gt;PAGADA")&gt;0,"ALEM","LISTO")))),"-")</f>
        <v>-</v>
      </c>
      <c r="S76" s="188">
        <f>+SUMIFS('CALENDARIO INGRESOS'!I:I,'CALENDARIO INGRESOS'!A:A,Tabla3[[#This Row],[ID STRIPE]],'CALENDARIO INGRESOS'!H:H,"LATAM")</f>
        <v>750</v>
      </c>
      <c r="T76" s="188">
        <f>+IF(Tabla3[[#This Row],[MONTO LATAM]]-Tabla3[[#This Row],[IMPORTE ABONADO]]&gt;=0,Tabla3[[#This Row],[MONTO LATAM]]-Tabla3[[#This Row],[IMPORTE ABONADO]],0)</f>
        <v>0</v>
      </c>
      <c r="U76" s="188">
        <f>+SUMIFS('CALENDARIO INGRESOS'!J:J,'CALENDARIO INGRESOS'!B:B,Tabla3[[#This Row],[ID STRIPE]],'CALENDARIO INGRESOS'!I:I,"ALEM")</f>
        <v>0</v>
      </c>
      <c r="V76" s="6">
        <f>+SUMIFS('CALENDARIO INGRESOS'!I:I,'CALENDARIO INGRESOS'!A:A,Tabla3[[#This Row],[ID STRIPE]],'CALENDARIO INGRESOS'!H:H,"VISA")+SUMIFS('CALENDARIO INGRESOS'!I:I,'CALENDARIO INGRESOS'!A:A,Tabla3[[#This Row],[ID STRIPE]],'CALENDARIO INGRESOS'!H:H,"FIRMA PA")</f>
        <v>0</v>
      </c>
      <c r="W76" s="250">
        <v>0</v>
      </c>
      <c r="X76" s="57">
        <f>+IFERROR(AVERAGEIF('CALENDARIO INGRESOS'!A:A,Tabla3[[#This Row],[ID STRIPE]],'CALENDARIO INGRESOS'!M:M),"0")</f>
        <v>0</v>
      </c>
      <c r="Y76" s="18" t="s">
        <v>2093</v>
      </c>
      <c r="Z76" s="286">
        <f>+IFERROR(_xlfn.XLOOKUP(Tabla3[[#This Row],[ID LINGODA]],LINGODA!D:D,LINGODA!S:S),0)</f>
        <v>0</v>
      </c>
      <c r="AA76" s="18" t="str">
        <f>+IFERROR(_xlfn.XLOOKUP(Tabla3[[#This Row],[ID LINGODA]],LINGODA!D:D,LINGODA!F:F),"null")</f>
        <v>null</v>
      </c>
      <c r="AB76" s="286" t="str">
        <f>+IFERROR(_xlfn.XLOOKUP(Tabla3[[#This Row],[ID LINGODA]],LINGODA!D:D,LINGODA!G:G),"null")</f>
        <v>null</v>
      </c>
    </row>
    <row r="77" spans="1:28">
      <c r="A77" s="5" t="s">
        <v>2283</v>
      </c>
      <c r="B77" s="1" t="s">
        <v>2284</v>
      </c>
      <c r="C77" s="1" t="s">
        <v>15</v>
      </c>
      <c r="D77" s="1" t="s">
        <v>447</v>
      </c>
      <c r="E77" s="60">
        <v>1806187</v>
      </c>
      <c r="F77" s="60"/>
      <c r="G77" s="18">
        <f>(_xlfn.MINIFS(INGRESOS!A:A,INGRESOS!C:C,Tabla3[[#This Row],[CORREO]]))</f>
        <v>45845</v>
      </c>
      <c r="H77" s="3">
        <f>+SUMIFS(INGRESOS!J:J,INGRESOS!D:D,Tabla3[[#This Row],[ID STRIPE]],INGRESOS!A:A,"&gt;="&amp;DATE(YEAR(Tabla3[[#This Row],[FECHA INGRESO]]),MONTH(Tabla3[[#This Row],[FECHA INGRESO]]),1),INGRESOS!A:A,"&lt;="&amp;DATE(YEAR(Tabla3[[#This Row],[FECHA INGRESO]]),MONTH(Tabla3[[#This Row],[FECHA INGRESO]])+1,0))</f>
        <v>961.93000000000006</v>
      </c>
      <c r="I77" s="286">
        <f ca="1">DATEDIF(Tabla3[[#This Row],[FECHA INGRESO]],IF(OR(Tabla3[[#This Row],[ESTADO]]="OK",Tabla3[[#This Row],[ESTADO]]="¡REGULARIZAR!")=TRUE,TODAY(),IF(Tabla3[[#This Row],[ULTIMO PAGO]]="",TODAY(),Tabla3[[#This Row],[ULTIMO PAGO]])),"m")</f>
        <v>8</v>
      </c>
      <c r="J77" s="18">
        <f>(_xlfn.MAXIFS(INGRESOS!A:A,INGRESOS!C:C,Tabla3[[#This Row],[CORREO]]))</f>
        <v>46088</v>
      </c>
      <c r="K77" s="7">
        <f ca="1">+IFERROR(Tabla3[[#This Row],[ABONADO NETO ]]/Tabla3[[#This Row],[MESES ACT]],Tabla3[[#This Row],[ABONO 1ER MES]])</f>
        <v>1706.9262500000009</v>
      </c>
      <c r="M77" s="287" t="s">
        <v>2119</v>
      </c>
      <c r="N77" s="288">
        <f>+SUMIF(INGRESOS!D:D,Tabla3[[#This Row],[ID STRIPE]],INGRESOS!J:J)</f>
        <v>13655.410000000007</v>
      </c>
      <c r="O77" s="6">
        <v>22000</v>
      </c>
      <c r="P77" s="6">
        <f>+SUMIF('CALENDARIO INGRESOS'!A:A,Tabla3[[#This Row],[ID STRIPE]],'CALENDARIO INGRESOS'!I:I)</f>
        <v>22000</v>
      </c>
      <c r="Q77" s="6">
        <f>+SUMIF(INGRESOS!D:D,Tabla3[[#This Row],[ID STRIPE]],INGRESOS!G:G)</f>
        <v>14125</v>
      </c>
      <c r="R77" s="3" t="str">
        <f>IF(Tabla3[[#This Row],[ESTADO]]="OK",IF(COUNTIFS('CALENDARIO INGRESOS'!$A:$A,$D77,'CALENDARIO INGRESOS'!$H:$H,"LATAM",'CALENDARIO INGRESOS'!$L:$L,"&lt;&gt;PAGADA")&gt;0,"LATAM",
 IF(COUNTIFS('CALENDARIO INGRESOS'!$A:$A,$D77,'CALENDARIO INGRESOS'!$H:$H,"VISA",'CALENDARIO INGRESOS'!$L:$L,"&lt;&gt;PAGADA")&gt;0,"VISA",
  IF(COUNTIFS('CALENDARIO INGRESOS'!$A:$A,$D77,'CALENDARIO INGRESOS'!$H:$H,"FIRMA PA",'CALENDARIO INGRESOS'!$L:$L,"&lt;&gt;PAGADA")&gt;0,"FIRMA PA",
   IF(COUNTIFS('CALENDARIO INGRESOS'!$A:$A,$D77,'CALENDARIO INGRESOS'!$H:$H,"ALEM",'CALENDARIO INGRESOS'!$L:$L,"&lt;&gt;PAGADA")&gt;0,"ALEM","LISTO")))),"-")</f>
        <v>LATAM</v>
      </c>
      <c r="S77" s="188">
        <f>+SUMIFS('CALENDARIO INGRESOS'!I:I,'CALENDARIO INGRESOS'!A:A,Tabla3[[#This Row],[ID STRIPE]],'CALENDARIO INGRESOS'!H:H,"LATAM")</f>
        <v>16000</v>
      </c>
      <c r="T77" s="188">
        <f>+IF(Tabla3[[#This Row],[MONTO LATAM]]-Tabla3[[#This Row],[IMPORTE ABONADO]]&gt;=0,Tabla3[[#This Row],[MONTO LATAM]]-Tabla3[[#This Row],[IMPORTE ABONADO]],0)</f>
        <v>1875</v>
      </c>
      <c r="U77" s="188">
        <f>+SUMIFS('CALENDARIO INGRESOS'!I:I,'CALENDARIO INGRESOS'!A:A,Tabla3[[#This Row],[ID STRIPE]],'CALENDARIO INGRESOS'!H:H,"ALEM")</f>
        <v>6000</v>
      </c>
      <c r="V77" s="6">
        <f>+SUMIFS('CALENDARIO INGRESOS'!I:I,'CALENDARIO INGRESOS'!A:A,Tabla3[[#This Row],[ID STRIPE]],'CALENDARIO INGRESOS'!H:H,"VISA")+SUMIFS('CALENDARIO INGRESOS'!I:I,'CALENDARIO INGRESOS'!A:A,Tabla3[[#This Row],[ID STRIPE]],'CALENDARIO INGRESOS'!H:H,"FIRMA PA")</f>
        <v>0</v>
      </c>
      <c r="W77" s="250">
        <v>0</v>
      </c>
      <c r="X77" s="60">
        <f>+IFERROR(AVERAGEIF('CALENDARIO INGRESOS'!A:A,Tabla3[[#This Row],[ID STRIPE]],'CALENDARIO INGRESOS'!M:M),"0")</f>
        <v>-0.90909090909090906</v>
      </c>
      <c r="Y77" s="18">
        <v>46082</v>
      </c>
      <c r="Z77" s="286">
        <f>+IFERROR(_xlfn.XLOOKUP(Tabla3[[#This Row],[ID LINGODA]],LINGODA!D:D,LINGODA!S:S),0)</f>
        <v>60</v>
      </c>
      <c r="AA77" s="18" t="str">
        <f>+IFERROR(_xlfn.XLOOKUP(Tabla3[[#This Row],[ID LINGODA]],LINGODA!D:D,LINGODA!F:F),"null")</f>
        <v>A1.1</v>
      </c>
      <c r="AB77" s="286" t="str">
        <f>+IFERROR(_xlfn.XLOOKUP(Tabla3[[#This Row],[ID LINGODA]],LINGODA!D:D,LINGODA!G:G),"null")</f>
        <v>A1.2</v>
      </c>
    </row>
    <row r="78" spans="1:28">
      <c r="A78" s="5" t="s">
        <v>2285</v>
      </c>
      <c r="B78" s="1" t="s">
        <v>2286</v>
      </c>
      <c r="C78" s="1" t="s">
        <v>13</v>
      </c>
      <c r="D78" s="1" t="s">
        <v>441</v>
      </c>
      <c r="E78" s="60">
        <v>1806121</v>
      </c>
      <c r="F78" s="60"/>
      <c r="G78" s="18">
        <f>(_xlfn.MINIFS(INGRESOS!A:A,INGRESOS!C:C,Tabla3[[#This Row],[CORREO]]))</f>
        <v>45845</v>
      </c>
      <c r="H78" s="3">
        <f>+SUMIFS(INGRESOS!J:J,INGRESOS!D:D,Tabla3[[#This Row],[ID STRIPE]],INGRESOS!A:A,"&gt;="&amp;DATE(YEAR(Tabla3[[#This Row],[FECHA INGRESO]]),MONTH(Tabla3[[#This Row],[FECHA INGRESO]]),1),INGRESOS!A:A,"&lt;="&amp;DATE(YEAR(Tabla3[[#This Row],[FECHA INGRESO]]),MONTH(Tabla3[[#This Row],[FECHA INGRESO]])+1,0))</f>
        <v>3869.49</v>
      </c>
      <c r="I78" s="286">
        <f ca="1">DATEDIF(Tabla3[[#This Row],[FECHA INGRESO]],IF(OR(Tabla3[[#This Row],[ESTADO]]="OK",Tabla3[[#This Row],[ESTADO]]="¡REGULARIZAR!")=TRUE,TODAY(),IF(Tabla3[[#This Row],[ULTIMO PAGO]]="",TODAY(),Tabla3[[#This Row],[ULTIMO PAGO]])),"m")</f>
        <v>8</v>
      </c>
      <c r="J78" s="18">
        <f>(_xlfn.MAXIFS(INGRESOS!A:A,INGRESOS!C:C,Tabla3[[#This Row],[CORREO]]))</f>
        <v>46080</v>
      </c>
      <c r="K78" s="7">
        <f ca="1">+IFERROR(Tabla3[[#This Row],[ABONADO NETO ]]/Tabla3[[#This Row],[MESES ACT]],Tabla3[[#This Row],[ABONO 1ER MES]])</f>
        <v>1330.03</v>
      </c>
      <c r="M78" s="287" t="s">
        <v>2119</v>
      </c>
      <c r="N78" s="288">
        <f>+SUMIF(INGRESOS!D:D,Tabla3[[#This Row],[ID STRIPE]],INGRESOS!J:J)</f>
        <v>10640.24</v>
      </c>
      <c r="O78" s="6">
        <v>20000</v>
      </c>
      <c r="P78" s="6">
        <f>+SUMIF('CALENDARIO INGRESOS'!A:A,Tabla3[[#This Row],[ID STRIPE]],'CALENDARIO INGRESOS'!I:I)</f>
        <v>20000</v>
      </c>
      <c r="Q78" s="6">
        <f>+SUMIF(INGRESOS!D:D,Tabla3[[#This Row],[ID STRIPE]],INGRESOS!G:G)</f>
        <v>11000</v>
      </c>
      <c r="R78" s="3" t="str">
        <f>IF(Tabla3[[#This Row],[ESTADO]]="OK",IF(COUNTIFS('CALENDARIO INGRESOS'!$A:$A,$D78,'CALENDARIO INGRESOS'!$H:$H,"LATAM",'CALENDARIO INGRESOS'!$L:$L,"&lt;&gt;PAGADA")&gt;0,"LATAM",
 IF(COUNTIFS('CALENDARIO INGRESOS'!$A:$A,$D78,'CALENDARIO INGRESOS'!$H:$H,"VISA",'CALENDARIO INGRESOS'!$L:$L,"&lt;&gt;PAGADA")&gt;0,"VISA",
  IF(COUNTIFS('CALENDARIO INGRESOS'!$A:$A,$D78,'CALENDARIO INGRESOS'!$H:$H,"FIRMA PA",'CALENDARIO INGRESOS'!$L:$L,"&lt;&gt;PAGADA")&gt;0,"FIRMA PA",
   IF(COUNTIFS('CALENDARIO INGRESOS'!$A:$A,$D78,'CALENDARIO INGRESOS'!$H:$H,"ALEM",'CALENDARIO INGRESOS'!$L:$L,"&lt;&gt;PAGADA")&gt;0,"ALEM","LISTO")))),"-")</f>
        <v>LATAM</v>
      </c>
      <c r="S78" s="188">
        <f>+SUMIFS('CALENDARIO INGRESOS'!I:I,'CALENDARIO INGRESOS'!A:A,Tabla3[[#This Row],[ID STRIPE]],'CALENDARIO INGRESOS'!H:H,"LATAM")</f>
        <v>14000</v>
      </c>
      <c r="T78" s="188">
        <f>+IF(Tabla3[[#This Row],[MONTO LATAM]]-Tabla3[[#This Row],[IMPORTE ABONADO]]&gt;=0,Tabla3[[#This Row],[MONTO LATAM]]-Tabla3[[#This Row],[IMPORTE ABONADO]],0)</f>
        <v>3000</v>
      </c>
      <c r="U78" s="188">
        <f>+SUMIFS('CALENDARIO INGRESOS'!I:I,'CALENDARIO INGRESOS'!A:A,Tabla3[[#This Row],[ID STRIPE]],'CALENDARIO INGRESOS'!H:H,"ALEM")</f>
        <v>6000</v>
      </c>
      <c r="V78" s="6">
        <f>+SUMIFS('CALENDARIO INGRESOS'!I:I,'CALENDARIO INGRESOS'!A:A,Tabla3[[#This Row],[ID STRIPE]],'CALENDARIO INGRESOS'!H:H,"VISA")+SUMIFS('CALENDARIO INGRESOS'!I:I,'CALENDARIO INGRESOS'!A:A,Tabla3[[#This Row],[ID STRIPE]],'CALENDARIO INGRESOS'!H:H,"FIRMA PA")</f>
        <v>0</v>
      </c>
      <c r="W78" s="250">
        <v>0</v>
      </c>
      <c r="X78" s="60">
        <f>+IFERROR(AVERAGEIF('CALENDARIO INGRESOS'!A:A,Tabla3[[#This Row],[ID STRIPE]],'CALENDARIO INGRESOS'!M:M),"0")</f>
        <v>0.55555555555555558</v>
      </c>
      <c r="Y78" s="18">
        <v>46082</v>
      </c>
      <c r="Z78" s="286">
        <f>+IFERROR(_xlfn.XLOOKUP(Tabla3[[#This Row],[ID LINGODA]],LINGODA!D:D,LINGODA!S:S),0)</f>
        <v>138</v>
      </c>
      <c r="AA78" s="18" t="str">
        <f>+IFERROR(_xlfn.XLOOKUP(Tabla3[[#This Row],[ID LINGODA]],LINGODA!D:D,LINGODA!F:F),"null")</f>
        <v>A2.1</v>
      </c>
      <c r="AB78" s="286" t="str">
        <f>+IFERROR(_xlfn.XLOOKUP(Tabla3[[#This Row],[ID LINGODA]],LINGODA!D:D,LINGODA!G:G),"null")</f>
        <v>B1.2</v>
      </c>
    </row>
    <row r="79" spans="1:28">
      <c r="A79" s="5" t="s">
        <v>2287</v>
      </c>
      <c r="B79" s="1" t="s">
        <v>2288</v>
      </c>
      <c r="C79" s="1" t="s">
        <v>13</v>
      </c>
      <c r="D79" s="1" t="s">
        <v>455</v>
      </c>
      <c r="E79" s="60">
        <v>1806190</v>
      </c>
      <c r="F79" s="60"/>
      <c r="G79" s="18">
        <f>(_xlfn.MINIFS(INGRESOS!A:A,INGRESOS!C:C,Tabla3[[#This Row],[CORREO]]))</f>
        <v>45846</v>
      </c>
      <c r="H79" s="3">
        <f>+SUMIFS(INGRESOS!J:J,INGRESOS!D:D,Tabla3[[#This Row],[ID STRIPE]],INGRESOS!A:A,"&gt;="&amp;DATE(YEAR(Tabla3[[#This Row],[FECHA INGRESO]]),MONTH(Tabla3[[#This Row],[FECHA INGRESO]]),1),INGRESOS!A:A,"&lt;="&amp;DATE(YEAR(Tabla3[[#This Row],[FECHA INGRESO]]),MONTH(Tabla3[[#This Row],[FECHA INGRESO]])+1,0))</f>
        <v>2176.37</v>
      </c>
      <c r="I79" s="286">
        <f ca="1">DATEDIF(Tabla3[[#This Row],[FECHA INGRESO]],IF(OR(Tabla3[[#This Row],[ESTADO]]="OK",Tabla3[[#This Row],[ESTADO]]="¡REGULARIZAR!")=TRUE,TODAY(),IF(Tabla3[[#This Row],[ULTIMO PAGO]]="",TODAY(),Tabla3[[#This Row],[ULTIMO PAGO]])),"m")</f>
        <v>7</v>
      </c>
      <c r="J79" s="18">
        <f>(_xlfn.MAXIFS(INGRESOS!A:A,INGRESOS!C:C,Tabla3[[#This Row],[CORREO]]))</f>
        <v>46063</v>
      </c>
      <c r="K79" s="7">
        <f ca="1">+IFERROR(Tabla3[[#This Row],[ABONADO NETO ]]/Tabla3[[#This Row],[MESES ACT]],Tabla3[[#This Row],[ABONO 1ER MES]])</f>
        <v>1381.82</v>
      </c>
      <c r="M79" s="287" t="s">
        <v>2119</v>
      </c>
      <c r="N79" s="288">
        <f>+SUMIF(INGRESOS!D:D,Tabla3[[#This Row],[ID STRIPE]],INGRESOS!J:J)</f>
        <v>9672.74</v>
      </c>
      <c r="O79" s="6">
        <v>22000</v>
      </c>
      <c r="P79" s="6">
        <f>+SUMIF('CALENDARIO INGRESOS'!A:A,Tabla3[[#This Row],[ID STRIPE]],'CALENDARIO INGRESOS'!I:I)</f>
        <v>22000</v>
      </c>
      <c r="Q79" s="6">
        <f>+SUMIF(INGRESOS!D:D,Tabla3[[#This Row],[ID STRIPE]],INGRESOS!G:G)</f>
        <v>10000</v>
      </c>
      <c r="R79" s="3" t="str">
        <f>IF(Tabla3[[#This Row],[ESTADO]]="OK",IF(COUNTIFS('CALENDARIO INGRESOS'!$A:$A,$D79,'CALENDARIO INGRESOS'!$H:$H,"LATAM",'CALENDARIO INGRESOS'!$L:$L,"&lt;&gt;PAGADA")&gt;0,"LATAM",
 IF(COUNTIFS('CALENDARIO INGRESOS'!$A:$A,$D79,'CALENDARIO INGRESOS'!$H:$H,"VISA",'CALENDARIO INGRESOS'!$L:$L,"&lt;&gt;PAGADA")&gt;0,"VISA",
  IF(COUNTIFS('CALENDARIO INGRESOS'!$A:$A,$D79,'CALENDARIO INGRESOS'!$H:$H,"FIRMA PA",'CALENDARIO INGRESOS'!$L:$L,"&lt;&gt;PAGADA")&gt;0,"FIRMA PA",
   IF(COUNTIFS('CALENDARIO INGRESOS'!$A:$A,$D79,'CALENDARIO INGRESOS'!$H:$H,"ALEM",'CALENDARIO INGRESOS'!$L:$L,"&lt;&gt;PAGADA")&gt;0,"ALEM","LISTO")))),"-")</f>
        <v>LATAM</v>
      </c>
      <c r="S79" s="188">
        <f>+SUMIFS('CALENDARIO INGRESOS'!I:I,'CALENDARIO INGRESOS'!A:A,Tabla3[[#This Row],[ID STRIPE]],'CALENDARIO INGRESOS'!H:H,"LATAM")</f>
        <v>16000</v>
      </c>
      <c r="T79" s="188">
        <f>+IF(Tabla3[[#This Row],[MONTO LATAM]]-Tabla3[[#This Row],[IMPORTE ABONADO]]&gt;=0,Tabla3[[#This Row],[MONTO LATAM]]-Tabla3[[#This Row],[IMPORTE ABONADO]],0)</f>
        <v>6000</v>
      </c>
      <c r="U79" s="188">
        <f>+SUMIFS('CALENDARIO INGRESOS'!I:I,'CALENDARIO INGRESOS'!A:A,Tabla3[[#This Row],[ID STRIPE]],'CALENDARIO INGRESOS'!H:H,"ALEM")</f>
        <v>6000</v>
      </c>
      <c r="V79" s="6">
        <f>+SUMIFS('CALENDARIO INGRESOS'!I:I,'CALENDARIO INGRESOS'!A:A,Tabla3[[#This Row],[ID STRIPE]],'CALENDARIO INGRESOS'!H:H,"VISA")+SUMIFS('CALENDARIO INGRESOS'!I:I,'CALENDARIO INGRESOS'!A:A,Tabla3[[#This Row],[ID STRIPE]],'CALENDARIO INGRESOS'!H:H,"FIRMA PA")</f>
        <v>0</v>
      </c>
      <c r="W79" s="250">
        <v>1</v>
      </c>
      <c r="X79" s="60">
        <f>+IFERROR(AVERAGEIF('CALENDARIO INGRESOS'!A:A,Tabla3[[#This Row],[ID STRIPE]],'CALENDARIO INGRESOS'!M:M),"0")</f>
        <v>-0.55555555555555558</v>
      </c>
      <c r="Y79" s="18">
        <v>46054</v>
      </c>
      <c r="Z79" s="286">
        <f>+IFERROR(_xlfn.XLOOKUP(Tabla3[[#This Row],[ID LINGODA]],LINGODA!D:D,LINGODA!S:S),0)</f>
        <v>7</v>
      </c>
      <c r="AA79" s="18" t="str">
        <f>+IFERROR(_xlfn.XLOOKUP(Tabla3[[#This Row],[ID LINGODA]],LINGODA!D:D,LINGODA!F:F),"null")</f>
        <v>A1.1</v>
      </c>
      <c r="AB79" s="286" t="str">
        <f>+IFERROR(_xlfn.XLOOKUP(Tabla3[[#This Row],[ID LINGODA]],LINGODA!D:D,LINGODA!G:G),"null")</f>
        <v>A1.1</v>
      </c>
    </row>
    <row r="80" spans="1:28">
      <c r="A80" s="5" t="s">
        <v>2243</v>
      </c>
      <c r="B80" s="1" t="s">
        <v>2244</v>
      </c>
      <c r="C80" s="1" t="s">
        <v>11</v>
      </c>
      <c r="D80" s="1" t="s">
        <v>317</v>
      </c>
      <c r="E80" s="60">
        <v>1798177</v>
      </c>
      <c r="F80" s="60"/>
      <c r="G80" s="18">
        <f>(_xlfn.MINIFS(INGRESOS!A:A,INGRESOS!C:C,Tabla3[[#This Row],[CORREO]]))</f>
        <v>45847</v>
      </c>
      <c r="H80" s="3">
        <f>+SUMIFS(INGRESOS!J:J,INGRESOS!D:D,Tabla3[[#This Row],[ID STRIPE]],INGRESOS!A:A,"&gt;="&amp;DATE(YEAR(Tabla3[[#This Row],[FECHA INGRESO]]),MONTH(Tabla3[[#This Row],[FECHA INGRESO]]),1),INGRESOS!A:A,"&lt;="&amp;DATE(YEAR(Tabla3[[#This Row],[FECHA INGRESO]]),MONTH(Tabla3[[#This Row],[FECHA INGRESO]])+1,0))</f>
        <v>18143.547211902594</v>
      </c>
      <c r="I80" s="286">
        <f ca="1">DATEDIF(Tabla3[[#This Row],[FECHA INGRESO]],IF(OR(Tabla3[[#This Row],[ESTADO]]="OK",Tabla3[[#This Row],[ESTADO]]="¡REGULARIZAR!")=TRUE,TODAY(),IF(Tabla3[[#This Row],[ULTIMO PAGO]]="",TODAY(),Tabla3[[#This Row],[ULTIMO PAGO]])),"m")</f>
        <v>7</v>
      </c>
      <c r="J80" s="18">
        <f>(_xlfn.MAXIFS(INGRESOS!A:A,INGRESOS!C:C,Tabla3[[#This Row],[CORREO]]))</f>
        <v>45862</v>
      </c>
      <c r="K80" s="7">
        <f ca="1">+IFERROR(Tabla3[[#This Row],[ABONADO NETO ]]/Tabla3[[#This Row],[MESES ACT]],Tabla3[[#This Row],[ABONO 1ER MES]])</f>
        <v>2591.9353159860848</v>
      </c>
      <c r="M80" s="287" t="s">
        <v>2119</v>
      </c>
      <c r="N80" s="288">
        <f>+SUMIF(INGRESOS!D:D,Tabla3[[#This Row],[ID STRIPE]],INGRESOS!J:J)</f>
        <v>18143.547211902594</v>
      </c>
      <c r="O80" s="6">
        <v>18900</v>
      </c>
      <c r="P80" s="6">
        <f>+SUMIF('CALENDARIO INGRESOS'!A:A,Tabla3[[#This Row],[ID STRIPE]],'CALENDARIO INGRESOS'!I:I)</f>
        <v>18143.547211902594</v>
      </c>
      <c r="Q80" s="6">
        <f>+SUMIF(INGRESOS!D:D,Tabla3[[#This Row],[ID STRIPE]],INGRESOS!G:G)</f>
        <v>18143.547211902594</v>
      </c>
      <c r="R80" s="3" t="str">
        <f>IF(Tabla3[[#This Row],[ESTADO]]="OK",IF(COUNTIFS('CALENDARIO INGRESOS'!$A:$A,$D80,'CALENDARIO INGRESOS'!$H:$H,"LATAM",'CALENDARIO INGRESOS'!$L:$L,"&lt;&gt;PAGADA")&gt;0,"LATAM",
 IF(COUNTIFS('CALENDARIO INGRESOS'!$A:$A,$D80,'CALENDARIO INGRESOS'!$H:$H,"VISA",'CALENDARIO INGRESOS'!$L:$L,"&lt;&gt;PAGADA")&gt;0,"VISA",
  IF(COUNTIFS('CALENDARIO INGRESOS'!$A:$A,$D80,'CALENDARIO INGRESOS'!$H:$H,"FIRMA PA",'CALENDARIO INGRESOS'!$L:$L,"&lt;&gt;PAGADA")&gt;0,"FIRMA PA",
   IF(COUNTIFS('CALENDARIO INGRESOS'!$A:$A,$D80,'CALENDARIO INGRESOS'!$H:$H,"ALEM",'CALENDARIO INGRESOS'!$L:$L,"&lt;&gt;PAGADA")&gt;0,"ALEM","LISTO")))),"-")</f>
        <v>LISTO</v>
      </c>
      <c r="S80" s="188">
        <f>+SUMIFS('CALENDARIO INGRESOS'!I:I,'CALENDARIO INGRESOS'!A:A,Tabla3[[#This Row],[ID STRIPE]],'CALENDARIO INGRESOS'!H:H,"LATAM")</f>
        <v>18143.547211902594</v>
      </c>
      <c r="T80" s="188">
        <f>+IF(Tabla3[[#This Row],[MONTO LATAM]]-Tabla3[[#This Row],[IMPORTE ABONADO]]&gt;=0,Tabla3[[#This Row],[MONTO LATAM]]-Tabla3[[#This Row],[IMPORTE ABONADO]],0)</f>
        <v>0</v>
      </c>
      <c r="U80" s="188">
        <f>+SUMIFS('CALENDARIO INGRESOS'!I:I,'CALENDARIO INGRESOS'!A:A,Tabla3[[#This Row],[ID STRIPE]],'CALENDARIO INGRESOS'!H:H,"ALEM")</f>
        <v>0</v>
      </c>
      <c r="V80" s="6">
        <f>+SUMIFS('CALENDARIO INGRESOS'!I:I,'CALENDARIO INGRESOS'!A:A,Tabla3[[#This Row],[ID STRIPE]],'CALENDARIO INGRESOS'!H:H,"VISA")+SUMIFS('CALENDARIO INGRESOS'!I:I,'CALENDARIO INGRESOS'!A:A,Tabla3[[#This Row],[ID STRIPE]],'CALENDARIO INGRESOS'!H:H,"FIRMA PA")</f>
        <v>0</v>
      </c>
      <c r="W80" s="252">
        <v>0</v>
      </c>
      <c r="X80" s="60">
        <f>+IFERROR(AVERAGEIF('CALENDARIO INGRESOS'!A:A,Tabla3[[#This Row],[ID STRIPE]],'CALENDARIO INGRESOS'!M:M),"0")</f>
        <v>0</v>
      </c>
      <c r="Y80" s="18" t="s">
        <v>2093</v>
      </c>
      <c r="Z80" s="286">
        <f>+IFERROR(_xlfn.XLOOKUP(Tabla3[[#This Row],[ID LINGODA]],LINGODA!D:D,LINGODA!S:S),0)</f>
        <v>183</v>
      </c>
      <c r="AA80" s="18" t="str">
        <f>+IFERROR(_xlfn.XLOOKUP(Tabla3[[#This Row],[ID LINGODA]],LINGODA!D:D,LINGODA!F:F),"null")</f>
        <v>A1.2</v>
      </c>
      <c r="AB80" s="286" t="str">
        <f>+IFERROR(_xlfn.XLOOKUP(Tabla3[[#This Row],[ID LINGODA]],LINGODA!D:D,LINGODA!G:G),"null")</f>
        <v>B1.1</v>
      </c>
    </row>
    <row r="81" spans="1:28">
      <c r="A81" s="5" t="s">
        <v>2289</v>
      </c>
      <c r="B81" s="1" t="s">
        <v>2290</v>
      </c>
      <c r="C81" s="1" t="s">
        <v>19</v>
      </c>
      <c r="D81" s="1" t="s">
        <v>460</v>
      </c>
      <c r="E81" s="60">
        <v>1804283</v>
      </c>
      <c r="F81" s="60"/>
      <c r="G81" s="18">
        <f>(_xlfn.MINIFS(INGRESOS!A:A,INGRESOS!C:C,Tabla3[[#This Row],[CORREO]]))</f>
        <v>45847</v>
      </c>
      <c r="H81" s="3">
        <f>+SUMIFS(INGRESOS!J:J,INGRESOS!D:D,Tabla3[[#This Row],[ID STRIPE]],INGRESOS!A:A,"&gt;="&amp;DATE(YEAR(Tabla3[[#This Row],[FECHA INGRESO]]),MONTH(Tabla3[[#This Row],[FECHA INGRESO]]),1),INGRESOS!A:A,"&lt;="&amp;DATE(YEAR(Tabla3[[#This Row],[FECHA INGRESO]]),MONTH(Tabla3[[#This Row],[FECHA INGRESO]])+1,0))</f>
        <v>3975.9285412300187</v>
      </c>
      <c r="I81" s="286">
        <f ca="1">DATEDIF(Tabla3[[#This Row],[FECHA INGRESO]],IF(OR(Tabla3[[#This Row],[ESTADO]]="OK",Tabla3[[#This Row],[ESTADO]]="¡REGULARIZAR!")=TRUE,TODAY(),IF(Tabla3[[#This Row],[ULTIMO PAGO]]="",TODAY(),Tabla3[[#This Row],[ULTIMO PAGO]])),"m")</f>
        <v>7</v>
      </c>
      <c r="J81" s="18">
        <f>(_xlfn.MAXIFS(INGRESOS!A:A,INGRESOS!C:C,Tabla3[[#This Row],[CORREO]]))</f>
        <v>45989</v>
      </c>
      <c r="K81" s="7">
        <f ca="1">+IFERROR(Tabla3[[#This Row],[ABONADO NETO ]]/Tabla3[[#This Row],[MESES ACT]],Tabla3[[#This Row],[ABONO 1ER MES]])</f>
        <v>2282.2755058900029</v>
      </c>
      <c r="M81" s="287" t="s">
        <v>2119</v>
      </c>
      <c r="N81" s="288">
        <f>+SUMIF(INGRESOS!D:D,Tabla3[[#This Row],[ID STRIPE]],INGRESOS!J:J)</f>
        <v>15975.92854123002</v>
      </c>
      <c r="O81" s="6">
        <v>22000</v>
      </c>
      <c r="P81" s="6">
        <f>+SUMIF('CALENDARIO INGRESOS'!A:A,Tabla3[[#This Row],[ID STRIPE]],'CALENDARIO INGRESOS'!I:I)</f>
        <v>22000</v>
      </c>
      <c r="Q81" s="6">
        <f>+SUMIF(INGRESOS!D:D,Tabla3[[#This Row],[ID STRIPE]],INGRESOS!G:G)</f>
        <v>15975.92854123002</v>
      </c>
      <c r="R81" s="3" t="str">
        <f>IF(Tabla3[[#This Row],[ESTADO]]="OK",IF(COUNTIFS('CALENDARIO INGRESOS'!$A:$A,$D81,'CALENDARIO INGRESOS'!$H:$H,"LATAM",'CALENDARIO INGRESOS'!$L:$L,"&lt;&gt;PAGADA")&gt;0,"LATAM",
 IF(COUNTIFS('CALENDARIO INGRESOS'!$A:$A,$D81,'CALENDARIO INGRESOS'!$H:$H,"VISA",'CALENDARIO INGRESOS'!$L:$L,"&lt;&gt;PAGADA")&gt;0,"VISA",
  IF(COUNTIFS('CALENDARIO INGRESOS'!$A:$A,$D81,'CALENDARIO INGRESOS'!$H:$H,"FIRMA PA",'CALENDARIO INGRESOS'!$L:$L,"&lt;&gt;PAGADA")&gt;0,"FIRMA PA",
   IF(COUNTIFS('CALENDARIO INGRESOS'!$A:$A,$D81,'CALENDARIO INGRESOS'!$H:$H,"ALEM",'CALENDARIO INGRESOS'!$L:$L,"&lt;&gt;PAGADA")&gt;0,"ALEM","LISTO")))),"-")</f>
        <v>ALEM</v>
      </c>
      <c r="S81" s="188">
        <f>+SUMIFS('CALENDARIO INGRESOS'!I:I,'CALENDARIO INGRESOS'!A:A,Tabla3[[#This Row],[ID STRIPE]],'CALENDARIO INGRESOS'!H:H,"LATAM")</f>
        <v>16000</v>
      </c>
      <c r="T81" s="188">
        <f>+IF(Tabla3[[#This Row],[MONTO LATAM]]-Tabla3[[#This Row],[IMPORTE ABONADO]]&gt;=0,Tabla3[[#This Row],[MONTO LATAM]]-Tabla3[[#This Row],[IMPORTE ABONADO]],0)</f>
        <v>24.071458769980381</v>
      </c>
      <c r="U81" s="188">
        <f>+SUMIFS('CALENDARIO INGRESOS'!I:I,'CALENDARIO INGRESOS'!A:A,Tabla3[[#This Row],[ID STRIPE]],'CALENDARIO INGRESOS'!H:H,"ALEM")</f>
        <v>6000</v>
      </c>
      <c r="V81" s="6">
        <f>+SUMIFS('CALENDARIO INGRESOS'!I:I,'CALENDARIO INGRESOS'!A:A,Tabla3[[#This Row],[ID STRIPE]],'CALENDARIO INGRESOS'!H:H,"VISA")+SUMIFS('CALENDARIO INGRESOS'!I:I,'CALENDARIO INGRESOS'!A:A,Tabla3[[#This Row],[ID STRIPE]],'CALENDARIO INGRESOS'!H:H,"FIRMA PA")</f>
        <v>0</v>
      </c>
      <c r="W81" s="252">
        <v>0</v>
      </c>
      <c r="X81" s="60">
        <f>+IFERROR(AVERAGEIF('CALENDARIO INGRESOS'!A:A,Tabla3[[#This Row],[ID STRIPE]],'CALENDARIO INGRESOS'!M:M),"0")</f>
        <v>2.5</v>
      </c>
      <c r="Y81" s="18">
        <v>46204</v>
      </c>
      <c r="Z81" s="286">
        <f>+IFERROR(_xlfn.XLOOKUP(Tabla3[[#This Row],[ID LINGODA]],LINGODA!D:D,LINGODA!S:S),0)</f>
        <v>147</v>
      </c>
      <c r="AA81" s="18" t="str">
        <f>+IFERROR(_xlfn.XLOOKUP(Tabla3[[#This Row],[ID LINGODA]],LINGODA!D:D,LINGODA!F:F),"null")</f>
        <v>A1.1</v>
      </c>
      <c r="AB81" s="286" t="str">
        <f>+IFERROR(_xlfn.XLOOKUP(Tabla3[[#This Row],[ID LINGODA]],LINGODA!D:D,LINGODA!G:G),"null")</f>
        <v>B1.1</v>
      </c>
    </row>
    <row r="82" spans="1:28">
      <c r="A82" s="5" t="s">
        <v>2291</v>
      </c>
      <c r="B82" s="1" t="s">
        <v>2292</v>
      </c>
      <c r="C82" s="1" t="s">
        <v>16</v>
      </c>
      <c r="D82" s="1" t="s">
        <v>465</v>
      </c>
      <c r="E82" s="60">
        <v>1807119</v>
      </c>
      <c r="F82" s="60"/>
      <c r="G82" s="18">
        <f>(_xlfn.MINIFS(INGRESOS!A:A,INGRESOS!C:C,Tabla3[[#This Row],[CORREO]]))</f>
        <v>45848</v>
      </c>
      <c r="H82" s="3">
        <f>+SUMIFS(INGRESOS!J:J,INGRESOS!D:D,Tabla3[[#This Row],[ID STRIPE]],INGRESOS!A:A,"&gt;="&amp;DATE(YEAR(Tabla3[[#This Row],[FECHA INGRESO]]),MONTH(Tabla3[[#This Row],[FECHA INGRESO]]),1),INGRESOS!A:A,"&lt;="&amp;DATE(YEAR(Tabla3[[#This Row],[FECHA INGRESO]]),MONTH(Tabla3[[#This Row],[FECHA INGRESO]])+1,0))</f>
        <v>241.62</v>
      </c>
      <c r="I82" s="286">
        <f ca="1">DATEDIF(Tabla3[[#This Row],[FECHA INGRESO]],IF(OR(Tabla3[[#This Row],[ESTADO]]="OK",Tabla3[[#This Row],[ESTADO]]="¡REGULARIZAR!")=TRUE,TODAY(),IF(Tabla3[[#This Row],[ULTIMO PAGO]]="",TODAY(),Tabla3[[#This Row],[ULTIMO PAGO]])),"m")</f>
        <v>2</v>
      </c>
      <c r="J82" s="18">
        <f>(_xlfn.MAXIFS(INGRESOS!A:A,INGRESOS!C:C,Tabla3[[#This Row],[CORREO]]))</f>
        <v>45933</v>
      </c>
      <c r="K82" s="7">
        <f ca="1">+IFERROR(Tabla3[[#This Row],[ABONADO NETO ]]/Tabla3[[#This Row],[MESES ACT]],Tabla3[[#This Row],[ABONO 1ER MES]])</f>
        <v>2901.9949999999999</v>
      </c>
      <c r="M82" s="287" t="s">
        <v>2139</v>
      </c>
      <c r="N82" s="288">
        <f>+SUMIF(INGRESOS!D:D,Tabla3[[#This Row],[ID STRIPE]],INGRESOS!J:J)</f>
        <v>5803.99</v>
      </c>
      <c r="O82" s="6">
        <v>21000</v>
      </c>
      <c r="P82" s="6">
        <f>+SUMIF('CALENDARIO INGRESOS'!A:A,Tabla3[[#This Row],[ID STRIPE]],'CALENDARIO INGRESOS'!I:I)</f>
        <v>6000</v>
      </c>
      <c r="Q82" s="6">
        <f>+SUMIF(INGRESOS!D:D,Tabla3[[#This Row],[ID STRIPE]],INGRESOS!G:G)</f>
        <v>6000</v>
      </c>
      <c r="R82" s="3" t="str">
        <f>IF(Tabla3[[#This Row],[ESTADO]]="OK",IF(COUNTIFS('CALENDARIO INGRESOS'!$A:$A,$D82,'CALENDARIO INGRESOS'!$H:$H,"LATAM",'CALENDARIO INGRESOS'!$L:$L,"&lt;&gt;PAGADA")&gt;0,"LATAM",
 IF(COUNTIFS('CALENDARIO INGRESOS'!$A:$A,$D82,'CALENDARIO INGRESOS'!$H:$H,"VISA",'CALENDARIO INGRESOS'!$L:$L,"&lt;&gt;PAGADA")&gt;0,"VISA",
  IF(COUNTIFS('CALENDARIO INGRESOS'!$A:$A,$D82,'CALENDARIO INGRESOS'!$H:$H,"FIRMA PA",'CALENDARIO INGRESOS'!$L:$L,"&lt;&gt;PAGADA")&gt;0,"FIRMA PA",
   IF(COUNTIFS('CALENDARIO INGRESOS'!$A:$A,$D82,'CALENDARIO INGRESOS'!$H:$H,"ALEM",'CALENDARIO INGRESOS'!$L:$L,"&lt;&gt;PAGADA")&gt;0,"ALEM","LISTO")))),"-")</f>
        <v>-</v>
      </c>
      <c r="S82" s="188">
        <f>+SUMIFS('CALENDARIO INGRESOS'!I:I,'CALENDARIO INGRESOS'!A:A,Tabla3[[#This Row],[ID STRIPE]],'CALENDARIO INGRESOS'!H:H,"LATAM")</f>
        <v>6000</v>
      </c>
      <c r="T82" s="188">
        <f>+IF(Tabla3[[#This Row],[MONTO LATAM]]-Tabla3[[#This Row],[IMPORTE ABONADO]]&gt;=0,Tabla3[[#This Row],[MONTO LATAM]]-Tabla3[[#This Row],[IMPORTE ABONADO]],0)</f>
        <v>0</v>
      </c>
      <c r="U82" s="188">
        <f>+SUMIFS('CALENDARIO INGRESOS'!I:I,'CALENDARIO INGRESOS'!A:A,Tabla3[[#This Row],[ID STRIPE]],'CALENDARIO INGRESOS'!H:H,"ALEM")</f>
        <v>0</v>
      </c>
      <c r="V82" s="6">
        <f>+SUMIFS('CALENDARIO INGRESOS'!I:I,'CALENDARIO INGRESOS'!A:A,Tabla3[[#This Row],[ID STRIPE]],'CALENDARIO INGRESOS'!H:H,"VISA")+SUMIFS('CALENDARIO INGRESOS'!I:I,'CALENDARIO INGRESOS'!A:A,Tabla3[[#This Row],[ID STRIPE]],'CALENDARIO INGRESOS'!H:H,"FIRMA PA")</f>
        <v>0</v>
      </c>
      <c r="W82" s="250">
        <v>0</v>
      </c>
      <c r="X82" s="60">
        <f>+IFERROR(AVERAGEIF('CALENDARIO INGRESOS'!A:A,Tabla3[[#This Row],[ID STRIPE]],'CALENDARIO INGRESOS'!M:M),"0")</f>
        <v>-0.25</v>
      </c>
      <c r="Y82" s="18">
        <v>46235</v>
      </c>
      <c r="Z82" s="286">
        <f>+IFERROR(_xlfn.XLOOKUP(Tabla3[[#This Row],[ID LINGODA]],LINGODA!D:D,LINGODA!S:S),0)</f>
        <v>4</v>
      </c>
      <c r="AA82" s="18" t="str">
        <f>+IFERROR(_xlfn.XLOOKUP(Tabla3[[#This Row],[ID LINGODA]],LINGODA!D:D,LINGODA!F:F),"null")</f>
        <v>B1.1</v>
      </c>
      <c r="AB82" s="286" t="str">
        <f>+IFERROR(_xlfn.XLOOKUP(Tabla3[[#This Row],[ID LINGODA]],LINGODA!D:D,LINGODA!G:G),"null")</f>
        <v>B1.1</v>
      </c>
    </row>
    <row r="83" spans="1:28">
      <c r="A83" s="5" t="s">
        <v>2293</v>
      </c>
      <c r="B83" s="1" t="s">
        <v>2294</v>
      </c>
      <c r="C83" s="1" t="s">
        <v>12</v>
      </c>
      <c r="D83" s="1" t="s">
        <v>468</v>
      </c>
      <c r="E83" s="60">
        <v>1807121</v>
      </c>
      <c r="F83" s="60"/>
      <c r="G83" s="18">
        <f>(_xlfn.MINIFS(INGRESOS!A:A,INGRESOS!C:C,Tabla3[[#This Row],[CORREO]]))</f>
        <v>45848</v>
      </c>
      <c r="H83" s="3">
        <f>+SUMIFS(INGRESOS!J:J,INGRESOS!D:D,Tabla3[[#This Row],[ID STRIPE]],INGRESOS!A:A,"&gt;="&amp;DATE(YEAR(Tabla3[[#This Row],[FECHA INGRESO]]),MONTH(Tabla3[[#This Row],[FECHA INGRESO]]),1),INGRESOS!A:A,"&lt;="&amp;DATE(YEAR(Tabla3[[#This Row],[FECHA INGRESO]]),MONTH(Tabla3[[#This Row],[FECHA INGRESO]])+1,0))</f>
        <v>3143.62</v>
      </c>
      <c r="I83" s="286">
        <f ca="1">DATEDIF(Tabla3[[#This Row],[FECHA INGRESO]],IF(OR(Tabla3[[#This Row],[ESTADO]]="OK",Tabla3[[#This Row],[ESTADO]]="¡REGULARIZAR!")=TRUE,TODAY(),IF(Tabla3[[#This Row],[ULTIMO PAGO]]="",TODAY(),Tabla3[[#This Row],[ULTIMO PAGO]])),"m")</f>
        <v>7</v>
      </c>
      <c r="J83" s="18">
        <f>(_xlfn.MAXIFS(INGRESOS!A:A,INGRESOS!C:C,Tabla3[[#This Row],[CORREO]]))</f>
        <v>46053</v>
      </c>
      <c r="K83" s="7">
        <f ca="1">+IFERROR(Tabla3[[#This Row],[ABONADO NETO ]]/Tabla3[[#This Row],[MESES ACT]],Tabla3[[#This Row],[ABONO 1ER MES]])</f>
        <v>1478.6771428571428</v>
      </c>
      <c r="M83" s="287" t="s">
        <v>2119</v>
      </c>
      <c r="N83" s="288">
        <f>+SUMIF(INGRESOS!D:D,Tabla3[[#This Row],[ID STRIPE]],INGRESOS!J:J)</f>
        <v>10350.74</v>
      </c>
      <c r="O83" s="6">
        <v>21000</v>
      </c>
      <c r="P83" s="6">
        <f>+SUMIF('CALENDARIO INGRESOS'!A:A,Tabla3[[#This Row],[ID STRIPE]],'CALENDARIO INGRESOS'!I:I)</f>
        <v>20950</v>
      </c>
      <c r="Q83" s="6">
        <f>+SUMIF(INGRESOS!D:D,Tabla3[[#This Row],[ID STRIPE]],INGRESOS!G:G)</f>
        <v>10700</v>
      </c>
      <c r="R83" s="3" t="str">
        <f>IF(Tabla3[[#This Row],[ESTADO]]="OK",IF(COUNTIFS('CALENDARIO INGRESOS'!$A:$A,$D83,'CALENDARIO INGRESOS'!$H:$H,"LATAM",'CALENDARIO INGRESOS'!$L:$L,"&lt;&gt;PAGADA")&gt;0,"LATAM",
 IF(COUNTIFS('CALENDARIO INGRESOS'!$A:$A,$D83,'CALENDARIO INGRESOS'!$H:$H,"VISA",'CALENDARIO INGRESOS'!$L:$L,"&lt;&gt;PAGADA")&gt;0,"VISA",
  IF(COUNTIFS('CALENDARIO INGRESOS'!$A:$A,$D83,'CALENDARIO INGRESOS'!$H:$H,"FIRMA PA",'CALENDARIO INGRESOS'!$L:$L,"&lt;&gt;PAGADA")&gt;0,"FIRMA PA",
   IF(COUNTIFS('CALENDARIO INGRESOS'!$A:$A,$D83,'CALENDARIO INGRESOS'!$H:$H,"ALEM",'CALENDARIO INGRESOS'!$L:$L,"&lt;&gt;PAGADA")&gt;0,"ALEM","LISTO")))),"-")</f>
        <v>LATAM</v>
      </c>
      <c r="S83" s="188">
        <f>+SUMIFS('CALENDARIO INGRESOS'!I:I,'CALENDARIO INGRESOS'!A:A,Tabla3[[#This Row],[ID STRIPE]],'CALENDARIO INGRESOS'!H:H,"LATAM")</f>
        <v>14450</v>
      </c>
      <c r="T83" s="188">
        <f>+IF(Tabla3[[#This Row],[MONTO LATAM]]-Tabla3[[#This Row],[IMPORTE ABONADO]]&gt;=0,Tabla3[[#This Row],[MONTO LATAM]]-Tabla3[[#This Row],[IMPORTE ABONADO]],0)</f>
        <v>3750</v>
      </c>
      <c r="U83" s="188">
        <f>+SUMIFS('CALENDARIO INGRESOS'!I:I,'CALENDARIO INGRESOS'!A:A,Tabla3[[#This Row],[ID STRIPE]],'CALENDARIO INGRESOS'!H:H,"ALEM")</f>
        <v>6500</v>
      </c>
      <c r="V83" s="6">
        <f>+SUMIFS('CALENDARIO INGRESOS'!I:I,'CALENDARIO INGRESOS'!A:A,Tabla3[[#This Row],[ID STRIPE]],'CALENDARIO INGRESOS'!H:H,"VISA")+SUMIFS('CALENDARIO INGRESOS'!I:I,'CALENDARIO INGRESOS'!A:A,Tabla3[[#This Row],[ID STRIPE]],'CALENDARIO INGRESOS'!H:H,"FIRMA PA")</f>
        <v>0</v>
      </c>
      <c r="W83" s="252">
        <v>0</v>
      </c>
      <c r="X83" s="60">
        <f>+IFERROR(AVERAGEIF('CALENDARIO INGRESOS'!A:A,Tabla3[[#This Row],[ID STRIPE]],'CALENDARIO INGRESOS'!M:M),"0")</f>
        <v>-0.5</v>
      </c>
      <c r="Y83" s="18">
        <v>46054</v>
      </c>
      <c r="Z83" s="286">
        <f>+IFERROR(_xlfn.XLOOKUP(Tabla3[[#This Row],[ID LINGODA]],LINGODA!D:D,LINGODA!S:S),0)</f>
        <v>50</v>
      </c>
      <c r="AA83" s="18" t="str">
        <f>+IFERROR(_xlfn.XLOOKUP(Tabla3[[#This Row],[ID LINGODA]],LINGODA!D:D,LINGODA!F:F),"null")</f>
        <v>B1.1</v>
      </c>
      <c r="AB83" s="286" t="str">
        <f>+IFERROR(_xlfn.XLOOKUP(Tabla3[[#This Row],[ID LINGODA]],LINGODA!D:D,LINGODA!G:G),"null")</f>
        <v>B1.2</v>
      </c>
    </row>
    <row r="84" spans="1:28">
      <c r="A84" s="5" t="s">
        <v>2295</v>
      </c>
      <c r="B84" s="1" t="s">
        <v>2296</v>
      </c>
      <c r="C84" s="1" t="s">
        <v>22</v>
      </c>
      <c r="D84" s="1" t="s">
        <v>450</v>
      </c>
      <c r="E84" s="60">
        <v>1807120</v>
      </c>
      <c r="F84" s="60"/>
      <c r="G84" s="18">
        <f>(_xlfn.MINIFS(INGRESOS!A:A,INGRESOS!C:C,Tabla3[[#This Row],[CORREO]]))</f>
        <v>45849</v>
      </c>
      <c r="H84" s="3">
        <f>+SUMIFS(INGRESOS!J:J,INGRESOS!D:D,Tabla3[[#This Row],[ID STRIPE]],INGRESOS!A:A,"&gt;="&amp;DATE(YEAR(Tabla3[[#This Row],[FECHA INGRESO]]),MONTH(Tabla3[[#This Row],[FECHA INGRESO]]),1),INGRESOS!A:A,"&lt;="&amp;DATE(YEAR(Tabla3[[#This Row],[FECHA INGRESO]]),MONTH(Tabla3[[#This Row],[FECHA INGRESO]])+1,0))</f>
        <v>4000</v>
      </c>
      <c r="I84" s="286">
        <f ca="1">DATEDIF(Tabla3[[#This Row],[FECHA INGRESO]],IF(OR(Tabla3[[#This Row],[ESTADO]]="OK",Tabla3[[#This Row],[ESTADO]]="¡REGULARIZAR!")=TRUE,TODAY(),IF(Tabla3[[#This Row],[ULTIMO PAGO]]="",TODAY(),Tabla3[[#This Row],[ULTIMO PAGO]])),"m")</f>
        <v>7</v>
      </c>
      <c r="J84" s="18">
        <f>(_xlfn.MAXIFS(INGRESOS!A:A,INGRESOS!C:C,Tabla3[[#This Row],[CORREO]]))</f>
        <v>45901</v>
      </c>
      <c r="K84" s="7">
        <f ca="1">+IFERROR(Tabla3[[#This Row],[ABONADO NETO ]]/Tabla3[[#This Row],[MESES ACT]],Tabla3[[#This Row],[ABONO 1ER MES]])</f>
        <v>714.28571428571433</v>
      </c>
      <c r="M84" s="287" t="s">
        <v>2198</v>
      </c>
      <c r="N84" s="288">
        <f>+SUMIF(INGRESOS!D:D,Tabla3[[#This Row],[ID STRIPE]],INGRESOS!J:J)</f>
        <v>5000</v>
      </c>
      <c r="O84" s="6">
        <v>22000</v>
      </c>
      <c r="P84" s="6">
        <f>+SUMIF('CALENDARIO INGRESOS'!A:A,Tabla3[[#This Row],[ID STRIPE]],'CALENDARIO INGRESOS'!I:I)</f>
        <v>22000</v>
      </c>
      <c r="Q84" s="6">
        <f>+SUMIF(INGRESOS!D:D,Tabla3[[#This Row],[ID STRIPE]],INGRESOS!G:G)</f>
        <v>5000</v>
      </c>
      <c r="R84" s="3" t="str">
        <f>IF(Tabla3[[#This Row],[ESTADO]]="OK",IF(COUNTIFS('CALENDARIO INGRESOS'!$A:$A,$D84,'CALENDARIO INGRESOS'!$H:$H,"LATAM",'CALENDARIO INGRESOS'!$L:$L,"&lt;&gt;PAGADA")&gt;0,"LATAM",
 IF(COUNTIFS('CALENDARIO INGRESOS'!$A:$A,$D84,'CALENDARIO INGRESOS'!$H:$H,"VISA",'CALENDARIO INGRESOS'!$L:$L,"&lt;&gt;PAGADA")&gt;0,"VISA",
  IF(COUNTIFS('CALENDARIO INGRESOS'!$A:$A,$D84,'CALENDARIO INGRESOS'!$H:$H,"FIRMA PA",'CALENDARIO INGRESOS'!$L:$L,"&lt;&gt;PAGADA")&gt;0,"FIRMA PA",
   IF(COUNTIFS('CALENDARIO INGRESOS'!$A:$A,$D84,'CALENDARIO INGRESOS'!$H:$H,"ALEM",'CALENDARIO INGRESOS'!$L:$L,"&lt;&gt;PAGADA")&gt;0,"ALEM","LISTO")))),"-")</f>
        <v>-</v>
      </c>
      <c r="S84" s="188">
        <f>+SUMIFS('CALENDARIO INGRESOS'!I:I,'CALENDARIO INGRESOS'!A:A,Tabla3[[#This Row],[ID STRIPE]],'CALENDARIO INGRESOS'!H:H,"LATAM")</f>
        <v>16000</v>
      </c>
      <c r="T84" s="188">
        <f>+IF(Tabla3[[#This Row],[MONTO LATAM]]-Tabla3[[#This Row],[IMPORTE ABONADO]]&gt;=0,Tabla3[[#This Row],[MONTO LATAM]]-Tabla3[[#This Row],[IMPORTE ABONADO]],0)</f>
        <v>11000</v>
      </c>
      <c r="U84" s="188">
        <f>+SUMIFS('CALENDARIO INGRESOS'!I:I,'CALENDARIO INGRESOS'!A:A,Tabla3[[#This Row],[ID STRIPE]],'CALENDARIO INGRESOS'!H:H,"ALEM")</f>
        <v>6000</v>
      </c>
      <c r="V84" s="6">
        <f>+SUMIFS('CALENDARIO INGRESOS'!I:I,'CALENDARIO INGRESOS'!A:A,Tabla3[[#This Row],[ID STRIPE]],'CALENDARIO INGRESOS'!H:H,"VISA")+SUMIFS('CALENDARIO INGRESOS'!I:I,'CALENDARIO INGRESOS'!A:A,Tabla3[[#This Row],[ID STRIPE]],'CALENDARIO INGRESOS'!H:H,"FIRMA PA")</f>
        <v>0</v>
      </c>
      <c r="W84" s="252">
        <v>0</v>
      </c>
      <c r="X84" s="60">
        <f>+IFERROR(AVERAGEIF('CALENDARIO INGRESOS'!A:A,Tabla3[[#This Row],[ID STRIPE]],'CALENDARIO INGRESOS'!M:M),"0")</f>
        <v>-2</v>
      </c>
      <c r="Y84" s="18" t="s">
        <v>2093</v>
      </c>
      <c r="Z84" s="286">
        <f>+IFERROR(_xlfn.XLOOKUP(Tabla3[[#This Row],[ID LINGODA]],LINGODA!D:D,LINGODA!S:S),0)</f>
        <v>13</v>
      </c>
      <c r="AA84" s="18" t="str">
        <f>+IFERROR(_xlfn.XLOOKUP(Tabla3[[#This Row],[ID LINGODA]],LINGODA!D:D,LINGODA!F:F),"null")</f>
        <v>A1.1</v>
      </c>
      <c r="AB84" s="286" t="str">
        <f>+IFERROR(_xlfn.XLOOKUP(Tabla3[[#This Row],[ID LINGODA]],LINGODA!D:D,LINGODA!G:G),"null")</f>
        <v>A1.1</v>
      </c>
    </row>
    <row r="85" spans="1:28">
      <c r="A85" s="5" t="s">
        <v>2297</v>
      </c>
      <c r="B85" s="1" t="s">
        <v>2298</v>
      </c>
      <c r="C85" s="1" t="s">
        <v>12</v>
      </c>
      <c r="D85" s="1" t="s">
        <v>484</v>
      </c>
      <c r="E85" s="60">
        <v>1804280</v>
      </c>
      <c r="F85" s="60"/>
      <c r="G85" s="18">
        <f>(_xlfn.MINIFS(INGRESOS!A:A,INGRESOS!C:C,Tabla3[[#This Row],[CORREO]]))</f>
        <v>45852</v>
      </c>
      <c r="H85" s="3">
        <f>+SUMIFS(INGRESOS!J:J,INGRESOS!D:D,Tabla3[[#This Row],[ID STRIPE]],INGRESOS!A:A,"&gt;="&amp;DATE(YEAR(Tabla3[[#This Row],[FECHA INGRESO]]),MONTH(Tabla3[[#This Row],[FECHA INGRESO]]),1),INGRESOS!A:A,"&lt;="&amp;DATE(YEAR(Tabla3[[#This Row],[FECHA INGRESO]]),MONTH(Tabla3[[#This Row],[FECHA INGRESO]])+1,0))</f>
        <v>983.5</v>
      </c>
      <c r="I85" s="286">
        <f ca="1">DATEDIF(Tabla3[[#This Row],[FECHA INGRESO]],IF(OR(Tabla3[[#This Row],[ESTADO]]="OK",Tabla3[[#This Row],[ESTADO]]="¡REGULARIZAR!")=TRUE,TODAY(),IF(Tabla3[[#This Row],[ULTIMO PAGO]]="",TODAY(),Tabla3[[#This Row],[ULTIMO PAGO]])),"m")</f>
        <v>7</v>
      </c>
      <c r="J85" s="18">
        <f>(_xlfn.MAXIFS(INGRESOS!A:A,INGRESOS!C:C,Tabla3[[#This Row],[CORREO]]))</f>
        <v>45971</v>
      </c>
      <c r="K85" s="7">
        <f ca="1">+IFERROR(Tabla3[[#This Row],[ABONADO NETO ]]/Tabla3[[#This Row],[MESES ACT]],Tabla3[[#This Row],[ABONO 1ER MES]])</f>
        <v>538.76857142857148</v>
      </c>
      <c r="M85" s="287" t="s">
        <v>2198</v>
      </c>
      <c r="N85" s="288">
        <f>+SUMIF(INGRESOS!D:D,Tabla3[[#This Row],[ID STRIPE]],INGRESOS!J:J)</f>
        <v>3771.38</v>
      </c>
      <c r="O85" s="207">
        <v>16000</v>
      </c>
      <c r="P85" s="207">
        <f>+SUMIF('CALENDARIO INGRESOS'!A:A,Tabla3[[#This Row],[ID STRIPE]],'CALENDARIO INGRESOS'!I:I)</f>
        <v>3380</v>
      </c>
      <c r="Q85" s="207">
        <f>+SUMIF(INGRESOS!D:D,Tabla3[[#This Row],[ID STRIPE]],INGRESOS!G:G)</f>
        <v>3850</v>
      </c>
      <c r="R85" s="3" t="str">
        <f>IF(Tabla3[[#This Row],[ESTADO]]="OK",IF(COUNTIFS('CALENDARIO INGRESOS'!$A:$A,$D85,'CALENDARIO INGRESOS'!$H:$H,"LATAM",'CALENDARIO INGRESOS'!$L:$L,"&lt;&gt;PAGADA")&gt;0,"LATAM",
 IF(COUNTIFS('CALENDARIO INGRESOS'!$A:$A,$D85,'CALENDARIO INGRESOS'!$H:$H,"VISA",'CALENDARIO INGRESOS'!$L:$L,"&lt;&gt;PAGADA")&gt;0,"VISA",
  IF(COUNTIFS('CALENDARIO INGRESOS'!$A:$A,$D85,'CALENDARIO INGRESOS'!$H:$H,"FIRMA PA",'CALENDARIO INGRESOS'!$L:$L,"&lt;&gt;PAGADA")&gt;0,"FIRMA PA",
   IF(COUNTIFS('CALENDARIO INGRESOS'!$A:$A,$D85,'CALENDARIO INGRESOS'!$H:$H,"ALEM",'CALENDARIO INGRESOS'!$L:$L,"&lt;&gt;PAGADA")&gt;0,"ALEM","LISTO")))),"-")</f>
        <v>-</v>
      </c>
      <c r="S85" s="188">
        <f>+SUMIFS('CALENDARIO INGRESOS'!I:I,'CALENDARIO INGRESOS'!A:A,Tabla3[[#This Row],[ID STRIPE]],'CALENDARIO INGRESOS'!H:H,"LATAM")</f>
        <v>3380</v>
      </c>
      <c r="T85" s="188">
        <f>+IF(Tabla3[[#This Row],[MONTO LATAM]]-Tabla3[[#This Row],[IMPORTE ABONADO]]&gt;=0,Tabla3[[#This Row],[MONTO LATAM]]-Tabla3[[#This Row],[IMPORTE ABONADO]],0)</f>
        <v>0</v>
      </c>
      <c r="U85" s="188">
        <f>+SUMIFS('CALENDARIO INGRESOS'!I:I,'CALENDARIO INGRESOS'!A:A,Tabla3[[#This Row],[ID STRIPE]],'CALENDARIO INGRESOS'!H:H,"ALEM")</f>
        <v>0</v>
      </c>
      <c r="V85" s="6">
        <f>+SUMIFS('CALENDARIO INGRESOS'!I:I,'CALENDARIO INGRESOS'!A:A,Tabla3[[#This Row],[ID STRIPE]],'CALENDARIO INGRESOS'!H:H,"VISA")+SUMIFS('CALENDARIO INGRESOS'!I:I,'CALENDARIO INGRESOS'!A:A,Tabla3[[#This Row],[ID STRIPE]],'CALENDARIO INGRESOS'!H:H,"FIRMA PA")</f>
        <v>0</v>
      </c>
      <c r="W85" s="250">
        <v>1</v>
      </c>
      <c r="X85" s="60">
        <f>+IFERROR(AVERAGEIF('CALENDARIO INGRESOS'!A:A,Tabla3[[#This Row],[ID STRIPE]],'CALENDARIO INGRESOS'!M:M),"0")</f>
        <v>-2.2857142857142856</v>
      </c>
      <c r="Y85" s="18" t="s">
        <v>2093</v>
      </c>
      <c r="Z85" s="286">
        <f>+IFERROR(_xlfn.XLOOKUP(Tabla3[[#This Row],[ID LINGODA]],LINGODA!D:D,LINGODA!S:S),0)</f>
        <v>136</v>
      </c>
      <c r="AA85" s="18" t="str">
        <f>+IFERROR(_xlfn.XLOOKUP(Tabla3[[#This Row],[ID LINGODA]],LINGODA!D:D,LINGODA!F:F),"null")</f>
        <v>A1.2</v>
      </c>
      <c r="AB85" s="286" t="str">
        <f>+IFERROR(_xlfn.XLOOKUP(Tabla3[[#This Row],[ID LINGODA]],LINGODA!D:D,LINGODA!G:G),"null")</f>
        <v>A2.2</v>
      </c>
    </row>
    <row r="86" spans="1:28">
      <c r="A86" s="5" t="s">
        <v>2299</v>
      </c>
      <c r="B86" s="1" t="s">
        <v>2300</v>
      </c>
      <c r="C86" s="1" t="s">
        <v>13</v>
      </c>
      <c r="D86" s="1" t="s">
        <v>479</v>
      </c>
      <c r="E86" s="60">
        <v>1808232</v>
      </c>
      <c r="F86" s="60"/>
      <c r="G86" s="18">
        <f>(_xlfn.MINIFS(INGRESOS!A:A,INGRESOS!C:C,Tabla3[[#This Row],[CORREO]]))</f>
        <v>45852</v>
      </c>
      <c r="H86" s="3">
        <f>+SUMIFS(INGRESOS!J:J,INGRESOS!D:D,Tabla3[[#This Row],[ID STRIPE]],INGRESOS!A:A,"&gt;="&amp;DATE(YEAR(Tabla3[[#This Row],[FECHA INGRESO]]),MONTH(Tabla3[[#This Row],[FECHA INGRESO]]),1),INGRESOS!A:A,"&lt;="&amp;DATE(YEAR(Tabla3[[#This Row],[FECHA INGRESO]]),MONTH(Tabla3[[#This Row],[FECHA INGRESO]])+1,0))</f>
        <v>3869.49</v>
      </c>
      <c r="I86" s="286">
        <f ca="1">DATEDIF(Tabla3[[#This Row],[FECHA INGRESO]],IF(OR(Tabla3[[#This Row],[ESTADO]]="OK",Tabla3[[#This Row],[ESTADO]]="¡REGULARIZAR!")=TRUE,TODAY(),IF(Tabla3[[#This Row],[ULTIMO PAGO]]="",TODAY(),Tabla3[[#This Row],[ULTIMO PAGO]])),"m")</f>
        <v>7</v>
      </c>
      <c r="J86" s="18">
        <f>(_xlfn.MAXIFS(INGRESOS!A:A,INGRESOS!C:C,Tabla3[[#This Row],[CORREO]]))</f>
        <v>46081</v>
      </c>
      <c r="K86" s="7">
        <f ca="1">+IFERROR(Tabla3[[#This Row],[ABONADO NETO ]]/Tabla3[[#This Row],[MESES ACT]],Tabla3[[#This Row],[ABONO 1ER MES]])</f>
        <v>1471.6585714285716</v>
      </c>
      <c r="M86" s="287" t="s">
        <v>2119</v>
      </c>
      <c r="N86" s="288">
        <f>+SUMIF(INGRESOS!D:D,Tabla3[[#This Row],[ID STRIPE]],INGRESOS!J:J)</f>
        <v>10301.61</v>
      </c>
      <c r="O86" s="6">
        <v>22000</v>
      </c>
      <c r="P86" s="6">
        <f>+SUMIF('CALENDARIO INGRESOS'!A:A,Tabla3[[#This Row],[ID STRIPE]],'CALENDARIO INGRESOS'!I:I)</f>
        <v>21650</v>
      </c>
      <c r="Q86" s="6">
        <f>+SUMIF(INGRESOS!D:D,Tabla3[[#This Row],[ID STRIPE]],INGRESOS!G:G)</f>
        <v>10650</v>
      </c>
      <c r="R86" s="3" t="str">
        <f>IF(Tabla3[[#This Row],[ESTADO]]="OK",IF(COUNTIFS('CALENDARIO INGRESOS'!$A:$A,$D86,'CALENDARIO INGRESOS'!$H:$H,"LATAM",'CALENDARIO INGRESOS'!$L:$L,"&lt;&gt;PAGADA")&gt;0,"LATAM",
 IF(COUNTIFS('CALENDARIO INGRESOS'!$A:$A,$D86,'CALENDARIO INGRESOS'!$H:$H,"VISA",'CALENDARIO INGRESOS'!$L:$L,"&lt;&gt;PAGADA")&gt;0,"VISA",
  IF(COUNTIFS('CALENDARIO INGRESOS'!$A:$A,$D86,'CALENDARIO INGRESOS'!$H:$H,"FIRMA PA",'CALENDARIO INGRESOS'!$L:$L,"&lt;&gt;PAGADA")&gt;0,"FIRMA PA",
   IF(COUNTIFS('CALENDARIO INGRESOS'!$A:$A,$D86,'CALENDARIO INGRESOS'!$H:$H,"ALEM",'CALENDARIO INGRESOS'!$L:$L,"&lt;&gt;PAGADA")&gt;0,"ALEM","LISTO")))),"-")</f>
        <v>LATAM</v>
      </c>
      <c r="S86" s="188">
        <f>+SUMIFS('CALENDARIO INGRESOS'!I:I,'CALENDARIO INGRESOS'!A:A,Tabla3[[#This Row],[ID STRIPE]],'CALENDARIO INGRESOS'!H:H,"LATAM")</f>
        <v>15650</v>
      </c>
      <c r="T86" s="188">
        <f>+IF(Tabla3[[#This Row],[MONTO LATAM]]-Tabla3[[#This Row],[IMPORTE ABONADO]]&gt;=0,Tabla3[[#This Row],[MONTO LATAM]]-Tabla3[[#This Row],[IMPORTE ABONADO]],0)</f>
        <v>5000</v>
      </c>
      <c r="U86" s="188">
        <f>+SUMIFS('CALENDARIO INGRESOS'!I:I,'CALENDARIO INGRESOS'!A:A,Tabla3[[#This Row],[ID STRIPE]],'CALENDARIO INGRESOS'!H:H,"ALEM")</f>
        <v>6000</v>
      </c>
      <c r="V86" s="6">
        <f>+SUMIFS('CALENDARIO INGRESOS'!I:I,'CALENDARIO INGRESOS'!A:A,Tabla3[[#This Row],[ID STRIPE]],'CALENDARIO INGRESOS'!H:H,"VISA")+SUMIFS('CALENDARIO INGRESOS'!I:I,'CALENDARIO INGRESOS'!A:A,Tabla3[[#This Row],[ID STRIPE]],'CALENDARIO INGRESOS'!H:H,"FIRMA PA")</f>
        <v>0</v>
      </c>
      <c r="W86" s="250">
        <v>0</v>
      </c>
      <c r="X86" s="60">
        <f>+IFERROR(AVERAGEIF('CALENDARIO INGRESOS'!A:A,Tabla3[[#This Row],[ID STRIPE]],'CALENDARIO INGRESOS'!M:M),"0")</f>
        <v>1.4444444444444444</v>
      </c>
      <c r="Y86" s="18">
        <v>46143</v>
      </c>
      <c r="Z86" s="286">
        <f>+IFERROR(_xlfn.XLOOKUP(Tabla3[[#This Row],[ID LINGODA]],LINGODA!D:D,LINGODA!S:S),0)</f>
        <v>69</v>
      </c>
      <c r="AA86" s="18" t="str">
        <f>+IFERROR(_xlfn.XLOOKUP(Tabla3[[#This Row],[ID LINGODA]],LINGODA!D:D,LINGODA!F:F),"null")</f>
        <v>A1.1</v>
      </c>
      <c r="AB86" s="286" t="str">
        <f>+IFERROR(_xlfn.XLOOKUP(Tabla3[[#This Row],[ID LINGODA]],LINGODA!D:D,LINGODA!G:G),"null")</f>
        <v>A2.1</v>
      </c>
    </row>
    <row r="87" spans="1:28">
      <c r="A87" s="5" t="s">
        <v>2301</v>
      </c>
      <c r="B87" s="1" t="s">
        <v>2302</v>
      </c>
      <c r="C87" s="1" t="s">
        <v>12</v>
      </c>
      <c r="D87" s="1" t="s">
        <v>2303</v>
      </c>
      <c r="E87" s="57">
        <v>1808233</v>
      </c>
      <c r="F87" s="57"/>
      <c r="G87" s="18">
        <f>(_xlfn.MINIFS(INGRESOS!A:A,INGRESOS!C:C,Tabla3[[#This Row],[CORREO]]))</f>
        <v>45853</v>
      </c>
      <c r="H87" s="3">
        <f>+SUMIFS(INGRESOS!J:J,INGRESOS!D:D,Tabla3[[#This Row],[ID STRIPE]],INGRESOS!A:A,"&gt;="&amp;DATE(YEAR(Tabla3[[#This Row],[FECHA INGRESO]]),MONTH(Tabla3[[#This Row],[FECHA INGRESO]]),1),INGRESOS!A:A,"&lt;="&amp;DATE(YEAR(Tabla3[[#This Row],[FECHA INGRESO]]),MONTH(Tabla3[[#This Row],[FECHA INGRESO]])+1,0))</f>
        <v>241.62</v>
      </c>
      <c r="I87" s="286">
        <f ca="1">DATEDIF(Tabla3[[#This Row],[FECHA INGRESO]],IF(OR(Tabla3[[#This Row],[ESTADO]]="OK",Tabla3[[#This Row],[ESTADO]]="¡REGULARIZAR!")=TRUE,TODAY(),IF(Tabla3[[#This Row],[ULTIMO PAGO]]="",TODAY(),Tabla3[[#This Row],[ULTIMO PAGO]])),"m")</f>
        <v>0</v>
      </c>
      <c r="J87" s="18">
        <f>(_xlfn.MAXIFS(INGRESOS!A:A,INGRESOS!C:C,Tabla3[[#This Row],[CORREO]]))</f>
        <v>45853</v>
      </c>
      <c r="K87" s="7">
        <f ca="1">+IFERROR(Tabla3[[#This Row],[ABONADO NETO ]]/Tabla3[[#This Row],[MESES ACT]],Tabla3[[#This Row],[ABONO 1ER MES]])</f>
        <v>241.62</v>
      </c>
      <c r="M87" s="287" t="s">
        <v>2139</v>
      </c>
      <c r="N87" s="288">
        <f>+SUMIF(INGRESOS!D:D,Tabla3[[#This Row],[ID STRIPE]],INGRESOS!J:J)</f>
        <v>241.62</v>
      </c>
      <c r="O87" s="6">
        <v>0</v>
      </c>
      <c r="P87" s="6">
        <f>+SUMIF('CALENDARIO INGRESOS'!A:A,Tabla3[[#This Row],[ID STRIPE]],'CALENDARIO INGRESOS'!I:I)</f>
        <v>0</v>
      </c>
      <c r="Q87" s="6">
        <f>+SUMIF(INGRESOS!D:D,Tabla3[[#This Row],[ID STRIPE]],INGRESOS!G:G)</f>
        <v>250</v>
      </c>
      <c r="R87" s="3" t="str">
        <f>IF(Tabla3[[#This Row],[ESTADO]]="OK",IF(COUNTIFS('CALENDARIO INGRESOS'!$A:$A,$D87,'CALENDARIO INGRESOS'!$H:$H,"LATAM",'CALENDARIO INGRESOS'!$L:$L,"&lt;&gt;PAGADA")&gt;0,"LATAM",
 IF(COUNTIFS('CALENDARIO INGRESOS'!$A:$A,$D87,'CALENDARIO INGRESOS'!$H:$H,"VISA",'CALENDARIO INGRESOS'!$L:$L,"&lt;&gt;PAGADA")&gt;0,"VISA",
  IF(COUNTIFS('CALENDARIO INGRESOS'!$A:$A,$D87,'CALENDARIO INGRESOS'!$H:$H,"FIRMA PA",'CALENDARIO INGRESOS'!$L:$L,"&lt;&gt;PAGADA")&gt;0,"FIRMA PA",
   IF(COUNTIFS('CALENDARIO INGRESOS'!$A:$A,$D87,'CALENDARIO INGRESOS'!$H:$H,"ALEM",'CALENDARIO INGRESOS'!$L:$L,"&lt;&gt;PAGADA")&gt;0,"ALEM","LISTO")))),"-")</f>
        <v>-</v>
      </c>
      <c r="S87" s="188">
        <f>+SUMIFS('CALENDARIO INGRESOS'!I:I,'CALENDARIO INGRESOS'!A:A,Tabla3[[#This Row],[ID STRIPE]],'CALENDARIO INGRESOS'!H:H,"LATAM")</f>
        <v>0</v>
      </c>
      <c r="T87" s="188">
        <f>+IF(Tabla3[[#This Row],[MONTO LATAM]]-Tabla3[[#This Row],[IMPORTE ABONADO]]&gt;=0,Tabla3[[#This Row],[MONTO LATAM]]-Tabla3[[#This Row],[IMPORTE ABONADO]],0)</f>
        <v>0</v>
      </c>
      <c r="U87" s="188">
        <f>+SUMIFS('CALENDARIO INGRESOS'!J:J,'CALENDARIO INGRESOS'!B:B,Tabla3[[#This Row],[ID STRIPE]],'CALENDARIO INGRESOS'!I:I,"ALEM")</f>
        <v>0</v>
      </c>
      <c r="V87" s="6">
        <f>+SUMIFS('CALENDARIO INGRESOS'!I:I,'CALENDARIO INGRESOS'!A:A,Tabla3[[#This Row],[ID STRIPE]],'CALENDARIO INGRESOS'!H:H,"VISA")+SUMIFS('CALENDARIO INGRESOS'!I:I,'CALENDARIO INGRESOS'!A:A,Tabla3[[#This Row],[ID STRIPE]],'CALENDARIO INGRESOS'!H:H,"FIRMA PA")</f>
        <v>0</v>
      </c>
      <c r="W87" s="250">
        <v>0</v>
      </c>
      <c r="X87" s="57" t="str">
        <f>+IFERROR(AVERAGEIF('CALENDARIO INGRESOS'!A:A,Tabla3[[#This Row],[ID STRIPE]],'CALENDARIO INGRESOS'!M:M),"0")</f>
        <v>0</v>
      </c>
      <c r="Y87" s="18" t="s">
        <v>2093</v>
      </c>
      <c r="Z87" s="286">
        <f>+IFERROR(_xlfn.XLOOKUP(Tabla3[[#This Row],[ID LINGODA]],LINGODA!D:D,LINGODA!S:S),0)</f>
        <v>0</v>
      </c>
      <c r="AA87" s="18" t="str">
        <f>+IFERROR(_xlfn.XLOOKUP(Tabla3[[#This Row],[ID LINGODA]],LINGODA!D:D,LINGODA!F:F),"null")</f>
        <v>null</v>
      </c>
      <c r="AB87" s="286" t="str">
        <f>+IFERROR(_xlfn.XLOOKUP(Tabla3[[#This Row],[ID LINGODA]],LINGODA!D:D,LINGODA!G:G),"null")</f>
        <v>null</v>
      </c>
    </row>
    <row r="88" spans="1:28">
      <c r="A88" s="5" t="s">
        <v>2304</v>
      </c>
      <c r="B88" s="1" t="s">
        <v>2305</v>
      </c>
      <c r="C88" s="1" t="s">
        <v>12</v>
      </c>
      <c r="D88" s="1" t="s">
        <v>2306</v>
      </c>
      <c r="E88" s="57">
        <v>1808234</v>
      </c>
      <c r="F88" s="57"/>
      <c r="G88" s="18">
        <f>(_xlfn.MINIFS(INGRESOS!A:A,INGRESOS!C:C,Tabla3[[#This Row],[CORREO]]))</f>
        <v>45853</v>
      </c>
      <c r="H88" s="3">
        <f>+SUMIFS(INGRESOS!J:J,INGRESOS!D:D,Tabla3[[#This Row],[ID STRIPE]],INGRESOS!A:A,"&gt;="&amp;DATE(YEAR(Tabla3[[#This Row],[FECHA INGRESO]]),MONTH(Tabla3[[#This Row],[FECHA INGRESO]]),1),INGRESOS!A:A,"&lt;="&amp;DATE(YEAR(Tabla3[[#This Row],[FECHA INGRESO]]),MONTH(Tabla3[[#This Row],[FECHA INGRESO]])+1,0))</f>
        <v>241.62</v>
      </c>
      <c r="I88" s="286">
        <f ca="1">DATEDIF(Tabla3[[#This Row],[FECHA INGRESO]],IF(OR(Tabla3[[#This Row],[ESTADO]]="OK",Tabla3[[#This Row],[ESTADO]]="¡REGULARIZAR!")=TRUE,TODAY(),IF(Tabla3[[#This Row],[ULTIMO PAGO]]="",TODAY(),Tabla3[[#This Row],[ULTIMO PAGO]])),"m")</f>
        <v>0</v>
      </c>
      <c r="J88" s="18">
        <f>(_xlfn.MAXIFS(INGRESOS!A:A,INGRESOS!C:C,Tabla3[[#This Row],[CORREO]]))</f>
        <v>45853</v>
      </c>
      <c r="K88" s="7">
        <f ca="1">+IFERROR(Tabla3[[#This Row],[ABONADO NETO ]]/Tabla3[[#This Row],[MESES ACT]],Tabla3[[#This Row],[ABONO 1ER MES]])</f>
        <v>241.62</v>
      </c>
      <c r="M88" s="287" t="s">
        <v>2139</v>
      </c>
      <c r="N88" s="288">
        <f>+SUMIF(INGRESOS!D:D,Tabla3[[#This Row],[ID STRIPE]],INGRESOS!J:J)</f>
        <v>241.62</v>
      </c>
      <c r="O88" s="6">
        <v>0</v>
      </c>
      <c r="P88" s="6">
        <f>+SUMIF('CALENDARIO INGRESOS'!A:A,Tabla3[[#This Row],[ID STRIPE]],'CALENDARIO INGRESOS'!I:I)</f>
        <v>0</v>
      </c>
      <c r="Q88" s="6">
        <f>+SUMIF(INGRESOS!D:D,Tabla3[[#This Row],[ID STRIPE]],INGRESOS!G:G)</f>
        <v>250</v>
      </c>
      <c r="R88" s="3" t="str">
        <f>IF(Tabla3[[#This Row],[ESTADO]]="OK",IF(COUNTIFS('CALENDARIO INGRESOS'!$A:$A,$D88,'CALENDARIO INGRESOS'!$H:$H,"LATAM",'CALENDARIO INGRESOS'!$L:$L,"&lt;&gt;PAGADA")&gt;0,"LATAM",
 IF(COUNTIFS('CALENDARIO INGRESOS'!$A:$A,$D88,'CALENDARIO INGRESOS'!$H:$H,"VISA",'CALENDARIO INGRESOS'!$L:$L,"&lt;&gt;PAGADA")&gt;0,"VISA",
  IF(COUNTIFS('CALENDARIO INGRESOS'!$A:$A,$D88,'CALENDARIO INGRESOS'!$H:$H,"FIRMA PA",'CALENDARIO INGRESOS'!$L:$L,"&lt;&gt;PAGADA")&gt;0,"FIRMA PA",
   IF(COUNTIFS('CALENDARIO INGRESOS'!$A:$A,$D88,'CALENDARIO INGRESOS'!$H:$H,"ALEM",'CALENDARIO INGRESOS'!$L:$L,"&lt;&gt;PAGADA")&gt;0,"ALEM","LISTO")))),"-")</f>
        <v>-</v>
      </c>
      <c r="S88" s="188">
        <f>+SUMIFS('CALENDARIO INGRESOS'!I:I,'CALENDARIO INGRESOS'!A:A,Tabla3[[#This Row],[ID STRIPE]],'CALENDARIO INGRESOS'!H:H,"LATAM")</f>
        <v>0</v>
      </c>
      <c r="T88" s="188">
        <f>+IF(Tabla3[[#This Row],[MONTO LATAM]]-Tabla3[[#This Row],[IMPORTE ABONADO]]&gt;=0,Tabla3[[#This Row],[MONTO LATAM]]-Tabla3[[#This Row],[IMPORTE ABONADO]],0)</f>
        <v>0</v>
      </c>
      <c r="U88" s="188">
        <f>+SUMIFS('CALENDARIO INGRESOS'!J:J,'CALENDARIO INGRESOS'!B:B,Tabla3[[#This Row],[ID STRIPE]],'CALENDARIO INGRESOS'!I:I,"ALEM")</f>
        <v>0</v>
      </c>
      <c r="V88" s="6">
        <f>+SUMIFS('CALENDARIO INGRESOS'!I:I,'CALENDARIO INGRESOS'!A:A,Tabla3[[#This Row],[ID STRIPE]],'CALENDARIO INGRESOS'!H:H,"VISA")+SUMIFS('CALENDARIO INGRESOS'!I:I,'CALENDARIO INGRESOS'!A:A,Tabla3[[#This Row],[ID STRIPE]],'CALENDARIO INGRESOS'!H:H,"FIRMA PA")</f>
        <v>0</v>
      </c>
      <c r="W88" s="250">
        <v>0</v>
      </c>
      <c r="X88" s="57" t="str">
        <f>+IFERROR(AVERAGEIF('CALENDARIO INGRESOS'!A:A,Tabla3[[#This Row],[ID STRIPE]],'CALENDARIO INGRESOS'!M:M),"0")</f>
        <v>0</v>
      </c>
      <c r="Y88" s="18" t="s">
        <v>2093</v>
      </c>
      <c r="Z88" s="286">
        <f>+IFERROR(_xlfn.XLOOKUP(Tabla3[[#This Row],[ID LINGODA]],LINGODA!D:D,LINGODA!S:S),0)</f>
        <v>0</v>
      </c>
      <c r="AA88" s="18" t="str">
        <f>+IFERROR(_xlfn.XLOOKUP(Tabla3[[#This Row],[ID LINGODA]],LINGODA!D:D,LINGODA!F:F),"null")</f>
        <v>null</v>
      </c>
      <c r="AB88" s="286" t="str">
        <f>+IFERROR(_xlfn.XLOOKUP(Tabla3[[#This Row],[ID LINGODA]],LINGODA!D:D,LINGODA!G:G),"null")</f>
        <v>null</v>
      </c>
    </row>
    <row r="89" spans="1:28">
      <c r="A89" s="5" t="s">
        <v>2307</v>
      </c>
      <c r="B89" s="1" t="s">
        <v>2308</v>
      </c>
      <c r="C89" s="1" t="s">
        <v>14</v>
      </c>
      <c r="D89" s="1" t="s">
        <v>2309</v>
      </c>
      <c r="E89" s="57">
        <v>1808855</v>
      </c>
      <c r="F89" s="57"/>
      <c r="G89" s="18">
        <f>(_xlfn.MINIFS(INGRESOS!A:A,INGRESOS!C:C,Tabla3[[#This Row],[CORREO]]))</f>
        <v>45853</v>
      </c>
      <c r="H89" s="3">
        <f>+SUMIFS(INGRESOS!J:J,INGRESOS!D:D,Tabla3[[#This Row],[ID STRIPE]],INGRESOS!A:A,"&gt;="&amp;DATE(YEAR(Tabla3[[#This Row],[FECHA INGRESO]]),MONTH(Tabla3[[#This Row],[FECHA INGRESO]]),1),INGRESOS!A:A,"&lt;="&amp;DATE(YEAR(Tabla3[[#This Row],[FECHA INGRESO]]),MONTH(Tabla3[[#This Row],[FECHA INGRESO]])+1,0))</f>
        <v>241.62</v>
      </c>
      <c r="I89" s="286">
        <f ca="1">DATEDIF(Tabla3[[#This Row],[FECHA INGRESO]],IF(OR(Tabla3[[#This Row],[ESTADO]]="OK",Tabla3[[#This Row],[ESTADO]]="¡REGULARIZAR!")=TRUE,TODAY(),IF(Tabla3[[#This Row],[ULTIMO PAGO]]="",TODAY(),Tabla3[[#This Row],[ULTIMO PAGO]])),"m")</f>
        <v>0</v>
      </c>
      <c r="J89" s="18">
        <f>(_xlfn.MAXIFS(INGRESOS!A:A,INGRESOS!C:C,Tabla3[[#This Row],[CORREO]]))</f>
        <v>45853</v>
      </c>
      <c r="K89" s="7">
        <f ca="1">+IFERROR(Tabla3[[#This Row],[ABONADO NETO ]]/Tabla3[[#This Row],[MESES ACT]],Tabla3[[#This Row],[ABONO 1ER MES]])</f>
        <v>241.62</v>
      </c>
      <c r="M89" s="287" t="s">
        <v>2139</v>
      </c>
      <c r="N89" s="288">
        <f>+SUMIF(INGRESOS!D:D,Tabla3[[#This Row],[ID STRIPE]],INGRESOS!J:J)</f>
        <v>241.62</v>
      </c>
      <c r="O89" s="6">
        <v>0</v>
      </c>
      <c r="P89" s="6">
        <f>+SUMIF('CALENDARIO INGRESOS'!A:A,Tabla3[[#This Row],[ID STRIPE]],'CALENDARIO INGRESOS'!I:I)</f>
        <v>0</v>
      </c>
      <c r="Q89" s="6">
        <f>+SUMIF(INGRESOS!D:D,Tabla3[[#This Row],[ID STRIPE]],INGRESOS!G:G)</f>
        <v>250</v>
      </c>
      <c r="R89" s="3" t="str">
        <f>IF(Tabla3[[#This Row],[ESTADO]]="OK",IF(COUNTIFS('CALENDARIO INGRESOS'!$A:$A,$D89,'CALENDARIO INGRESOS'!$H:$H,"LATAM",'CALENDARIO INGRESOS'!$L:$L,"&lt;&gt;PAGADA")&gt;0,"LATAM",
 IF(COUNTIFS('CALENDARIO INGRESOS'!$A:$A,$D89,'CALENDARIO INGRESOS'!$H:$H,"VISA",'CALENDARIO INGRESOS'!$L:$L,"&lt;&gt;PAGADA")&gt;0,"VISA",
  IF(COUNTIFS('CALENDARIO INGRESOS'!$A:$A,$D89,'CALENDARIO INGRESOS'!$H:$H,"FIRMA PA",'CALENDARIO INGRESOS'!$L:$L,"&lt;&gt;PAGADA")&gt;0,"FIRMA PA",
   IF(COUNTIFS('CALENDARIO INGRESOS'!$A:$A,$D89,'CALENDARIO INGRESOS'!$H:$H,"ALEM",'CALENDARIO INGRESOS'!$L:$L,"&lt;&gt;PAGADA")&gt;0,"ALEM","LISTO")))),"-")</f>
        <v>-</v>
      </c>
      <c r="S89" s="188">
        <f>+SUMIFS('CALENDARIO INGRESOS'!I:I,'CALENDARIO INGRESOS'!A:A,Tabla3[[#This Row],[ID STRIPE]],'CALENDARIO INGRESOS'!H:H,"LATAM")</f>
        <v>0</v>
      </c>
      <c r="T89" s="188">
        <f>+IF(Tabla3[[#This Row],[MONTO LATAM]]-Tabla3[[#This Row],[IMPORTE ABONADO]]&gt;=0,Tabla3[[#This Row],[MONTO LATAM]]-Tabla3[[#This Row],[IMPORTE ABONADO]],0)</f>
        <v>0</v>
      </c>
      <c r="U89" s="188">
        <f>+SUMIFS('CALENDARIO INGRESOS'!J:J,'CALENDARIO INGRESOS'!B:B,Tabla3[[#This Row],[ID STRIPE]],'CALENDARIO INGRESOS'!I:I,"ALEM")</f>
        <v>0</v>
      </c>
      <c r="V89" s="6">
        <f>+SUMIFS('CALENDARIO INGRESOS'!I:I,'CALENDARIO INGRESOS'!A:A,Tabla3[[#This Row],[ID STRIPE]],'CALENDARIO INGRESOS'!H:H,"VISA")+SUMIFS('CALENDARIO INGRESOS'!I:I,'CALENDARIO INGRESOS'!A:A,Tabla3[[#This Row],[ID STRIPE]],'CALENDARIO INGRESOS'!H:H,"FIRMA PA")</f>
        <v>0</v>
      </c>
      <c r="W89" s="250">
        <v>0</v>
      </c>
      <c r="X89" s="57" t="str">
        <f>+IFERROR(AVERAGEIF('CALENDARIO INGRESOS'!A:A,Tabla3[[#This Row],[ID STRIPE]],'CALENDARIO INGRESOS'!M:M),"0")</f>
        <v>0</v>
      </c>
      <c r="Y89" s="18" t="s">
        <v>2093</v>
      </c>
      <c r="Z89" s="286">
        <f>+IFERROR(_xlfn.XLOOKUP(Tabla3[[#This Row],[ID LINGODA]],LINGODA!D:D,LINGODA!S:S),0)</f>
        <v>0</v>
      </c>
      <c r="AA89" s="18" t="str">
        <f>+IFERROR(_xlfn.XLOOKUP(Tabla3[[#This Row],[ID LINGODA]],LINGODA!D:D,LINGODA!F:F),"null")</f>
        <v>null</v>
      </c>
      <c r="AB89" s="286" t="str">
        <f>+IFERROR(_xlfn.XLOOKUP(Tabla3[[#This Row],[ID LINGODA]],LINGODA!D:D,LINGODA!G:G),"null")</f>
        <v>null</v>
      </c>
    </row>
    <row r="90" spans="1:28">
      <c r="A90" s="5" t="s">
        <v>2310</v>
      </c>
      <c r="B90" s="1" t="s">
        <v>2311</v>
      </c>
      <c r="C90" s="1" t="s">
        <v>13</v>
      </c>
      <c r="D90" s="1" t="s">
        <v>501</v>
      </c>
      <c r="E90" s="60">
        <v>1810532</v>
      </c>
      <c r="F90" s="60"/>
      <c r="G90" s="18">
        <f>(_xlfn.MINIFS(INGRESOS!A:A,INGRESOS!C:C,Tabla3[[#This Row],[CORREO]]))</f>
        <v>45858</v>
      </c>
      <c r="H90" s="3">
        <f>+SUMIFS(INGRESOS!J:J,INGRESOS!D:D,Tabla3[[#This Row],[ID STRIPE]],INGRESOS!A:A,"&gt;="&amp;DATE(YEAR(Tabla3[[#This Row],[FECHA INGRESO]]),MONTH(Tabla3[[#This Row],[FECHA INGRESO]]),1),INGRESOS!A:A,"&lt;="&amp;DATE(YEAR(Tabla3[[#This Row],[FECHA INGRESO]]),MONTH(Tabla3[[#This Row],[FECHA INGRESO]])+1,0))</f>
        <v>241.62</v>
      </c>
      <c r="I90" s="286">
        <f ca="1">DATEDIF(Tabla3[[#This Row],[FECHA INGRESO]],IF(OR(Tabla3[[#This Row],[ESTADO]]="OK",Tabla3[[#This Row],[ESTADO]]="¡REGULARIZAR!")=TRUE,TODAY(),IF(Tabla3[[#This Row],[ULTIMO PAGO]]="",TODAY(),Tabla3[[#This Row],[ULTIMO PAGO]])),"m")</f>
        <v>7</v>
      </c>
      <c r="J90" s="18">
        <f>(_xlfn.MAXIFS(INGRESOS!A:A,INGRESOS!C:C,Tabla3[[#This Row],[CORREO]]))</f>
        <v>46063</v>
      </c>
      <c r="K90" s="7">
        <f ca="1">+IFERROR(Tabla3[[#This Row],[ABONADO NETO ]]/Tabla3[[#This Row],[MESES ACT]],Tabla3[[#This Row],[ABONO 1ER MES]])</f>
        <v>1381.8557142857142</v>
      </c>
      <c r="M90" s="287" t="s">
        <v>2119</v>
      </c>
      <c r="N90" s="288">
        <f>+SUMIF(INGRESOS!D:D,Tabla3[[#This Row],[ID STRIPE]],INGRESOS!J:J)</f>
        <v>9672.99</v>
      </c>
      <c r="O90" s="6">
        <v>22000</v>
      </c>
      <c r="P90" s="6">
        <f>+SUMIF('CALENDARIO INGRESOS'!A:A,Tabla3[[#This Row],[ID STRIPE]],'CALENDARIO INGRESOS'!I:I)</f>
        <v>22000</v>
      </c>
      <c r="Q90" s="6">
        <f>+SUMIF(INGRESOS!D:D,Tabla3[[#This Row],[ID STRIPE]],INGRESOS!G:G)</f>
        <v>10000</v>
      </c>
      <c r="R90" s="3" t="str">
        <f>IF(Tabla3[[#This Row],[ESTADO]]="OK",IF(COUNTIFS('CALENDARIO INGRESOS'!$A:$A,$D90,'CALENDARIO INGRESOS'!$H:$H,"LATAM",'CALENDARIO INGRESOS'!$L:$L,"&lt;&gt;PAGADA")&gt;0,"LATAM",
 IF(COUNTIFS('CALENDARIO INGRESOS'!$A:$A,$D90,'CALENDARIO INGRESOS'!$H:$H,"VISA",'CALENDARIO INGRESOS'!$L:$L,"&lt;&gt;PAGADA")&gt;0,"VISA",
  IF(COUNTIFS('CALENDARIO INGRESOS'!$A:$A,$D90,'CALENDARIO INGRESOS'!$H:$H,"FIRMA PA",'CALENDARIO INGRESOS'!$L:$L,"&lt;&gt;PAGADA")&gt;0,"FIRMA PA",
   IF(COUNTIFS('CALENDARIO INGRESOS'!$A:$A,$D90,'CALENDARIO INGRESOS'!$H:$H,"ALEM",'CALENDARIO INGRESOS'!$L:$L,"&lt;&gt;PAGADA")&gt;0,"ALEM","LISTO")))),"-")</f>
        <v>LATAM</v>
      </c>
      <c r="S90" s="188">
        <f>+SUMIFS('CALENDARIO INGRESOS'!I:I,'CALENDARIO INGRESOS'!A:A,Tabla3[[#This Row],[ID STRIPE]],'CALENDARIO INGRESOS'!H:H,"LATAM")</f>
        <v>16000</v>
      </c>
      <c r="T90" s="188">
        <f>+IF(Tabla3[[#This Row],[MONTO LATAM]]-Tabla3[[#This Row],[IMPORTE ABONADO]]&gt;=0,Tabla3[[#This Row],[MONTO LATAM]]-Tabla3[[#This Row],[IMPORTE ABONADO]],0)</f>
        <v>6000</v>
      </c>
      <c r="U90" s="188">
        <f>+SUMIFS('CALENDARIO INGRESOS'!I:I,'CALENDARIO INGRESOS'!A:A,Tabla3[[#This Row],[ID STRIPE]],'CALENDARIO INGRESOS'!H:H,"ALEM")</f>
        <v>6000</v>
      </c>
      <c r="V90" s="6">
        <f>+SUMIFS('CALENDARIO INGRESOS'!I:I,'CALENDARIO INGRESOS'!A:A,Tabla3[[#This Row],[ID STRIPE]],'CALENDARIO INGRESOS'!H:H,"VISA")+SUMIFS('CALENDARIO INGRESOS'!I:I,'CALENDARIO INGRESOS'!A:A,Tabla3[[#This Row],[ID STRIPE]],'CALENDARIO INGRESOS'!H:H,"FIRMA PA")</f>
        <v>0</v>
      </c>
      <c r="W90" s="250">
        <v>1</v>
      </c>
      <c r="X90" s="60">
        <f>+IFERROR(AVERAGEIF('CALENDARIO INGRESOS'!A:A,Tabla3[[#This Row],[ID STRIPE]],'CALENDARIO INGRESOS'!M:M),"0")</f>
        <v>0</v>
      </c>
      <c r="Y90" s="18">
        <v>46266</v>
      </c>
      <c r="Z90" s="286">
        <f>+IFERROR(_xlfn.XLOOKUP(Tabla3[[#This Row],[ID LINGODA]],LINGODA!D:D,LINGODA!S:S),0)</f>
        <v>48</v>
      </c>
      <c r="AA90" s="18" t="str">
        <f>+IFERROR(_xlfn.XLOOKUP(Tabla3[[#This Row],[ID LINGODA]],LINGODA!D:D,LINGODA!F:F),"null")</f>
        <v>A1.1</v>
      </c>
      <c r="AB90" s="286" t="str">
        <f>+IFERROR(_xlfn.XLOOKUP(Tabla3[[#This Row],[ID LINGODA]],LINGODA!D:D,LINGODA!G:G),"null")</f>
        <v>A1.2</v>
      </c>
    </row>
    <row r="91" spans="1:28">
      <c r="A91" s="5" t="s">
        <v>2312</v>
      </c>
      <c r="B91" s="1" t="s">
        <v>2313</v>
      </c>
      <c r="C91" s="1" t="s">
        <v>13</v>
      </c>
      <c r="D91" s="1" t="s">
        <v>516</v>
      </c>
      <c r="E91" s="57">
        <v>1812148</v>
      </c>
      <c r="F91" s="57"/>
      <c r="G91" s="18">
        <f>(_xlfn.MINIFS(INGRESOS!A:A,INGRESOS!C:C,Tabla3[[#This Row],[CORREO]]))</f>
        <v>45864</v>
      </c>
      <c r="H91" s="3">
        <f>+SUMIFS(INGRESOS!J:J,INGRESOS!D:D,Tabla3[[#This Row],[ID STRIPE]],INGRESOS!A:A,"&gt;="&amp;DATE(YEAR(Tabla3[[#This Row],[FECHA INGRESO]]),MONTH(Tabla3[[#This Row],[FECHA INGRESO]]),1),INGRESOS!A:A,"&lt;="&amp;DATE(YEAR(Tabla3[[#This Row],[FECHA INGRESO]]),MONTH(Tabla3[[#This Row],[FECHA INGRESO]])+1,0))</f>
        <v>241.62</v>
      </c>
      <c r="I91" s="286">
        <f ca="1">DATEDIF(Tabla3[[#This Row],[FECHA INGRESO]],IF(OR(Tabla3[[#This Row],[ESTADO]]="OK",Tabla3[[#This Row],[ESTADO]]="¡REGULARIZAR!")=TRUE,TODAY(),IF(Tabla3[[#This Row],[ULTIMO PAGO]]="",TODAY(),Tabla3[[#This Row],[ULTIMO PAGO]])),"m")</f>
        <v>0</v>
      </c>
      <c r="J91" s="18">
        <f>(_xlfn.MAXIFS(INGRESOS!A:A,INGRESOS!C:C,Tabla3[[#This Row],[CORREO]]))</f>
        <v>45864</v>
      </c>
      <c r="K91" s="7">
        <f ca="1">+IFERROR(Tabla3[[#This Row],[ABONADO NETO ]]/Tabla3[[#This Row],[MESES ACT]],Tabla3[[#This Row],[ABONO 1ER MES]])</f>
        <v>241.62</v>
      </c>
      <c r="M91" s="287" t="s">
        <v>2152</v>
      </c>
      <c r="N91" s="288">
        <f>+SUMIF(INGRESOS!D:D,Tabla3[[#This Row],[ID STRIPE]],INGRESOS!J:J)</f>
        <v>241.62</v>
      </c>
      <c r="O91" s="6">
        <v>22000</v>
      </c>
      <c r="P91" s="6">
        <f>+SUMIF('CALENDARIO INGRESOS'!A:A,Tabla3[[#This Row],[ID STRIPE]],'CALENDARIO INGRESOS'!I:I)</f>
        <v>250</v>
      </c>
      <c r="Q91" s="6">
        <f>+SUMIF(INGRESOS!D:D,Tabla3[[#This Row],[ID STRIPE]],INGRESOS!G:G)</f>
        <v>250</v>
      </c>
      <c r="R91" s="3" t="str">
        <f>IF(Tabla3[[#This Row],[ESTADO]]="OK",IF(COUNTIFS('CALENDARIO INGRESOS'!$A:$A,$D91,'CALENDARIO INGRESOS'!$H:$H,"LATAM",'CALENDARIO INGRESOS'!$L:$L,"&lt;&gt;PAGADA")&gt;0,"LATAM",
 IF(COUNTIFS('CALENDARIO INGRESOS'!$A:$A,$D91,'CALENDARIO INGRESOS'!$H:$H,"VISA",'CALENDARIO INGRESOS'!$L:$L,"&lt;&gt;PAGADA")&gt;0,"VISA",
  IF(COUNTIFS('CALENDARIO INGRESOS'!$A:$A,$D91,'CALENDARIO INGRESOS'!$H:$H,"FIRMA PA",'CALENDARIO INGRESOS'!$L:$L,"&lt;&gt;PAGADA")&gt;0,"FIRMA PA",
   IF(COUNTIFS('CALENDARIO INGRESOS'!$A:$A,$D91,'CALENDARIO INGRESOS'!$H:$H,"ALEM",'CALENDARIO INGRESOS'!$L:$L,"&lt;&gt;PAGADA")&gt;0,"ALEM","LISTO")))),"-")</f>
        <v>-</v>
      </c>
      <c r="S91" s="188">
        <f>+SUMIFS('CALENDARIO INGRESOS'!I:I,'CALENDARIO INGRESOS'!A:A,Tabla3[[#This Row],[ID STRIPE]],'CALENDARIO INGRESOS'!H:H,"LATAM")</f>
        <v>250</v>
      </c>
      <c r="T91" s="188">
        <f>+IF(Tabla3[[#This Row],[MONTO LATAM]]-Tabla3[[#This Row],[IMPORTE ABONADO]]&gt;=0,Tabla3[[#This Row],[MONTO LATAM]]-Tabla3[[#This Row],[IMPORTE ABONADO]],0)</f>
        <v>0</v>
      </c>
      <c r="U91" s="188">
        <f>+SUMIFS('CALENDARIO INGRESOS'!I:I,'CALENDARIO INGRESOS'!A:A,Tabla3[[#This Row],[ID STRIPE]],'CALENDARIO INGRESOS'!H:H,"ALEM")</f>
        <v>0</v>
      </c>
      <c r="V91" s="6">
        <f>+SUMIFS('CALENDARIO INGRESOS'!I:I,'CALENDARIO INGRESOS'!A:A,Tabla3[[#This Row],[ID STRIPE]],'CALENDARIO INGRESOS'!H:H,"VISA")+SUMIFS('CALENDARIO INGRESOS'!I:I,'CALENDARIO INGRESOS'!A:A,Tabla3[[#This Row],[ID STRIPE]],'CALENDARIO INGRESOS'!H:H,"FIRMA PA")</f>
        <v>0</v>
      </c>
      <c r="W91" s="250">
        <v>0</v>
      </c>
      <c r="X91" s="57">
        <f>+IFERROR(AVERAGEIF('CALENDARIO INGRESOS'!A:A,Tabla3[[#This Row],[ID STRIPE]],'CALENDARIO INGRESOS'!M:M),"0")</f>
        <v>0</v>
      </c>
      <c r="Y91" s="18" t="s">
        <v>2093</v>
      </c>
      <c r="Z91" s="286">
        <f>+IFERROR(_xlfn.XLOOKUP(Tabla3[[#This Row],[ID LINGODA]],LINGODA!D:D,LINGODA!S:S),0)</f>
        <v>0</v>
      </c>
      <c r="AA91" s="18" t="str">
        <f>+IFERROR(_xlfn.XLOOKUP(Tabla3[[#This Row],[ID LINGODA]],LINGODA!D:D,LINGODA!F:F),"null")</f>
        <v>null</v>
      </c>
      <c r="AB91" s="286" t="str">
        <f>+IFERROR(_xlfn.XLOOKUP(Tabla3[[#This Row],[ID LINGODA]],LINGODA!D:D,LINGODA!G:G),"null")</f>
        <v>null</v>
      </c>
    </row>
    <row r="92" spans="1:28">
      <c r="A92" s="5" t="s">
        <v>2314</v>
      </c>
      <c r="B92" s="1" t="s">
        <v>2315</v>
      </c>
      <c r="C92" s="1" t="s">
        <v>15</v>
      </c>
      <c r="D92" s="1" t="s">
        <v>519</v>
      </c>
      <c r="E92" s="60">
        <v>1812149</v>
      </c>
      <c r="F92" s="60"/>
      <c r="G92" s="18">
        <f>(_xlfn.MINIFS(INGRESOS!A:A,INGRESOS!C:C,Tabla3[[#This Row],[CORREO]]))</f>
        <v>45864</v>
      </c>
      <c r="H92" s="3">
        <f>+SUMIFS(INGRESOS!J:J,INGRESOS!D:D,Tabla3[[#This Row],[ID STRIPE]],INGRESOS!A:A,"&gt;="&amp;DATE(YEAR(Tabla3[[#This Row],[FECHA INGRESO]]),MONTH(Tabla3[[#This Row],[FECHA INGRESO]]),1),INGRESOS!A:A,"&lt;="&amp;DATE(YEAR(Tabla3[[#This Row],[FECHA INGRESO]]),MONTH(Tabla3[[#This Row],[FECHA INGRESO]])+1,0))</f>
        <v>241.62</v>
      </c>
      <c r="I92" s="286">
        <f ca="1">DATEDIF(Tabla3[[#This Row],[FECHA INGRESO]],IF(OR(Tabla3[[#This Row],[ESTADO]]="OK",Tabla3[[#This Row],[ESTADO]]="¡REGULARIZAR!")=TRUE,TODAY(),IF(Tabla3[[#This Row],[ULTIMO PAGO]]="",TODAY(),Tabla3[[#This Row],[ULTIMO PAGO]])),"m")</f>
        <v>7</v>
      </c>
      <c r="J92" s="18">
        <f>(_xlfn.MAXIFS(INGRESOS!A:A,INGRESOS!C:C,Tabla3[[#This Row],[CORREO]]))</f>
        <v>46080</v>
      </c>
      <c r="K92" s="7">
        <f ca="1">+IFERROR(Tabla3[[#This Row],[ABONADO NETO ]]/Tabla3[[#This Row],[MESES ACT]],Tabla3[[#This Row],[ABONO 1ER MES]])</f>
        <v>276.32</v>
      </c>
      <c r="M92" s="287" t="s">
        <v>2119</v>
      </c>
      <c r="N92" s="288">
        <f>+SUMIF(INGRESOS!D:D,Tabla3[[#This Row],[ID STRIPE]],INGRESOS!J:J)</f>
        <v>1934.24</v>
      </c>
      <c r="O92" s="6">
        <v>22000</v>
      </c>
      <c r="P92" s="6">
        <f>+SUMIF('CALENDARIO INGRESOS'!A:A,Tabla3[[#This Row],[ID STRIPE]],'CALENDARIO INGRESOS'!I:I)</f>
        <v>22000</v>
      </c>
      <c r="Q92" s="6">
        <f>+SUMIF(INGRESOS!D:D,Tabla3[[#This Row],[ID STRIPE]],INGRESOS!G:G)</f>
        <v>2000</v>
      </c>
      <c r="R92" s="3" t="str">
        <f>IF(Tabla3[[#This Row],[ESTADO]]="OK",IF(COUNTIFS('CALENDARIO INGRESOS'!$A:$A,$D92,'CALENDARIO INGRESOS'!$H:$H,"LATAM",'CALENDARIO INGRESOS'!$L:$L,"&lt;&gt;PAGADA")&gt;0,"LATAM",
 IF(COUNTIFS('CALENDARIO INGRESOS'!$A:$A,$D92,'CALENDARIO INGRESOS'!$H:$H,"VISA",'CALENDARIO INGRESOS'!$L:$L,"&lt;&gt;PAGADA")&gt;0,"VISA",
  IF(COUNTIFS('CALENDARIO INGRESOS'!$A:$A,$D92,'CALENDARIO INGRESOS'!$H:$H,"FIRMA PA",'CALENDARIO INGRESOS'!$L:$L,"&lt;&gt;PAGADA")&gt;0,"FIRMA PA",
   IF(COUNTIFS('CALENDARIO INGRESOS'!$A:$A,$D92,'CALENDARIO INGRESOS'!$H:$H,"ALEM",'CALENDARIO INGRESOS'!$L:$L,"&lt;&gt;PAGADA")&gt;0,"ALEM","LISTO")))),"-")</f>
        <v>LATAM</v>
      </c>
      <c r="S92" s="188">
        <f>+SUMIFS('CALENDARIO INGRESOS'!I:I,'CALENDARIO INGRESOS'!A:A,Tabla3[[#This Row],[ID STRIPE]],'CALENDARIO INGRESOS'!H:H,"LATAM")</f>
        <v>16000</v>
      </c>
      <c r="T92" s="188">
        <f>+IF(Tabla3[[#This Row],[MONTO LATAM]]-Tabla3[[#This Row],[IMPORTE ABONADO]]&gt;=0,Tabla3[[#This Row],[MONTO LATAM]]-Tabla3[[#This Row],[IMPORTE ABONADO]],0)</f>
        <v>14000</v>
      </c>
      <c r="U92" s="188">
        <f>+SUMIFS('CALENDARIO INGRESOS'!I:I,'CALENDARIO INGRESOS'!A:A,Tabla3[[#This Row],[ID STRIPE]],'CALENDARIO INGRESOS'!H:H,"ALEM")</f>
        <v>6000</v>
      </c>
      <c r="V92" s="6">
        <f>+SUMIFS('CALENDARIO INGRESOS'!I:I,'CALENDARIO INGRESOS'!A:A,Tabla3[[#This Row],[ID STRIPE]],'CALENDARIO INGRESOS'!H:H,"VISA")+SUMIFS('CALENDARIO INGRESOS'!I:I,'CALENDARIO INGRESOS'!A:A,Tabla3[[#This Row],[ID STRIPE]],'CALENDARIO INGRESOS'!H:H,"FIRMA PA")</f>
        <v>0</v>
      </c>
      <c r="W92" s="252">
        <v>1</v>
      </c>
      <c r="X92" s="60">
        <f>+IFERROR(AVERAGEIF('CALENDARIO INGRESOS'!A:A,Tabla3[[#This Row],[ID STRIPE]],'CALENDARIO INGRESOS'!M:M),"0")</f>
        <v>0</v>
      </c>
      <c r="Y92" s="18">
        <v>46504</v>
      </c>
      <c r="Z92" s="286">
        <f>+IFERROR(_xlfn.XLOOKUP(Tabla3[[#This Row],[ID LINGODA]],LINGODA!D:D,LINGODA!S:S),0)</f>
        <v>3</v>
      </c>
      <c r="AA92" s="18" t="str">
        <f>+IFERROR(_xlfn.XLOOKUP(Tabla3[[#This Row],[ID LINGODA]],LINGODA!D:D,LINGODA!F:F),"null")</f>
        <v>A1.1</v>
      </c>
      <c r="AB92" s="286" t="str">
        <f>+IFERROR(_xlfn.XLOOKUP(Tabla3[[#This Row],[ID LINGODA]],LINGODA!D:D,LINGODA!G:G),"null")</f>
        <v>A1.1</v>
      </c>
    </row>
    <row r="93" spans="1:28">
      <c r="A93" s="5" t="s">
        <v>2316</v>
      </c>
      <c r="B93" s="1" t="s">
        <v>2317</v>
      </c>
      <c r="C93" s="1" t="s">
        <v>11</v>
      </c>
      <c r="D93" s="1" t="s">
        <v>524</v>
      </c>
      <c r="E93" s="57">
        <v>0</v>
      </c>
      <c r="F93" s="57"/>
      <c r="G93" s="18">
        <f>(_xlfn.MINIFS(INGRESOS!A:A,INGRESOS!C:C,Tabla3[[#This Row],[CORREO]]))</f>
        <v>45865</v>
      </c>
      <c r="H93" s="3">
        <f>+SUMIFS(INGRESOS!J:J,INGRESOS!D:D,Tabla3[[#This Row],[ID STRIPE]],INGRESOS!A:A,"&gt;="&amp;DATE(YEAR(Tabla3[[#This Row],[FECHA INGRESO]]),MONTH(Tabla3[[#This Row],[FECHA INGRESO]]),1),INGRESOS!A:A,"&lt;="&amp;DATE(YEAR(Tabla3[[#This Row],[FECHA INGRESO]]),MONTH(Tabla3[[#This Row],[FECHA INGRESO]])+1,0))</f>
        <v>241.62</v>
      </c>
      <c r="I93" s="286">
        <f ca="1">DATEDIF(Tabla3[[#This Row],[FECHA INGRESO]],IF(OR(Tabla3[[#This Row],[ESTADO]]="OK",Tabla3[[#This Row],[ESTADO]]="¡REGULARIZAR!")=TRUE,TODAY(),IF(Tabla3[[#This Row],[ULTIMO PAGO]]="",TODAY(),Tabla3[[#This Row],[ULTIMO PAGO]])),"m")</f>
        <v>1</v>
      </c>
      <c r="J93" s="18">
        <f>(_xlfn.MAXIFS(INGRESOS!A:A,INGRESOS!C:C,Tabla3[[#This Row],[CORREO]]))</f>
        <v>45897</v>
      </c>
      <c r="K93" s="7">
        <f ca="1">+IFERROR(Tabla3[[#This Row],[ABONADO NETO ]]/Tabla3[[#This Row],[MESES ACT]],Tabla3[[#This Row],[ABONO 1ER MES]])</f>
        <v>1208.8699999999999</v>
      </c>
      <c r="M93" s="287" t="s">
        <v>2152</v>
      </c>
      <c r="N93" s="288">
        <f>+SUMIF(INGRESOS!D:D,Tabla3[[#This Row],[ID STRIPE]],INGRESOS!J:J)</f>
        <v>1208.8699999999999</v>
      </c>
      <c r="O93" s="6">
        <v>22000</v>
      </c>
      <c r="P93" s="6">
        <f>+SUMIF('CALENDARIO INGRESOS'!A:A,Tabla3[[#This Row],[ID STRIPE]],'CALENDARIO INGRESOS'!I:I)</f>
        <v>1250</v>
      </c>
      <c r="Q93" s="6">
        <f>+SUMIF(INGRESOS!D:D,Tabla3[[#This Row],[ID STRIPE]],INGRESOS!G:G)</f>
        <v>1250</v>
      </c>
      <c r="R93" s="3" t="str">
        <f>IF(Tabla3[[#This Row],[ESTADO]]="OK",IF(COUNTIFS('CALENDARIO INGRESOS'!$A:$A,$D93,'CALENDARIO INGRESOS'!$H:$H,"LATAM",'CALENDARIO INGRESOS'!$L:$L,"&lt;&gt;PAGADA")&gt;0,"LATAM",
 IF(COUNTIFS('CALENDARIO INGRESOS'!$A:$A,$D93,'CALENDARIO INGRESOS'!$H:$H,"VISA",'CALENDARIO INGRESOS'!$L:$L,"&lt;&gt;PAGADA")&gt;0,"VISA",
  IF(COUNTIFS('CALENDARIO INGRESOS'!$A:$A,$D93,'CALENDARIO INGRESOS'!$H:$H,"FIRMA PA",'CALENDARIO INGRESOS'!$L:$L,"&lt;&gt;PAGADA")&gt;0,"FIRMA PA",
   IF(COUNTIFS('CALENDARIO INGRESOS'!$A:$A,$D93,'CALENDARIO INGRESOS'!$H:$H,"ALEM",'CALENDARIO INGRESOS'!$L:$L,"&lt;&gt;PAGADA")&gt;0,"ALEM","LISTO")))),"-")</f>
        <v>-</v>
      </c>
      <c r="S93" s="188">
        <f>+SUMIFS('CALENDARIO INGRESOS'!I:I,'CALENDARIO INGRESOS'!A:A,Tabla3[[#This Row],[ID STRIPE]],'CALENDARIO INGRESOS'!H:H,"LATAM")</f>
        <v>1250</v>
      </c>
      <c r="T93" s="188">
        <f>+IF(Tabla3[[#This Row],[MONTO LATAM]]-Tabla3[[#This Row],[IMPORTE ABONADO]]&gt;=0,Tabla3[[#This Row],[MONTO LATAM]]-Tabla3[[#This Row],[IMPORTE ABONADO]],0)</f>
        <v>0</v>
      </c>
      <c r="U93" s="188">
        <f>+SUMIFS('CALENDARIO INGRESOS'!I:I,'CALENDARIO INGRESOS'!A:A,Tabla3[[#This Row],[ID STRIPE]],'CALENDARIO INGRESOS'!H:H,"ALEM")</f>
        <v>0</v>
      </c>
      <c r="V93" s="6">
        <f>+SUMIFS('CALENDARIO INGRESOS'!I:I,'CALENDARIO INGRESOS'!A:A,Tabla3[[#This Row],[ID STRIPE]],'CALENDARIO INGRESOS'!H:H,"VISA")+SUMIFS('CALENDARIO INGRESOS'!I:I,'CALENDARIO INGRESOS'!A:A,Tabla3[[#This Row],[ID STRIPE]],'CALENDARIO INGRESOS'!H:H,"FIRMA PA")</f>
        <v>0</v>
      </c>
      <c r="W93" s="252">
        <v>0</v>
      </c>
      <c r="X93" s="57">
        <f>+IFERROR(AVERAGEIF('CALENDARIO INGRESOS'!A:A,Tabla3[[#This Row],[ID STRIPE]],'CALENDARIO INGRESOS'!M:M),"0")</f>
        <v>1</v>
      </c>
      <c r="Y93" s="18" t="s">
        <v>2093</v>
      </c>
      <c r="Z93" s="286">
        <f>+IFERROR(_xlfn.XLOOKUP(Tabla3[[#This Row],[ID LINGODA]],LINGODA!D:D,LINGODA!S:S),0)</f>
        <v>0</v>
      </c>
      <c r="AA93" s="18" t="str">
        <f>+IFERROR(_xlfn.XLOOKUP(Tabla3[[#This Row],[ID LINGODA]],LINGODA!D:D,LINGODA!F:F),"null")</f>
        <v>null</v>
      </c>
      <c r="AB93" s="286" t="str">
        <f>+IFERROR(_xlfn.XLOOKUP(Tabla3[[#This Row],[ID LINGODA]],LINGODA!D:D,LINGODA!G:G),"null")</f>
        <v>null</v>
      </c>
    </row>
    <row r="94" spans="1:28">
      <c r="A94" s="5" t="s">
        <v>2318</v>
      </c>
      <c r="B94" s="1" t="s">
        <v>2319</v>
      </c>
      <c r="C94" s="1" t="s">
        <v>20</v>
      </c>
      <c r="D94" s="1" t="s">
        <v>538</v>
      </c>
      <c r="E94" s="60">
        <v>1812963</v>
      </c>
      <c r="F94" s="60"/>
      <c r="G94" s="18">
        <f>(_xlfn.MINIFS(INGRESOS!A:A,INGRESOS!C:C,Tabla3[[#This Row],[CORREO]]))</f>
        <v>45867</v>
      </c>
      <c r="H94" s="3">
        <f>+SUMIFS(INGRESOS!J:J,INGRESOS!D:D,Tabla3[[#This Row],[ID STRIPE]],INGRESOS!A:A,"&gt;="&amp;DATE(YEAR(Tabla3[[#This Row],[FECHA INGRESO]]),MONTH(Tabla3[[#This Row],[FECHA INGRESO]]),1),INGRESOS!A:A,"&lt;="&amp;DATE(YEAR(Tabla3[[#This Row],[FECHA INGRESO]]),MONTH(Tabla3[[#This Row],[FECHA INGRESO]])+1,0))</f>
        <v>248.75</v>
      </c>
      <c r="I94" s="286">
        <f ca="1">DATEDIF(Tabla3[[#This Row],[FECHA INGRESO]],IF(OR(Tabla3[[#This Row],[ESTADO]]="OK",Tabla3[[#This Row],[ESTADO]]="¡REGULARIZAR!")=TRUE,TODAY(),IF(Tabla3[[#This Row],[ULTIMO PAGO]]="",TODAY(),Tabla3[[#This Row],[ULTIMO PAGO]])),"m")</f>
        <v>7</v>
      </c>
      <c r="J94" s="18">
        <f>(_xlfn.MAXIFS(INGRESOS!A:A,INGRESOS!C:C,Tabla3[[#This Row],[CORREO]]))</f>
        <v>45881</v>
      </c>
      <c r="K94" s="7">
        <f ca="1">+IFERROR(Tabla3[[#This Row],[ABONADO NETO ]]/Tabla3[[#This Row],[MESES ACT]],Tabla3[[#This Row],[ABONO 1ER MES]])</f>
        <v>2169.3214285714284</v>
      </c>
      <c r="M94" s="287" t="s">
        <v>2119</v>
      </c>
      <c r="N94" s="288">
        <f>+SUMIF(INGRESOS!D:D,Tabla3[[#This Row],[ID STRIPE]],INGRESOS!J:J)</f>
        <v>15185.25</v>
      </c>
      <c r="O94" s="6">
        <v>20200</v>
      </c>
      <c r="P94" s="6">
        <f>+SUMIF('CALENDARIO INGRESOS'!A:A,Tabla3[[#This Row],[ID STRIPE]],'CALENDARIO INGRESOS'!I:I)</f>
        <v>20200</v>
      </c>
      <c r="Q94" s="6">
        <f>+SUMIF(INGRESOS!D:D,Tabla3[[#This Row],[ID STRIPE]],INGRESOS!G:G)</f>
        <v>15200</v>
      </c>
      <c r="R94" s="3" t="str">
        <f>IF(Tabla3[[#This Row],[ESTADO]]="OK",IF(COUNTIFS('CALENDARIO INGRESOS'!$A:$A,$D94,'CALENDARIO INGRESOS'!$H:$H,"LATAM",'CALENDARIO INGRESOS'!$L:$L,"&lt;&gt;PAGADA")&gt;0,"LATAM",
 IF(COUNTIFS('CALENDARIO INGRESOS'!$A:$A,$D94,'CALENDARIO INGRESOS'!$H:$H,"VISA",'CALENDARIO INGRESOS'!$L:$L,"&lt;&gt;PAGADA")&gt;0,"VISA",
  IF(COUNTIFS('CALENDARIO INGRESOS'!$A:$A,$D94,'CALENDARIO INGRESOS'!$H:$H,"FIRMA PA",'CALENDARIO INGRESOS'!$L:$L,"&lt;&gt;PAGADA")&gt;0,"FIRMA PA",
   IF(COUNTIFS('CALENDARIO INGRESOS'!$A:$A,$D94,'CALENDARIO INGRESOS'!$H:$H,"ALEM",'CALENDARIO INGRESOS'!$L:$L,"&lt;&gt;PAGADA")&gt;0,"ALEM","LISTO")))),"-")</f>
        <v>ALEM</v>
      </c>
      <c r="S94" s="188">
        <f>+SUMIFS('CALENDARIO INGRESOS'!I:I,'CALENDARIO INGRESOS'!A:A,Tabla3[[#This Row],[ID STRIPE]],'CALENDARIO INGRESOS'!H:H,"LATAM")</f>
        <v>15200</v>
      </c>
      <c r="T94" s="188">
        <f>+IF(Tabla3[[#This Row],[MONTO LATAM]]-Tabla3[[#This Row],[IMPORTE ABONADO]]&gt;=0,Tabla3[[#This Row],[MONTO LATAM]]-Tabla3[[#This Row],[IMPORTE ABONADO]],0)</f>
        <v>0</v>
      </c>
      <c r="U94" s="188">
        <f>+SUMIFS('CALENDARIO INGRESOS'!I:I,'CALENDARIO INGRESOS'!A:A,Tabla3[[#This Row],[ID STRIPE]],'CALENDARIO INGRESOS'!H:H,"ALEM")</f>
        <v>5000</v>
      </c>
      <c r="V94" s="6">
        <f>+SUMIFS('CALENDARIO INGRESOS'!I:I,'CALENDARIO INGRESOS'!A:A,Tabla3[[#This Row],[ID STRIPE]],'CALENDARIO INGRESOS'!H:H,"VISA")+SUMIFS('CALENDARIO INGRESOS'!I:I,'CALENDARIO INGRESOS'!A:A,Tabla3[[#This Row],[ID STRIPE]],'CALENDARIO INGRESOS'!H:H,"FIRMA PA")</f>
        <v>0</v>
      </c>
      <c r="W94" s="252">
        <v>0</v>
      </c>
      <c r="X94" s="60">
        <f>+IFERROR(AVERAGEIF('CALENDARIO INGRESOS'!A:A,Tabla3[[#This Row],[ID STRIPE]],'CALENDARIO INGRESOS'!M:M),"0")</f>
        <v>-0.25</v>
      </c>
      <c r="Y94" s="18" t="s">
        <v>2093</v>
      </c>
      <c r="Z94" s="286">
        <f>+IFERROR(_xlfn.XLOOKUP(Tabla3[[#This Row],[ID LINGODA]],LINGODA!D:D,LINGODA!S:S),0)</f>
        <v>22</v>
      </c>
      <c r="AA94" s="18" t="str">
        <f>+IFERROR(_xlfn.XLOOKUP(Tabla3[[#This Row],[ID LINGODA]],LINGODA!D:D,LINGODA!F:F),"null")</f>
        <v>B2.1</v>
      </c>
      <c r="AB94" s="286" t="str">
        <f>+IFERROR(_xlfn.XLOOKUP(Tabla3[[#This Row],[ID LINGODA]],LINGODA!D:D,LINGODA!G:G),"null")</f>
        <v>B2.1</v>
      </c>
    </row>
    <row r="95" spans="1:28">
      <c r="A95" s="5" t="s">
        <v>2320</v>
      </c>
      <c r="B95" s="1" t="s">
        <v>2321</v>
      </c>
      <c r="C95" s="1" t="s">
        <v>16</v>
      </c>
      <c r="D95" s="1" t="s">
        <v>527</v>
      </c>
      <c r="E95" s="60">
        <v>1812962</v>
      </c>
      <c r="F95" s="60"/>
      <c r="G95" s="18">
        <f>(_xlfn.MINIFS(INGRESOS!A:A,INGRESOS!C:C,Tabla3[[#This Row],[CORREO]]))</f>
        <v>45867</v>
      </c>
      <c r="H95" s="3">
        <f>+SUMIFS(INGRESOS!J:J,INGRESOS!D:D,Tabla3[[#This Row],[ID STRIPE]],INGRESOS!A:A,"&gt;="&amp;DATE(YEAR(Tabla3[[#This Row],[FECHA INGRESO]]),MONTH(Tabla3[[#This Row],[FECHA INGRESO]]),1),INGRESOS!A:A,"&lt;="&amp;DATE(YEAR(Tabla3[[#This Row],[FECHA INGRESO]]),MONTH(Tabla3[[#This Row],[FECHA INGRESO]])+1,0))</f>
        <v>241.62</v>
      </c>
      <c r="I95" s="286">
        <f ca="1">DATEDIF(Tabla3[[#This Row],[FECHA INGRESO]],IF(OR(Tabla3[[#This Row],[ESTADO]]="OK",Tabla3[[#This Row],[ESTADO]]="¡REGULARIZAR!")=TRUE,TODAY(),IF(Tabla3[[#This Row],[ULTIMO PAGO]]="",TODAY(),Tabla3[[#This Row],[ULTIMO PAGO]])),"m")</f>
        <v>7</v>
      </c>
      <c r="J95" s="18">
        <f>(_xlfn.MAXIFS(INGRESOS!A:A,INGRESOS!C:C,Tabla3[[#This Row],[CORREO]]))</f>
        <v>46079</v>
      </c>
      <c r="K95" s="7">
        <f ca="1">+IFERROR(Tabla3[[#This Row],[ABONADO NETO ]]/Tabla3[[#This Row],[MESES ACT]],Tabla3[[#This Row],[ABONO 1ER MES]])</f>
        <v>1381.8557142857142</v>
      </c>
      <c r="M95" s="287" t="s">
        <v>2119</v>
      </c>
      <c r="N95" s="288">
        <f>+SUMIF(INGRESOS!D:D,Tabla3[[#This Row],[ID STRIPE]],INGRESOS!J:J)</f>
        <v>9672.99</v>
      </c>
      <c r="O95" s="6">
        <v>22000</v>
      </c>
      <c r="P95" s="6">
        <f>+SUMIF('CALENDARIO INGRESOS'!A:A,Tabla3[[#This Row],[ID STRIPE]],'CALENDARIO INGRESOS'!I:I)</f>
        <v>22000</v>
      </c>
      <c r="Q95" s="6">
        <f>+SUMIF(INGRESOS!D:D,Tabla3[[#This Row],[ID STRIPE]],INGRESOS!G:G)</f>
        <v>10000</v>
      </c>
      <c r="R95" s="3" t="str">
        <f>IF(Tabla3[[#This Row],[ESTADO]]="OK",IF(COUNTIFS('CALENDARIO INGRESOS'!$A:$A,$D95,'CALENDARIO INGRESOS'!$H:$H,"LATAM",'CALENDARIO INGRESOS'!$L:$L,"&lt;&gt;PAGADA")&gt;0,"LATAM",
 IF(COUNTIFS('CALENDARIO INGRESOS'!$A:$A,$D95,'CALENDARIO INGRESOS'!$H:$H,"VISA",'CALENDARIO INGRESOS'!$L:$L,"&lt;&gt;PAGADA")&gt;0,"VISA",
  IF(COUNTIFS('CALENDARIO INGRESOS'!$A:$A,$D95,'CALENDARIO INGRESOS'!$H:$H,"FIRMA PA",'CALENDARIO INGRESOS'!$L:$L,"&lt;&gt;PAGADA")&gt;0,"FIRMA PA",
   IF(COUNTIFS('CALENDARIO INGRESOS'!$A:$A,$D95,'CALENDARIO INGRESOS'!$H:$H,"ALEM",'CALENDARIO INGRESOS'!$L:$L,"&lt;&gt;PAGADA")&gt;0,"ALEM","LISTO")))),"-")</f>
        <v>LATAM</v>
      </c>
      <c r="S95" s="188">
        <f>+SUMIFS('CALENDARIO INGRESOS'!I:I,'CALENDARIO INGRESOS'!A:A,Tabla3[[#This Row],[ID STRIPE]],'CALENDARIO INGRESOS'!H:H,"LATAM")</f>
        <v>16000</v>
      </c>
      <c r="T95" s="188">
        <f>+IF(Tabla3[[#This Row],[MONTO LATAM]]-Tabla3[[#This Row],[IMPORTE ABONADO]]&gt;=0,Tabla3[[#This Row],[MONTO LATAM]]-Tabla3[[#This Row],[IMPORTE ABONADO]],0)</f>
        <v>6000</v>
      </c>
      <c r="U95" s="188">
        <f>+SUMIFS('CALENDARIO INGRESOS'!I:I,'CALENDARIO INGRESOS'!A:A,Tabla3[[#This Row],[ID STRIPE]],'CALENDARIO INGRESOS'!H:H,"ALEM")</f>
        <v>6000</v>
      </c>
      <c r="V95" s="6">
        <f>+SUMIFS('CALENDARIO INGRESOS'!I:I,'CALENDARIO INGRESOS'!A:A,Tabla3[[#This Row],[ID STRIPE]],'CALENDARIO INGRESOS'!H:H,"VISA")+SUMIFS('CALENDARIO INGRESOS'!I:I,'CALENDARIO INGRESOS'!A:A,Tabla3[[#This Row],[ID STRIPE]],'CALENDARIO INGRESOS'!H:H,"FIRMA PA")</f>
        <v>0</v>
      </c>
      <c r="W95" s="250">
        <v>0</v>
      </c>
      <c r="X95" s="60">
        <f>+IFERROR(AVERAGEIF('CALENDARIO INGRESOS'!A:A,Tabla3[[#This Row],[ID STRIPE]],'CALENDARIO INGRESOS'!M:M),"0")</f>
        <v>1.625</v>
      </c>
      <c r="Y95" s="18">
        <v>46328</v>
      </c>
      <c r="Z95" s="286">
        <f>+IFERROR(_xlfn.XLOOKUP(Tabla3[[#This Row],[ID LINGODA]],LINGODA!D:D,LINGODA!S:S),0)</f>
        <v>164</v>
      </c>
      <c r="AA95" s="18" t="str">
        <f>+IFERROR(_xlfn.XLOOKUP(Tabla3[[#This Row],[ID LINGODA]],LINGODA!D:D,LINGODA!F:F),"null")</f>
        <v>A1.1</v>
      </c>
      <c r="AB95" s="286" t="str">
        <f>+IFERROR(_xlfn.XLOOKUP(Tabla3[[#This Row],[ID LINGODA]],LINGODA!D:D,LINGODA!G:G),"null")</f>
        <v>A2.1</v>
      </c>
    </row>
    <row r="96" spans="1:28">
      <c r="A96" s="5" t="s">
        <v>2322</v>
      </c>
      <c r="B96" s="1" t="s">
        <v>2323</v>
      </c>
      <c r="C96" s="1" t="s">
        <v>13</v>
      </c>
      <c r="D96" s="1" t="s">
        <v>541</v>
      </c>
      <c r="E96" s="60">
        <v>1813048</v>
      </c>
      <c r="F96" s="60"/>
      <c r="G96" s="18">
        <f>(_xlfn.MINIFS(INGRESOS!A:A,INGRESOS!C:C,Tabla3[[#This Row],[CORREO]]))</f>
        <v>45867</v>
      </c>
      <c r="H96" s="3">
        <f>+SUMIFS(INGRESOS!J:J,INGRESOS!D:D,Tabla3[[#This Row],[ID STRIPE]],INGRESOS!A:A,"&gt;="&amp;DATE(YEAR(Tabla3[[#This Row],[FECHA INGRESO]]),MONTH(Tabla3[[#This Row],[FECHA INGRESO]]),1),INGRESOS!A:A,"&lt;="&amp;DATE(YEAR(Tabla3[[#This Row],[FECHA INGRESO]]),MONTH(Tabla3[[#This Row],[FECHA INGRESO]])+1,0))</f>
        <v>1451</v>
      </c>
      <c r="I96" s="286">
        <f ca="1">DATEDIF(Tabla3[[#This Row],[FECHA INGRESO]],IF(OR(Tabla3[[#This Row],[ESTADO]]="OK",Tabla3[[#This Row],[ESTADO]]="¡REGULARIZAR!")=TRUE,TODAY(),IF(Tabla3[[#This Row],[ULTIMO PAGO]]="",TODAY(),Tabla3[[#This Row],[ULTIMO PAGO]])),"m")</f>
        <v>7</v>
      </c>
      <c r="J96" s="18">
        <f>(_xlfn.MAXIFS(INGRESOS!A:A,INGRESOS!C:C,Tabla3[[#This Row],[CORREO]]))</f>
        <v>46080</v>
      </c>
      <c r="K96" s="7">
        <f ca="1">+IFERROR(Tabla3[[#This Row],[ABONADO NETO ]]/Tabla3[[#This Row],[MESES ACT]],Tabla3[[#This Row],[ABONO 1ER MES]])</f>
        <v>1243.6428571428571</v>
      </c>
      <c r="M96" s="287" t="s">
        <v>2119</v>
      </c>
      <c r="N96" s="288">
        <f>+SUMIF(INGRESOS!D:D,Tabla3[[#This Row],[ID STRIPE]],INGRESOS!J:J)</f>
        <v>8705.5</v>
      </c>
      <c r="O96" s="6">
        <v>22000</v>
      </c>
      <c r="P96" s="6">
        <f>+SUMIF('CALENDARIO INGRESOS'!A:A,Tabla3[[#This Row],[ID STRIPE]],'CALENDARIO INGRESOS'!I:I)</f>
        <v>22000</v>
      </c>
      <c r="Q96" s="6">
        <f>+SUMIF(INGRESOS!D:D,Tabla3[[#This Row],[ID STRIPE]],INGRESOS!G:G)</f>
        <v>9000</v>
      </c>
      <c r="R96" s="3" t="str">
        <f>IF(Tabla3[[#This Row],[ESTADO]]="OK",IF(COUNTIFS('CALENDARIO INGRESOS'!$A:$A,$D96,'CALENDARIO INGRESOS'!$H:$H,"LATAM",'CALENDARIO INGRESOS'!$L:$L,"&lt;&gt;PAGADA")&gt;0,"LATAM",
 IF(COUNTIFS('CALENDARIO INGRESOS'!$A:$A,$D96,'CALENDARIO INGRESOS'!$H:$H,"VISA",'CALENDARIO INGRESOS'!$L:$L,"&lt;&gt;PAGADA")&gt;0,"VISA",
  IF(COUNTIFS('CALENDARIO INGRESOS'!$A:$A,$D96,'CALENDARIO INGRESOS'!$H:$H,"FIRMA PA",'CALENDARIO INGRESOS'!$L:$L,"&lt;&gt;PAGADA")&gt;0,"FIRMA PA",
   IF(COUNTIFS('CALENDARIO INGRESOS'!$A:$A,$D96,'CALENDARIO INGRESOS'!$H:$H,"ALEM",'CALENDARIO INGRESOS'!$L:$L,"&lt;&gt;PAGADA")&gt;0,"ALEM","LISTO")))),"-")</f>
        <v>LATAM</v>
      </c>
      <c r="S96" s="188">
        <f>+SUMIFS('CALENDARIO INGRESOS'!I:I,'CALENDARIO INGRESOS'!A:A,Tabla3[[#This Row],[ID STRIPE]],'CALENDARIO INGRESOS'!H:H,"LATAM")</f>
        <v>16000</v>
      </c>
      <c r="T96" s="188">
        <f>+IF(Tabla3[[#This Row],[MONTO LATAM]]-Tabla3[[#This Row],[IMPORTE ABONADO]]&gt;=0,Tabla3[[#This Row],[MONTO LATAM]]-Tabla3[[#This Row],[IMPORTE ABONADO]],0)</f>
        <v>7000</v>
      </c>
      <c r="U96" s="188">
        <f>+SUMIFS('CALENDARIO INGRESOS'!I:I,'CALENDARIO INGRESOS'!A:A,Tabla3[[#This Row],[ID STRIPE]],'CALENDARIO INGRESOS'!H:H,"ALEM")</f>
        <v>6000</v>
      </c>
      <c r="V96" s="6">
        <f>+SUMIFS('CALENDARIO INGRESOS'!I:I,'CALENDARIO INGRESOS'!A:A,Tabla3[[#This Row],[ID STRIPE]],'CALENDARIO INGRESOS'!H:H,"VISA")+SUMIFS('CALENDARIO INGRESOS'!I:I,'CALENDARIO INGRESOS'!A:A,Tabla3[[#This Row],[ID STRIPE]],'CALENDARIO INGRESOS'!H:H,"FIRMA PA")</f>
        <v>0</v>
      </c>
      <c r="W96" s="250">
        <v>0</v>
      </c>
      <c r="X96" s="60">
        <f>+IFERROR(AVERAGEIF('CALENDARIO INGRESOS'!A:A,Tabla3[[#This Row],[ID STRIPE]],'CALENDARIO INGRESOS'!M:M),"0")</f>
        <v>0.75</v>
      </c>
      <c r="Y96" s="18">
        <v>46091</v>
      </c>
      <c r="Z96" s="286">
        <f>+IFERROR(_xlfn.XLOOKUP(Tabla3[[#This Row],[ID LINGODA]],LINGODA!D:D,LINGODA!S:S),0)</f>
        <v>74</v>
      </c>
      <c r="AA96" s="18" t="str">
        <f>+IFERROR(_xlfn.XLOOKUP(Tabla3[[#This Row],[ID LINGODA]],LINGODA!D:D,LINGODA!F:F),"null")</f>
        <v>A2.2</v>
      </c>
      <c r="AB96" s="286" t="str">
        <f>+IFERROR(_xlfn.XLOOKUP(Tabla3[[#This Row],[ID LINGODA]],LINGODA!D:D,LINGODA!G:G),"null")</f>
        <v>A2.2</v>
      </c>
    </row>
    <row r="97" spans="1:28">
      <c r="A97" s="5" t="s">
        <v>2324</v>
      </c>
      <c r="B97" s="1" t="s">
        <v>2325</v>
      </c>
      <c r="C97" s="1" t="s">
        <v>16</v>
      </c>
      <c r="D97" s="1" t="s">
        <v>535</v>
      </c>
      <c r="E97" s="60">
        <v>1812150</v>
      </c>
      <c r="F97" s="60"/>
      <c r="G97" s="18">
        <f>(_xlfn.MINIFS(INGRESOS!A:A,INGRESOS!C:C,Tabla3[[#This Row],[CORREO]]))</f>
        <v>45867</v>
      </c>
      <c r="H97" s="3">
        <f>+SUMIFS(INGRESOS!J:J,INGRESOS!D:D,Tabla3[[#This Row],[ID STRIPE]],INGRESOS!A:A,"&gt;="&amp;DATE(YEAR(Tabla3[[#This Row],[FECHA INGRESO]]),MONTH(Tabla3[[#This Row],[FECHA INGRESO]]),1),INGRESOS!A:A,"&lt;="&amp;DATE(YEAR(Tabla3[[#This Row],[FECHA INGRESO]]),MONTH(Tabla3[[#This Row],[FECHA INGRESO]])+1,0))</f>
        <v>3482.75</v>
      </c>
      <c r="I97" s="286">
        <f ca="1">DATEDIF(Tabla3[[#This Row],[FECHA INGRESO]],IF(OR(Tabla3[[#This Row],[ESTADO]]="OK",Tabla3[[#This Row],[ESTADO]]="¡REGULARIZAR!")=TRUE,TODAY(),IF(Tabla3[[#This Row],[ULTIMO PAGO]]="",TODAY(),Tabla3[[#This Row],[ULTIMO PAGO]])),"m")</f>
        <v>7</v>
      </c>
      <c r="J97" s="18">
        <f>(_xlfn.MAXIFS(INGRESOS!A:A,INGRESOS!C:C,Tabla3[[#This Row],[CORREO]]))</f>
        <v>45906</v>
      </c>
      <c r="K97" s="7">
        <f ca="1">+IFERROR(Tabla3[[#This Row],[ABONADO NETO ]]/Tabla3[[#This Row],[MESES ACT]],Tabla3[[#This Row],[ABONO 1ER MES]])</f>
        <v>773.92857142857144</v>
      </c>
      <c r="L97" s="189"/>
      <c r="M97" s="287" t="s">
        <v>2119</v>
      </c>
      <c r="N97" s="288">
        <f>+SUMIF(INGRESOS!D:D,Tabla3[[#This Row],[ID STRIPE]],INGRESOS!J:J)</f>
        <v>5417.5</v>
      </c>
      <c r="O97" s="6">
        <v>16000</v>
      </c>
      <c r="P97" s="6">
        <f>+SUMIF('CALENDARIO INGRESOS'!A:A,Tabla3[[#This Row],[ID STRIPE]],'CALENDARIO INGRESOS'!I:I)</f>
        <v>16000</v>
      </c>
      <c r="Q97" s="6">
        <f>+SUMIF(INGRESOS!D:D,Tabla3[[#This Row],[ID STRIPE]],INGRESOS!G:G)</f>
        <v>5600</v>
      </c>
      <c r="R97" s="3" t="str">
        <f>IF(Tabla3[[#This Row],[ESTADO]]="OK",IF(COUNTIFS('CALENDARIO INGRESOS'!$A:$A,$D97,'CALENDARIO INGRESOS'!$H:$H,"LATAM",'CALENDARIO INGRESOS'!$L:$L,"&lt;&gt;PAGADA")&gt;0,"LATAM",
 IF(COUNTIFS('CALENDARIO INGRESOS'!$A:$A,$D97,'CALENDARIO INGRESOS'!$H:$H,"VISA",'CALENDARIO INGRESOS'!$L:$L,"&lt;&gt;PAGADA")&gt;0,"VISA",
  IF(COUNTIFS('CALENDARIO INGRESOS'!$A:$A,$D97,'CALENDARIO INGRESOS'!$H:$H,"FIRMA PA",'CALENDARIO INGRESOS'!$L:$L,"&lt;&gt;PAGADA")&gt;0,"FIRMA PA",
   IF(COUNTIFS('CALENDARIO INGRESOS'!$A:$A,$D97,'CALENDARIO INGRESOS'!$H:$H,"ALEM",'CALENDARIO INGRESOS'!$L:$L,"&lt;&gt;PAGADA")&gt;0,"ALEM","LISTO")))),"-")</f>
        <v>VISA</v>
      </c>
      <c r="S97" s="188">
        <f>+SUMIFS('CALENDARIO INGRESOS'!I:I,'CALENDARIO INGRESOS'!A:A,Tabla3[[#This Row],[ID STRIPE]],'CALENDARIO INGRESOS'!H:H,"LATAM")</f>
        <v>5600</v>
      </c>
      <c r="T97" s="188">
        <f>+IF(Tabla3[[#This Row],[MONTO LATAM]]-Tabla3[[#This Row],[IMPORTE ABONADO]]&gt;=0,Tabla3[[#This Row],[MONTO LATAM]]-Tabla3[[#This Row],[IMPORTE ABONADO]],0)</f>
        <v>0</v>
      </c>
      <c r="U97" s="188">
        <f>+SUMIFS('CALENDARIO INGRESOS'!I:I,'CALENDARIO INGRESOS'!A:A,Tabla3[[#This Row],[ID STRIPE]],'CALENDARIO INGRESOS'!H:H,"ALEM")</f>
        <v>8700</v>
      </c>
      <c r="V97" s="6">
        <f>+SUMIFS('CALENDARIO INGRESOS'!I:I,'CALENDARIO INGRESOS'!A:A,Tabla3[[#This Row],[ID STRIPE]],'CALENDARIO INGRESOS'!H:H,"VISA")+SUMIFS('CALENDARIO INGRESOS'!I:I,'CALENDARIO INGRESOS'!A:A,Tabla3[[#This Row],[ID STRIPE]],'CALENDARIO INGRESOS'!H:H,"FIRMA PA")</f>
        <v>1700</v>
      </c>
      <c r="W97" s="252">
        <v>0</v>
      </c>
      <c r="X97" s="60">
        <f>+IFERROR(AVERAGEIF('CALENDARIO INGRESOS'!A:A,Tabla3[[#This Row],[ID STRIPE]],'CALENDARIO INGRESOS'!M:M),"0")</f>
        <v>-2.5</v>
      </c>
      <c r="Y97" s="18" t="s">
        <v>2093</v>
      </c>
      <c r="Z97" s="286">
        <f>+IFERROR(_xlfn.XLOOKUP(Tabla3[[#This Row],[ID LINGODA]],LINGODA!D:D,LINGODA!S:S),0)</f>
        <v>0</v>
      </c>
      <c r="AA97" s="18" t="str">
        <f>+IFERROR(_xlfn.XLOOKUP(Tabla3[[#This Row],[ID LINGODA]],LINGODA!D:D,LINGODA!F:F),"null")</f>
        <v>null</v>
      </c>
      <c r="AB97" s="286" t="str">
        <f>+IFERROR(_xlfn.XLOOKUP(Tabla3[[#This Row],[ID LINGODA]],LINGODA!D:D,LINGODA!G:G),"null")</f>
        <v>null</v>
      </c>
    </row>
    <row r="98" spans="1:28">
      <c r="A98" s="5" t="s">
        <v>2326</v>
      </c>
      <c r="B98" s="1" t="s">
        <v>2327</v>
      </c>
      <c r="C98" s="1" t="s">
        <v>22</v>
      </c>
      <c r="D98" s="1" t="s">
        <v>530</v>
      </c>
      <c r="E98" s="60">
        <v>1812961</v>
      </c>
      <c r="F98" s="60"/>
      <c r="G98" s="18">
        <f>(_xlfn.MINIFS(INGRESOS!A:A,INGRESOS!C:C,Tabla3[[#This Row],[CORREO]]))</f>
        <v>45867</v>
      </c>
      <c r="H98" s="3">
        <f>+SUMIFS(INGRESOS!J:J,INGRESOS!D:D,Tabla3[[#This Row],[ID STRIPE]],INGRESOS!A:A,"&gt;="&amp;DATE(YEAR(Tabla3[[#This Row],[FECHA INGRESO]]),MONTH(Tabla3[[#This Row],[FECHA INGRESO]]),1),INGRESOS!A:A,"&lt;="&amp;DATE(YEAR(Tabla3[[#This Row],[FECHA INGRESO]]),MONTH(Tabla3[[#This Row],[FECHA INGRESO]])+1,0))</f>
        <v>4019.6516455126875</v>
      </c>
      <c r="I98" s="286">
        <f ca="1">DATEDIF(Tabla3[[#This Row],[FECHA INGRESO]],IF(OR(Tabla3[[#This Row],[ESTADO]]="OK",Tabla3[[#This Row],[ESTADO]]="¡REGULARIZAR!")=TRUE,TODAY(),IF(Tabla3[[#This Row],[ULTIMO PAGO]]="",TODAY(),Tabla3[[#This Row],[ULTIMO PAGO]])),"m")</f>
        <v>7</v>
      </c>
      <c r="J98" s="18">
        <f>(_xlfn.MAXIFS(INGRESOS!A:A,INGRESOS!C:C,Tabla3[[#This Row],[CORREO]]))</f>
        <v>45933</v>
      </c>
      <c r="K98" s="7">
        <f ca="1">+IFERROR(Tabla3[[#This Row],[ABONADO NETO ]]/Tabla3[[#This Row],[MESES ACT]],Tabla3[[#This Row],[ABONO 1ER MES]])</f>
        <v>2259.4930922160979</v>
      </c>
      <c r="M98" s="287" t="s">
        <v>2119</v>
      </c>
      <c r="N98" s="288">
        <f>+SUMIF(INGRESOS!D:D,Tabla3[[#This Row],[ID STRIPE]],INGRESOS!J:J)</f>
        <v>15816.451645512687</v>
      </c>
      <c r="O98" s="6">
        <v>22000</v>
      </c>
      <c r="P98" s="6">
        <f>+SUMIF('CALENDARIO INGRESOS'!A:A,Tabla3[[#This Row],[ID STRIPE]],'CALENDARIO INGRESOS'!I:I)</f>
        <v>21999</v>
      </c>
      <c r="Q98" s="6">
        <f>+SUMIF(INGRESOS!D:D,Tabla3[[#This Row],[ID STRIPE]],INGRESOS!G:G)</f>
        <v>15824.831645512688</v>
      </c>
      <c r="R98" s="3" t="str">
        <f>IF(Tabla3[[#This Row],[ESTADO]]="OK",IF(COUNTIFS('CALENDARIO INGRESOS'!$A:$A,$D98,'CALENDARIO INGRESOS'!$H:$H,"LATAM",'CALENDARIO INGRESOS'!$L:$L,"&lt;&gt;PAGADA")&gt;0,"LATAM",
 IF(COUNTIFS('CALENDARIO INGRESOS'!$A:$A,$D98,'CALENDARIO INGRESOS'!$H:$H,"VISA",'CALENDARIO INGRESOS'!$L:$L,"&lt;&gt;PAGADA")&gt;0,"VISA",
  IF(COUNTIFS('CALENDARIO INGRESOS'!$A:$A,$D98,'CALENDARIO INGRESOS'!$H:$H,"FIRMA PA",'CALENDARIO INGRESOS'!$L:$L,"&lt;&gt;PAGADA")&gt;0,"FIRMA PA",
   IF(COUNTIFS('CALENDARIO INGRESOS'!$A:$A,$D98,'CALENDARIO INGRESOS'!$H:$H,"ALEM",'CALENDARIO INGRESOS'!$L:$L,"&lt;&gt;PAGADA")&gt;0,"ALEM","LISTO")))),"-")</f>
        <v>ALEM</v>
      </c>
      <c r="S98" s="188">
        <f>+SUMIFS('CALENDARIO INGRESOS'!I:I,'CALENDARIO INGRESOS'!A:A,Tabla3[[#This Row],[ID STRIPE]],'CALENDARIO INGRESOS'!H:H,"LATAM")</f>
        <v>15744</v>
      </c>
      <c r="T98" s="188">
        <f>+IF(Tabla3[[#This Row],[MONTO LATAM]]-Tabla3[[#This Row],[IMPORTE ABONADO]]&gt;=0,Tabla3[[#This Row],[MONTO LATAM]]-Tabla3[[#This Row],[IMPORTE ABONADO]],0)</f>
        <v>0</v>
      </c>
      <c r="U98" s="188">
        <f>+SUMIFS('CALENDARIO INGRESOS'!I:I,'CALENDARIO INGRESOS'!A:A,Tabla3[[#This Row],[ID STRIPE]],'CALENDARIO INGRESOS'!H:H,"ALEM")</f>
        <v>6255</v>
      </c>
      <c r="V98" s="6">
        <f>+SUMIFS('CALENDARIO INGRESOS'!I:I,'CALENDARIO INGRESOS'!A:A,Tabla3[[#This Row],[ID STRIPE]],'CALENDARIO INGRESOS'!H:H,"VISA")+SUMIFS('CALENDARIO INGRESOS'!I:I,'CALENDARIO INGRESOS'!A:A,Tabla3[[#This Row],[ID STRIPE]],'CALENDARIO INGRESOS'!H:H,"FIRMA PA")</f>
        <v>0</v>
      </c>
      <c r="W98" s="252">
        <v>0</v>
      </c>
      <c r="X98" s="60">
        <f>+IFERROR(AVERAGEIF('CALENDARIO INGRESOS'!A:A,Tabla3[[#This Row],[ID STRIPE]],'CALENDARIO INGRESOS'!M:M),"0")</f>
        <v>0</v>
      </c>
      <c r="Y98" s="18">
        <v>46266</v>
      </c>
      <c r="Z98" s="286">
        <f>+IFERROR(_xlfn.XLOOKUP(Tabla3[[#This Row],[ID LINGODA]],LINGODA!D:D,LINGODA!S:S),0)</f>
        <v>63</v>
      </c>
      <c r="AA98" s="18" t="str">
        <f>+IFERROR(_xlfn.XLOOKUP(Tabla3[[#This Row],[ID LINGODA]],LINGODA!D:D,LINGODA!F:F),"null")</f>
        <v>A1.2</v>
      </c>
      <c r="AB98" s="286" t="str">
        <f>+IFERROR(_xlfn.XLOOKUP(Tabla3[[#This Row],[ID LINGODA]],LINGODA!D:D,LINGODA!G:G),"null")</f>
        <v>B1.1</v>
      </c>
    </row>
    <row r="99" spans="1:28" ht="14" customHeight="1">
      <c r="A99" s="5" t="s">
        <v>2328</v>
      </c>
      <c r="B99" s="1" t="s">
        <v>2329</v>
      </c>
      <c r="C99" s="1" t="s">
        <v>12</v>
      </c>
      <c r="D99" s="1" t="s">
        <v>2330</v>
      </c>
      <c r="E99" s="60">
        <v>1813902</v>
      </c>
      <c r="F99" s="60"/>
      <c r="G99" s="18">
        <f>(_xlfn.MINIFS(INGRESOS!A:A,INGRESOS!C:C,Tabla3[[#This Row],[CORREO]]))</f>
        <v>45868</v>
      </c>
      <c r="H99" s="3">
        <f>+SUMIFS(INGRESOS!J:J,INGRESOS!D:D,Tabla3[[#This Row],[ID STRIPE]],INGRESOS!A:A,"&gt;="&amp;DATE(YEAR(Tabla3[[#This Row],[FECHA INGRESO]]),MONTH(Tabla3[[#This Row],[FECHA INGRESO]]),1),INGRESOS!A:A,"&lt;="&amp;DATE(YEAR(Tabla3[[#This Row],[FECHA INGRESO]]),MONTH(Tabla3[[#This Row],[FECHA INGRESO]])+1,0))</f>
        <v>241.62</v>
      </c>
      <c r="I99" s="286">
        <f ca="1">DATEDIF(Tabla3[[#This Row],[FECHA INGRESO]],IF(OR(Tabla3[[#This Row],[ESTADO]]="OK",Tabla3[[#This Row],[ESTADO]]="¡REGULARIZAR!")=TRUE,TODAY(),IF(Tabla3[[#This Row],[ULTIMO PAGO]]="",TODAY(),Tabla3[[#This Row],[ULTIMO PAGO]])),"m")</f>
        <v>0</v>
      </c>
      <c r="J99" s="18">
        <f>(_xlfn.MAXIFS(INGRESOS!A:A,INGRESOS!C:C,Tabla3[[#This Row],[CORREO]]))</f>
        <v>45868</v>
      </c>
      <c r="K99" s="7">
        <f ca="1">+IFERROR(Tabla3[[#This Row],[ABONADO NETO ]]/Tabla3[[#This Row],[MESES ACT]],Tabla3[[#This Row],[ABONO 1ER MES]])</f>
        <v>241.62</v>
      </c>
      <c r="M99" s="287" t="s">
        <v>2139</v>
      </c>
      <c r="N99" s="288">
        <f>+SUMIF(INGRESOS!D:D,Tabla3[[#This Row],[ID STRIPE]],INGRESOS!J:J)</f>
        <v>241.62</v>
      </c>
      <c r="O99" s="6">
        <v>0</v>
      </c>
      <c r="P99" s="6">
        <f>+SUMIF('CALENDARIO INGRESOS'!A:A,Tabla3[[#This Row],[ID STRIPE]],'CALENDARIO INGRESOS'!I:I)</f>
        <v>0</v>
      </c>
      <c r="Q99" s="6">
        <f>+SUMIF(INGRESOS!D:D,Tabla3[[#This Row],[ID STRIPE]],INGRESOS!G:G)</f>
        <v>250</v>
      </c>
      <c r="R99" s="3" t="str">
        <f>IF(Tabla3[[#This Row],[ESTADO]]="OK",IF(COUNTIFS('CALENDARIO INGRESOS'!$A:$A,$D99,'CALENDARIO INGRESOS'!$H:$H,"LATAM",'CALENDARIO INGRESOS'!$L:$L,"&lt;&gt;PAGADA")&gt;0,"LATAM",
 IF(COUNTIFS('CALENDARIO INGRESOS'!$A:$A,$D99,'CALENDARIO INGRESOS'!$H:$H,"VISA",'CALENDARIO INGRESOS'!$L:$L,"&lt;&gt;PAGADA")&gt;0,"VISA",
  IF(COUNTIFS('CALENDARIO INGRESOS'!$A:$A,$D99,'CALENDARIO INGRESOS'!$H:$H,"FIRMA PA",'CALENDARIO INGRESOS'!$L:$L,"&lt;&gt;PAGADA")&gt;0,"FIRMA PA",
   IF(COUNTIFS('CALENDARIO INGRESOS'!$A:$A,$D99,'CALENDARIO INGRESOS'!$H:$H,"ALEM",'CALENDARIO INGRESOS'!$L:$L,"&lt;&gt;PAGADA")&gt;0,"ALEM","LISTO")))),"-")</f>
        <v>-</v>
      </c>
      <c r="S99" s="188">
        <f>+SUMIFS('CALENDARIO INGRESOS'!I:I,'CALENDARIO INGRESOS'!A:A,Tabla3[[#This Row],[ID STRIPE]],'CALENDARIO INGRESOS'!H:H,"LATAM")</f>
        <v>0</v>
      </c>
      <c r="T99" s="188">
        <f>+IF(Tabla3[[#This Row],[MONTO LATAM]]-Tabla3[[#This Row],[IMPORTE ABONADO]]&gt;=0,Tabla3[[#This Row],[MONTO LATAM]]-Tabla3[[#This Row],[IMPORTE ABONADO]],0)</f>
        <v>0</v>
      </c>
      <c r="U99" s="188">
        <f>+SUMIFS('CALENDARIO INGRESOS'!J:J,'CALENDARIO INGRESOS'!B:B,Tabla3[[#This Row],[ID STRIPE]],'CALENDARIO INGRESOS'!I:I,"ALEM")</f>
        <v>0</v>
      </c>
      <c r="V99" s="6">
        <f>+SUMIFS('CALENDARIO INGRESOS'!I:I,'CALENDARIO INGRESOS'!A:A,Tabla3[[#This Row],[ID STRIPE]],'CALENDARIO INGRESOS'!H:H,"VISA")+SUMIFS('CALENDARIO INGRESOS'!I:I,'CALENDARIO INGRESOS'!A:A,Tabla3[[#This Row],[ID STRIPE]],'CALENDARIO INGRESOS'!H:H,"FIRMA PA")</f>
        <v>0</v>
      </c>
      <c r="W99" s="250">
        <v>0</v>
      </c>
      <c r="X99" s="60" t="str">
        <f>+IFERROR(AVERAGEIF('CALENDARIO INGRESOS'!A:A,Tabla3[[#This Row],[ID STRIPE]],'CALENDARIO INGRESOS'!M:M),"0")</f>
        <v>0</v>
      </c>
      <c r="Y99" s="18" t="s">
        <v>2093</v>
      </c>
      <c r="Z99" s="286">
        <f>+IFERROR(_xlfn.XLOOKUP(Tabla3[[#This Row],[ID LINGODA]],LINGODA!D:D,LINGODA!S:S),0)</f>
        <v>0</v>
      </c>
      <c r="AA99" s="18" t="str">
        <f>+IFERROR(_xlfn.XLOOKUP(Tabla3[[#This Row],[ID LINGODA]],LINGODA!D:D,LINGODA!F:F),"null")</f>
        <v>null</v>
      </c>
      <c r="AB99" s="286" t="str">
        <f>+IFERROR(_xlfn.XLOOKUP(Tabla3[[#This Row],[ID LINGODA]],LINGODA!D:D,LINGODA!G:G),"null")</f>
        <v>null</v>
      </c>
    </row>
    <row r="100" spans="1:28">
      <c r="A100" s="5" t="s">
        <v>2331</v>
      </c>
      <c r="B100" s="1" t="s">
        <v>2332</v>
      </c>
      <c r="C100" s="1" t="s">
        <v>21</v>
      </c>
      <c r="D100" s="1" t="s">
        <v>590</v>
      </c>
      <c r="E100" s="60">
        <v>1823257</v>
      </c>
      <c r="F100" s="60"/>
      <c r="G100" s="18">
        <f>(_xlfn.MINIFS(INGRESOS!A:A,INGRESOS!C:C,Tabla3[[#This Row],[CORREO]]))</f>
        <v>45869</v>
      </c>
      <c r="H100" s="3">
        <f>+SUMIFS(INGRESOS!J:J,INGRESOS!D:D,Tabla3[[#This Row],[ID STRIPE]],INGRESOS!A:A,"&gt;="&amp;DATE(YEAR(Tabla3[[#This Row],[FECHA INGRESO]]),MONTH(Tabla3[[#This Row],[FECHA INGRESO]]),1),INGRESOS!A:A,"&lt;="&amp;DATE(YEAR(Tabla3[[#This Row],[FECHA INGRESO]]),MONTH(Tabla3[[#This Row],[FECHA INGRESO]])+1,0))</f>
        <v>241.62</v>
      </c>
      <c r="I100" s="286">
        <f ca="1">DATEDIF(Tabla3[[#This Row],[FECHA INGRESO]],IF(OR(Tabla3[[#This Row],[ESTADO]]="OK",Tabla3[[#This Row],[ESTADO]]="¡REGULARIZAR!")=TRUE,TODAY(),IF(Tabla3[[#This Row],[ULTIMO PAGO]]="",TODAY(),Tabla3[[#This Row],[ULTIMO PAGO]])),"m")</f>
        <v>7</v>
      </c>
      <c r="J100" s="18">
        <f>(_xlfn.MAXIFS(INGRESOS!A:A,INGRESOS!C:C,Tabla3[[#This Row],[CORREO]]))</f>
        <v>46080</v>
      </c>
      <c r="K100" s="7">
        <f ca="1">+IFERROR(Tabla3[[#This Row],[ABONADO NETO ]]/Tabla3[[#This Row],[MESES ACT]],Tabla3[[#This Row],[ABONO 1ER MES]])</f>
        <v>759.89142857142849</v>
      </c>
      <c r="M100" s="287" t="s">
        <v>2119</v>
      </c>
      <c r="N100" s="288">
        <f>+SUMIF(INGRESOS!D:D,Tabla3[[#This Row],[ID STRIPE]],INGRESOS!J:J)</f>
        <v>5319.24</v>
      </c>
      <c r="O100" s="6">
        <v>24800</v>
      </c>
      <c r="P100" s="6">
        <f>+SUMIF('CALENDARIO INGRESOS'!A:A,Tabla3[[#This Row],[ID STRIPE]],'CALENDARIO INGRESOS'!I:I)</f>
        <v>24800</v>
      </c>
      <c r="Q100" s="6">
        <f>+SUMIF(INGRESOS!D:D,Tabla3[[#This Row],[ID STRIPE]],INGRESOS!G:G)</f>
        <v>5500</v>
      </c>
      <c r="R100" s="3" t="str">
        <f>IF(Tabla3[[#This Row],[ESTADO]]="OK",IF(COUNTIFS('CALENDARIO INGRESOS'!$A:$A,$D100,'CALENDARIO INGRESOS'!$H:$H,"LATAM",'CALENDARIO INGRESOS'!$L:$L,"&lt;&gt;PAGADA")&gt;0,"LATAM",
 IF(COUNTIFS('CALENDARIO INGRESOS'!$A:$A,$D100,'CALENDARIO INGRESOS'!$H:$H,"VISA",'CALENDARIO INGRESOS'!$L:$L,"&lt;&gt;PAGADA")&gt;0,"VISA",
  IF(COUNTIFS('CALENDARIO INGRESOS'!$A:$A,$D100,'CALENDARIO INGRESOS'!$H:$H,"FIRMA PA",'CALENDARIO INGRESOS'!$L:$L,"&lt;&gt;PAGADA")&gt;0,"FIRMA PA",
   IF(COUNTIFS('CALENDARIO INGRESOS'!$A:$A,$D100,'CALENDARIO INGRESOS'!$H:$H,"ALEM",'CALENDARIO INGRESOS'!$L:$L,"&lt;&gt;PAGADA")&gt;0,"ALEM","LISTO")))),"-")</f>
        <v>LATAM</v>
      </c>
      <c r="S100" s="188">
        <f>+SUMIFS('CALENDARIO INGRESOS'!I:I,'CALENDARIO INGRESOS'!A:A,Tabla3[[#This Row],[ID STRIPE]],'CALENDARIO INGRESOS'!H:H,"LATAM")</f>
        <v>18800</v>
      </c>
      <c r="T100" s="188">
        <f>+IF(Tabla3[[#This Row],[MONTO LATAM]]-Tabla3[[#This Row],[IMPORTE ABONADO]]&gt;=0,Tabla3[[#This Row],[MONTO LATAM]]-Tabla3[[#This Row],[IMPORTE ABONADO]],0)</f>
        <v>13300</v>
      </c>
      <c r="U100" s="188">
        <f>+SUMIFS('CALENDARIO INGRESOS'!I:I,'CALENDARIO INGRESOS'!A:A,Tabla3[[#This Row],[ID STRIPE]],'CALENDARIO INGRESOS'!H:H,"ALEM")</f>
        <v>6000</v>
      </c>
      <c r="V100" s="6">
        <f>+SUMIFS('CALENDARIO INGRESOS'!I:I,'CALENDARIO INGRESOS'!A:A,Tabla3[[#This Row],[ID STRIPE]],'CALENDARIO INGRESOS'!H:H,"VISA")+SUMIFS('CALENDARIO INGRESOS'!I:I,'CALENDARIO INGRESOS'!A:A,Tabla3[[#This Row],[ID STRIPE]],'CALENDARIO INGRESOS'!H:H,"FIRMA PA")</f>
        <v>0</v>
      </c>
      <c r="W100" s="250">
        <v>0</v>
      </c>
      <c r="X100" s="60">
        <f>+IFERROR(AVERAGEIF('CALENDARIO INGRESOS'!A:A,Tabla3[[#This Row],[ID STRIPE]],'CALENDARIO INGRESOS'!M:M),"0")</f>
        <v>1.25</v>
      </c>
      <c r="Y100" s="18">
        <v>46204</v>
      </c>
      <c r="Z100" s="286">
        <f>+IFERROR(_xlfn.XLOOKUP(Tabla3[[#This Row],[ID LINGODA]],LINGODA!D:D,LINGODA!S:S),0)</f>
        <v>0</v>
      </c>
      <c r="AA100" s="18" t="str">
        <f>+IFERROR(_xlfn.XLOOKUP(Tabla3[[#This Row],[ID LINGODA]],LINGODA!D:D,LINGODA!F:F),"null")</f>
        <v>-</v>
      </c>
      <c r="AB100" s="286" t="str">
        <f>+IFERROR(_xlfn.XLOOKUP(Tabla3[[#This Row],[ID LINGODA]],LINGODA!D:D,LINGODA!G:G),"null")</f>
        <v>-</v>
      </c>
    </row>
    <row r="101" spans="1:28">
      <c r="A101" s="5" t="s">
        <v>2333</v>
      </c>
      <c r="B101" s="1" t="s">
        <v>2334</v>
      </c>
      <c r="C101" s="1" t="s">
        <v>14</v>
      </c>
      <c r="D101" s="1" t="s">
        <v>2335</v>
      </c>
      <c r="E101" s="60">
        <v>1806188</v>
      </c>
      <c r="F101" s="60"/>
      <c r="G101" s="18">
        <f>(_xlfn.MINIFS(INGRESOS!A:A,INGRESOS!C:C,Tabla3[[#This Row],[CORREO]]))</f>
        <v>45869</v>
      </c>
      <c r="H101" s="3">
        <f>+SUMIFS(INGRESOS!J:J,INGRESOS!D:D,Tabla3[[#This Row],[ID STRIPE]],INGRESOS!A:A,"&gt;="&amp;DATE(YEAR(Tabla3[[#This Row],[FECHA INGRESO]]),MONTH(Tabla3[[#This Row],[FECHA INGRESO]]),1),INGRESOS!A:A,"&lt;="&amp;DATE(YEAR(Tabla3[[#This Row],[FECHA INGRESO]]),MONTH(Tabla3[[#This Row],[FECHA INGRESO]])+1,0))</f>
        <v>241.62</v>
      </c>
      <c r="I101" s="286">
        <f ca="1">DATEDIF(Tabla3[[#This Row],[FECHA INGRESO]],IF(OR(Tabla3[[#This Row],[ESTADO]]="OK",Tabla3[[#This Row],[ESTADO]]="¡REGULARIZAR!")=TRUE,TODAY(),IF(Tabla3[[#This Row],[ULTIMO PAGO]]="",TODAY(),Tabla3[[#This Row],[ULTIMO PAGO]])),"m")</f>
        <v>0</v>
      </c>
      <c r="J101" s="18">
        <f>(_xlfn.MAXIFS(INGRESOS!A:A,INGRESOS!C:C,Tabla3[[#This Row],[CORREO]]))</f>
        <v>45869</v>
      </c>
      <c r="K101" s="7">
        <f ca="1">+IFERROR(Tabla3[[#This Row],[ABONADO NETO ]]/Tabla3[[#This Row],[MESES ACT]],Tabla3[[#This Row],[ABONO 1ER MES]])</f>
        <v>241.62</v>
      </c>
      <c r="M101" s="287" t="s">
        <v>2139</v>
      </c>
      <c r="N101" s="288">
        <f>+SUMIF(INGRESOS!D:D,Tabla3[[#This Row],[ID STRIPE]],INGRESOS!J:J)</f>
        <v>241.62</v>
      </c>
      <c r="O101" s="6">
        <v>0</v>
      </c>
      <c r="P101" s="6">
        <f>+SUMIF('CALENDARIO INGRESOS'!A:A,Tabla3[[#This Row],[ID STRIPE]],'CALENDARIO INGRESOS'!I:I)</f>
        <v>0</v>
      </c>
      <c r="Q101" s="6">
        <f>+SUMIF(INGRESOS!D:D,Tabla3[[#This Row],[ID STRIPE]],INGRESOS!G:G)</f>
        <v>250</v>
      </c>
      <c r="R101" s="3" t="str">
        <f>IF(Tabla3[[#This Row],[ESTADO]]="OK",IF(COUNTIFS('CALENDARIO INGRESOS'!$A:$A,$D101,'CALENDARIO INGRESOS'!$H:$H,"LATAM",'CALENDARIO INGRESOS'!$L:$L,"&lt;&gt;PAGADA")&gt;0,"LATAM",
 IF(COUNTIFS('CALENDARIO INGRESOS'!$A:$A,$D101,'CALENDARIO INGRESOS'!$H:$H,"VISA",'CALENDARIO INGRESOS'!$L:$L,"&lt;&gt;PAGADA")&gt;0,"VISA",
  IF(COUNTIFS('CALENDARIO INGRESOS'!$A:$A,$D101,'CALENDARIO INGRESOS'!$H:$H,"FIRMA PA",'CALENDARIO INGRESOS'!$L:$L,"&lt;&gt;PAGADA")&gt;0,"FIRMA PA",
   IF(COUNTIFS('CALENDARIO INGRESOS'!$A:$A,$D101,'CALENDARIO INGRESOS'!$H:$H,"ALEM",'CALENDARIO INGRESOS'!$L:$L,"&lt;&gt;PAGADA")&gt;0,"ALEM","LISTO")))),"-")</f>
        <v>-</v>
      </c>
      <c r="S101" s="188">
        <f>+SUMIFS('CALENDARIO INGRESOS'!I:I,'CALENDARIO INGRESOS'!A:A,Tabla3[[#This Row],[ID STRIPE]],'CALENDARIO INGRESOS'!H:H,"LATAM")</f>
        <v>0</v>
      </c>
      <c r="T101" s="188">
        <f>+IF(Tabla3[[#This Row],[MONTO LATAM]]-Tabla3[[#This Row],[IMPORTE ABONADO]]&gt;=0,Tabla3[[#This Row],[MONTO LATAM]]-Tabla3[[#This Row],[IMPORTE ABONADO]],0)</f>
        <v>0</v>
      </c>
      <c r="U101" s="188">
        <f>+SUMIFS('CALENDARIO INGRESOS'!I:I,'CALENDARIO INGRESOS'!A:A,Tabla3[[#This Row],[ID STRIPE]],'CALENDARIO INGRESOS'!H:H,"ALEM")</f>
        <v>0</v>
      </c>
      <c r="V101" s="6">
        <f>+SUMIFS('CALENDARIO INGRESOS'!I:I,'CALENDARIO INGRESOS'!A:A,Tabla3[[#This Row],[ID STRIPE]],'CALENDARIO INGRESOS'!H:H,"VISA")+SUMIFS('CALENDARIO INGRESOS'!I:I,'CALENDARIO INGRESOS'!A:A,Tabla3[[#This Row],[ID STRIPE]],'CALENDARIO INGRESOS'!H:H,"FIRMA PA")</f>
        <v>0</v>
      </c>
      <c r="W101" s="252">
        <v>0</v>
      </c>
      <c r="X101" s="60" t="str">
        <f>+IFERROR(AVERAGEIF('CALENDARIO INGRESOS'!A:A,Tabla3[[#This Row],[ID STRIPE]],'CALENDARIO INGRESOS'!M:M),"0")</f>
        <v>0</v>
      </c>
      <c r="Y101" s="18" t="s">
        <v>2093</v>
      </c>
      <c r="Z101" s="286">
        <f>+IFERROR(_xlfn.XLOOKUP(Tabla3[[#This Row],[ID LINGODA]],LINGODA!D:D,LINGODA!S:S),0)</f>
        <v>0</v>
      </c>
      <c r="AA101" s="18" t="str">
        <f>+IFERROR(_xlfn.XLOOKUP(Tabla3[[#This Row],[ID LINGODA]],LINGODA!D:D,LINGODA!F:F),"null")</f>
        <v>null</v>
      </c>
      <c r="AB101" s="286" t="str">
        <f>+IFERROR(_xlfn.XLOOKUP(Tabla3[[#This Row],[ID LINGODA]],LINGODA!D:D,LINGODA!G:G),"null")</f>
        <v>null</v>
      </c>
    </row>
    <row r="102" spans="1:28">
      <c r="A102" s="5" t="s">
        <v>2336</v>
      </c>
      <c r="B102" s="1" t="s">
        <v>2337</v>
      </c>
      <c r="C102" s="1" t="s">
        <v>14</v>
      </c>
      <c r="D102" s="1" t="s">
        <v>587</v>
      </c>
      <c r="E102" s="60">
        <v>1813903</v>
      </c>
      <c r="F102" s="60"/>
      <c r="G102" s="18">
        <f>(_xlfn.MINIFS(INGRESOS!A:A,INGRESOS!C:C,Tabla3[[#This Row],[CORREO]]))</f>
        <v>45869</v>
      </c>
      <c r="H102" s="3">
        <f>+SUMIFS(INGRESOS!J:J,INGRESOS!D:D,Tabla3[[#This Row],[ID STRIPE]],INGRESOS!A:A,"&gt;="&amp;DATE(YEAR(Tabla3[[#This Row],[FECHA INGRESO]]),MONTH(Tabla3[[#This Row],[FECHA INGRESO]]),1),INGRESOS!A:A,"&lt;="&amp;DATE(YEAR(Tabla3[[#This Row],[FECHA INGRESO]]),MONTH(Tabla3[[#This Row],[FECHA INGRESO]])+1,0))</f>
        <v>241.62</v>
      </c>
      <c r="I102" s="286">
        <f ca="1">DATEDIF(Tabla3[[#This Row],[FECHA INGRESO]],IF(OR(Tabla3[[#This Row],[ESTADO]]="OK",Tabla3[[#This Row],[ESTADO]]="¡REGULARIZAR!")=TRUE,TODAY(),IF(Tabla3[[#This Row],[ULTIMO PAGO]]="",TODAY(),Tabla3[[#This Row],[ULTIMO PAGO]])),"m")</f>
        <v>7</v>
      </c>
      <c r="J102" s="18">
        <f>(_xlfn.MAXIFS(INGRESOS!A:A,INGRESOS!C:C,Tabla3[[#This Row],[CORREO]]))</f>
        <v>46077</v>
      </c>
      <c r="K102" s="7">
        <f ca="1">+IFERROR(Tabla3[[#This Row],[ABONADO NETO ]]/Tabla3[[#This Row],[MESES ACT]],Tabla3[[#This Row],[ABONO 1ER MES]])</f>
        <v>1001.762857142857</v>
      </c>
      <c r="M102" s="287" t="s">
        <v>2119</v>
      </c>
      <c r="N102" s="288">
        <f>+SUMIF(INGRESOS!D:D,Tabla3[[#This Row],[ID STRIPE]],INGRESOS!J:J)</f>
        <v>7012.3399999999992</v>
      </c>
      <c r="O102" s="6">
        <v>22000</v>
      </c>
      <c r="P102" s="6">
        <f>+SUMIF('CALENDARIO INGRESOS'!A:A,Tabla3[[#This Row],[ID STRIPE]],'CALENDARIO INGRESOS'!I:I)</f>
        <v>22000</v>
      </c>
      <c r="Q102" s="6">
        <f>+SUMIF(INGRESOS!D:D,Tabla3[[#This Row],[ID STRIPE]],INGRESOS!G:G)</f>
        <v>7250</v>
      </c>
      <c r="R102" s="3" t="str">
        <f>IF(Tabla3[[#This Row],[ESTADO]]="OK",IF(COUNTIFS('CALENDARIO INGRESOS'!$A:$A,$D102,'CALENDARIO INGRESOS'!$H:$H,"LATAM",'CALENDARIO INGRESOS'!$L:$L,"&lt;&gt;PAGADA")&gt;0,"LATAM",
 IF(COUNTIFS('CALENDARIO INGRESOS'!$A:$A,$D102,'CALENDARIO INGRESOS'!$H:$H,"VISA",'CALENDARIO INGRESOS'!$L:$L,"&lt;&gt;PAGADA")&gt;0,"VISA",
  IF(COUNTIFS('CALENDARIO INGRESOS'!$A:$A,$D102,'CALENDARIO INGRESOS'!$H:$H,"FIRMA PA",'CALENDARIO INGRESOS'!$L:$L,"&lt;&gt;PAGADA")&gt;0,"FIRMA PA",
   IF(COUNTIFS('CALENDARIO INGRESOS'!$A:$A,$D102,'CALENDARIO INGRESOS'!$H:$H,"ALEM",'CALENDARIO INGRESOS'!$L:$L,"&lt;&gt;PAGADA")&gt;0,"ALEM","LISTO")))),"-")</f>
        <v>LATAM</v>
      </c>
      <c r="S102" s="188">
        <f>+SUMIFS('CALENDARIO INGRESOS'!I:I,'CALENDARIO INGRESOS'!A:A,Tabla3[[#This Row],[ID STRIPE]],'CALENDARIO INGRESOS'!H:H,"LATAM")</f>
        <v>16000</v>
      </c>
      <c r="T102" s="188">
        <f>+IF(Tabla3[[#This Row],[MONTO LATAM]]-Tabla3[[#This Row],[IMPORTE ABONADO]]&gt;=0,Tabla3[[#This Row],[MONTO LATAM]]-Tabla3[[#This Row],[IMPORTE ABONADO]],0)</f>
        <v>8750</v>
      </c>
      <c r="U102" s="188">
        <f>+SUMIFS('CALENDARIO INGRESOS'!I:I,'CALENDARIO INGRESOS'!A:A,Tabla3[[#This Row],[ID STRIPE]],'CALENDARIO INGRESOS'!H:H,"ALEM")</f>
        <v>6000</v>
      </c>
      <c r="V102" s="6">
        <f>+SUMIFS('CALENDARIO INGRESOS'!I:I,'CALENDARIO INGRESOS'!A:A,Tabla3[[#This Row],[ID STRIPE]],'CALENDARIO INGRESOS'!H:H,"VISA")+SUMIFS('CALENDARIO INGRESOS'!I:I,'CALENDARIO INGRESOS'!A:A,Tabla3[[#This Row],[ID STRIPE]],'CALENDARIO INGRESOS'!H:H,"FIRMA PA")</f>
        <v>0</v>
      </c>
      <c r="W102" s="250">
        <v>1</v>
      </c>
      <c r="X102" s="60">
        <f>+IFERROR(AVERAGEIF('CALENDARIO INGRESOS'!A:A,Tabla3[[#This Row],[ID STRIPE]],'CALENDARIO INGRESOS'!M:M),"0")</f>
        <v>-4.25</v>
      </c>
      <c r="Y102" s="18">
        <v>46048</v>
      </c>
      <c r="Z102" s="286">
        <f>+IFERROR(_xlfn.XLOOKUP(Tabla3[[#This Row],[ID LINGODA]],LINGODA!D:D,LINGODA!S:S),0)</f>
        <v>0</v>
      </c>
      <c r="AA102" s="18" t="str">
        <f>+IFERROR(_xlfn.XLOOKUP(Tabla3[[#This Row],[ID LINGODA]],LINGODA!D:D,LINGODA!F:F),"null")</f>
        <v>null</v>
      </c>
      <c r="AB102" s="286" t="str">
        <f>+IFERROR(_xlfn.XLOOKUP(Tabla3[[#This Row],[ID LINGODA]],LINGODA!D:D,LINGODA!G:G),"null")</f>
        <v>null</v>
      </c>
    </row>
    <row r="103" spans="1:28">
      <c r="A103" s="5" t="s">
        <v>2338</v>
      </c>
      <c r="B103" s="1" t="s">
        <v>2339</v>
      </c>
      <c r="C103" s="1" t="s">
        <v>18</v>
      </c>
      <c r="D103" s="1" t="s">
        <v>574</v>
      </c>
      <c r="E103" s="60">
        <v>1813901</v>
      </c>
      <c r="F103" s="60"/>
      <c r="G103" s="18">
        <f>(_xlfn.MINIFS(INGRESOS!A:A,INGRESOS!C:C,Tabla3[[#This Row],[CORREO]]))</f>
        <v>45869</v>
      </c>
      <c r="H103" s="3">
        <f>+SUMIFS(INGRESOS!J:J,INGRESOS!D:D,Tabla3[[#This Row],[ID STRIPE]],INGRESOS!A:A,"&gt;="&amp;DATE(YEAR(Tabla3[[#This Row],[FECHA INGRESO]]),MONTH(Tabla3[[#This Row],[FECHA INGRESO]]),1),INGRESOS!A:A,"&lt;="&amp;DATE(YEAR(Tabla3[[#This Row],[FECHA INGRESO]]),MONTH(Tabla3[[#This Row],[FECHA INGRESO]])+1,0))</f>
        <v>1813.81</v>
      </c>
      <c r="I103" s="286">
        <f ca="1">DATEDIF(Tabla3[[#This Row],[FECHA INGRESO]],IF(OR(Tabla3[[#This Row],[ESTADO]]="OK",Tabla3[[#This Row],[ESTADO]]="¡REGULARIZAR!")=TRUE,TODAY(),IF(Tabla3[[#This Row],[ULTIMO PAGO]]="",TODAY(),Tabla3[[#This Row],[ULTIMO PAGO]])),"m")</f>
        <v>7</v>
      </c>
      <c r="J103" s="18">
        <f>(_xlfn.MAXIFS(INGRESOS!A:A,INGRESOS!C:C,Tabla3[[#This Row],[CORREO]]))</f>
        <v>46074</v>
      </c>
      <c r="K103" s="7">
        <f ca="1">+IFERROR(Tabla3[[#This Row],[ABONADO NETO ]]/Tabla3[[#This Row],[MESES ACT]],Tabla3[[#This Row],[ABONO 1ER MES]])</f>
        <v>1493.8099999999997</v>
      </c>
      <c r="M103" s="287" t="s">
        <v>2119</v>
      </c>
      <c r="N103" s="288">
        <f>+SUMIF(INGRESOS!D:D,Tabla3[[#This Row],[ID STRIPE]],INGRESOS!J:J)</f>
        <v>10456.669999999998</v>
      </c>
      <c r="O103" s="6">
        <v>20000</v>
      </c>
      <c r="P103" s="6">
        <f>+SUMIF('CALENDARIO INGRESOS'!A:A,Tabla3[[#This Row],[ID STRIPE]],'CALENDARIO INGRESOS'!I:I)</f>
        <v>20000</v>
      </c>
      <c r="Q103" s="6">
        <f>+SUMIF(INGRESOS!D:D,Tabla3[[#This Row],[ID STRIPE]],INGRESOS!G:G)</f>
        <v>10810</v>
      </c>
      <c r="R103" s="3" t="str">
        <f>IF(Tabla3[[#This Row],[ESTADO]]="OK",IF(COUNTIFS('CALENDARIO INGRESOS'!$A:$A,$D103,'CALENDARIO INGRESOS'!$H:$H,"LATAM",'CALENDARIO INGRESOS'!$L:$L,"&lt;&gt;PAGADA")&gt;0,"LATAM",
 IF(COUNTIFS('CALENDARIO INGRESOS'!$A:$A,$D103,'CALENDARIO INGRESOS'!$H:$H,"VISA",'CALENDARIO INGRESOS'!$L:$L,"&lt;&gt;PAGADA")&gt;0,"VISA",
  IF(COUNTIFS('CALENDARIO INGRESOS'!$A:$A,$D103,'CALENDARIO INGRESOS'!$H:$H,"FIRMA PA",'CALENDARIO INGRESOS'!$L:$L,"&lt;&gt;PAGADA")&gt;0,"FIRMA PA",
   IF(COUNTIFS('CALENDARIO INGRESOS'!$A:$A,$D103,'CALENDARIO INGRESOS'!$H:$H,"ALEM",'CALENDARIO INGRESOS'!$L:$L,"&lt;&gt;PAGADA")&gt;0,"ALEM","LISTO")))),"-")</f>
        <v>LATAM</v>
      </c>
      <c r="S103" s="188">
        <f>+SUMIFS('CALENDARIO INGRESOS'!I:I,'CALENDARIO INGRESOS'!A:A,Tabla3[[#This Row],[ID STRIPE]],'CALENDARIO INGRESOS'!H:H,"LATAM")</f>
        <v>14000</v>
      </c>
      <c r="T103" s="188">
        <f>+IF(Tabla3[[#This Row],[MONTO LATAM]]-Tabla3[[#This Row],[IMPORTE ABONADO]]&gt;=0,Tabla3[[#This Row],[MONTO LATAM]]-Tabla3[[#This Row],[IMPORTE ABONADO]],0)</f>
        <v>3190</v>
      </c>
      <c r="U103" s="188">
        <f>+SUMIFS('CALENDARIO INGRESOS'!I:I,'CALENDARIO INGRESOS'!A:A,Tabla3[[#This Row],[ID STRIPE]],'CALENDARIO INGRESOS'!H:H,"ALEM")</f>
        <v>6000</v>
      </c>
      <c r="V103" s="6">
        <f>+SUMIFS('CALENDARIO INGRESOS'!I:I,'CALENDARIO INGRESOS'!A:A,Tabla3[[#This Row],[ID STRIPE]],'CALENDARIO INGRESOS'!H:H,"VISA")+SUMIFS('CALENDARIO INGRESOS'!I:I,'CALENDARIO INGRESOS'!A:A,Tabla3[[#This Row],[ID STRIPE]],'CALENDARIO INGRESOS'!H:H,"FIRMA PA")</f>
        <v>0</v>
      </c>
      <c r="W103" s="250">
        <v>0</v>
      </c>
      <c r="X103" s="60">
        <f>+IFERROR(AVERAGEIF('CALENDARIO INGRESOS'!A:A,Tabla3[[#This Row],[ID STRIPE]],'CALENDARIO INGRESOS'!M:M),"0")</f>
        <v>-1.75</v>
      </c>
      <c r="Y103" s="18">
        <v>46054</v>
      </c>
      <c r="Z103" s="286">
        <f>+IFERROR(_xlfn.XLOOKUP(Tabla3[[#This Row],[ID LINGODA]],LINGODA!D:D,LINGODA!S:S),0)</f>
        <v>121</v>
      </c>
      <c r="AA103" s="18" t="str">
        <f>+IFERROR(_xlfn.XLOOKUP(Tabla3[[#This Row],[ID LINGODA]],LINGODA!D:D,LINGODA!F:F),"null")</f>
        <v>B2.1</v>
      </c>
      <c r="AB103" s="286" t="str">
        <f>+IFERROR(_xlfn.XLOOKUP(Tabla3[[#This Row],[ID LINGODA]],LINGODA!D:D,LINGODA!G:G),"null")</f>
        <v>B2.3</v>
      </c>
    </row>
    <row r="104" spans="1:28">
      <c r="A104" s="5" t="s">
        <v>2340</v>
      </c>
      <c r="B104" s="1" t="s">
        <v>2341</v>
      </c>
      <c r="C104" s="1" t="s">
        <v>12</v>
      </c>
      <c r="D104" s="1" t="s">
        <v>595</v>
      </c>
      <c r="E104" s="60">
        <v>1813899</v>
      </c>
      <c r="F104" s="60"/>
      <c r="G104" s="18">
        <f>(_xlfn.MINIFS(INGRESOS!A:A,INGRESOS!C:C,Tabla3[[#This Row],[CORREO]]))</f>
        <v>45870</v>
      </c>
      <c r="H104" s="3">
        <f>+SUMIFS(INGRESOS!J:J,INGRESOS!D:D,Tabla3[[#This Row],[ID STRIPE]],INGRESOS!A:A,"&gt;="&amp;DATE(YEAR(Tabla3[[#This Row],[FECHA INGRESO]]),MONTH(Tabla3[[#This Row],[FECHA INGRESO]]),1),INGRESOS!A:A,"&lt;="&amp;DATE(YEAR(Tabla3[[#This Row],[FECHA INGRESO]]),MONTH(Tabla3[[#This Row],[FECHA INGRESO]])+1,0))</f>
        <v>4466.5127038626606</v>
      </c>
      <c r="I104" s="286">
        <f ca="1">DATEDIF(Tabla3[[#This Row],[FECHA INGRESO]],IF(OR(Tabla3[[#This Row],[ESTADO]]="OK",Tabla3[[#This Row],[ESTADO]]="¡REGULARIZAR!")=TRUE,TODAY(),IF(Tabla3[[#This Row],[ULTIMO PAGO]]="",TODAY(),Tabla3[[#This Row],[ULTIMO PAGO]])),"m")</f>
        <v>7</v>
      </c>
      <c r="J104" s="18">
        <f>(_xlfn.MAXIFS(INGRESOS!A:A,INGRESOS!C:C,Tabla3[[#This Row],[CORREO]]))</f>
        <v>46083</v>
      </c>
      <c r="K104" s="7">
        <f ca="1">+IFERROR(Tabla3[[#This Row],[ABONADO NETO ]]/Tabla3[[#This Row],[MESES ACT]],Tabla3[[#This Row],[ABONO 1ER MES]])</f>
        <v>776.25181483752294</v>
      </c>
      <c r="M104" s="287" t="s">
        <v>2119</v>
      </c>
      <c r="N104" s="288">
        <f>+SUMIF(INGRESOS!D:D,Tabla3[[#This Row],[ID STRIPE]],INGRESOS!J:J)</f>
        <v>5433.7627038626606</v>
      </c>
      <c r="O104" s="6">
        <v>22000</v>
      </c>
      <c r="P104" s="6">
        <f>+SUMIF('CALENDARIO INGRESOS'!A:A,Tabla3[[#This Row],[ID STRIPE]],'CALENDARIO INGRESOS'!I:I)</f>
        <v>22000</v>
      </c>
      <c r="Q104" s="6">
        <f>+SUMIF(INGRESOS!D:D,Tabla3[[#This Row],[ID STRIPE]],INGRESOS!G:G)</f>
        <v>5474.8927038626607</v>
      </c>
      <c r="R104" s="3" t="str">
        <f>IF(Tabla3[[#This Row],[ESTADO]]="OK",IF(COUNTIFS('CALENDARIO INGRESOS'!$A:$A,$D104,'CALENDARIO INGRESOS'!$H:$H,"LATAM",'CALENDARIO INGRESOS'!$L:$L,"&lt;&gt;PAGADA")&gt;0,"LATAM",
 IF(COUNTIFS('CALENDARIO INGRESOS'!$A:$A,$D104,'CALENDARIO INGRESOS'!$H:$H,"VISA",'CALENDARIO INGRESOS'!$L:$L,"&lt;&gt;PAGADA")&gt;0,"VISA",
  IF(COUNTIFS('CALENDARIO INGRESOS'!$A:$A,$D104,'CALENDARIO INGRESOS'!$H:$H,"FIRMA PA",'CALENDARIO INGRESOS'!$L:$L,"&lt;&gt;PAGADA")&gt;0,"FIRMA PA",
   IF(COUNTIFS('CALENDARIO INGRESOS'!$A:$A,$D104,'CALENDARIO INGRESOS'!$H:$H,"ALEM",'CALENDARIO INGRESOS'!$L:$L,"&lt;&gt;PAGADA")&gt;0,"ALEM","LISTO")))),"-")</f>
        <v>LATAM</v>
      </c>
      <c r="S104" s="188">
        <f>+SUMIFS('CALENDARIO INGRESOS'!I:I,'CALENDARIO INGRESOS'!A:A,Tabla3[[#This Row],[ID STRIPE]],'CALENDARIO INGRESOS'!H:H,"LATAM")</f>
        <v>16000</v>
      </c>
      <c r="T104" s="188">
        <f>+IF(Tabla3[[#This Row],[MONTO LATAM]]-Tabla3[[#This Row],[IMPORTE ABONADO]]&gt;=0,Tabla3[[#This Row],[MONTO LATAM]]-Tabla3[[#This Row],[IMPORTE ABONADO]],0)</f>
        <v>10525.107296137339</v>
      </c>
      <c r="U104" s="188">
        <f>+SUMIFS('CALENDARIO INGRESOS'!I:I,'CALENDARIO INGRESOS'!A:A,Tabla3[[#This Row],[ID STRIPE]],'CALENDARIO INGRESOS'!H:H,"ALEM")</f>
        <v>6000</v>
      </c>
      <c r="V104" s="6">
        <f>+SUMIFS('CALENDARIO INGRESOS'!I:I,'CALENDARIO INGRESOS'!A:A,Tabla3[[#This Row],[ID STRIPE]],'CALENDARIO INGRESOS'!H:H,"VISA")+SUMIFS('CALENDARIO INGRESOS'!I:I,'CALENDARIO INGRESOS'!A:A,Tabla3[[#This Row],[ID STRIPE]],'CALENDARIO INGRESOS'!H:H,"FIRMA PA")</f>
        <v>0</v>
      </c>
      <c r="W104" s="250">
        <v>0</v>
      </c>
      <c r="X104" s="60">
        <f>+IFERROR(AVERAGEIF('CALENDARIO INGRESOS'!A:A,Tabla3[[#This Row],[ID STRIPE]],'CALENDARIO INGRESOS'!M:M),"0")</f>
        <v>-0.33333333333333331</v>
      </c>
      <c r="Y104" s="18">
        <v>46198</v>
      </c>
      <c r="Z104" s="286">
        <f>+IFERROR(_xlfn.XLOOKUP(Tabla3[[#This Row],[ID LINGODA]],LINGODA!D:D,LINGODA!S:S),0)</f>
        <v>25</v>
      </c>
      <c r="AA104" s="18" t="str">
        <f>+IFERROR(_xlfn.XLOOKUP(Tabla3[[#This Row],[ID LINGODA]],LINGODA!D:D,LINGODA!F:F),"null")</f>
        <v>A1.1</v>
      </c>
      <c r="AB104" s="286" t="str">
        <f>+IFERROR(_xlfn.XLOOKUP(Tabla3[[#This Row],[ID LINGODA]],LINGODA!D:D,LINGODA!G:G),"null")</f>
        <v>A1.1</v>
      </c>
    </row>
    <row r="105" spans="1:28">
      <c r="A105" s="5" t="s">
        <v>2342</v>
      </c>
      <c r="B105" s="1" t="s">
        <v>2343</v>
      </c>
      <c r="C105" s="1" t="s">
        <v>17</v>
      </c>
      <c r="D105" s="1" t="s">
        <v>2344</v>
      </c>
      <c r="E105" s="60">
        <v>1813900</v>
      </c>
      <c r="F105" s="60"/>
      <c r="G105" s="18">
        <f>(_xlfn.MINIFS(INGRESOS!A:A,INGRESOS!C:C,Tabla3[[#This Row],[CORREO]]))</f>
        <v>45870</v>
      </c>
      <c r="H105" s="3">
        <f>+SUMIFS(INGRESOS!J:J,INGRESOS!D:D,Tabla3[[#This Row],[ID STRIPE]],INGRESOS!A:A,"&gt;="&amp;DATE(YEAR(Tabla3[[#This Row],[FECHA INGRESO]]),MONTH(Tabla3[[#This Row],[FECHA INGRESO]]),1),INGRESOS!A:A,"&lt;="&amp;DATE(YEAR(Tabla3[[#This Row],[FECHA INGRESO]]),MONTH(Tabla3[[#This Row],[FECHA INGRESO]])+1,0))</f>
        <v>241.62</v>
      </c>
      <c r="I105" s="286">
        <f ca="1">DATEDIF(Tabla3[[#This Row],[FECHA INGRESO]],IF(OR(Tabla3[[#This Row],[ESTADO]]="OK",Tabla3[[#This Row],[ESTADO]]="¡REGULARIZAR!")=TRUE,TODAY(),IF(Tabla3[[#This Row],[ULTIMO PAGO]]="",TODAY(),Tabla3[[#This Row],[ULTIMO PAGO]])),"m")</f>
        <v>0</v>
      </c>
      <c r="J105" s="18">
        <f>(_xlfn.MAXIFS(INGRESOS!A:A,INGRESOS!C:C,Tabla3[[#This Row],[CORREO]]))</f>
        <v>45870</v>
      </c>
      <c r="K105" s="7">
        <f ca="1">+IFERROR(Tabla3[[#This Row],[ABONADO NETO ]]/Tabla3[[#This Row],[MESES ACT]],Tabla3[[#This Row],[ABONO 1ER MES]])</f>
        <v>241.62</v>
      </c>
      <c r="M105" s="287" t="s">
        <v>2139</v>
      </c>
      <c r="N105" s="288">
        <f>+SUMIF(INGRESOS!D:D,Tabla3[[#This Row],[ID STRIPE]],INGRESOS!J:J)</f>
        <v>241.62</v>
      </c>
      <c r="O105" s="6">
        <v>0</v>
      </c>
      <c r="P105" s="6">
        <f>+SUMIF('CALENDARIO INGRESOS'!A:A,Tabla3[[#This Row],[ID STRIPE]],'CALENDARIO INGRESOS'!I:I)</f>
        <v>0</v>
      </c>
      <c r="Q105" s="6">
        <f>+SUMIF(INGRESOS!D:D,Tabla3[[#This Row],[ID STRIPE]],INGRESOS!G:G)</f>
        <v>250</v>
      </c>
      <c r="R105" s="3" t="str">
        <f>IF(Tabla3[[#This Row],[ESTADO]]="OK",IF(COUNTIFS('CALENDARIO INGRESOS'!$A:$A,$D105,'CALENDARIO INGRESOS'!$H:$H,"LATAM",'CALENDARIO INGRESOS'!$L:$L,"&lt;&gt;PAGADA")&gt;0,"LATAM",
 IF(COUNTIFS('CALENDARIO INGRESOS'!$A:$A,$D105,'CALENDARIO INGRESOS'!$H:$H,"VISA",'CALENDARIO INGRESOS'!$L:$L,"&lt;&gt;PAGADA")&gt;0,"VISA",
  IF(COUNTIFS('CALENDARIO INGRESOS'!$A:$A,$D105,'CALENDARIO INGRESOS'!$H:$H,"FIRMA PA",'CALENDARIO INGRESOS'!$L:$L,"&lt;&gt;PAGADA")&gt;0,"FIRMA PA",
   IF(COUNTIFS('CALENDARIO INGRESOS'!$A:$A,$D105,'CALENDARIO INGRESOS'!$H:$H,"ALEM",'CALENDARIO INGRESOS'!$L:$L,"&lt;&gt;PAGADA")&gt;0,"ALEM","LISTO")))),"-")</f>
        <v>-</v>
      </c>
      <c r="S105" s="188">
        <f>+SUMIFS('CALENDARIO INGRESOS'!I:I,'CALENDARIO INGRESOS'!A:A,Tabla3[[#This Row],[ID STRIPE]],'CALENDARIO INGRESOS'!H:H,"LATAM")</f>
        <v>0</v>
      </c>
      <c r="T105" s="188">
        <f>+IF(Tabla3[[#This Row],[MONTO LATAM]]-Tabla3[[#This Row],[IMPORTE ABONADO]]&gt;=0,Tabla3[[#This Row],[MONTO LATAM]]-Tabla3[[#This Row],[IMPORTE ABONADO]],0)</f>
        <v>0</v>
      </c>
      <c r="U105" s="188">
        <f>+SUMIFS('CALENDARIO INGRESOS'!J:J,'CALENDARIO INGRESOS'!B:B,Tabla3[[#This Row],[ID STRIPE]],'CALENDARIO INGRESOS'!I:I,"ALEM")</f>
        <v>0</v>
      </c>
      <c r="V105" s="6">
        <f>+SUMIFS('CALENDARIO INGRESOS'!I:I,'CALENDARIO INGRESOS'!A:A,Tabla3[[#This Row],[ID STRIPE]],'CALENDARIO INGRESOS'!H:H,"VISA")+SUMIFS('CALENDARIO INGRESOS'!I:I,'CALENDARIO INGRESOS'!A:A,Tabla3[[#This Row],[ID STRIPE]],'CALENDARIO INGRESOS'!H:H,"FIRMA PA")</f>
        <v>0</v>
      </c>
      <c r="W105" s="250">
        <v>0</v>
      </c>
      <c r="X105" s="60" t="str">
        <f>+IFERROR(AVERAGEIF('CALENDARIO INGRESOS'!A:A,Tabla3[[#This Row],[ID STRIPE]],'CALENDARIO INGRESOS'!M:M),"0")</f>
        <v>0</v>
      </c>
      <c r="Y105" s="18" t="s">
        <v>2093</v>
      </c>
      <c r="Z105" s="286">
        <f>+IFERROR(_xlfn.XLOOKUP(Tabla3[[#This Row],[ID LINGODA]],LINGODA!D:D,LINGODA!S:S),0)</f>
        <v>0</v>
      </c>
      <c r="AA105" s="18" t="str">
        <f>+IFERROR(_xlfn.XLOOKUP(Tabla3[[#This Row],[ID LINGODA]],LINGODA!D:D,LINGODA!F:F),"null")</f>
        <v>null</v>
      </c>
      <c r="AB105" s="286" t="str">
        <f>+IFERROR(_xlfn.XLOOKUP(Tabla3[[#This Row],[ID LINGODA]],LINGODA!D:D,LINGODA!G:G),"null")</f>
        <v>null</v>
      </c>
    </row>
    <row r="106" spans="1:28">
      <c r="A106" s="5" t="s">
        <v>2345</v>
      </c>
      <c r="B106" s="1" t="s">
        <v>2346</v>
      </c>
      <c r="C106" s="1" t="s">
        <v>13</v>
      </c>
      <c r="D106" s="1" t="s">
        <v>2347</v>
      </c>
      <c r="E106" s="57">
        <v>1814899</v>
      </c>
      <c r="F106" s="57"/>
      <c r="G106" s="18">
        <f>(_xlfn.MINIFS(INGRESOS!A:A,INGRESOS!C:C,Tabla3[[#This Row],[CORREO]]))</f>
        <v>45876</v>
      </c>
      <c r="H106" s="3">
        <f>+SUMIFS(INGRESOS!J:J,INGRESOS!D:D,Tabla3[[#This Row],[ID STRIPE]],INGRESOS!A:A,"&gt;="&amp;DATE(YEAR(Tabla3[[#This Row],[FECHA INGRESO]]),MONTH(Tabla3[[#This Row],[FECHA INGRESO]]),1),INGRESOS!A:A,"&lt;="&amp;DATE(YEAR(Tabla3[[#This Row],[FECHA INGRESO]]),MONTH(Tabla3[[#This Row],[FECHA INGRESO]])+1,0))</f>
        <v>241.62</v>
      </c>
      <c r="I106" s="286">
        <f ca="1">DATEDIF(Tabla3[[#This Row],[FECHA INGRESO]],IF(OR(Tabla3[[#This Row],[ESTADO]]="OK",Tabla3[[#This Row],[ESTADO]]="¡REGULARIZAR!")=TRUE,TODAY(),IF(Tabla3[[#This Row],[ULTIMO PAGO]]="",TODAY(),Tabla3[[#This Row],[ULTIMO PAGO]])),"m")</f>
        <v>0</v>
      </c>
      <c r="J106" s="18">
        <f>(_xlfn.MAXIFS(INGRESOS!A:A,INGRESOS!C:C,Tabla3[[#This Row],[CORREO]]))</f>
        <v>45876</v>
      </c>
      <c r="K106" s="7">
        <f ca="1">+IFERROR(Tabla3[[#This Row],[ABONADO NETO ]]/Tabla3[[#This Row],[MESES ACT]],Tabla3[[#This Row],[ABONO 1ER MES]])</f>
        <v>241.62</v>
      </c>
      <c r="M106" s="287" t="s">
        <v>2139</v>
      </c>
      <c r="N106" s="288">
        <f>+SUMIF(INGRESOS!D:D,Tabla3[[#This Row],[ID STRIPE]],INGRESOS!J:J)</f>
        <v>241.62</v>
      </c>
      <c r="O106" s="6">
        <v>0</v>
      </c>
      <c r="P106" s="6">
        <f>+SUMIF('CALENDARIO INGRESOS'!A:A,Tabla3[[#This Row],[ID STRIPE]],'CALENDARIO INGRESOS'!I:I)</f>
        <v>0</v>
      </c>
      <c r="Q106" s="6">
        <f>+SUMIF(INGRESOS!D:D,Tabla3[[#This Row],[ID STRIPE]],INGRESOS!G:G)</f>
        <v>250</v>
      </c>
      <c r="R106" s="3" t="str">
        <f>IF(Tabla3[[#This Row],[ESTADO]]="OK",IF(COUNTIFS('CALENDARIO INGRESOS'!$A:$A,$D106,'CALENDARIO INGRESOS'!$H:$H,"LATAM",'CALENDARIO INGRESOS'!$L:$L,"&lt;&gt;PAGADA")&gt;0,"LATAM",
 IF(COUNTIFS('CALENDARIO INGRESOS'!$A:$A,$D106,'CALENDARIO INGRESOS'!$H:$H,"VISA",'CALENDARIO INGRESOS'!$L:$L,"&lt;&gt;PAGADA")&gt;0,"VISA",
  IF(COUNTIFS('CALENDARIO INGRESOS'!$A:$A,$D106,'CALENDARIO INGRESOS'!$H:$H,"FIRMA PA",'CALENDARIO INGRESOS'!$L:$L,"&lt;&gt;PAGADA")&gt;0,"FIRMA PA",
   IF(COUNTIFS('CALENDARIO INGRESOS'!$A:$A,$D106,'CALENDARIO INGRESOS'!$H:$H,"ALEM",'CALENDARIO INGRESOS'!$L:$L,"&lt;&gt;PAGADA")&gt;0,"ALEM","LISTO")))),"-")</f>
        <v>-</v>
      </c>
      <c r="S106" s="188">
        <f>+SUMIFS('CALENDARIO INGRESOS'!I:I,'CALENDARIO INGRESOS'!A:A,Tabla3[[#This Row],[ID STRIPE]],'CALENDARIO INGRESOS'!H:H,"LATAM")</f>
        <v>0</v>
      </c>
      <c r="T106" s="188">
        <f>+IF(Tabla3[[#This Row],[MONTO LATAM]]-Tabla3[[#This Row],[IMPORTE ABONADO]]&gt;=0,Tabla3[[#This Row],[MONTO LATAM]]-Tabla3[[#This Row],[IMPORTE ABONADO]],0)</f>
        <v>0</v>
      </c>
      <c r="U106" s="188">
        <f>+SUMIFS('CALENDARIO INGRESOS'!J:J,'CALENDARIO INGRESOS'!B:B,Tabla3[[#This Row],[ID STRIPE]],'CALENDARIO INGRESOS'!I:I,"ALEM")</f>
        <v>0</v>
      </c>
      <c r="V106" s="6">
        <f>+SUMIFS('CALENDARIO INGRESOS'!I:I,'CALENDARIO INGRESOS'!A:A,Tabla3[[#This Row],[ID STRIPE]],'CALENDARIO INGRESOS'!H:H,"VISA")+SUMIFS('CALENDARIO INGRESOS'!I:I,'CALENDARIO INGRESOS'!A:A,Tabla3[[#This Row],[ID STRIPE]],'CALENDARIO INGRESOS'!H:H,"FIRMA PA")</f>
        <v>0</v>
      </c>
      <c r="W106" s="250">
        <v>0</v>
      </c>
      <c r="X106" s="57" t="str">
        <f>+IFERROR(AVERAGEIF('CALENDARIO INGRESOS'!A:A,Tabla3[[#This Row],[ID STRIPE]],'CALENDARIO INGRESOS'!M:M),"0")</f>
        <v>0</v>
      </c>
      <c r="Y106" s="18" t="s">
        <v>2093</v>
      </c>
      <c r="Z106" s="286">
        <f>+IFERROR(_xlfn.XLOOKUP(Tabla3[[#This Row],[ID LINGODA]],LINGODA!D:D,LINGODA!S:S),0)</f>
        <v>0</v>
      </c>
      <c r="AA106" s="18" t="str">
        <f>+IFERROR(_xlfn.XLOOKUP(Tabla3[[#This Row],[ID LINGODA]],LINGODA!D:D,LINGODA!F:F),"null")</f>
        <v>null</v>
      </c>
      <c r="AB106" s="286" t="str">
        <f>+IFERROR(_xlfn.XLOOKUP(Tabla3[[#This Row],[ID LINGODA]],LINGODA!D:D,LINGODA!G:G),"null")</f>
        <v>null</v>
      </c>
    </row>
    <row r="107" spans="1:28">
      <c r="A107" s="5" t="s">
        <v>2348</v>
      </c>
      <c r="B107" s="1" t="s">
        <v>2349</v>
      </c>
      <c r="C107" s="1" t="s">
        <v>12</v>
      </c>
      <c r="D107" s="1" t="s">
        <v>706</v>
      </c>
      <c r="E107" s="60">
        <v>1834199</v>
      </c>
      <c r="F107" s="60"/>
      <c r="G107" s="18">
        <f>(_xlfn.MINIFS(INGRESOS!A:A,INGRESOS!C:C,Tabla3[[#This Row],[CORREO]]))</f>
        <v>45878</v>
      </c>
      <c r="H107" s="3">
        <f>+SUMIFS(INGRESOS!J:J,INGRESOS!D:D,Tabla3[[#This Row],[ID STRIPE]],INGRESOS!A:A,"&gt;="&amp;DATE(YEAR(Tabla3[[#This Row],[FECHA INGRESO]]),MONTH(Tabla3[[#This Row],[FECHA INGRESO]]),1),INGRESOS!A:A,"&lt;="&amp;DATE(YEAR(Tabla3[[#This Row],[FECHA INGRESO]]),MONTH(Tabla3[[#This Row],[FECHA INGRESO]])+1,0))</f>
        <v>3460.504120171674</v>
      </c>
      <c r="I107" s="286">
        <f ca="1">DATEDIF(Tabla3[[#This Row],[FECHA INGRESO]],IF(OR(Tabla3[[#This Row],[ESTADO]]="OK",Tabla3[[#This Row],[ESTADO]]="¡REGULARIZAR!")=TRUE,TODAY(),IF(Tabla3[[#This Row],[ULTIMO PAGO]]="",TODAY(),Tabla3[[#This Row],[ULTIMO PAGO]])),"m")</f>
        <v>6</v>
      </c>
      <c r="J107" s="18">
        <f>(_xlfn.MAXIFS(INGRESOS!A:A,INGRESOS!C:C,Tabla3[[#This Row],[CORREO]]))</f>
        <v>46055</v>
      </c>
      <c r="K107" s="7">
        <f ca="1">+IFERROR(Tabla3[[#This Row],[ABONADO NETO ]]/Tabla3[[#This Row],[MESES ACT]],Tabla3[[#This Row],[ABONO 1ER MES]])</f>
        <v>1640.325686695279</v>
      </c>
      <c r="M107" s="287" t="s">
        <v>2119</v>
      </c>
      <c r="N107" s="288">
        <f>+SUMIF(INGRESOS!D:D,Tabla3[[#This Row],[ID STRIPE]],INGRESOS!J:J)</f>
        <v>9841.9541201716747</v>
      </c>
      <c r="O107" s="6">
        <v>22000</v>
      </c>
      <c r="P107" s="6">
        <f>+SUMIF('CALENDARIO INGRESOS'!A:A,Tabla3[[#This Row],[ID STRIPE]],'CALENDARIO INGRESOS'!I:I)</f>
        <v>22540</v>
      </c>
      <c r="Q107" s="6">
        <f>+SUMIF(INGRESOS!D:D,Tabla3[[#This Row],[ID STRIPE]],INGRESOS!G:G)</f>
        <v>10008.884120171675</v>
      </c>
      <c r="R107" s="3" t="str">
        <f>IF(Tabla3[[#This Row],[ESTADO]]="OK",IF(COUNTIFS('CALENDARIO INGRESOS'!$A:$A,$D107,'CALENDARIO INGRESOS'!$H:$H,"LATAM",'CALENDARIO INGRESOS'!$L:$L,"&lt;&gt;PAGADA")&gt;0,"LATAM",
 IF(COUNTIFS('CALENDARIO INGRESOS'!$A:$A,$D107,'CALENDARIO INGRESOS'!$H:$H,"VISA",'CALENDARIO INGRESOS'!$L:$L,"&lt;&gt;PAGADA")&gt;0,"VISA",
  IF(COUNTIFS('CALENDARIO INGRESOS'!$A:$A,$D107,'CALENDARIO INGRESOS'!$H:$H,"FIRMA PA",'CALENDARIO INGRESOS'!$L:$L,"&lt;&gt;PAGADA")&gt;0,"FIRMA PA",
   IF(COUNTIFS('CALENDARIO INGRESOS'!$A:$A,$D107,'CALENDARIO INGRESOS'!$H:$H,"ALEM",'CALENDARIO INGRESOS'!$L:$L,"&lt;&gt;PAGADA")&gt;0,"ALEM","LISTO")))),"-")</f>
        <v>LATAM</v>
      </c>
      <c r="S107" s="188">
        <f>+SUMIFS('CALENDARIO INGRESOS'!I:I,'CALENDARIO INGRESOS'!A:A,Tabla3[[#This Row],[ID STRIPE]],'CALENDARIO INGRESOS'!H:H,"LATAM")</f>
        <v>16540</v>
      </c>
      <c r="T107" s="188">
        <f>+IF(Tabla3[[#This Row],[MONTO LATAM]]-Tabla3[[#This Row],[IMPORTE ABONADO]]&gt;=0,Tabla3[[#This Row],[MONTO LATAM]]-Tabla3[[#This Row],[IMPORTE ABONADO]],0)</f>
        <v>6531.115879828325</v>
      </c>
      <c r="U107" s="188">
        <f>+SUMIFS('CALENDARIO INGRESOS'!I:I,'CALENDARIO INGRESOS'!A:A,Tabla3[[#This Row],[ID STRIPE]],'CALENDARIO INGRESOS'!H:H,"ALEM")</f>
        <v>6000</v>
      </c>
      <c r="V107" s="6">
        <f>+SUMIFS('CALENDARIO INGRESOS'!I:I,'CALENDARIO INGRESOS'!A:A,Tabla3[[#This Row],[ID STRIPE]],'CALENDARIO INGRESOS'!H:H,"VISA")+SUMIFS('CALENDARIO INGRESOS'!I:I,'CALENDARIO INGRESOS'!A:A,Tabla3[[#This Row],[ID STRIPE]],'CALENDARIO INGRESOS'!H:H,"FIRMA PA")</f>
        <v>0</v>
      </c>
      <c r="W107" s="250">
        <v>0</v>
      </c>
      <c r="X107" s="60">
        <f>+IFERROR(AVERAGEIF('CALENDARIO INGRESOS'!A:A,Tabla3[[#This Row],[ID STRIPE]],'CALENDARIO INGRESOS'!M:M),"0")</f>
        <v>7.375</v>
      </c>
      <c r="Y107" s="18">
        <v>46082</v>
      </c>
      <c r="Z107" s="286">
        <f>+IFERROR(_xlfn.XLOOKUP(Tabla3[[#This Row],[ID LINGODA]],LINGODA!D:D,LINGODA!S:S),0)</f>
        <v>19</v>
      </c>
      <c r="AA107" s="18" t="str">
        <f>+IFERROR(_xlfn.XLOOKUP(Tabla3[[#This Row],[ID LINGODA]],LINGODA!D:D,LINGODA!F:F),"null")</f>
        <v>A1 komplett</v>
      </c>
      <c r="AB107" s="286" t="str">
        <f>+IFERROR(_xlfn.XLOOKUP(Tabla3[[#This Row],[ID LINGODA]],LINGODA!D:D,LINGODA!G:G),"null")</f>
        <v>A1.1</v>
      </c>
    </row>
    <row r="108" spans="1:28">
      <c r="A108" s="5" t="s">
        <v>2350</v>
      </c>
      <c r="B108" s="1" t="s">
        <v>2351</v>
      </c>
      <c r="C108" s="1" t="s">
        <v>12</v>
      </c>
      <c r="D108" s="1" t="s">
        <v>667</v>
      </c>
      <c r="E108" s="57">
        <v>1818048</v>
      </c>
      <c r="F108" s="57"/>
      <c r="G108" s="18">
        <f>(_xlfn.MINIFS(INGRESOS!A:A,INGRESOS!C:C,Tabla3[[#This Row],[CORREO]]))</f>
        <v>45882</v>
      </c>
      <c r="H108" s="3">
        <f>+SUMIFS(INGRESOS!J:J,INGRESOS!D:D,Tabla3[[#This Row],[ID STRIPE]],INGRESOS!A:A,"&gt;="&amp;DATE(YEAR(Tabla3[[#This Row],[FECHA INGRESO]]),MONTH(Tabla3[[#This Row],[FECHA INGRESO]]),1),INGRESOS!A:A,"&lt;="&amp;DATE(YEAR(Tabla3[[#This Row],[FECHA INGRESO]]),MONTH(Tabla3[[#This Row],[FECHA INGRESO]])+1,0))</f>
        <v>241.62</v>
      </c>
      <c r="I108" s="286">
        <f ca="1">DATEDIF(Tabla3[[#This Row],[FECHA INGRESO]],IF(OR(Tabla3[[#This Row],[ESTADO]]="OK",Tabla3[[#This Row],[ESTADO]]="¡REGULARIZAR!")=TRUE,TODAY(),IF(Tabla3[[#This Row],[ULTIMO PAGO]]="",TODAY(),Tabla3[[#This Row],[ULTIMO PAGO]])),"m")</f>
        <v>0</v>
      </c>
      <c r="J108" s="18">
        <f>(_xlfn.MAXIFS(INGRESOS!A:A,INGRESOS!C:C,Tabla3[[#This Row],[CORREO]]))</f>
        <v>45882</v>
      </c>
      <c r="K108" s="7">
        <f ca="1">+IFERROR(Tabla3[[#This Row],[ABONADO NETO ]]/Tabla3[[#This Row],[MESES ACT]],Tabla3[[#This Row],[ABONO 1ER MES]])</f>
        <v>241.62</v>
      </c>
      <c r="M108" s="287" t="s">
        <v>2139</v>
      </c>
      <c r="N108" s="288">
        <f>+SUMIF(INGRESOS!D:D,Tabla3[[#This Row],[ID STRIPE]],INGRESOS!J:J)</f>
        <v>241.62</v>
      </c>
      <c r="O108" s="6">
        <v>0</v>
      </c>
      <c r="P108" s="6">
        <f>+SUMIF('CALENDARIO INGRESOS'!A:A,Tabla3[[#This Row],[ID STRIPE]],'CALENDARIO INGRESOS'!I:I)</f>
        <v>250</v>
      </c>
      <c r="Q108" s="6">
        <f>+SUMIF(INGRESOS!D:D,Tabla3[[#This Row],[ID STRIPE]],INGRESOS!G:G)</f>
        <v>250</v>
      </c>
      <c r="R108" s="3" t="str">
        <f>IF(Tabla3[[#This Row],[ESTADO]]="OK",IF(COUNTIFS('CALENDARIO INGRESOS'!$A:$A,$D108,'CALENDARIO INGRESOS'!$H:$H,"LATAM",'CALENDARIO INGRESOS'!$L:$L,"&lt;&gt;PAGADA")&gt;0,"LATAM",
 IF(COUNTIFS('CALENDARIO INGRESOS'!$A:$A,$D108,'CALENDARIO INGRESOS'!$H:$H,"VISA",'CALENDARIO INGRESOS'!$L:$L,"&lt;&gt;PAGADA")&gt;0,"VISA",
  IF(COUNTIFS('CALENDARIO INGRESOS'!$A:$A,$D108,'CALENDARIO INGRESOS'!$H:$H,"FIRMA PA",'CALENDARIO INGRESOS'!$L:$L,"&lt;&gt;PAGADA")&gt;0,"FIRMA PA",
   IF(COUNTIFS('CALENDARIO INGRESOS'!$A:$A,$D108,'CALENDARIO INGRESOS'!$H:$H,"ALEM",'CALENDARIO INGRESOS'!$L:$L,"&lt;&gt;PAGADA")&gt;0,"ALEM","LISTO")))),"-")</f>
        <v>-</v>
      </c>
      <c r="S108" s="188">
        <f>+SUMIFS('CALENDARIO INGRESOS'!I:I,'CALENDARIO INGRESOS'!A:A,Tabla3[[#This Row],[ID STRIPE]],'CALENDARIO INGRESOS'!H:H,"LATAM")</f>
        <v>250</v>
      </c>
      <c r="T108" s="188">
        <f>+IF(Tabla3[[#This Row],[MONTO LATAM]]-Tabla3[[#This Row],[IMPORTE ABONADO]]&gt;=0,Tabla3[[#This Row],[MONTO LATAM]]-Tabla3[[#This Row],[IMPORTE ABONADO]],0)</f>
        <v>0</v>
      </c>
      <c r="U108" s="188">
        <f>+SUMIFS('CALENDARIO INGRESOS'!J:J,'CALENDARIO INGRESOS'!B:B,Tabla3[[#This Row],[ID STRIPE]],'CALENDARIO INGRESOS'!I:I,"ALEM")</f>
        <v>0</v>
      </c>
      <c r="V108" s="6">
        <f>+SUMIFS('CALENDARIO INGRESOS'!I:I,'CALENDARIO INGRESOS'!A:A,Tabla3[[#This Row],[ID STRIPE]],'CALENDARIO INGRESOS'!H:H,"VISA")+SUMIFS('CALENDARIO INGRESOS'!I:I,'CALENDARIO INGRESOS'!A:A,Tabla3[[#This Row],[ID STRIPE]],'CALENDARIO INGRESOS'!H:H,"FIRMA PA")</f>
        <v>0</v>
      </c>
      <c r="W108" s="250">
        <v>0</v>
      </c>
      <c r="X108" s="57">
        <f>+IFERROR(AVERAGEIF('CALENDARIO INGRESOS'!A:A,Tabla3[[#This Row],[ID STRIPE]],'CALENDARIO INGRESOS'!M:M),"0")</f>
        <v>0</v>
      </c>
      <c r="Y108" s="18" t="s">
        <v>2093</v>
      </c>
      <c r="Z108" s="286">
        <f>+IFERROR(_xlfn.XLOOKUP(Tabla3[[#This Row],[ID LINGODA]],LINGODA!D:D,LINGODA!S:S),0)</f>
        <v>0</v>
      </c>
      <c r="AA108" s="18" t="str">
        <f>+IFERROR(_xlfn.XLOOKUP(Tabla3[[#This Row],[ID LINGODA]],LINGODA!D:D,LINGODA!F:F),"null")</f>
        <v>null</v>
      </c>
      <c r="AB108" s="286" t="str">
        <f>+IFERROR(_xlfn.XLOOKUP(Tabla3[[#This Row],[ID LINGODA]],LINGODA!D:D,LINGODA!G:G),"null")</f>
        <v>null</v>
      </c>
    </row>
    <row r="109" spans="1:28">
      <c r="A109" s="5" t="s">
        <v>2352</v>
      </c>
      <c r="B109" s="1" t="s">
        <v>2353</v>
      </c>
      <c r="C109" s="1" t="s">
        <v>12</v>
      </c>
      <c r="D109" s="1" t="s">
        <v>695</v>
      </c>
      <c r="E109" s="60">
        <v>1829209</v>
      </c>
      <c r="F109" s="60"/>
      <c r="G109" s="18">
        <f>(_xlfn.MINIFS(INGRESOS!A:A,INGRESOS!C:C,Tabla3[[#This Row],[CORREO]]))</f>
        <v>45882</v>
      </c>
      <c r="H109" s="3">
        <f>+SUMIFS(INGRESOS!J:J,INGRESOS!D:D,Tabla3[[#This Row],[ID STRIPE]],INGRESOS!A:A,"&gt;="&amp;DATE(YEAR(Tabla3[[#This Row],[FECHA INGRESO]]),MONTH(Tabla3[[#This Row],[FECHA INGRESO]]),1),INGRESOS!A:A,"&lt;="&amp;DATE(YEAR(Tabla3[[#This Row],[FECHA INGRESO]]),MONTH(Tabla3[[#This Row],[FECHA INGRESO]])+1,0))</f>
        <v>241.62</v>
      </c>
      <c r="I109" s="286">
        <f ca="1">DATEDIF(Tabla3[[#This Row],[FECHA INGRESO]],IF(OR(Tabla3[[#This Row],[ESTADO]]="OK",Tabla3[[#This Row],[ESTADO]]="¡REGULARIZAR!")=TRUE,TODAY(),IF(Tabla3[[#This Row],[ULTIMO PAGO]]="",TODAY(),Tabla3[[#This Row],[ULTIMO PAGO]])),"m")</f>
        <v>6</v>
      </c>
      <c r="J109" s="18">
        <f>(_xlfn.MAXIFS(INGRESOS!A:A,INGRESOS!C:C,Tabla3[[#This Row],[CORREO]]))</f>
        <v>46081</v>
      </c>
      <c r="K109" s="7">
        <f ca="1">+IFERROR(Tabla3[[#This Row],[ABONADO NETO ]]/Tabla3[[#This Row],[MESES ACT]],Tabla3[[#This Row],[ABONO 1ER MES]])</f>
        <v>1289.665</v>
      </c>
      <c r="M109" s="287" t="s">
        <v>2119</v>
      </c>
      <c r="N109" s="288">
        <f>+SUMIF(INGRESOS!D:D,Tabla3[[#This Row],[ID STRIPE]],INGRESOS!J:J)</f>
        <v>7737.99</v>
      </c>
      <c r="O109" s="6">
        <v>23000</v>
      </c>
      <c r="P109" s="6">
        <f>+SUMIF('CALENDARIO INGRESOS'!A:A,Tabla3[[#This Row],[ID STRIPE]],'CALENDARIO INGRESOS'!I:I)</f>
        <v>23000</v>
      </c>
      <c r="Q109" s="6">
        <f>+SUMIF(INGRESOS!D:D,Tabla3[[#This Row],[ID STRIPE]],INGRESOS!G:G)</f>
        <v>8000</v>
      </c>
      <c r="R109" s="3" t="str">
        <f>IF(Tabla3[[#This Row],[ESTADO]]="OK",IF(COUNTIFS('CALENDARIO INGRESOS'!$A:$A,$D109,'CALENDARIO INGRESOS'!$H:$H,"LATAM",'CALENDARIO INGRESOS'!$L:$L,"&lt;&gt;PAGADA")&gt;0,"LATAM",
 IF(COUNTIFS('CALENDARIO INGRESOS'!$A:$A,$D109,'CALENDARIO INGRESOS'!$H:$H,"VISA",'CALENDARIO INGRESOS'!$L:$L,"&lt;&gt;PAGADA")&gt;0,"VISA",
  IF(COUNTIFS('CALENDARIO INGRESOS'!$A:$A,$D109,'CALENDARIO INGRESOS'!$H:$H,"FIRMA PA",'CALENDARIO INGRESOS'!$L:$L,"&lt;&gt;PAGADA")&gt;0,"FIRMA PA",
   IF(COUNTIFS('CALENDARIO INGRESOS'!$A:$A,$D109,'CALENDARIO INGRESOS'!$H:$H,"ALEM",'CALENDARIO INGRESOS'!$L:$L,"&lt;&gt;PAGADA")&gt;0,"ALEM","LISTO")))),"-")</f>
        <v>LATAM</v>
      </c>
      <c r="S109" s="188">
        <f>+SUMIFS('CALENDARIO INGRESOS'!I:I,'CALENDARIO INGRESOS'!A:A,Tabla3[[#This Row],[ID STRIPE]],'CALENDARIO INGRESOS'!H:H,"LATAM")</f>
        <v>17000</v>
      </c>
      <c r="T109" s="188">
        <f>+IF(Tabla3[[#This Row],[MONTO LATAM]]-Tabla3[[#This Row],[IMPORTE ABONADO]]&gt;=0,Tabla3[[#This Row],[MONTO LATAM]]-Tabla3[[#This Row],[IMPORTE ABONADO]],0)</f>
        <v>9000</v>
      </c>
      <c r="U109" s="188">
        <f>+SUMIFS('CALENDARIO INGRESOS'!I:I,'CALENDARIO INGRESOS'!A:A,Tabla3[[#This Row],[ID STRIPE]],'CALENDARIO INGRESOS'!H:H,"ALEM")</f>
        <v>6000</v>
      </c>
      <c r="V109" s="6">
        <f>+SUMIFS('CALENDARIO INGRESOS'!I:I,'CALENDARIO INGRESOS'!A:A,Tabla3[[#This Row],[ID STRIPE]],'CALENDARIO INGRESOS'!H:H,"VISA")+SUMIFS('CALENDARIO INGRESOS'!I:I,'CALENDARIO INGRESOS'!A:A,Tabla3[[#This Row],[ID STRIPE]],'CALENDARIO INGRESOS'!H:H,"FIRMA PA")</f>
        <v>0</v>
      </c>
      <c r="W109" s="250">
        <v>1</v>
      </c>
      <c r="X109" s="60">
        <f>+IFERROR(AVERAGEIF('CALENDARIO INGRESOS'!A:A,Tabla3[[#This Row],[ID STRIPE]],'CALENDARIO INGRESOS'!M:M),"0")</f>
        <v>0.25</v>
      </c>
      <c r="Y109" s="18">
        <v>46235</v>
      </c>
      <c r="Z109" s="286">
        <f>+IFERROR(_xlfn.XLOOKUP(Tabla3[[#This Row],[ID LINGODA]],LINGODA!D:D,LINGODA!S:S),0)</f>
        <v>91</v>
      </c>
      <c r="AA109" s="18" t="str">
        <f>+IFERROR(_xlfn.XLOOKUP(Tabla3[[#This Row],[ID LINGODA]],LINGODA!D:D,LINGODA!F:F),"null")</f>
        <v>A1.1</v>
      </c>
      <c r="AB109" s="286" t="str">
        <f>+IFERROR(_xlfn.XLOOKUP(Tabla3[[#This Row],[ID LINGODA]],LINGODA!D:D,LINGODA!G:G),"null")</f>
        <v>A1.2</v>
      </c>
    </row>
    <row r="110" spans="1:28">
      <c r="A110" s="5" t="s">
        <v>2354</v>
      </c>
      <c r="B110" s="1" t="s">
        <v>2355</v>
      </c>
      <c r="C110" s="1" t="s">
        <v>12</v>
      </c>
      <c r="D110" s="1" t="s">
        <v>670</v>
      </c>
      <c r="E110" s="60">
        <v>1818047</v>
      </c>
      <c r="F110" s="60"/>
      <c r="G110" s="18">
        <f>(_xlfn.MINIFS(INGRESOS!A:A,INGRESOS!C:C,Tabla3[[#This Row],[CORREO]]))</f>
        <v>45882</v>
      </c>
      <c r="H110" s="3">
        <f>+SUMIFS(INGRESOS!J:J,INGRESOS!D:D,Tabla3[[#This Row],[ID STRIPE]],INGRESOS!A:A,"&gt;="&amp;DATE(YEAR(Tabla3[[#This Row],[FECHA INGRESO]]),MONTH(Tabla3[[#This Row],[FECHA INGRESO]]),1),INGRESOS!A:A,"&lt;="&amp;DATE(YEAR(Tabla3[[#This Row],[FECHA INGRESO]]),MONTH(Tabla3[[#This Row],[FECHA INGRESO]])+1,0))</f>
        <v>4995</v>
      </c>
      <c r="I110" s="286">
        <f ca="1">DATEDIF(Tabla3[[#This Row],[FECHA INGRESO]],IF(OR(Tabla3[[#This Row],[ESTADO]]="OK",Tabla3[[#This Row],[ESTADO]]="¡REGULARIZAR!")=TRUE,TODAY(),IF(Tabla3[[#This Row],[ULTIMO PAGO]]="",TODAY(),Tabla3[[#This Row],[ULTIMO PAGO]])),"m")</f>
        <v>6</v>
      </c>
      <c r="J110" s="18">
        <f>(_xlfn.MAXIFS(INGRESOS!A:A,INGRESOS!C:C,Tabla3[[#This Row],[CORREO]]))</f>
        <v>46069</v>
      </c>
      <c r="K110" s="7">
        <f ca="1">+IFERROR(Tabla3[[#This Row],[ABONADO NETO ]]/Tabla3[[#This Row],[MESES ACT]],Tabla3[[#This Row],[ABONO 1ER MES]])</f>
        <v>2164.1666666666665</v>
      </c>
      <c r="M110" s="287" t="s">
        <v>2119</v>
      </c>
      <c r="N110" s="288">
        <f>+SUMIF(INGRESOS!D:D,Tabla3[[#This Row],[ID STRIPE]],INGRESOS!J:J)</f>
        <v>12985</v>
      </c>
      <c r="O110" s="6">
        <v>18000</v>
      </c>
      <c r="P110" s="6">
        <f>+SUMIF('CALENDARIO INGRESOS'!A:A,Tabla3[[#This Row],[ID STRIPE]],'CALENDARIO INGRESOS'!I:I)</f>
        <v>18000</v>
      </c>
      <c r="Q110" s="6">
        <f>+SUMIF(INGRESOS!D:D,Tabla3[[#This Row],[ID STRIPE]],INGRESOS!G:G)</f>
        <v>13000</v>
      </c>
      <c r="R110" s="3" t="str">
        <f>IF(Tabla3[[#This Row],[ESTADO]]="OK",IF(COUNTIFS('CALENDARIO INGRESOS'!$A:$A,$D110,'CALENDARIO INGRESOS'!$H:$H,"LATAM",'CALENDARIO INGRESOS'!$L:$L,"&lt;&gt;PAGADA")&gt;0,"LATAM",
 IF(COUNTIFS('CALENDARIO INGRESOS'!$A:$A,$D110,'CALENDARIO INGRESOS'!$H:$H,"VISA",'CALENDARIO INGRESOS'!$L:$L,"&lt;&gt;PAGADA")&gt;0,"VISA",
  IF(COUNTIFS('CALENDARIO INGRESOS'!$A:$A,$D110,'CALENDARIO INGRESOS'!$H:$H,"FIRMA PA",'CALENDARIO INGRESOS'!$L:$L,"&lt;&gt;PAGADA")&gt;0,"FIRMA PA",
   IF(COUNTIFS('CALENDARIO INGRESOS'!$A:$A,$D110,'CALENDARIO INGRESOS'!$H:$H,"ALEM",'CALENDARIO INGRESOS'!$L:$L,"&lt;&gt;PAGADA")&gt;0,"ALEM","LISTO")))),"-")</f>
        <v>ALEM</v>
      </c>
      <c r="S110" s="188">
        <f>+SUMIFS('CALENDARIO INGRESOS'!I:I,'CALENDARIO INGRESOS'!A:A,Tabla3[[#This Row],[ID STRIPE]],'CALENDARIO INGRESOS'!H:H,"LATAM")</f>
        <v>13000</v>
      </c>
      <c r="T110" s="188">
        <f>+IF(Tabla3[[#This Row],[MONTO LATAM]]-Tabla3[[#This Row],[IMPORTE ABONADO]]&gt;=0,Tabla3[[#This Row],[MONTO LATAM]]-Tabla3[[#This Row],[IMPORTE ABONADO]],0)</f>
        <v>0</v>
      </c>
      <c r="U110" s="188">
        <f>+SUMIFS('CALENDARIO INGRESOS'!I:I,'CALENDARIO INGRESOS'!A:A,Tabla3[[#This Row],[ID STRIPE]],'CALENDARIO INGRESOS'!H:H,"ALEM")</f>
        <v>5000</v>
      </c>
      <c r="V110" s="6">
        <f>+SUMIFS('CALENDARIO INGRESOS'!I:I,'CALENDARIO INGRESOS'!A:A,Tabla3[[#This Row],[ID STRIPE]],'CALENDARIO INGRESOS'!H:H,"VISA")+SUMIFS('CALENDARIO INGRESOS'!I:I,'CALENDARIO INGRESOS'!A:A,Tabla3[[#This Row],[ID STRIPE]],'CALENDARIO INGRESOS'!H:H,"FIRMA PA")</f>
        <v>0</v>
      </c>
      <c r="W110" s="250">
        <v>0</v>
      </c>
      <c r="X110" s="60">
        <f>+IFERROR(AVERAGEIF('CALENDARIO INGRESOS'!A:A,Tabla3[[#This Row],[ID STRIPE]],'CALENDARIO INGRESOS'!M:M),"0")</f>
        <v>0.33333333333333331</v>
      </c>
      <c r="Y110" s="18" t="s">
        <v>2093</v>
      </c>
      <c r="Z110" s="286">
        <f>+IFERROR(_xlfn.XLOOKUP(Tabla3[[#This Row],[ID LINGODA]],LINGODA!D:D,LINGODA!S:S),0)</f>
        <v>57</v>
      </c>
      <c r="AA110" s="18" t="str">
        <f>+IFERROR(_xlfn.XLOOKUP(Tabla3[[#This Row],[ID LINGODA]],LINGODA!D:D,LINGODA!F:F),"null")</f>
        <v>A1.2</v>
      </c>
      <c r="AB110" s="286" t="str">
        <f>+IFERROR(_xlfn.XLOOKUP(Tabla3[[#This Row],[ID LINGODA]],LINGODA!D:D,LINGODA!G:G),"null")</f>
        <v>A1.2</v>
      </c>
    </row>
    <row r="111" spans="1:28">
      <c r="A111" s="5" t="s">
        <v>2356</v>
      </c>
      <c r="B111" s="1" t="s">
        <v>2357</v>
      </c>
      <c r="C111" s="1" t="s">
        <v>12</v>
      </c>
      <c r="D111" s="1" t="s">
        <v>2358</v>
      </c>
      <c r="E111" s="57">
        <v>1818046</v>
      </c>
      <c r="F111" s="57"/>
      <c r="G111" s="18">
        <f>(_xlfn.MINIFS(INGRESOS!A:A,INGRESOS!C:C,Tabla3[[#This Row],[CORREO]]))</f>
        <v>45885</v>
      </c>
      <c r="H111" s="3">
        <f>+SUMIFS(INGRESOS!J:J,INGRESOS!D:D,Tabla3[[#This Row],[ID STRIPE]],INGRESOS!A:A,"&gt;="&amp;DATE(YEAR(Tabla3[[#This Row],[FECHA INGRESO]]),MONTH(Tabla3[[#This Row],[FECHA INGRESO]]),1),INGRESOS!A:A,"&lt;="&amp;DATE(YEAR(Tabla3[[#This Row],[FECHA INGRESO]]),MONTH(Tabla3[[#This Row],[FECHA INGRESO]])+1,0))</f>
        <v>241.62</v>
      </c>
      <c r="I111" s="286">
        <f ca="1">DATEDIF(Tabla3[[#This Row],[FECHA INGRESO]],IF(OR(Tabla3[[#This Row],[ESTADO]]="OK",Tabla3[[#This Row],[ESTADO]]="¡REGULARIZAR!")=TRUE,TODAY(),IF(Tabla3[[#This Row],[ULTIMO PAGO]]="",TODAY(),Tabla3[[#This Row],[ULTIMO PAGO]])),"m")</f>
        <v>0</v>
      </c>
      <c r="J111" s="18">
        <f>(_xlfn.MAXIFS(INGRESOS!A:A,INGRESOS!C:C,Tabla3[[#This Row],[CORREO]]))</f>
        <v>45885</v>
      </c>
      <c r="K111" s="7">
        <f ca="1">+IFERROR(Tabla3[[#This Row],[ABONADO NETO ]]/Tabla3[[#This Row],[MESES ACT]],Tabla3[[#This Row],[ABONO 1ER MES]])</f>
        <v>241.62</v>
      </c>
      <c r="M111" s="287" t="s">
        <v>2139</v>
      </c>
      <c r="N111" s="288">
        <f>+SUMIF(INGRESOS!D:D,Tabla3[[#This Row],[ID STRIPE]],INGRESOS!J:J)</f>
        <v>241.62</v>
      </c>
      <c r="O111" s="6">
        <v>0</v>
      </c>
      <c r="P111" s="6">
        <f>+SUMIF('CALENDARIO INGRESOS'!A:A,Tabla3[[#This Row],[ID STRIPE]],'CALENDARIO INGRESOS'!I:I)</f>
        <v>0</v>
      </c>
      <c r="Q111" s="6">
        <f>+SUMIF(INGRESOS!D:D,Tabla3[[#This Row],[ID STRIPE]],INGRESOS!G:G)</f>
        <v>250</v>
      </c>
      <c r="R111" s="3" t="str">
        <f>IF(Tabla3[[#This Row],[ESTADO]]="OK",IF(COUNTIFS('CALENDARIO INGRESOS'!$A:$A,$D111,'CALENDARIO INGRESOS'!$H:$H,"LATAM",'CALENDARIO INGRESOS'!$L:$L,"&lt;&gt;PAGADA")&gt;0,"LATAM",
 IF(COUNTIFS('CALENDARIO INGRESOS'!$A:$A,$D111,'CALENDARIO INGRESOS'!$H:$H,"VISA",'CALENDARIO INGRESOS'!$L:$L,"&lt;&gt;PAGADA")&gt;0,"VISA",
  IF(COUNTIFS('CALENDARIO INGRESOS'!$A:$A,$D111,'CALENDARIO INGRESOS'!$H:$H,"FIRMA PA",'CALENDARIO INGRESOS'!$L:$L,"&lt;&gt;PAGADA")&gt;0,"FIRMA PA",
   IF(COUNTIFS('CALENDARIO INGRESOS'!$A:$A,$D111,'CALENDARIO INGRESOS'!$H:$H,"ALEM",'CALENDARIO INGRESOS'!$L:$L,"&lt;&gt;PAGADA")&gt;0,"ALEM","LISTO")))),"-")</f>
        <v>-</v>
      </c>
      <c r="S111" s="188">
        <f>+SUMIFS('CALENDARIO INGRESOS'!I:I,'CALENDARIO INGRESOS'!A:A,Tabla3[[#This Row],[ID STRIPE]],'CALENDARIO INGRESOS'!H:H,"LATAM")</f>
        <v>0</v>
      </c>
      <c r="T111" s="188">
        <f>+IF(Tabla3[[#This Row],[MONTO LATAM]]-Tabla3[[#This Row],[IMPORTE ABONADO]]&gt;=0,Tabla3[[#This Row],[MONTO LATAM]]-Tabla3[[#This Row],[IMPORTE ABONADO]],0)</f>
        <v>0</v>
      </c>
      <c r="U111" s="188">
        <f>+SUMIFS('CALENDARIO INGRESOS'!J:J,'CALENDARIO INGRESOS'!B:B,Tabla3[[#This Row],[ID STRIPE]],'CALENDARIO INGRESOS'!I:I,"ALEM")</f>
        <v>0</v>
      </c>
      <c r="V111" s="6">
        <f>+SUMIFS('CALENDARIO INGRESOS'!I:I,'CALENDARIO INGRESOS'!A:A,Tabla3[[#This Row],[ID STRIPE]],'CALENDARIO INGRESOS'!H:H,"VISA")+SUMIFS('CALENDARIO INGRESOS'!I:I,'CALENDARIO INGRESOS'!A:A,Tabla3[[#This Row],[ID STRIPE]],'CALENDARIO INGRESOS'!H:H,"FIRMA PA")</f>
        <v>0</v>
      </c>
      <c r="W111" s="250">
        <v>0</v>
      </c>
      <c r="X111" s="57" t="str">
        <f>+IFERROR(AVERAGEIF('CALENDARIO INGRESOS'!A:A,Tabla3[[#This Row],[ID STRIPE]],'CALENDARIO INGRESOS'!M:M),"0")</f>
        <v>0</v>
      </c>
      <c r="Y111" s="18" t="s">
        <v>2093</v>
      </c>
      <c r="Z111" s="286">
        <f>+IFERROR(_xlfn.XLOOKUP(Tabla3[[#This Row],[ID LINGODA]],LINGODA!D:D,LINGODA!S:S),0)</f>
        <v>0</v>
      </c>
      <c r="AA111" s="18" t="str">
        <f>+IFERROR(_xlfn.XLOOKUP(Tabla3[[#This Row],[ID LINGODA]],LINGODA!D:D,LINGODA!F:F),"null")</f>
        <v>null</v>
      </c>
      <c r="AB111" s="286" t="str">
        <f>+IFERROR(_xlfn.XLOOKUP(Tabla3[[#This Row],[ID LINGODA]],LINGODA!D:D,LINGODA!G:G),"null")</f>
        <v>null</v>
      </c>
    </row>
    <row r="112" spans="1:28">
      <c r="A112" s="5" t="s">
        <v>2359</v>
      </c>
      <c r="B112" s="1" t="s">
        <v>2360</v>
      </c>
      <c r="C112" s="1" t="s">
        <v>11</v>
      </c>
      <c r="D112" s="1" t="s">
        <v>700</v>
      </c>
      <c r="E112" s="60">
        <v>1818575</v>
      </c>
      <c r="F112" s="60"/>
      <c r="G112" s="18">
        <f>(_xlfn.MINIFS(INGRESOS!A:A,INGRESOS!C:C,Tabla3[[#This Row],[CORREO]]))</f>
        <v>45887</v>
      </c>
      <c r="H112" s="3">
        <f>+SUMIFS(INGRESOS!J:J,INGRESOS!D:D,Tabla3[[#This Row],[ID STRIPE]],INGRESOS!A:A,"&gt;="&amp;DATE(YEAR(Tabla3[[#This Row],[FECHA INGRESO]]),MONTH(Tabla3[[#This Row],[FECHA INGRESO]]),1),INGRESOS!A:A,"&lt;="&amp;DATE(YEAR(Tabla3[[#This Row],[FECHA INGRESO]]),MONTH(Tabla3[[#This Row],[FECHA INGRESO]])+1,0))</f>
        <v>1934.4899999999998</v>
      </c>
      <c r="I112" s="286">
        <f ca="1">DATEDIF(Tabla3[[#This Row],[FECHA INGRESO]],IF(OR(Tabla3[[#This Row],[ESTADO]]="OK",Tabla3[[#This Row],[ESTADO]]="¡REGULARIZAR!")=TRUE,TODAY(),IF(Tabla3[[#This Row],[ULTIMO PAGO]]="",TODAY(),Tabla3[[#This Row],[ULTIMO PAGO]])),"m")</f>
        <v>6</v>
      </c>
      <c r="J112" s="18">
        <f>(_xlfn.MAXIFS(INGRESOS!A:A,INGRESOS!C:C,Tabla3[[#This Row],[CORREO]]))</f>
        <v>45916</v>
      </c>
      <c r="K112" s="7">
        <f ca="1">+IFERROR(Tabla3[[#This Row],[ABONADO NETO ]]/Tabla3[[#This Row],[MESES ACT]],Tabla3[[#This Row],[ABONO 1ER MES]])</f>
        <v>2428.5450000000001</v>
      </c>
      <c r="M112" s="287" t="s">
        <v>2119</v>
      </c>
      <c r="N112" s="288">
        <f>+SUMIF(INGRESOS!D:D,Tabla3[[#This Row],[ID STRIPE]],INGRESOS!J:J)</f>
        <v>14571.27</v>
      </c>
      <c r="O112" s="6">
        <v>21200</v>
      </c>
      <c r="P112" s="6">
        <f>+SUMIF('CALENDARIO INGRESOS'!A:A,Tabla3[[#This Row],[ID STRIPE]],'CALENDARIO INGRESOS'!I:I)</f>
        <v>21062.05</v>
      </c>
      <c r="Q112" s="6">
        <f>+SUMIF(INGRESOS!D:D,Tabla3[[#This Row],[ID STRIPE]],INGRESOS!G:G)</f>
        <v>15062.05</v>
      </c>
      <c r="R112" s="3" t="str">
        <f>IF(Tabla3[[#This Row],[ESTADO]]="OK",IF(COUNTIFS('CALENDARIO INGRESOS'!$A:$A,$D112,'CALENDARIO INGRESOS'!$H:$H,"LATAM",'CALENDARIO INGRESOS'!$L:$L,"&lt;&gt;PAGADA")&gt;0,"LATAM",
 IF(COUNTIFS('CALENDARIO INGRESOS'!$A:$A,$D112,'CALENDARIO INGRESOS'!$H:$H,"VISA",'CALENDARIO INGRESOS'!$L:$L,"&lt;&gt;PAGADA")&gt;0,"VISA",
  IF(COUNTIFS('CALENDARIO INGRESOS'!$A:$A,$D112,'CALENDARIO INGRESOS'!$H:$H,"FIRMA PA",'CALENDARIO INGRESOS'!$L:$L,"&lt;&gt;PAGADA")&gt;0,"FIRMA PA",
   IF(COUNTIFS('CALENDARIO INGRESOS'!$A:$A,$D112,'CALENDARIO INGRESOS'!$H:$H,"ALEM",'CALENDARIO INGRESOS'!$L:$L,"&lt;&gt;PAGADA")&gt;0,"ALEM","LISTO")))),"-")</f>
        <v>ALEM</v>
      </c>
      <c r="S112" s="188">
        <f>+SUMIFS('CALENDARIO INGRESOS'!I:I,'CALENDARIO INGRESOS'!A:A,Tabla3[[#This Row],[ID STRIPE]],'CALENDARIO INGRESOS'!H:H,"LATAM")</f>
        <v>15062.05</v>
      </c>
      <c r="T112" s="188">
        <f>+IF(Tabla3[[#This Row],[MONTO LATAM]]-Tabla3[[#This Row],[IMPORTE ABONADO]]&gt;=0,Tabla3[[#This Row],[MONTO LATAM]]-Tabla3[[#This Row],[IMPORTE ABONADO]],0)</f>
        <v>0</v>
      </c>
      <c r="U112" s="188">
        <f>+SUMIFS('CALENDARIO INGRESOS'!I:I,'CALENDARIO INGRESOS'!A:A,Tabla3[[#This Row],[ID STRIPE]],'CALENDARIO INGRESOS'!H:H,"ALEM")</f>
        <v>6000</v>
      </c>
      <c r="V112" s="6">
        <f>+SUMIFS('CALENDARIO INGRESOS'!I:I,'CALENDARIO INGRESOS'!A:A,Tabla3[[#This Row],[ID STRIPE]],'CALENDARIO INGRESOS'!H:H,"VISA")+SUMIFS('CALENDARIO INGRESOS'!I:I,'CALENDARIO INGRESOS'!A:A,Tabla3[[#This Row],[ID STRIPE]],'CALENDARIO INGRESOS'!H:H,"FIRMA PA")</f>
        <v>0</v>
      </c>
      <c r="W112" s="252">
        <v>0</v>
      </c>
      <c r="X112" s="60">
        <f>+IFERROR(AVERAGEIF('CALENDARIO INGRESOS'!A:A,Tabla3[[#This Row],[ID STRIPE]],'CALENDARIO INGRESOS'!M:M),"0")</f>
        <v>2.4</v>
      </c>
      <c r="Y112" s="18">
        <v>46181</v>
      </c>
      <c r="Z112" s="286">
        <f>+IFERROR(_xlfn.XLOOKUP(Tabla3[[#This Row],[ID LINGODA]],LINGODA!D:D,LINGODA!S:S),0)</f>
        <v>110</v>
      </c>
      <c r="AA112" s="18" t="str">
        <f>+IFERROR(_xlfn.XLOOKUP(Tabla3[[#This Row],[ID LINGODA]],LINGODA!D:D,LINGODA!F:F),"null")</f>
        <v>A2.1</v>
      </c>
      <c r="AB112" s="286" t="str">
        <f>+IFERROR(_xlfn.XLOOKUP(Tabla3[[#This Row],[ID LINGODA]],LINGODA!D:D,LINGODA!G:G),"null")</f>
        <v>B1.1</v>
      </c>
    </row>
    <row r="113" spans="1:28">
      <c r="A113" s="5" t="s">
        <v>2361</v>
      </c>
      <c r="B113" s="1" t="s">
        <v>2362</v>
      </c>
      <c r="C113" s="1" t="s">
        <v>11</v>
      </c>
      <c r="D113" s="1" t="s">
        <v>703</v>
      </c>
      <c r="E113" s="60">
        <v>1818574</v>
      </c>
      <c r="F113" s="60"/>
      <c r="G113" s="18">
        <f>(_xlfn.MINIFS(INGRESOS!A:A,INGRESOS!C:C,Tabla3[[#This Row],[CORREO]]))</f>
        <v>45888</v>
      </c>
      <c r="H113" s="3">
        <f>+SUMIFS(INGRESOS!J:J,INGRESOS!D:D,Tabla3[[#This Row],[ID STRIPE]],INGRESOS!A:A,"&gt;="&amp;DATE(YEAR(Tabla3[[#This Row],[FECHA INGRESO]]),MONTH(Tabla3[[#This Row],[FECHA INGRESO]]),1),INGRESOS!A:A,"&lt;="&amp;DATE(YEAR(Tabla3[[#This Row],[FECHA INGRESO]]),MONTH(Tabla3[[#This Row],[FECHA INGRESO]])+1,0))</f>
        <v>1934.4899999999998</v>
      </c>
      <c r="I113" s="286">
        <f ca="1">DATEDIF(Tabla3[[#This Row],[FECHA INGRESO]],IF(OR(Tabla3[[#This Row],[ESTADO]]="OK",Tabla3[[#This Row],[ESTADO]]="¡REGULARIZAR!")=TRUE,TODAY(),IF(Tabla3[[#This Row],[ULTIMO PAGO]]="",TODAY(),Tabla3[[#This Row],[ULTIMO PAGO]])),"m")</f>
        <v>6</v>
      </c>
      <c r="J113" s="18">
        <f>(_xlfn.MAXIFS(INGRESOS!A:A,INGRESOS!C:C,Tabla3[[#This Row],[CORREO]]))</f>
        <v>46086</v>
      </c>
      <c r="K113" s="7">
        <f ca="1">+IFERROR(Tabla3[[#This Row],[ABONADO NETO ]]/Tabla3[[#This Row],[MESES ACT]],Tabla3[[#This Row],[ABONO 1ER MES]])</f>
        <v>999.41499999999996</v>
      </c>
      <c r="M113" s="287" t="s">
        <v>2119</v>
      </c>
      <c r="N113" s="288">
        <f>+SUMIF(INGRESOS!D:D,Tabla3[[#This Row],[ID STRIPE]],INGRESOS!J:J)</f>
        <v>5996.49</v>
      </c>
      <c r="O113" s="6">
        <v>24800</v>
      </c>
      <c r="P113" s="6">
        <f>+SUMIF('CALENDARIO INGRESOS'!A:A,Tabla3[[#This Row],[ID STRIPE]],'CALENDARIO INGRESOS'!I:I)</f>
        <v>24800</v>
      </c>
      <c r="Q113" s="6">
        <f>+SUMIF(INGRESOS!D:D,Tabla3[[#This Row],[ID STRIPE]],INGRESOS!G:G)</f>
        <v>6200</v>
      </c>
      <c r="R113" s="3" t="str">
        <f>IF(Tabla3[[#This Row],[ESTADO]]="OK",IF(COUNTIFS('CALENDARIO INGRESOS'!$A:$A,$D113,'CALENDARIO INGRESOS'!$H:$H,"LATAM",'CALENDARIO INGRESOS'!$L:$L,"&lt;&gt;PAGADA")&gt;0,"LATAM",
 IF(COUNTIFS('CALENDARIO INGRESOS'!$A:$A,$D113,'CALENDARIO INGRESOS'!$H:$H,"VISA",'CALENDARIO INGRESOS'!$L:$L,"&lt;&gt;PAGADA")&gt;0,"VISA",
  IF(COUNTIFS('CALENDARIO INGRESOS'!$A:$A,$D113,'CALENDARIO INGRESOS'!$H:$H,"FIRMA PA",'CALENDARIO INGRESOS'!$L:$L,"&lt;&gt;PAGADA")&gt;0,"FIRMA PA",
   IF(COUNTIFS('CALENDARIO INGRESOS'!$A:$A,$D113,'CALENDARIO INGRESOS'!$H:$H,"ALEM",'CALENDARIO INGRESOS'!$L:$L,"&lt;&gt;PAGADA")&gt;0,"ALEM","LISTO")))),"-")</f>
        <v>LATAM</v>
      </c>
      <c r="S113" s="188">
        <f>+SUMIFS('CALENDARIO INGRESOS'!I:I,'CALENDARIO INGRESOS'!A:A,Tabla3[[#This Row],[ID STRIPE]],'CALENDARIO INGRESOS'!H:H,"LATAM")</f>
        <v>18800</v>
      </c>
      <c r="T113" s="188">
        <f>+IF(Tabla3[[#This Row],[MONTO LATAM]]-Tabla3[[#This Row],[IMPORTE ABONADO]]&gt;=0,Tabla3[[#This Row],[MONTO LATAM]]-Tabla3[[#This Row],[IMPORTE ABONADO]],0)</f>
        <v>12600</v>
      </c>
      <c r="U113" s="188">
        <f>+SUMIFS('CALENDARIO INGRESOS'!I:I,'CALENDARIO INGRESOS'!A:A,Tabla3[[#This Row],[ID STRIPE]],'CALENDARIO INGRESOS'!H:H,"ALEM")</f>
        <v>6000</v>
      </c>
      <c r="V113" s="6">
        <f>+SUMIFS('CALENDARIO INGRESOS'!I:I,'CALENDARIO INGRESOS'!A:A,Tabla3[[#This Row],[ID STRIPE]],'CALENDARIO INGRESOS'!H:H,"VISA")+SUMIFS('CALENDARIO INGRESOS'!I:I,'CALENDARIO INGRESOS'!A:A,Tabla3[[#This Row],[ID STRIPE]],'CALENDARIO INGRESOS'!H:H,"FIRMA PA")</f>
        <v>0</v>
      </c>
      <c r="W113" s="250">
        <v>1</v>
      </c>
      <c r="X113" s="60">
        <f>+IFERROR(AVERAGEIF('CALENDARIO INGRESOS'!A:A,Tabla3[[#This Row],[ID STRIPE]],'CALENDARIO INGRESOS'!M:M),"0")</f>
        <v>-1.75</v>
      </c>
      <c r="Y113" s="18">
        <v>46242</v>
      </c>
      <c r="Z113" s="286">
        <f>+IFERROR(_xlfn.XLOOKUP(Tabla3[[#This Row],[ID LINGODA]],LINGODA!D:D,LINGODA!S:S),0)</f>
        <v>50</v>
      </c>
      <c r="AA113" s="18" t="str">
        <f>+IFERROR(_xlfn.XLOOKUP(Tabla3[[#This Row],[ID LINGODA]],LINGODA!D:D,LINGODA!F:F),"null")</f>
        <v>A1.1</v>
      </c>
      <c r="AB113" s="286" t="str">
        <f>+IFERROR(_xlfn.XLOOKUP(Tabla3[[#This Row],[ID LINGODA]],LINGODA!D:D,LINGODA!G:G),"null")</f>
        <v>A1.1</v>
      </c>
    </row>
    <row r="114" spans="1:28">
      <c r="A114" s="5" t="s">
        <v>2363</v>
      </c>
      <c r="B114" s="1" t="s">
        <v>2364</v>
      </c>
      <c r="C114" s="1" t="s">
        <v>14</v>
      </c>
      <c r="D114" s="1" t="s">
        <v>711</v>
      </c>
      <c r="E114" s="60">
        <v>1818573</v>
      </c>
      <c r="F114" s="60"/>
      <c r="G114" s="18">
        <f>(_xlfn.MINIFS(INGRESOS!A:A,INGRESOS!C:C,Tabla3[[#This Row],[CORREO]]))</f>
        <v>45889</v>
      </c>
      <c r="H114" s="3">
        <f>+SUMIFS(INGRESOS!J:J,INGRESOS!D:D,Tabla3[[#This Row],[ID STRIPE]],INGRESOS!A:A,"&gt;="&amp;DATE(YEAR(Tabla3[[#This Row],[FECHA INGRESO]]),MONTH(Tabla3[[#This Row],[FECHA INGRESO]]),1),INGRESOS!A:A,"&lt;="&amp;DATE(YEAR(Tabla3[[#This Row],[FECHA INGRESO]]),MONTH(Tabla3[[#This Row],[FECHA INGRESO]])+1,0))</f>
        <v>241.62</v>
      </c>
      <c r="I114" s="286">
        <f ca="1">DATEDIF(Tabla3[[#This Row],[FECHA INGRESO]],IF(OR(Tabla3[[#This Row],[ESTADO]]="OK",Tabla3[[#This Row],[ESTADO]]="¡REGULARIZAR!")=TRUE,TODAY(),IF(Tabla3[[#This Row],[ULTIMO PAGO]]="",TODAY(),Tabla3[[#This Row],[ULTIMO PAGO]])),"m")</f>
        <v>6</v>
      </c>
      <c r="J114" s="18">
        <f>(_xlfn.MAXIFS(INGRESOS!A:A,INGRESOS!C:C,Tabla3[[#This Row],[CORREO]]))</f>
        <v>46077</v>
      </c>
      <c r="K114" s="7">
        <f ca="1">+IFERROR(Tabla3[[#This Row],[ABONADO NETO ]]/Tabla3[[#This Row],[MESES ACT]],Tabla3[[#This Row],[ABONO 1ER MES]])</f>
        <v>765.64499999999998</v>
      </c>
      <c r="M114" s="287" t="s">
        <v>2119</v>
      </c>
      <c r="N114" s="288">
        <f>+SUMIF(INGRESOS!D:D,Tabla3[[#This Row],[ID STRIPE]],INGRESOS!J:J)</f>
        <v>4593.87</v>
      </c>
      <c r="O114" s="6">
        <v>22000</v>
      </c>
      <c r="P114" s="6">
        <f>+SUMIF('CALENDARIO INGRESOS'!A:A,Tabla3[[#This Row],[ID STRIPE]],'CALENDARIO INGRESOS'!I:I)</f>
        <v>22000</v>
      </c>
      <c r="Q114" s="6">
        <f>+SUMIF(INGRESOS!D:D,Tabla3[[#This Row],[ID STRIPE]],INGRESOS!G:G)</f>
        <v>4750</v>
      </c>
      <c r="R114" s="3" t="str">
        <f>IF(Tabla3[[#This Row],[ESTADO]]="OK",IF(COUNTIFS('CALENDARIO INGRESOS'!$A:$A,$D114,'CALENDARIO INGRESOS'!$H:$H,"LATAM",'CALENDARIO INGRESOS'!$L:$L,"&lt;&gt;PAGADA")&gt;0,"LATAM",
 IF(COUNTIFS('CALENDARIO INGRESOS'!$A:$A,$D114,'CALENDARIO INGRESOS'!$H:$H,"VISA",'CALENDARIO INGRESOS'!$L:$L,"&lt;&gt;PAGADA")&gt;0,"VISA",
  IF(COUNTIFS('CALENDARIO INGRESOS'!$A:$A,$D114,'CALENDARIO INGRESOS'!$H:$H,"FIRMA PA",'CALENDARIO INGRESOS'!$L:$L,"&lt;&gt;PAGADA")&gt;0,"FIRMA PA",
   IF(COUNTIFS('CALENDARIO INGRESOS'!$A:$A,$D114,'CALENDARIO INGRESOS'!$H:$H,"ALEM",'CALENDARIO INGRESOS'!$L:$L,"&lt;&gt;PAGADA")&gt;0,"ALEM","LISTO")))),"-")</f>
        <v>LATAM</v>
      </c>
      <c r="S114" s="188">
        <f>+SUMIFS('CALENDARIO INGRESOS'!I:I,'CALENDARIO INGRESOS'!A:A,Tabla3[[#This Row],[ID STRIPE]],'CALENDARIO INGRESOS'!H:H,"LATAM")</f>
        <v>16000</v>
      </c>
      <c r="T114" s="188">
        <f>+IF(Tabla3[[#This Row],[MONTO LATAM]]-Tabla3[[#This Row],[IMPORTE ABONADO]]&gt;=0,Tabla3[[#This Row],[MONTO LATAM]]-Tabla3[[#This Row],[IMPORTE ABONADO]],0)</f>
        <v>11250</v>
      </c>
      <c r="U114" s="188">
        <f>+SUMIFS('CALENDARIO INGRESOS'!I:I,'CALENDARIO INGRESOS'!A:A,Tabla3[[#This Row],[ID STRIPE]],'CALENDARIO INGRESOS'!H:H,"ALEM")</f>
        <v>6000</v>
      </c>
      <c r="V114" s="6">
        <f>+SUMIFS('CALENDARIO INGRESOS'!I:I,'CALENDARIO INGRESOS'!A:A,Tabla3[[#This Row],[ID STRIPE]],'CALENDARIO INGRESOS'!H:H,"VISA")+SUMIFS('CALENDARIO INGRESOS'!I:I,'CALENDARIO INGRESOS'!A:A,Tabla3[[#This Row],[ID STRIPE]],'CALENDARIO INGRESOS'!H:H,"FIRMA PA")</f>
        <v>0</v>
      </c>
      <c r="W114" s="250">
        <v>1</v>
      </c>
      <c r="X114" s="60">
        <f>+IFERROR(AVERAGEIF('CALENDARIO INGRESOS'!A:A,Tabla3[[#This Row],[ID STRIPE]],'CALENDARIO INGRESOS'!M:M),"0")</f>
        <v>0.7142857142857143</v>
      </c>
      <c r="Y114" s="18">
        <v>46204</v>
      </c>
      <c r="Z114" s="286">
        <f>+IFERROR(_xlfn.XLOOKUP(Tabla3[[#This Row],[ID LINGODA]],LINGODA!D:D,LINGODA!S:S),0)</f>
        <v>153</v>
      </c>
      <c r="AA114" s="18" t="str">
        <f>+IFERROR(_xlfn.XLOOKUP(Tabla3[[#This Row],[ID LINGODA]],LINGODA!D:D,LINGODA!F:F),"null")</f>
        <v>A1.1</v>
      </c>
      <c r="AB114" s="286" t="str">
        <f>+IFERROR(_xlfn.XLOOKUP(Tabla3[[#This Row],[ID LINGODA]],LINGODA!D:D,LINGODA!G:G),"null")</f>
        <v>A2.2</v>
      </c>
    </row>
    <row r="115" spans="1:28">
      <c r="A115" s="5" t="s">
        <v>2365</v>
      </c>
      <c r="B115" s="1" t="s">
        <v>2366</v>
      </c>
      <c r="C115" s="1" t="s">
        <v>14</v>
      </c>
      <c r="D115" s="1" t="s">
        <v>716</v>
      </c>
      <c r="E115" s="60">
        <v>1820021</v>
      </c>
      <c r="F115" s="60"/>
      <c r="G115" s="18">
        <f>(_xlfn.MINIFS(INGRESOS!A:A,INGRESOS!C:C,Tabla3[[#This Row],[CORREO]]))</f>
        <v>45891</v>
      </c>
      <c r="H115" s="3">
        <f>+SUMIFS(INGRESOS!J:J,INGRESOS!D:D,Tabla3[[#This Row],[ID STRIPE]],INGRESOS!A:A,"&gt;="&amp;DATE(YEAR(Tabla3[[#This Row],[FECHA INGRESO]]),MONTH(Tabla3[[#This Row],[FECHA INGRESO]]),1),INGRESOS!A:A,"&lt;="&amp;DATE(YEAR(Tabla3[[#This Row],[FECHA INGRESO]]),MONTH(Tabla3[[#This Row],[FECHA INGRESO]])+1,0))</f>
        <v>4111.12</v>
      </c>
      <c r="I115" s="286">
        <f ca="1">DATEDIF(Tabla3[[#This Row],[FECHA INGRESO]],IF(OR(Tabla3[[#This Row],[ESTADO]]="OK",Tabla3[[#This Row],[ESTADO]]="¡REGULARIZAR!")=TRUE,TODAY(),IF(Tabla3[[#This Row],[ULTIMO PAGO]]="",TODAY(),Tabla3[[#This Row],[ULTIMO PAGO]])),"m")</f>
        <v>6</v>
      </c>
      <c r="J115" s="18">
        <f>(_xlfn.MAXIFS(INGRESOS!A:A,INGRESOS!C:C,Tabla3[[#This Row],[CORREO]]))</f>
        <v>46078</v>
      </c>
      <c r="K115" s="7">
        <f ca="1">+IFERROR(Tabla3[[#This Row],[ABONADO NETO ]]/Tabla3[[#This Row],[MESES ACT]],Tabla3[[#This Row],[ABONO 1ER MES]])</f>
        <v>1612.1233333333332</v>
      </c>
      <c r="M115" s="287" t="s">
        <v>2119</v>
      </c>
      <c r="N115" s="288">
        <f>+SUMIF(INGRESOS!D:D,Tabla3[[#This Row],[ID STRIPE]],INGRESOS!J:J)</f>
        <v>9672.74</v>
      </c>
      <c r="O115" s="6">
        <v>22000</v>
      </c>
      <c r="P115" s="6">
        <f>+SUMIF('CALENDARIO INGRESOS'!A:A,Tabla3[[#This Row],[ID STRIPE]],'CALENDARIO INGRESOS'!I:I)</f>
        <v>22000</v>
      </c>
      <c r="Q115" s="6">
        <f>+SUMIF(INGRESOS!D:D,Tabla3[[#This Row],[ID STRIPE]],INGRESOS!G:G)</f>
        <v>10000</v>
      </c>
      <c r="R115" s="3" t="str">
        <f>IF(Tabla3[[#This Row],[ESTADO]]="OK",IF(COUNTIFS('CALENDARIO INGRESOS'!$A:$A,$D115,'CALENDARIO INGRESOS'!$H:$H,"LATAM",'CALENDARIO INGRESOS'!$L:$L,"&lt;&gt;PAGADA")&gt;0,"LATAM",
 IF(COUNTIFS('CALENDARIO INGRESOS'!$A:$A,$D115,'CALENDARIO INGRESOS'!$H:$H,"VISA",'CALENDARIO INGRESOS'!$L:$L,"&lt;&gt;PAGADA")&gt;0,"VISA",
  IF(COUNTIFS('CALENDARIO INGRESOS'!$A:$A,$D115,'CALENDARIO INGRESOS'!$H:$H,"FIRMA PA",'CALENDARIO INGRESOS'!$L:$L,"&lt;&gt;PAGADA")&gt;0,"FIRMA PA",
   IF(COUNTIFS('CALENDARIO INGRESOS'!$A:$A,$D115,'CALENDARIO INGRESOS'!$H:$H,"ALEM",'CALENDARIO INGRESOS'!$L:$L,"&lt;&gt;PAGADA")&gt;0,"ALEM","LISTO")))),"-")</f>
        <v>LATAM</v>
      </c>
      <c r="S115" s="188">
        <f>+SUMIFS('CALENDARIO INGRESOS'!I:I,'CALENDARIO INGRESOS'!A:A,Tabla3[[#This Row],[ID STRIPE]],'CALENDARIO INGRESOS'!H:H,"LATAM")</f>
        <v>16000</v>
      </c>
      <c r="T115" s="188">
        <f>+IF(Tabla3[[#This Row],[MONTO LATAM]]-Tabla3[[#This Row],[IMPORTE ABONADO]]&gt;=0,Tabla3[[#This Row],[MONTO LATAM]]-Tabla3[[#This Row],[IMPORTE ABONADO]],0)</f>
        <v>6000</v>
      </c>
      <c r="U115" s="188">
        <f>+SUMIFS('CALENDARIO INGRESOS'!I:I,'CALENDARIO INGRESOS'!A:A,Tabla3[[#This Row],[ID STRIPE]],'CALENDARIO INGRESOS'!H:H,"ALEM")</f>
        <v>6000</v>
      </c>
      <c r="V115" s="6">
        <f>+SUMIFS('CALENDARIO INGRESOS'!I:I,'CALENDARIO INGRESOS'!A:A,Tabla3[[#This Row],[ID STRIPE]],'CALENDARIO INGRESOS'!H:H,"VISA")+SUMIFS('CALENDARIO INGRESOS'!I:I,'CALENDARIO INGRESOS'!A:A,Tabla3[[#This Row],[ID STRIPE]],'CALENDARIO INGRESOS'!H:H,"FIRMA PA")</f>
        <v>0</v>
      </c>
      <c r="W115" s="250">
        <v>1</v>
      </c>
      <c r="X115" s="60">
        <f>+IFERROR(AVERAGEIF('CALENDARIO INGRESOS'!A:A,Tabla3[[#This Row],[ID STRIPE]],'CALENDARIO INGRESOS'!M:M),"0")</f>
        <v>-0.33333333333333331</v>
      </c>
      <c r="Y115" s="18">
        <v>46143</v>
      </c>
      <c r="Z115" s="286">
        <f>+IFERROR(_xlfn.XLOOKUP(Tabla3[[#This Row],[ID LINGODA]],LINGODA!D:D,LINGODA!S:S),0)</f>
        <v>139</v>
      </c>
      <c r="AA115" s="18" t="str">
        <f>+IFERROR(_xlfn.XLOOKUP(Tabla3[[#This Row],[ID LINGODA]],LINGODA!D:D,LINGODA!F:F),"null")</f>
        <v>A1.1</v>
      </c>
      <c r="AB115" s="286" t="str">
        <f>+IFERROR(_xlfn.XLOOKUP(Tabla3[[#This Row],[ID LINGODA]],LINGODA!D:D,LINGODA!G:G),"null")</f>
        <v>A2.1</v>
      </c>
    </row>
    <row r="116" spans="1:28">
      <c r="A116" s="5" t="s">
        <v>2367</v>
      </c>
      <c r="B116" s="1" t="s">
        <v>2368</v>
      </c>
      <c r="C116" s="1" t="s">
        <v>20</v>
      </c>
      <c r="D116" s="1" t="s">
        <v>727</v>
      </c>
      <c r="E116" s="60">
        <v>1821385</v>
      </c>
      <c r="F116" s="60"/>
      <c r="G116" s="18">
        <f>(_xlfn.MINIFS(INGRESOS!A:A,INGRESOS!C:C,Tabla3[[#This Row],[CORREO]]))</f>
        <v>45895</v>
      </c>
      <c r="H116" s="3">
        <f>+SUMIFS(INGRESOS!J:J,INGRESOS!D:D,Tabla3[[#This Row],[ID STRIPE]],INGRESOS!A:A,"&gt;="&amp;DATE(YEAR(Tabla3[[#This Row],[FECHA INGRESO]]),MONTH(Tabla3[[#This Row],[FECHA INGRESO]]),1),INGRESOS!A:A,"&lt;="&amp;DATE(YEAR(Tabla3[[#This Row],[FECHA INGRESO]]),MONTH(Tabla3[[#This Row],[FECHA INGRESO]])+1,0))</f>
        <v>241.62</v>
      </c>
      <c r="I116" s="286">
        <f ca="1">DATEDIF(Tabla3[[#This Row],[FECHA INGRESO]],IF(OR(Tabla3[[#This Row],[ESTADO]]="OK",Tabla3[[#This Row],[ESTADO]]="¡REGULARIZAR!")=TRUE,TODAY(),IF(Tabla3[[#This Row],[ULTIMO PAGO]]="",TODAY(),Tabla3[[#This Row],[ULTIMO PAGO]])),"m")</f>
        <v>0</v>
      </c>
      <c r="J116" s="18">
        <f>(_xlfn.MAXIFS(INGRESOS!A:A,INGRESOS!C:C,Tabla3[[#This Row],[CORREO]]))</f>
        <v>45895</v>
      </c>
      <c r="K116" s="7">
        <f ca="1">+IFERROR(Tabla3[[#This Row],[ABONADO NETO ]]/Tabla3[[#This Row],[MESES ACT]],Tabla3[[#This Row],[ABONO 1ER MES]])</f>
        <v>241.62</v>
      </c>
      <c r="M116" s="287" t="s">
        <v>2162</v>
      </c>
      <c r="N116" s="288">
        <f>+SUMIF(INGRESOS!D:D,Tabla3[[#This Row],[ID STRIPE]],INGRESOS!J:J)</f>
        <v>241.62</v>
      </c>
      <c r="O116" s="6">
        <v>0</v>
      </c>
      <c r="P116" s="6">
        <f>+SUMIF('CALENDARIO INGRESOS'!A:A,Tabla3[[#This Row],[ID STRIPE]],'CALENDARIO INGRESOS'!I:I)</f>
        <v>250</v>
      </c>
      <c r="Q116" s="6">
        <f>+SUMIF(INGRESOS!D:D,Tabla3[[#This Row],[ID STRIPE]],INGRESOS!G:G)</f>
        <v>250</v>
      </c>
      <c r="R116" s="3" t="str">
        <f>IF(Tabla3[[#This Row],[ESTADO]]="OK",IF(COUNTIFS('CALENDARIO INGRESOS'!$A:$A,$D116,'CALENDARIO INGRESOS'!$H:$H,"LATAM",'CALENDARIO INGRESOS'!$L:$L,"&lt;&gt;PAGADA")&gt;0,"LATAM",
 IF(COUNTIFS('CALENDARIO INGRESOS'!$A:$A,$D116,'CALENDARIO INGRESOS'!$H:$H,"VISA",'CALENDARIO INGRESOS'!$L:$L,"&lt;&gt;PAGADA")&gt;0,"VISA",
  IF(COUNTIFS('CALENDARIO INGRESOS'!$A:$A,$D116,'CALENDARIO INGRESOS'!$H:$H,"FIRMA PA",'CALENDARIO INGRESOS'!$L:$L,"&lt;&gt;PAGADA")&gt;0,"FIRMA PA",
   IF(COUNTIFS('CALENDARIO INGRESOS'!$A:$A,$D116,'CALENDARIO INGRESOS'!$H:$H,"ALEM",'CALENDARIO INGRESOS'!$L:$L,"&lt;&gt;PAGADA")&gt;0,"ALEM","LISTO")))),"-")</f>
        <v>-</v>
      </c>
      <c r="S116" s="188">
        <f>+SUMIFS('CALENDARIO INGRESOS'!I:I,'CALENDARIO INGRESOS'!A:A,Tabla3[[#This Row],[ID STRIPE]],'CALENDARIO INGRESOS'!H:H,"LATAM")</f>
        <v>250</v>
      </c>
      <c r="T116" s="188">
        <f>+IF(Tabla3[[#This Row],[MONTO LATAM]]-Tabla3[[#This Row],[IMPORTE ABONADO]]&gt;=0,Tabla3[[#This Row],[MONTO LATAM]]-Tabla3[[#This Row],[IMPORTE ABONADO]],0)</f>
        <v>0</v>
      </c>
      <c r="U116" s="188">
        <f>+SUMIFS('CALENDARIO INGRESOS'!I:I,'CALENDARIO INGRESOS'!A:A,Tabla3[[#This Row],[ID STRIPE]],'CALENDARIO INGRESOS'!H:H,"ALEM")</f>
        <v>0</v>
      </c>
      <c r="V116" s="6">
        <f>+SUMIFS('CALENDARIO INGRESOS'!I:I,'CALENDARIO INGRESOS'!A:A,Tabla3[[#This Row],[ID STRIPE]],'CALENDARIO INGRESOS'!H:H,"VISA")+SUMIFS('CALENDARIO INGRESOS'!I:I,'CALENDARIO INGRESOS'!A:A,Tabla3[[#This Row],[ID STRIPE]],'CALENDARIO INGRESOS'!H:H,"FIRMA PA")</f>
        <v>0</v>
      </c>
      <c r="W116" s="252">
        <v>0</v>
      </c>
      <c r="X116" s="60">
        <f>+IFERROR(AVERAGEIF('CALENDARIO INGRESOS'!A:A,Tabla3[[#This Row],[ID STRIPE]],'CALENDARIO INGRESOS'!M:M),"0")</f>
        <v>0</v>
      </c>
      <c r="Y116" s="18" t="s">
        <v>2093</v>
      </c>
      <c r="Z116" s="286">
        <f>+IFERROR(_xlfn.XLOOKUP(Tabla3[[#This Row],[ID LINGODA]],LINGODA!D:D,LINGODA!S:S),0)</f>
        <v>0</v>
      </c>
      <c r="AA116" s="18" t="str">
        <f>+IFERROR(_xlfn.XLOOKUP(Tabla3[[#This Row],[ID LINGODA]],LINGODA!D:D,LINGODA!F:F),"null")</f>
        <v>null</v>
      </c>
      <c r="AB116" s="286" t="str">
        <f>+IFERROR(_xlfn.XLOOKUP(Tabla3[[#This Row],[ID LINGODA]],LINGODA!D:D,LINGODA!G:G),"null")</f>
        <v>null</v>
      </c>
    </row>
    <row r="117" spans="1:28">
      <c r="A117" s="5" t="s">
        <v>2369</v>
      </c>
      <c r="B117" s="1" t="s">
        <v>2370</v>
      </c>
      <c r="C117" s="1" t="s">
        <v>13</v>
      </c>
      <c r="D117" s="1" t="s">
        <v>2371</v>
      </c>
      <c r="E117" s="60">
        <v>1821386</v>
      </c>
      <c r="F117" s="60"/>
      <c r="G117" s="18">
        <f>(_xlfn.MINIFS(INGRESOS!A:A,INGRESOS!C:C,Tabla3[[#This Row],[CORREO]]))</f>
        <v>45896</v>
      </c>
      <c r="H117" s="3">
        <f>+SUMIFS(INGRESOS!J:J,INGRESOS!D:D,Tabla3[[#This Row],[ID STRIPE]],INGRESOS!A:A,"&gt;="&amp;DATE(YEAR(Tabla3[[#This Row],[FECHA INGRESO]]),MONTH(Tabla3[[#This Row],[FECHA INGRESO]]),1),INGRESOS!A:A,"&lt;="&amp;DATE(YEAR(Tabla3[[#This Row],[FECHA INGRESO]]),MONTH(Tabla3[[#This Row],[FECHA INGRESO]])+1,0))</f>
        <v>241.62</v>
      </c>
      <c r="I117" s="286">
        <f ca="1">DATEDIF(Tabla3[[#This Row],[FECHA INGRESO]],IF(OR(Tabla3[[#This Row],[ESTADO]]="OK",Tabla3[[#This Row],[ESTADO]]="¡REGULARIZAR!")=TRUE,TODAY(),IF(Tabla3[[#This Row],[ULTIMO PAGO]]="",TODAY(),Tabla3[[#This Row],[ULTIMO PAGO]])),"m")</f>
        <v>0</v>
      </c>
      <c r="J117" s="18">
        <f>(_xlfn.MAXIFS(INGRESOS!A:A,INGRESOS!C:C,Tabla3[[#This Row],[CORREO]]))</f>
        <v>45896</v>
      </c>
      <c r="K117" s="7">
        <f ca="1">+IFERROR(Tabla3[[#This Row],[ABONADO NETO ]]/Tabla3[[#This Row],[MESES ACT]],Tabla3[[#This Row],[ABONO 1ER MES]])</f>
        <v>241.62</v>
      </c>
      <c r="M117" s="287" t="s">
        <v>2139</v>
      </c>
      <c r="N117" s="288">
        <f>+SUMIF(INGRESOS!D:D,Tabla3[[#This Row],[ID STRIPE]],INGRESOS!J:J)</f>
        <v>241.62</v>
      </c>
      <c r="O117" s="6">
        <v>0</v>
      </c>
      <c r="P117" s="6">
        <f>+SUMIF('CALENDARIO INGRESOS'!A:A,Tabla3[[#This Row],[ID STRIPE]],'CALENDARIO INGRESOS'!I:I)</f>
        <v>0</v>
      </c>
      <c r="Q117" s="6">
        <f>+SUMIF(INGRESOS!D:D,Tabla3[[#This Row],[ID STRIPE]],INGRESOS!G:G)</f>
        <v>250</v>
      </c>
      <c r="R117" s="3" t="str">
        <f>IF(Tabla3[[#This Row],[ESTADO]]="OK",IF(COUNTIFS('CALENDARIO INGRESOS'!$A:$A,$D117,'CALENDARIO INGRESOS'!$H:$H,"LATAM",'CALENDARIO INGRESOS'!$L:$L,"&lt;&gt;PAGADA")&gt;0,"LATAM",
 IF(COUNTIFS('CALENDARIO INGRESOS'!$A:$A,$D117,'CALENDARIO INGRESOS'!$H:$H,"VISA",'CALENDARIO INGRESOS'!$L:$L,"&lt;&gt;PAGADA")&gt;0,"VISA",
  IF(COUNTIFS('CALENDARIO INGRESOS'!$A:$A,$D117,'CALENDARIO INGRESOS'!$H:$H,"FIRMA PA",'CALENDARIO INGRESOS'!$L:$L,"&lt;&gt;PAGADA")&gt;0,"FIRMA PA",
   IF(COUNTIFS('CALENDARIO INGRESOS'!$A:$A,$D117,'CALENDARIO INGRESOS'!$H:$H,"ALEM",'CALENDARIO INGRESOS'!$L:$L,"&lt;&gt;PAGADA")&gt;0,"ALEM","LISTO")))),"-")</f>
        <v>-</v>
      </c>
      <c r="S117" s="188">
        <f>+SUMIFS('CALENDARIO INGRESOS'!I:I,'CALENDARIO INGRESOS'!A:A,Tabla3[[#This Row],[ID STRIPE]],'CALENDARIO INGRESOS'!H:H,"LATAM")</f>
        <v>0</v>
      </c>
      <c r="T117" s="188">
        <f>+IF(Tabla3[[#This Row],[MONTO LATAM]]-Tabla3[[#This Row],[IMPORTE ABONADO]]&gt;=0,Tabla3[[#This Row],[MONTO LATAM]]-Tabla3[[#This Row],[IMPORTE ABONADO]],0)</f>
        <v>0</v>
      </c>
      <c r="U117" s="188">
        <f>+SUMIFS('CALENDARIO INGRESOS'!J:J,'CALENDARIO INGRESOS'!B:B,Tabla3[[#This Row],[ID STRIPE]],'CALENDARIO INGRESOS'!I:I,"ALEM")</f>
        <v>0</v>
      </c>
      <c r="V117" s="6">
        <f>+SUMIFS('CALENDARIO INGRESOS'!I:I,'CALENDARIO INGRESOS'!A:A,Tabla3[[#This Row],[ID STRIPE]],'CALENDARIO INGRESOS'!H:H,"VISA")+SUMIFS('CALENDARIO INGRESOS'!I:I,'CALENDARIO INGRESOS'!A:A,Tabla3[[#This Row],[ID STRIPE]],'CALENDARIO INGRESOS'!H:H,"FIRMA PA")</f>
        <v>0</v>
      </c>
      <c r="W117" s="250">
        <v>0</v>
      </c>
      <c r="X117" s="60" t="str">
        <f>+IFERROR(AVERAGEIF('CALENDARIO INGRESOS'!A:A,Tabla3[[#This Row],[ID STRIPE]],'CALENDARIO INGRESOS'!M:M),"0")</f>
        <v>0</v>
      </c>
      <c r="Y117" s="18" t="s">
        <v>2093</v>
      </c>
      <c r="Z117" s="286">
        <f>+IFERROR(_xlfn.XLOOKUP(Tabla3[[#This Row],[ID LINGODA]],LINGODA!D:D,LINGODA!S:S),0)</f>
        <v>0</v>
      </c>
      <c r="AA117" s="18" t="str">
        <f>+IFERROR(_xlfn.XLOOKUP(Tabla3[[#This Row],[ID LINGODA]],LINGODA!D:D,LINGODA!F:F),"null")</f>
        <v>null</v>
      </c>
      <c r="AB117" s="286" t="str">
        <f>+IFERROR(_xlfn.XLOOKUP(Tabla3[[#This Row],[ID LINGODA]],LINGODA!D:D,LINGODA!G:G),"null")</f>
        <v>null</v>
      </c>
    </row>
    <row r="118" spans="1:28">
      <c r="A118" s="5" t="s">
        <v>2372</v>
      </c>
      <c r="B118" s="1" t="s">
        <v>2373</v>
      </c>
      <c r="C118" s="1" t="s">
        <v>14</v>
      </c>
      <c r="D118" s="1" t="s">
        <v>736</v>
      </c>
      <c r="E118" s="57">
        <v>1821384</v>
      </c>
      <c r="F118" s="57"/>
      <c r="G118" s="18">
        <f>(_xlfn.MINIFS(INGRESOS!A:A,INGRESOS!C:C,Tabla3[[#This Row],[CORREO]]))</f>
        <v>45896</v>
      </c>
      <c r="H118" s="3">
        <f>+SUMIFS(INGRESOS!J:J,INGRESOS!D:D,Tabla3[[#This Row],[ID STRIPE]],INGRESOS!A:A,"&gt;="&amp;DATE(YEAR(Tabla3[[#This Row],[FECHA INGRESO]]),MONTH(Tabla3[[#This Row],[FECHA INGRESO]]),1),INGRESOS!A:A,"&lt;="&amp;DATE(YEAR(Tabla3[[#This Row],[FECHA INGRESO]]),MONTH(Tabla3[[#This Row],[FECHA INGRESO]])+1,0))</f>
        <v>241.62</v>
      </c>
      <c r="I118" s="286">
        <f ca="1">DATEDIF(Tabla3[[#This Row],[FECHA INGRESO]],IF(OR(Tabla3[[#This Row],[ESTADO]]="OK",Tabla3[[#This Row],[ESTADO]]="¡REGULARIZAR!")=TRUE,TODAY(),IF(Tabla3[[#This Row],[ULTIMO PAGO]]="",TODAY(),Tabla3[[#This Row],[ULTIMO PAGO]])),"m")</f>
        <v>0</v>
      </c>
      <c r="J118" s="18">
        <f>(_xlfn.MAXIFS(INGRESOS!A:A,INGRESOS!C:C,Tabla3[[#This Row],[CORREO]]))</f>
        <v>45896</v>
      </c>
      <c r="K118" s="7">
        <f ca="1">+IFERROR(Tabla3[[#This Row],[ABONADO NETO ]]/Tabla3[[#This Row],[MESES ACT]],Tabla3[[#This Row],[ABONO 1ER MES]])</f>
        <v>241.62</v>
      </c>
      <c r="M118" s="287" t="s">
        <v>2139</v>
      </c>
      <c r="N118" s="288">
        <f>+SUMIF(INGRESOS!D:D,Tabla3[[#This Row],[ID STRIPE]],INGRESOS!J:J)</f>
        <v>241.62</v>
      </c>
      <c r="O118" s="6">
        <v>0</v>
      </c>
      <c r="P118" s="6">
        <f>+SUMIF('CALENDARIO INGRESOS'!A:A,Tabla3[[#This Row],[ID STRIPE]],'CALENDARIO INGRESOS'!I:I)</f>
        <v>250</v>
      </c>
      <c r="Q118" s="6">
        <f>+SUMIF(INGRESOS!D:D,Tabla3[[#This Row],[ID STRIPE]],INGRESOS!G:G)</f>
        <v>250</v>
      </c>
      <c r="R118" s="3" t="str">
        <f>IF(Tabla3[[#This Row],[ESTADO]]="OK",IF(COUNTIFS('CALENDARIO INGRESOS'!$A:$A,$D118,'CALENDARIO INGRESOS'!$H:$H,"LATAM",'CALENDARIO INGRESOS'!$L:$L,"&lt;&gt;PAGADA")&gt;0,"LATAM",
 IF(COUNTIFS('CALENDARIO INGRESOS'!$A:$A,$D118,'CALENDARIO INGRESOS'!$H:$H,"VISA",'CALENDARIO INGRESOS'!$L:$L,"&lt;&gt;PAGADA")&gt;0,"VISA",
  IF(COUNTIFS('CALENDARIO INGRESOS'!$A:$A,$D118,'CALENDARIO INGRESOS'!$H:$H,"FIRMA PA",'CALENDARIO INGRESOS'!$L:$L,"&lt;&gt;PAGADA")&gt;0,"FIRMA PA",
   IF(COUNTIFS('CALENDARIO INGRESOS'!$A:$A,$D118,'CALENDARIO INGRESOS'!$H:$H,"ALEM",'CALENDARIO INGRESOS'!$L:$L,"&lt;&gt;PAGADA")&gt;0,"ALEM","LISTO")))),"-")</f>
        <v>-</v>
      </c>
      <c r="S118" s="188">
        <f>+SUMIFS('CALENDARIO INGRESOS'!I:I,'CALENDARIO INGRESOS'!A:A,Tabla3[[#This Row],[ID STRIPE]],'CALENDARIO INGRESOS'!H:H,"LATAM")</f>
        <v>250</v>
      </c>
      <c r="T118" s="188">
        <f>+IF(Tabla3[[#This Row],[MONTO LATAM]]-Tabla3[[#This Row],[IMPORTE ABONADO]]&gt;=0,Tabla3[[#This Row],[MONTO LATAM]]-Tabla3[[#This Row],[IMPORTE ABONADO]],0)</f>
        <v>0</v>
      </c>
      <c r="U118" s="188">
        <f>+SUMIFS('CALENDARIO INGRESOS'!J:J,'CALENDARIO INGRESOS'!B:B,Tabla3[[#This Row],[ID STRIPE]],'CALENDARIO INGRESOS'!I:I,"ALEM")</f>
        <v>0</v>
      </c>
      <c r="V118" s="6">
        <f>+SUMIFS('CALENDARIO INGRESOS'!I:I,'CALENDARIO INGRESOS'!A:A,Tabla3[[#This Row],[ID STRIPE]],'CALENDARIO INGRESOS'!H:H,"VISA")+SUMIFS('CALENDARIO INGRESOS'!I:I,'CALENDARIO INGRESOS'!A:A,Tabla3[[#This Row],[ID STRIPE]],'CALENDARIO INGRESOS'!H:H,"FIRMA PA")</f>
        <v>0</v>
      </c>
      <c r="W118" s="250">
        <v>0</v>
      </c>
      <c r="X118" s="57">
        <f>+IFERROR(AVERAGEIF('CALENDARIO INGRESOS'!A:A,Tabla3[[#This Row],[ID STRIPE]],'CALENDARIO INGRESOS'!M:M),"0")</f>
        <v>0</v>
      </c>
      <c r="Y118" s="18" t="s">
        <v>2093</v>
      </c>
      <c r="Z118" s="286">
        <f>+IFERROR(_xlfn.XLOOKUP(Tabla3[[#This Row],[ID LINGODA]],LINGODA!D:D,LINGODA!S:S),0)</f>
        <v>0</v>
      </c>
      <c r="AA118" s="18" t="str">
        <f>+IFERROR(_xlfn.XLOOKUP(Tabla3[[#This Row],[ID LINGODA]],LINGODA!D:D,LINGODA!F:F),"null")</f>
        <v>null</v>
      </c>
      <c r="AB118" s="286" t="str">
        <f>+IFERROR(_xlfn.XLOOKUP(Tabla3[[#This Row],[ID LINGODA]],LINGODA!D:D,LINGODA!G:G),"null")</f>
        <v>null</v>
      </c>
    </row>
    <row r="119" spans="1:28">
      <c r="A119" s="5" t="s">
        <v>2374</v>
      </c>
      <c r="B119" s="1" t="s">
        <v>2375</v>
      </c>
      <c r="C119" s="1" t="s">
        <v>13</v>
      </c>
      <c r="D119" s="1" t="s">
        <v>739</v>
      </c>
      <c r="E119" s="60">
        <v>1820079</v>
      </c>
      <c r="F119" s="60"/>
      <c r="G119" s="18">
        <f>(_xlfn.MINIFS(INGRESOS!A:A,INGRESOS!C:C,Tabla3[[#This Row],[CORREO]]))</f>
        <v>45896</v>
      </c>
      <c r="H119" s="3">
        <f>+SUMIFS(INGRESOS!J:J,INGRESOS!D:D,Tabla3[[#This Row],[ID STRIPE]],INGRESOS!A:A,"&gt;="&amp;DATE(YEAR(Tabla3[[#This Row],[FECHA INGRESO]]),MONTH(Tabla3[[#This Row],[FECHA INGRESO]]),1),INGRESOS!A:A,"&lt;="&amp;DATE(YEAR(Tabla3[[#This Row],[FECHA INGRESO]]),MONTH(Tabla3[[#This Row],[FECHA INGRESO]])+1,0))</f>
        <v>1934.4899999999998</v>
      </c>
      <c r="I119" s="286">
        <f ca="1">DATEDIF(Tabla3[[#This Row],[FECHA INGRESO]],IF(OR(Tabla3[[#This Row],[ESTADO]]="OK",Tabla3[[#This Row],[ESTADO]]="¡REGULARIZAR!")=TRUE,TODAY(),IF(Tabla3[[#This Row],[ULTIMO PAGO]]="",TODAY(),Tabla3[[#This Row],[ULTIMO PAGO]])),"m")</f>
        <v>6</v>
      </c>
      <c r="J119" s="18">
        <f>(_xlfn.MAXIFS(INGRESOS!A:A,INGRESOS!C:C,Tabla3[[#This Row],[CORREO]]))</f>
        <v>46081</v>
      </c>
      <c r="K119" s="7">
        <f ca="1">+IFERROR(Tabla3[[#This Row],[ABONADO NETO ]]/Tabla3[[#This Row],[MESES ACT]],Tabla3[[#This Row],[ABONO 1ER MES]])</f>
        <v>999.41499999999996</v>
      </c>
      <c r="M119" s="287" t="s">
        <v>2119</v>
      </c>
      <c r="N119" s="288">
        <f>+SUMIF(INGRESOS!D:D,Tabla3[[#This Row],[ID STRIPE]],INGRESOS!J:J)</f>
        <v>5996.49</v>
      </c>
      <c r="O119" s="6">
        <v>24800</v>
      </c>
      <c r="P119" s="6">
        <f>+SUMIF('CALENDARIO INGRESOS'!A:A,Tabla3[[#This Row],[ID STRIPE]],'CALENDARIO INGRESOS'!I:I)</f>
        <v>24800</v>
      </c>
      <c r="Q119" s="6">
        <f>+SUMIF(INGRESOS!D:D,Tabla3[[#This Row],[ID STRIPE]],INGRESOS!G:G)</f>
        <v>6200</v>
      </c>
      <c r="R119" s="3" t="str">
        <f>IF(Tabla3[[#This Row],[ESTADO]]="OK",IF(COUNTIFS('CALENDARIO INGRESOS'!$A:$A,$D119,'CALENDARIO INGRESOS'!$H:$H,"LATAM",'CALENDARIO INGRESOS'!$L:$L,"&lt;&gt;PAGADA")&gt;0,"LATAM",
 IF(COUNTIFS('CALENDARIO INGRESOS'!$A:$A,$D119,'CALENDARIO INGRESOS'!$H:$H,"VISA",'CALENDARIO INGRESOS'!$L:$L,"&lt;&gt;PAGADA")&gt;0,"VISA",
  IF(COUNTIFS('CALENDARIO INGRESOS'!$A:$A,$D119,'CALENDARIO INGRESOS'!$H:$H,"FIRMA PA",'CALENDARIO INGRESOS'!$L:$L,"&lt;&gt;PAGADA")&gt;0,"FIRMA PA",
   IF(COUNTIFS('CALENDARIO INGRESOS'!$A:$A,$D119,'CALENDARIO INGRESOS'!$H:$H,"ALEM",'CALENDARIO INGRESOS'!$L:$L,"&lt;&gt;PAGADA")&gt;0,"ALEM","LISTO")))),"-")</f>
        <v>LATAM</v>
      </c>
      <c r="S119" s="188">
        <f>+SUMIFS('CALENDARIO INGRESOS'!I:I,'CALENDARIO INGRESOS'!A:A,Tabla3[[#This Row],[ID STRIPE]],'CALENDARIO INGRESOS'!H:H,"LATAM")</f>
        <v>18800</v>
      </c>
      <c r="T119" s="188">
        <f>+IF(Tabla3[[#This Row],[MONTO LATAM]]-Tabla3[[#This Row],[IMPORTE ABONADO]]&gt;=0,Tabla3[[#This Row],[MONTO LATAM]]-Tabla3[[#This Row],[IMPORTE ABONADO]],0)</f>
        <v>12600</v>
      </c>
      <c r="U119" s="188">
        <f>+SUMIFS('CALENDARIO INGRESOS'!I:I,'CALENDARIO INGRESOS'!A:A,Tabla3[[#This Row],[ID STRIPE]],'CALENDARIO INGRESOS'!H:H,"ALEM")</f>
        <v>6000</v>
      </c>
      <c r="V119" s="6">
        <f>+SUMIFS('CALENDARIO INGRESOS'!I:I,'CALENDARIO INGRESOS'!A:A,Tabla3[[#This Row],[ID STRIPE]],'CALENDARIO INGRESOS'!H:H,"VISA")+SUMIFS('CALENDARIO INGRESOS'!I:I,'CALENDARIO INGRESOS'!A:A,Tabla3[[#This Row],[ID STRIPE]],'CALENDARIO INGRESOS'!H:H,"FIRMA PA")</f>
        <v>0</v>
      </c>
      <c r="W119" s="250">
        <v>0</v>
      </c>
      <c r="X119" s="60">
        <f>+IFERROR(AVERAGEIF('CALENDARIO INGRESOS'!A:A,Tabla3[[#This Row],[ID STRIPE]],'CALENDARIO INGRESOS'!M:M),"0")</f>
        <v>-0.625</v>
      </c>
      <c r="Y119" s="18">
        <v>46031</v>
      </c>
      <c r="Z119" s="286">
        <f>+IFERROR(_xlfn.XLOOKUP(Tabla3[[#This Row],[ID LINGODA]],LINGODA!D:D,LINGODA!S:S),0)</f>
        <v>47</v>
      </c>
      <c r="AA119" s="18" t="str">
        <f>+IFERROR(_xlfn.XLOOKUP(Tabla3[[#This Row],[ID LINGODA]],LINGODA!D:D,LINGODA!F:F),"null")</f>
        <v>A1.1</v>
      </c>
      <c r="AB119" s="286" t="str">
        <f>+IFERROR(_xlfn.XLOOKUP(Tabla3[[#This Row],[ID LINGODA]],LINGODA!D:D,LINGODA!G:G),"null")</f>
        <v>A1.1</v>
      </c>
    </row>
    <row r="120" spans="1:28">
      <c r="A120" s="5" t="s">
        <v>2376</v>
      </c>
      <c r="B120" s="1" t="s">
        <v>2377</v>
      </c>
      <c r="C120" s="1" t="s">
        <v>12</v>
      </c>
      <c r="D120" s="1" t="s">
        <v>744</v>
      </c>
      <c r="E120" s="60">
        <v>1821387</v>
      </c>
      <c r="F120" s="60"/>
      <c r="G120" s="18">
        <f>(_xlfn.MINIFS(INGRESOS!A:A,INGRESOS!C:C,Tabla3[[#This Row],[CORREO]]))</f>
        <v>45897</v>
      </c>
      <c r="H120" s="3">
        <f>+SUMIFS(INGRESOS!J:J,INGRESOS!D:D,Tabla3[[#This Row],[ID STRIPE]],INGRESOS!A:A,"&gt;="&amp;DATE(YEAR(Tabla3[[#This Row],[FECHA INGRESO]]),MONTH(Tabla3[[#This Row],[FECHA INGRESO]]),1),INGRESOS!A:A,"&lt;="&amp;DATE(YEAR(Tabla3[[#This Row],[FECHA INGRESO]]),MONTH(Tabla3[[#This Row],[FECHA INGRESO]])+1,0))</f>
        <v>241.62</v>
      </c>
      <c r="I120" s="286">
        <f ca="1">DATEDIF(Tabla3[[#This Row],[FECHA INGRESO]],IF(OR(Tabla3[[#This Row],[ESTADO]]="OK",Tabla3[[#This Row],[ESTADO]]="¡REGULARIZAR!")=TRUE,TODAY(),IF(Tabla3[[#This Row],[ULTIMO PAGO]]="",TODAY(),Tabla3[[#This Row],[ULTIMO PAGO]])),"m")</f>
        <v>6</v>
      </c>
      <c r="J120" s="18">
        <f>(_xlfn.MAXIFS(INGRESOS!A:A,INGRESOS!C:C,Tabla3[[#This Row],[CORREO]]))</f>
        <v>45993</v>
      </c>
      <c r="K120" s="7">
        <f ca="1">+IFERROR(Tabla3[[#This Row],[ABONADO NETO ]]/Tabla3[[#This Row],[MESES ACT]],Tabla3[[#This Row],[ABONO 1ER MES]])</f>
        <v>2450.7083333333335</v>
      </c>
      <c r="M120" s="287" t="s">
        <v>2119</v>
      </c>
      <c r="N120" s="288">
        <f>+SUMIF(INGRESOS!D:D,Tabla3[[#This Row],[ID STRIPE]],INGRESOS!J:J)</f>
        <v>14704.250000000002</v>
      </c>
      <c r="O120" s="6">
        <v>21200</v>
      </c>
      <c r="P120" s="6">
        <f>+SUMIF('CALENDARIO INGRESOS'!A:A,Tabla3[[#This Row],[ID STRIPE]],'CALENDARIO INGRESOS'!I:I)</f>
        <v>21200</v>
      </c>
      <c r="Q120" s="6">
        <f>+SUMIF(INGRESOS!D:D,Tabla3[[#This Row],[ID STRIPE]],INGRESOS!G:G)</f>
        <v>15200.01</v>
      </c>
      <c r="R120" s="3" t="str">
        <f>IF(Tabla3[[#This Row],[ESTADO]]="OK",IF(COUNTIFS('CALENDARIO INGRESOS'!$A:$A,$D120,'CALENDARIO INGRESOS'!$H:$H,"LATAM",'CALENDARIO INGRESOS'!$L:$L,"&lt;&gt;PAGADA")&gt;0,"LATAM",
 IF(COUNTIFS('CALENDARIO INGRESOS'!$A:$A,$D120,'CALENDARIO INGRESOS'!$H:$H,"VISA",'CALENDARIO INGRESOS'!$L:$L,"&lt;&gt;PAGADA")&gt;0,"VISA",
  IF(COUNTIFS('CALENDARIO INGRESOS'!$A:$A,$D120,'CALENDARIO INGRESOS'!$H:$H,"FIRMA PA",'CALENDARIO INGRESOS'!$L:$L,"&lt;&gt;PAGADA")&gt;0,"FIRMA PA",
   IF(COUNTIFS('CALENDARIO INGRESOS'!$A:$A,$D120,'CALENDARIO INGRESOS'!$H:$H,"ALEM",'CALENDARIO INGRESOS'!$L:$L,"&lt;&gt;PAGADA")&gt;0,"ALEM","LISTO")))),"-")</f>
        <v>ALEM</v>
      </c>
      <c r="S120" s="188">
        <f>+SUMIFS('CALENDARIO INGRESOS'!I:I,'CALENDARIO INGRESOS'!A:A,Tabla3[[#This Row],[ID STRIPE]],'CALENDARIO INGRESOS'!H:H,"LATAM")</f>
        <v>15199.999999999998</v>
      </c>
      <c r="T120" s="188">
        <f>+IF(Tabla3[[#This Row],[MONTO LATAM]]-Tabla3[[#This Row],[IMPORTE ABONADO]]&gt;=0,Tabla3[[#This Row],[MONTO LATAM]]-Tabla3[[#This Row],[IMPORTE ABONADO]],0)</f>
        <v>0</v>
      </c>
      <c r="U120" s="188">
        <f>+SUMIFS('CALENDARIO INGRESOS'!I:I,'CALENDARIO INGRESOS'!A:A,Tabla3[[#This Row],[ID STRIPE]],'CALENDARIO INGRESOS'!H:H,"ALEM")</f>
        <v>6000</v>
      </c>
      <c r="V120" s="6">
        <f>+SUMIFS('CALENDARIO INGRESOS'!I:I,'CALENDARIO INGRESOS'!A:A,Tabla3[[#This Row],[ID STRIPE]],'CALENDARIO INGRESOS'!H:H,"VISA")+SUMIFS('CALENDARIO INGRESOS'!I:I,'CALENDARIO INGRESOS'!A:A,Tabla3[[#This Row],[ID STRIPE]],'CALENDARIO INGRESOS'!H:H,"FIRMA PA")</f>
        <v>0</v>
      </c>
      <c r="W120" s="250">
        <v>1</v>
      </c>
      <c r="X120" s="60">
        <f>+IFERROR(AVERAGEIF('CALENDARIO INGRESOS'!A:A,Tabla3[[#This Row],[ID STRIPE]],'CALENDARIO INGRESOS'!M:M),"0")</f>
        <v>-1.1428571428571428</v>
      </c>
      <c r="Y120" s="18">
        <v>46631</v>
      </c>
      <c r="Z120" s="286">
        <f>+IFERROR(_xlfn.XLOOKUP(Tabla3[[#This Row],[ID LINGODA]],LINGODA!D:D,LINGODA!S:S),0)</f>
        <v>4</v>
      </c>
      <c r="AA120" s="18" t="str">
        <f>+IFERROR(_xlfn.XLOOKUP(Tabla3[[#This Row],[ID LINGODA]],LINGODA!D:D,LINGODA!F:F),"null")</f>
        <v>A1.1</v>
      </c>
      <c r="AB120" s="286" t="str">
        <f>+IFERROR(_xlfn.XLOOKUP(Tabla3[[#This Row],[ID LINGODA]],LINGODA!D:D,LINGODA!G:G),"null")</f>
        <v>A1.1</v>
      </c>
    </row>
    <row r="121" spans="1:28">
      <c r="A121" s="5" t="s">
        <v>2378</v>
      </c>
      <c r="B121" s="1" t="s">
        <v>2379</v>
      </c>
      <c r="C121" s="1" t="s">
        <v>14</v>
      </c>
      <c r="D121" s="1" t="s">
        <v>751</v>
      </c>
      <c r="E121" s="60">
        <v>1821578</v>
      </c>
      <c r="F121" s="60"/>
      <c r="G121" s="18">
        <f>(_xlfn.MINIFS(INGRESOS!A:A,INGRESOS!C:C,Tabla3[[#This Row],[CORREO]]))</f>
        <v>45898</v>
      </c>
      <c r="H121" s="3">
        <f>+SUMIFS(INGRESOS!J:J,INGRESOS!D:D,Tabla3[[#This Row],[ID STRIPE]],INGRESOS!A:A,"&gt;="&amp;DATE(YEAR(Tabla3[[#This Row],[FECHA INGRESO]]),MONTH(Tabla3[[#This Row],[FECHA INGRESO]]),1),INGRESOS!A:A,"&lt;="&amp;DATE(YEAR(Tabla3[[#This Row],[FECHA INGRESO]]),MONTH(Tabla3[[#This Row],[FECHA INGRESO]])+1,0))</f>
        <v>3869.5</v>
      </c>
      <c r="I121" s="286">
        <f ca="1">DATEDIF(Tabla3[[#This Row],[FECHA INGRESO]],IF(OR(Tabla3[[#This Row],[ESTADO]]="OK",Tabla3[[#This Row],[ESTADO]]="¡REGULARIZAR!")=TRUE,TODAY(),IF(Tabla3[[#This Row],[ULTIMO PAGO]]="",TODAY(),Tabla3[[#This Row],[ULTIMO PAGO]])),"m")</f>
        <v>6</v>
      </c>
      <c r="J121" s="18">
        <f>(_xlfn.MAXIFS(INGRESOS!A:A,INGRESOS!C:C,Tabla3[[#This Row],[CORREO]]))</f>
        <v>46067</v>
      </c>
      <c r="K121" s="7">
        <f ca="1">+IFERROR(Tabla3[[#This Row],[ABONADO NETO ]]/Tabla3[[#This Row],[MESES ACT]],Tabla3[[#This Row],[ABONO 1ER MES]])</f>
        <v>1612.1666666666667</v>
      </c>
      <c r="M121" s="287" t="s">
        <v>2119</v>
      </c>
      <c r="N121" s="288">
        <f>+SUMIF(INGRESOS!D:D,Tabla3[[#This Row],[ID STRIPE]],INGRESOS!J:J)</f>
        <v>9673</v>
      </c>
      <c r="O121" s="6">
        <v>22000</v>
      </c>
      <c r="P121" s="6">
        <f>+SUMIF('CALENDARIO INGRESOS'!A:A,Tabla3[[#This Row],[ID STRIPE]],'CALENDARIO INGRESOS'!I:I)</f>
        <v>22000</v>
      </c>
      <c r="Q121" s="6">
        <f>+SUMIF(INGRESOS!D:D,Tabla3[[#This Row],[ID STRIPE]],INGRESOS!G:G)</f>
        <v>10000</v>
      </c>
      <c r="R121" s="3" t="str">
        <f>IF(Tabla3[[#This Row],[ESTADO]]="OK",IF(COUNTIFS('CALENDARIO INGRESOS'!$A:$A,$D121,'CALENDARIO INGRESOS'!$H:$H,"LATAM",'CALENDARIO INGRESOS'!$L:$L,"&lt;&gt;PAGADA")&gt;0,"LATAM",
 IF(COUNTIFS('CALENDARIO INGRESOS'!$A:$A,$D121,'CALENDARIO INGRESOS'!$H:$H,"VISA",'CALENDARIO INGRESOS'!$L:$L,"&lt;&gt;PAGADA")&gt;0,"VISA",
  IF(COUNTIFS('CALENDARIO INGRESOS'!$A:$A,$D121,'CALENDARIO INGRESOS'!$H:$H,"FIRMA PA",'CALENDARIO INGRESOS'!$L:$L,"&lt;&gt;PAGADA")&gt;0,"FIRMA PA",
   IF(COUNTIFS('CALENDARIO INGRESOS'!$A:$A,$D121,'CALENDARIO INGRESOS'!$H:$H,"ALEM",'CALENDARIO INGRESOS'!$L:$L,"&lt;&gt;PAGADA")&gt;0,"ALEM","LISTO")))),"-")</f>
        <v>LATAM</v>
      </c>
      <c r="S121" s="188">
        <f>+SUMIFS('CALENDARIO INGRESOS'!I:I,'CALENDARIO INGRESOS'!A:A,Tabla3[[#This Row],[ID STRIPE]],'CALENDARIO INGRESOS'!H:H,"LATAM")</f>
        <v>16000</v>
      </c>
      <c r="T121" s="188">
        <f>+IF(Tabla3[[#This Row],[MONTO LATAM]]-Tabla3[[#This Row],[IMPORTE ABONADO]]&gt;=0,Tabla3[[#This Row],[MONTO LATAM]]-Tabla3[[#This Row],[IMPORTE ABONADO]],0)</f>
        <v>6000</v>
      </c>
      <c r="U121" s="188">
        <f>+SUMIFS('CALENDARIO INGRESOS'!I:I,'CALENDARIO INGRESOS'!A:A,Tabla3[[#This Row],[ID STRIPE]],'CALENDARIO INGRESOS'!H:H,"ALEM")</f>
        <v>6000</v>
      </c>
      <c r="V121" s="6">
        <f>+SUMIFS('CALENDARIO INGRESOS'!I:I,'CALENDARIO INGRESOS'!A:A,Tabla3[[#This Row],[ID STRIPE]],'CALENDARIO INGRESOS'!H:H,"VISA")+SUMIFS('CALENDARIO INGRESOS'!I:I,'CALENDARIO INGRESOS'!A:A,Tabla3[[#This Row],[ID STRIPE]],'CALENDARIO INGRESOS'!H:H,"FIRMA PA")</f>
        <v>0</v>
      </c>
      <c r="W121" s="250">
        <v>1</v>
      </c>
      <c r="X121" s="60">
        <f>+IFERROR(AVERAGEIF('CALENDARIO INGRESOS'!A:A,Tabla3[[#This Row],[ID STRIPE]],'CALENDARIO INGRESOS'!M:M),"0")</f>
        <v>0</v>
      </c>
      <c r="Y121" s="18">
        <v>46323</v>
      </c>
      <c r="Z121" s="286">
        <f>+IFERROR(_xlfn.XLOOKUP(Tabla3[[#This Row],[ID LINGODA]],LINGODA!D:D,LINGODA!S:S),0)</f>
        <v>72</v>
      </c>
      <c r="AA121" s="18" t="str">
        <f>+IFERROR(_xlfn.XLOOKUP(Tabla3[[#This Row],[ID LINGODA]],LINGODA!D:D,LINGODA!F:F),"null")</f>
        <v>A1.1</v>
      </c>
      <c r="AB121" s="286" t="str">
        <f>+IFERROR(_xlfn.XLOOKUP(Tabla3[[#This Row],[ID LINGODA]],LINGODA!D:D,LINGODA!G:G),"null")</f>
        <v>A1.2</v>
      </c>
    </row>
    <row r="122" spans="1:28">
      <c r="A122" s="5" t="s">
        <v>2380</v>
      </c>
      <c r="B122" s="1" t="s">
        <v>2381</v>
      </c>
      <c r="C122" s="1" t="s">
        <v>11</v>
      </c>
      <c r="D122" s="1" t="s">
        <v>756</v>
      </c>
      <c r="E122" s="60">
        <v>1822190</v>
      </c>
      <c r="F122" s="60"/>
      <c r="G122" s="18">
        <f>(_xlfn.MINIFS(INGRESOS!A:A,INGRESOS!C:C,Tabla3[[#This Row],[CORREO]]))</f>
        <v>45898</v>
      </c>
      <c r="H122" s="3">
        <f>+SUMIFS(INGRESOS!J:J,INGRESOS!D:D,Tabla3[[#This Row],[ID STRIPE]],INGRESOS!A:A,"&gt;="&amp;DATE(YEAR(Tabla3[[#This Row],[FECHA INGRESO]]),MONTH(Tabla3[[#This Row],[FECHA INGRESO]]),1),INGRESOS!A:A,"&lt;="&amp;DATE(YEAR(Tabla3[[#This Row],[FECHA INGRESO]]),MONTH(Tabla3[[#This Row],[FECHA INGRESO]])+1,0))</f>
        <v>241.62</v>
      </c>
      <c r="I122" s="286">
        <f ca="1">DATEDIF(Tabla3[[#This Row],[FECHA INGRESO]],IF(OR(Tabla3[[#This Row],[ESTADO]]="OK",Tabla3[[#This Row],[ESTADO]]="¡REGULARIZAR!")=TRUE,TODAY(),IF(Tabla3[[#This Row],[ULTIMO PAGO]]="",TODAY(),Tabla3[[#This Row],[ULTIMO PAGO]])),"m")</f>
        <v>1</v>
      </c>
      <c r="J122" s="18">
        <f>(_xlfn.MAXIFS(INGRESOS!A:A,INGRESOS!C:C,Tabla3[[#This Row],[CORREO]]))</f>
        <v>45944</v>
      </c>
      <c r="K122" s="7">
        <f ca="1">+IFERROR(Tabla3[[#This Row],[ABONADO NETO ]]/Tabla3[[#This Row],[MESES ACT]],Tabla3[[#This Row],[ABONO 1ER MES]])</f>
        <v>6896.99</v>
      </c>
      <c r="M122" s="287" t="s">
        <v>2139</v>
      </c>
      <c r="N122" s="288">
        <f>+SUMIF(INGRESOS!D:D,Tabla3[[#This Row],[ID STRIPE]],INGRESOS!J:J)</f>
        <v>6896.99</v>
      </c>
      <c r="O122" s="6">
        <v>21200</v>
      </c>
      <c r="P122" s="6">
        <f>+SUMIF('CALENDARIO INGRESOS'!A:A,Tabla3[[#This Row],[ID STRIPE]],'CALENDARIO INGRESOS'!I:I)</f>
        <v>15200</v>
      </c>
      <c r="Q122" s="6">
        <f>+SUMIF(INGRESOS!D:D,Tabla3[[#This Row],[ID STRIPE]],INGRESOS!G:G)</f>
        <v>7000</v>
      </c>
      <c r="R122" s="3" t="str">
        <f>IF(Tabla3[[#This Row],[ESTADO]]="OK",IF(COUNTIFS('CALENDARIO INGRESOS'!$A:$A,$D122,'CALENDARIO INGRESOS'!$H:$H,"LATAM",'CALENDARIO INGRESOS'!$L:$L,"&lt;&gt;PAGADA")&gt;0,"LATAM",
 IF(COUNTIFS('CALENDARIO INGRESOS'!$A:$A,$D122,'CALENDARIO INGRESOS'!$H:$H,"VISA",'CALENDARIO INGRESOS'!$L:$L,"&lt;&gt;PAGADA")&gt;0,"VISA",
  IF(COUNTIFS('CALENDARIO INGRESOS'!$A:$A,$D122,'CALENDARIO INGRESOS'!$H:$H,"FIRMA PA",'CALENDARIO INGRESOS'!$L:$L,"&lt;&gt;PAGADA")&gt;0,"FIRMA PA",
   IF(COUNTIFS('CALENDARIO INGRESOS'!$A:$A,$D122,'CALENDARIO INGRESOS'!$H:$H,"ALEM",'CALENDARIO INGRESOS'!$L:$L,"&lt;&gt;PAGADA")&gt;0,"ALEM","LISTO")))),"-")</f>
        <v>-</v>
      </c>
      <c r="S122" s="188">
        <f>+SUMIFS('CALENDARIO INGRESOS'!I:I,'CALENDARIO INGRESOS'!A:A,Tabla3[[#This Row],[ID STRIPE]],'CALENDARIO INGRESOS'!H:H,"LATAM")</f>
        <v>15200</v>
      </c>
      <c r="T122" s="188">
        <f>+IF(Tabla3[[#This Row],[MONTO LATAM]]-Tabla3[[#This Row],[IMPORTE ABONADO]]&gt;=0,Tabla3[[#This Row],[MONTO LATAM]]-Tabla3[[#This Row],[IMPORTE ABONADO]],0)</f>
        <v>8200</v>
      </c>
      <c r="U122" s="188">
        <f>+SUMIFS('CALENDARIO INGRESOS'!I:I,'CALENDARIO INGRESOS'!A:A,Tabla3[[#This Row],[ID STRIPE]],'CALENDARIO INGRESOS'!H:H,"ALEM")</f>
        <v>0</v>
      </c>
      <c r="V122" s="6">
        <f>+SUMIFS('CALENDARIO INGRESOS'!I:I,'CALENDARIO INGRESOS'!A:A,Tabla3[[#This Row],[ID STRIPE]],'CALENDARIO INGRESOS'!H:H,"VISA")+SUMIFS('CALENDARIO INGRESOS'!I:I,'CALENDARIO INGRESOS'!A:A,Tabla3[[#This Row],[ID STRIPE]],'CALENDARIO INGRESOS'!H:H,"FIRMA PA")</f>
        <v>0</v>
      </c>
      <c r="W122" s="252">
        <v>0</v>
      </c>
      <c r="X122" s="60">
        <f>+IFERROR(AVERAGEIF('CALENDARIO INGRESOS'!A:A,Tabla3[[#This Row],[ID STRIPE]],'CALENDARIO INGRESOS'!M:M),"0")</f>
        <v>-4.333333333333333</v>
      </c>
      <c r="Y122" s="18" t="s">
        <v>2093</v>
      </c>
      <c r="Z122" s="286">
        <f>+IFERROR(_xlfn.XLOOKUP(Tabla3[[#This Row],[ID LINGODA]],LINGODA!D:D,LINGODA!S:S),0)</f>
        <v>0</v>
      </c>
      <c r="AA122" s="18" t="str">
        <f>+IFERROR(_xlfn.XLOOKUP(Tabla3[[#This Row],[ID LINGODA]],LINGODA!D:D,LINGODA!F:F),"null")</f>
        <v>null</v>
      </c>
      <c r="AB122" s="286" t="str">
        <f>+IFERROR(_xlfn.XLOOKUP(Tabla3[[#This Row],[ID LINGODA]],LINGODA!D:D,LINGODA!G:G),"null")</f>
        <v>null</v>
      </c>
    </row>
    <row r="123" spans="1:28">
      <c r="A123" s="5" t="s">
        <v>2382</v>
      </c>
      <c r="B123" s="1" t="s">
        <v>2383</v>
      </c>
      <c r="C123" s="1" t="s">
        <v>14</v>
      </c>
      <c r="D123" s="1" t="s">
        <v>762</v>
      </c>
      <c r="E123" s="60">
        <v>1821577</v>
      </c>
      <c r="F123" s="60"/>
      <c r="G123" s="18">
        <f>(_xlfn.MINIFS(INGRESOS!A:A,INGRESOS!C:C,Tabla3[[#This Row],[CORREO]]))</f>
        <v>45898</v>
      </c>
      <c r="H123" s="3">
        <f>+SUMIFS(INGRESOS!J:J,INGRESOS!D:D,Tabla3[[#This Row],[ID STRIPE]],INGRESOS!A:A,"&gt;="&amp;DATE(YEAR(Tabla3[[#This Row],[FECHA INGRESO]]),MONTH(Tabla3[[#This Row],[FECHA INGRESO]]),1),INGRESOS!A:A,"&lt;="&amp;DATE(YEAR(Tabla3[[#This Row],[FECHA INGRESO]]),MONTH(Tabla3[[#This Row],[FECHA INGRESO]])+1,0))</f>
        <v>3869.75</v>
      </c>
      <c r="I123" s="286">
        <f ca="1">DATEDIF(Tabla3[[#This Row],[FECHA INGRESO]],IF(OR(Tabla3[[#This Row],[ESTADO]]="OK",Tabla3[[#This Row],[ESTADO]]="¡REGULARIZAR!")=TRUE,TODAY(),IF(Tabla3[[#This Row],[ULTIMO PAGO]]="",TODAY(),Tabla3[[#This Row],[ULTIMO PAGO]])),"m")</f>
        <v>6</v>
      </c>
      <c r="J123" s="18">
        <f>(_xlfn.MAXIFS(INGRESOS!A:A,INGRESOS!C:C,Tabla3[[#This Row],[CORREO]]))</f>
        <v>46069</v>
      </c>
      <c r="K123" s="7">
        <f ca="1">+IFERROR(Tabla3[[#This Row],[ABONADO NETO ]]/Tabla3[[#This Row],[MESES ACT]],Tabla3[[#This Row],[ABONO 1ER MES]])</f>
        <v>1612.2083333333333</v>
      </c>
      <c r="M123" s="287" t="s">
        <v>2119</v>
      </c>
      <c r="N123" s="288">
        <f>+SUMIF(INGRESOS!D:D,Tabla3[[#This Row],[ID STRIPE]],INGRESOS!J:J)</f>
        <v>9673.25</v>
      </c>
      <c r="O123" s="6">
        <v>22000</v>
      </c>
      <c r="P123" s="6">
        <f>+SUMIF('CALENDARIO INGRESOS'!A:A,Tabla3[[#This Row],[ID STRIPE]],'CALENDARIO INGRESOS'!I:I)</f>
        <v>22000</v>
      </c>
      <c r="Q123" s="6">
        <f>+SUMIF(INGRESOS!D:D,Tabla3[[#This Row],[ID STRIPE]],INGRESOS!G:G)</f>
        <v>10000</v>
      </c>
      <c r="R123" s="3" t="str">
        <f>IF(Tabla3[[#This Row],[ESTADO]]="OK",IF(COUNTIFS('CALENDARIO INGRESOS'!$A:$A,$D123,'CALENDARIO INGRESOS'!$H:$H,"LATAM",'CALENDARIO INGRESOS'!$L:$L,"&lt;&gt;PAGADA")&gt;0,"LATAM",
 IF(COUNTIFS('CALENDARIO INGRESOS'!$A:$A,$D123,'CALENDARIO INGRESOS'!$H:$H,"VISA",'CALENDARIO INGRESOS'!$L:$L,"&lt;&gt;PAGADA")&gt;0,"VISA",
  IF(COUNTIFS('CALENDARIO INGRESOS'!$A:$A,$D123,'CALENDARIO INGRESOS'!$H:$H,"FIRMA PA",'CALENDARIO INGRESOS'!$L:$L,"&lt;&gt;PAGADA")&gt;0,"FIRMA PA",
   IF(COUNTIFS('CALENDARIO INGRESOS'!$A:$A,$D123,'CALENDARIO INGRESOS'!$H:$H,"ALEM",'CALENDARIO INGRESOS'!$L:$L,"&lt;&gt;PAGADA")&gt;0,"ALEM","LISTO")))),"-")</f>
        <v>LATAM</v>
      </c>
      <c r="S123" s="188">
        <f>+SUMIFS('CALENDARIO INGRESOS'!I:I,'CALENDARIO INGRESOS'!A:A,Tabla3[[#This Row],[ID STRIPE]],'CALENDARIO INGRESOS'!H:H,"LATAM")</f>
        <v>16000</v>
      </c>
      <c r="T123" s="188">
        <f>+IF(Tabla3[[#This Row],[MONTO LATAM]]-Tabla3[[#This Row],[IMPORTE ABONADO]]&gt;=0,Tabla3[[#This Row],[MONTO LATAM]]-Tabla3[[#This Row],[IMPORTE ABONADO]],0)</f>
        <v>6000</v>
      </c>
      <c r="U123" s="188">
        <f>+SUMIFS('CALENDARIO INGRESOS'!I:I,'CALENDARIO INGRESOS'!A:A,Tabla3[[#This Row],[ID STRIPE]],'CALENDARIO INGRESOS'!H:H,"ALEM")</f>
        <v>6000</v>
      </c>
      <c r="V123" s="6">
        <f>+SUMIFS('CALENDARIO INGRESOS'!I:I,'CALENDARIO INGRESOS'!A:A,Tabla3[[#This Row],[ID STRIPE]],'CALENDARIO INGRESOS'!H:H,"VISA")+SUMIFS('CALENDARIO INGRESOS'!I:I,'CALENDARIO INGRESOS'!A:A,Tabla3[[#This Row],[ID STRIPE]],'CALENDARIO INGRESOS'!H:H,"FIRMA PA")</f>
        <v>0</v>
      </c>
      <c r="W123" s="250">
        <v>1</v>
      </c>
      <c r="X123" s="60">
        <f>+IFERROR(AVERAGEIF('CALENDARIO INGRESOS'!A:A,Tabla3[[#This Row],[ID STRIPE]],'CALENDARIO INGRESOS'!M:M),"0")</f>
        <v>-0.14285714285714285</v>
      </c>
      <c r="Y123" s="18" t="s">
        <v>2093</v>
      </c>
      <c r="Z123" s="286">
        <f>+IFERROR(_xlfn.XLOOKUP(Tabla3[[#This Row],[ID LINGODA]],LINGODA!D:D,LINGODA!S:S),0)</f>
        <v>84</v>
      </c>
      <c r="AA123" s="18" t="str">
        <f>+IFERROR(_xlfn.XLOOKUP(Tabla3[[#This Row],[ID LINGODA]],LINGODA!D:D,LINGODA!F:F),"null")</f>
        <v>A1.1</v>
      </c>
      <c r="AB123" s="286" t="str">
        <f>+IFERROR(_xlfn.XLOOKUP(Tabla3[[#This Row],[ID LINGODA]],LINGODA!D:D,LINGODA!G:G),"null")</f>
        <v>A1.2</v>
      </c>
    </row>
    <row r="124" spans="1:28">
      <c r="A124" s="5" t="s">
        <v>2384</v>
      </c>
      <c r="B124" s="1" t="s">
        <v>2385</v>
      </c>
      <c r="C124" s="5" t="s">
        <v>23</v>
      </c>
      <c r="D124" s="1" t="s">
        <v>773</v>
      </c>
      <c r="E124" s="57">
        <v>1822188</v>
      </c>
      <c r="F124" s="57"/>
      <c r="G124" s="18">
        <f>(_xlfn.MINIFS(INGRESOS!A:A,INGRESOS!C:C,Tabla3[[#This Row],[CORREO]]))</f>
        <v>45899</v>
      </c>
      <c r="H124" s="3">
        <f>+SUMIFS(INGRESOS!J:J,INGRESOS!D:D,Tabla3[[#This Row],[ID STRIPE]],INGRESOS!A:A,"&gt;="&amp;DATE(YEAR(Tabla3[[#This Row],[FECHA INGRESO]]),MONTH(Tabla3[[#This Row],[FECHA INGRESO]]),1),INGRESOS!A:A,"&lt;="&amp;DATE(YEAR(Tabla3[[#This Row],[FECHA INGRESO]]),MONTH(Tabla3[[#This Row],[FECHA INGRESO]])+1,0))</f>
        <v>241.62</v>
      </c>
      <c r="I124" s="286">
        <f ca="1">DATEDIF(Tabla3[[#This Row],[FECHA INGRESO]],IF(OR(Tabla3[[#This Row],[ESTADO]]="OK",Tabla3[[#This Row],[ESTADO]]="¡REGULARIZAR!")=TRUE,TODAY(),IF(Tabla3[[#This Row],[ULTIMO PAGO]]="",TODAY(),Tabla3[[#This Row],[ULTIMO PAGO]])),"m")</f>
        <v>0</v>
      </c>
      <c r="J124" s="18">
        <f>(_xlfn.MAXIFS(INGRESOS!A:A,INGRESOS!C:C,Tabla3[[#This Row],[CORREO]]))</f>
        <v>45905</v>
      </c>
      <c r="K124" s="7">
        <f ca="1">+IFERROR(Tabla3[[#This Row],[ABONADO NETO ]]/Tabla3[[#This Row],[MESES ACT]],Tabla3[[#This Row],[ABONO 1ER MES]])</f>
        <v>241.62</v>
      </c>
      <c r="M124" s="287" t="s">
        <v>2139</v>
      </c>
      <c r="N124" s="288">
        <f>+SUMIF(INGRESOS!D:D,Tabla3[[#This Row],[ID STRIPE]],INGRESOS!J:J)</f>
        <v>1971.62</v>
      </c>
      <c r="O124" s="6">
        <v>22000</v>
      </c>
      <c r="P124" s="6">
        <f>+SUMIF('CALENDARIO INGRESOS'!A:A,Tabla3[[#This Row],[ID STRIPE]],'CALENDARIO INGRESOS'!I:I)</f>
        <v>1980</v>
      </c>
      <c r="Q124" s="6">
        <f>+SUMIF(INGRESOS!D:D,Tabla3[[#This Row],[ID STRIPE]],INGRESOS!G:G)</f>
        <v>1985</v>
      </c>
      <c r="R124" s="3" t="str">
        <f>IF(Tabla3[[#This Row],[ESTADO]]="OK",IF(COUNTIFS('CALENDARIO INGRESOS'!$A:$A,$D124,'CALENDARIO INGRESOS'!$H:$H,"LATAM",'CALENDARIO INGRESOS'!$L:$L,"&lt;&gt;PAGADA")&gt;0,"LATAM",
 IF(COUNTIFS('CALENDARIO INGRESOS'!$A:$A,$D124,'CALENDARIO INGRESOS'!$H:$H,"VISA",'CALENDARIO INGRESOS'!$L:$L,"&lt;&gt;PAGADA")&gt;0,"VISA",
  IF(COUNTIFS('CALENDARIO INGRESOS'!$A:$A,$D124,'CALENDARIO INGRESOS'!$H:$H,"FIRMA PA",'CALENDARIO INGRESOS'!$L:$L,"&lt;&gt;PAGADA")&gt;0,"FIRMA PA",
   IF(COUNTIFS('CALENDARIO INGRESOS'!$A:$A,$D124,'CALENDARIO INGRESOS'!$H:$H,"ALEM",'CALENDARIO INGRESOS'!$L:$L,"&lt;&gt;PAGADA")&gt;0,"ALEM","LISTO")))),"-")</f>
        <v>-</v>
      </c>
      <c r="S124" s="188">
        <f>+SUMIFS('CALENDARIO INGRESOS'!I:I,'CALENDARIO INGRESOS'!A:A,Tabla3[[#This Row],[ID STRIPE]],'CALENDARIO INGRESOS'!H:H,"LATAM")</f>
        <v>1980</v>
      </c>
      <c r="T124" s="188">
        <f>+IF(Tabla3[[#This Row],[MONTO LATAM]]-Tabla3[[#This Row],[IMPORTE ABONADO]]&gt;=0,Tabla3[[#This Row],[MONTO LATAM]]-Tabla3[[#This Row],[IMPORTE ABONADO]],0)</f>
        <v>0</v>
      </c>
      <c r="U124" s="188">
        <f>+SUMIFS('CALENDARIO INGRESOS'!I:I,'CALENDARIO INGRESOS'!A:A,Tabla3[[#This Row],[ID STRIPE]],'CALENDARIO INGRESOS'!H:H,"ALEM")</f>
        <v>0</v>
      </c>
      <c r="V124" s="6">
        <f>+SUMIFS('CALENDARIO INGRESOS'!I:I,'CALENDARIO INGRESOS'!A:A,Tabla3[[#This Row],[ID STRIPE]],'CALENDARIO INGRESOS'!H:H,"VISA")+SUMIFS('CALENDARIO INGRESOS'!I:I,'CALENDARIO INGRESOS'!A:A,Tabla3[[#This Row],[ID STRIPE]],'CALENDARIO INGRESOS'!H:H,"FIRMA PA")</f>
        <v>0</v>
      </c>
      <c r="W124" s="250">
        <v>1</v>
      </c>
      <c r="X124" s="57">
        <f>+IFERROR(AVERAGEIF('CALENDARIO INGRESOS'!A:A,Tabla3[[#This Row],[ID STRIPE]],'CALENDARIO INGRESOS'!M:M),"0")</f>
        <v>-2</v>
      </c>
      <c r="Y124" s="18" t="s">
        <v>2093</v>
      </c>
      <c r="Z124" s="286">
        <f>+IFERROR(_xlfn.XLOOKUP(Tabla3[[#This Row],[ID LINGODA]],LINGODA!D:D,LINGODA!S:S),0)</f>
        <v>0</v>
      </c>
      <c r="AA124" s="18" t="str">
        <f>+IFERROR(_xlfn.XLOOKUP(Tabla3[[#This Row],[ID LINGODA]],LINGODA!D:D,LINGODA!F:F),"null")</f>
        <v>null</v>
      </c>
      <c r="AB124" s="286" t="str">
        <f>+IFERROR(_xlfn.XLOOKUP(Tabla3[[#This Row],[ID LINGODA]],LINGODA!D:D,LINGODA!G:G),"null")</f>
        <v>null</v>
      </c>
    </row>
    <row r="125" spans="1:28">
      <c r="A125" s="5" t="s">
        <v>2386</v>
      </c>
      <c r="B125" s="1" t="s">
        <v>2387</v>
      </c>
      <c r="C125" s="5" t="s">
        <v>14</v>
      </c>
      <c r="D125" s="1" t="s">
        <v>807</v>
      </c>
      <c r="E125" s="60">
        <v>1822193</v>
      </c>
      <c r="F125" s="60"/>
      <c r="G125" s="18">
        <f>(_xlfn.MINIFS(INGRESOS!A:A,INGRESOS!C:C,Tabla3[[#This Row],[CORREO]]))</f>
        <v>45899</v>
      </c>
      <c r="H125" s="3">
        <f>+SUMIFS(INGRESOS!J:J,INGRESOS!D:D,Tabla3[[#This Row],[ID STRIPE]],INGRESOS!A:A,"&gt;="&amp;DATE(YEAR(Tabla3[[#This Row],[FECHA INGRESO]]),MONTH(Tabla3[[#This Row],[FECHA INGRESO]]),1),INGRESOS!A:A,"&lt;="&amp;DATE(YEAR(Tabla3[[#This Row],[FECHA INGRESO]]),MONTH(Tabla3[[#This Row],[FECHA INGRESO]])+1,0))</f>
        <v>2176.62</v>
      </c>
      <c r="I125" s="286">
        <f ca="1">DATEDIF(Tabla3[[#This Row],[FECHA INGRESO]],IF(OR(Tabla3[[#This Row],[ESTADO]]="OK",Tabla3[[#This Row],[ESTADO]]="¡REGULARIZAR!")=TRUE,TODAY(),IF(Tabla3[[#This Row],[ULTIMO PAGO]]="",TODAY(),Tabla3[[#This Row],[ULTIMO PAGO]])),"m")</f>
        <v>1</v>
      </c>
      <c r="J125" s="18">
        <f>(_xlfn.MAXIFS(INGRESOS!A:A,INGRESOS!C:C,Tabla3[[#This Row],[CORREO]]))</f>
        <v>45957</v>
      </c>
      <c r="K125" s="7">
        <f ca="1">+IFERROR(Tabla3[[#This Row],[ABONADO NETO ]]/Tabla3[[#This Row],[MESES ACT]],Tabla3[[#This Row],[ABONO 1ER MES]])</f>
        <v>3143.87</v>
      </c>
      <c r="M125" s="287" t="s">
        <v>2139</v>
      </c>
      <c r="N125" s="288">
        <f>+SUMIF(INGRESOS!D:D,Tabla3[[#This Row],[ID STRIPE]],INGRESOS!J:J)</f>
        <v>3143.87</v>
      </c>
      <c r="O125" s="6">
        <v>22250</v>
      </c>
      <c r="P125" s="6">
        <f>+SUMIF('CALENDARIO INGRESOS'!A:A,Tabla3[[#This Row],[ID STRIPE]],'CALENDARIO INGRESOS'!I:I)</f>
        <v>4250</v>
      </c>
      <c r="Q125" s="6">
        <f>+SUMIF(INGRESOS!D:D,Tabla3[[#This Row],[ID STRIPE]],INGRESOS!G:G)</f>
        <v>3250</v>
      </c>
      <c r="R125" s="3" t="str">
        <f>IF(Tabla3[[#This Row],[ESTADO]]="OK",IF(COUNTIFS('CALENDARIO INGRESOS'!$A:$A,$D125,'CALENDARIO INGRESOS'!$H:$H,"LATAM",'CALENDARIO INGRESOS'!$L:$L,"&lt;&gt;PAGADA")&gt;0,"LATAM",
 IF(COUNTIFS('CALENDARIO INGRESOS'!$A:$A,$D125,'CALENDARIO INGRESOS'!$H:$H,"VISA",'CALENDARIO INGRESOS'!$L:$L,"&lt;&gt;PAGADA")&gt;0,"VISA",
  IF(COUNTIFS('CALENDARIO INGRESOS'!$A:$A,$D125,'CALENDARIO INGRESOS'!$H:$H,"FIRMA PA",'CALENDARIO INGRESOS'!$L:$L,"&lt;&gt;PAGADA")&gt;0,"FIRMA PA",
   IF(COUNTIFS('CALENDARIO INGRESOS'!$A:$A,$D125,'CALENDARIO INGRESOS'!$H:$H,"ALEM",'CALENDARIO INGRESOS'!$L:$L,"&lt;&gt;PAGADA")&gt;0,"ALEM","LISTO")))),"-")</f>
        <v>-</v>
      </c>
      <c r="S125" s="188">
        <f>+SUMIFS('CALENDARIO INGRESOS'!I:I,'CALENDARIO INGRESOS'!A:A,Tabla3[[#This Row],[ID STRIPE]],'CALENDARIO INGRESOS'!H:H,"LATAM")</f>
        <v>4250</v>
      </c>
      <c r="T125" s="188">
        <f>+IF(Tabla3[[#This Row],[MONTO LATAM]]-Tabla3[[#This Row],[IMPORTE ABONADO]]&gt;=0,Tabla3[[#This Row],[MONTO LATAM]]-Tabla3[[#This Row],[IMPORTE ABONADO]],0)</f>
        <v>1000</v>
      </c>
      <c r="U125" s="188">
        <f>+SUMIFS('CALENDARIO INGRESOS'!I:I,'CALENDARIO INGRESOS'!A:A,Tabla3[[#This Row],[ID STRIPE]],'CALENDARIO INGRESOS'!H:H,"ALEM")</f>
        <v>0</v>
      </c>
      <c r="V125" s="6">
        <f>+SUMIFS('CALENDARIO INGRESOS'!I:I,'CALENDARIO INGRESOS'!A:A,Tabla3[[#This Row],[ID STRIPE]],'CALENDARIO INGRESOS'!H:H,"VISA")+SUMIFS('CALENDARIO INGRESOS'!I:I,'CALENDARIO INGRESOS'!A:A,Tabla3[[#This Row],[ID STRIPE]],'CALENDARIO INGRESOS'!H:H,"FIRMA PA")</f>
        <v>0</v>
      </c>
      <c r="W125" s="252">
        <v>0</v>
      </c>
      <c r="X125" s="60">
        <f>+IFERROR(AVERAGEIF('CALENDARIO INGRESOS'!A:A,Tabla3[[#This Row],[ID STRIPE]],'CALENDARIO INGRESOS'!M:M),"0")</f>
        <v>-0.5</v>
      </c>
      <c r="Y125" s="18" t="s">
        <v>2093</v>
      </c>
      <c r="Z125" s="286">
        <f>+IFERROR(_xlfn.XLOOKUP(Tabla3[[#This Row],[ID LINGODA]],LINGODA!D:D,LINGODA!S:S),0)</f>
        <v>45</v>
      </c>
      <c r="AA125" s="18" t="str">
        <f>+IFERROR(_xlfn.XLOOKUP(Tabla3[[#This Row],[ID LINGODA]],LINGODA!D:D,LINGODA!F:F),"null")</f>
        <v>A1.1</v>
      </c>
      <c r="AB125" s="286" t="str">
        <f>+IFERROR(_xlfn.XLOOKUP(Tabla3[[#This Row],[ID LINGODA]],LINGODA!D:D,LINGODA!G:G),"null")</f>
        <v>A1.1</v>
      </c>
    </row>
    <row r="126" spans="1:28">
      <c r="A126" s="5" t="s">
        <v>2388</v>
      </c>
      <c r="B126" s="1" t="s">
        <v>2389</v>
      </c>
      <c r="C126" s="1" t="s">
        <v>14</v>
      </c>
      <c r="D126" s="1" t="s">
        <v>780</v>
      </c>
      <c r="E126" s="60">
        <v>1822192</v>
      </c>
      <c r="F126" s="60"/>
      <c r="G126" s="18">
        <f>(_xlfn.MINIFS(INGRESOS!A:A,INGRESOS!C:C,Tabla3[[#This Row],[CORREO]]))</f>
        <v>45899</v>
      </c>
      <c r="H126" s="3">
        <f>+SUMIFS(INGRESOS!J:J,INGRESOS!D:D,Tabla3[[#This Row],[ID STRIPE]],INGRESOS!A:A,"&gt;="&amp;DATE(YEAR(Tabla3[[#This Row],[FECHA INGRESO]]),MONTH(Tabla3[[#This Row],[FECHA INGRESO]]),1),INGRESOS!A:A,"&lt;="&amp;DATE(YEAR(Tabla3[[#This Row],[FECHA INGRESO]]),MONTH(Tabla3[[#This Row],[FECHA INGRESO]])+1,0))</f>
        <v>2176.62</v>
      </c>
      <c r="I126" s="286">
        <f ca="1">DATEDIF(Tabla3[[#This Row],[FECHA INGRESO]],IF(OR(Tabla3[[#This Row],[ESTADO]]="OK",Tabla3[[#This Row],[ESTADO]]="¡REGULARIZAR!")=TRUE,TODAY(),IF(Tabla3[[#This Row],[ULTIMO PAGO]]="",TODAY(),Tabla3[[#This Row],[ULTIMO PAGO]])),"m")</f>
        <v>1</v>
      </c>
      <c r="J126" s="18">
        <f>(_xlfn.MAXIFS(INGRESOS!A:A,INGRESOS!C:C,Tabla3[[#This Row],[CORREO]]))</f>
        <v>45957</v>
      </c>
      <c r="K126" s="7">
        <f ca="1">+IFERROR(Tabla3[[#This Row],[ABONADO NETO ]]/Tabla3[[#This Row],[MESES ACT]],Tabla3[[#This Row],[ABONO 1ER MES]])</f>
        <v>3143.87</v>
      </c>
      <c r="M126" s="287" t="s">
        <v>2139</v>
      </c>
      <c r="N126" s="288">
        <f>+SUMIF(INGRESOS!D:D,Tabla3[[#This Row],[ID STRIPE]],INGRESOS!J:J)</f>
        <v>3143.87</v>
      </c>
      <c r="O126" s="6">
        <v>22250</v>
      </c>
      <c r="P126" s="6">
        <f>+SUMIF('CALENDARIO INGRESOS'!A:A,Tabla3[[#This Row],[ID STRIPE]],'CALENDARIO INGRESOS'!I:I)</f>
        <v>3250</v>
      </c>
      <c r="Q126" s="6">
        <f>+SUMIF(INGRESOS!D:D,Tabla3[[#This Row],[ID STRIPE]],INGRESOS!G:G)</f>
        <v>3250</v>
      </c>
      <c r="R126" s="3" t="str">
        <f>IF(Tabla3[[#This Row],[ESTADO]]="OK",IF(COUNTIFS('CALENDARIO INGRESOS'!$A:$A,$D126,'CALENDARIO INGRESOS'!$H:$H,"LATAM",'CALENDARIO INGRESOS'!$L:$L,"&lt;&gt;PAGADA")&gt;0,"LATAM",
 IF(COUNTIFS('CALENDARIO INGRESOS'!$A:$A,$D126,'CALENDARIO INGRESOS'!$H:$H,"VISA",'CALENDARIO INGRESOS'!$L:$L,"&lt;&gt;PAGADA")&gt;0,"VISA",
  IF(COUNTIFS('CALENDARIO INGRESOS'!$A:$A,$D126,'CALENDARIO INGRESOS'!$H:$H,"FIRMA PA",'CALENDARIO INGRESOS'!$L:$L,"&lt;&gt;PAGADA")&gt;0,"FIRMA PA",
   IF(COUNTIFS('CALENDARIO INGRESOS'!$A:$A,$D126,'CALENDARIO INGRESOS'!$H:$H,"ALEM",'CALENDARIO INGRESOS'!$L:$L,"&lt;&gt;PAGADA")&gt;0,"ALEM","LISTO")))),"-")</f>
        <v>-</v>
      </c>
      <c r="S126" s="188">
        <f>+SUMIFS('CALENDARIO INGRESOS'!I:I,'CALENDARIO INGRESOS'!A:A,Tabla3[[#This Row],[ID STRIPE]],'CALENDARIO INGRESOS'!H:H,"LATAM")</f>
        <v>3250</v>
      </c>
      <c r="T126" s="188">
        <f>+IF(Tabla3[[#This Row],[MONTO LATAM]]-Tabla3[[#This Row],[IMPORTE ABONADO]]&gt;=0,Tabla3[[#This Row],[MONTO LATAM]]-Tabla3[[#This Row],[IMPORTE ABONADO]],0)</f>
        <v>0</v>
      </c>
      <c r="U126" s="188">
        <f>+SUMIFS('CALENDARIO INGRESOS'!I:I,'CALENDARIO INGRESOS'!A:A,Tabla3[[#This Row],[ID STRIPE]],'CALENDARIO INGRESOS'!H:H,"ALEM")</f>
        <v>0</v>
      </c>
      <c r="V126" s="6">
        <f>+SUMIFS('CALENDARIO INGRESOS'!I:I,'CALENDARIO INGRESOS'!A:A,Tabla3[[#This Row],[ID STRIPE]],'CALENDARIO INGRESOS'!H:H,"VISA")+SUMIFS('CALENDARIO INGRESOS'!I:I,'CALENDARIO INGRESOS'!A:A,Tabla3[[#This Row],[ID STRIPE]],'CALENDARIO INGRESOS'!H:H,"FIRMA PA")</f>
        <v>0</v>
      </c>
      <c r="W126" s="250">
        <v>0</v>
      </c>
      <c r="X126" s="60">
        <f>+IFERROR(AVERAGEIF('CALENDARIO INGRESOS'!A:A,Tabla3[[#This Row],[ID STRIPE]],'CALENDARIO INGRESOS'!M:M),"0")</f>
        <v>-0.5</v>
      </c>
      <c r="Y126" s="18">
        <v>46600</v>
      </c>
      <c r="Z126" s="286">
        <f>+IFERROR(_xlfn.XLOOKUP(Tabla3[[#This Row],[ID LINGODA]],LINGODA!D:D,LINGODA!S:S),0)</f>
        <v>36</v>
      </c>
      <c r="AA126" s="18" t="str">
        <f>+IFERROR(_xlfn.XLOOKUP(Tabla3[[#This Row],[ID LINGODA]],LINGODA!D:D,LINGODA!F:F),"null")</f>
        <v>A1.1</v>
      </c>
      <c r="AB126" s="286" t="str">
        <f>+IFERROR(_xlfn.XLOOKUP(Tabla3[[#This Row],[ID LINGODA]],LINGODA!D:D,LINGODA!G:G),"null")</f>
        <v>A1.1</v>
      </c>
    </row>
    <row r="127" spans="1:28">
      <c r="A127" s="5" t="s">
        <v>2390</v>
      </c>
      <c r="B127" s="1" t="s">
        <v>2391</v>
      </c>
      <c r="C127" s="1" t="s">
        <v>20</v>
      </c>
      <c r="D127" s="1" t="s">
        <v>798</v>
      </c>
      <c r="E127" s="60">
        <v>1828853</v>
      </c>
      <c r="F127" s="60"/>
      <c r="G127" s="18">
        <f>(_xlfn.MINIFS(INGRESOS!A:A,INGRESOS!C:C,Tabla3[[#This Row],[CORREO]]))</f>
        <v>45900</v>
      </c>
      <c r="H127" s="3">
        <f>+SUMIFS(INGRESOS!J:J,INGRESOS!D:D,Tabla3[[#This Row],[ID STRIPE]],INGRESOS!A:A,"&gt;="&amp;DATE(YEAR(Tabla3[[#This Row],[FECHA INGRESO]]),MONTH(Tabla3[[#This Row],[FECHA INGRESO]]),1),INGRESOS!A:A,"&lt;="&amp;DATE(YEAR(Tabla3[[#This Row],[FECHA INGRESO]]),MONTH(Tabla3[[#This Row],[FECHA INGRESO]])+1,0))</f>
        <v>241.62</v>
      </c>
      <c r="I127" s="286">
        <f ca="1">DATEDIF(Tabla3[[#This Row],[FECHA INGRESO]],IF(OR(Tabla3[[#This Row],[ESTADO]]="OK",Tabla3[[#This Row],[ESTADO]]="¡REGULARIZAR!")=TRUE,TODAY(),IF(Tabla3[[#This Row],[ULTIMO PAGO]]="",TODAY(),Tabla3[[#This Row],[ULTIMO PAGO]])),"m")</f>
        <v>6</v>
      </c>
      <c r="J127" s="18">
        <f>(_xlfn.MAXIFS(INGRESOS!A:A,INGRESOS!C:C,Tabla3[[#This Row],[CORREO]]))</f>
        <v>46087</v>
      </c>
      <c r="K127" s="7">
        <f ca="1">+IFERROR(Tabla3[[#This Row],[ABONADO NETO ]]/Tabla3[[#This Row],[MESES ACT]],Tabla3[[#This Row],[ABONO 1ER MES]])</f>
        <v>819.64229165563972</v>
      </c>
      <c r="M127" s="287" t="s">
        <v>2119</v>
      </c>
      <c r="N127" s="288">
        <f>+SUMIF(INGRESOS!D:D,Tabla3[[#This Row],[ID STRIPE]],INGRESOS!J:J)</f>
        <v>4917.8537499338381</v>
      </c>
      <c r="O127" s="6">
        <v>19800</v>
      </c>
      <c r="P127" s="6">
        <f>+SUMIF('CALENDARIO INGRESOS'!A:A,Tabla3[[#This Row],[ID STRIPE]],'CALENDARIO INGRESOS'!I:I)</f>
        <v>19800</v>
      </c>
      <c r="Q127" s="6">
        <f>+SUMIF(INGRESOS!D:D,Tabla3[[#This Row],[ID STRIPE]],INGRESOS!G:G)</f>
        <v>5085.4154914638784</v>
      </c>
      <c r="R127" s="3" t="str">
        <f>IF(Tabla3[[#This Row],[ESTADO]]="OK",IF(COUNTIFS('CALENDARIO INGRESOS'!$A:$A,$D127,'CALENDARIO INGRESOS'!$H:$H,"LATAM",'CALENDARIO INGRESOS'!$L:$L,"&lt;&gt;PAGADA")&gt;0,"LATAM",
 IF(COUNTIFS('CALENDARIO INGRESOS'!$A:$A,$D127,'CALENDARIO INGRESOS'!$H:$H,"VISA",'CALENDARIO INGRESOS'!$L:$L,"&lt;&gt;PAGADA")&gt;0,"VISA",
  IF(COUNTIFS('CALENDARIO INGRESOS'!$A:$A,$D127,'CALENDARIO INGRESOS'!$H:$H,"FIRMA PA",'CALENDARIO INGRESOS'!$L:$L,"&lt;&gt;PAGADA")&gt;0,"FIRMA PA",
   IF(COUNTIFS('CALENDARIO INGRESOS'!$A:$A,$D127,'CALENDARIO INGRESOS'!$H:$H,"ALEM",'CALENDARIO INGRESOS'!$L:$L,"&lt;&gt;PAGADA")&gt;0,"ALEM","LISTO")))),"-")</f>
        <v>LATAM</v>
      </c>
      <c r="S127" s="188">
        <f>+SUMIFS('CALENDARIO INGRESOS'!I:I,'CALENDARIO INGRESOS'!A:A,Tabla3[[#This Row],[ID STRIPE]],'CALENDARIO INGRESOS'!H:H,"LATAM")</f>
        <v>12800</v>
      </c>
      <c r="T127" s="188">
        <f>+IF(Tabla3[[#This Row],[MONTO LATAM]]-Tabla3[[#This Row],[IMPORTE ABONADO]]&gt;=0,Tabla3[[#This Row],[MONTO LATAM]]-Tabla3[[#This Row],[IMPORTE ABONADO]],0)</f>
        <v>7714.5845085361216</v>
      </c>
      <c r="U127" s="188">
        <f>+SUMIFS('CALENDARIO INGRESOS'!I:I,'CALENDARIO INGRESOS'!A:A,Tabla3[[#This Row],[ID STRIPE]],'CALENDARIO INGRESOS'!H:H,"ALEM")</f>
        <v>7000</v>
      </c>
      <c r="V127" s="6">
        <f>+SUMIFS('CALENDARIO INGRESOS'!I:I,'CALENDARIO INGRESOS'!A:A,Tabla3[[#This Row],[ID STRIPE]],'CALENDARIO INGRESOS'!H:H,"VISA")+SUMIFS('CALENDARIO INGRESOS'!I:I,'CALENDARIO INGRESOS'!A:A,Tabla3[[#This Row],[ID STRIPE]],'CALENDARIO INGRESOS'!H:H,"FIRMA PA")</f>
        <v>0</v>
      </c>
      <c r="W127" s="250">
        <v>0</v>
      </c>
      <c r="X127" s="60">
        <f>+IFERROR(AVERAGEIF('CALENDARIO INGRESOS'!A:A,Tabla3[[#This Row],[ID STRIPE]],'CALENDARIO INGRESOS'!M:M),"0")</f>
        <v>-1</v>
      </c>
      <c r="Y127" s="18">
        <v>46296</v>
      </c>
      <c r="Z127" s="286">
        <f>+IFERROR(_xlfn.XLOOKUP(Tabla3[[#This Row],[ID LINGODA]],LINGODA!D:D,LINGODA!S:S),0)</f>
        <v>54</v>
      </c>
      <c r="AA127" s="18" t="str">
        <f>+IFERROR(_xlfn.XLOOKUP(Tabla3[[#This Row],[ID LINGODA]],LINGODA!D:D,LINGODA!F:F),"null")</f>
        <v>B1.1</v>
      </c>
      <c r="AB127" s="286" t="str">
        <f>+IFERROR(_xlfn.XLOOKUP(Tabla3[[#This Row],[ID LINGODA]],LINGODA!D:D,LINGODA!G:G),"null")</f>
        <v>B1.1</v>
      </c>
    </row>
    <row r="128" spans="1:28">
      <c r="A128" s="5" t="s">
        <v>2392</v>
      </c>
      <c r="B128" s="1" t="s">
        <v>2393</v>
      </c>
      <c r="C128" s="1" t="s">
        <v>20</v>
      </c>
      <c r="D128" s="1" t="s">
        <v>787</v>
      </c>
      <c r="E128" s="60">
        <v>1821383</v>
      </c>
      <c r="F128" s="60"/>
      <c r="G128" s="18">
        <f>(_xlfn.MINIFS(INGRESOS!A:A,INGRESOS!C:C,Tabla3[[#This Row],[CORREO]]))</f>
        <v>45900</v>
      </c>
      <c r="H128" s="3">
        <f>+SUMIFS(INGRESOS!J:J,INGRESOS!D:D,Tabla3[[#This Row],[ID STRIPE]],INGRESOS!A:A,"&gt;="&amp;DATE(YEAR(Tabla3[[#This Row],[FECHA INGRESO]]),MONTH(Tabla3[[#This Row],[FECHA INGRESO]]),1),INGRESOS!A:A,"&lt;="&amp;DATE(YEAR(Tabla3[[#This Row],[FECHA INGRESO]]),MONTH(Tabla3[[#This Row],[FECHA INGRESO]])+1,0))</f>
        <v>241.62</v>
      </c>
      <c r="I128" s="286">
        <f ca="1">DATEDIF(Tabla3[[#This Row],[FECHA INGRESO]],IF(OR(Tabla3[[#This Row],[ESTADO]]="OK",Tabla3[[#This Row],[ESTADO]]="¡REGULARIZAR!")=TRUE,TODAY(),IF(Tabla3[[#This Row],[ULTIMO PAGO]]="",TODAY(),Tabla3[[#This Row],[ULTIMO PAGO]])),"m")</f>
        <v>6</v>
      </c>
      <c r="J128" s="18">
        <f>(_xlfn.MAXIFS(INGRESOS!A:A,INGRESOS!C:C,Tabla3[[#This Row],[CORREO]]))</f>
        <v>46085</v>
      </c>
      <c r="K128" s="7">
        <f ca="1">+IFERROR(Tabla3[[#This Row],[ABONADO NETO ]]/Tabla3[[#This Row],[MESES ACT]],Tabla3[[#This Row],[ABONO 1ER MES]])</f>
        <v>821.99833333333333</v>
      </c>
      <c r="M128" s="287" t="s">
        <v>2119</v>
      </c>
      <c r="N128" s="288">
        <f>+SUMIF(INGRESOS!D:D,Tabla3[[#This Row],[ID STRIPE]],INGRESOS!J:J)</f>
        <v>4931.99</v>
      </c>
      <c r="O128" s="6">
        <v>19800</v>
      </c>
      <c r="P128" s="6">
        <f>+SUMIF('CALENDARIO INGRESOS'!A:A,Tabla3[[#This Row],[ID STRIPE]],'CALENDARIO INGRESOS'!I:I)</f>
        <v>19800</v>
      </c>
      <c r="Q128" s="6">
        <f>+SUMIF(INGRESOS!D:D,Tabla3[[#This Row],[ID STRIPE]],INGRESOS!G:G)</f>
        <v>5100</v>
      </c>
      <c r="R128" s="3" t="str">
        <f>IF(Tabla3[[#This Row],[ESTADO]]="OK",IF(COUNTIFS('CALENDARIO INGRESOS'!$A:$A,$D128,'CALENDARIO INGRESOS'!$H:$H,"LATAM",'CALENDARIO INGRESOS'!$L:$L,"&lt;&gt;PAGADA")&gt;0,"LATAM",
 IF(COUNTIFS('CALENDARIO INGRESOS'!$A:$A,$D128,'CALENDARIO INGRESOS'!$H:$H,"VISA",'CALENDARIO INGRESOS'!$L:$L,"&lt;&gt;PAGADA")&gt;0,"VISA",
  IF(COUNTIFS('CALENDARIO INGRESOS'!$A:$A,$D128,'CALENDARIO INGRESOS'!$H:$H,"FIRMA PA",'CALENDARIO INGRESOS'!$L:$L,"&lt;&gt;PAGADA")&gt;0,"FIRMA PA",
   IF(COUNTIFS('CALENDARIO INGRESOS'!$A:$A,$D128,'CALENDARIO INGRESOS'!$H:$H,"ALEM",'CALENDARIO INGRESOS'!$L:$L,"&lt;&gt;PAGADA")&gt;0,"ALEM","LISTO")))),"-")</f>
        <v>LATAM</v>
      </c>
      <c r="S128" s="188">
        <f>+SUMIFS('CALENDARIO INGRESOS'!I:I,'CALENDARIO INGRESOS'!A:A,Tabla3[[#This Row],[ID STRIPE]],'CALENDARIO INGRESOS'!H:H,"LATAM")</f>
        <v>12800</v>
      </c>
      <c r="T128" s="188">
        <f>+IF(Tabla3[[#This Row],[MONTO LATAM]]-Tabla3[[#This Row],[IMPORTE ABONADO]]&gt;=0,Tabla3[[#This Row],[MONTO LATAM]]-Tabla3[[#This Row],[IMPORTE ABONADO]],0)</f>
        <v>7700</v>
      </c>
      <c r="U128" s="188">
        <f>+SUMIFS('CALENDARIO INGRESOS'!I:I,'CALENDARIO INGRESOS'!A:A,Tabla3[[#This Row],[ID STRIPE]],'CALENDARIO INGRESOS'!H:H,"ALEM")</f>
        <v>7000</v>
      </c>
      <c r="V128" s="6">
        <f>+SUMIFS('CALENDARIO INGRESOS'!I:I,'CALENDARIO INGRESOS'!A:A,Tabla3[[#This Row],[ID STRIPE]],'CALENDARIO INGRESOS'!H:H,"VISA")+SUMIFS('CALENDARIO INGRESOS'!I:I,'CALENDARIO INGRESOS'!A:A,Tabla3[[#This Row],[ID STRIPE]],'CALENDARIO INGRESOS'!H:H,"FIRMA PA")</f>
        <v>0</v>
      </c>
      <c r="W128" s="250">
        <v>1</v>
      </c>
      <c r="X128" s="60">
        <f>+IFERROR(AVERAGEIF('CALENDARIO INGRESOS'!A:A,Tabla3[[#This Row],[ID STRIPE]],'CALENDARIO INGRESOS'!M:M),"0")</f>
        <v>-0.77777777777777779</v>
      </c>
      <c r="Y128" s="18">
        <v>46447</v>
      </c>
      <c r="Z128" s="286">
        <f>+IFERROR(_xlfn.XLOOKUP(Tabla3[[#This Row],[ID LINGODA]],LINGODA!D:D,LINGODA!S:S),0)</f>
        <v>29</v>
      </c>
      <c r="AA128" s="18" t="str">
        <f>+IFERROR(_xlfn.XLOOKUP(Tabla3[[#This Row],[ID LINGODA]],LINGODA!D:D,LINGODA!F:F),"null")</f>
        <v>A2.1</v>
      </c>
      <c r="AB128" s="286" t="str">
        <f>+IFERROR(_xlfn.XLOOKUP(Tabla3[[#This Row],[ID LINGODA]],LINGODA!D:D,LINGODA!G:G),"null")</f>
        <v>B1.1</v>
      </c>
    </row>
    <row r="129" spans="1:28">
      <c r="A129" s="5" t="s">
        <v>2394</v>
      </c>
      <c r="B129" s="1" t="s">
        <v>2395</v>
      </c>
      <c r="C129" s="1" t="s">
        <v>13</v>
      </c>
      <c r="D129" s="1" t="s">
        <v>2396</v>
      </c>
      <c r="E129" s="57">
        <v>1822191</v>
      </c>
      <c r="F129" s="57"/>
      <c r="G129" s="18">
        <f>(_xlfn.MINIFS(INGRESOS!A:A,INGRESOS!C:C,Tabla3[[#This Row],[CORREO]]))</f>
        <v>45900</v>
      </c>
      <c r="H129" s="3">
        <f>+SUMIFS(INGRESOS!J:J,INGRESOS!D:D,Tabla3[[#This Row],[ID STRIPE]],INGRESOS!A:A,"&gt;="&amp;DATE(YEAR(Tabla3[[#This Row],[FECHA INGRESO]]),MONTH(Tabla3[[#This Row],[FECHA INGRESO]]),1),INGRESOS!A:A,"&lt;="&amp;DATE(YEAR(Tabla3[[#This Row],[FECHA INGRESO]]),MONTH(Tabla3[[#This Row],[FECHA INGRESO]])+1,0))</f>
        <v>241.62</v>
      </c>
      <c r="I129" s="286">
        <f ca="1">DATEDIF(Tabla3[[#This Row],[FECHA INGRESO]],IF(OR(Tabla3[[#This Row],[ESTADO]]="OK",Tabla3[[#This Row],[ESTADO]]="¡REGULARIZAR!")=TRUE,TODAY(),IF(Tabla3[[#This Row],[ULTIMO PAGO]]="",TODAY(),Tabla3[[#This Row],[ULTIMO PAGO]])),"m")</f>
        <v>0</v>
      </c>
      <c r="J129" s="18">
        <f>(_xlfn.MAXIFS(INGRESOS!A:A,INGRESOS!C:C,Tabla3[[#This Row],[CORREO]]))</f>
        <v>45900</v>
      </c>
      <c r="K129" s="7">
        <f ca="1">+IFERROR(Tabla3[[#This Row],[ABONADO NETO ]]/Tabla3[[#This Row],[MESES ACT]],Tabla3[[#This Row],[ABONO 1ER MES]])</f>
        <v>241.62</v>
      </c>
      <c r="M129" s="287" t="s">
        <v>2139</v>
      </c>
      <c r="N129" s="288">
        <f>+SUMIF(INGRESOS!D:D,Tabla3[[#This Row],[ID STRIPE]],INGRESOS!J:J)</f>
        <v>241.62</v>
      </c>
      <c r="O129" s="6">
        <v>0</v>
      </c>
      <c r="P129" s="6">
        <f>+SUMIF('CALENDARIO INGRESOS'!A:A,Tabla3[[#This Row],[ID STRIPE]],'CALENDARIO INGRESOS'!I:I)</f>
        <v>0</v>
      </c>
      <c r="Q129" s="6">
        <f>+SUMIF(INGRESOS!D:D,Tabla3[[#This Row],[ID STRIPE]],INGRESOS!G:G)</f>
        <v>250</v>
      </c>
      <c r="R129" s="3" t="str">
        <f>IF(Tabla3[[#This Row],[ESTADO]]="OK",IF(COUNTIFS('CALENDARIO INGRESOS'!$A:$A,$D129,'CALENDARIO INGRESOS'!$H:$H,"LATAM",'CALENDARIO INGRESOS'!$L:$L,"&lt;&gt;PAGADA")&gt;0,"LATAM",
 IF(COUNTIFS('CALENDARIO INGRESOS'!$A:$A,$D129,'CALENDARIO INGRESOS'!$H:$H,"VISA",'CALENDARIO INGRESOS'!$L:$L,"&lt;&gt;PAGADA")&gt;0,"VISA",
  IF(COUNTIFS('CALENDARIO INGRESOS'!$A:$A,$D129,'CALENDARIO INGRESOS'!$H:$H,"FIRMA PA",'CALENDARIO INGRESOS'!$L:$L,"&lt;&gt;PAGADA")&gt;0,"FIRMA PA",
   IF(COUNTIFS('CALENDARIO INGRESOS'!$A:$A,$D129,'CALENDARIO INGRESOS'!$H:$H,"ALEM",'CALENDARIO INGRESOS'!$L:$L,"&lt;&gt;PAGADA")&gt;0,"ALEM","LISTO")))),"-")</f>
        <v>-</v>
      </c>
      <c r="S129" s="188">
        <f>+SUMIFS('CALENDARIO INGRESOS'!I:I,'CALENDARIO INGRESOS'!A:A,Tabla3[[#This Row],[ID STRIPE]],'CALENDARIO INGRESOS'!H:H,"LATAM")</f>
        <v>0</v>
      </c>
      <c r="T129" s="188">
        <f>+IF(Tabla3[[#This Row],[MONTO LATAM]]-Tabla3[[#This Row],[IMPORTE ABONADO]]&gt;=0,Tabla3[[#This Row],[MONTO LATAM]]-Tabla3[[#This Row],[IMPORTE ABONADO]],0)</f>
        <v>0</v>
      </c>
      <c r="U129" s="188">
        <f>+SUMIFS('CALENDARIO INGRESOS'!J:J,'CALENDARIO INGRESOS'!B:B,Tabla3[[#This Row],[ID STRIPE]],'CALENDARIO INGRESOS'!I:I,"ALEM")</f>
        <v>0</v>
      </c>
      <c r="V129" s="6">
        <f>+SUMIFS('CALENDARIO INGRESOS'!I:I,'CALENDARIO INGRESOS'!A:A,Tabla3[[#This Row],[ID STRIPE]],'CALENDARIO INGRESOS'!H:H,"VISA")+SUMIFS('CALENDARIO INGRESOS'!I:I,'CALENDARIO INGRESOS'!A:A,Tabla3[[#This Row],[ID STRIPE]],'CALENDARIO INGRESOS'!H:H,"FIRMA PA")</f>
        <v>0</v>
      </c>
      <c r="W129" s="250">
        <v>0</v>
      </c>
      <c r="X129" s="57" t="str">
        <f>+IFERROR(AVERAGEIF('CALENDARIO INGRESOS'!A:A,Tabla3[[#This Row],[ID STRIPE]],'CALENDARIO INGRESOS'!M:M),"0")</f>
        <v>0</v>
      </c>
      <c r="Y129" s="18" t="s">
        <v>2093</v>
      </c>
      <c r="Z129" s="286">
        <f>+IFERROR(_xlfn.XLOOKUP(Tabla3[[#This Row],[ID LINGODA]],LINGODA!D:D,LINGODA!S:S),0)</f>
        <v>0</v>
      </c>
      <c r="AA129" s="18" t="str">
        <f>+IFERROR(_xlfn.XLOOKUP(Tabla3[[#This Row],[ID LINGODA]],LINGODA!D:D,LINGODA!F:F),"null")</f>
        <v>null</v>
      </c>
      <c r="AB129" s="286" t="str">
        <f>+IFERROR(_xlfn.XLOOKUP(Tabla3[[#This Row],[ID LINGODA]],LINGODA!D:D,LINGODA!G:G),"null")</f>
        <v>null</v>
      </c>
    </row>
    <row r="130" spans="1:28">
      <c r="A130" s="5" t="s">
        <v>2397</v>
      </c>
      <c r="B130" s="1" t="s">
        <v>2398</v>
      </c>
      <c r="C130" s="1" t="s">
        <v>11</v>
      </c>
      <c r="D130" s="1" t="s">
        <v>846</v>
      </c>
      <c r="E130" s="60">
        <v>1822195</v>
      </c>
      <c r="F130" s="60"/>
      <c r="G130" s="18">
        <f>(_xlfn.MINIFS(INGRESOS!A:A,INGRESOS!C:C,Tabla3[[#This Row],[CORREO]]))</f>
        <v>45903</v>
      </c>
      <c r="H130" s="3">
        <f>+SUMIFS(INGRESOS!J:J,INGRESOS!D:D,Tabla3[[#This Row],[ID STRIPE]],INGRESOS!A:A,"&gt;="&amp;DATE(YEAR(Tabla3[[#This Row],[FECHA INGRESO]]),MONTH(Tabla3[[#This Row],[FECHA INGRESO]]),1),INGRESOS!A:A,"&lt;="&amp;DATE(YEAR(Tabla3[[#This Row],[FECHA INGRESO]]),MONTH(Tabla3[[#This Row],[FECHA INGRESO]])+1,0))</f>
        <v>1934.4899999999998</v>
      </c>
      <c r="I130" s="286">
        <f ca="1">DATEDIF(Tabla3[[#This Row],[FECHA INGRESO]],IF(OR(Tabla3[[#This Row],[ESTADO]]="OK",Tabla3[[#This Row],[ESTADO]]="¡REGULARIZAR!")=TRUE,TODAY(),IF(Tabla3[[#This Row],[ULTIMO PAGO]]="",TODAY(),Tabla3[[#This Row],[ULTIMO PAGO]])),"m")</f>
        <v>0</v>
      </c>
      <c r="J130" s="18">
        <f>(_xlfn.MAXIFS(INGRESOS!A:A,INGRESOS!C:C,Tabla3[[#This Row],[CORREO]]))</f>
        <v>45905</v>
      </c>
      <c r="K130" s="7">
        <f ca="1">+IFERROR(Tabla3[[#This Row],[ABONADO NETO ]]/Tabla3[[#This Row],[MESES ACT]],Tabla3[[#This Row],[ABONO 1ER MES]])</f>
        <v>1934.4899999999998</v>
      </c>
      <c r="M130" s="287" t="s">
        <v>2139</v>
      </c>
      <c r="N130" s="288">
        <f>+SUMIF(INGRESOS!D:D,Tabla3[[#This Row],[ID STRIPE]],INGRESOS!J:J)</f>
        <v>1934.4899999999998</v>
      </c>
      <c r="O130" s="6">
        <v>23000</v>
      </c>
      <c r="P130" s="6">
        <f>+SUMIF('CALENDARIO INGRESOS'!A:A,Tabla3[[#This Row],[ID STRIPE]],'CALENDARIO INGRESOS'!I:I)</f>
        <v>2000</v>
      </c>
      <c r="Q130" s="6">
        <f>+SUMIF(INGRESOS!D:D,Tabla3[[#This Row],[ID STRIPE]],INGRESOS!G:G)</f>
        <v>2000</v>
      </c>
      <c r="R130" s="3" t="str">
        <f>IF(Tabla3[[#This Row],[ESTADO]]="OK",IF(COUNTIFS('CALENDARIO INGRESOS'!$A:$A,$D130,'CALENDARIO INGRESOS'!$H:$H,"LATAM",'CALENDARIO INGRESOS'!$L:$L,"&lt;&gt;PAGADA")&gt;0,"LATAM",
 IF(COUNTIFS('CALENDARIO INGRESOS'!$A:$A,$D130,'CALENDARIO INGRESOS'!$H:$H,"VISA",'CALENDARIO INGRESOS'!$L:$L,"&lt;&gt;PAGADA")&gt;0,"VISA",
  IF(COUNTIFS('CALENDARIO INGRESOS'!$A:$A,$D130,'CALENDARIO INGRESOS'!$H:$H,"FIRMA PA",'CALENDARIO INGRESOS'!$L:$L,"&lt;&gt;PAGADA")&gt;0,"FIRMA PA",
   IF(COUNTIFS('CALENDARIO INGRESOS'!$A:$A,$D130,'CALENDARIO INGRESOS'!$H:$H,"ALEM",'CALENDARIO INGRESOS'!$L:$L,"&lt;&gt;PAGADA")&gt;0,"ALEM","LISTO")))),"-")</f>
        <v>-</v>
      </c>
      <c r="S130" s="188">
        <f>+SUMIFS('CALENDARIO INGRESOS'!I:I,'CALENDARIO INGRESOS'!A:A,Tabla3[[#This Row],[ID STRIPE]],'CALENDARIO INGRESOS'!H:H,"LATAM")</f>
        <v>2000</v>
      </c>
      <c r="T130" s="188">
        <f>+IF(Tabla3[[#This Row],[MONTO LATAM]]-Tabla3[[#This Row],[IMPORTE ABONADO]]&gt;=0,Tabla3[[#This Row],[MONTO LATAM]]-Tabla3[[#This Row],[IMPORTE ABONADO]],0)</f>
        <v>0</v>
      </c>
      <c r="U130" s="188">
        <f>+SUMIFS('CALENDARIO INGRESOS'!I:I,'CALENDARIO INGRESOS'!A:A,Tabla3[[#This Row],[ID STRIPE]],'CALENDARIO INGRESOS'!H:H,"ALEM")</f>
        <v>0</v>
      </c>
      <c r="V130" s="6">
        <f>+SUMIFS('CALENDARIO INGRESOS'!I:I,'CALENDARIO INGRESOS'!A:A,Tabla3[[#This Row],[ID STRIPE]],'CALENDARIO INGRESOS'!H:H,"VISA")+SUMIFS('CALENDARIO INGRESOS'!I:I,'CALENDARIO INGRESOS'!A:A,Tabla3[[#This Row],[ID STRIPE]],'CALENDARIO INGRESOS'!H:H,"FIRMA PA")</f>
        <v>0</v>
      </c>
      <c r="W130" s="250">
        <v>0</v>
      </c>
      <c r="X130" s="60">
        <f>+IFERROR(AVERAGEIF('CALENDARIO INGRESOS'!A:A,Tabla3[[#This Row],[ID STRIPE]],'CALENDARIO INGRESOS'!M:M),"0")</f>
        <v>0</v>
      </c>
      <c r="Y130" s="18">
        <v>46419</v>
      </c>
      <c r="Z130" s="286">
        <f>+IFERROR(_xlfn.XLOOKUP(Tabla3[[#This Row],[ID LINGODA]],LINGODA!D:D,LINGODA!S:S),0)</f>
        <v>1</v>
      </c>
      <c r="AA130" s="18" t="str">
        <f>+IFERROR(_xlfn.XLOOKUP(Tabla3[[#This Row],[ID LINGODA]],LINGODA!D:D,LINGODA!F:F),"null")</f>
        <v>A1.1</v>
      </c>
      <c r="AB130" s="286" t="str">
        <f>+IFERROR(_xlfn.XLOOKUP(Tabla3[[#This Row],[ID LINGODA]],LINGODA!D:D,LINGODA!G:G),"null")</f>
        <v>A1.1</v>
      </c>
    </row>
    <row r="131" spans="1:28">
      <c r="A131" s="5" t="s">
        <v>2399</v>
      </c>
      <c r="B131" s="1" t="s">
        <v>2400</v>
      </c>
      <c r="C131" s="1" t="s">
        <v>20</v>
      </c>
      <c r="D131" s="1" t="s">
        <v>855</v>
      </c>
      <c r="E131" s="60">
        <v>1823255</v>
      </c>
      <c r="F131" s="60"/>
      <c r="G131" s="18">
        <f>(_xlfn.MINIFS(INGRESOS!A:A,INGRESOS!C:C,Tabla3[[#This Row],[CORREO]]))</f>
        <v>45904</v>
      </c>
      <c r="H131" s="3">
        <f>+SUMIFS(INGRESOS!J:J,INGRESOS!D:D,Tabla3[[#This Row],[ID STRIPE]],INGRESOS!A:A,"&gt;="&amp;DATE(YEAR(Tabla3[[#This Row],[FECHA INGRESO]]),MONTH(Tabla3[[#This Row],[FECHA INGRESO]]),1),INGRESOS!A:A,"&lt;="&amp;DATE(YEAR(Tabla3[[#This Row],[FECHA INGRESO]]),MONTH(Tabla3[[#This Row],[FECHA INGRESO]])+1,0))</f>
        <v>1934</v>
      </c>
      <c r="I131" s="286">
        <f ca="1">DATEDIF(Tabla3[[#This Row],[FECHA INGRESO]],IF(OR(Tabla3[[#This Row],[ESTADO]]="OK",Tabla3[[#This Row],[ESTADO]]="¡REGULARIZAR!")=TRUE,TODAY(),IF(Tabla3[[#This Row],[ULTIMO PAGO]]="",TODAY(),Tabla3[[#This Row],[ULTIMO PAGO]])),"m")</f>
        <v>6</v>
      </c>
      <c r="J131" s="18">
        <f>(_xlfn.MAXIFS(INGRESOS!A:A,INGRESOS!C:C,Tabla3[[#This Row],[CORREO]]))</f>
        <v>46034</v>
      </c>
      <c r="K131" s="7">
        <f ca="1">+IFERROR(Tabla3[[#This Row],[ABONADO NETO ]]/Tabla3[[#This Row],[MESES ACT]],Tabla3[[#This Row],[ABONO 1ER MES]])</f>
        <v>2450.2083333333335</v>
      </c>
      <c r="M131" s="287" t="s">
        <v>2119</v>
      </c>
      <c r="N131" s="288">
        <f>+SUMIF(INGRESOS!D:D,Tabla3[[#This Row],[ID STRIPE]],INGRESOS!J:J)</f>
        <v>14701.25</v>
      </c>
      <c r="O131" s="6">
        <v>21200</v>
      </c>
      <c r="P131" s="6">
        <f>+SUMIF('CALENDARIO INGRESOS'!A:A,Tabla3[[#This Row],[ID STRIPE]],'CALENDARIO INGRESOS'!I:I)</f>
        <v>21200</v>
      </c>
      <c r="Q131" s="6">
        <f>+SUMIF(INGRESOS!D:D,Tabla3[[#This Row],[ID STRIPE]],INGRESOS!G:G)</f>
        <v>15200</v>
      </c>
      <c r="R131" s="3" t="str">
        <f>IF(Tabla3[[#This Row],[ESTADO]]="OK",IF(COUNTIFS('CALENDARIO INGRESOS'!$A:$A,$D131,'CALENDARIO INGRESOS'!$H:$H,"LATAM",'CALENDARIO INGRESOS'!$L:$L,"&lt;&gt;PAGADA")&gt;0,"LATAM",
 IF(COUNTIFS('CALENDARIO INGRESOS'!$A:$A,$D131,'CALENDARIO INGRESOS'!$H:$H,"VISA",'CALENDARIO INGRESOS'!$L:$L,"&lt;&gt;PAGADA")&gt;0,"VISA",
  IF(COUNTIFS('CALENDARIO INGRESOS'!$A:$A,$D131,'CALENDARIO INGRESOS'!$H:$H,"FIRMA PA",'CALENDARIO INGRESOS'!$L:$L,"&lt;&gt;PAGADA")&gt;0,"FIRMA PA",
   IF(COUNTIFS('CALENDARIO INGRESOS'!$A:$A,$D131,'CALENDARIO INGRESOS'!$H:$H,"ALEM",'CALENDARIO INGRESOS'!$L:$L,"&lt;&gt;PAGADA")&gt;0,"ALEM","LISTO")))),"-")</f>
        <v>ALEM</v>
      </c>
      <c r="S131" s="188">
        <f>+SUMIFS('CALENDARIO INGRESOS'!I:I,'CALENDARIO INGRESOS'!A:A,Tabla3[[#This Row],[ID STRIPE]],'CALENDARIO INGRESOS'!H:H,"LATAM")</f>
        <v>15200</v>
      </c>
      <c r="T131" s="188">
        <f>+IF(Tabla3[[#This Row],[MONTO LATAM]]-Tabla3[[#This Row],[IMPORTE ABONADO]]&gt;=0,Tabla3[[#This Row],[MONTO LATAM]]-Tabla3[[#This Row],[IMPORTE ABONADO]],0)</f>
        <v>0</v>
      </c>
      <c r="U131" s="188">
        <f>+SUMIFS('CALENDARIO INGRESOS'!I:I,'CALENDARIO INGRESOS'!A:A,Tabla3[[#This Row],[ID STRIPE]],'CALENDARIO INGRESOS'!H:H,"ALEM")</f>
        <v>6000</v>
      </c>
      <c r="V131" s="6">
        <f>+SUMIFS('CALENDARIO INGRESOS'!I:I,'CALENDARIO INGRESOS'!A:A,Tabla3[[#This Row],[ID STRIPE]],'CALENDARIO INGRESOS'!H:H,"VISA")+SUMIFS('CALENDARIO INGRESOS'!I:I,'CALENDARIO INGRESOS'!A:A,Tabla3[[#This Row],[ID STRIPE]],'CALENDARIO INGRESOS'!H:H,"FIRMA PA")</f>
        <v>0</v>
      </c>
      <c r="W131" s="252">
        <v>0</v>
      </c>
      <c r="X131" s="60">
        <f>+IFERROR(AVERAGEIF('CALENDARIO INGRESOS'!A:A,Tabla3[[#This Row],[ID STRIPE]],'CALENDARIO INGRESOS'!M:M),"0")</f>
        <v>-8.7894736842105257</v>
      </c>
      <c r="Y131" s="18">
        <v>46234</v>
      </c>
      <c r="Z131" s="286">
        <f>+IFERROR(_xlfn.XLOOKUP(Tabla3[[#This Row],[ID LINGODA]],LINGODA!D:D,LINGODA!S:S),0)</f>
        <v>4</v>
      </c>
      <c r="AA131" s="18" t="str">
        <f>+IFERROR(_xlfn.XLOOKUP(Tabla3[[#This Row],[ID LINGODA]],LINGODA!D:D,LINGODA!F:F),"null")</f>
        <v>A2.1</v>
      </c>
      <c r="AB131" s="286" t="str">
        <f>+IFERROR(_xlfn.XLOOKUP(Tabla3[[#This Row],[ID LINGODA]],LINGODA!D:D,LINGODA!G:G),"null")</f>
        <v>A2.1</v>
      </c>
    </row>
    <row r="132" spans="1:28">
      <c r="A132" s="5" t="s">
        <v>2401</v>
      </c>
      <c r="B132" s="1" t="s">
        <v>2402</v>
      </c>
      <c r="C132" s="1" t="s">
        <v>13</v>
      </c>
      <c r="D132" s="1" t="s">
        <v>882</v>
      </c>
      <c r="E132" s="60">
        <v>1824491</v>
      </c>
      <c r="F132" s="60"/>
      <c r="G132" s="18">
        <f>(_xlfn.MINIFS(INGRESOS!A:A,INGRESOS!C:C,Tabla3[[#This Row],[CORREO]]))</f>
        <v>45905</v>
      </c>
      <c r="H132" s="3">
        <f>+SUMIFS(INGRESOS!J:J,INGRESOS!D:D,Tabla3[[#This Row],[ID STRIPE]],INGRESOS!A:A,"&gt;="&amp;DATE(YEAR(Tabla3[[#This Row],[FECHA INGRESO]]),MONTH(Tabla3[[#This Row],[FECHA INGRESO]]),1),INGRESOS!A:A,"&lt;="&amp;DATE(YEAR(Tabla3[[#This Row],[FECHA INGRESO]]),MONTH(Tabla3[[#This Row],[FECHA INGRESO]])+1,0))</f>
        <v>1209.1199999999999</v>
      </c>
      <c r="I132" s="286">
        <f ca="1">DATEDIF(Tabla3[[#This Row],[FECHA INGRESO]],IF(OR(Tabla3[[#This Row],[ESTADO]]="OK",Tabla3[[#This Row],[ESTADO]]="¡REGULARIZAR!")=TRUE,TODAY(),IF(Tabla3[[#This Row],[ULTIMO PAGO]]="",TODAY(),Tabla3[[#This Row],[ULTIMO PAGO]])),"m")</f>
        <v>0</v>
      </c>
      <c r="J132" s="18">
        <f>(_xlfn.MAXIFS(INGRESOS!A:A,INGRESOS!C:C,Tabla3[[#This Row],[CORREO]]))</f>
        <v>45905</v>
      </c>
      <c r="K132" s="7">
        <f ca="1">+IFERROR(Tabla3[[#This Row],[ABONADO NETO ]]/Tabla3[[#This Row],[MESES ACT]],Tabla3[[#This Row],[ABONO 1ER MES]])</f>
        <v>1209.1199999999999</v>
      </c>
      <c r="M132" s="287" t="s">
        <v>2139</v>
      </c>
      <c r="N132" s="288">
        <f>+SUMIF(INGRESOS!D:D,Tabla3[[#This Row],[ID STRIPE]],INGRESOS!J:J)</f>
        <v>1209.1199999999999</v>
      </c>
      <c r="O132" s="6">
        <v>26750</v>
      </c>
      <c r="P132" s="6">
        <f>+SUMIF('CALENDARIO INGRESOS'!A:A,Tabla3[[#This Row],[ID STRIPE]],'CALENDARIO INGRESOS'!I:I)</f>
        <v>1250</v>
      </c>
      <c r="Q132" s="6">
        <f>+SUMIF(INGRESOS!D:D,Tabla3[[#This Row],[ID STRIPE]],INGRESOS!G:G)</f>
        <v>1250</v>
      </c>
      <c r="R132" s="3" t="str">
        <f>IF(Tabla3[[#This Row],[ESTADO]]="OK",IF(COUNTIFS('CALENDARIO INGRESOS'!$A:$A,$D132,'CALENDARIO INGRESOS'!$H:$H,"LATAM",'CALENDARIO INGRESOS'!$L:$L,"&lt;&gt;PAGADA")&gt;0,"LATAM",
 IF(COUNTIFS('CALENDARIO INGRESOS'!$A:$A,$D132,'CALENDARIO INGRESOS'!$H:$H,"VISA",'CALENDARIO INGRESOS'!$L:$L,"&lt;&gt;PAGADA")&gt;0,"VISA",
  IF(COUNTIFS('CALENDARIO INGRESOS'!$A:$A,$D132,'CALENDARIO INGRESOS'!$H:$H,"FIRMA PA",'CALENDARIO INGRESOS'!$L:$L,"&lt;&gt;PAGADA")&gt;0,"FIRMA PA",
   IF(COUNTIFS('CALENDARIO INGRESOS'!$A:$A,$D132,'CALENDARIO INGRESOS'!$H:$H,"ALEM",'CALENDARIO INGRESOS'!$L:$L,"&lt;&gt;PAGADA")&gt;0,"ALEM","LISTO")))),"-")</f>
        <v>-</v>
      </c>
      <c r="S132" s="188">
        <f>+SUMIFS('CALENDARIO INGRESOS'!I:I,'CALENDARIO INGRESOS'!A:A,Tabla3[[#This Row],[ID STRIPE]],'CALENDARIO INGRESOS'!H:H,"LATAM")</f>
        <v>1250</v>
      </c>
      <c r="T132" s="188">
        <f>+IF(Tabla3[[#This Row],[MONTO LATAM]]-Tabla3[[#This Row],[IMPORTE ABONADO]]&gt;=0,Tabla3[[#This Row],[MONTO LATAM]]-Tabla3[[#This Row],[IMPORTE ABONADO]],0)</f>
        <v>0</v>
      </c>
      <c r="U132" s="188">
        <f>+SUMIFS('CALENDARIO INGRESOS'!J:J,'CALENDARIO INGRESOS'!B:B,Tabla3[[#This Row],[ID STRIPE]],'CALENDARIO INGRESOS'!I:I,"ALEM")</f>
        <v>0</v>
      </c>
      <c r="V132" s="6">
        <f>+SUMIFS('CALENDARIO INGRESOS'!I:I,'CALENDARIO INGRESOS'!A:A,Tabla3[[#This Row],[ID STRIPE]],'CALENDARIO INGRESOS'!H:H,"VISA")+SUMIFS('CALENDARIO INGRESOS'!I:I,'CALENDARIO INGRESOS'!A:A,Tabla3[[#This Row],[ID STRIPE]],'CALENDARIO INGRESOS'!H:H,"FIRMA PA")</f>
        <v>0</v>
      </c>
      <c r="W132" s="250">
        <v>0</v>
      </c>
      <c r="X132" s="60">
        <f>+IFERROR(AVERAGEIF('CALENDARIO INGRESOS'!A:A,Tabla3[[#This Row],[ID STRIPE]],'CALENDARIO INGRESOS'!M:M),"0")</f>
        <v>0</v>
      </c>
      <c r="Y132" s="18" t="s">
        <v>2093</v>
      </c>
      <c r="Z132" s="286">
        <f>+IFERROR(_xlfn.XLOOKUP(Tabla3[[#This Row],[ID LINGODA]],LINGODA!D:D,LINGODA!S:S),0)</f>
        <v>0</v>
      </c>
      <c r="AA132" s="18" t="str">
        <f>+IFERROR(_xlfn.XLOOKUP(Tabla3[[#This Row],[ID LINGODA]],LINGODA!D:D,LINGODA!F:F),"null")</f>
        <v>null</v>
      </c>
      <c r="AB132" s="286" t="str">
        <f>+IFERROR(_xlfn.XLOOKUP(Tabla3[[#This Row],[ID LINGODA]],LINGODA!D:D,LINGODA!G:G),"null")</f>
        <v>null</v>
      </c>
    </row>
    <row r="133" spans="1:28">
      <c r="A133" s="5" t="s">
        <v>2403</v>
      </c>
      <c r="B133" s="1" t="s">
        <v>2404</v>
      </c>
      <c r="C133" s="1" t="s">
        <v>12</v>
      </c>
      <c r="D133" s="1" t="s">
        <v>912</v>
      </c>
      <c r="E133" s="60">
        <v>1824492</v>
      </c>
      <c r="F133" s="60"/>
      <c r="G133" s="18">
        <f>(_xlfn.MINIFS(INGRESOS!A:A,INGRESOS!C:C,Tabla3[[#This Row],[CORREO]]))</f>
        <v>45906</v>
      </c>
      <c r="H133" s="3">
        <f>+SUMIFS(INGRESOS!J:J,INGRESOS!D:D,Tabla3[[#This Row],[ID STRIPE]],INGRESOS!A:A,"&gt;="&amp;DATE(YEAR(Tabla3[[#This Row],[FECHA INGRESO]]),MONTH(Tabla3[[#This Row],[FECHA INGRESO]]),1),INGRESOS!A:A,"&lt;="&amp;DATE(YEAR(Tabla3[[#This Row],[FECHA INGRESO]]),MONTH(Tabla3[[#This Row],[FECHA INGRESO]])+1,0))</f>
        <v>483.24</v>
      </c>
      <c r="I133" s="286">
        <f ca="1">DATEDIF(Tabla3[[#This Row],[FECHA INGRESO]],IF(OR(Tabla3[[#This Row],[ESTADO]]="OK",Tabla3[[#This Row],[ESTADO]]="¡REGULARIZAR!")=TRUE,TODAY(),IF(Tabla3[[#This Row],[ULTIMO PAGO]]="",TODAY(),Tabla3[[#This Row],[ULTIMO PAGO]])),"m")</f>
        <v>6</v>
      </c>
      <c r="J133" s="18">
        <f>(_xlfn.MAXIFS(INGRESOS!A:A,INGRESOS!C:C,Tabla3[[#This Row],[CORREO]]))</f>
        <v>46057</v>
      </c>
      <c r="K133" s="7">
        <f ca="1">+IFERROR(Tabla3[[#This Row],[ABONADO NETO ]]/Tabla3[[#This Row],[MESES ACT]],Tabla3[[#This Row],[ABONO 1ER MES]])</f>
        <v>1558.1745446446532</v>
      </c>
      <c r="M133" s="287" t="s">
        <v>2119</v>
      </c>
      <c r="N133" s="288">
        <f>+SUMIF(INGRESOS!D:D,Tabla3[[#This Row],[ID STRIPE]],INGRESOS!J:J)</f>
        <v>9349.0472678679198</v>
      </c>
      <c r="O133" s="6">
        <v>22000</v>
      </c>
      <c r="P133" s="6">
        <f>+SUMIF('CALENDARIO INGRESOS'!A:A,Tabla3[[#This Row],[ID STRIPE]],'CALENDARIO INGRESOS'!I:I)</f>
        <v>22000</v>
      </c>
      <c r="Q133" s="6">
        <f>+SUMIF(INGRESOS!D:D,Tabla3[[#This Row],[ID STRIPE]],INGRESOS!G:G)</f>
        <v>9464.30726786792</v>
      </c>
      <c r="R133" s="3" t="str">
        <f>IF(Tabla3[[#This Row],[ESTADO]]="OK",IF(COUNTIFS('CALENDARIO INGRESOS'!$A:$A,$D133,'CALENDARIO INGRESOS'!$H:$H,"LATAM",'CALENDARIO INGRESOS'!$L:$L,"&lt;&gt;PAGADA")&gt;0,"LATAM",
 IF(COUNTIFS('CALENDARIO INGRESOS'!$A:$A,$D133,'CALENDARIO INGRESOS'!$H:$H,"VISA",'CALENDARIO INGRESOS'!$L:$L,"&lt;&gt;PAGADA")&gt;0,"VISA",
  IF(COUNTIFS('CALENDARIO INGRESOS'!$A:$A,$D133,'CALENDARIO INGRESOS'!$H:$H,"FIRMA PA",'CALENDARIO INGRESOS'!$L:$L,"&lt;&gt;PAGADA")&gt;0,"FIRMA PA",
   IF(COUNTIFS('CALENDARIO INGRESOS'!$A:$A,$D133,'CALENDARIO INGRESOS'!$H:$H,"ALEM",'CALENDARIO INGRESOS'!$L:$L,"&lt;&gt;PAGADA")&gt;0,"ALEM","LISTO")))),"-")</f>
        <v>LATAM</v>
      </c>
      <c r="S133" s="188">
        <f>+SUMIFS('CALENDARIO INGRESOS'!I:I,'CALENDARIO INGRESOS'!A:A,Tabla3[[#This Row],[ID STRIPE]],'CALENDARIO INGRESOS'!H:H,"LATAM")</f>
        <v>16000</v>
      </c>
      <c r="T133" s="188">
        <f>+IF(Tabla3[[#This Row],[MONTO LATAM]]-Tabla3[[#This Row],[IMPORTE ABONADO]]&gt;=0,Tabla3[[#This Row],[MONTO LATAM]]-Tabla3[[#This Row],[IMPORTE ABONADO]],0)</f>
        <v>6535.69273213208</v>
      </c>
      <c r="U133" s="188">
        <f>+SUMIFS('CALENDARIO INGRESOS'!I:I,'CALENDARIO INGRESOS'!A:A,Tabla3[[#This Row],[ID STRIPE]],'CALENDARIO INGRESOS'!H:H,"ALEM")</f>
        <v>6000</v>
      </c>
      <c r="V133" s="6">
        <f>+SUMIFS('CALENDARIO INGRESOS'!I:I,'CALENDARIO INGRESOS'!A:A,Tabla3[[#This Row],[ID STRIPE]],'CALENDARIO INGRESOS'!H:H,"VISA")+SUMIFS('CALENDARIO INGRESOS'!I:I,'CALENDARIO INGRESOS'!A:A,Tabla3[[#This Row],[ID STRIPE]],'CALENDARIO INGRESOS'!H:H,"FIRMA PA")</f>
        <v>0</v>
      </c>
      <c r="W133" s="250">
        <v>1</v>
      </c>
      <c r="X133" s="60">
        <f>+IFERROR(AVERAGEIF('CALENDARIO INGRESOS'!A:A,Tabla3[[#This Row],[ID STRIPE]],'CALENDARIO INGRESOS'!M:M),"0")</f>
        <v>-9.1428571428571423</v>
      </c>
      <c r="Y133" s="18" t="s">
        <v>2093</v>
      </c>
      <c r="Z133" s="286">
        <f>+IFERROR(_xlfn.XLOOKUP(Tabla3[[#This Row],[ID LINGODA]],LINGODA!D:D,LINGODA!S:S),0)</f>
        <v>57</v>
      </c>
      <c r="AA133" s="18" t="str">
        <f>+IFERROR(_xlfn.XLOOKUP(Tabla3[[#This Row],[ID LINGODA]],LINGODA!D:D,LINGODA!F:F),"null")</f>
        <v>A1.1</v>
      </c>
      <c r="AB133" s="286" t="str">
        <f>+IFERROR(_xlfn.XLOOKUP(Tabla3[[#This Row],[ID LINGODA]],LINGODA!D:D,LINGODA!G:G),"null")</f>
        <v>A1.2</v>
      </c>
    </row>
    <row r="134" spans="1:28">
      <c r="A134" s="5" t="s">
        <v>2405</v>
      </c>
      <c r="B134" s="1" t="s">
        <v>2406</v>
      </c>
      <c r="C134" s="1" t="s">
        <v>13</v>
      </c>
      <c r="D134" s="1" t="s">
        <v>907</v>
      </c>
      <c r="E134" s="60">
        <v>1824489</v>
      </c>
      <c r="F134" s="60"/>
      <c r="G134" s="18">
        <f>(_xlfn.MINIFS(INGRESOS!A:A,INGRESOS!C:C,Tabla3[[#This Row],[CORREO]]))</f>
        <v>45906</v>
      </c>
      <c r="H134" s="3">
        <f>+SUMIFS(INGRESOS!J:J,INGRESOS!D:D,Tabla3[[#This Row],[ID STRIPE]],INGRESOS!A:A,"&gt;="&amp;DATE(YEAR(Tabla3[[#This Row],[FECHA INGRESO]]),MONTH(Tabla3[[#This Row],[FECHA INGRESO]]),1),INGRESOS!A:A,"&lt;="&amp;DATE(YEAR(Tabla3[[#This Row],[FECHA INGRESO]]),MONTH(Tabla3[[#This Row],[FECHA INGRESO]])+1,0))</f>
        <v>2901.99</v>
      </c>
      <c r="I134" s="286">
        <f ca="1">DATEDIF(Tabla3[[#This Row],[FECHA INGRESO]],IF(OR(Tabla3[[#This Row],[ESTADO]]="OK",Tabla3[[#This Row],[ESTADO]]="¡REGULARIZAR!")=TRUE,TODAY(),IF(Tabla3[[#This Row],[ULTIMO PAGO]]="",TODAY(),Tabla3[[#This Row],[ULTIMO PAGO]])),"m")</f>
        <v>6</v>
      </c>
      <c r="J134" s="18">
        <f>(_xlfn.MAXIFS(INGRESOS!A:A,INGRESOS!C:C,Tabla3[[#This Row],[CORREO]]))</f>
        <v>46088</v>
      </c>
      <c r="K134" s="7">
        <f ca="1">+IFERROR(Tabla3[[#This Row],[ABONADO NETO ]]/Tabla3[[#This Row],[MESES ACT]],Tabla3[[#This Row],[ABONO 1ER MES]])</f>
        <v>1450.915</v>
      </c>
      <c r="M134" s="287" t="s">
        <v>2119</v>
      </c>
      <c r="N134" s="288">
        <f>+SUMIF(INGRESOS!D:D,Tabla3[[#This Row],[ID STRIPE]],INGRESOS!J:J)</f>
        <v>8705.49</v>
      </c>
      <c r="O134" s="6">
        <v>26000</v>
      </c>
      <c r="P134" s="6">
        <f>+SUMIF('CALENDARIO INGRESOS'!A:A,Tabla3[[#This Row],[ID STRIPE]],'CALENDARIO INGRESOS'!I:I)</f>
        <v>26000</v>
      </c>
      <c r="Q134" s="6">
        <f>+SUMIF(INGRESOS!D:D,Tabla3[[#This Row],[ID STRIPE]],INGRESOS!G:G)</f>
        <v>9000</v>
      </c>
      <c r="R134" s="3" t="str">
        <f>IF(Tabla3[[#This Row],[ESTADO]]="OK",IF(COUNTIFS('CALENDARIO INGRESOS'!$A:$A,$D134,'CALENDARIO INGRESOS'!$H:$H,"LATAM",'CALENDARIO INGRESOS'!$L:$L,"&lt;&gt;PAGADA")&gt;0,"LATAM",
 IF(COUNTIFS('CALENDARIO INGRESOS'!$A:$A,$D134,'CALENDARIO INGRESOS'!$H:$H,"VISA",'CALENDARIO INGRESOS'!$L:$L,"&lt;&gt;PAGADA")&gt;0,"VISA",
  IF(COUNTIFS('CALENDARIO INGRESOS'!$A:$A,$D134,'CALENDARIO INGRESOS'!$H:$H,"FIRMA PA",'CALENDARIO INGRESOS'!$L:$L,"&lt;&gt;PAGADA")&gt;0,"FIRMA PA",
   IF(COUNTIFS('CALENDARIO INGRESOS'!$A:$A,$D134,'CALENDARIO INGRESOS'!$H:$H,"ALEM",'CALENDARIO INGRESOS'!$L:$L,"&lt;&gt;PAGADA")&gt;0,"ALEM","LISTO")))),"-")</f>
        <v>LATAM</v>
      </c>
      <c r="S134" s="188">
        <f>+SUMIFS('CALENDARIO INGRESOS'!I:I,'CALENDARIO INGRESOS'!A:A,Tabla3[[#This Row],[ID STRIPE]],'CALENDARIO INGRESOS'!H:H,"LATAM")</f>
        <v>15000</v>
      </c>
      <c r="T134" s="188">
        <f>+IF(Tabla3[[#This Row],[MONTO LATAM]]-Tabla3[[#This Row],[IMPORTE ABONADO]]&gt;=0,Tabla3[[#This Row],[MONTO LATAM]]-Tabla3[[#This Row],[IMPORTE ABONADO]],0)</f>
        <v>6000</v>
      </c>
      <c r="U134" s="188">
        <f>+SUMIFS('CALENDARIO INGRESOS'!I:I,'CALENDARIO INGRESOS'!A:A,Tabla3[[#This Row],[ID STRIPE]],'CALENDARIO INGRESOS'!H:H,"ALEM")</f>
        <v>8000</v>
      </c>
      <c r="V134" s="6">
        <f>+SUMIFS('CALENDARIO INGRESOS'!I:I,'CALENDARIO INGRESOS'!A:A,Tabla3[[#This Row],[ID STRIPE]],'CALENDARIO INGRESOS'!H:H,"VISA")+SUMIFS('CALENDARIO INGRESOS'!I:I,'CALENDARIO INGRESOS'!A:A,Tabla3[[#This Row],[ID STRIPE]],'CALENDARIO INGRESOS'!H:H,"FIRMA PA")</f>
        <v>3000</v>
      </c>
      <c r="W134" s="250">
        <v>1</v>
      </c>
      <c r="X134" s="60">
        <f>+IFERROR(AVERAGEIF('CALENDARIO INGRESOS'!A:A,Tabla3[[#This Row],[ID STRIPE]],'CALENDARIO INGRESOS'!M:M),"0")</f>
        <v>0</v>
      </c>
      <c r="Y134" s="18" t="s">
        <v>2093</v>
      </c>
      <c r="Z134" s="286">
        <f>+IFERROR(_xlfn.XLOOKUP(Tabla3[[#This Row],[ID LINGODA]],LINGODA!D:D,LINGODA!S:S),0)</f>
        <v>22</v>
      </c>
      <c r="AA134" s="18" t="str">
        <f>+IFERROR(_xlfn.XLOOKUP(Tabla3[[#This Row],[ID LINGODA]],LINGODA!D:D,LINGODA!F:F),"null")</f>
        <v>A1.1</v>
      </c>
      <c r="AB134" s="286" t="str">
        <f>+IFERROR(_xlfn.XLOOKUP(Tabla3[[#This Row],[ID LINGODA]],LINGODA!D:D,LINGODA!G:G),"null")</f>
        <v>A1 komplett</v>
      </c>
    </row>
    <row r="135" spans="1:28">
      <c r="A135" s="5" t="s">
        <v>2407</v>
      </c>
      <c r="B135" s="1" t="s">
        <v>2408</v>
      </c>
      <c r="C135" s="1" t="s">
        <v>24</v>
      </c>
      <c r="D135" s="1" t="s">
        <v>904</v>
      </c>
      <c r="E135" s="60">
        <v>1824493</v>
      </c>
      <c r="F135" s="60"/>
      <c r="G135" s="18">
        <f>(_xlfn.MINIFS(INGRESOS!A:A,INGRESOS!C:C,Tabla3[[#This Row],[CORREO]]))</f>
        <v>45906</v>
      </c>
      <c r="H135" s="3">
        <f>+SUMIFS(INGRESOS!J:J,INGRESOS!D:D,Tabla3[[#This Row],[ID STRIPE]],INGRESOS!A:A,"&gt;="&amp;DATE(YEAR(Tabla3[[#This Row],[FECHA INGRESO]]),MONTH(Tabla3[[#This Row],[FECHA INGRESO]]),1),INGRESOS!A:A,"&lt;="&amp;DATE(YEAR(Tabla3[[#This Row],[FECHA INGRESO]]),MONTH(Tabla3[[#This Row],[FECHA INGRESO]])+1,0))</f>
        <v>2900.74</v>
      </c>
      <c r="I135" s="286">
        <f ca="1">DATEDIF(Tabla3[[#This Row],[FECHA INGRESO]],IF(OR(Tabla3[[#This Row],[ESTADO]]="OK",Tabla3[[#This Row],[ESTADO]]="¡REGULARIZAR!")=TRUE,TODAY(),IF(Tabla3[[#This Row],[ULTIMO PAGO]]="",TODAY(),Tabla3[[#This Row],[ULTIMO PAGO]])),"m")</f>
        <v>6</v>
      </c>
      <c r="J135" s="18">
        <f>(_xlfn.MAXIFS(INGRESOS!A:A,INGRESOS!C:C,Tabla3[[#This Row],[CORREO]]))</f>
        <v>45995</v>
      </c>
      <c r="K135" s="7">
        <f ca="1">+IFERROR(Tabla3[[#This Row],[ABONADO NETO ]]/Tabla3[[#This Row],[MESES ACT]],Tabla3[[#This Row],[ABONO 1ER MES]])</f>
        <v>2272.9600000000005</v>
      </c>
      <c r="M135" s="287" t="s">
        <v>2119</v>
      </c>
      <c r="N135" s="288">
        <f>+SUMIF(INGRESOS!D:D,Tabla3[[#This Row],[ID STRIPE]],INGRESOS!J:J)</f>
        <v>13637.760000000004</v>
      </c>
      <c r="O135" s="6">
        <v>25100</v>
      </c>
      <c r="P135" s="6">
        <f>+SUMIF('CALENDARIO INGRESOS'!A:A,Tabla3[[#This Row],[ID STRIPE]],'CALENDARIO INGRESOS'!I:I)</f>
        <v>25100</v>
      </c>
      <c r="Q135" s="6">
        <f>+SUMIF(INGRESOS!D:D,Tabla3[[#This Row],[ID STRIPE]],INGRESOS!G:G)</f>
        <v>14100</v>
      </c>
      <c r="R135" s="3" t="str">
        <f>IF(Tabla3[[#This Row],[ESTADO]]="OK",IF(COUNTIFS('CALENDARIO INGRESOS'!$A:$A,$D135,'CALENDARIO INGRESOS'!$H:$H,"LATAM",'CALENDARIO INGRESOS'!$L:$L,"&lt;&gt;PAGADA")&gt;0,"LATAM",
 IF(COUNTIFS('CALENDARIO INGRESOS'!$A:$A,$D135,'CALENDARIO INGRESOS'!$H:$H,"VISA",'CALENDARIO INGRESOS'!$L:$L,"&lt;&gt;PAGADA")&gt;0,"VISA",
  IF(COUNTIFS('CALENDARIO INGRESOS'!$A:$A,$D135,'CALENDARIO INGRESOS'!$H:$H,"FIRMA PA",'CALENDARIO INGRESOS'!$L:$L,"&lt;&gt;PAGADA")&gt;0,"FIRMA PA",
   IF(COUNTIFS('CALENDARIO INGRESOS'!$A:$A,$D135,'CALENDARIO INGRESOS'!$H:$H,"ALEM",'CALENDARIO INGRESOS'!$L:$L,"&lt;&gt;PAGADA")&gt;0,"ALEM","LISTO")))),"-")</f>
        <v>VISA</v>
      </c>
      <c r="S135" s="188">
        <f>+SUMIFS('CALENDARIO INGRESOS'!I:I,'CALENDARIO INGRESOS'!A:A,Tabla3[[#This Row],[ID STRIPE]],'CALENDARIO INGRESOS'!H:H,"LATAM")</f>
        <v>14100</v>
      </c>
      <c r="T135" s="188">
        <f>+IF(Tabla3[[#This Row],[MONTO LATAM]]-Tabla3[[#This Row],[IMPORTE ABONADO]]&gt;=0,Tabla3[[#This Row],[MONTO LATAM]]-Tabla3[[#This Row],[IMPORTE ABONADO]],0)</f>
        <v>0</v>
      </c>
      <c r="U135" s="188">
        <f>+SUMIFS('CALENDARIO INGRESOS'!I:I,'CALENDARIO INGRESOS'!A:A,Tabla3[[#This Row],[ID STRIPE]],'CALENDARIO INGRESOS'!H:H,"ALEM")</f>
        <v>8000</v>
      </c>
      <c r="V135" s="6">
        <f>+SUMIFS('CALENDARIO INGRESOS'!I:I,'CALENDARIO INGRESOS'!A:A,Tabla3[[#This Row],[ID STRIPE]],'CALENDARIO INGRESOS'!H:H,"VISA")+SUMIFS('CALENDARIO INGRESOS'!I:I,'CALENDARIO INGRESOS'!A:A,Tabla3[[#This Row],[ID STRIPE]],'CALENDARIO INGRESOS'!H:H,"FIRMA PA")</f>
        <v>3000</v>
      </c>
      <c r="W135" s="250">
        <v>1</v>
      </c>
      <c r="X135" s="60">
        <f>+IFERROR(AVERAGEIF('CALENDARIO INGRESOS'!A:A,Tabla3[[#This Row],[ID STRIPE]],'CALENDARIO INGRESOS'!M:M),"0")</f>
        <v>0.5625</v>
      </c>
      <c r="Y135" s="18" t="s">
        <v>2093</v>
      </c>
      <c r="Z135" s="286">
        <f>+IFERROR(_xlfn.XLOOKUP(Tabla3[[#This Row],[ID LINGODA]],LINGODA!D:D,LINGODA!S:S),0)</f>
        <v>137</v>
      </c>
      <c r="AA135" s="18" t="str">
        <f>+IFERROR(_xlfn.XLOOKUP(Tabla3[[#This Row],[ID LINGODA]],LINGODA!D:D,LINGODA!F:F),"null")</f>
        <v>A2.1</v>
      </c>
      <c r="AB135" s="286" t="str">
        <f>+IFERROR(_xlfn.XLOOKUP(Tabla3[[#This Row],[ID LINGODA]],LINGODA!D:D,LINGODA!G:G),"null")</f>
        <v>B1.2</v>
      </c>
    </row>
    <row r="136" spans="1:28">
      <c r="A136" s="5" t="s">
        <v>2409</v>
      </c>
      <c r="B136" s="1" t="s">
        <v>2410</v>
      </c>
      <c r="C136" s="1" t="s">
        <v>11</v>
      </c>
      <c r="D136" s="1" t="s">
        <v>901</v>
      </c>
      <c r="E136" s="60">
        <v>1824490</v>
      </c>
      <c r="F136" s="60"/>
      <c r="G136" s="18">
        <f>(_xlfn.MINIFS(INGRESOS!A:A,INGRESOS!C:C,Tabla3[[#This Row],[CORREO]]))</f>
        <v>45906</v>
      </c>
      <c r="H136" s="3">
        <f>+SUMIFS(INGRESOS!J:J,INGRESOS!D:D,Tabla3[[#This Row],[ID STRIPE]],INGRESOS!A:A,"&gt;="&amp;DATE(YEAR(Tabla3[[#This Row],[FECHA INGRESO]]),MONTH(Tabla3[[#This Row],[FECHA INGRESO]]),1),INGRESOS!A:A,"&lt;="&amp;DATE(YEAR(Tabla3[[#This Row],[FECHA INGRESO]]),MONTH(Tabla3[[#This Row],[FECHA INGRESO]])+1,0))</f>
        <v>14705.25</v>
      </c>
      <c r="I136" s="286">
        <f ca="1">DATEDIF(Tabla3[[#This Row],[FECHA INGRESO]],IF(OR(Tabla3[[#This Row],[ESTADO]]="OK",Tabla3[[#This Row],[ESTADO]]="¡REGULARIZAR!")=TRUE,TODAY(),IF(Tabla3[[#This Row],[ULTIMO PAGO]]="",TODAY(),Tabla3[[#This Row],[ULTIMO PAGO]])),"m")</f>
        <v>6</v>
      </c>
      <c r="J136" s="18">
        <f>(_xlfn.MAXIFS(INGRESOS!A:A,INGRESOS!C:C,Tabla3[[#This Row],[CORREO]]))</f>
        <v>45929</v>
      </c>
      <c r="K136" s="7">
        <f ca="1">+IFERROR(Tabla3[[#This Row],[ABONADO NETO ]]/Tabla3[[#This Row],[MESES ACT]],Tabla3[[#This Row],[ABONO 1ER MES]])</f>
        <v>2450.875</v>
      </c>
      <c r="M136" s="287" t="s">
        <v>2119</v>
      </c>
      <c r="N136" s="288">
        <f>+SUMIF(INGRESOS!D:D,Tabla3[[#This Row],[ID STRIPE]],INGRESOS!J:J)</f>
        <v>14705.25</v>
      </c>
      <c r="O136" s="6">
        <v>21200</v>
      </c>
      <c r="P136" s="6">
        <f>+SUMIF('CALENDARIO INGRESOS'!A:A,Tabla3[[#This Row],[ID STRIPE]],'CALENDARIO INGRESOS'!I:I)</f>
        <v>21200</v>
      </c>
      <c r="Q136" s="6">
        <f>+SUMIF(INGRESOS!D:D,Tabla3[[#This Row],[ID STRIPE]],INGRESOS!G:G)</f>
        <v>15200</v>
      </c>
      <c r="R136" s="3" t="str">
        <f>IF(Tabla3[[#This Row],[ESTADO]]="OK",IF(COUNTIFS('CALENDARIO INGRESOS'!$A:$A,$D136,'CALENDARIO INGRESOS'!$H:$H,"LATAM",'CALENDARIO INGRESOS'!$L:$L,"&lt;&gt;PAGADA")&gt;0,"LATAM",
 IF(COUNTIFS('CALENDARIO INGRESOS'!$A:$A,$D136,'CALENDARIO INGRESOS'!$H:$H,"VISA",'CALENDARIO INGRESOS'!$L:$L,"&lt;&gt;PAGADA")&gt;0,"VISA",
  IF(COUNTIFS('CALENDARIO INGRESOS'!$A:$A,$D136,'CALENDARIO INGRESOS'!$H:$H,"FIRMA PA",'CALENDARIO INGRESOS'!$L:$L,"&lt;&gt;PAGADA")&gt;0,"FIRMA PA",
   IF(COUNTIFS('CALENDARIO INGRESOS'!$A:$A,$D136,'CALENDARIO INGRESOS'!$H:$H,"ALEM",'CALENDARIO INGRESOS'!$L:$L,"&lt;&gt;PAGADA")&gt;0,"ALEM","LISTO")))),"-")</f>
        <v>ALEM</v>
      </c>
      <c r="S136" s="188">
        <f>+SUMIFS('CALENDARIO INGRESOS'!I:I,'CALENDARIO INGRESOS'!A:A,Tabla3[[#This Row],[ID STRIPE]],'CALENDARIO INGRESOS'!H:H,"LATAM")</f>
        <v>15200</v>
      </c>
      <c r="T136" s="188">
        <f>+IF(Tabla3[[#This Row],[MONTO LATAM]]-Tabla3[[#This Row],[IMPORTE ABONADO]]&gt;=0,Tabla3[[#This Row],[MONTO LATAM]]-Tabla3[[#This Row],[IMPORTE ABONADO]],0)</f>
        <v>0</v>
      </c>
      <c r="U136" s="188">
        <f>+SUMIFS('CALENDARIO INGRESOS'!I:I,'CALENDARIO INGRESOS'!A:A,Tabla3[[#This Row],[ID STRIPE]],'CALENDARIO INGRESOS'!H:H,"ALEM")</f>
        <v>6000</v>
      </c>
      <c r="V136" s="6">
        <f>+SUMIFS('CALENDARIO INGRESOS'!I:I,'CALENDARIO INGRESOS'!A:A,Tabla3[[#This Row],[ID STRIPE]],'CALENDARIO INGRESOS'!H:H,"VISA")+SUMIFS('CALENDARIO INGRESOS'!I:I,'CALENDARIO INGRESOS'!A:A,Tabla3[[#This Row],[ID STRIPE]],'CALENDARIO INGRESOS'!H:H,"FIRMA PA")</f>
        <v>0</v>
      </c>
      <c r="W136" s="252">
        <v>0</v>
      </c>
      <c r="X136" s="60">
        <f>+IFERROR(AVERAGEIF('CALENDARIO INGRESOS'!A:A,Tabla3[[#This Row],[ID STRIPE]],'CALENDARIO INGRESOS'!M:M),"0")</f>
        <v>-0.33333333333333331</v>
      </c>
      <c r="Y136" s="18" t="s">
        <v>2093</v>
      </c>
      <c r="Z136" s="286">
        <f>+IFERROR(_xlfn.XLOOKUP(Tabla3[[#This Row],[ID LINGODA]],LINGODA!D:D,LINGODA!S:S),0)</f>
        <v>9</v>
      </c>
      <c r="AA136" s="18" t="str">
        <f>+IFERROR(_xlfn.XLOOKUP(Tabla3[[#This Row],[ID LINGODA]],LINGODA!D:D,LINGODA!F:F),"null")</f>
        <v>A1.1</v>
      </c>
      <c r="AB136" s="286" t="str">
        <f>+IFERROR(_xlfn.XLOOKUP(Tabla3[[#This Row],[ID LINGODA]],LINGODA!D:D,LINGODA!G:G),"null")</f>
        <v>A1.1</v>
      </c>
    </row>
    <row r="137" spans="1:28">
      <c r="A137" s="5" t="s">
        <v>2411</v>
      </c>
      <c r="B137" s="1" t="s">
        <v>2412</v>
      </c>
      <c r="C137" s="1" t="s">
        <v>12</v>
      </c>
      <c r="D137" s="1" t="s">
        <v>933</v>
      </c>
      <c r="E137" s="60">
        <v>1824501</v>
      </c>
      <c r="F137" s="60"/>
      <c r="G137" s="18">
        <f>(_xlfn.MINIFS(INGRESOS!A:A,INGRESOS!C:C,Tabla3[[#This Row],[CORREO]]))</f>
        <v>45909</v>
      </c>
      <c r="H137" s="3">
        <f>+SUMIFS(INGRESOS!J:J,INGRESOS!D:D,Tabla3[[#This Row],[ID STRIPE]],INGRESOS!A:A,"&gt;="&amp;DATE(YEAR(Tabla3[[#This Row],[FECHA INGRESO]]),MONTH(Tabla3[[#This Row],[FECHA INGRESO]]),1),INGRESOS!A:A,"&lt;="&amp;DATE(YEAR(Tabla3[[#This Row],[FECHA INGRESO]]),MONTH(Tabla3[[#This Row],[FECHA INGRESO]])+1,0))</f>
        <v>1934.75</v>
      </c>
      <c r="I137" s="286">
        <f ca="1">DATEDIF(Tabla3[[#This Row],[FECHA INGRESO]],IF(OR(Tabla3[[#This Row],[ESTADO]]="OK",Tabla3[[#This Row],[ESTADO]]="¡REGULARIZAR!")=TRUE,TODAY(),IF(Tabla3[[#This Row],[ULTIMO PAGO]]="",TODAY(),Tabla3[[#This Row],[ULTIMO PAGO]])),"m")</f>
        <v>5</v>
      </c>
      <c r="J137" s="18">
        <f>(_xlfn.MAXIFS(INGRESOS!A:A,INGRESOS!C:C,Tabla3[[#This Row],[CORREO]]))</f>
        <v>45962</v>
      </c>
      <c r="K137" s="7">
        <f ca="1">+IFERROR(Tabla3[[#This Row],[ABONADO NETO ]]/Tabla3[[#This Row],[MESES ACT]],Tabla3[[#This Row],[ABONO 1ER MES]])</f>
        <v>1238.3</v>
      </c>
      <c r="M137" s="287" t="s">
        <v>2198</v>
      </c>
      <c r="N137" s="288">
        <f>+SUMIF(INGRESOS!D:D,Tabla3[[#This Row],[ID STRIPE]],INGRESOS!J:J)</f>
        <v>6191.5</v>
      </c>
      <c r="O137" s="6">
        <v>21200</v>
      </c>
      <c r="P137" s="6">
        <f>+SUMIF('CALENDARIO INGRESOS'!A:A,Tabla3[[#This Row],[ID STRIPE]],'CALENDARIO INGRESOS'!I:I)</f>
        <v>6400</v>
      </c>
      <c r="Q137" s="6">
        <f>+SUMIF(INGRESOS!D:D,Tabla3[[#This Row],[ID STRIPE]],INGRESOS!G:G)</f>
        <v>6400</v>
      </c>
      <c r="R137" s="3" t="str">
        <f>IF(Tabla3[[#This Row],[ESTADO]]="OK",IF(COUNTIFS('CALENDARIO INGRESOS'!$A:$A,$D137,'CALENDARIO INGRESOS'!$H:$H,"LATAM",'CALENDARIO INGRESOS'!$L:$L,"&lt;&gt;PAGADA")&gt;0,"LATAM",
 IF(COUNTIFS('CALENDARIO INGRESOS'!$A:$A,$D137,'CALENDARIO INGRESOS'!$H:$H,"VISA",'CALENDARIO INGRESOS'!$L:$L,"&lt;&gt;PAGADA")&gt;0,"VISA",
  IF(COUNTIFS('CALENDARIO INGRESOS'!$A:$A,$D137,'CALENDARIO INGRESOS'!$H:$H,"FIRMA PA",'CALENDARIO INGRESOS'!$L:$L,"&lt;&gt;PAGADA")&gt;0,"FIRMA PA",
   IF(COUNTIFS('CALENDARIO INGRESOS'!$A:$A,$D137,'CALENDARIO INGRESOS'!$H:$H,"ALEM",'CALENDARIO INGRESOS'!$L:$L,"&lt;&gt;PAGADA")&gt;0,"ALEM","LISTO")))),"-")</f>
        <v>-</v>
      </c>
      <c r="S137" s="188">
        <f>+SUMIFS('CALENDARIO INGRESOS'!I:I,'CALENDARIO INGRESOS'!A:A,Tabla3[[#This Row],[ID STRIPE]],'CALENDARIO INGRESOS'!H:H,"LATAM")</f>
        <v>6400</v>
      </c>
      <c r="T137" s="188">
        <f>+IF(Tabla3[[#This Row],[MONTO LATAM]]-Tabla3[[#This Row],[IMPORTE ABONADO]]&gt;=0,Tabla3[[#This Row],[MONTO LATAM]]-Tabla3[[#This Row],[IMPORTE ABONADO]],0)</f>
        <v>0</v>
      </c>
      <c r="U137" s="188">
        <f>+SUMIFS('CALENDARIO INGRESOS'!I:I,'CALENDARIO INGRESOS'!A:A,Tabla3[[#This Row],[ID STRIPE]],'CALENDARIO INGRESOS'!H:H,"ALEM")</f>
        <v>0</v>
      </c>
      <c r="V137" s="6">
        <f>+SUMIFS('CALENDARIO INGRESOS'!I:I,'CALENDARIO INGRESOS'!A:A,Tabla3[[#This Row],[ID STRIPE]],'CALENDARIO INGRESOS'!H:H,"VISA")+SUMIFS('CALENDARIO INGRESOS'!I:I,'CALENDARIO INGRESOS'!A:A,Tabla3[[#This Row],[ID STRIPE]],'CALENDARIO INGRESOS'!H:H,"FIRMA PA")</f>
        <v>0</v>
      </c>
      <c r="W137" s="250">
        <v>1</v>
      </c>
      <c r="X137" s="60">
        <f>+IFERROR(AVERAGEIF('CALENDARIO INGRESOS'!A:A,Tabla3[[#This Row],[ID STRIPE]],'CALENDARIO INGRESOS'!M:M),"0")</f>
        <v>-8.5</v>
      </c>
      <c r="Y137" s="18" t="s">
        <v>2093</v>
      </c>
      <c r="Z137" s="286">
        <f>+IFERROR(_xlfn.XLOOKUP(Tabla3[[#This Row],[ID LINGODA]],LINGODA!D:D,LINGODA!S:S),0)</f>
        <v>8</v>
      </c>
      <c r="AA137" s="18" t="str">
        <f>+IFERROR(_xlfn.XLOOKUP(Tabla3[[#This Row],[ID LINGODA]],LINGODA!D:D,LINGODA!F:F),"null")</f>
        <v>A1.1</v>
      </c>
      <c r="AB137" s="286" t="str">
        <f>+IFERROR(_xlfn.XLOOKUP(Tabla3[[#This Row],[ID LINGODA]],LINGODA!D:D,LINGODA!G:G),"null")</f>
        <v>A1.1</v>
      </c>
    </row>
    <row r="138" spans="1:28">
      <c r="A138" s="5" t="s">
        <v>2413</v>
      </c>
      <c r="B138" s="1" t="s">
        <v>2414</v>
      </c>
      <c r="C138" s="1" t="s">
        <v>10</v>
      </c>
      <c r="D138" s="1" t="s">
        <v>952</v>
      </c>
      <c r="E138" s="60">
        <v>1825259</v>
      </c>
      <c r="F138" s="60"/>
      <c r="G138" s="18">
        <f>(_xlfn.MINIFS(INGRESOS!A:A,INGRESOS!C:C,Tabla3[[#This Row],[CORREO]]))</f>
        <v>45913</v>
      </c>
      <c r="H138" s="3">
        <f>+SUMIFS(INGRESOS!J:J,INGRESOS!D:D,Tabla3[[#This Row],[ID STRIPE]],INGRESOS!A:A,"&gt;="&amp;DATE(YEAR(Tabla3[[#This Row],[FECHA INGRESO]]),MONTH(Tabla3[[#This Row],[FECHA INGRESO]]),1),INGRESOS!A:A,"&lt;="&amp;DATE(YEAR(Tabla3[[#This Row],[FECHA INGRESO]]),MONTH(Tabla3[[#This Row],[FECHA INGRESO]])+1,0))</f>
        <v>2901.99</v>
      </c>
      <c r="I138" s="286">
        <f ca="1">DATEDIF(Tabla3[[#This Row],[FECHA INGRESO]],IF(OR(Tabla3[[#This Row],[ESTADO]]="OK",Tabla3[[#This Row],[ESTADO]]="¡REGULARIZAR!")=TRUE,TODAY(),IF(Tabla3[[#This Row],[ULTIMO PAGO]]="",TODAY(),Tabla3[[#This Row],[ULTIMO PAGO]])),"m")</f>
        <v>3</v>
      </c>
      <c r="J138" s="18">
        <f>(_xlfn.MAXIFS(INGRESOS!A:A,INGRESOS!C:C,Tabla3[[#This Row],[CORREO]]))</f>
        <v>46021</v>
      </c>
      <c r="K138" s="7">
        <f ca="1">+IFERROR(Tabla3[[#This Row],[ABONADO NETO ]]/Tabla3[[#This Row],[MESES ACT]],Tabla3[[#This Row],[ABONO 1ER MES]])</f>
        <v>1934.58</v>
      </c>
      <c r="M138" s="287" t="s">
        <v>2139</v>
      </c>
      <c r="N138" s="288">
        <f>+SUMIF(INGRESOS!D:D,Tabla3[[#This Row],[ID STRIPE]],INGRESOS!J:J)</f>
        <v>5803.74</v>
      </c>
      <c r="O138" s="6">
        <v>26000</v>
      </c>
      <c r="P138" s="6">
        <f>+SUMIF('CALENDARIO INGRESOS'!A:A,Tabla3[[#This Row],[ID STRIPE]],'CALENDARIO INGRESOS'!I:I)</f>
        <v>7000</v>
      </c>
      <c r="Q138" s="6">
        <f>+SUMIF(INGRESOS!D:D,Tabla3[[#This Row],[ID STRIPE]],INGRESOS!G:G)</f>
        <v>6000</v>
      </c>
      <c r="R138" s="3" t="str">
        <f>IF(Tabla3[[#This Row],[ESTADO]]="OK",IF(COUNTIFS('CALENDARIO INGRESOS'!$A:$A,$D138,'CALENDARIO INGRESOS'!$H:$H,"LATAM",'CALENDARIO INGRESOS'!$L:$L,"&lt;&gt;PAGADA")&gt;0,"LATAM",
 IF(COUNTIFS('CALENDARIO INGRESOS'!$A:$A,$D138,'CALENDARIO INGRESOS'!$H:$H,"VISA",'CALENDARIO INGRESOS'!$L:$L,"&lt;&gt;PAGADA")&gt;0,"VISA",
  IF(COUNTIFS('CALENDARIO INGRESOS'!$A:$A,$D138,'CALENDARIO INGRESOS'!$H:$H,"FIRMA PA",'CALENDARIO INGRESOS'!$L:$L,"&lt;&gt;PAGADA")&gt;0,"FIRMA PA",
   IF(COUNTIFS('CALENDARIO INGRESOS'!$A:$A,$D138,'CALENDARIO INGRESOS'!$H:$H,"ALEM",'CALENDARIO INGRESOS'!$L:$L,"&lt;&gt;PAGADA")&gt;0,"ALEM","LISTO")))),"-")</f>
        <v>-</v>
      </c>
      <c r="S138" s="188">
        <f>+SUMIFS('CALENDARIO INGRESOS'!I:I,'CALENDARIO INGRESOS'!A:A,Tabla3[[#This Row],[ID STRIPE]],'CALENDARIO INGRESOS'!H:H,"LATAM")</f>
        <v>7000</v>
      </c>
      <c r="T138" s="188">
        <f>+IF(Tabla3[[#This Row],[MONTO LATAM]]-Tabla3[[#This Row],[IMPORTE ABONADO]]&gt;=0,Tabla3[[#This Row],[MONTO LATAM]]-Tabla3[[#This Row],[IMPORTE ABONADO]],0)</f>
        <v>1000</v>
      </c>
      <c r="U138" s="188">
        <f>+SUMIFS('CALENDARIO INGRESOS'!I:I,'CALENDARIO INGRESOS'!A:A,Tabla3[[#This Row],[ID STRIPE]],'CALENDARIO INGRESOS'!H:H,"ALEM")</f>
        <v>0</v>
      </c>
      <c r="V138" s="6">
        <f>+SUMIFS('CALENDARIO INGRESOS'!I:I,'CALENDARIO INGRESOS'!A:A,Tabla3[[#This Row],[ID STRIPE]],'CALENDARIO INGRESOS'!H:H,"VISA")+SUMIFS('CALENDARIO INGRESOS'!I:I,'CALENDARIO INGRESOS'!A:A,Tabla3[[#This Row],[ID STRIPE]],'CALENDARIO INGRESOS'!H:H,"FIRMA PA")</f>
        <v>0</v>
      </c>
      <c r="W138" s="250">
        <v>1</v>
      </c>
      <c r="X138" s="60">
        <f>+IFERROR(AVERAGEIF('CALENDARIO INGRESOS'!A:A,Tabla3[[#This Row],[ID STRIPE]],'CALENDARIO INGRESOS'!M:M),"0")</f>
        <v>0.4</v>
      </c>
      <c r="Y138" s="18">
        <v>46334</v>
      </c>
      <c r="Z138" s="286">
        <f>+IFERROR(_xlfn.XLOOKUP(Tabla3[[#This Row],[ID LINGODA]],LINGODA!D:D,LINGODA!S:S),0)</f>
        <v>0</v>
      </c>
      <c r="AA138" s="18" t="str">
        <f>+IFERROR(_xlfn.XLOOKUP(Tabla3[[#This Row],[ID LINGODA]],LINGODA!D:D,LINGODA!F:F),"null")</f>
        <v>null</v>
      </c>
      <c r="AB138" s="286" t="str">
        <f>+IFERROR(_xlfn.XLOOKUP(Tabla3[[#This Row],[ID LINGODA]],LINGODA!D:D,LINGODA!G:G),"null")</f>
        <v>null</v>
      </c>
    </row>
    <row r="139" spans="1:28">
      <c r="A139" s="5" t="s">
        <v>2415</v>
      </c>
      <c r="B139" s="1" t="s">
        <v>2416</v>
      </c>
      <c r="C139" s="1" t="s">
        <v>16</v>
      </c>
      <c r="D139" s="1" t="s">
        <v>955</v>
      </c>
      <c r="E139" s="60">
        <v>1825258</v>
      </c>
      <c r="F139" s="60"/>
      <c r="G139" s="18">
        <f>(_xlfn.MINIFS(INGRESOS!A:A,INGRESOS!C:C,Tabla3[[#This Row],[CORREO]]))</f>
        <v>45913</v>
      </c>
      <c r="H139" s="3">
        <f>+SUMIFS(INGRESOS!J:J,INGRESOS!D:D,Tabla3[[#This Row],[ID STRIPE]],INGRESOS!A:A,"&gt;="&amp;DATE(YEAR(Tabla3[[#This Row],[FECHA INGRESO]]),MONTH(Tabla3[[#This Row],[FECHA INGRESO]]),1),INGRESOS!A:A,"&lt;="&amp;DATE(YEAR(Tabla3[[#This Row],[FECHA INGRESO]]),MONTH(Tabla3[[#This Row],[FECHA INGRESO]])+1,0))</f>
        <v>1938.5416666666665</v>
      </c>
      <c r="I139" s="286">
        <f ca="1">DATEDIF(Tabla3[[#This Row],[FECHA INGRESO]],IF(OR(Tabla3[[#This Row],[ESTADO]]="OK",Tabla3[[#This Row],[ESTADO]]="¡REGULARIZAR!")=TRUE,TODAY(),IF(Tabla3[[#This Row],[ULTIMO PAGO]]="",TODAY(),Tabla3[[#This Row],[ULTIMO PAGO]])),"m")</f>
        <v>5</v>
      </c>
      <c r="J139" s="18">
        <f>(_xlfn.MAXIFS(INGRESOS!A:A,INGRESOS!C:C,Tabla3[[#This Row],[CORREO]]))</f>
        <v>46085</v>
      </c>
      <c r="K139" s="7">
        <f ca="1">+IFERROR(Tabla3[[#This Row],[ABONADO NETO ]]/Tabla3[[#This Row],[MESES ACT]],Tabla3[[#This Row],[ABONO 1ER MES]])</f>
        <v>2128.9083333333333</v>
      </c>
      <c r="M139" s="287" t="s">
        <v>2119</v>
      </c>
      <c r="N139" s="288">
        <f>+SUMIF(INGRESOS!D:D,Tabla3[[#This Row],[ID STRIPE]],INGRESOS!J:J)</f>
        <v>10644.541666666666</v>
      </c>
      <c r="O139" s="6">
        <v>22000</v>
      </c>
      <c r="P139" s="6">
        <f>+SUMIF('CALENDARIO INGRESOS'!A:A,Tabla3[[#This Row],[ID STRIPE]],'CALENDARIO INGRESOS'!I:I)</f>
        <v>22000</v>
      </c>
      <c r="Q139" s="6">
        <f>+SUMIF(INGRESOS!D:D,Tabla3[[#This Row],[ID STRIPE]],INGRESOS!G:G)</f>
        <v>11003.927595628415</v>
      </c>
      <c r="R139" s="3" t="str">
        <f>IF(Tabla3[[#This Row],[ESTADO]]="OK",IF(COUNTIFS('CALENDARIO INGRESOS'!$A:$A,$D139,'CALENDARIO INGRESOS'!$H:$H,"LATAM",'CALENDARIO INGRESOS'!$L:$L,"&lt;&gt;PAGADA")&gt;0,"LATAM",
 IF(COUNTIFS('CALENDARIO INGRESOS'!$A:$A,$D139,'CALENDARIO INGRESOS'!$H:$H,"VISA",'CALENDARIO INGRESOS'!$L:$L,"&lt;&gt;PAGADA")&gt;0,"VISA",
  IF(COUNTIFS('CALENDARIO INGRESOS'!$A:$A,$D139,'CALENDARIO INGRESOS'!$H:$H,"FIRMA PA",'CALENDARIO INGRESOS'!$L:$L,"&lt;&gt;PAGADA")&gt;0,"FIRMA PA",
   IF(COUNTIFS('CALENDARIO INGRESOS'!$A:$A,$D139,'CALENDARIO INGRESOS'!$H:$H,"ALEM",'CALENDARIO INGRESOS'!$L:$L,"&lt;&gt;PAGADA")&gt;0,"ALEM","LISTO")))),"-")</f>
        <v>LATAM</v>
      </c>
      <c r="S139" s="188">
        <f>+SUMIFS('CALENDARIO INGRESOS'!I:I,'CALENDARIO INGRESOS'!A:A,Tabla3[[#This Row],[ID STRIPE]],'CALENDARIO INGRESOS'!H:H,"LATAM")</f>
        <v>16000</v>
      </c>
      <c r="T139" s="188">
        <f>+IF(Tabla3[[#This Row],[MONTO LATAM]]-Tabla3[[#This Row],[IMPORTE ABONADO]]&gt;=0,Tabla3[[#This Row],[MONTO LATAM]]-Tabla3[[#This Row],[IMPORTE ABONADO]],0)</f>
        <v>4996.0724043715854</v>
      </c>
      <c r="U139" s="188">
        <f>+SUMIFS('CALENDARIO INGRESOS'!I:I,'CALENDARIO INGRESOS'!A:A,Tabla3[[#This Row],[ID STRIPE]],'CALENDARIO INGRESOS'!H:H,"ALEM")</f>
        <v>6000</v>
      </c>
      <c r="V139" s="6">
        <f>+SUMIFS('CALENDARIO INGRESOS'!I:I,'CALENDARIO INGRESOS'!A:A,Tabla3[[#This Row],[ID STRIPE]],'CALENDARIO INGRESOS'!H:H,"VISA")+SUMIFS('CALENDARIO INGRESOS'!I:I,'CALENDARIO INGRESOS'!A:A,Tabla3[[#This Row],[ID STRIPE]],'CALENDARIO INGRESOS'!H:H,"FIRMA PA")</f>
        <v>0</v>
      </c>
      <c r="W139" s="250">
        <v>1</v>
      </c>
      <c r="X139" s="60">
        <f>+IFERROR(AVERAGEIF('CALENDARIO INGRESOS'!A:A,Tabla3[[#This Row],[ID STRIPE]],'CALENDARIO INGRESOS'!M:M),"0")</f>
        <v>0.2857142857142857</v>
      </c>
      <c r="Y139" s="18">
        <v>46054</v>
      </c>
      <c r="Z139" s="286">
        <f>+IFERROR(_xlfn.XLOOKUP(Tabla3[[#This Row],[ID LINGODA]],LINGODA!D:D,LINGODA!S:S),0)</f>
        <v>6</v>
      </c>
      <c r="AA139" s="18" t="str">
        <f>+IFERROR(_xlfn.XLOOKUP(Tabla3[[#This Row],[ID LINGODA]],LINGODA!D:D,LINGODA!F:F),"null")</f>
        <v>A1.1</v>
      </c>
      <c r="AB139" s="286" t="str">
        <f>+IFERROR(_xlfn.XLOOKUP(Tabla3[[#This Row],[ID LINGODA]],LINGODA!D:D,LINGODA!G:G),"null")</f>
        <v>A1.1</v>
      </c>
    </row>
    <row r="140" spans="1:28">
      <c r="A140" s="5" t="s">
        <v>2417</v>
      </c>
      <c r="B140" s="1" t="s">
        <v>2418</v>
      </c>
      <c r="C140" s="1" t="s">
        <v>11</v>
      </c>
      <c r="D140" s="1" t="s">
        <v>958</v>
      </c>
      <c r="E140" s="60">
        <v>1825260</v>
      </c>
      <c r="F140" s="60"/>
      <c r="G140" s="18">
        <f>(_xlfn.MINIFS(INGRESOS!A:A,INGRESOS!C:C,Tabla3[[#This Row],[CORREO]]))</f>
        <v>45914</v>
      </c>
      <c r="H140" s="3">
        <f>+SUMIFS(INGRESOS!J:J,INGRESOS!D:D,Tabla3[[#This Row],[ID STRIPE]],INGRESOS!A:A,"&gt;="&amp;DATE(YEAR(Tabla3[[#This Row],[FECHA INGRESO]]),MONTH(Tabla3[[#This Row],[FECHA INGRESO]]),1),INGRESOS!A:A,"&lt;="&amp;DATE(YEAR(Tabla3[[#This Row],[FECHA INGRESO]]),MONTH(Tabla3[[#This Row],[FECHA INGRESO]])+1,0))</f>
        <v>1492.42</v>
      </c>
      <c r="I140" s="286">
        <f ca="1">DATEDIF(Tabla3[[#This Row],[FECHA INGRESO]],IF(OR(Tabla3[[#This Row],[ESTADO]]="OK",Tabla3[[#This Row],[ESTADO]]="¡REGULARIZAR!")=TRUE,TODAY(),IF(Tabla3[[#This Row],[ULTIMO PAGO]]="",TODAY(),Tabla3[[#This Row],[ULTIMO PAGO]])),"m")</f>
        <v>1</v>
      </c>
      <c r="J140" s="18">
        <f>(_xlfn.MAXIFS(INGRESOS!A:A,INGRESOS!C:C,Tabla3[[#This Row],[CORREO]]))</f>
        <v>45968</v>
      </c>
      <c r="K140" s="7">
        <f ca="1">+IFERROR(Tabla3[[#This Row],[ABONADO NETO ]]/Tabla3[[#This Row],[MESES ACT]],Tabla3[[#This Row],[ABONO 1ER MES]])</f>
        <v>3910.67</v>
      </c>
      <c r="M140" s="287" t="s">
        <v>2139</v>
      </c>
      <c r="N140" s="288">
        <f>+SUMIF(INGRESOS!D:D,Tabla3[[#This Row],[ID STRIPE]],INGRESOS!J:J)</f>
        <v>3910.67</v>
      </c>
      <c r="O140" s="6">
        <v>26000</v>
      </c>
      <c r="P140" s="6">
        <f>+SUMIF('CALENDARIO INGRESOS'!A:A,Tabla3[[#This Row],[ID STRIPE]],'CALENDARIO INGRESOS'!I:I)</f>
        <v>4000</v>
      </c>
      <c r="Q140" s="6">
        <f>+SUMIF(INGRESOS!D:D,Tabla3[[#This Row],[ID STRIPE]],INGRESOS!G:G)</f>
        <v>4043.0699999999997</v>
      </c>
      <c r="R140" s="3" t="str">
        <f>IF(Tabla3[[#This Row],[ESTADO]]="OK",IF(COUNTIFS('CALENDARIO INGRESOS'!$A:$A,$D140,'CALENDARIO INGRESOS'!$H:$H,"LATAM",'CALENDARIO INGRESOS'!$L:$L,"&lt;&gt;PAGADA")&gt;0,"LATAM",
 IF(COUNTIFS('CALENDARIO INGRESOS'!$A:$A,$D140,'CALENDARIO INGRESOS'!$H:$H,"VISA",'CALENDARIO INGRESOS'!$L:$L,"&lt;&gt;PAGADA")&gt;0,"VISA",
  IF(COUNTIFS('CALENDARIO INGRESOS'!$A:$A,$D140,'CALENDARIO INGRESOS'!$H:$H,"FIRMA PA",'CALENDARIO INGRESOS'!$L:$L,"&lt;&gt;PAGADA")&gt;0,"FIRMA PA",
   IF(COUNTIFS('CALENDARIO INGRESOS'!$A:$A,$D140,'CALENDARIO INGRESOS'!$H:$H,"ALEM",'CALENDARIO INGRESOS'!$L:$L,"&lt;&gt;PAGADA")&gt;0,"ALEM","LISTO")))),"-")</f>
        <v>-</v>
      </c>
      <c r="S140" s="188">
        <f>+SUMIFS('CALENDARIO INGRESOS'!I:I,'CALENDARIO INGRESOS'!A:A,Tabla3[[#This Row],[ID STRIPE]],'CALENDARIO INGRESOS'!H:H,"LATAM")</f>
        <v>4000</v>
      </c>
      <c r="T140" s="188">
        <f>+IF(Tabla3[[#This Row],[MONTO LATAM]]-Tabla3[[#This Row],[IMPORTE ABONADO]]&gt;=0,Tabla3[[#This Row],[MONTO LATAM]]-Tabla3[[#This Row],[IMPORTE ABONADO]],0)</f>
        <v>0</v>
      </c>
      <c r="U140" s="188">
        <f>+SUMIFS('CALENDARIO INGRESOS'!I:I,'CALENDARIO INGRESOS'!A:A,Tabla3[[#This Row],[ID STRIPE]],'CALENDARIO INGRESOS'!H:H,"ALEM")</f>
        <v>0</v>
      </c>
      <c r="V140" s="6">
        <f>+SUMIFS('CALENDARIO INGRESOS'!I:I,'CALENDARIO INGRESOS'!A:A,Tabla3[[#This Row],[ID STRIPE]],'CALENDARIO INGRESOS'!H:H,"VISA")+SUMIFS('CALENDARIO INGRESOS'!I:I,'CALENDARIO INGRESOS'!A:A,Tabla3[[#This Row],[ID STRIPE]],'CALENDARIO INGRESOS'!H:H,"FIRMA PA")</f>
        <v>0</v>
      </c>
      <c r="W140" s="252">
        <v>0</v>
      </c>
      <c r="X140" s="60">
        <f>+IFERROR(AVERAGEIF('CALENDARIO INGRESOS'!A:A,Tabla3[[#This Row],[ID STRIPE]],'CALENDARIO INGRESOS'!M:M),"0")</f>
        <v>-0.75</v>
      </c>
      <c r="Y140" s="18" t="s">
        <v>2093</v>
      </c>
      <c r="Z140" s="286">
        <f>+IFERROR(_xlfn.XLOOKUP(Tabla3[[#This Row],[ID LINGODA]],LINGODA!D:D,LINGODA!S:S),0)</f>
        <v>0</v>
      </c>
      <c r="AA140" s="18" t="str">
        <f>+IFERROR(_xlfn.XLOOKUP(Tabla3[[#This Row],[ID LINGODA]],LINGODA!D:D,LINGODA!F:F),"null")</f>
        <v>null</v>
      </c>
      <c r="AB140" s="286" t="str">
        <f>+IFERROR(_xlfn.XLOOKUP(Tabla3[[#This Row],[ID LINGODA]],LINGODA!D:D,LINGODA!G:G),"null")</f>
        <v>null</v>
      </c>
    </row>
    <row r="141" spans="1:28">
      <c r="A141" s="5" t="s">
        <v>2419</v>
      </c>
      <c r="B141" s="1" t="s">
        <v>2420</v>
      </c>
      <c r="C141" s="1" t="s">
        <v>14</v>
      </c>
      <c r="D141" s="1" t="s">
        <v>970</v>
      </c>
      <c r="E141" s="60">
        <v>1825924</v>
      </c>
      <c r="F141" s="60"/>
      <c r="G141" s="18">
        <f>(_xlfn.MINIFS(INGRESOS!A:A,INGRESOS!C:C,Tabla3[[#This Row],[CORREO]]))</f>
        <v>45915</v>
      </c>
      <c r="H141" s="3">
        <f>+SUMIFS(INGRESOS!J:J,INGRESOS!D:D,Tabla3[[#This Row],[ID STRIPE]],INGRESOS!A:A,"&gt;="&amp;DATE(YEAR(Tabla3[[#This Row],[FECHA INGRESO]]),MONTH(Tabla3[[#This Row],[FECHA INGRESO]]),1),INGRESOS!A:A,"&lt;="&amp;DATE(YEAR(Tabla3[[#This Row],[FECHA INGRESO]]),MONTH(Tabla3[[#This Row],[FECHA INGRESO]])+1,0))</f>
        <v>241.62</v>
      </c>
      <c r="I141" s="286">
        <f ca="1">DATEDIF(Tabla3[[#This Row],[FECHA INGRESO]],IF(OR(Tabla3[[#This Row],[ESTADO]]="OK",Tabla3[[#This Row],[ESTADO]]="¡REGULARIZAR!")=TRUE,TODAY(),IF(Tabla3[[#This Row],[ULTIMO PAGO]]="",TODAY(),Tabla3[[#This Row],[ULTIMO PAGO]])),"m")</f>
        <v>1</v>
      </c>
      <c r="J141" s="18">
        <f>(_xlfn.MAXIFS(INGRESOS!A:A,INGRESOS!C:C,Tabla3[[#This Row],[CORREO]]))</f>
        <v>45950</v>
      </c>
      <c r="K141" s="7">
        <f ca="1">+IFERROR(Tabla3[[#This Row],[ABONADO NETO ]]/Tabla3[[#This Row],[MESES ACT]],Tabla3[[#This Row],[ABONO 1ER MES]])</f>
        <v>5078.12</v>
      </c>
      <c r="M141" s="287" t="s">
        <v>2139</v>
      </c>
      <c r="N141" s="288">
        <f>+SUMIF(INGRESOS!D:D,Tabla3[[#This Row],[ID STRIPE]],INGRESOS!J:J)</f>
        <v>5078.12</v>
      </c>
      <c r="O141" s="6">
        <v>26000</v>
      </c>
      <c r="P141" s="6">
        <f>+SUMIF('CALENDARIO INGRESOS'!A:A,Tabla3[[#This Row],[ID STRIPE]],'CALENDARIO INGRESOS'!I:I)</f>
        <v>5250</v>
      </c>
      <c r="Q141" s="6">
        <f>+SUMIF(INGRESOS!D:D,Tabla3[[#This Row],[ID STRIPE]],INGRESOS!G:G)</f>
        <v>5250</v>
      </c>
      <c r="R141" s="3" t="str">
        <f>IF(Tabla3[[#This Row],[ESTADO]]="OK",IF(COUNTIFS('CALENDARIO INGRESOS'!$A:$A,$D141,'CALENDARIO INGRESOS'!$H:$H,"LATAM",'CALENDARIO INGRESOS'!$L:$L,"&lt;&gt;PAGADA")&gt;0,"LATAM",
 IF(COUNTIFS('CALENDARIO INGRESOS'!$A:$A,$D141,'CALENDARIO INGRESOS'!$H:$H,"VISA",'CALENDARIO INGRESOS'!$L:$L,"&lt;&gt;PAGADA")&gt;0,"VISA",
  IF(COUNTIFS('CALENDARIO INGRESOS'!$A:$A,$D141,'CALENDARIO INGRESOS'!$H:$H,"FIRMA PA",'CALENDARIO INGRESOS'!$L:$L,"&lt;&gt;PAGADA")&gt;0,"FIRMA PA",
   IF(COUNTIFS('CALENDARIO INGRESOS'!$A:$A,$D141,'CALENDARIO INGRESOS'!$H:$H,"ALEM",'CALENDARIO INGRESOS'!$L:$L,"&lt;&gt;PAGADA")&gt;0,"ALEM","LISTO")))),"-")</f>
        <v>-</v>
      </c>
      <c r="S141" s="188">
        <f>+SUMIFS('CALENDARIO INGRESOS'!I:I,'CALENDARIO INGRESOS'!A:A,Tabla3[[#This Row],[ID STRIPE]],'CALENDARIO INGRESOS'!H:H,"LATAM")</f>
        <v>5250</v>
      </c>
      <c r="T141" s="188">
        <f>+IF(Tabla3[[#This Row],[MONTO LATAM]]-Tabla3[[#This Row],[IMPORTE ABONADO]]&gt;=0,Tabla3[[#This Row],[MONTO LATAM]]-Tabla3[[#This Row],[IMPORTE ABONADO]],0)</f>
        <v>0</v>
      </c>
      <c r="U141" s="188">
        <f>+SUMIFS('CALENDARIO INGRESOS'!I:I,'CALENDARIO INGRESOS'!A:A,Tabla3[[#This Row],[ID STRIPE]],'CALENDARIO INGRESOS'!H:H,"ALEM")</f>
        <v>0</v>
      </c>
      <c r="V141" s="6">
        <f>+SUMIFS('CALENDARIO INGRESOS'!I:I,'CALENDARIO INGRESOS'!A:A,Tabla3[[#This Row],[ID STRIPE]],'CALENDARIO INGRESOS'!H:H,"VISA")+SUMIFS('CALENDARIO INGRESOS'!I:I,'CALENDARIO INGRESOS'!A:A,Tabla3[[#This Row],[ID STRIPE]],'CALENDARIO INGRESOS'!H:H,"FIRMA PA")</f>
        <v>0</v>
      </c>
      <c r="W141" s="252">
        <v>0</v>
      </c>
      <c r="X141" s="60">
        <f>+IFERROR(AVERAGEIF('CALENDARIO INGRESOS'!A:A,Tabla3[[#This Row],[ID STRIPE]],'CALENDARIO INGRESOS'!M:M),"0")</f>
        <v>-12.8</v>
      </c>
      <c r="Y141" s="18">
        <v>46266</v>
      </c>
      <c r="Z141" s="286">
        <f>+IFERROR(_xlfn.XLOOKUP(Tabla3[[#This Row],[ID LINGODA]],LINGODA!D:D,LINGODA!S:S),0)</f>
        <v>0</v>
      </c>
      <c r="AA141" s="18" t="str">
        <f>+IFERROR(_xlfn.XLOOKUP(Tabla3[[#This Row],[ID LINGODA]],LINGODA!D:D,LINGODA!F:F),"null")</f>
        <v>null</v>
      </c>
      <c r="AB141" s="286" t="str">
        <f>+IFERROR(_xlfn.XLOOKUP(Tabla3[[#This Row],[ID LINGODA]],LINGODA!D:D,LINGODA!G:G),"null")</f>
        <v>null</v>
      </c>
    </row>
    <row r="142" spans="1:28">
      <c r="A142" s="5" t="s">
        <v>2421</v>
      </c>
      <c r="B142" s="1" t="s">
        <v>2422</v>
      </c>
      <c r="C142" s="1" t="s">
        <v>10</v>
      </c>
      <c r="D142" s="1" t="s">
        <v>994</v>
      </c>
      <c r="E142" s="60">
        <v>1825925</v>
      </c>
      <c r="F142" s="60"/>
      <c r="G142" s="18">
        <f>(_xlfn.MINIFS(INGRESOS!A:A,INGRESOS!C:C,Tabla3[[#This Row],[CORREO]]))</f>
        <v>45916</v>
      </c>
      <c r="H142" s="3">
        <f>+SUMIFS(INGRESOS!J:J,INGRESOS!D:D,Tabla3[[#This Row],[ID STRIPE]],INGRESOS!A:A,"&gt;="&amp;DATE(YEAR(Tabla3[[#This Row],[FECHA INGRESO]]),MONTH(Tabla3[[#This Row],[FECHA INGRESO]]),1),INGRESOS!A:A,"&lt;="&amp;DATE(YEAR(Tabla3[[#This Row],[FECHA INGRESO]]),MONTH(Tabla3[[#This Row],[FECHA INGRESO]])+1,0))</f>
        <v>2902</v>
      </c>
      <c r="I142" s="286">
        <f ca="1">DATEDIF(Tabla3[[#This Row],[FECHA INGRESO]],IF(OR(Tabla3[[#This Row],[ESTADO]]="OK",Tabla3[[#This Row],[ESTADO]]="¡REGULARIZAR!")=TRUE,TODAY(),IF(Tabla3[[#This Row],[ULTIMO PAGO]]="",TODAY(),Tabla3[[#This Row],[ULTIMO PAGO]])),"m")</f>
        <v>5</v>
      </c>
      <c r="J142" s="18">
        <f>(_xlfn.MAXIFS(INGRESOS!A:A,INGRESOS!C:C,Tabla3[[#This Row],[CORREO]]))</f>
        <v>46073</v>
      </c>
      <c r="K142" s="7">
        <f ca="1">+IFERROR(Tabla3[[#This Row],[ABONADO NETO ]]/Tabla3[[#This Row],[MESES ACT]],Tabla3[[#This Row],[ABONO 1ER MES]])</f>
        <v>1402.52</v>
      </c>
      <c r="M142" s="287" t="s">
        <v>2119</v>
      </c>
      <c r="N142" s="288">
        <f>+SUMIF(INGRESOS!D:D,Tabla3[[#This Row],[ID STRIPE]],INGRESOS!J:J)</f>
        <v>7012.5999999999995</v>
      </c>
      <c r="O142" s="6">
        <v>26750</v>
      </c>
      <c r="P142" s="6">
        <f>+SUMIF('CALENDARIO INGRESOS'!A:A,Tabla3[[#This Row],[ID STRIPE]],'CALENDARIO INGRESOS'!I:I)</f>
        <v>26750</v>
      </c>
      <c r="Q142" s="6">
        <f>+SUMIF(INGRESOS!D:D,Tabla3[[#This Row],[ID STRIPE]],INGRESOS!G:G)</f>
        <v>7250</v>
      </c>
      <c r="R142" s="3" t="str">
        <f>IF(Tabla3[[#This Row],[ESTADO]]="OK",IF(COUNTIFS('CALENDARIO INGRESOS'!$A:$A,$D142,'CALENDARIO INGRESOS'!$H:$H,"LATAM",'CALENDARIO INGRESOS'!$L:$L,"&lt;&gt;PAGADA")&gt;0,"LATAM",
 IF(COUNTIFS('CALENDARIO INGRESOS'!$A:$A,$D142,'CALENDARIO INGRESOS'!$H:$H,"VISA",'CALENDARIO INGRESOS'!$L:$L,"&lt;&gt;PAGADA")&gt;0,"VISA",
  IF(COUNTIFS('CALENDARIO INGRESOS'!$A:$A,$D142,'CALENDARIO INGRESOS'!$H:$H,"FIRMA PA",'CALENDARIO INGRESOS'!$L:$L,"&lt;&gt;PAGADA")&gt;0,"FIRMA PA",
   IF(COUNTIFS('CALENDARIO INGRESOS'!$A:$A,$D142,'CALENDARIO INGRESOS'!$H:$H,"ALEM",'CALENDARIO INGRESOS'!$L:$L,"&lt;&gt;PAGADA")&gt;0,"ALEM","LISTO")))),"-")</f>
        <v>LATAM</v>
      </c>
      <c r="S142" s="188">
        <f>+SUMIFS('CALENDARIO INGRESOS'!I:I,'CALENDARIO INGRESOS'!A:A,Tabla3[[#This Row],[ID STRIPE]],'CALENDARIO INGRESOS'!H:H,"LATAM")</f>
        <v>15750</v>
      </c>
      <c r="T142" s="188">
        <f>+IF(Tabla3[[#This Row],[MONTO LATAM]]-Tabla3[[#This Row],[IMPORTE ABONADO]]&gt;=0,Tabla3[[#This Row],[MONTO LATAM]]-Tabla3[[#This Row],[IMPORTE ABONADO]],0)</f>
        <v>8500</v>
      </c>
      <c r="U142" s="188">
        <f>+SUMIFS('CALENDARIO INGRESOS'!I:I,'CALENDARIO INGRESOS'!A:A,Tabla3[[#This Row],[ID STRIPE]],'CALENDARIO INGRESOS'!H:H,"ALEM")</f>
        <v>8000</v>
      </c>
      <c r="V142" s="6">
        <f>+SUMIFS('CALENDARIO INGRESOS'!I:I,'CALENDARIO INGRESOS'!A:A,Tabla3[[#This Row],[ID STRIPE]],'CALENDARIO INGRESOS'!H:H,"VISA")+SUMIFS('CALENDARIO INGRESOS'!I:I,'CALENDARIO INGRESOS'!A:A,Tabla3[[#This Row],[ID STRIPE]],'CALENDARIO INGRESOS'!H:H,"FIRMA PA")</f>
        <v>3000</v>
      </c>
      <c r="W142" s="250">
        <v>1</v>
      </c>
      <c r="X142" s="60">
        <f>+IFERROR(AVERAGEIF('CALENDARIO INGRESOS'!A:A,Tabla3[[#This Row],[ID STRIPE]],'CALENDARIO INGRESOS'!M:M),"0")</f>
        <v>1.1428571428571428</v>
      </c>
      <c r="Y142" s="18">
        <v>46296</v>
      </c>
      <c r="Z142" s="286">
        <f>+IFERROR(_xlfn.XLOOKUP(Tabla3[[#This Row],[ID LINGODA]],LINGODA!D:D,LINGODA!S:S),0)</f>
        <v>20</v>
      </c>
      <c r="AA142" s="18" t="str">
        <f>+IFERROR(_xlfn.XLOOKUP(Tabla3[[#This Row],[ID LINGODA]],LINGODA!D:D,LINGODA!F:F),"null")</f>
        <v>A1.1</v>
      </c>
      <c r="AB142" s="286" t="str">
        <f>+IFERROR(_xlfn.XLOOKUP(Tabla3[[#This Row],[ID LINGODA]],LINGODA!D:D,LINGODA!G:G),"null")</f>
        <v>A1.1</v>
      </c>
    </row>
    <row r="143" spans="1:28">
      <c r="A143" s="5" t="s">
        <v>2423</v>
      </c>
      <c r="B143" s="1" t="s">
        <v>2424</v>
      </c>
      <c r="C143" s="1" t="s">
        <v>13</v>
      </c>
      <c r="D143" s="1" t="s">
        <v>1001</v>
      </c>
      <c r="E143" s="60">
        <v>1827455</v>
      </c>
      <c r="F143" s="60"/>
      <c r="G143" s="18">
        <f>(_xlfn.MINIFS(INGRESOS!A:A,INGRESOS!C:C,Tabla3[[#This Row],[CORREO]]))</f>
        <v>45919</v>
      </c>
      <c r="H143" s="3">
        <f>+SUMIFS(INGRESOS!J:J,INGRESOS!D:D,Tabla3[[#This Row],[ID STRIPE]],INGRESOS!A:A,"&gt;="&amp;DATE(YEAR(Tabla3[[#This Row],[FECHA INGRESO]]),MONTH(Tabla3[[#This Row],[FECHA INGRESO]]),1),INGRESOS!A:A,"&lt;="&amp;DATE(YEAR(Tabla3[[#This Row],[FECHA INGRESO]]),MONTH(Tabla3[[#This Row],[FECHA INGRESO]])+1,0))</f>
        <v>967.25</v>
      </c>
      <c r="I143" s="286">
        <f ca="1">DATEDIF(Tabla3[[#This Row],[FECHA INGRESO]],IF(OR(Tabla3[[#This Row],[ESTADO]]="OK",Tabla3[[#This Row],[ESTADO]]="¡REGULARIZAR!")=TRUE,TODAY(),IF(Tabla3[[#This Row],[ULTIMO PAGO]]="",TODAY(),Tabla3[[#This Row],[ULTIMO PAGO]])),"m")</f>
        <v>5</v>
      </c>
      <c r="J143" s="18">
        <f>(_xlfn.MAXIFS(INGRESOS!A:A,INGRESOS!C:C,Tabla3[[#This Row],[CORREO]]))</f>
        <v>46069</v>
      </c>
      <c r="K143" s="7">
        <f ca="1">+IFERROR(Tabla3[[#This Row],[ABONADO NETO ]]/Tabla3[[#This Row],[MESES ACT]],Tabla3[[#This Row],[ABONO 1ER MES]])</f>
        <v>1160.7</v>
      </c>
      <c r="M143" s="287" t="s">
        <v>2119</v>
      </c>
      <c r="N143" s="288">
        <f>+SUMIF(INGRESOS!D:D,Tabla3[[#This Row],[ID STRIPE]],INGRESOS!J:J)</f>
        <v>5803.5</v>
      </c>
      <c r="O143" s="6">
        <v>22000</v>
      </c>
      <c r="P143" s="6">
        <f>+SUMIF('CALENDARIO INGRESOS'!A:A,Tabla3[[#This Row],[ID STRIPE]],'CALENDARIO INGRESOS'!I:I)</f>
        <v>22000</v>
      </c>
      <c r="Q143" s="6">
        <f>+SUMIF(INGRESOS!D:D,Tabla3[[#This Row],[ID STRIPE]],INGRESOS!G:G)</f>
        <v>6000</v>
      </c>
      <c r="R143" s="3" t="str">
        <f>IF(Tabla3[[#This Row],[ESTADO]]="OK",IF(COUNTIFS('CALENDARIO INGRESOS'!$A:$A,$D143,'CALENDARIO INGRESOS'!$H:$H,"LATAM",'CALENDARIO INGRESOS'!$L:$L,"&lt;&gt;PAGADA")&gt;0,"LATAM",
 IF(COUNTIFS('CALENDARIO INGRESOS'!$A:$A,$D143,'CALENDARIO INGRESOS'!$H:$H,"VISA",'CALENDARIO INGRESOS'!$L:$L,"&lt;&gt;PAGADA")&gt;0,"VISA",
  IF(COUNTIFS('CALENDARIO INGRESOS'!$A:$A,$D143,'CALENDARIO INGRESOS'!$H:$H,"FIRMA PA",'CALENDARIO INGRESOS'!$L:$L,"&lt;&gt;PAGADA")&gt;0,"FIRMA PA",
   IF(COUNTIFS('CALENDARIO INGRESOS'!$A:$A,$D143,'CALENDARIO INGRESOS'!$H:$H,"ALEM",'CALENDARIO INGRESOS'!$L:$L,"&lt;&gt;PAGADA")&gt;0,"ALEM","LISTO")))),"-")</f>
        <v>LATAM</v>
      </c>
      <c r="S143" s="188">
        <f>+SUMIFS('CALENDARIO INGRESOS'!I:I,'CALENDARIO INGRESOS'!A:A,Tabla3[[#This Row],[ID STRIPE]],'CALENDARIO INGRESOS'!H:H,"LATAM")</f>
        <v>16000</v>
      </c>
      <c r="T143" s="188">
        <f>+IF(Tabla3[[#This Row],[MONTO LATAM]]-Tabla3[[#This Row],[IMPORTE ABONADO]]&gt;=0,Tabla3[[#This Row],[MONTO LATAM]]-Tabla3[[#This Row],[IMPORTE ABONADO]],0)</f>
        <v>10000</v>
      </c>
      <c r="U143" s="188">
        <f>+SUMIFS('CALENDARIO INGRESOS'!I:I,'CALENDARIO INGRESOS'!A:A,Tabla3[[#This Row],[ID STRIPE]],'CALENDARIO INGRESOS'!H:H,"ALEM")</f>
        <v>6000</v>
      </c>
      <c r="V143" s="6">
        <f>+SUMIFS('CALENDARIO INGRESOS'!I:I,'CALENDARIO INGRESOS'!A:A,Tabla3[[#This Row],[ID STRIPE]],'CALENDARIO INGRESOS'!H:H,"VISA")+SUMIFS('CALENDARIO INGRESOS'!I:I,'CALENDARIO INGRESOS'!A:A,Tabla3[[#This Row],[ID STRIPE]],'CALENDARIO INGRESOS'!H:H,"FIRMA PA")</f>
        <v>0</v>
      </c>
      <c r="W143" s="250">
        <v>1</v>
      </c>
      <c r="X143" s="60">
        <f>+IFERROR(AVERAGEIF('CALENDARIO INGRESOS'!A:A,Tabla3[[#This Row],[ID STRIPE]],'CALENDARIO INGRESOS'!M:M),"0")</f>
        <v>1.5</v>
      </c>
      <c r="Y143" s="18">
        <v>46234</v>
      </c>
      <c r="Z143" s="286">
        <f>+IFERROR(_xlfn.XLOOKUP(Tabla3[[#This Row],[ID LINGODA]],LINGODA!D:D,LINGODA!S:S),0)</f>
        <v>59</v>
      </c>
      <c r="AA143" s="18" t="str">
        <f>+IFERROR(_xlfn.XLOOKUP(Tabla3[[#This Row],[ID LINGODA]],LINGODA!D:D,LINGODA!F:F),"null")</f>
        <v>A1.1</v>
      </c>
      <c r="AB143" s="286" t="str">
        <f>+IFERROR(_xlfn.XLOOKUP(Tabla3[[#This Row],[ID LINGODA]],LINGODA!D:D,LINGODA!G:G),"null")</f>
        <v>A1.1</v>
      </c>
    </row>
    <row r="144" spans="1:28">
      <c r="A144" s="5" t="s">
        <v>2425</v>
      </c>
      <c r="B144" s="1" t="s">
        <v>2426</v>
      </c>
      <c r="C144" s="1" t="s">
        <v>12</v>
      </c>
      <c r="D144" s="1" t="s">
        <v>1152</v>
      </c>
      <c r="E144" s="60">
        <v>1810816</v>
      </c>
      <c r="F144" s="60"/>
      <c r="G144" s="18">
        <f>(_xlfn.MINIFS(INGRESOS!A:A,INGRESOS!C:C,Tabla3[[#This Row],[CORREO]]))</f>
        <v>45938</v>
      </c>
      <c r="H144" s="3">
        <f>+SUMIFS(INGRESOS!J:J,INGRESOS!D:D,Tabla3[[#This Row],[ID STRIPE]],INGRESOS!A:A,"&gt;="&amp;DATE(YEAR(Tabla3[[#This Row],[FECHA INGRESO]]),MONTH(Tabla3[[#This Row],[FECHA INGRESO]]),1),INGRESOS!A:A,"&lt;="&amp;DATE(YEAR(Tabla3[[#This Row],[FECHA INGRESO]]),MONTH(Tabla3[[#This Row],[FECHA INGRESO]])+1,0))</f>
        <v>4091.8462980318654</v>
      </c>
      <c r="I144" s="286">
        <f ca="1">DATEDIF(Tabla3[[#This Row],[FECHA INGRESO]],IF(OR(Tabla3[[#This Row],[ESTADO]]="OK",Tabla3[[#This Row],[ESTADO]]="¡REGULARIZAR!")=TRUE,TODAY(),IF(Tabla3[[#This Row],[ULTIMO PAGO]]="",TODAY(),Tabla3[[#This Row],[ULTIMO PAGO]])),"m")</f>
        <v>4</v>
      </c>
      <c r="J144" s="18">
        <f>(_xlfn.MAXIFS(INGRESOS!A:A,INGRESOS!C:C,Tabla3[[#This Row],[CORREO]]))</f>
        <v>46064</v>
      </c>
      <c r="K144" s="7">
        <f ca="1">+IFERROR(Tabla3[[#This Row],[ABONADO NETO ]]/Tabla3[[#This Row],[MESES ACT]],Tabla3[[#This Row],[ABONO 1ER MES]])</f>
        <v>1721.9901893846111</v>
      </c>
      <c r="M144" s="287" t="s">
        <v>2119</v>
      </c>
      <c r="N144" s="288">
        <f>+SUMIF(INGRESOS!D:D,Tabla3[[#This Row],[ID STRIPE]],INGRESOS!J:J)</f>
        <v>6887.9607575384443</v>
      </c>
      <c r="O144" s="6">
        <v>22000</v>
      </c>
      <c r="P144" s="6">
        <f>+SUMIF('CALENDARIO INGRESOS'!A:A,Tabla3[[#This Row],[ID STRIPE]],'CALENDARIO INGRESOS'!I:I)</f>
        <v>22000</v>
      </c>
      <c r="Q144" s="6">
        <f>+SUMIF(INGRESOS!D:D,Tabla3[[#This Row],[ID STRIPE]],INGRESOS!G:G)</f>
        <v>4861.5234346908946</v>
      </c>
      <c r="R144" s="3" t="str">
        <f>IF(Tabla3[[#This Row],[ESTADO]]="OK",IF(COUNTIFS('CALENDARIO INGRESOS'!$A:$A,$D144,'CALENDARIO INGRESOS'!$H:$H,"LATAM",'CALENDARIO INGRESOS'!$L:$L,"&lt;&gt;PAGADA")&gt;0,"LATAM",
 IF(COUNTIFS('CALENDARIO INGRESOS'!$A:$A,$D144,'CALENDARIO INGRESOS'!$H:$H,"VISA",'CALENDARIO INGRESOS'!$L:$L,"&lt;&gt;PAGADA")&gt;0,"VISA",
  IF(COUNTIFS('CALENDARIO INGRESOS'!$A:$A,$D144,'CALENDARIO INGRESOS'!$H:$H,"FIRMA PA",'CALENDARIO INGRESOS'!$L:$L,"&lt;&gt;PAGADA")&gt;0,"FIRMA PA",
   IF(COUNTIFS('CALENDARIO INGRESOS'!$A:$A,$D144,'CALENDARIO INGRESOS'!$H:$H,"ALEM",'CALENDARIO INGRESOS'!$L:$L,"&lt;&gt;PAGADA")&gt;0,"ALEM","LISTO")))),"-")</f>
        <v>LATAM</v>
      </c>
      <c r="S144" s="188">
        <f>+SUMIFS('CALENDARIO INGRESOS'!I:I,'CALENDARIO INGRESOS'!A:A,Tabla3[[#This Row],[ID STRIPE]],'CALENDARIO INGRESOS'!H:H,"LATAM")</f>
        <v>16000</v>
      </c>
      <c r="T144" s="188">
        <f>+IF(Tabla3[[#This Row],[MONTO LATAM]]-Tabla3[[#This Row],[IMPORTE ABONADO]]&gt;=0,Tabla3[[#This Row],[MONTO LATAM]]-Tabla3[[#This Row],[IMPORTE ABONADO]],0)</f>
        <v>11138.476565309105</v>
      </c>
      <c r="U144" s="188">
        <f>+SUMIFS('CALENDARIO INGRESOS'!I:I,'CALENDARIO INGRESOS'!A:A,Tabla3[[#This Row],[ID STRIPE]],'CALENDARIO INGRESOS'!H:H,"ALEM")</f>
        <v>6000</v>
      </c>
      <c r="V144" s="6">
        <f>+SUMIFS('CALENDARIO INGRESOS'!I:I,'CALENDARIO INGRESOS'!A:A,Tabla3[[#This Row],[ID STRIPE]],'CALENDARIO INGRESOS'!H:H,"VISA")+SUMIFS('CALENDARIO INGRESOS'!I:I,'CALENDARIO INGRESOS'!A:A,Tabla3[[#This Row],[ID STRIPE]],'CALENDARIO INGRESOS'!H:H,"FIRMA PA")</f>
        <v>0</v>
      </c>
      <c r="W144" s="250">
        <v>1</v>
      </c>
      <c r="X144" s="60">
        <f>+IFERROR(AVERAGEIF('CALENDARIO INGRESOS'!A:A,Tabla3[[#This Row],[ID STRIPE]],'CALENDARIO INGRESOS'!M:M),"0")</f>
        <v>-3.2</v>
      </c>
      <c r="Y144" s="18">
        <v>46204</v>
      </c>
      <c r="Z144" s="286">
        <f>+IFERROR(_xlfn.XLOOKUP(Tabla3[[#This Row],[ID LINGODA]],LINGODA!D:D,LINGODA!S:S),0)</f>
        <v>181</v>
      </c>
      <c r="AA144" s="18" t="str">
        <f>+IFERROR(_xlfn.XLOOKUP(Tabla3[[#This Row],[ID LINGODA]],LINGODA!D:D,LINGODA!F:F),"null")</f>
        <v>A1.1</v>
      </c>
      <c r="AB144" s="286" t="str">
        <f>+IFERROR(_xlfn.XLOOKUP(Tabla3[[#This Row],[ID LINGODA]],LINGODA!D:D,LINGODA!G:G),"null")</f>
        <v>B1.2</v>
      </c>
    </row>
    <row r="145" spans="1:28">
      <c r="A145" s="5" t="s">
        <v>2427</v>
      </c>
      <c r="B145" s="1" t="s">
        <v>2428</v>
      </c>
      <c r="C145" s="1" t="s">
        <v>13</v>
      </c>
      <c r="D145" s="1" t="s">
        <v>1155</v>
      </c>
      <c r="E145" s="60">
        <v>1831761</v>
      </c>
      <c r="F145" s="60"/>
      <c r="G145" s="18">
        <f>(_xlfn.MINIFS(INGRESOS!A:A,INGRESOS!C:C,Tabla3[[#This Row],[CORREO]]))</f>
        <v>45939</v>
      </c>
      <c r="H145" s="3">
        <f>+SUMIFS(INGRESOS!J:J,INGRESOS!D:D,Tabla3[[#This Row],[ID STRIPE]],INGRESOS!A:A,"&gt;="&amp;DATE(YEAR(Tabla3[[#This Row],[FECHA INGRESO]]),MONTH(Tabla3[[#This Row],[FECHA INGRESO]]),1),INGRESOS!A:A,"&lt;="&amp;DATE(YEAR(Tabla3[[#This Row],[FECHA INGRESO]]),MONTH(Tabla3[[#This Row],[FECHA INGRESO]])+1,0))</f>
        <v>2902.25</v>
      </c>
      <c r="I145" s="286">
        <f ca="1">DATEDIF(Tabla3[[#This Row],[FECHA INGRESO]],IF(OR(Tabla3[[#This Row],[ESTADO]]="OK",Tabla3[[#This Row],[ESTADO]]="¡REGULARIZAR!")=TRUE,TODAY(),IF(Tabla3[[#This Row],[ULTIMO PAGO]]="",TODAY(),Tabla3[[#This Row],[ULTIMO PAGO]])),"m")</f>
        <v>4</v>
      </c>
      <c r="J145" s="18">
        <f>(_xlfn.MAXIFS(INGRESOS!A:A,INGRESOS!C:C,Tabla3[[#This Row],[CORREO]]))</f>
        <v>46086</v>
      </c>
      <c r="K145" s="7">
        <f ca="1">+IFERROR(Tabla3[[#This Row],[ABONADO NETO ]]/Tabla3[[#This Row],[MESES ACT]],Tabla3[[#This Row],[ABONO 1ER MES]])</f>
        <v>1934.625</v>
      </c>
      <c r="M145" s="287" t="s">
        <v>2119</v>
      </c>
      <c r="N145" s="288">
        <f>+SUMIF(INGRESOS!D:D,Tabla3[[#This Row],[ID STRIPE]],INGRESOS!J:J)</f>
        <v>7738.5</v>
      </c>
      <c r="O145" s="6">
        <v>26000</v>
      </c>
      <c r="P145" s="6">
        <f>+SUMIF('CALENDARIO INGRESOS'!A:A,Tabla3[[#This Row],[ID STRIPE]],'CALENDARIO INGRESOS'!I:I)</f>
        <v>26000</v>
      </c>
      <c r="Q145" s="6">
        <f>+SUMIF(INGRESOS!D:D,Tabla3[[#This Row],[ID STRIPE]],INGRESOS!G:G)</f>
        <v>8000</v>
      </c>
      <c r="R145" s="3" t="str">
        <f>IF(Tabla3[[#This Row],[ESTADO]]="OK",IF(COUNTIFS('CALENDARIO INGRESOS'!$A:$A,$D145,'CALENDARIO INGRESOS'!$H:$H,"LATAM",'CALENDARIO INGRESOS'!$L:$L,"&lt;&gt;PAGADA")&gt;0,"LATAM",
 IF(COUNTIFS('CALENDARIO INGRESOS'!$A:$A,$D145,'CALENDARIO INGRESOS'!$H:$H,"VISA",'CALENDARIO INGRESOS'!$L:$L,"&lt;&gt;PAGADA")&gt;0,"VISA",
  IF(COUNTIFS('CALENDARIO INGRESOS'!$A:$A,$D145,'CALENDARIO INGRESOS'!$H:$H,"FIRMA PA",'CALENDARIO INGRESOS'!$L:$L,"&lt;&gt;PAGADA")&gt;0,"FIRMA PA",
   IF(COUNTIFS('CALENDARIO INGRESOS'!$A:$A,$D145,'CALENDARIO INGRESOS'!$H:$H,"ALEM",'CALENDARIO INGRESOS'!$L:$L,"&lt;&gt;PAGADA")&gt;0,"ALEM","LISTO")))),"-")</f>
        <v>LATAM</v>
      </c>
      <c r="S145" s="188">
        <f>+SUMIFS('CALENDARIO INGRESOS'!I:I,'CALENDARIO INGRESOS'!A:A,Tabla3[[#This Row],[ID STRIPE]],'CALENDARIO INGRESOS'!H:H,"LATAM")</f>
        <v>15000</v>
      </c>
      <c r="T145" s="188">
        <f>+IF(Tabla3[[#This Row],[MONTO LATAM]]-Tabla3[[#This Row],[IMPORTE ABONADO]]&gt;=0,Tabla3[[#This Row],[MONTO LATAM]]-Tabla3[[#This Row],[IMPORTE ABONADO]],0)</f>
        <v>7000</v>
      </c>
      <c r="U145" s="188">
        <f>+SUMIFS('CALENDARIO INGRESOS'!I:I,'CALENDARIO INGRESOS'!A:A,Tabla3[[#This Row],[ID STRIPE]],'CALENDARIO INGRESOS'!H:H,"ALEM")</f>
        <v>8000</v>
      </c>
      <c r="V145" s="6">
        <f>+SUMIFS('CALENDARIO INGRESOS'!I:I,'CALENDARIO INGRESOS'!A:A,Tabla3[[#This Row],[ID STRIPE]],'CALENDARIO INGRESOS'!H:H,"VISA")+SUMIFS('CALENDARIO INGRESOS'!I:I,'CALENDARIO INGRESOS'!A:A,Tabla3[[#This Row],[ID STRIPE]],'CALENDARIO INGRESOS'!H:H,"FIRMA PA")</f>
        <v>3000</v>
      </c>
      <c r="W145" s="250">
        <v>1</v>
      </c>
      <c r="X145" s="60">
        <f>+IFERROR(AVERAGEIF('CALENDARIO INGRESOS'!A:A,Tabla3[[#This Row],[ID STRIPE]],'CALENDARIO INGRESOS'!M:M),"0")</f>
        <v>-0.66666666666666663</v>
      </c>
      <c r="Y145" s="18">
        <v>46296</v>
      </c>
      <c r="Z145" s="286">
        <f>+IFERROR(_xlfn.XLOOKUP(Tabla3[[#This Row],[ID LINGODA]],LINGODA!D:D,LINGODA!S:S),0)</f>
        <v>1</v>
      </c>
      <c r="AA145" s="18" t="str">
        <f>+IFERROR(_xlfn.XLOOKUP(Tabla3[[#This Row],[ID LINGODA]],LINGODA!D:D,LINGODA!F:F),"null")</f>
        <v>A1 komplett</v>
      </c>
      <c r="AB145" s="286" t="str">
        <f>+IFERROR(_xlfn.XLOOKUP(Tabla3[[#This Row],[ID LINGODA]],LINGODA!D:D,LINGODA!G:G),"null")</f>
        <v>A1 komplett</v>
      </c>
    </row>
    <row r="146" spans="1:28">
      <c r="A146" s="5" t="s">
        <v>2429</v>
      </c>
      <c r="B146" s="1" t="s">
        <v>2430</v>
      </c>
      <c r="C146" s="1" t="s">
        <v>12</v>
      </c>
      <c r="D146" s="1" t="s">
        <v>1178</v>
      </c>
      <c r="E146" s="60">
        <v>1833844</v>
      </c>
      <c r="F146" s="60"/>
      <c r="G146" s="18">
        <f>(_xlfn.MINIFS(INGRESOS!A:A,INGRESOS!C:C,Tabla3[[#This Row],[CORREO]]))</f>
        <v>45945</v>
      </c>
      <c r="H146" s="3">
        <f>+SUMIFS(INGRESOS!J:J,INGRESOS!D:D,Tabla3[[#This Row],[ID STRIPE]],INGRESOS!A:A,"&gt;="&amp;DATE(YEAR(Tabla3[[#This Row],[FECHA INGRESO]]),MONTH(Tabla3[[#This Row],[FECHA INGRESO]]),1),INGRESOS!A:A,"&lt;="&amp;DATE(YEAR(Tabla3[[#This Row],[FECHA INGRESO]]),MONTH(Tabla3[[#This Row],[FECHA INGRESO]])+1,0))</f>
        <v>483.5</v>
      </c>
      <c r="I146" s="286">
        <f ca="1">DATEDIF(Tabla3[[#This Row],[FECHA INGRESO]],IF(OR(Tabla3[[#This Row],[ESTADO]]="OK",Tabla3[[#This Row],[ESTADO]]="¡REGULARIZAR!")=TRUE,TODAY(),IF(Tabla3[[#This Row],[ULTIMO PAGO]]="",TODAY(),Tabla3[[#This Row],[ULTIMO PAGO]])),"m")</f>
        <v>4</v>
      </c>
      <c r="J146" s="18">
        <f>(_xlfn.MAXIFS(INGRESOS!A:A,INGRESOS!C:C,Tabla3[[#This Row],[CORREO]]))</f>
        <v>46084</v>
      </c>
      <c r="K146" s="7">
        <f ca="1">+IFERROR(Tabla3[[#This Row],[ABONADO NETO ]]/Tabla3[[#This Row],[MESES ACT]],Tabla3[[#This Row],[ABONO 1ER MES]])</f>
        <v>1547.62</v>
      </c>
      <c r="M146" s="287" t="s">
        <v>2119</v>
      </c>
      <c r="N146" s="288">
        <f>+SUMIF(INGRESOS!D:D,Tabla3[[#This Row],[ID STRIPE]],INGRESOS!J:J)</f>
        <v>6190.48</v>
      </c>
      <c r="O146" s="6">
        <v>26750</v>
      </c>
      <c r="P146" s="6">
        <f>+SUMIF('CALENDARIO INGRESOS'!A:A,Tabla3[[#This Row],[ID STRIPE]],'CALENDARIO INGRESOS'!I:I)</f>
        <v>26750</v>
      </c>
      <c r="Q146" s="6">
        <f>+SUMIF(INGRESOS!D:D,Tabla3[[#This Row],[ID STRIPE]],INGRESOS!G:G)</f>
        <v>6400</v>
      </c>
      <c r="R146" s="3" t="str">
        <f>IF(Tabla3[[#This Row],[ESTADO]]="OK",IF(COUNTIFS('CALENDARIO INGRESOS'!$A:$A,$D146,'CALENDARIO INGRESOS'!$H:$H,"LATAM",'CALENDARIO INGRESOS'!$L:$L,"&lt;&gt;PAGADA")&gt;0,"LATAM",
 IF(COUNTIFS('CALENDARIO INGRESOS'!$A:$A,$D146,'CALENDARIO INGRESOS'!$H:$H,"VISA",'CALENDARIO INGRESOS'!$L:$L,"&lt;&gt;PAGADA")&gt;0,"VISA",
  IF(COUNTIFS('CALENDARIO INGRESOS'!$A:$A,$D146,'CALENDARIO INGRESOS'!$H:$H,"FIRMA PA",'CALENDARIO INGRESOS'!$L:$L,"&lt;&gt;PAGADA")&gt;0,"FIRMA PA",
   IF(COUNTIFS('CALENDARIO INGRESOS'!$A:$A,$D146,'CALENDARIO INGRESOS'!$H:$H,"ALEM",'CALENDARIO INGRESOS'!$L:$L,"&lt;&gt;PAGADA")&gt;0,"ALEM","LISTO")))),"-")</f>
        <v>LATAM</v>
      </c>
      <c r="S146" s="188">
        <f>+SUMIFS('CALENDARIO INGRESOS'!I:I,'CALENDARIO INGRESOS'!A:A,Tabla3[[#This Row],[ID STRIPE]],'CALENDARIO INGRESOS'!H:H,"LATAM")</f>
        <v>15750</v>
      </c>
      <c r="T146" s="188">
        <f>+IF(Tabla3[[#This Row],[MONTO LATAM]]-Tabla3[[#This Row],[IMPORTE ABONADO]]&gt;=0,Tabla3[[#This Row],[MONTO LATAM]]-Tabla3[[#This Row],[IMPORTE ABONADO]],0)</f>
        <v>9350</v>
      </c>
      <c r="U146" s="188">
        <f>+SUMIFS('CALENDARIO INGRESOS'!I:I,'CALENDARIO INGRESOS'!A:A,Tabla3[[#This Row],[ID STRIPE]],'CALENDARIO INGRESOS'!H:H,"ALEM")</f>
        <v>8000</v>
      </c>
      <c r="V146" s="6">
        <f>+SUMIFS('CALENDARIO INGRESOS'!I:I,'CALENDARIO INGRESOS'!A:A,Tabla3[[#This Row],[ID STRIPE]],'CALENDARIO INGRESOS'!H:H,"VISA")+SUMIFS('CALENDARIO INGRESOS'!I:I,'CALENDARIO INGRESOS'!A:A,Tabla3[[#This Row],[ID STRIPE]],'CALENDARIO INGRESOS'!H:H,"FIRMA PA")</f>
        <v>3000</v>
      </c>
      <c r="W146" s="250">
        <v>1</v>
      </c>
      <c r="X146" s="60">
        <f>+IFERROR(AVERAGEIF('CALENDARIO INGRESOS'!A:A,Tabla3[[#This Row],[ID STRIPE]],'CALENDARIO INGRESOS'!M:M),"0")</f>
        <v>3.8333333333333335</v>
      </c>
      <c r="Y146" s="18">
        <v>46419</v>
      </c>
      <c r="Z146" s="286">
        <f>+IFERROR(_xlfn.XLOOKUP(Tabla3[[#This Row],[ID LINGODA]],LINGODA!D:D,LINGODA!S:S),0)</f>
        <v>58</v>
      </c>
      <c r="AA146" s="18" t="str">
        <f>+IFERROR(_xlfn.XLOOKUP(Tabla3[[#This Row],[ID LINGODA]],LINGODA!D:D,LINGODA!F:F),"null")</f>
        <v>A1.1</v>
      </c>
      <c r="AB146" s="286" t="str">
        <f>+IFERROR(_xlfn.XLOOKUP(Tabla3[[#This Row],[ID LINGODA]],LINGODA!D:D,LINGODA!G:G),"null")</f>
        <v>A1.2</v>
      </c>
    </row>
    <row r="147" spans="1:28">
      <c r="A147" s="5" t="s">
        <v>2431</v>
      </c>
      <c r="B147" s="1" t="s">
        <v>2432</v>
      </c>
      <c r="C147" s="1" t="s">
        <v>12</v>
      </c>
      <c r="D147" s="1" t="s">
        <v>1201</v>
      </c>
      <c r="E147" s="60">
        <v>1833843</v>
      </c>
      <c r="F147" s="60"/>
      <c r="G147" s="18">
        <f>(_xlfn.MINIFS(INGRESOS!A:A,INGRESOS!C:C,Tabla3[[#This Row],[CORREO]]))</f>
        <v>45946</v>
      </c>
      <c r="H147" s="3">
        <f>+SUMIFS(INGRESOS!J:J,INGRESOS!D:D,Tabla3[[#This Row],[ID STRIPE]],INGRESOS!A:A,"&gt;="&amp;DATE(YEAR(Tabla3[[#This Row],[FECHA INGRESO]]),MONTH(Tabla3[[#This Row],[FECHA INGRESO]]),1),INGRESOS!A:A,"&lt;="&amp;DATE(YEAR(Tabla3[[#This Row],[FECHA INGRESO]]),MONTH(Tabla3[[#This Row],[FECHA INGRESO]])+1,0))</f>
        <v>1450.75</v>
      </c>
      <c r="I147" s="286">
        <f ca="1">DATEDIF(Tabla3[[#This Row],[FECHA INGRESO]],IF(OR(Tabla3[[#This Row],[ESTADO]]="OK",Tabla3[[#This Row],[ESTADO]]="¡REGULARIZAR!")=TRUE,TODAY(),IF(Tabla3[[#This Row],[ULTIMO PAGO]]="",TODAY(),Tabla3[[#This Row],[ULTIMO PAGO]])),"m")</f>
        <v>4</v>
      </c>
      <c r="J147" s="18">
        <f>(_xlfn.MAXIFS(INGRESOS!A:A,INGRESOS!C:C,Tabla3[[#This Row],[CORREO]]))</f>
        <v>46080</v>
      </c>
      <c r="K147" s="7">
        <f ca="1">+IFERROR(Tabla3[[#This Row],[ABONADO NETO ]]/Tabla3[[#This Row],[MESES ACT]],Tabla3[[#This Row],[ABONO 1ER MES]])</f>
        <v>1450.875</v>
      </c>
      <c r="M147" s="287" t="s">
        <v>2119</v>
      </c>
      <c r="N147" s="288">
        <f>+SUMIF(INGRESOS!D:D,Tabla3[[#This Row],[ID STRIPE]],INGRESOS!J:J)</f>
        <v>5803.5</v>
      </c>
      <c r="O147" s="6">
        <v>22000</v>
      </c>
      <c r="P147" s="6">
        <f>+SUMIF('CALENDARIO INGRESOS'!A:A,Tabla3[[#This Row],[ID STRIPE]],'CALENDARIO INGRESOS'!I:I)</f>
        <v>22000</v>
      </c>
      <c r="Q147" s="6">
        <f>+SUMIF(INGRESOS!D:D,Tabla3[[#This Row],[ID STRIPE]],INGRESOS!G:G)</f>
        <v>6000</v>
      </c>
      <c r="R147" s="3" t="str">
        <f>IF(Tabla3[[#This Row],[ESTADO]]="OK",IF(COUNTIFS('CALENDARIO INGRESOS'!$A:$A,$D147,'CALENDARIO INGRESOS'!$H:$H,"LATAM",'CALENDARIO INGRESOS'!$L:$L,"&lt;&gt;PAGADA")&gt;0,"LATAM",
 IF(COUNTIFS('CALENDARIO INGRESOS'!$A:$A,$D147,'CALENDARIO INGRESOS'!$H:$H,"VISA",'CALENDARIO INGRESOS'!$L:$L,"&lt;&gt;PAGADA")&gt;0,"VISA",
  IF(COUNTIFS('CALENDARIO INGRESOS'!$A:$A,$D147,'CALENDARIO INGRESOS'!$H:$H,"FIRMA PA",'CALENDARIO INGRESOS'!$L:$L,"&lt;&gt;PAGADA")&gt;0,"FIRMA PA",
   IF(COUNTIFS('CALENDARIO INGRESOS'!$A:$A,$D147,'CALENDARIO INGRESOS'!$H:$H,"ALEM",'CALENDARIO INGRESOS'!$L:$L,"&lt;&gt;PAGADA")&gt;0,"ALEM","LISTO")))),"-")</f>
        <v>LATAM</v>
      </c>
      <c r="S147" s="188">
        <f>+SUMIFS('CALENDARIO INGRESOS'!I:I,'CALENDARIO INGRESOS'!A:A,Tabla3[[#This Row],[ID STRIPE]],'CALENDARIO INGRESOS'!H:H,"LATAM")</f>
        <v>16000</v>
      </c>
      <c r="T147" s="188">
        <f>+IF(Tabla3[[#This Row],[MONTO LATAM]]-Tabla3[[#This Row],[IMPORTE ABONADO]]&gt;=0,Tabla3[[#This Row],[MONTO LATAM]]-Tabla3[[#This Row],[IMPORTE ABONADO]],0)</f>
        <v>10000</v>
      </c>
      <c r="U147" s="188">
        <f>+SUMIFS('CALENDARIO INGRESOS'!I:I,'CALENDARIO INGRESOS'!A:A,Tabla3[[#This Row],[ID STRIPE]],'CALENDARIO INGRESOS'!H:H,"ALEM")</f>
        <v>6000</v>
      </c>
      <c r="V147" s="6">
        <f>+SUMIFS('CALENDARIO INGRESOS'!I:I,'CALENDARIO INGRESOS'!A:A,Tabla3[[#This Row],[ID STRIPE]],'CALENDARIO INGRESOS'!H:H,"VISA")+SUMIFS('CALENDARIO INGRESOS'!I:I,'CALENDARIO INGRESOS'!A:A,Tabla3[[#This Row],[ID STRIPE]],'CALENDARIO INGRESOS'!H:H,"FIRMA PA")</f>
        <v>0</v>
      </c>
      <c r="W147" s="250">
        <v>0</v>
      </c>
      <c r="X147" s="60">
        <f>+IFERROR(AVERAGEIF('CALENDARIO INGRESOS'!A:A,Tabla3[[#This Row],[ID STRIPE]],'CALENDARIO INGRESOS'!M:M),"0")</f>
        <v>-0.16666666666666666</v>
      </c>
      <c r="Y147" s="18">
        <v>46391</v>
      </c>
      <c r="Z147" s="286">
        <f>+IFERROR(_xlfn.XLOOKUP(Tabla3[[#This Row],[ID LINGODA]],LINGODA!D:D,LINGODA!S:S),0)</f>
        <v>92</v>
      </c>
      <c r="AA147" s="18" t="str">
        <f>+IFERROR(_xlfn.XLOOKUP(Tabla3[[#This Row],[ID LINGODA]],LINGODA!D:D,LINGODA!F:F),"null")</f>
        <v>A1.1</v>
      </c>
      <c r="AB147" s="286" t="str">
        <f>+IFERROR(_xlfn.XLOOKUP(Tabla3[[#This Row],[ID LINGODA]],LINGODA!D:D,LINGODA!G:G),"null")</f>
        <v>A1.2</v>
      </c>
    </row>
    <row r="148" spans="1:28">
      <c r="A148" s="5" t="s">
        <v>2433</v>
      </c>
      <c r="B148" s="1" t="s">
        <v>2434</v>
      </c>
      <c r="C148" s="5" t="s">
        <v>12</v>
      </c>
      <c r="D148" s="1" t="s">
        <v>1206</v>
      </c>
      <c r="E148" s="57">
        <v>1834197</v>
      </c>
      <c r="F148" s="57"/>
      <c r="G148" s="18">
        <f>(_xlfn.MINIFS(INGRESOS!A:A,INGRESOS!C:C,Tabla3[[#This Row],[CORREO]]))</f>
        <v>45947</v>
      </c>
      <c r="H148" s="3">
        <f>+SUMIFS(INGRESOS!J:J,INGRESOS!D:D,Tabla3[[#This Row],[ID STRIPE]],INGRESOS!A:A,"&gt;="&amp;DATE(YEAR(Tabla3[[#This Row],[FECHA INGRESO]]),MONTH(Tabla3[[#This Row],[FECHA INGRESO]]),1),INGRESOS!A:A,"&lt;="&amp;DATE(YEAR(Tabla3[[#This Row],[FECHA INGRESO]]),MONTH(Tabla3[[#This Row],[FECHA INGRESO]])+1,0))</f>
        <v>2843.62</v>
      </c>
      <c r="I148" s="286">
        <f ca="1">DATEDIF(Tabla3[[#This Row],[FECHA INGRESO]],IF(OR(Tabla3[[#This Row],[ESTADO]]="OK",Tabla3[[#This Row],[ESTADO]]="¡REGULARIZAR!")=TRUE,TODAY(),IF(Tabla3[[#This Row],[ULTIMO PAGO]]="",TODAY(),Tabla3[[#This Row],[ULTIMO PAGO]])),"m")</f>
        <v>4</v>
      </c>
      <c r="J148" s="18">
        <f>(_xlfn.MAXIFS(INGRESOS!A:A,INGRESOS!C:C,Tabla3[[#This Row],[CORREO]]))</f>
        <v>46083</v>
      </c>
      <c r="K148" s="7">
        <f ca="1">+IFERROR(Tabla3[[#This Row],[ABONADO NETO ]]/Tabla3[[#This Row],[MESES ACT]],Tabla3[[#This Row],[ABONO 1ER MES]])</f>
        <v>1876.5775000000001</v>
      </c>
      <c r="M148" s="287" t="s">
        <v>2119</v>
      </c>
      <c r="N148" s="288">
        <f>+SUMIF(INGRESOS!D:D,Tabla3[[#This Row],[ID STRIPE]],INGRESOS!J:J)</f>
        <v>7506.31</v>
      </c>
      <c r="O148" s="6">
        <v>26000</v>
      </c>
      <c r="P148" s="6">
        <f>+SUMIF('CALENDARIO INGRESOS'!A:A,Tabla3[[#This Row],[ID STRIPE]],'CALENDARIO INGRESOS'!I:I)</f>
        <v>25920</v>
      </c>
      <c r="Q148" s="6">
        <f>+SUMIF(INGRESOS!D:D,Tabla3[[#This Row],[ID STRIPE]],INGRESOS!G:G)</f>
        <v>7920</v>
      </c>
      <c r="R148" s="3" t="str">
        <f>IF(Tabla3[[#This Row],[ESTADO]]="OK",IF(COUNTIFS('CALENDARIO INGRESOS'!$A:$A,$D148,'CALENDARIO INGRESOS'!$H:$H,"LATAM",'CALENDARIO INGRESOS'!$L:$L,"&lt;&gt;PAGADA")&gt;0,"LATAM",
 IF(COUNTIFS('CALENDARIO INGRESOS'!$A:$A,$D148,'CALENDARIO INGRESOS'!$H:$H,"VISA",'CALENDARIO INGRESOS'!$L:$L,"&lt;&gt;PAGADA")&gt;0,"VISA",
  IF(COUNTIFS('CALENDARIO INGRESOS'!$A:$A,$D148,'CALENDARIO INGRESOS'!$H:$H,"FIRMA PA",'CALENDARIO INGRESOS'!$L:$L,"&lt;&gt;PAGADA")&gt;0,"FIRMA PA",
   IF(COUNTIFS('CALENDARIO INGRESOS'!$A:$A,$D148,'CALENDARIO INGRESOS'!$H:$H,"ALEM",'CALENDARIO INGRESOS'!$L:$L,"&lt;&gt;PAGADA")&gt;0,"ALEM","LISTO")))),"-")</f>
        <v>LATAM</v>
      </c>
      <c r="S148" s="188">
        <f>+SUMIFS('CALENDARIO INGRESOS'!I:I,'CALENDARIO INGRESOS'!A:A,Tabla3[[#This Row],[ID STRIPE]],'CALENDARIO INGRESOS'!H:H,"LATAM")</f>
        <v>14920</v>
      </c>
      <c r="T148" s="188">
        <f>+IF(Tabla3[[#This Row],[MONTO LATAM]]-Tabla3[[#This Row],[IMPORTE ABONADO]]&gt;=0,Tabla3[[#This Row],[MONTO LATAM]]-Tabla3[[#This Row],[IMPORTE ABONADO]],0)</f>
        <v>7000</v>
      </c>
      <c r="U148" s="188">
        <f>+SUMIFS('CALENDARIO INGRESOS'!I:I,'CALENDARIO INGRESOS'!A:A,Tabla3[[#This Row],[ID STRIPE]],'CALENDARIO INGRESOS'!H:H,"ALEM")</f>
        <v>8000</v>
      </c>
      <c r="V148" s="6">
        <f>+SUMIFS('CALENDARIO INGRESOS'!I:I,'CALENDARIO INGRESOS'!A:A,Tabla3[[#This Row],[ID STRIPE]],'CALENDARIO INGRESOS'!H:H,"VISA")+SUMIFS('CALENDARIO INGRESOS'!I:I,'CALENDARIO INGRESOS'!A:A,Tabla3[[#This Row],[ID STRIPE]],'CALENDARIO INGRESOS'!H:H,"FIRMA PA")</f>
        <v>3000</v>
      </c>
      <c r="W148" s="250">
        <v>0</v>
      </c>
      <c r="X148" s="57">
        <f>+IFERROR(AVERAGEIF('CALENDARIO INGRESOS'!A:A,Tabla3[[#This Row],[ID STRIPE]],'CALENDARIO INGRESOS'!M:M),"0")</f>
        <v>1</v>
      </c>
      <c r="Y148" s="18">
        <v>46027</v>
      </c>
      <c r="Z148" s="286">
        <f>+IFERROR(_xlfn.XLOOKUP(Tabla3[[#This Row],[ID LINGODA]],LINGODA!D:D,LINGODA!S:S),0)</f>
        <v>70</v>
      </c>
      <c r="AA148" s="18" t="str">
        <f>+IFERROR(_xlfn.XLOOKUP(Tabla3[[#This Row],[ID LINGODA]],LINGODA!D:D,LINGODA!F:F),"null")</f>
        <v>A1.1</v>
      </c>
      <c r="AB148" s="286" t="str">
        <f>+IFERROR(_xlfn.XLOOKUP(Tabla3[[#This Row],[ID LINGODA]],LINGODA!D:D,LINGODA!G:G),"null")</f>
        <v>A1.2</v>
      </c>
    </row>
    <row r="149" spans="1:28">
      <c r="A149" s="5" t="s">
        <v>2435</v>
      </c>
      <c r="B149" s="1" t="s">
        <v>2436</v>
      </c>
      <c r="C149" s="5" t="s">
        <v>14</v>
      </c>
      <c r="D149" s="1" t="s">
        <v>2437</v>
      </c>
      <c r="E149" s="57">
        <v>1834198</v>
      </c>
      <c r="F149" s="57"/>
      <c r="G149" s="18">
        <f>(_xlfn.MINIFS(INGRESOS!A:A,INGRESOS!C:C,Tabla3[[#This Row],[CORREO]]))</f>
        <v>45951</v>
      </c>
      <c r="H149" s="3">
        <f>+SUMIFS(INGRESOS!J:J,INGRESOS!D:D,Tabla3[[#This Row],[ID STRIPE]],INGRESOS!A:A,"&gt;="&amp;DATE(YEAR(Tabla3[[#This Row],[FECHA INGRESO]]),MONTH(Tabla3[[#This Row],[FECHA INGRESO]]),1),INGRESOS!A:A,"&lt;="&amp;DATE(YEAR(Tabla3[[#This Row],[FECHA INGRESO]]),MONTH(Tabla3[[#This Row],[FECHA INGRESO]])+1,0))</f>
        <v>1450.75</v>
      </c>
      <c r="I149" s="286">
        <f ca="1">DATEDIF(Tabla3[[#This Row],[FECHA INGRESO]],IF(OR(Tabla3[[#This Row],[ESTADO]]="OK",Tabla3[[#This Row],[ESTADO]]="¡REGULARIZAR!")=TRUE,TODAY(),IF(Tabla3[[#This Row],[ULTIMO PAGO]]="",TODAY(),Tabla3[[#This Row],[ULTIMO PAGO]])),"m")</f>
        <v>0</v>
      </c>
      <c r="J149" s="18">
        <f>(_xlfn.MAXIFS(INGRESOS!A:A,INGRESOS!C:C,Tabla3[[#This Row],[CORREO]]))</f>
        <v>45951</v>
      </c>
      <c r="K149" s="7">
        <f ca="1">+IFERROR(Tabla3[[#This Row],[ABONADO NETO ]]/Tabla3[[#This Row],[MESES ACT]],Tabla3[[#This Row],[ABONO 1ER MES]])</f>
        <v>1450.75</v>
      </c>
      <c r="M149" s="287" t="s">
        <v>2139</v>
      </c>
      <c r="N149" s="288">
        <f>+SUMIF(INGRESOS!D:D,Tabla3[[#This Row],[ID STRIPE]],INGRESOS!J:J)</f>
        <v>1450.75</v>
      </c>
      <c r="O149" s="6">
        <v>26000</v>
      </c>
      <c r="P149" s="6">
        <f>+SUMIF('CALENDARIO INGRESOS'!A:A,Tabla3[[#This Row],[ID STRIPE]],'CALENDARIO INGRESOS'!I:I)</f>
        <v>0</v>
      </c>
      <c r="Q149" s="6">
        <f>+SUMIF(INGRESOS!D:D,Tabla3[[#This Row],[ID STRIPE]],INGRESOS!G:G)</f>
        <v>1500</v>
      </c>
      <c r="R149" s="3" t="str">
        <f>IF(Tabla3[[#This Row],[ESTADO]]="OK",IF(COUNTIFS('CALENDARIO INGRESOS'!$A:$A,$D149,'CALENDARIO INGRESOS'!$H:$H,"LATAM",'CALENDARIO INGRESOS'!$L:$L,"&lt;&gt;PAGADA")&gt;0,"LATAM",
 IF(COUNTIFS('CALENDARIO INGRESOS'!$A:$A,$D149,'CALENDARIO INGRESOS'!$H:$H,"VISA",'CALENDARIO INGRESOS'!$L:$L,"&lt;&gt;PAGADA")&gt;0,"VISA",
  IF(COUNTIFS('CALENDARIO INGRESOS'!$A:$A,$D149,'CALENDARIO INGRESOS'!$H:$H,"FIRMA PA",'CALENDARIO INGRESOS'!$L:$L,"&lt;&gt;PAGADA")&gt;0,"FIRMA PA",
   IF(COUNTIFS('CALENDARIO INGRESOS'!$A:$A,$D149,'CALENDARIO INGRESOS'!$H:$H,"ALEM",'CALENDARIO INGRESOS'!$L:$L,"&lt;&gt;PAGADA")&gt;0,"ALEM","LISTO")))),"-")</f>
        <v>-</v>
      </c>
      <c r="S149" s="188">
        <f>+SUMIFS('CALENDARIO INGRESOS'!I:I,'CALENDARIO INGRESOS'!A:A,Tabla3[[#This Row],[ID STRIPE]],'CALENDARIO INGRESOS'!H:H,"LATAM")</f>
        <v>0</v>
      </c>
      <c r="T149" s="188">
        <f>+IF(Tabla3[[#This Row],[MONTO LATAM]]-Tabla3[[#This Row],[IMPORTE ABONADO]]&gt;=0,Tabla3[[#This Row],[MONTO LATAM]]-Tabla3[[#This Row],[IMPORTE ABONADO]],0)</f>
        <v>0</v>
      </c>
      <c r="U149" s="188">
        <f>+SUMIFS('CALENDARIO INGRESOS'!I:I,'CALENDARIO INGRESOS'!A:A,Tabla3[[#This Row],[ID STRIPE]],'CALENDARIO INGRESOS'!H:H,"ALEM")</f>
        <v>0</v>
      </c>
      <c r="V149" s="6">
        <f>+SUMIFS('CALENDARIO INGRESOS'!I:I,'CALENDARIO INGRESOS'!A:A,Tabla3[[#This Row],[ID STRIPE]],'CALENDARIO INGRESOS'!H:H,"VISA")+SUMIFS('CALENDARIO INGRESOS'!I:I,'CALENDARIO INGRESOS'!A:A,Tabla3[[#This Row],[ID STRIPE]],'CALENDARIO INGRESOS'!H:H,"FIRMA PA")</f>
        <v>0</v>
      </c>
      <c r="W149" s="250">
        <v>0</v>
      </c>
      <c r="X149" s="57" t="str">
        <f>+IFERROR(AVERAGEIF('CALENDARIO INGRESOS'!A:A,Tabla3[[#This Row],[ID STRIPE]],'CALENDARIO INGRESOS'!M:M),"0")</f>
        <v>0</v>
      </c>
      <c r="Y149" s="18">
        <v>46410</v>
      </c>
      <c r="Z149" s="286">
        <f>+IFERROR(_xlfn.XLOOKUP(Tabla3[[#This Row],[ID LINGODA]],LINGODA!D:D,LINGODA!S:S),0)</f>
        <v>9</v>
      </c>
      <c r="AA149" s="18" t="str">
        <f>+IFERROR(_xlfn.XLOOKUP(Tabla3[[#This Row],[ID LINGODA]],LINGODA!D:D,LINGODA!F:F),"null")</f>
        <v>A1.1</v>
      </c>
      <c r="AB149" s="286" t="str">
        <f>+IFERROR(_xlfn.XLOOKUP(Tabla3[[#This Row],[ID LINGODA]],LINGODA!D:D,LINGODA!G:G),"null")</f>
        <v>A1.1</v>
      </c>
    </row>
    <row r="150" spans="1:28">
      <c r="A150" s="5" t="s">
        <v>2438</v>
      </c>
      <c r="B150" s="1" t="s">
        <v>2439</v>
      </c>
      <c r="C150" s="1" t="s">
        <v>19</v>
      </c>
      <c r="D150" s="1" t="s">
        <v>1242</v>
      </c>
      <c r="E150" s="57">
        <v>1836278</v>
      </c>
      <c r="F150" s="57"/>
      <c r="G150" s="18">
        <f>(_xlfn.MINIFS(INGRESOS!A:A,INGRESOS!C:C,Tabla3[[#This Row],[CORREO]]))</f>
        <v>45957</v>
      </c>
      <c r="H150" s="3">
        <f>+SUMIFS(INGRESOS!J:J,INGRESOS!D:D,Tabla3[[#This Row],[ID STRIPE]],INGRESOS!A:A,"&gt;="&amp;DATE(YEAR(Tabla3[[#This Row],[FECHA INGRESO]]),MONTH(Tabla3[[#This Row],[FECHA INGRESO]]),1),INGRESOS!A:A,"&lt;="&amp;DATE(YEAR(Tabla3[[#This Row],[FECHA INGRESO]]),MONTH(Tabla3[[#This Row],[FECHA INGRESO]])+1,0))</f>
        <v>49</v>
      </c>
      <c r="I150" s="286">
        <f ca="1">DATEDIF(Tabla3[[#This Row],[FECHA INGRESO]],IF(OR(Tabla3[[#This Row],[ESTADO]]="OK",Tabla3[[#This Row],[ESTADO]]="¡REGULARIZAR!")=TRUE,TODAY(),IF(Tabla3[[#This Row],[ULTIMO PAGO]]="",TODAY(),Tabla3[[#This Row],[ULTIMO PAGO]])),"m")</f>
        <v>0</v>
      </c>
      <c r="J150" s="18">
        <f>(_xlfn.MAXIFS(INGRESOS!A:A,INGRESOS!C:C,Tabla3[[#This Row],[CORREO]]))</f>
        <v>45957</v>
      </c>
      <c r="K150" s="7">
        <f ca="1">+IFERROR(Tabla3[[#This Row],[ABONADO NETO ]]/Tabla3[[#This Row],[MESES ACT]],Tabla3[[#This Row],[ABONO 1ER MES]])</f>
        <v>49</v>
      </c>
      <c r="M150" s="287" t="s">
        <v>2139</v>
      </c>
      <c r="N150" s="288">
        <f>+SUMIF(INGRESOS!D:D,Tabla3[[#This Row],[ID STRIPE]],INGRESOS!J:J)</f>
        <v>49</v>
      </c>
      <c r="O150" s="6">
        <v>29600</v>
      </c>
      <c r="P150" s="6">
        <f>+SUMIF('CALENDARIO INGRESOS'!A:A,Tabla3[[#This Row],[ID STRIPE]],'CALENDARIO INGRESOS'!I:I)</f>
        <v>50</v>
      </c>
      <c r="Q150" s="6">
        <f>+SUMIF(INGRESOS!D:D,Tabla3[[#This Row],[ID STRIPE]],INGRESOS!G:G)</f>
        <v>50</v>
      </c>
      <c r="R150" s="3" t="str">
        <f>IF(Tabla3[[#This Row],[ESTADO]]="OK",IF(COUNTIFS('CALENDARIO INGRESOS'!$A:$A,$D150,'CALENDARIO INGRESOS'!$H:$H,"LATAM",'CALENDARIO INGRESOS'!$L:$L,"&lt;&gt;PAGADA")&gt;0,"LATAM",
 IF(COUNTIFS('CALENDARIO INGRESOS'!$A:$A,$D150,'CALENDARIO INGRESOS'!$H:$H,"VISA",'CALENDARIO INGRESOS'!$L:$L,"&lt;&gt;PAGADA")&gt;0,"VISA",
  IF(COUNTIFS('CALENDARIO INGRESOS'!$A:$A,$D150,'CALENDARIO INGRESOS'!$H:$H,"FIRMA PA",'CALENDARIO INGRESOS'!$L:$L,"&lt;&gt;PAGADA")&gt;0,"FIRMA PA",
   IF(COUNTIFS('CALENDARIO INGRESOS'!$A:$A,$D150,'CALENDARIO INGRESOS'!$H:$H,"ALEM",'CALENDARIO INGRESOS'!$L:$L,"&lt;&gt;PAGADA")&gt;0,"ALEM","LISTO")))),"-")</f>
        <v>-</v>
      </c>
      <c r="S150" s="188">
        <f>+SUMIFS('CALENDARIO INGRESOS'!I:I,'CALENDARIO INGRESOS'!A:A,Tabla3[[#This Row],[ID STRIPE]],'CALENDARIO INGRESOS'!H:H,"LATAM")</f>
        <v>50</v>
      </c>
      <c r="T150" s="188">
        <f>+IF(Tabla3[[#This Row],[MONTO LATAM]]-Tabla3[[#This Row],[IMPORTE ABONADO]]&gt;=0,Tabla3[[#This Row],[MONTO LATAM]]-Tabla3[[#This Row],[IMPORTE ABONADO]],0)</f>
        <v>0</v>
      </c>
      <c r="U150" s="188">
        <f>+SUMIFS('CALENDARIO INGRESOS'!I:I,'CALENDARIO INGRESOS'!A:A,Tabla3[[#This Row],[ID STRIPE]],'CALENDARIO INGRESOS'!H:H,"ALEM")</f>
        <v>0</v>
      </c>
      <c r="V150" s="6">
        <f>+SUMIFS('CALENDARIO INGRESOS'!I:I,'CALENDARIO INGRESOS'!A:A,Tabla3[[#This Row],[ID STRIPE]],'CALENDARIO INGRESOS'!H:H,"VISA")+SUMIFS('CALENDARIO INGRESOS'!I:I,'CALENDARIO INGRESOS'!A:A,Tabla3[[#This Row],[ID STRIPE]],'CALENDARIO INGRESOS'!H:H,"FIRMA PA")</f>
        <v>0</v>
      </c>
      <c r="W150" s="250">
        <v>0</v>
      </c>
      <c r="X150" s="57">
        <f>+IFERROR(AVERAGEIF('CALENDARIO INGRESOS'!A:A,Tabla3[[#This Row],[ID STRIPE]],'CALENDARIO INGRESOS'!M:M),"0")</f>
        <v>0</v>
      </c>
      <c r="Y150" s="18">
        <v>46113</v>
      </c>
      <c r="Z150" s="286">
        <f>+IFERROR(_xlfn.XLOOKUP(Tabla3[[#This Row],[ID LINGODA]],LINGODA!D:D,LINGODA!S:S),0)</f>
        <v>0</v>
      </c>
      <c r="AA150" s="18" t="str">
        <f>+IFERROR(_xlfn.XLOOKUP(Tabla3[[#This Row],[ID LINGODA]],LINGODA!D:D,LINGODA!F:F),"null")</f>
        <v>null</v>
      </c>
      <c r="AB150" s="286" t="str">
        <f>+IFERROR(_xlfn.XLOOKUP(Tabla3[[#This Row],[ID LINGODA]],LINGODA!D:D,LINGODA!G:G),"null")</f>
        <v>null</v>
      </c>
    </row>
    <row r="151" spans="1:28">
      <c r="A151" s="5" t="s">
        <v>2440</v>
      </c>
      <c r="B151" s="1" t="s">
        <v>2441</v>
      </c>
      <c r="C151" s="1" t="s">
        <v>11</v>
      </c>
      <c r="D151" s="1" t="s">
        <v>1245</v>
      </c>
      <c r="E151" s="57">
        <v>1836281</v>
      </c>
      <c r="F151" s="57"/>
      <c r="G151" s="18">
        <f>(_xlfn.MINIFS(INGRESOS!A:A,INGRESOS!C:C,Tabla3[[#This Row],[CORREO]]))</f>
        <v>45957</v>
      </c>
      <c r="H151" s="3">
        <f>+SUMIFS(INGRESOS!J:J,INGRESOS!D:D,Tabla3[[#This Row],[ID STRIPE]],INGRESOS!A:A,"&gt;="&amp;DATE(YEAR(Tabla3[[#This Row],[FECHA INGRESO]]),MONTH(Tabla3[[#This Row],[FECHA INGRESO]]),1),INGRESOS!A:A,"&lt;="&amp;DATE(YEAR(Tabla3[[#This Row],[FECHA INGRESO]]),MONTH(Tabla3[[#This Row],[FECHA INGRESO]])+1,0))</f>
        <v>2902.25</v>
      </c>
      <c r="I151" s="286">
        <f ca="1">DATEDIF(Tabla3[[#This Row],[FECHA INGRESO]],IF(OR(Tabla3[[#This Row],[ESTADO]]="OK",Tabla3[[#This Row],[ESTADO]]="¡REGULARIZAR!")=TRUE,TODAY(),IF(Tabla3[[#This Row],[ULTIMO PAGO]]="",TODAY(),Tabla3[[#This Row],[ULTIMO PAGO]])),"m")</f>
        <v>4</v>
      </c>
      <c r="J151" s="18">
        <f>(_xlfn.MAXIFS(INGRESOS!A:A,INGRESOS!C:C,Tabla3[[#This Row],[CORREO]]))</f>
        <v>46082</v>
      </c>
      <c r="K151" s="7">
        <f ca="1">+IFERROR(Tabla3[[#This Row],[ABONADO NETO ]]/Tabla3[[#This Row],[MESES ACT]],Tabla3[[#This Row],[ABONO 1ER MES]])</f>
        <v>1547.6824999999999</v>
      </c>
      <c r="M151" s="287" t="s">
        <v>2119</v>
      </c>
      <c r="N151" s="288">
        <f>+SUMIF(INGRESOS!D:D,Tabla3[[#This Row],[ID STRIPE]],INGRESOS!J:J)</f>
        <v>6190.73</v>
      </c>
      <c r="O151" s="6">
        <v>26000</v>
      </c>
      <c r="P151" s="6">
        <f>+SUMIF('CALENDARIO INGRESOS'!A:A,Tabla3[[#This Row],[ID STRIPE]],'CALENDARIO INGRESOS'!I:I)</f>
        <v>26000</v>
      </c>
      <c r="Q151" s="6">
        <f>+SUMIF(INGRESOS!D:D,Tabla3[[#This Row],[ID STRIPE]],INGRESOS!G:G)</f>
        <v>6400</v>
      </c>
      <c r="R151" s="3" t="str">
        <f>IF(Tabla3[[#This Row],[ESTADO]]="OK",IF(COUNTIFS('CALENDARIO INGRESOS'!$A:$A,$D151,'CALENDARIO INGRESOS'!$H:$H,"LATAM",'CALENDARIO INGRESOS'!$L:$L,"&lt;&gt;PAGADA")&gt;0,"LATAM",
 IF(COUNTIFS('CALENDARIO INGRESOS'!$A:$A,$D151,'CALENDARIO INGRESOS'!$H:$H,"VISA",'CALENDARIO INGRESOS'!$L:$L,"&lt;&gt;PAGADA")&gt;0,"VISA",
  IF(COUNTIFS('CALENDARIO INGRESOS'!$A:$A,$D151,'CALENDARIO INGRESOS'!$H:$H,"FIRMA PA",'CALENDARIO INGRESOS'!$L:$L,"&lt;&gt;PAGADA")&gt;0,"FIRMA PA",
   IF(COUNTIFS('CALENDARIO INGRESOS'!$A:$A,$D151,'CALENDARIO INGRESOS'!$H:$H,"ALEM",'CALENDARIO INGRESOS'!$L:$L,"&lt;&gt;PAGADA")&gt;0,"ALEM","LISTO")))),"-")</f>
        <v>LATAM</v>
      </c>
      <c r="S151" s="188">
        <f>+SUMIFS('CALENDARIO INGRESOS'!I:I,'CALENDARIO INGRESOS'!A:A,Tabla3[[#This Row],[ID STRIPE]],'CALENDARIO INGRESOS'!H:H,"LATAM")</f>
        <v>15000</v>
      </c>
      <c r="T151" s="188">
        <f>+IF(Tabla3[[#This Row],[MONTO LATAM]]-Tabla3[[#This Row],[IMPORTE ABONADO]]&gt;=0,Tabla3[[#This Row],[MONTO LATAM]]-Tabla3[[#This Row],[IMPORTE ABONADO]],0)</f>
        <v>8600</v>
      </c>
      <c r="U151" s="188">
        <f>+SUMIFS('CALENDARIO INGRESOS'!I:I,'CALENDARIO INGRESOS'!A:A,Tabla3[[#This Row],[ID STRIPE]],'CALENDARIO INGRESOS'!H:H,"ALEM")</f>
        <v>8000</v>
      </c>
      <c r="V151" s="6">
        <f>+SUMIFS('CALENDARIO INGRESOS'!I:I,'CALENDARIO INGRESOS'!A:A,Tabla3[[#This Row],[ID STRIPE]],'CALENDARIO INGRESOS'!H:H,"VISA")+SUMIFS('CALENDARIO INGRESOS'!I:I,'CALENDARIO INGRESOS'!A:A,Tabla3[[#This Row],[ID STRIPE]],'CALENDARIO INGRESOS'!H:H,"FIRMA PA")</f>
        <v>3000</v>
      </c>
      <c r="W151" s="250">
        <v>1</v>
      </c>
      <c r="X151" s="57">
        <f>+IFERROR(AVERAGEIF('CALENDARIO INGRESOS'!A:A,Tabla3[[#This Row],[ID STRIPE]],'CALENDARIO INGRESOS'!M:M),"0")</f>
        <v>-0.2</v>
      </c>
      <c r="Y151" s="18">
        <v>46113</v>
      </c>
      <c r="Z151" s="286">
        <f>+IFERROR(_xlfn.XLOOKUP(Tabla3[[#This Row],[ID LINGODA]],LINGODA!D:D,LINGODA!S:S),0)</f>
        <v>59</v>
      </c>
      <c r="AA151" s="18" t="str">
        <f>+IFERROR(_xlfn.XLOOKUP(Tabla3[[#This Row],[ID LINGODA]],LINGODA!D:D,LINGODA!F:F),"null")</f>
        <v>A1.2</v>
      </c>
      <c r="AB151" s="286" t="str">
        <f>+IFERROR(_xlfn.XLOOKUP(Tabla3[[#This Row],[ID LINGODA]],LINGODA!D:D,LINGODA!G:G),"null")</f>
        <v>A1.2</v>
      </c>
    </row>
    <row r="152" spans="1:28">
      <c r="A152" s="5" t="s">
        <v>2442</v>
      </c>
      <c r="B152" s="5" t="s">
        <v>2443</v>
      </c>
      <c r="C152" s="1" t="s">
        <v>11</v>
      </c>
      <c r="D152" s="1" t="s">
        <v>1251</v>
      </c>
      <c r="E152" s="57">
        <v>1836280</v>
      </c>
      <c r="F152" s="57"/>
      <c r="G152" s="18">
        <f>(_xlfn.MINIFS(INGRESOS!A:A,INGRESOS!C:C,Tabla3[[#This Row],[CORREO]]))</f>
        <v>45958</v>
      </c>
      <c r="H152" s="3">
        <f>+SUMIFS(INGRESOS!J:J,INGRESOS!D:D,Tabla3[[#This Row],[ID STRIPE]],INGRESOS!A:A,"&gt;="&amp;DATE(YEAR(Tabla3[[#This Row],[FECHA INGRESO]]),MONTH(Tabla3[[#This Row],[FECHA INGRESO]]),1),INGRESOS!A:A,"&lt;="&amp;DATE(YEAR(Tabla3[[#This Row],[FECHA INGRESO]]),MONTH(Tabla3[[#This Row],[FECHA INGRESO]])+1,0))</f>
        <v>96.5</v>
      </c>
      <c r="I152" s="286">
        <f ca="1">DATEDIF(Tabla3[[#This Row],[FECHA INGRESO]],IF(OR(Tabla3[[#This Row],[ESTADO]]="OK",Tabla3[[#This Row],[ESTADO]]="¡REGULARIZAR!")=TRUE,TODAY(),IF(Tabla3[[#This Row],[ULTIMO PAGO]]="",TODAY(),Tabla3[[#This Row],[ULTIMO PAGO]])),"m")</f>
        <v>4</v>
      </c>
      <c r="J152" s="18">
        <f>(_xlfn.MAXIFS(INGRESOS!A:A,INGRESOS!C:C,Tabla3[[#This Row],[CORREO]]))</f>
        <v>45995</v>
      </c>
      <c r="K152" s="7">
        <f ca="1">+IFERROR(Tabla3[[#This Row],[ABONADO NETO ]]/Tabla3[[#This Row],[MESES ACT]],Tabla3[[#This Row],[ABONO 1ER MES]])</f>
        <v>483.6875</v>
      </c>
      <c r="M152" s="287" t="s">
        <v>2119</v>
      </c>
      <c r="N152" s="288">
        <f>+SUMIF(INGRESOS!D:D,Tabla3[[#This Row],[ID STRIPE]],INGRESOS!J:J)</f>
        <v>1934.75</v>
      </c>
      <c r="O152" s="6">
        <v>26000</v>
      </c>
      <c r="P152" s="6">
        <f>+SUMIF('CALENDARIO INGRESOS'!A:A,Tabla3[[#This Row],[ID STRIPE]],'CALENDARIO INGRESOS'!I:I)</f>
        <v>26000</v>
      </c>
      <c r="Q152" s="6">
        <f>+SUMIF(INGRESOS!D:D,Tabla3[[#This Row],[ID STRIPE]],INGRESOS!G:G)</f>
        <v>2000</v>
      </c>
      <c r="R152" s="3" t="str">
        <f>IF(Tabla3[[#This Row],[ESTADO]]="OK",IF(COUNTIFS('CALENDARIO INGRESOS'!$A:$A,$D152,'CALENDARIO INGRESOS'!$H:$H,"LATAM",'CALENDARIO INGRESOS'!$L:$L,"&lt;&gt;PAGADA")&gt;0,"LATAM",
 IF(COUNTIFS('CALENDARIO INGRESOS'!$A:$A,$D152,'CALENDARIO INGRESOS'!$H:$H,"VISA",'CALENDARIO INGRESOS'!$L:$L,"&lt;&gt;PAGADA")&gt;0,"VISA",
  IF(COUNTIFS('CALENDARIO INGRESOS'!$A:$A,$D152,'CALENDARIO INGRESOS'!$H:$H,"FIRMA PA",'CALENDARIO INGRESOS'!$L:$L,"&lt;&gt;PAGADA")&gt;0,"FIRMA PA",
   IF(COUNTIFS('CALENDARIO INGRESOS'!$A:$A,$D152,'CALENDARIO INGRESOS'!$H:$H,"ALEM",'CALENDARIO INGRESOS'!$L:$L,"&lt;&gt;PAGADA")&gt;0,"ALEM","LISTO")))),"-")</f>
        <v>LATAM</v>
      </c>
      <c r="S152" s="188">
        <f>+SUMIFS('CALENDARIO INGRESOS'!I:I,'CALENDARIO INGRESOS'!A:A,Tabla3[[#This Row],[ID STRIPE]],'CALENDARIO INGRESOS'!H:H,"LATAM")</f>
        <v>15000</v>
      </c>
      <c r="T152" s="188">
        <f>+IF(Tabla3[[#This Row],[MONTO LATAM]]-Tabla3[[#This Row],[IMPORTE ABONADO]]&gt;=0,Tabla3[[#This Row],[MONTO LATAM]]-Tabla3[[#This Row],[IMPORTE ABONADO]],0)</f>
        <v>13000</v>
      </c>
      <c r="U152" s="188">
        <f>+SUMIFS('CALENDARIO INGRESOS'!I:I,'CALENDARIO INGRESOS'!A:A,Tabla3[[#This Row],[ID STRIPE]],'CALENDARIO INGRESOS'!H:H,"ALEM")</f>
        <v>8000</v>
      </c>
      <c r="V152" s="6">
        <f>+SUMIFS('CALENDARIO INGRESOS'!I:I,'CALENDARIO INGRESOS'!A:A,Tabla3[[#This Row],[ID STRIPE]],'CALENDARIO INGRESOS'!H:H,"VISA")+SUMIFS('CALENDARIO INGRESOS'!I:I,'CALENDARIO INGRESOS'!A:A,Tabla3[[#This Row],[ID STRIPE]],'CALENDARIO INGRESOS'!H:H,"FIRMA PA")</f>
        <v>3000</v>
      </c>
      <c r="W152" s="252">
        <v>0</v>
      </c>
      <c r="X152" s="57">
        <f>+IFERROR(AVERAGEIF('CALENDARIO INGRESOS'!A:A,Tabla3[[#This Row],[ID STRIPE]],'CALENDARIO INGRESOS'!M:M),"0")</f>
        <v>-0.66666666666666663</v>
      </c>
      <c r="Y152" s="18">
        <v>46501</v>
      </c>
      <c r="Z152" s="286">
        <f>+IFERROR(_xlfn.XLOOKUP(Tabla3[[#This Row],[ID LINGODA]],LINGODA!D:D,LINGODA!S:S),0)</f>
        <v>7</v>
      </c>
      <c r="AA152" s="18" t="str">
        <f>+IFERROR(_xlfn.XLOOKUP(Tabla3[[#This Row],[ID LINGODA]],LINGODA!D:D,LINGODA!F:F),"null")</f>
        <v>A1.1</v>
      </c>
      <c r="AB152" s="286" t="str">
        <f>+IFERROR(_xlfn.XLOOKUP(Tabla3[[#This Row],[ID LINGODA]],LINGODA!D:D,LINGODA!G:G),"null")</f>
        <v>A1.1</v>
      </c>
    </row>
    <row r="153" spans="1:28">
      <c r="A153" s="5" t="s">
        <v>2444</v>
      </c>
      <c r="B153" s="5" t="s">
        <v>2445</v>
      </c>
      <c r="C153" s="1" t="s">
        <v>11</v>
      </c>
      <c r="D153" s="1" t="s">
        <v>1248</v>
      </c>
      <c r="E153" s="57">
        <v>1836279</v>
      </c>
      <c r="F153" s="57"/>
      <c r="G153" s="18">
        <f>(_xlfn.MINIFS(INGRESOS!A:A,INGRESOS!C:C,Tabla3[[#This Row],[CORREO]]))</f>
        <v>45958</v>
      </c>
      <c r="H153" s="3">
        <f>+SUMIFS(INGRESOS!J:J,INGRESOS!D:D,Tabla3[[#This Row],[ID STRIPE]],INGRESOS!A:A,"&gt;="&amp;DATE(YEAR(Tabla3[[#This Row],[FECHA INGRESO]]),MONTH(Tabla3[[#This Row],[FECHA INGRESO]]),1),INGRESOS!A:A,"&lt;="&amp;DATE(YEAR(Tabla3[[#This Row],[FECHA INGRESO]]),MONTH(Tabla3[[#This Row],[FECHA INGRESO]])+1,0))</f>
        <v>96.5</v>
      </c>
      <c r="I153" s="286">
        <f ca="1">DATEDIF(Tabla3[[#This Row],[FECHA INGRESO]],IF(OR(Tabla3[[#This Row],[ESTADO]]="OK",Tabla3[[#This Row],[ESTADO]]="¡REGULARIZAR!")=TRUE,TODAY(),IF(Tabla3[[#This Row],[ULTIMO PAGO]]="",TODAY(),Tabla3[[#This Row],[ULTIMO PAGO]])),"m")</f>
        <v>4</v>
      </c>
      <c r="J153" s="18">
        <f>(_xlfn.MAXIFS(INGRESOS!A:A,INGRESOS!C:C,Tabla3[[#This Row],[CORREO]]))</f>
        <v>45992</v>
      </c>
      <c r="K153" s="7">
        <f ca="1">+IFERROR(Tabla3[[#This Row],[ABONADO NETO ]]/Tabla3[[#This Row],[MESES ACT]],Tabla3[[#This Row],[ABONO 1ER MES]])</f>
        <v>483.5625</v>
      </c>
      <c r="L153" s="7" t="s">
        <v>2118</v>
      </c>
      <c r="M153" s="287" t="s">
        <v>2119</v>
      </c>
      <c r="N153" s="288">
        <f>+SUMIF(INGRESOS!D:D,Tabla3[[#This Row],[ID STRIPE]],INGRESOS!J:J)</f>
        <v>1934.25</v>
      </c>
      <c r="O153" s="6">
        <v>26000</v>
      </c>
      <c r="P153" s="6">
        <f>+SUMIF('CALENDARIO INGRESOS'!A:A,Tabla3[[#This Row],[ID STRIPE]],'CALENDARIO INGRESOS'!I:I)</f>
        <v>26000</v>
      </c>
      <c r="Q153" s="6">
        <f>+SUMIF(INGRESOS!D:D,Tabla3[[#This Row],[ID STRIPE]],INGRESOS!G:G)</f>
        <v>2000</v>
      </c>
      <c r="R153" s="3" t="str">
        <f>IF(Tabla3[[#This Row],[ESTADO]]="OK",IF(COUNTIFS('CALENDARIO INGRESOS'!$A:$A,$D153,'CALENDARIO INGRESOS'!$H:$H,"LATAM",'CALENDARIO INGRESOS'!$L:$L,"&lt;&gt;PAGADA")&gt;0,"LATAM",
 IF(COUNTIFS('CALENDARIO INGRESOS'!$A:$A,$D153,'CALENDARIO INGRESOS'!$H:$H,"VISA",'CALENDARIO INGRESOS'!$L:$L,"&lt;&gt;PAGADA")&gt;0,"VISA",
  IF(COUNTIFS('CALENDARIO INGRESOS'!$A:$A,$D153,'CALENDARIO INGRESOS'!$H:$H,"FIRMA PA",'CALENDARIO INGRESOS'!$L:$L,"&lt;&gt;PAGADA")&gt;0,"FIRMA PA",
   IF(COUNTIFS('CALENDARIO INGRESOS'!$A:$A,$D153,'CALENDARIO INGRESOS'!$H:$H,"ALEM",'CALENDARIO INGRESOS'!$L:$L,"&lt;&gt;PAGADA")&gt;0,"ALEM","LISTO")))),"-")</f>
        <v>LATAM</v>
      </c>
      <c r="S153" s="188">
        <f>+SUMIFS('CALENDARIO INGRESOS'!I:I,'CALENDARIO INGRESOS'!A:A,Tabla3[[#This Row],[ID STRIPE]],'CALENDARIO INGRESOS'!H:H,"LATAM")</f>
        <v>15000</v>
      </c>
      <c r="T153" s="188">
        <f>+IF(Tabla3[[#This Row],[MONTO LATAM]]-Tabla3[[#This Row],[IMPORTE ABONADO]]&gt;=0,Tabla3[[#This Row],[MONTO LATAM]]-Tabla3[[#This Row],[IMPORTE ABONADO]],0)</f>
        <v>13000</v>
      </c>
      <c r="U153" s="188">
        <f>+SUMIFS('CALENDARIO INGRESOS'!I:I,'CALENDARIO INGRESOS'!A:A,Tabla3[[#This Row],[ID STRIPE]],'CALENDARIO INGRESOS'!H:H,"ALEM")</f>
        <v>8000</v>
      </c>
      <c r="V153" s="6">
        <f>+SUMIFS('CALENDARIO INGRESOS'!I:I,'CALENDARIO INGRESOS'!A:A,Tabla3[[#This Row],[ID STRIPE]],'CALENDARIO INGRESOS'!H:H,"VISA")+SUMIFS('CALENDARIO INGRESOS'!I:I,'CALENDARIO INGRESOS'!A:A,Tabla3[[#This Row],[ID STRIPE]],'CALENDARIO INGRESOS'!H:H,"FIRMA PA")</f>
        <v>3000</v>
      </c>
      <c r="W153" s="252">
        <v>0</v>
      </c>
      <c r="X153" s="57">
        <f>+IFERROR(AVERAGEIF('CALENDARIO INGRESOS'!A:A,Tabla3[[#This Row],[ID STRIPE]],'CALENDARIO INGRESOS'!M:M),"0")</f>
        <v>0.33333333333333331</v>
      </c>
      <c r="Y153" s="18">
        <v>46349</v>
      </c>
      <c r="Z153" s="286">
        <f>+IFERROR(_xlfn.XLOOKUP(Tabla3[[#This Row],[ID LINGODA]],LINGODA!D:D,LINGODA!S:S),0)</f>
        <v>15</v>
      </c>
      <c r="AA153" s="18" t="str">
        <f>+IFERROR(_xlfn.XLOOKUP(Tabla3[[#This Row],[ID LINGODA]],LINGODA!D:D,LINGODA!F:F),"null")</f>
        <v>A1.1</v>
      </c>
      <c r="AB153" s="286" t="str">
        <f>+IFERROR(_xlfn.XLOOKUP(Tabla3[[#This Row],[ID LINGODA]],LINGODA!D:D,LINGODA!G:G),"null")</f>
        <v>A1.1</v>
      </c>
    </row>
    <row r="154" spans="1:28">
      <c r="A154" s="5" t="s">
        <v>2446</v>
      </c>
      <c r="B154" s="1" t="s">
        <v>2447</v>
      </c>
      <c r="C154" s="1" t="s">
        <v>13</v>
      </c>
      <c r="D154" s="1" t="s">
        <v>2448</v>
      </c>
      <c r="E154" s="57">
        <v>1837959</v>
      </c>
      <c r="F154" s="57"/>
      <c r="G154" s="18">
        <f>(_xlfn.MINIFS(INGRESOS!A:A,INGRESOS!C:C,Tabla3[[#This Row],[CORREO]]))</f>
        <v>45961</v>
      </c>
      <c r="H154" s="3">
        <f>+SUMIFS(INGRESOS!J:J,INGRESOS!D:D,Tabla3[[#This Row],[ID STRIPE]],INGRESOS!A:A,"&gt;="&amp;DATE(YEAR(Tabla3[[#This Row],[FECHA INGRESO]]),MONTH(Tabla3[[#This Row],[FECHA INGRESO]]),1),INGRESOS!A:A,"&lt;="&amp;DATE(YEAR(Tabla3[[#This Row],[FECHA INGRESO]]),MONTH(Tabla3[[#This Row],[FECHA INGRESO]])+1,0))</f>
        <v>48.12</v>
      </c>
      <c r="I154" s="286">
        <f ca="1">DATEDIF(Tabla3[[#This Row],[FECHA INGRESO]],IF(OR(Tabla3[[#This Row],[ESTADO]]="OK",Tabla3[[#This Row],[ESTADO]]="¡REGULARIZAR!")=TRUE,TODAY(),IF(Tabla3[[#This Row],[ULTIMO PAGO]]="",TODAY(),Tabla3[[#This Row],[ULTIMO PAGO]])),"m")</f>
        <v>0</v>
      </c>
      <c r="J154" s="18">
        <f>(_xlfn.MAXIFS(INGRESOS!A:A,INGRESOS!C:C,Tabla3[[#This Row],[CORREO]]))</f>
        <v>45961</v>
      </c>
      <c r="K154" s="7">
        <f ca="1">+IFERROR(Tabla3[[#This Row],[ABONADO NETO ]]/Tabla3[[#This Row],[MESES ACT]],Tabla3[[#This Row],[ABONO 1ER MES]])</f>
        <v>48.12</v>
      </c>
      <c r="M154" s="287" t="s">
        <v>2162</v>
      </c>
      <c r="N154" s="288">
        <f>+SUMIF(INGRESOS!D:D,Tabla3[[#This Row],[ID STRIPE]],INGRESOS!J:J)</f>
        <v>48.12</v>
      </c>
      <c r="O154" s="6">
        <v>26750</v>
      </c>
      <c r="P154" s="6">
        <f>+SUMIF('CALENDARIO INGRESOS'!A:A,Tabla3[[#This Row],[ID STRIPE]],'CALENDARIO INGRESOS'!I:I)</f>
        <v>0</v>
      </c>
      <c r="Q154" s="6">
        <f>+SUMIF(INGRESOS!D:D,Tabla3[[#This Row],[ID STRIPE]],INGRESOS!G:G)</f>
        <v>50</v>
      </c>
      <c r="R154" s="3" t="str">
        <f>IF(Tabla3[[#This Row],[ESTADO]]="OK",IF(COUNTIFS('CALENDARIO INGRESOS'!$A:$A,$D154,'CALENDARIO INGRESOS'!$H:$H,"LATAM",'CALENDARIO INGRESOS'!$L:$L,"&lt;&gt;PAGADA")&gt;0,"LATAM",
 IF(COUNTIFS('CALENDARIO INGRESOS'!$A:$A,$D154,'CALENDARIO INGRESOS'!$H:$H,"VISA",'CALENDARIO INGRESOS'!$L:$L,"&lt;&gt;PAGADA")&gt;0,"VISA",
  IF(COUNTIFS('CALENDARIO INGRESOS'!$A:$A,$D154,'CALENDARIO INGRESOS'!$H:$H,"FIRMA PA",'CALENDARIO INGRESOS'!$L:$L,"&lt;&gt;PAGADA")&gt;0,"FIRMA PA",
   IF(COUNTIFS('CALENDARIO INGRESOS'!$A:$A,$D154,'CALENDARIO INGRESOS'!$H:$H,"ALEM",'CALENDARIO INGRESOS'!$L:$L,"&lt;&gt;PAGADA")&gt;0,"ALEM","LISTO")))),"-")</f>
        <v>-</v>
      </c>
      <c r="S154" s="188">
        <f>+SUMIFS('CALENDARIO INGRESOS'!I:I,'CALENDARIO INGRESOS'!A:A,Tabla3[[#This Row],[ID STRIPE]],'CALENDARIO INGRESOS'!H:H,"LATAM")</f>
        <v>0</v>
      </c>
      <c r="T154" s="188">
        <f>+IF(Tabla3[[#This Row],[MONTO LATAM]]-Tabla3[[#This Row],[IMPORTE ABONADO]]&gt;=0,Tabla3[[#This Row],[MONTO LATAM]]-Tabla3[[#This Row],[IMPORTE ABONADO]],0)</f>
        <v>0</v>
      </c>
      <c r="U154" s="188">
        <f>+SUMIFS('CALENDARIO INGRESOS'!I:I,'CALENDARIO INGRESOS'!A:A,Tabla3[[#This Row],[ID STRIPE]],'CALENDARIO INGRESOS'!H:H,"ALEM")</f>
        <v>0</v>
      </c>
      <c r="V154" s="6">
        <f>+SUMIFS('CALENDARIO INGRESOS'!I:I,'CALENDARIO INGRESOS'!A:A,Tabla3[[#This Row],[ID STRIPE]],'CALENDARIO INGRESOS'!H:H,"VISA")+SUMIFS('CALENDARIO INGRESOS'!I:I,'CALENDARIO INGRESOS'!A:A,Tabla3[[#This Row],[ID STRIPE]],'CALENDARIO INGRESOS'!H:H,"FIRMA PA")</f>
        <v>0</v>
      </c>
      <c r="W154" s="252">
        <v>0</v>
      </c>
      <c r="X154" s="57" t="str">
        <f>+IFERROR(AVERAGEIF('CALENDARIO INGRESOS'!A:A,Tabla3[[#This Row],[ID STRIPE]],'CALENDARIO INGRESOS'!M:M),"0")</f>
        <v>0</v>
      </c>
      <c r="Y154" s="18">
        <v>46234</v>
      </c>
      <c r="Z154" s="286">
        <f>+IFERROR(_xlfn.XLOOKUP(Tabla3[[#This Row],[ID LINGODA]],LINGODA!D:D,LINGODA!S:S),0)</f>
        <v>0</v>
      </c>
      <c r="AA154" s="18" t="str">
        <f>+IFERROR(_xlfn.XLOOKUP(Tabla3[[#This Row],[ID LINGODA]],LINGODA!D:D,LINGODA!F:F),"null")</f>
        <v>null</v>
      </c>
      <c r="AB154" s="286" t="str">
        <f>+IFERROR(_xlfn.XLOOKUP(Tabla3[[#This Row],[ID LINGODA]],LINGODA!D:D,LINGODA!G:G),"null")</f>
        <v>null</v>
      </c>
    </row>
    <row r="155" spans="1:28">
      <c r="A155" s="5" t="s">
        <v>2449</v>
      </c>
      <c r="B155" s="1" t="s">
        <v>2450</v>
      </c>
      <c r="C155" s="1" t="s">
        <v>14</v>
      </c>
      <c r="D155" s="1" t="s">
        <v>2451</v>
      </c>
      <c r="E155" s="57">
        <v>1837960</v>
      </c>
      <c r="F155" s="57"/>
      <c r="G155" s="18">
        <f>(_xlfn.MINIFS(INGRESOS!A:A,INGRESOS!C:C,Tabla3[[#This Row],[CORREO]]))</f>
        <v>45962</v>
      </c>
      <c r="H155" s="3">
        <f>+SUMIFS(INGRESOS!J:J,INGRESOS!D:D,Tabla3[[#This Row],[ID STRIPE]],INGRESOS!A:A,"&gt;="&amp;DATE(YEAR(Tabla3[[#This Row],[FECHA INGRESO]]),MONTH(Tabla3[[#This Row],[FECHA INGRESO]]),1),INGRESOS!A:A,"&lt;="&amp;DATE(YEAR(Tabla3[[#This Row],[FECHA INGRESO]]),MONTH(Tabla3[[#This Row],[FECHA INGRESO]])+1,0))</f>
        <v>4.59</v>
      </c>
      <c r="I155" s="286">
        <f ca="1">DATEDIF(Tabla3[[#This Row],[FECHA INGRESO]],IF(OR(Tabla3[[#This Row],[ESTADO]]="OK",Tabla3[[#This Row],[ESTADO]]="¡REGULARIZAR!")=TRUE,TODAY(),IF(Tabla3[[#This Row],[ULTIMO PAGO]]="",TODAY(),Tabla3[[#This Row],[ULTIMO PAGO]])),"m")</f>
        <v>0</v>
      </c>
      <c r="J155" s="18">
        <f>(_xlfn.MAXIFS(INGRESOS!A:A,INGRESOS!C:C,Tabla3[[#This Row],[CORREO]]))</f>
        <v>45962</v>
      </c>
      <c r="K155" s="7">
        <f ca="1">+IFERROR(Tabla3[[#This Row],[ABONADO NETO ]]/Tabla3[[#This Row],[MESES ACT]],Tabla3[[#This Row],[ABONO 1ER MES]])</f>
        <v>4.59</v>
      </c>
      <c r="M155" s="287" t="s">
        <v>2139</v>
      </c>
      <c r="N155" s="288">
        <f>+SUMIF(INGRESOS!D:D,Tabla3[[#This Row],[ID STRIPE]],INGRESOS!J:J)</f>
        <v>4.59</v>
      </c>
      <c r="O155" s="6">
        <v>29650</v>
      </c>
      <c r="P155" s="6">
        <f>+SUMIF('CALENDARIO INGRESOS'!A:A,Tabla3[[#This Row],[ID STRIPE]],'CALENDARIO INGRESOS'!I:I)</f>
        <v>0</v>
      </c>
      <c r="Q155" s="6">
        <f>+SUMIF(INGRESOS!D:D,Tabla3[[#This Row],[ID STRIPE]],INGRESOS!G:G)</f>
        <v>5</v>
      </c>
      <c r="R155" s="3" t="str">
        <f>IF(Tabla3[[#This Row],[ESTADO]]="OK",IF(COUNTIFS('CALENDARIO INGRESOS'!$A:$A,$D155,'CALENDARIO INGRESOS'!$H:$H,"LATAM",'CALENDARIO INGRESOS'!$L:$L,"&lt;&gt;PAGADA")&gt;0,"LATAM",
 IF(COUNTIFS('CALENDARIO INGRESOS'!$A:$A,$D155,'CALENDARIO INGRESOS'!$H:$H,"VISA",'CALENDARIO INGRESOS'!$L:$L,"&lt;&gt;PAGADA")&gt;0,"VISA",
  IF(COUNTIFS('CALENDARIO INGRESOS'!$A:$A,$D155,'CALENDARIO INGRESOS'!$H:$H,"FIRMA PA",'CALENDARIO INGRESOS'!$L:$L,"&lt;&gt;PAGADA")&gt;0,"FIRMA PA",
   IF(COUNTIFS('CALENDARIO INGRESOS'!$A:$A,$D155,'CALENDARIO INGRESOS'!$H:$H,"ALEM",'CALENDARIO INGRESOS'!$L:$L,"&lt;&gt;PAGADA")&gt;0,"ALEM","LISTO")))),"-")</f>
        <v>-</v>
      </c>
      <c r="S155" s="188">
        <f>+SUMIFS('CALENDARIO INGRESOS'!I:I,'CALENDARIO INGRESOS'!A:A,Tabla3[[#This Row],[ID STRIPE]],'CALENDARIO INGRESOS'!H:H,"LATAM")</f>
        <v>0</v>
      </c>
      <c r="T155" s="188">
        <f>+IF(Tabla3[[#This Row],[MONTO LATAM]]-Tabla3[[#This Row],[IMPORTE ABONADO]]&gt;=0,Tabla3[[#This Row],[MONTO LATAM]]-Tabla3[[#This Row],[IMPORTE ABONADO]],0)</f>
        <v>0</v>
      </c>
      <c r="U155" s="188">
        <f>+SUMIFS('CALENDARIO INGRESOS'!I:I,'CALENDARIO INGRESOS'!A:A,Tabla3[[#This Row],[ID STRIPE]],'CALENDARIO INGRESOS'!H:H,"ALEM")</f>
        <v>0</v>
      </c>
      <c r="V155" s="6">
        <f>+SUMIFS('CALENDARIO INGRESOS'!I:I,'CALENDARIO INGRESOS'!A:A,Tabla3[[#This Row],[ID STRIPE]],'CALENDARIO INGRESOS'!H:H,"VISA")+SUMIFS('CALENDARIO INGRESOS'!I:I,'CALENDARIO INGRESOS'!A:A,Tabla3[[#This Row],[ID STRIPE]],'CALENDARIO INGRESOS'!H:H,"FIRMA PA")</f>
        <v>0</v>
      </c>
      <c r="W155" s="250">
        <v>0</v>
      </c>
      <c r="X155" s="57" t="str">
        <f>+IFERROR(AVERAGEIF('CALENDARIO INGRESOS'!A:A,Tabla3[[#This Row],[ID STRIPE]],'CALENDARIO INGRESOS'!M:M),"0")</f>
        <v>0</v>
      </c>
      <c r="Y155" s="18">
        <v>46692</v>
      </c>
      <c r="Z155" s="286">
        <f>+IFERROR(_xlfn.XLOOKUP(Tabla3[[#This Row],[ID LINGODA]],LINGODA!D:D,LINGODA!S:S),0)</f>
        <v>0</v>
      </c>
      <c r="AA155" s="18" t="str">
        <f>+IFERROR(_xlfn.XLOOKUP(Tabla3[[#This Row],[ID LINGODA]],LINGODA!D:D,LINGODA!F:F),"null")</f>
        <v>null</v>
      </c>
      <c r="AB155" s="286" t="str">
        <f>+IFERROR(_xlfn.XLOOKUP(Tabla3[[#This Row],[ID LINGODA]],LINGODA!D:D,LINGODA!G:G),"null")</f>
        <v>null</v>
      </c>
    </row>
    <row r="156" spans="1:28">
      <c r="A156" s="5" t="s">
        <v>2452</v>
      </c>
      <c r="B156" s="1" t="s">
        <v>2453</v>
      </c>
      <c r="C156" s="1" t="s">
        <v>12</v>
      </c>
      <c r="D156" s="1" t="s">
        <v>1357</v>
      </c>
      <c r="E156" s="57">
        <v>1837961</v>
      </c>
      <c r="F156" s="57"/>
      <c r="G156" s="18">
        <f>(_xlfn.MINIFS(INGRESOS!A:A,INGRESOS!C:C,Tabla3[[#This Row],[CORREO]]))</f>
        <v>45967</v>
      </c>
      <c r="H156" s="3">
        <f>+SUMIFS(INGRESOS!J:J,INGRESOS!D:D,Tabla3[[#This Row],[ID STRIPE]],INGRESOS!A:A,"&gt;="&amp;DATE(YEAR(Tabla3[[#This Row],[FECHA INGRESO]]),MONTH(Tabla3[[#This Row],[FECHA INGRESO]]),1),INGRESOS!A:A,"&lt;="&amp;DATE(YEAR(Tabla3[[#This Row],[FECHA INGRESO]]),MONTH(Tabla3[[#This Row],[FECHA INGRESO]])+1,0))</f>
        <v>2901.99</v>
      </c>
      <c r="I156" s="286">
        <f ca="1">DATEDIF(Tabla3[[#This Row],[FECHA INGRESO]],IF(OR(Tabla3[[#This Row],[ESTADO]]="OK",Tabla3[[#This Row],[ESTADO]]="¡REGULARIZAR!")=TRUE,TODAY(),IF(Tabla3[[#This Row],[ULTIMO PAGO]]="",TODAY(),Tabla3[[#This Row],[ULTIMO PAGO]])),"m")</f>
        <v>4</v>
      </c>
      <c r="J156" s="18">
        <f>(_xlfn.MAXIFS(INGRESOS!A:A,INGRESOS!C:C,Tabla3[[#This Row],[CORREO]]))</f>
        <v>46086</v>
      </c>
      <c r="K156" s="7">
        <f ca="1">+IFERROR(Tabla3[[#This Row],[ABONADO NETO ]]/Tabla3[[#This Row],[MESES ACT]],Tabla3[[#This Row],[ABONO 1ER MES]])</f>
        <v>3410.1224999999999</v>
      </c>
      <c r="M156" s="287" t="s">
        <v>2119</v>
      </c>
      <c r="N156" s="288">
        <f>+SUMIF(INGRESOS!D:D,Tabla3[[#This Row],[ID STRIPE]],INGRESOS!J:J)</f>
        <v>13640.49</v>
      </c>
      <c r="O156" s="6">
        <v>25100</v>
      </c>
      <c r="P156" s="6">
        <f>+SUMIF('CALENDARIO INGRESOS'!A:A,Tabla3[[#This Row],[ID STRIPE]],'CALENDARIO INGRESOS'!I:I)</f>
        <v>25100</v>
      </c>
      <c r="Q156" s="6">
        <f>+SUMIF(INGRESOS!D:D,Tabla3[[#This Row],[ID STRIPE]],INGRESOS!G:G)</f>
        <v>14100</v>
      </c>
      <c r="R156" s="3" t="str">
        <f>IF(Tabla3[[#This Row],[ESTADO]]="OK",IF(COUNTIFS('CALENDARIO INGRESOS'!$A:$A,$D156,'CALENDARIO INGRESOS'!$H:$H,"LATAM",'CALENDARIO INGRESOS'!$L:$L,"&lt;&gt;PAGADA")&gt;0,"LATAM",
 IF(COUNTIFS('CALENDARIO INGRESOS'!$A:$A,$D156,'CALENDARIO INGRESOS'!$H:$H,"VISA",'CALENDARIO INGRESOS'!$L:$L,"&lt;&gt;PAGADA")&gt;0,"VISA",
  IF(COUNTIFS('CALENDARIO INGRESOS'!$A:$A,$D156,'CALENDARIO INGRESOS'!$H:$H,"FIRMA PA",'CALENDARIO INGRESOS'!$L:$L,"&lt;&gt;PAGADA")&gt;0,"FIRMA PA",
   IF(COUNTIFS('CALENDARIO INGRESOS'!$A:$A,$D156,'CALENDARIO INGRESOS'!$H:$H,"ALEM",'CALENDARIO INGRESOS'!$L:$L,"&lt;&gt;PAGADA")&gt;0,"ALEM","LISTO")))),"-")</f>
        <v>VISA</v>
      </c>
      <c r="S156" s="188">
        <f>+SUMIFS('CALENDARIO INGRESOS'!I:I,'CALENDARIO INGRESOS'!A:A,Tabla3[[#This Row],[ID STRIPE]],'CALENDARIO INGRESOS'!H:H,"LATAM")</f>
        <v>14100</v>
      </c>
      <c r="T156" s="188">
        <f>+IF(Tabla3[[#This Row],[MONTO LATAM]]-Tabla3[[#This Row],[IMPORTE ABONADO]]&gt;=0,Tabla3[[#This Row],[MONTO LATAM]]-Tabla3[[#This Row],[IMPORTE ABONADO]],0)</f>
        <v>0</v>
      </c>
      <c r="U156" s="188">
        <f>+SUMIFS('CALENDARIO INGRESOS'!I:I,'CALENDARIO INGRESOS'!A:A,Tabla3[[#This Row],[ID STRIPE]],'CALENDARIO INGRESOS'!H:H,"ALEM")</f>
        <v>8000</v>
      </c>
      <c r="V156" s="6">
        <f>+SUMIFS('CALENDARIO INGRESOS'!I:I,'CALENDARIO INGRESOS'!A:A,Tabla3[[#This Row],[ID STRIPE]],'CALENDARIO INGRESOS'!H:H,"VISA")+SUMIFS('CALENDARIO INGRESOS'!I:I,'CALENDARIO INGRESOS'!A:A,Tabla3[[#This Row],[ID STRIPE]],'CALENDARIO INGRESOS'!H:H,"FIRMA PA")</f>
        <v>3000</v>
      </c>
      <c r="W156" s="250">
        <v>1</v>
      </c>
      <c r="X156" s="57">
        <f>+IFERROR(AVERAGEIF('CALENDARIO INGRESOS'!A:A,Tabla3[[#This Row],[ID STRIPE]],'CALENDARIO INGRESOS'!M:M),"0")</f>
        <v>0</v>
      </c>
      <c r="Y156" s="18">
        <v>46027</v>
      </c>
      <c r="Z156" s="286">
        <f>+IFERROR(_xlfn.XLOOKUP(Tabla3[[#This Row],[ID LINGODA]],LINGODA!D:D,LINGODA!S:S),0)</f>
        <v>2</v>
      </c>
      <c r="AA156" s="18" t="str">
        <f>+IFERROR(_xlfn.XLOOKUP(Tabla3[[#This Row],[ID LINGODA]],LINGODA!D:D,LINGODA!F:F),"null")</f>
        <v>A1.1</v>
      </c>
      <c r="AB156" s="286" t="str">
        <f>+IFERROR(_xlfn.XLOOKUP(Tabla3[[#This Row],[ID LINGODA]],LINGODA!D:D,LINGODA!G:G),"null")</f>
        <v>A1.1</v>
      </c>
    </row>
    <row r="157" spans="1:28">
      <c r="A157" s="5" t="s">
        <v>2454</v>
      </c>
      <c r="B157" s="1" t="s">
        <v>2455</v>
      </c>
      <c r="C157" s="1" t="s">
        <v>16</v>
      </c>
      <c r="D157" s="1" t="s">
        <v>1374</v>
      </c>
      <c r="E157" s="57">
        <v>1839777</v>
      </c>
      <c r="F157" s="57"/>
      <c r="G157" s="18">
        <f>(_xlfn.MINIFS(INGRESOS!A:A,INGRESOS!C:C,Tabla3[[#This Row],[CORREO]]))</f>
        <v>45970</v>
      </c>
      <c r="H157" s="3">
        <f>+SUMIFS(INGRESOS!J:J,INGRESOS!D:D,Tabla3[[#This Row],[ID STRIPE]],INGRESOS!A:A,"&gt;="&amp;DATE(YEAR(Tabla3[[#This Row],[FECHA INGRESO]]),MONTH(Tabla3[[#This Row],[FECHA INGRESO]]),1),INGRESOS!A:A,"&lt;="&amp;DATE(YEAR(Tabla3[[#This Row],[FECHA INGRESO]]),MONTH(Tabla3[[#This Row],[FECHA INGRESO]])+1,0))</f>
        <v>483.5</v>
      </c>
      <c r="I157" s="286">
        <f ca="1">DATEDIF(Tabla3[[#This Row],[FECHA INGRESO]],IF(OR(Tabla3[[#This Row],[ESTADO]]="OK",Tabla3[[#This Row],[ESTADO]]="¡REGULARIZAR!")=TRUE,TODAY(),IF(Tabla3[[#This Row],[ULTIMO PAGO]]="",TODAY(),Tabla3[[#This Row],[ULTIMO PAGO]])),"m")</f>
        <v>3</v>
      </c>
      <c r="J157" s="18">
        <f>(_xlfn.MAXIFS(INGRESOS!A:A,INGRESOS!C:C,Tabla3[[#This Row],[CORREO]]))</f>
        <v>46049</v>
      </c>
      <c r="K157" s="7">
        <f ca="1">+IFERROR(Tabla3[[#This Row],[ABONADO NETO ]]/Tabla3[[#This Row],[MESES ACT]],Tabla3[[#This Row],[ABONO 1ER MES]])</f>
        <v>478.42333333333335</v>
      </c>
      <c r="M157" s="287" t="s">
        <v>2119</v>
      </c>
      <c r="N157" s="288">
        <f>+SUMIF(INGRESOS!D:D,Tabla3[[#This Row],[ID STRIPE]],INGRESOS!J:J)</f>
        <v>1435.27</v>
      </c>
      <c r="O157" s="6">
        <v>26000</v>
      </c>
      <c r="P157" s="6">
        <f>+SUMIF('CALENDARIO INGRESOS'!A:A,Tabla3[[#This Row],[ID STRIPE]],'CALENDARIO INGRESOS'!I:I)</f>
        <v>25984</v>
      </c>
      <c r="Q157" s="6">
        <f>+SUMIF(INGRESOS!D:D,Tabla3[[#This Row],[ID STRIPE]],INGRESOS!G:G)</f>
        <v>1484</v>
      </c>
      <c r="R157" s="3" t="str">
        <f>IF(Tabla3[[#This Row],[ESTADO]]="OK",IF(COUNTIFS('CALENDARIO INGRESOS'!$A:$A,$D157,'CALENDARIO INGRESOS'!$H:$H,"LATAM",'CALENDARIO INGRESOS'!$L:$L,"&lt;&gt;PAGADA")&gt;0,"LATAM",
 IF(COUNTIFS('CALENDARIO INGRESOS'!$A:$A,$D157,'CALENDARIO INGRESOS'!$H:$H,"VISA",'CALENDARIO INGRESOS'!$L:$L,"&lt;&gt;PAGADA")&gt;0,"VISA",
  IF(COUNTIFS('CALENDARIO INGRESOS'!$A:$A,$D157,'CALENDARIO INGRESOS'!$H:$H,"FIRMA PA",'CALENDARIO INGRESOS'!$L:$L,"&lt;&gt;PAGADA")&gt;0,"FIRMA PA",
   IF(COUNTIFS('CALENDARIO INGRESOS'!$A:$A,$D157,'CALENDARIO INGRESOS'!$H:$H,"ALEM",'CALENDARIO INGRESOS'!$L:$L,"&lt;&gt;PAGADA")&gt;0,"ALEM","LISTO")))),"-")</f>
        <v>LATAM</v>
      </c>
      <c r="S157" s="188">
        <f>+SUMIFS('CALENDARIO INGRESOS'!I:I,'CALENDARIO INGRESOS'!A:A,Tabla3[[#This Row],[ID STRIPE]],'CALENDARIO INGRESOS'!H:H,"LATAM")</f>
        <v>14984</v>
      </c>
      <c r="T157" s="188">
        <f>+IF(Tabla3[[#This Row],[MONTO LATAM]]-Tabla3[[#This Row],[IMPORTE ABONADO]]&gt;=0,Tabla3[[#This Row],[MONTO LATAM]]-Tabla3[[#This Row],[IMPORTE ABONADO]],0)</f>
        <v>13500</v>
      </c>
      <c r="U157" s="188">
        <f>+SUMIFS('CALENDARIO INGRESOS'!I:I,'CALENDARIO INGRESOS'!A:A,Tabla3[[#This Row],[ID STRIPE]],'CALENDARIO INGRESOS'!H:H,"ALEM")</f>
        <v>8000</v>
      </c>
      <c r="V157" s="6">
        <f>+SUMIFS('CALENDARIO INGRESOS'!I:I,'CALENDARIO INGRESOS'!A:A,Tabla3[[#This Row],[ID STRIPE]],'CALENDARIO INGRESOS'!H:H,"VISA")+SUMIFS('CALENDARIO INGRESOS'!I:I,'CALENDARIO INGRESOS'!A:A,Tabla3[[#This Row],[ID STRIPE]],'CALENDARIO INGRESOS'!H:H,"FIRMA PA")</f>
        <v>3000</v>
      </c>
      <c r="W157" s="250">
        <v>0</v>
      </c>
      <c r="X157" s="57">
        <f>+IFERROR(AVERAGEIF('CALENDARIO INGRESOS'!A:A,Tabla3[[#This Row],[ID STRIPE]],'CALENDARIO INGRESOS'!M:M),"0")</f>
        <v>-0.5</v>
      </c>
      <c r="Y157" s="18" t="s">
        <v>2093</v>
      </c>
      <c r="Z157" s="286">
        <f>+IFERROR(_xlfn.XLOOKUP(Tabla3[[#This Row],[ID LINGODA]],LINGODA!D:D,LINGODA!S:S),0)</f>
        <v>49</v>
      </c>
      <c r="AA157" s="18" t="str">
        <f>+IFERROR(_xlfn.XLOOKUP(Tabla3[[#This Row],[ID LINGODA]],LINGODA!D:D,LINGODA!F:F),"null")</f>
        <v>A1.1</v>
      </c>
      <c r="AB157" s="286" t="str">
        <f>+IFERROR(_xlfn.XLOOKUP(Tabla3[[#This Row],[ID LINGODA]],LINGODA!D:D,LINGODA!G:G),"null")</f>
        <v>A1.2</v>
      </c>
    </row>
    <row r="158" spans="1:28">
      <c r="A158" s="5" t="s">
        <v>2456</v>
      </c>
      <c r="B158" s="1" t="s">
        <v>2457</v>
      </c>
      <c r="C158" s="1" t="s">
        <v>11</v>
      </c>
      <c r="D158" s="1" t="s">
        <v>1401</v>
      </c>
      <c r="E158" s="57">
        <v>1841367</v>
      </c>
      <c r="F158" s="57"/>
      <c r="G158" s="18">
        <f>(_xlfn.MINIFS(INGRESOS!A:A,INGRESOS!C:C,Tabla3[[#This Row],[CORREO]]))</f>
        <v>45976</v>
      </c>
      <c r="H158" s="3">
        <f>+SUMIFS(INGRESOS!J:J,INGRESOS!D:D,Tabla3[[#This Row],[ID STRIPE]],INGRESOS!A:A,"&gt;="&amp;DATE(YEAR(Tabla3[[#This Row],[FECHA INGRESO]]),MONTH(Tabla3[[#This Row],[FECHA INGRESO]]),1),INGRESOS!A:A,"&lt;="&amp;DATE(YEAR(Tabla3[[#This Row],[FECHA INGRESO]]),MONTH(Tabla3[[#This Row],[FECHA INGRESO]])+1,0))</f>
        <v>4000</v>
      </c>
      <c r="I158" s="286">
        <f ca="1">DATEDIF(Tabla3[[#This Row],[FECHA INGRESO]],IF(OR(Tabla3[[#This Row],[ESTADO]]="OK",Tabla3[[#This Row],[ESTADO]]="¡REGULARIZAR!")=TRUE,TODAY(),IF(Tabla3[[#This Row],[ULTIMO PAGO]]="",TODAY(),Tabla3[[#This Row],[ULTIMO PAGO]])),"m")</f>
        <v>0</v>
      </c>
      <c r="J158" s="18">
        <f>(_xlfn.MAXIFS(INGRESOS!A:A,INGRESOS!C:C,Tabla3[[#This Row],[CORREO]]))</f>
        <v>45976</v>
      </c>
      <c r="K158" s="7">
        <f ca="1">+IFERROR(Tabla3[[#This Row],[ABONADO NETO ]]/Tabla3[[#This Row],[MESES ACT]],Tabla3[[#This Row],[ABONO 1ER MES]])</f>
        <v>4000</v>
      </c>
      <c r="M158" s="287" t="s">
        <v>2139</v>
      </c>
      <c r="N158" s="288">
        <f>+SUMIF(INGRESOS!D:D,Tabla3[[#This Row],[ID STRIPE]],INGRESOS!J:J)</f>
        <v>4000</v>
      </c>
      <c r="O158" s="6">
        <v>22000</v>
      </c>
      <c r="P158" s="6">
        <f>+SUMIF('CALENDARIO INGRESOS'!A:A,Tabla3[[#This Row],[ID STRIPE]],'CALENDARIO INGRESOS'!I:I)</f>
        <v>4186</v>
      </c>
      <c r="Q158" s="6">
        <f>+SUMIF(INGRESOS!D:D,Tabla3[[#This Row],[ID STRIPE]],INGRESOS!G:G)</f>
        <v>4000</v>
      </c>
      <c r="R158" s="3" t="str">
        <f>IF(Tabla3[[#This Row],[ESTADO]]="OK",IF(COUNTIFS('CALENDARIO INGRESOS'!$A:$A,$D158,'CALENDARIO INGRESOS'!$H:$H,"LATAM",'CALENDARIO INGRESOS'!$L:$L,"&lt;&gt;PAGADA")&gt;0,"LATAM",
 IF(COUNTIFS('CALENDARIO INGRESOS'!$A:$A,$D158,'CALENDARIO INGRESOS'!$H:$H,"VISA",'CALENDARIO INGRESOS'!$L:$L,"&lt;&gt;PAGADA")&gt;0,"VISA",
  IF(COUNTIFS('CALENDARIO INGRESOS'!$A:$A,$D158,'CALENDARIO INGRESOS'!$H:$H,"FIRMA PA",'CALENDARIO INGRESOS'!$L:$L,"&lt;&gt;PAGADA")&gt;0,"FIRMA PA",
   IF(COUNTIFS('CALENDARIO INGRESOS'!$A:$A,$D158,'CALENDARIO INGRESOS'!$H:$H,"ALEM",'CALENDARIO INGRESOS'!$L:$L,"&lt;&gt;PAGADA")&gt;0,"ALEM","LISTO")))),"-")</f>
        <v>-</v>
      </c>
      <c r="S158" s="188">
        <f>+SUMIFS('CALENDARIO INGRESOS'!I:I,'CALENDARIO INGRESOS'!A:A,Tabla3[[#This Row],[ID STRIPE]],'CALENDARIO INGRESOS'!H:H,"LATAM")</f>
        <v>4186</v>
      </c>
      <c r="T158" s="188">
        <f>+IF(Tabla3[[#This Row],[MONTO LATAM]]-Tabla3[[#This Row],[IMPORTE ABONADO]]&gt;=0,Tabla3[[#This Row],[MONTO LATAM]]-Tabla3[[#This Row],[IMPORTE ABONADO]],0)</f>
        <v>186</v>
      </c>
      <c r="U158" s="188">
        <f>+SUMIFS('CALENDARIO INGRESOS'!I:I,'CALENDARIO INGRESOS'!A:A,Tabla3[[#This Row],[ID STRIPE]],'CALENDARIO INGRESOS'!H:H,"ALEM")</f>
        <v>0</v>
      </c>
      <c r="V158" s="6">
        <f>+SUMIFS('CALENDARIO INGRESOS'!I:I,'CALENDARIO INGRESOS'!A:A,Tabla3[[#This Row],[ID STRIPE]],'CALENDARIO INGRESOS'!H:H,"VISA")+SUMIFS('CALENDARIO INGRESOS'!I:I,'CALENDARIO INGRESOS'!A:A,Tabla3[[#This Row],[ID STRIPE]],'CALENDARIO INGRESOS'!H:H,"FIRMA PA")</f>
        <v>0</v>
      </c>
      <c r="W158" s="250">
        <v>0</v>
      </c>
      <c r="X158" s="57">
        <f>+IFERROR(AVERAGEIF('CALENDARIO INGRESOS'!A:A,Tabla3[[#This Row],[ID STRIPE]],'CALENDARIO INGRESOS'!M:M),"0")</f>
        <v>0</v>
      </c>
      <c r="Y158" s="18" t="s">
        <v>2093</v>
      </c>
      <c r="Z158" s="286">
        <f>+IFERROR(_xlfn.XLOOKUP(Tabla3[[#This Row],[ID LINGODA]],LINGODA!D:D,LINGODA!S:S),0)</f>
        <v>0</v>
      </c>
      <c r="AA158" s="18" t="str">
        <f>+IFERROR(_xlfn.XLOOKUP(Tabla3[[#This Row],[ID LINGODA]],LINGODA!D:D,LINGODA!F:F),"null")</f>
        <v>null</v>
      </c>
      <c r="AB158" s="286" t="str">
        <f>+IFERROR(_xlfn.XLOOKUP(Tabla3[[#This Row],[ID LINGODA]],LINGODA!D:D,LINGODA!G:G),"null")</f>
        <v>null</v>
      </c>
    </row>
    <row r="159" spans="1:28">
      <c r="A159" s="5" t="s">
        <v>2458</v>
      </c>
      <c r="B159" s="1" t="s">
        <v>2459</v>
      </c>
      <c r="C159" s="1" t="s">
        <v>11</v>
      </c>
      <c r="D159" s="1" t="s">
        <v>1419</v>
      </c>
      <c r="E159" s="57">
        <v>1841368</v>
      </c>
      <c r="F159" s="57"/>
      <c r="G159" s="18">
        <f>(_xlfn.MINIFS(INGRESOS!A:A,INGRESOS!C:C,Tabla3[[#This Row],[CORREO]]))</f>
        <v>45978</v>
      </c>
      <c r="H159" s="3">
        <f>+SUMIFS(INGRESOS!J:J,INGRESOS!D:D,Tabla3[[#This Row],[ID STRIPE]],INGRESOS!A:A,"&gt;="&amp;DATE(YEAR(Tabla3[[#This Row],[FECHA INGRESO]]),MONTH(Tabla3[[#This Row],[FECHA INGRESO]]),1),INGRESOS!A:A,"&lt;="&amp;DATE(YEAR(Tabla3[[#This Row],[FECHA INGRESO]]),MONTH(Tabla3[[#This Row],[FECHA INGRESO]])+1,0))</f>
        <v>13351</v>
      </c>
      <c r="I159" s="286">
        <f ca="1">DATEDIF(Tabla3[[#This Row],[FECHA INGRESO]],IF(OR(Tabla3[[#This Row],[ESTADO]]="OK",Tabla3[[#This Row],[ESTADO]]="¡REGULARIZAR!")=TRUE,TODAY(),IF(Tabla3[[#This Row],[ULTIMO PAGO]]="",TODAY(),Tabla3[[#This Row],[ULTIMO PAGO]])),"m")</f>
        <v>3</v>
      </c>
      <c r="J159" s="18">
        <f>(_xlfn.MAXIFS(INGRESOS!A:A,INGRESOS!C:C,Tabla3[[#This Row],[CORREO]]))</f>
        <v>45989</v>
      </c>
      <c r="K159" s="7">
        <f ca="1">+IFERROR(Tabla3[[#This Row],[ABONADO NETO ]]/Tabla3[[#This Row],[MESES ACT]],Tabla3[[#This Row],[ABONO 1ER MES]])</f>
        <v>4450.333333333333</v>
      </c>
      <c r="M159" s="287" t="s">
        <v>2119</v>
      </c>
      <c r="N159" s="288">
        <f>+SUMIF(INGRESOS!D:D,Tabla3[[#This Row],[ID STRIPE]],INGRESOS!J:J)</f>
        <v>13351</v>
      </c>
      <c r="O159" s="6">
        <v>26000</v>
      </c>
      <c r="P159" s="6">
        <f>+SUMIF('CALENDARIO INGRESOS'!A:A,Tabla3[[#This Row],[ID STRIPE]],'CALENDARIO INGRESOS'!I:I)</f>
        <v>24800</v>
      </c>
      <c r="Q159" s="6">
        <f>+SUMIF(INGRESOS!D:D,Tabla3[[#This Row],[ID STRIPE]],INGRESOS!G:G)</f>
        <v>13800</v>
      </c>
      <c r="R159" s="3" t="str">
        <f>IF(Tabla3[[#This Row],[ESTADO]]="OK",IF(COUNTIFS('CALENDARIO INGRESOS'!$A:$A,$D159,'CALENDARIO INGRESOS'!$H:$H,"LATAM",'CALENDARIO INGRESOS'!$L:$L,"&lt;&gt;PAGADA")&gt;0,"LATAM",
 IF(COUNTIFS('CALENDARIO INGRESOS'!$A:$A,$D159,'CALENDARIO INGRESOS'!$H:$H,"VISA",'CALENDARIO INGRESOS'!$L:$L,"&lt;&gt;PAGADA")&gt;0,"VISA",
  IF(COUNTIFS('CALENDARIO INGRESOS'!$A:$A,$D159,'CALENDARIO INGRESOS'!$H:$H,"FIRMA PA",'CALENDARIO INGRESOS'!$L:$L,"&lt;&gt;PAGADA")&gt;0,"FIRMA PA",
   IF(COUNTIFS('CALENDARIO INGRESOS'!$A:$A,$D159,'CALENDARIO INGRESOS'!$H:$H,"ALEM",'CALENDARIO INGRESOS'!$L:$L,"&lt;&gt;PAGADA")&gt;0,"ALEM","LISTO")))),"-")</f>
        <v>VISA</v>
      </c>
      <c r="S159" s="188">
        <f>+SUMIFS('CALENDARIO INGRESOS'!I:I,'CALENDARIO INGRESOS'!A:A,Tabla3[[#This Row],[ID STRIPE]],'CALENDARIO INGRESOS'!H:H,"LATAM")</f>
        <v>13800</v>
      </c>
      <c r="T159" s="188">
        <f>+IF(Tabla3[[#This Row],[MONTO LATAM]]-Tabla3[[#This Row],[IMPORTE ABONADO]]&gt;=0,Tabla3[[#This Row],[MONTO LATAM]]-Tabla3[[#This Row],[IMPORTE ABONADO]],0)</f>
        <v>0</v>
      </c>
      <c r="U159" s="188">
        <f>+SUMIFS('CALENDARIO INGRESOS'!I:I,'CALENDARIO INGRESOS'!A:A,Tabla3[[#This Row],[ID STRIPE]],'CALENDARIO INGRESOS'!H:H,"ALEM")</f>
        <v>8000</v>
      </c>
      <c r="V159" s="6">
        <f>+SUMIFS('CALENDARIO INGRESOS'!I:I,'CALENDARIO INGRESOS'!A:A,Tabla3[[#This Row],[ID STRIPE]],'CALENDARIO INGRESOS'!H:H,"VISA")+SUMIFS('CALENDARIO INGRESOS'!I:I,'CALENDARIO INGRESOS'!A:A,Tabla3[[#This Row],[ID STRIPE]],'CALENDARIO INGRESOS'!H:H,"FIRMA PA")</f>
        <v>3000</v>
      </c>
      <c r="W159" s="252">
        <v>0</v>
      </c>
      <c r="X159" s="57">
        <f>+IFERROR(AVERAGEIF('CALENDARIO INGRESOS'!A:A,Tabla3[[#This Row],[ID STRIPE]],'CALENDARIO INGRESOS'!M:M),"0")</f>
        <v>0</v>
      </c>
      <c r="Y159" s="18">
        <v>46401</v>
      </c>
      <c r="Z159" s="286">
        <f>+IFERROR(_xlfn.XLOOKUP(Tabla3[[#This Row],[ID LINGODA]],LINGODA!D:D,LINGODA!S:S),0)</f>
        <v>10</v>
      </c>
      <c r="AA159" s="18" t="str">
        <f>+IFERROR(_xlfn.XLOOKUP(Tabla3[[#This Row],[ID LINGODA]],LINGODA!D:D,LINGODA!F:F),"null")</f>
        <v>A1.1</v>
      </c>
      <c r="AB159" s="286" t="str">
        <f>+IFERROR(_xlfn.XLOOKUP(Tabla3[[#This Row],[ID LINGODA]],LINGODA!D:D,LINGODA!G:G),"null")</f>
        <v>A1.1</v>
      </c>
    </row>
    <row r="160" spans="1:28">
      <c r="A160" s="5" t="s">
        <v>2460</v>
      </c>
      <c r="B160" s="1" t="s">
        <v>2461</v>
      </c>
      <c r="C160" s="1" t="s">
        <v>13</v>
      </c>
      <c r="D160" s="1" t="s">
        <v>1416</v>
      </c>
      <c r="E160" s="57">
        <v>1842443</v>
      </c>
      <c r="F160" s="57"/>
      <c r="G160" s="18">
        <f>(_xlfn.MINIFS(INGRESOS!A:A,INGRESOS!C:C,Tabla3[[#This Row],[CORREO]]))</f>
        <v>45979</v>
      </c>
      <c r="H160" s="3">
        <f>+SUMIFS(INGRESOS!J:J,INGRESOS!D:D,Tabla3[[#This Row],[ID STRIPE]],INGRESOS!A:A,"&gt;="&amp;DATE(YEAR(Tabla3[[#This Row],[FECHA INGRESO]]),MONTH(Tabla3[[#This Row],[FECHA INGRESO]]),1),INGRESOS!A:A,"&lt;="&amp;DATE(YEAR(Tabla3[[#This Row],[FECHA INGRESO]]),MONTH(Tabla3[[#This Row],[FECHA INGRESO]])+1,0))</f>
        <v>1934.75</v>
      </c>
      <c r="I160" s="286">
        <f ca="1">DATEDIF(Tabla3[[#This Row],[FECHA INGRESO]],IF(OR(Tabla3[[#This Row],[ESTADO]]="OK",Tabla3[[#This Row],[ESTADO]]="¡REGULARIZAR!")=TRUE,TODAY(),IF(Tabla3[[#This Row],[ULTIMO PAGO]]="",TODAY(),Tabla3[[#This Row],[ULTIMO PAGO]])),"m")</f>
        <v>3</v>
      </c>
      <c r="J160" s="18">
        <f>(_xlfn.MAXIFS(INGRESOS!A:A,INGRESOS!C:C,Tabla3[[#This Row],[CORREO]]))</f>
        <v>46083</v>
      </c>
      <c r="K160" s="7">
        <f ca="1">+IFERROR(Tabla3[[#This Row],[ABONADO NETO ]]/Tabla3[[#This Row],[MESES ACT]],Tabla3[[#This Row],[ABONO 1ER MES]])</f>
        <v>1386.4133333333332</v>
      </c>
      <c r="M160" s="287" t="s">
        <v>2119</v>
      </c>
      <c r="N160" s="288">
        <f>+SUMIF(INGRESOS!D:D,Tabla3[[#This Row],[ID STRIPE]],INGRESOS!J:J)</f>
        <v>4159.24</v>
      </c>
      <c r="O160" s="6">
        <v>29600</v>
      </c>
      <c r="P160" s="6">
        <f>+SUMIF('CALENDARIO INGRESOS'!A:A,Tabla3[[#This Row],[ID STRIPE]],'CALENDARIO INGRESOS'!I:I)</f>
        <v>29600</v>
      </c>
      <c r="Q160" s="6">
        <f>+SUMIF(INGRESOS!D:D,Tabla3[[#This Row],[ID STRIPE]],INGRESOS!G:G)</f>
        <v>4300</v>
      </c>
      <c r="R160" s="3" t="str">
        <f>IF(Tabla3[[#This Row],[ESTADO]]="OK",IF(COUNTIFS('CALENDARIO INGRESOS'!$A:$A,$D160,'CALENDARIO INGRESOS'!$H:$H,"LATAM",'CALENDARIO INGRESOS'!$L:$L,"&lt;&gt;PAGADA")&gt;0,"LATAM",
 IF(COUNTIFS('CALENDARIO INGRESOS'!$A:$A,$D160,'CALENDARIO INGRESOS'!$H:$H,"VISA",'CALENDARIO INGRESOS'!$L:$L,"&lt;&gt;PAGADA")&gt;0,"VISA",
  IF(COUNTIFS('CALENDARIO INGRESOS'!$A:$A,$D160,'CALENDARIO INGRESOS'!$H:$H,"FIRMA PA",'CALENDARIO INGRESOS'!$L:$L,"&lt;&gt;PAGADA")&gt;0,"FIRMA PA",
   IF(COUNTIFS('CALENDARIO INGRESOS'!$A:$A,$D160,'CALENDARIO INGRESOS'!$H:$H,"ALEM",'CALENDARIO INGRESOS'!$L:$L,"&lt;&gt;PAGADA")&gt;0,"ALEM","LISTO")))),"-")</f>
        <v>LATAM</v>
      </c>
      <c r="S160" s="188">
        <f>+SUMIFS('CALENDARIO INGRESOS'!I:I,'CALENDARIO INGRESOS'!A:A,Tabla3[[#This Row],[ID STRIPE]],'CALENDARIO INGRESOS'!H:H,"LATAM")</f>
        <v>18600</v>
      </c>
      <c r="T160" s="188">
        <f>+IF(Tabla3[[#This Row],[MONTO LATAM]]-Tabla3[[#This Row],[IMPORTE ABONADO]]&gt;=0,Tabla3[[#This Row],[MONTO LATAM]]-Tabla3[[#This Row],[IMPORTE ABONADO]],0)</f>
        <v>14300</v>
      </c>
      <c r="U160" s="188">
        <f>+SUMIFS('CALENDARIO INGRESOS'!I:I,'CALENDARIO INGRESOS'!A:A,Tabla3[[#This Row],[ID STRIPE]],'CALENDARIO INGRESOS'!H:H,"ALEM")</f>
        <v>8000</v>
      </c>
      <c r="V160" s="6">
        <f>+SUMIFS('CALENDARIO INGRESOS'!I:I,'CALENDARIO INGRESOS'!A:A,Tabla3[[#This Row],[ID STRIPE]],'CALENDARIO INGRESOS'!H:H,"VISA")+SUMIFS('CALENDARIO INGRESOS'!I:I,'CALENDARIO INGRESOS'!A:A,Tabla3[[#This Row],[ID STRIPE]],'CALENDARIO INGRESOS'!H:H,"FIRMA PA")</f>
        <v>3000</v>
      </c>
      <c r="W160" s="250">
        <v>1</v>
      </c>
      <c r="X160" s="57">
        <f>+IFERROR(AVERAGEIF('CALENDARIO INGRESOS'!A:A,Tabla3[[#This Row],[ID STRIPE]],'CALENDARIO INGRESOS'!M:M),"0")</f>
        <v>2</v>
      </c>
      <c r="Y160" s="18">
        <v>46784</v>
      </c>
      <c r="Z160" s="286">
        <f>+IFERROR(_xlfn.XLOOKUP(Tabla3[[#This Row],[ID LINGODA]],LINGODA!D:D,LINGODA!S:S),0)</f>
        <v>50</v>
      </c>
      <c r="AA160" s="18" t="str">
        <f>+IFERROR(_xlfn.XLOOKUP(Tabla3[[#This Row],[ID LINGODA]],LINGODA!D:D,LINGODA!F:F),"null")</f>
        <v>A1.1</v>
      </c>
      <c r="AB160" s="286" t="str">
        <f>+IFERROR(_xlfn.XLOOKUP(Tabla3[[#This Row],[ID LINGODA]],LINGODA!D:D,LINGODA!G:G),"null")</f>
        <v>A1.1</v>
      </c>
    </row>
    <row r="161" spans="1:28">
      <c r="A161" s="5" t="s">
        <v>2462</v>
      </c>
      <c r="B161" s="1" t="s">
        <v>2463</v>
      </c>
      <c r="C161" s="1" t="s">
        <v>14</v>
      </c>
      <c r="D161" s="1" t="s">
        <v>1428</v>
      </c>
      <c r="E161" s="57">
        <v>1842445</v>
      </c>
      <c r="F161" s="57"/>
      <c r="G161" s="18">
        <f>(_xlfn.MINIFS(INGRESOS!A:A,INGRESOS!C:C,Tabla3[[#This Row],[CORREO]]))</f>
        <v>45981</v>
      </c>
      <c r="H161" s="3">
        <f>+SUMIFS(INGRESOS!J:J,INGRESOS!D:D,Tabla3[[#This Row],[ID STRIPE]],INGRESOS!A:A,"&gt;="&amp;DATE(YEAR(Tabla3[[#This Row],[FECHA INGRESO]]),MONTH(Tabla3[[#This Row],[FECHA INGRESO]]),1),INGRESOS!A:A,"&lt;="&amp;DATE(YEAR(Tabla3[[#This Row],[FECHA INGRESO]]),MONTH(Tabla3[[#This Row],[FECHA INGRESO]])+1,0))</f>
        <v>2902.25</v>
      </c>
      <c r="I161" s="286">
        <f ca="1">DATEDIF(Tabla3[[#This Row],[FECHA INGRESO]],IF(OR(Tabla3[[#This Row],[ESTADO]]="OK",Tabla3[[#This Row],[ESTADO]]="¡REGULARIZAR!")=TRUE,TODAY(),IF(Tabla3[[#This Row],[ULTIMO PAGO]]="",TODAY(),Tabla3[[#This Row],[ULTIMO PAGO]])),"m")</f>
        <v>3</v>
      </c>
      <c r="J161" s="18">
        <f>(_xlfn.MAXIFS(INGRESOS!A:A,INGRESOS!C:C,Tabla3[[#This Row],[CORREO]]))</f>
        <v>46035</v>
      </c>
      <c r="K161" s="7">
        <f ca="1">+IFERROR(Tabla3[[#This Row],[ABONADO NETO ]]/Tabla3[[#This Row],[MESES ACT]],Tabla3[[#This Row],[ABONO 1ER MES]])</f>
        <v>4547</v>
      </c>
      <c r="M161" s="287" t="s">
        <v>2119</v>
      </c>
      <c r="N161" s="288">
        <f>+SUMIF(INGRESOS!D:D,Tabla3[[#This Row],[ID STRIPE]],INGRESOS!J:J)</f>
        <v>13641</v>
      </c>
      <c r="O161" s="6">
        <v>25100</v>
      </c>
      <c r="P161" s="6">
        <f>+SUMIF('CALENDARIO INGRESOS'!A:A,Tabla3[[#This Row],[ID STRIPE]],'CALENDARIO INGRESOS'!I:I)</f>
        <v>25100</v>
      </c>
      <c r="Q161" s="6">
        <f>+SUMIF(INGRESOS!D:D,Tabla3[[#This Row],[ID STRIPE]],INGRESOS!G:G)</f>
        <v>14100</v>
      </c>
      <c r="R161" s="3" t="str">
        <f>IF(Tabla3[[#This Row],[ESTADO]]="OK",IF(COUNTIFS('CALENDARIO INGRESOS'!$A:$A,$D161,'CALENDARIO INGRESOS'!$H:$H,"LATAM",'CALENDARIO INGRESOS'!$L:$L,"&lt;&gt;PAGADA")&gt;0,"LATAM",
 IF(COUNTIFS('CALENDARIO INGRESOS'!$A:$A,$D161,'CALENDARIO INGRESOS'!$H:$H,"VISA",'CALENDARIO INGRESOS'!$L:$L,"&lt;&gt;PAGADA")&gt;0,"VISA",
  IF(COUNTIFS('CALENDARIO INGRESOS'!$A:$A,$D161,'CALENDARIO INGRESOS'!$H:$H,"FIRMA PA",'CALENDARIO INGRESOS'!$L:$L,"&lt;&gt;PAGADA")&gt;0,"FIRMA PA",
   IF(COUNTIFS('CALENDARIO INGRESOS'!$A:$A,$D161,'CALENDARIO INGRESOS'!$H:$H,"ALEM",'CALENDARIO INGRESOS'!$L:$L,"&lt;&gt;PAGADA")&gt;0,"ALEM","LISTO")))),"-")</f>
        <v>VISA</v>
      </c>
      <c r="S161" s="188">
        <f>+SUMIFS('CALENDARIO INGRESOS'!I:I,'CALENDARIO INGRESOS'!A:A,Tabla3[[#This Row],[ID STRIPE]],'CALENDARIO INGRESOS'!H:H,"LATAM")</f>
        <v>14100</v>
      </c>
      <c r="T161" s="188">
        <f>+IF(Tabla3[[#This Row],[MONTO LATAM]]-Tabla3[[#This Row],[IMPORTE ABONADO]]&gt;=0,Tabla3[[#This Row],[MONTO LATAM]]-Tabla3[[#This Row],[IMPORTE ABONADO]],0)</f>
        <v>0</v>
      </c>
      <c r="U161" s="188">
        <f>+SUMIFS('CALENDARIO INGRESOS'!I:I,'CALENDARIO INGRESOS'!A:A,Tabla3[[#This Row],[ID STRIPE]],'CALENDARIO INGRESOS'!H:H,"ALEM")</f>
        <v>8000</v>
      </c>
      <c r="V161" s="6">
        <f>+SUMIFS('CALENDARIO INGRESOS'!I:I,'CALENDARIO INGRESOS'!A:A,Tabla3[[#This Row],[ID STRIPE]],'CALENDARIO INGRESOS'!H:H,"VISA")+SUMIFS('CALENDARIO INGRESOS'!I:I,'CALENDARIO INGRESOS'!A:A,Tabla3[[#This Row],[ID STRIPE]],'CALENDARIO INGRESOS'!H:H,"FIRMA PA")</f>
        <v>3000</v>
      </c>
      <c r="W161" s="252">
        <v>0</v>
      </c>
      <c r="X161" s="57">
        <f>+IFERROR(AVERAGEIF('CALENDARIO INGRESOS'!A:A,Tabla3[[#This Row],[ID STRIPE]],'CALENDARIO INGRESOS'!M:M),"0")</f>
        <v>-0.33333333333333331</v>
      </c>
      <c r="Y161" s="18">
        <v>45978</v>
      </c>
      <c r="Z161" s="286">
        <f>+IFERROR(_xlfn.XLOOKUP(Tabla3[[#This Row],[ID LINGODA]],LINGODA!D:D,LINGODA!S:S),0)</f>
        <v>0</v>
      </c>
      <c r="AA161" s="18" t="str">
        <f>+IFERROR(_xlfn.XLOOKUP(Tabla3[[#This Row],[ID LINGODA]],LINGODA!D:D,LINGODA!F:F),"null")</f>
        <v>null</v>
      </c>
      <c r="AB161" s="286" t="str">
        <f>+IFERROR(_xlfn.XLOOKUP(Tabla3[[#This Row],[ID LINGODA]],LINGODA!D:D,LINGODA!G:G),"null")</f>
        <v>null</v>
      </c>
    </row>
    <row r="162" spans="1:28">
      <c r="A162" s="5" t="s">
        <v>2464</v>
      </c>
      <c r="B162" s="1" t="s">
        <v>2465</v>
      </c>
      <c r="C162" s="1" t="s">
        <v>11</v>
      </c>
      <c r="D162" s="1" t="s">
        <v>1437</v>
      </c>
      <c r="E162" s="57">
        <v>1842444</v>
      </c>
      <c r="F162" s="57"/>
      <c r="G162" s="18">
        <f>(_xlfn.MINIFS(INGRESOS!A:A,INGRESOS!C:C,Tabla3[[#This Row],[CORREO]]))</f>
        <v>45982</v>
      </c>
      <c r="H162" s="3">
        <f>+SUMIFS(INGRESOS!J:J,INGRESOS!D:D,Tabla3[[#This Row],[ID STRIPE]],INGRESOS!A:A,"&gt;="&amp;DATE(YEAR(Tabla3[[#This Row],[FECHA INGRESO]]),MONTH(Tabla3[[#This Row],[FECHA INGRESO]]),1),INGRESOS!A:A,"&lt;="&amp;DATE(YEAR(Tabla3[[#This Row],[FECHA INGRESO]]),MONTH(Tabla3[[#This Row],[FECHA INGRESO]])+1,0))</f>
        <v>1450.49</v>
      </c>
      <c r="I162" s="286">
        <f ca="1">DATEDIF(Tabla3[[#This Row],[FECHA INGRESO]],IF(OR(Tabla3[[#This Row],[ESTADO]]="OK",Tabla3[[#This Row],[ESTADO]]="¡REGULARIZAR!")=TRUE,TODAY(),IF(Tabla3[[#This Row],[ULTIMO PAGO]]="",TODAY(),Tabla3[[#This Row],[ULTIMO PAGO]])),"m")</f>
        <v>3</v>
      </c>
      <c r="J162" s="18">
        <f>(_xlfn.MAXIFS(INGRESOS!A:A,INGRESOS!C:C,Tabla3[[#This Row],[CORREO]]))</f>
        <v>46078</v>
      </c>
      <c r="K162" s="7">
        <f ca="1">+IFERROR(Tabla3[[#This Row],[ABONADO NETO ]]/Tabla3[[#This Row],[MESES ACT]],Tabla3[[#This Row],[ABONO 1ER MES]])</f>
        <v>1515.1566666666668</v>
      </c>
      <c r="M162" s="287" t="s">
        <v>2119</v>
      </c>
      <c r="N162" s="288">
        <f>+SUMIF(INGRESOS!D:D,Tabla3[[#This Row],[ID STRIPE]],INGRESOS!J:J)</f>
        <v>4545.47</v>
      </c>
      <c r="O162" s="6">
        <v>26000</v>
      </c>
      <c r="P162" s="183">
        <f>+SUMIF('CALENDARIO INGRESOS'!A:A,Tabla3[[#This Row],[ID STRIPE]],'CALENDARIO INGRESOS'!I:I)</f>
        <v>26750</v>
      </c>
      <c r="Q162" s="183">
        <f>+SUMIF(INGRESOS!D:D,Tabla3[[#This Row],[ID STRIPE]],INGRESOS!G:G)</f>
        <v>4700</v>
      </c>
      <c r="R162" s="3" t="str">
        <f>IF(Tabla3[[#This Row],[ESTADO]]="OK",IF(COUNTIFS('CALENDARIO INGRESOS'!$A:$A,$D162,'CALENDARIO INGRESOS'!$H:$H,"LATAM",'CALENDARIO INGRESOS'!$L:$L,"&lt;&gt;PAGADA")&gt;0,"LATAM",
 IF(COUNTIFS('CALENDARIO INGRESOS'!$A:$A,$D162,'CALENDARIO INGRESOS'!$H:$H,"VISA",'CALENDARIO INGRESOS'!$L:$L,"&lt;&gt;PAGADA")&gt;0,"VISA",
  IF(COUNTIFS('CALENDARIO INGRESOS'!$A:$A,$D162,'CALENDARIO INGRESOS'!$H:$H,"FIRMA PA",'CALENDARIO INGRESOS'!$L:$L,"&lt;&gt;PAGADA")&gt;0,"FIRMA PA",
   IF(COUNTIFS('CALENDARIO INGRESOS'!$A:$A,$D162,'CALENDARIO INGRESOS'!$H:$H,"ALEM",'CALENDARIO INGRESOS'!$L:$L,"&lt;&gt;PAGADA")&gt;0,"ALEM","LISTO")))),"-")</f>
        <v>LATAM</v>
      </c>
      <c r="S162" s="188">
        <f>+SUMIFS('CALENDARIO INGRESOS'!I:I,'CALENDARIO INGRESOS'!A:A,Tabla3[[#This Row],[ID STRIPE]],'CALENDARIO INGRESOS'!H:H,"LATAM")</f>
        <v>15750</v>
      </c>
      <c r="T162" s="188">
        <f>+IF(Tabla3[[#This Row],[MONTO LATAM]]-Tabla3[[#This Row],[IMPORTE ABONADO]]&gt;=0,Tabla3[[#This Row],[MONTO LATAM]]-Tabla3[[#This Row],[IMPORTE ABONADO]],0)</f>
        <v>11050</v>
      </c>
      <c r="U162" s="188">
        <f>+SUMIFS('CALENDARIO INGRESOS'!I:I,'CALENDARIO INGRESOS'!A:A,Tabla3[[#This Row],[ID STRIPE]],'CALENDARIO INGRESOS'!H:H,"ALEM")</f>
        <v>8000</v>
      </c>
      <c r="V162" s="6">
        <f>+SUMIFS('CALENDARIO INGRESOS'!I:I,'CALENDARIO INGRESOS'!A:A,Tabla3[[#This Row],[ID STRIPE]],'CALENDARIO INGRESOS'!H:H,"VISA")+SUMIFS('CALENDARIO INGRESOS'!I:I,'CALENDARIO INGRESOS'!A:A,Tabla3[[#This Row],[ID STRIPE]],'CALENDARIO INGRESOS'!H:H,"FIRMA PA")</f>
        <v>3000</v>
      </c>
      <c r="W162" s="252">
        <v>1</v>
      </c>
      <c r="X162" s="57">
        <f>+IFERROR(AVERAGEIF('CALENDARIO INGRESOS'!A:A,Tabla3[[#This Row],[ID STRIPE]],'CALENDARIO INGRESOS'!M:M),"0")</f>
        <v>-1.1428571428571428</v>
      </c>
      <c r="Y162" s="18">
        <v>46447</v>
      </c>
      <c r="Z162" s="286">
        <f>+IFERROR(_xlfn.XLOOKUP(Tabla3[[#This Row],[ID LINGODA]],LINGODA!D:D,LINGODA!S:S),0)</f>
        <v>20</v>
      </c>
      <c r="AA162" s="18" t="str">
        <f>+IFERROR(_xlfn.XLOOKUP(Tabla3[[#This Row],[ID LINGODA]],LINGODA!D:D,LINGODA!F:F),"null")</f>
        <v>A1.1</v>
      </c>
      <c r="AB162" s="286" t="str">
        <f>+IFERROR(_xlfn.XLOOKUP(Tabla3[[#This Row],[ID LINGODA]],LINGODA!D:D,LINGODA!G:G),"null")</f>
        <v>A1.1</v>
      </c>
    </row>
    <row r="163" spans="1:28">
      <c r="A163" s="5" t="s">
        <v>2466</v>
      </c>
      <c r="B163" s="1" t="s">
        <v>2467</v>
      </c>
      <c r="C163" s="1" t="s">
        <v>14</v>
      </c>
      <c r="D163" s="1" t="s">
        <v>1440</v>
      </c>
      <c r="E163" s="57">
        <v>1844248</v>
      </c>
      <c r="F163" s="57"/>
      <c r="G163" s="18">
        <f>(_xlfn.MINIFS(INGRESOS!A:A,INGRESOS!C:C,Tabla3[[#This Row],[CORREO]]))</f>
        <v>45982</v>
      </c>
      <c r="H163" s="3">
        <f>+SUMIFS(INGRESOS!J:J,INGRESOS!D:D,Tabla3[[#This Row],[ID STRIPE]],INGRESOS!A:A,"&gt;="&amp;DATE(YEAR(Tabla3[[#This Row],[FECHA INGRESO]]),MONTH(Tabla3[[#This Row],[FECHA INGRESO]]),1),INGRESOS!A:A,"&lt;="&amp;DATE(YEAR(Tabla3[[#This Row],[FECHA INGRESO]]),MONTH(Tabla3[[#This Row],[FECHA INGRESO]])+1,0))</f>
        <v>1450.7399999999998</v>
      </c>
      <c r="I163" s="286">
        <f ca="1">DATEDIF(Tabla3[[#This Row],[FECHA INGRESO]],IF(OR(Tabla3[[#This Row],[ESTADO]]="OK",Tabla3[[#This Row],[ESTADO]]="¡REGULARIZAR!")=TRUE,TODAY(),IF(Tabla3[[#This Row],[ULTIMO PAGO]]="",TODAY(),Tabla3[[#This Row],[ULTIMO PAGO]])),"m")</f>
        <v>0</v>
      </c>
      <c r="J163" s="18">
        <f>(_xlfn.MAXIFS(INGRESOS!A:A,INGRESOS!C:C,Tabla3[[#This Row],[CORREO]]))</f>
        <v>45982</v>
      </c>
      <c r="K163" s="7">
        <f ca="1">+IFERROR(Tabla3[[#This Row],[ABONADO NETO ]]/Tabla3[[#This Row],[MESES ACT]],Tabla3[[#This Row],[ABONO 1ER MES]])</f>
        <v>1450.7399999999998</v>
      </c>
      <c r="M163" s="287" t="s">
        <v>2162</v>
      </c>
      <c r="N163" s="288">
        <f>+SUMIF(INGRESOS!D:D,Tabla3[[#This Row],[ID STRIPE]],INGRESOS!J:J)</f>
        <v>1450.7399999999998</v>
      </c>
      <c r="O163" s="6">
        <v>26000</v>
      </c>
      <c r="P163" s="6">
        <f>+SUMIF('CALENDARIO INGRESOS'!A:A,Tabla3[[#This Row],[ID STRIPE]],'CALENDARIO INGRESOS'!I:I)</f>
        <v>3000</v>
      </c>
      <c r="Q163" s="6">
        <f>+SUMIF(INGRESOS!D:D,Tabla3[[#This Row],[ID STRIPE]],INGRESOS!G:G)</f>
        <v>1500</v>
      </c>
      <c r="R163" s="3" t="str">
        <f>IF(Tabla3[[#This Row],[ESTADO]]="OK",IF(COUNTIFS('CALENDARIO INGRESOS'!$A:$A,$D163,'CALENDARIO INGRESOS'!$H:$H,"LATAM",'CALENDARIO INGRESOS'!$L:$L,"&lt;&gt;PAGADA")&gt;0,"LATAM",
 IF(COUNTIFS('CALENDARIO INGRESOS'!$A:$A,$D163,'CALENDARIO INGRESOS'!$H:$H,"VISA",'CALENDARIO INGRESOS'!$L:$L,"&lt;&gt;PAGADA")&gt;0,"VISA",
  IF(COUNTIFS('CALENDARIO INGRESOS'!$A:$A,$D163,'CALENDARIO INGRESOS'!$H:$H,"FIRMA PA",'CALENDARIO INGRESOS'!$L:$L,"&lt;&gt;PAGADA")&gt;0,"FIRMA PA",
   IF(COUNTIFS('CALENDARIO INGRESOS'!$A:$A,$D163,'CALENDARIO INGRESOS'!$H:$H,"ALEM",'CALENDARIO INGRESOS'!$L:$L,"&lt;&gt;PAGADA")&gt;0,"ALEM","LISTO")))),"-")</f>
        <v>-</v>
      </c>
      <c r="S163" s="188">
        <f>+SUMIFS('CALENDARIO INGRESOS'!I:I,'CALENDARIO INGRESOS'!A:A,Tabla3[[#This Row],[ID STRIPE]],'CALENDARIO INGRESOS'!H:H,"LATAM")</f>
        <v>3000</v>
      </c>
      <c r="T163" s="188">
        <f>+IF(Tabla3[[#This Row],[MONTO LATAM]]-Tabla3[[#This Row],[IMPORTE ABONADO]]&gt;=0,Tabla3[[#This Row],[MONTO LATAM]]-Tabla3[[#This Row],[IMPORTE ABONADO]],0)</f>
        <v>1500</v>
      </c>
      <c r="U163" s="188">
        <f>+SUMIFS('CALENDARIO INGRESOS'!I:I,'CALENDARIO INGRESOS'!A:A,Tabla3[[#This Row],[ID STRIPE]],'CALENDARIO INGRESOS'!H:H,"ALEM")</f>
        <v>0</v>
      </c>
      <c r="V163" s="6">
        <f>+SUMIFS('CALENDARIO INGRESOS'!I:I,'CALENDARIO INGRESOS'!A:A,Tabla3[[#This Row],[ID STRIPE]],'CALENDARIO INGRESOS'!H:H,"VISA")+SUMIFS('CALENDARIO INGRESOS'!I:I,'CALENDARIO INGRESOS'!A:A,Tabla3[[#This Row],[ID STRIPE]],'CALENDARIO INGRESOS'!H:H,"FIRMA PA")</f>
        <v>0</v>
      </c>
      <c r="W163" s="252">
        <v>0</v>
      </c>
      <c r="X163" s="57">
        <f>+IFERROR(AVERAGEIF('CALENDARIO INGRESOS'!A:A,Tabla3[[#This Row],[ID STRIPE]],'CALENDARIO INGRESOS'!M:M),"0")</f>
        <v>0.5</v>
      </c>
      <c r="Y163" s="18">
        <v>46405</v>
      </c>
      <c r="Z163" s="286">
        <f>+IFERROR(_xlfn.XLOOKUP(Tabla3[[#This Row],[ID LINGODA]],LINGODA!D:D,LINGODA!S:S),0)</f>
        <v>19</v>
      </c>
      <c r="AA163" s="18" t="str">
        <f>+IFERROR(_xlfn.XLOOKUP(Tabla3[[#This Row],[ID LINGODA]],LINGODA!D:D,LINGODA!F:F),"null")</f>
        <v>A1.1</v>
      </c>
      <c r="AB163" s="286" t="str">
        <f>+IFERROR(_xlfn.XLOOKUP(Tabla3[[#This Row],[ID LINGODA]],LINGODA!D:D,LINGODA!G:G),"null")</f>
        <v>A1.1</v>
      </c>
    </row>
    <row r="164" spans="1:28">
      <c r="A164" s="5" t="s">
        <v>2468</v>
      </c>
      <c r="B164" s="1" t="s">
        <v>2469</v>
      </c>
      <c r="C164" s="1" t="s">
        <v>16</v>
      </c>
      <c r="D164" s="1" t="s">
        <v>1461</v>
      </c>
      <c r="E164" s="57">
        <v>1845676</v>
      </c>
      <c r="F164" s="57"/>
      <c r="G164" s="18">
        <f>(_xlfn.MINIFS(INGRESOS!A:A,INGRESOS!C:C,Tabla3[[#This Row],[CORREO]]))</f>
        <v>45988</v>
      </c>
      <c r="H164" s="3">
        <f>+SUMIFS(INGRESOS!J:J,INGRESOS!D:D,Tabla3[[#This Row],[ID STRIPE]],INGRESOS!A:A,"&gt;="&amp;DATE(YEAR(Tabla3[[#This Row],[FECHA INGRESO]]),MONTH(Tabla3[[#This Row],[FECHA INGRESO]]),1),INGRESOS!A:A,"&lt;="&amp;DATE(YEAR(Tabla3[[#This Row],[FECHA INGRESO]]),MONTH(Tabla3[[#This Row],[FECHA INGRESO]])+1,0))</f>
        <v>1934.4899999999998</v>
      </c>
      <c r="I164" s="286">
        <f ca="1">DATEDIF(Tabla3[[#This Row],[FECHA INGRESO]],IF(OR(Tabla3[[#This Row],[ESTADO]]="OK",Tabla3[[#This Row],[ESTADO]]="¡REGULARIZAR!")=TRUE,TODAY(),IF(Tabla3[[#This Row],[ULTIMO PAGO]]="",TODAY(),Tabla3[[#This Row],[ULTIMO PAGO]])),"m")</f>
        <v>3</v>
      </c>
      <c r="J164" s="18">
        <f>(_xlfn.MAXIFS(INGRESOS!A:A,INGRESOS!C:C,Tabla3[[#This Row],[CORREO]]))</f>
        <v>46052</v>
      </c>
      <c r="K164" s="7">
        <f ca="1">+IFERROR(Tabla3[[#This Row],[ABONADO NETO ]]/Tabla3[[#This Row],[MESES ACT]],Tabla3[[#This Row],[ABONO 1ER MES]])</f>
        <v>1289.6633333333332</v>
      </c>
      <c r="M164" s="287" t="s">
        <v>2119</v>
      </c>
      <c r="N164" s="288">
        <f>+SUMIF(INGRESOS!D:D,Tabla3[[#This Row],[ID STRIPE]],INGRESOS!J:J)</f>
        <v>3868.99</v>
      </c>
      <c r="O164" s="6">
        <v>22000</v>
      </c>
      <c r="P164" s="183">
        <f>+SUMIF('CALENDARIO INGRESOS'!A:A,Tabla3[[#This Row],[ID STRIPE]],'CALENDARIO INGRESOS'!I:I)</f>
        <v>22000</v>
      </c>
      <c r="Q164" s="183">
        <f>+SUMIF(INGRESOS!D:D,Tabla3[[#This Row],[ID STRIPE]],INGRESOS!G:G)</f>
        <v>4000</v>
      </c>
      <c r="R164" s="3" t="str">
        <f>IF(Tabla3[[#This Row],[ESTADO]]="OK",IF(COUNTIFS('CALENDARIO INGRESOS'!$A:$A,$D164,'CALENDARIO INGRESOS'!$H:$H,"LATAM",'CALENDARIO INGRESOS'!$L:$L,"&lt;&gt;PAGADA")&gt;0,"LATAM",
 IF(COUNTIFS('CALENDARIO INGRESOS'!$A:$A,$D164,'CALENDARIO INGRESOS'!$H:$H,"VISA",'CALENDARIO INGRESOS'!$L:$L,"&lt;&gt;PAGADA")&gt;0,"VISA",
  IF(COUNTIFS('CALENDARIO INGRESOS'!$A:$A,$D164,'CALENDARIO INGRESOS'!$H:$H,"FIRMA PA",'CALENDARIO INGRESOS'!$L:$L,"&lt;&gt;PAGADA")&gt;0,"FIRMA PA",
   IF(COUNTIFS('CALENDARIO INGRESOS'!$A:$A,$D164,'CALENDARIO INGRESOS'!$H:$H,"ALEM",'CALENDARIO INGRESOS'!$L:$L,"&lt;&gt;PAGADA")&gt;0,"ALEM","LISTO")))),"-")</f>
        <v>LATAM</v>
      </c>
      <c r="S164" s="188">
        <f>+SUMIFS('CALENDARIO INGRESOS'!I:I,'CALENDARIO INGRESOS'!A:A,Tabla3[[#This Row],[ID STRIPE]],'CALENDARIO INGRESOS'!H:H,"LATAM")</f>
        <v>16000</v>
      </c>
      <c r="T164" s="188">
        <f>+IF(Tabla3[[#This Row],[MONTO LATAM]]-Tabla3[[#This Row],[IMPORTE ABONADO]]&gt;=0,Tabla3[[#This Row],[MONTO LATAM]]-Tabla3[[#This Row],[IMPORTE ABONADO]],0)</f>
        <v>12000</v>
      </c>
      <c r="U164" s="188">
        <f>+SUMIFS('CALENDARIO INGRESOS'!I:I,'CALENDARIO INGRESOS'!A:A,Tabla3[[#This Row],[ID STRIPE]],'CALENDARIO INGRESOS'!H:H,"ALEM")</f>
        <v>6000</v>
      </c>
      <c r="V164" s="6">
        <f>+SUMIFS('CALENDARIO INGRESOS'!I:I,'CALENDARIO INGRESOS'!A:A,Tabla3[[#This Row],[ID STRIPE]],'CALENDARIO INGRESOS'!H:H,"VISA")+SUMIFS('CALENDARIO INGRESOS'!I:I,'CALENDARIO INGRESOS'!A:A,Tabla3[[#This Row],[ID STRIPE]],'CALENDARIO INGRESOS'!H:H,"FIRMA PA")</f>
        <v>0</v>
      </c>
      <c r="W164" s="252">
        <v>0</v>
      </c>
      <c r="X164" s="57">
        <f>+IFERROR(AVERAGEIF('CALENDARIO INGRESOS'!A:A,Tabla3[[#This Row],[ID STRIPE]],'CALENDARIO INGRESOS'!M:M),"0")</f>
        <v>-2</v>
      </c>
      <c r="Y164" s="18">
        <v>46357</v>
      </c>
      <c r="Z164" s="286">
        <f>+IFERROR(_xlfn.XLOOKUP(Tabla3[[#This Row],[ID LINGODA]],LINGODA!D:D,LINGODA!S:S),0)</f>
        <v>57</v>
      </c>
      <c r="AA164" s="18" t="str">
        <f>+IFERROR(_xlfn.XLOOKUP(Tabla3[[#This Row],[ID LINGODA]],LINGODA!D:D,LINGODA!F:F),"null")</f>
        <v>A1.1</v>
      </c>
      <c r="AB164" s="286" t="str">
        <f>+IFERROR(_xlfn.XLOOKUP(Tabla3[[#This Row],[ID LINGODA]],LINGODA!D:D,LINGODA!G:G),"null")</f>
        <v>A1.2</v>
      </c>
    </row>
    <row r="165" spans="1:28">
      <c r="A165" s="5" t="s">
        <v>2470</v>
      </c>
      <c r="B165" s="1" t="s">
        <v>2471</v>
      </c>
      <c r="C165" s="1" t="s">
        <v>12</v>
      </c>
      <c r="D165" s="1" t="s">
        <v>1482</v>
      </c>
      <c r="E165" s="57">
        <v>1845675</v>
      </c>
      <c r="F165" s="57"/>
      <c r="G165" s="18">
        <f>(_xlfn.MINIFS(INGRESOS!A:A,INGRESOS!C:C,Tabla3[[#This Row],[CORREO]]))</f>
        <v>45988</v>
      </c>
      <c r="H165" s="3">
        <f>+SUMIFS(INGRESOS!J:J,INGRESOS!D:D,Tabla3[[#This Row],[ID STRIPE]],INGRESOS!A:A,"&gt;="&amp;DATE(YEAR(Tabla3[[#This Row],[FECHA INGRESO]]),MONTH(Tabla3[[#This Row],[FECHA INGRESO]]),1),INGRESOS!A:A,"&lt;="&amp;DATE(YEAR(Tabla3[[#This Row],[FECHA INGRESO]]),MONTH(Tabla3[[#This Row],[FECHA INGRESO]])+1,0))</f>
        <v>2659.36</v>
      </c>
      <c r="I165" s="286">
        <f ca="1">DATEDIF(Tabla3[[#This Row],[FECHA INGRESO]],IF(OR(Tabla3[[#This Row],[ESTADO]]="OK",Tabla3[[#This Row],[ESTADO]]="¡REGULARIZAR!")=TRUE,TODAY(),IF(Tabla3[[#This Row],[ULTIMO PAGO]]="",TODAY(),Tabla3[[#This Row],[ULTIMO PAGO]])),"m")</f>
        <v>3</v>
      </c>
      <c r="J165" s="18">
        <f>(_xlfn.MAXIFS(INGRESOS!A:A,INGRESOS!C:C,Tabla3[[#This Row],[CORREO]]))</f>
        <v>46050</v>
      </c>
      <c r="K165" s="7">
        <f ca="1">+IFERROR(Tabla3[[#This Row],[ABONADO NETO ]]/Tabla3[[#This Row],[MESES ACT]],Tabla3[[#This Row],[ABONO 1ER MES]])</f>
        <v>1853.7833333333335</v>
      </c>
      <c r="M165" s="287" t="s">
        <v>2119</v>
      </c>
      <c r="N165" s="288">
        <f>+SUMIF(INGRESOS!D:D,Tabla3[[#This Row],[ID STRIPE]],INGRESOS!J:J)</f>
        <v>5561.35</v>
      </c>
      <c r="O165" s="6">
        <v>22000</v>
      </c>
      <c r="P165" s="6">
        <f>+SUMIF('CALENDARIO INGRESOS'!A:A,Tabla3[[#This Row],[ID STRIPE]],'CALENDARIO INGRESOS'!I:I)</f>
        <v>22000</v>
      </c>
      <c r="Q165" s="6">
        <f>+SUMIF(INGRESOS!D:D,Tabla3[[#This Row],[ID STRIPE]],INGRESOS!G:G)</f>
        <v>5750</v>
      </c>
      <c r="R165" s="3" t="str">
        <f>IF(Tabla3[[#This Row],[ESTADO]]="OK",IF(COUNTIFS('CALENDARIO INGRESOS'!$A:$A,$D165,'CALENDARIO INGRESOS'!$H:$H,"LATAM",'CALENDARIO INGRESOS'!$L:$L,"&lt;&gt;PAGADA")&gt;0,"LATAM",
 IF(COUNTIFS('CALENDARIO INGRESOS'!$A:$A,$D165,'CALENDARIO INGRESOS'!$H:$H,"VISA",'CALENDARIO INGRESOS'!$L:$L,"&lt;&gt;PAGADA")&gt;0,"VISA",
  IF(COUNTIFS('CALENDARIO INGRESOS'!$A:$A,$D165,'CALENDARIO INGRESOS'!$H:$H,"FIRMA PA",'CALENDARIO INGRESOS'!$L:$L,"&lt;&gt;PAGADA")&gt;0,"FIRMA PA",
   IF(COUNTIFS('CALENDARIO INGRESOS'!$A:$A,$D165,'CALENDARIO INGRESOS'!$H:$H,"ALEM",'CALENDARIO INGRESOS'!$L:$L,"&lt;&gt;PAGADA")&gt;0,"ALEM","LISTO")))),"-")</f>
        <v>LATAM</v>
      </c>
      <c r="S165" s="188">
        <f>+SUMIFS('CALENDARIO INGRESOS'!I:I,'CALENDARIO INGRESOS'!A:A,Tabla3[[#This Row],[ID STRIPE]],'CALENDARIO INGRESOS'!H:H,"LATAM")</f>
        <v>14000</v>
      </c>
      <c r="T165" s="188">
        <f>+IF(Tabla3[[#This Row],[MONTO LATAM]]-Tabla3[[#This Row],[IMPORTE ABONADO]]&gt;=0,Tabla3[[#This Row],[MONTO LATAM]]-Tabla3[[#This Row],[IMPORTE ABONADO]],0)</f>
        <v>8250</v>
      </c>
      <c r="U165" s="188">
        <f>+SUMIFS('CALENDARIO INGRESOS'!I:I,'CALENDARIO INGRESOS'!A:A,Tabla3[[#This Row],[ID STRIPE]],'CALENDARIO INGRESOS'!H:H,"ALEM")</f>
        <v>8000</v>
      </c>
      <c r="V165" s="6">
        <f>+SUMIFS('CALENDARIO INGRESOS'!I:I,'CALENDARIO INGRESOS'!A:A,Tabla3[[#This Row],[ID STRIPE]],'CALENDARIO INGRESOS'!H:H,"VISA")+SUMIFS('CALENDARIO INGRESOS'!I:I,'CALENDARIO INGRESOS'!A:A,Tabla3[[#This Row],[ID STRIPE]],'CALENDARIO INGRESOS'!H:H,"FIRMA PA")</f>
        <v>0</v>
      </c>
      <c r="W165" s="252">
        <v>0</v>
      </c>
      <c r="X165" s="57">
        <f>+IFERROR(AVERAGEIF('CALENDARIO INGRESOS'!A:A,Tabla3[[#This Row],[ID STRIPE]],'CALENDARIO INGRESOS'!M:M),"0")</f>
        <v>-1.5714285714285714</v>
      </c>
      <c r="Y165" s="18">
        <v>46482</v>
      </c>
      <c r="Z165" s="286">
        <f>+IFERROR(_xlfn.XLOOKUP(Tabla3[[#This Row],[ID LINGODA]],LINGODA!D:D,LINGODA!S:S),0)</f>
        <v>20</v>
      </c>
      <c r="AA165" s="18" t="str">
        <f>+IFERROR(_xlfn.XLOOKUP(Tabla3[[#This Row],[ID LINGODA]],LINGODA!D:D,LINGODA!F:F),"null")</f>
        <v>A1.1</v>
      </c>
      <c r="AB165" s="286" t="str">
        <f>+IFERROR(_xlfn.XLOOKUP(Tabla3[[#This Row],[ID LINGODA]],LINGODA!D:D,LINGODA!G:G),"null")</f>
        <v>A1.1</v>
      </c>
    </row>
    <row r="166" spans="1:28">
      <c r="A166" s="5" t="s">
        <v>2472</v>
      </c>
      <c r="B166" s="1" t="s">
        <v>2473</v>
      </c>
      <c r="C166" s="1" t="s">
        <v>14</v>
      </c>
      <c r="D166" s="1" t="s">
        <v>1468</v>
      </c>
      <c r="E166" s="57">
        <v>1845674</v>
      </c>
      <c r="F166" s="57"/>
      <c r="G166" s="18">
        <f>(_xlfn.MINIFS(INGRESOS!A:A,INGRESOS!C:C,Tabla3[[#This Row],[CORREO]]))</f>
        <v>45988</v>
      </c>
      <c r="H166" s="3">
        <f>+SUMIFS(INGRESOS!J:J,INGRESOS!D:D,Tabla3[[#This Row],[ID STRIPE]],INGRESOS!A:A,"&gt;="&amp;DATE(YEAR(Tabla3[[#This Row],[FECHA INGRESO]]),MONTH(Tabla3[[#This Row],[FECHA INGRESO]]),1),INGRESOS!A:A,"&lt;="&amp;DATE(YEAR(Tabla3[[#This Row],[FECHA INGRESO]]),MONTH(Tabla3[[#This Row],[FECHA INGRESO]])+1,0))</f>
        <v>193.25</v>
      </c>
      <c r="I166" s="286">
        <f ca="1">DATEDIF(Tabla3[[#This Row],[FECHA INGRESO]],IF(OR(Tabla3[[#This Row],[ESTADO]]="OK",Tabla3[[#This Row],[ESTADO]]="¡REGULARIZAR!")=TRUE,TODAY(),IF(Tabla3[[#This Row],[ULTIMO PAGO]]="",TODAY(),Tabla3[[#This Row],[ULTIMO PAGO]])),"m")</f>
        <v>0</v>
      </c>
      <c r="J166" s="18">
        <f>(_xlfn.MAXIFS(INGRESOS!A:A,INGRESOS!C:C,Tabla3[[#This Row],[CORREO]]))</f>
        <v>45988</v>
      </c>
      <c r="K166" s="7">
        <f ca="1">+IFERROR(Tabla3[[#This Row],[ABONADO NETO ]]/Tabla3[[#This Row],[MESES ACT]],Tabla3[[#This Row],[ABONO 1ER MES]])</f>
        <v>193.25</v>
      </c>
      <c r="M166" s="287" t="s">
        <v>2139</v>
      </c>
      <c r="N166" s="288">
        <f>+SUMIF(INGRESOS!D:D,Tabla3[[#This Row],[ID STRIPE]],INGRESOS!J:J)</f>
        <v>193.25</v>
      </c>
      <c r="O166" s="6">
        <v>26000</v>
      </c>
      <c r="P166" s="183">
        <f>+SUMIF('CALENDARIO INGRESOS'!A:A,Tabla3[[#This Row],[ID STRIPE]],'CALENDARIO INGRESOS'!I:I)</f>
        <v>200</v>
      </c>
      <c r="Q166" s="183">
        <f>+SUMIF(INGRESOS!D:D,Tabla3[[#This Row],[ID STRIPE]],INGRESOS!G:G)</f>
        <v>200</v>
      </c>
      <c r="R166" s="3" t="str">
        <f>IF(Tabla3[[#This Row],[ESTADO]]="OK",IF(COUNTIFS('CALENDARIO INGRESOS'!$A:$A,$D166,'CALENDARIO INGRESOS'!$H:$H,"LATAM",'CALENDARIO INGRESOS'!$L:$L,"&lt;&gt;PAGADA")&gt;0,"LATAM",
 IF(COUNTIFS('CALENDARIO INGRESOS'!$A:$A,$D166,'CALENDARIO INGRESOS'!$H:$H,"VISA",'CALENDARIO INGRESOS'!$L:$L,"&lt;&gt;PAGADA")&gt;0,"VISA",
  IF(COUNTIFS('CALENDARIO INGRESOS'!$A:$A,$D166,'CALENDARIO INGRESOS'!$H:$H,"FIRMA PA",'CALENDARIO INGRESOS'!$L:$L,"&lt;&gt;PAGADA")&gt;0,"FIRMA PA",
   IF(COUNTIFS('CALENDARIO INGRESOS'!$A:$A,$D166,'CALENDARIO INGRESOS'!$H:$H,"ALEM",'CALENDARIO INGRESOS'!$L:$L,"&lt;&gt;PAGADA")&gt;0,"ALEM","LISTO")))),"-")</f>
        <v>-</v>
      </c>
      <c r="S166" s="188">
        <f>+SUMIFS('CALENDARIO INGRESOS'!I:I,'CALENDARIO INGRESOS'!A:A,Tabla3[[#This Row],[ID STRIPE]],'CALENDARIO INGRESOS'!H:H,"LATAM")</f>
        <v>200</v>
      </c>
      <c r="T166" s="188">
        <f>+IF(Tabla3[[#This Row],[MONTO LATAM]]-Tabla3[[#This Row],[IMPORTE ABONADO]]&gt;=0,Tabla3[[#This Row],[MONTO LATAM]]-Tabla3[[#This Row],[IMPORTE ABONADO]],0)</f>
        <v>0</v>
      </c>
      <c r="U166" s="188">
        <f>+SUMIFS('CALENDARIO INGRESOS'!I:I,'CALENDARIO INGRESOS'!A:A,Tabla3[[#This Row],[ID STRIPE]],'CALENDARIO INGRESOS'!H:H,"ALEM")</f>
        <v>0</v>
      </c>
      <c r="V166" s="6">
        <f>+SUMIFS('CALENDARIO INGRESOS'!I:I,'CALENDARIO INGRESOS'!A:A,Tabla3[[#This Row],[ID STRIPE]],'CALENDARIO INGRESOS'!H:H,"VISA")+SUMIFS('CALENDARIO INGRESOS'!I:I,'CALENDARIO INGRESOS'!A:A,Tabla3[[#This Row],[ID STRIPE]],'CALENDARIO INGRESOS'!H:H,"FIRMA PA")</f>
        <v>0</v>
      </c>
      <c r="W166" s="250">
        <v>0</v>
      </c>
      <c r="X166" s="57">
        <f>+IFERROR(AVERAGEIF('CALENDARIO INGRESOS'!A:A,Tabla3[[#This Row],[ID STRIPE]],'CALENDARIO INGRESOS'!M:M),"0")</f>
        <v>-1</v>
      </c>
      <c r="Y166" s="18">
        <v>46327</v>
      </c>
      <c r="Z166" s="286">
        <f>+IFERROR(_xlfn.XLOOKUP(Tabla3[[#This Row],[ID LINGODA]],LINGODA!D:D,LINGODA!S:S),0)</f>
        <v>0</v>
      </c>
      <c r="AA166" s="18" t="str">
        <f>+IFERROR(_xlfn.XLOOKUP(Tabla3[[#This Row],[ID LINGODA]],LINGODA!D:D,LINGODA!F:F),"null")</f>
        <v>null</v>
      </c>
      <c r="AB166" s="286" t="str">
        <f>+IFERROR(_xlfn.XLOOKUP(Tabla3[[#This Row],[ID LINGODA]],LINGODA!D:D,LINGODA!G:G),"null")</f>
        <v>null</v>
      </c>
    </row>
    <row r="167" spans="1:28">
      <c r="A167" s="5" t="s">
        <v>2474</v>
      </c>
      <c r="B167" s="1" t="s">
        <v>2475</v>
      </c>
      <c r="C167" s="1" t="s">
        <v>13</v>
      </c>
      <c r="D167" s="1" t="s">
        <v>1493</v>
      </c>
      <c r="E167" s="57">
        <v>1845677</v>
      </c>
      <c r="F167" s="57"/>
      <c r="G167" s="18">
        <f>(_xlfn.MINIFS(INGRESOS!A:A,INGRESOS!C:C,Tabla3[[#This Row],[CORREO]]))</f>
        <v>45989</v>
      </c>
      <c r="H167" s="3">
        <f>+SUMIFS(INGRESOS!J:J,INGRESOS!D:D,Tabla3[[#This Row],[ID STRIPE]],INGRESOS!A:A,"&gt;="&amp;DATE(YEAR(Tabla3[[#This Row],[FECHA INGRESO]]),MONTH(Tabla3[[#This Row],[FECHA INGRESO]]),1),INGRESOS!A:A,"&lt;="&amp;DATE(YEAR(Tabla3[[#This Row],[FECHA INGRESO]]),MONTH(Tabla3[[#This Row],[FECHA INGRESO]])+1,0))</f>
        <v>241.62</v>
      </c>
      <c r="I167" s="286">
        <f ca="1">DATEDIF(Tabla3[[#This Row],[FECHA INGRESO]],IF(OR(Tabla3[[#This Row],[ESTADO]]="OK",Tabla3[[#This Row],[ESTADO]]="¡REGULARIZAR!")=TRUE,TODAY(),IF(Tabla3[[#This Row],[ULTIMO PAGO]]="",TODAY(),Tabla3[[#This Row],[ULTIMO PAGO]])),"m")</f>
        <v>0</v>
      </c>
      <c r="J167" s="18">
        <f>(_xlfn.MAXIFS(INGRESOS!A:A,INGRESOS!C:C,Tabla3[[#This Row],[CORREO]]))</f>
        <v>45989</v>
      </c>
      <c r="K167" s="7">
        <f ca="1">+IFERROR(Tabla3[[#This Row],[ABONADO NETO ]]/Tabla3[[#This Row],[MESES ACT]],Tabla3[[#This Row],[ABONO 1ER MES]])</f>
        <v>241.62</v>
      </c>
      <c r="M167" s="287" t="s">
        <v>2139</v>
      </c>
      <c r="N167" s="288">
        <f>+SUMIF(INGRESOS!D:D,Tabla3[[#This Row],[ID STRIPE]],INGRESOS!J:J)</f>
        <v>241.62</v>
      </c>
      <c r="O167" s="6">
        <v>22000</v>
      </c>
      <c r="P167" s="6">
        <f>+SUMIF('CALENDARIO INGRESOS'!A:A,Tabla3[[#This Row],[ID STRIPE]],'CALENDARIO INGRESOS'!I:I)</f>
        <v>250</v>
      </c>
      <c r="Q167" s="6">
        <f>+SUMIF(INGRESOS!D:D,Tabla3[[#This Row],[ID STRIPE]],INGRESOS!G:G)</f>
        <v>250</v>
      </c>
      <c r="R167" s="3" t="str">
        <f>IF(Tabla3[[#This Row],[ESTADO]]="OK",IF(COUNTIFS('CALENDARIO INGRESOS'!$A:$A,$D167,'CALENDARIO INGRESOS'!$H:$H,"LATAM",'CALENDARIO INGRESOS'!$L:$L,"&lt;&gt;PAGADA")&gt;0,"LATAM",
 IF(COUNTIFS('CALENDARIO INGRESOS'!$A:$A,$D167,'CALENDARIO INGRESOS'!$H:$H,"VISA",'CALENDARIO INGRESOS'!$L:$L,"&lt;&gt;PAGADA")&gt;0,"VISA",
  IF(COUNTIFS('CALENDARIO INGRESOS'!$A:$A,$D167,'CALENDARIO INGRESOS'!$H:$H,"FIRMA PA",'CALENDARIO INGRESOS'!$L:$L,"&lt;&gt;PAGADA")&gt;0,"FIRMA PA",
   IF(COUNTIFS('CALENDARIO INGRESOS'!$A:$A,$D167,'CALENDARIO INGRESOS'!$H:$H,"ALEM",'CALENDARIO INGRESOS'!$L:$L,"&lt;&gt;PAGADA")&gt;0,"ALEM","LISTO")))),"-")</f>
        <v>-</v>
      </c>
      <c r="S167" s="188">
        <f>+SUMIFS('CALENDARIO INGRESOS'!I:I,'CALENDARIO INGRESOS'!A:A,Tabla3[[#This Row],[ID STRIPE]],'CALENDARIO INGRESOS'!H:H,"LATAM")</f>
        <v>250</v>
      </c>
      <c r="T167" s="188">
        <f>+IF(Tabla3[[#This Row],[MONTO LATAM]]-Tabla3[[#This Row],[IMPORTE ABONADO]]&gt;=0,Tabla3[[#This Row],[MONTO LATAM]]-Tabla3[[#This Row],[IMPORTE ABONADO]],0)</f>
        <v>0</v>
      </c>
      <c r="U167" s="188">
        <f>+SUMIFS('CALENDARIO INGRESOS'!I:I,'CALENDARIO INGRESOS'!A:A,Tabla3[[#This Row],[ID STRIPE]],'CALENDARIO INGRESOS'!H:H,"ALEM")</f>
        <v>0</v>
      </c>
      <c r="V167" s="6">
        <f>+SUMIFS('CALENDARIO INGRESOS'!I:I,'CALENDARIO INGRESOS'!A:A,Tabla3[[#This Row],[ID STRIPE]],'CALENDARIO INGRESOS'!H:H,"VISA")+SUMIFS('CALENDARIO INGRESOS'!I:I,'CALENDARIO INGRESOS'!A:A,Tabla3[[#This Row],[ID STRIPE]],'CALENDARIO INGRESOS'!H:H,"FIRMA PA")</f>
        <v>0</v>
      </c>
      <c r="W167" s="252">
        <v>0</v>
      </c>
      <c r="X167" s="57">
        <f>+IFERROR(AVERAGEIF('CALENDARIO INGRESOS'!A:A,Tabla3[[#This Row],[ID STRIPE]],'CALENDARIO INGRESOS'!M:M),"0")</f>
        <v>-1</v>
      </c>
      <c r="Y167" s="18">
        <v>46183</v>
      </c>
      <c r="Z167" s="286">
        <f>+IFERROR(_xlfn.XLOOKUP(Tabla3[[#This Row],[ID LINGODA]],LINGODA!D:D,LINGODA!S:S),0)</f>
        <v>0</v>
      </c>
      <c r="AA167" s="18" t="str">
        <f>+IFERROR(_xlfn.XLOOKUP(Tabla3[[#This Row],[ID LINGODA]],LINGODA!D:D,LINGODA!F:F),"null")</f>
        <v>null</v>
      </c>
      <c r="AB167" s="286" t="str">
        <f>+IFERROR(_xlfn.XLOOKUP(Tabla3[[#This Row],[ID LINGODA]],LINGODA!D:D,LINGODA!G:G),"null")</f>
        <v>null</v>
      </c>
    </row>
    <row r="168" spans="1:28">
      <c r="A168" s="5" t="s">
        <v>2476</v>
      </c>
      <c r="B168" s="1" t="s">
        <v>2477</v>
      </c>
      <c r="C168" s="1" t="s">
        <v>13</v>
      </c>
      <c r="D168" s="1" t="s">
        <v>1551</v>
      </c>
      <c r="E168" s="57">
        <v>1846689</v>
      </c>
      <c r="F168" s="57"/>
      <c r="G168" s="18">
        <f>(_xlfn.MINIFS(INGRESOS!A:A,INGRESOS!C:C,Tabla3[[#This Row],[CORREO]]))</f>
        <v>45993</v>
      </c>
      <c r="H168" s="3">
        <f>+SUMIFS(INGRESOS!J:J,INGRESOS!D:D,Tabla3[[#This Row],[ID STRIPE]],INGRESOS!A:A,"&gt;="&amp;DATE(YEAR(Tabla3[[#This Row],[FECHA INGRESO]]),MONTH(Tabla3[[#This Row],[FECHA INGRESO]]),1),INGRESOS!A:A,"&lt;="&amp;DATE(YEAR(Tabla3[[#This Row],[FECHA INGRESO]]),MONTH(Tabla3[[#This Row],[FECHA INGRESO]])+1,0))</f>
        <v>2901.49</v>
      </c>
      <c r="I168" s="286">
        <f ca="1">DATEDIF(Tabla3[[#This Row],[FECHA INGRESO]],IF(OR(Tabla3[[#This Row],[ESTADO]]="OK",Tabla3[[#This Row],[ESTADO]]="¡REGULARIZAR!")=TRUE,TODAY(),IF(Tabla3[[#This Row],[ULTIMO PAGO]]="",TODAY(),Tabla3[[#This Row],[ULTIMO PAGO]])),"m")</f>
        <v>3</v>
      </c>
      <c r="J168" s="18">
        <f>(_xlfn.MAXIFS(INGRESOS!A:A,INGRESOS!C:C,Tabla3[[#This Row],[CORREO]]))</f>
        <v>46087</v>
      </c>
      <c r="K168" s="7">
        <f ca="1">+IFERROR(Tabla3[[#This Row],[ABONADO NETO ]]/Tabla3[[#This Row],[MESES ACT]],Tabla3[[#This Row],[ABONO 1ER MES]])</f>
        <v>1789.2833333333331</v>
      </c>
      <c r="M168" s="287" t="s">
        <v>2119</v>
      </c>
      <c r="N168" s="288">
        <f>+SUMIF(INGRESOS!D:D,Tabla3[[#This Row],[ID STRIPE]],INGRESOS!J:J)</f>
        <v>5367.8499999999995</v>
      </c>
      <c r="O168" s="6">
        <v>26750</v>
      </c>
      <c r="P168" s="6">
        <f>+SUMIF('CALENDARIO INGRESOS'!A:A,Tabla3[[#This Row],[ID STRIPE]],'CALENDARIO INGRESOS'!I:I)</f>
        <v>26750</v>
      </c>
      <c r="Q168" s="6">
        <f>+SUMIF(INGRESOS!D:D,Tabla3[[#This Row],[ID STRIPE]],INGRESOS!G:G)</f>
        <v>5550</v>
      </c>
      <c r="R168" s="3" t="str">
        <f>IF(Tabla3[[#This Row],[ESTADO]]="OK",IF(COUNTIFS('CALENDARIO INGRESOS'!$A:$A,$D168,'CALENDARIO INGRESOS'!$H:$H,"LATAM",'CALENDARIO INGRESOS'!$L:$L,"&lt;&gt;PAGADA")&gt;0,"LATAM",
 IF(COUNTIFS('CALENDARIO INGRESOS'!$A:$A,$D168,'CALENDARIO INGRESOS'!$H:$H,"VISA",'CALENDARIO INGRESOS'!$L:$L,"&lt;&gt;PAGADA")&gt;0,"VISA",
  IF(COUNTIFS('CALENDARIO INGRESOS'!$A:$A,$D168,'CALENDARIO INGRESOS'!$H:$H,"FIRMA PA",'CALENDARIO INGRESOS'!$L:$L,"&lt;&gt;PAGADA")&gt;0,"FIRMA PA",
   IF(COUNTIFS('CALENDARIO INGRESOS'!$A:$A,$D168,'CALENDARIO INGRESOS'!$H:$H,"ALEM",'CALENDARIO INGRESOS'!$L:$L,"&lt;&gt;PAGADA")&gt;0,"ALEM","LISTO")))),"-")</f>
        <v>LATAM</v>
      </c>
      <c r="S168" s="188">
        <f>+SUMIFS('CALENDARIO INGRESOS'!I:I,'CALENDARIO INGRESOS'!A:A,Tabla3[[#This Row],[ID STRIPE]],'CALENDARIO INGRESOS'!H:H,"LATAM")</f>
        <v>15750</v>
      </c>
      <c r="T168" s="188">
        <f>+IF(Tabla3[[#This Row],[MONTO LATAM]]-Tabla3[[#This Row],[IMPORTE ABONADO]]&gt;=0,Tabla3[[#This Row],[MONTO LATAM]]-Tabla3[[#This Row],[IMPORTE ABONADO]],0)</f>
        <v>10200</v>
      </c>
      <c r="U168" s="188">
        <f>+SUMIFS('CALENDARIO INGRESOS'!I:I,'CALENDARIO INGRESOS'!A:A,Tabla3[[#This Row],[ID STRIPE]],'CALENDARIO INGRESOS'!H:H,"ALEM")</f>
        <v>8000</v>
      </c>
      <c r="V168" s="6">
        <f>+SUMIFS('CALENDARIO INGRESOS'!I:I,'CALENDARIO INGRESOS'!A:A,Tabla3[[#This Row],[ID STRIPE]],'CALENDARIO INGRESOS'!H:H,"VISA")+SUMIFS('CALENDARIO INGRESOS'!I:I,'CALENDARIO INGRESOS'!A:A,Tabla3[[#This Row],[ID STRIPE]],'CALENDARIO INGRESOS'!H:H,"FIRMA PA")</f>
        <v>3000</v>
      </c>
      <c r="W168" s="252">
        <v>0</v>
      </c>
      <c r="X168" s="57">
        <f>+IFERROR(AVERAGEIF('CALENDARIO INGRESOS'!A:A,Tabla3[[#This Row],[ID STRIPE]],'CALENDARIO INGRESOS'!M:M),"0")</f>
        <v>-0.8571428571428571</v>
      </c>
      <c r="Y168" s="18">
        <v>46292</v>
      </c>
      <c r="Z168" s="286">
        <f>+IFERROR(_xlfn.XLOOKUP(Tabla3[[#This Row],[ID LINGODA]],LINGODA!D:D,LINGODA!S:S),0)</f>
        <v>0</v>
      </c>
      <c r="AA168" s="18" t="str">
        <f>+IFERROR(_xlfn.XLOOKUP(Tabla3[[#This Row],[ID LINGODA]],LINGODA!D:D,LINGODA!F:F),"null")</f>
        <v>-</v>
      </c>
      <c r="AB168" s="286" t="str">
        <f>+IFERROR(_xlfn.XLOOKUP(Tabla3[[#This Row],[ID LINGODA]],LINGODA!D:D,LINGODA!G:G),"null")</f>
        <v>-</v>
      </c>
    </row>
    <row r="169" spans="1:28">
      <c r="A169" s="5" t="s">
        <v>2478</v>
      </c>
      <c r="B169" s="1" t="s">
        <v>2479</v>
      </c>
      <c r="C169" s="1" t="s">
        <v>13</v>
      </c>
      <c r="D169" s="1" t="s">
        <v>1556</v>
      </c>
      <c r="E169" s="57">
        <v>1848363</v>
      </c>
      <c r="F169" s="57"/>
      <c r="G169" s="18">
        <f>(_xlfn.MINIFS(INGRESOS!A:A,INGRESOS!C:C,Tabla3[[#This Row],[CORREO]]))</f>
        <v>45994</v>
      </c>
      <c r="H169" s="3">
        <f>+SUMIFS(INGRESOS!J:J,INGRESOS!D:D,Tabla3[[#This Row],[ID STRIPE]],INGRESOS!A:A,"&gt;="&amp;DATE(YEAR(Tabla3[[#This Row],[FECHA INGRESO]]),MONTH(Tabla3[[#This Row],[FECHA INGRESO]]),1),INGRESOS!A:A,"&lt;="&amp;DATE(YEAR(Tabla3[[#This Row],[FECHA INGRESO]]),MONTH(Tabla3[[#This Row],[FECHA INGRESO]])+1,0))</f>
        <v>2198.35</v>
      </c>
      <c r="I169" s="286">
        <f ca="1">DATEDIF(Tabla3[[#This Row],[FECHA INGRESO]],IF(OR(Tabla3[[#This Row],[ESTADO]]="OK",Tabla3[[#This Row],[ESTADO]]="¡REGULARIZAR!")=TRUE,TODAY(),IF(Tabla3[[#This Row],[ULTIMO PAGO]]="",TODAY(),Tabla3[[#This Row],[ULTIMO PAGO]])),"m")</f>
        <v>3</v>
      </c>
      <c r="J169" s="18">
        <f>(_xlfn.MAXIFS(INGRESOS!A:A,INGRESOS!C:C,Tabla3[[#This Row],[CORREO]]))</f>
        <v>46085</v>
      </c>
      <c r="K169" s="7">
        <f ca="1">+IFERROR(Tabla3[[#This Row],[ABONADO NETO ]]/Tabla3[[#This Row],[MESES ACT]],Tabla3[[#This Row],[ABONO 1ER MES]])</f>
        <v>1832.2233333333334</v>
      </c>
      <c r="M169" s="287" t="s">
        <v>2119</v>
      </c>
      <c r="N169" s="288">
        <f>+SUMIF(INGRESOS!D:D,Tabla3[[#This Row],[ID STRIPE]],INGRESOS!J:J)</f>
        <v>5496.67</v>
      </c>
      <c r="O169" s="6">
        <v>21000</v>
      </c>
      <c r="P169" s="6">
        <f>+SUMIF('CALENDARIO INGRESOS'!A:A,Tabla3[[#This Row],[ID STRIPE]],'CALENDARIO INGRESOS'!I:I)</f>
        <v>21001.59</v>
      </c>
      <c r="Q169" s="6">
        <f>+SUMIF(INGRESOS!D:D,Tabla3[[#This Row],[ID STRIPE]],INGRESOS!G:G)</f>
        <v>5682.6100000000006</v>
      </c>
      <c r="R169" s="3" t="str">
        <f>IF(Tabla3[[#This Row],[ESTADO]]="OK",IF(COUNTIFS('CALENDARIO INGRESOS'!$A:$A,$D169,'CALENDARIO INGRESOS'!$H:$H,"LATAM",'CALENDARIO INGRESOS'!$L:$L,"&lt;&gt;PAGADA")&gt;0,"LATAM",
 IF(COUNTIFS('CALENDARIO INGRESOS'!$A:$A,$D169,'CALENDARIO INGRESOS'!$H:$H,"VISA",'CALENDARIO INGRESOS'!$L:$L,"&lt;&gt;PAGADA")&gt;0,"VISA",
  IF(COUNTIFS('CALENDARIO INGRESOS'!$A:$A,$D169,'CALENDARIO INGRESOS'!$H:$H,"FIRMA PA",'CALENDARIO INGRESOS'!$L:$L,"&lt;&gt;PAGADA")&gt;0,"FIRMA PA",
   IF(COUNTIFS('CALENDARIO INGRESOS'!$A:$A,$D169,'CALENDARIO INGRESOS'!$H:$H,"ALEM",'CALENDARIO INGRESOS'!$L:$L,"&lt;&gt;PAGADA")&gt;0,"ALEM","LISTO")))),"-")</f>
        <v>LATAM</v>
      </c>
      <c r="S169" s="188">
        <f>+SUMIFS('CALENDARIO INGRESOS'!I:I,'CALENDARIO INGRESOS'!A:A,Tabla3[[#This Row],[ID STRIPE]],'CALENDARIO INGRESOS'!H:H,"LATAM")</f>
        <v>9092.5</v>
      </c>
      <c r="T169" s="188">
        <f>+IF(Tabla3[[#This Row],[MONTO LATAM]]-Tabla3[[#This Row],[IMPORTE ABONADO]]&gt;=0,Tabla3[[#This Row],[MONTO LATAM]]-Tabla3[[#This Row],[IMPORTE ABONADO]],0)</f>
        <v>3409.8899999999994</v>
      </c>
      <c r="U169" s="188">
        <f>+SUMIFS('CALENDARIO INGRESOS'!I:I,'CALENDARIO INGRESOS'!A:A,Tabla3[[#This Row],[ID STRIPE]],'CALENDARIO INGRESOS'!H:H,"ALEM")</f>
        <v>8500</v>
      </c>
      <c r="V169" s="6">
        <f>+SUMIFS('CALENDARIO INGRESOS'!I:I,'CALENDARIO INGRESOS'!A:A,Tabla3[[#This Row],[ID STRIPE]],'CALENDARIO INGRESOS'!H:H,"VISA")+SUMIFS('CALENDARIO INGRESOS'!I:I,'CALENDARIO INGRESOS'!A:A,Tabla3[[#This Row],[ID STRIPE]],'CALENDARIO INGRESOS'!H:H,"FIRMA PA")</f>
        <v>3409.09</v>
      </c>
      <c r="W169" s="252">
        <v>0</v>
      </c>
      <c r="X169" s="57">
        <f>+IFERROR(AVERAGEIF('CALENDARIO INGRESOS'!A:A,Tabla3[[#This Row],[ID STRIPE]],'CALENDARIO INGRESOS'!M:M),"0")</f>
        <v>0.4</v>
      </c>
      <c r="Y169" s="18">
        <v>46266</v>
      </c>
      <c r="Z169" s="286">
        <f>+IFERROR(_xlfn.XLOOKUP(Tabla3[[#This Row],[ID LINGODA]],LINGODA!D:D,LINGODA!S:S),0)</f>
        <v>4</v>
      </c>
      <c r="AA169" s="18" t="str">
        <f>+IFERROR(_xlfn.XLOOKUP(Tabla3[[#This Row],[ID LINGODA]],LINGODA!D:D,LINGODA!F:F),"null")</f>
        <v>B1.1</v>
      </c>
      <c r="AB169" s="286" t="str">
        <f>+IFERROR(_xlfn.XLOOKUP(Tabla3[[#This Row],[ID LINGODA]],LINGODA!D:D,LINGODA!G:G),"null")</f>
        <v>B1.1</v>
      </c>
    </row>
    <row r="170" spans="1:28">
      <c r="A170" s="5" t="s">
        <v>2480</v>
      </c>
      <c r="B170" s="1" t="s">
        <v>2481</v>
      </c>
      <c r="C170" s="1" t="s">
        <v>20</v>
      </c>
      <c r="D170" s="1" t="s">
        <v>1563</v>
      </c>
      <c r="E170" s="57">
        <v>1848362</v>
      </c>
      <c r="F170" s="57"/>
      <c r="G170" s="18">
        <f>(_xlfn.MINIFS(INGRESOS!A:A,INGRESOS!C:C,Tabla3[[#This Row],[CORREO]]))</f>
        <v>45994</v>
      </c>
      <c r="H170" s="3">
        <f>+SUMIFS(INGRESOS!J:J,INGRESOS!D:D,Tabla3[[#This Row],[ID STRIPE]],INGRESOS!A:A,"&gt;="&amp;DATE(YEAR(Tabla3[[#This Row],[FECHA INGRESO]]),MONTH(Tabla3[[#This Row],[FECHA INGRESO]]),1),INGRESOS!A:A,"&lt;="&amp;DATE(YEAR(Tabla3[[#This Row],[FECHA INGRESO]]),MONTH(Tabla3[[#This Row],[FECHA INGRESO]])+1,0))</f>
        <v>241.62</v>
      </c>
      <c r="I170" s="286">
        <f ca="1">DATEDIF(Tabla3[[#This Row],[FECHA INGRESO]],IF(OR(Tabla3[[#This Row],[ESTADO]]="OK",Tabla3[[#This Row],[ESTADO]]="¡REGULARIZAR!")=TRUE,TODAY(),IF(Tabla3[[#This Row],[ULTIMO PAGO]]="",TODAY(),Tabla3[[#This Row],[ULTIMO PAGO]])),"m")</f>
        <v>0</v>
      </c>
      <c r="J170" s="18">
        <f>(_xlfn.MAXIFS(INGRESOS!A:A,INGRESOS!C:C,Tabla3[[#This Row],[CORREO]]))</f>
        <v>45994</v>
      </c>
      <c r="K170" s="7">
        <f ca="1">+IFERROR(Tabla3[[#This Row],[ABONADO NETO ]]/Tabla3[[#This Row],[MESES ACT]],Tabla3[[#This Row],[ABONO 1ER MES]])</f>
        <v>241.62</v>
      </c>
      <c r="M170" s="287" t="s">
        <v>2139</v>
      </c>
      <c r="N170" s="288">
        <f>+SUMIF(INGRESOS!D:D,Tabla3[[#This Row],[ID STRIPE]],INGRESOS!J:J)</f>
        <v>241.62</v>
      </c>
      <c r="O170" s="6">
        <v>26000</v>
      </c>
      <c r="P170" s="6">
        <f>+SUMIF('CALENDARIO INGRESOS'!A:A,Tabla3[[#This Row],[ID STRIPE]],'CALENDARIO INGRESOS'!I:I)</f>
        <v>250</v>
      </c>
      <c r="Q170" s="6">
        <f>+SUMIF(INGRESOS!D:D,Tabla3[[#This Row],[ID STRIPE]],INGRESOS!G:G)</f>
        <v>250</v>
      </c>
      <c r="R170" s="3" t="str">
        <f>IF(Tabla3[[#This Row],[ESTADO]]="OK",IF(COUNTIFS('CALENDARIO INGRESOS'!$A:$A,$D170,'CALENDARIO INGRESOS'!$H:$H,"LATAM",'CALENDARIO INGRESOS'!$L:$L,"&lt;&gt;PAGADA")&gt;0,"LATAM",
 IF(COUNTIFS('CALENDARIO INGRESOS'!$A:$A,$D170,'CALENDARIO INGRESOS'!$H:$H,"VISA",'CALENDARIO INGRESOS'!$L:$L,"&lt;&gt;PAGADA")&gt;0,"VISA",
  IF(COUNTIFS('CALENDARIO INGRESOS'!$A:$A,$D170,'CALENDARIO INGRESOS'!$H:$H,"FIRMA PA",'CALENDARIO INGRESOS'!$L:$L,"&lt;&gt;PAGADA")&gt;0,"FIRMA PA",
   IF(COUNTIFS('CALENDARIO INGRESOS'!$A:$A,$D170,'CALENDARIO INGRESOS'!$H:$H,"ALEM",'CALENDARIO INGRESOS'!$L:$L,"&lt;&gt;PAGADA")&gt;0,"ALEM","LISTO")))),"-")</f>
        <v>-</v>
      </c>
      <c r="S170" s="188">
        <f>+SUMIFS('CALENDARIO INGRESOS'!I:I,'CALENDARIO INGRESOS'!A:A,Tabla3[[#This Row],[ID STRIPE]],'CALENDARIO INGRESOS'!H:H,"LATAM")</f>
        <v>250</v>
      </c>
      <c r="T170" s="188">
        <f>+IF(Tabla3[[#This Row],[MONTO LATAM]]-Tabla3[[#This Row],[IMPORTE ABONADO]]&gt;=0,Tabla3[[#This Row],[MONTO LATAM]]-Tabla3[[#This Row],[IMPORTE ABONADO]],0)</f>
        <v>0</v>
      </c>
      <c r="U170" s="188">
        <f>+SUMIFS('CALENDARIO INGRESOS'!I:I,'CALENDARIO INGRESOS'!A:A,Tabla3[[#This Row],[ID STRIPE]],'CALENDARIO INGRESOS'!H:H,"ALEM")</f>
        <v>0</v>
      </c>
      <c r="V170" s="6">
        <f>+SUMIFS('CALENDARIO INGRESOS'!I:I,'CALENDARIO INGRESOS'!A:A,Tabla3[[#This Row],[ID STRIPE]],'CALENDARIO INGRESOS'!H:H,"VISA")+SUMIFS('CALENDARIO INGRESOS'!I:I,'CALENDARIO INGRESOS'!A:A,Tabla3[[#This Row],[ID STRIPE]],'CALENDARIO INGRESOS'!H:H,"FIRMA PA")</f>
        <v>0</v>
      </c>
      <c r="W170" s="250">
        <v>0</v>
      </c>
      <c r="X170" s="57">
        <f>+IFERROR(AVERAGEIF('CALENDARIO INGRESOS'!A:A,Tabla3[[#This Row],[ID STRIPE]],'CALENDARIO INGRESOS'!M:M),"0")</f>
        <v>0</v>
      </c>
      <c r="Y170" s="18">
        <v>41486</v>
      </c>
      <c r="Z170" s="286">
        <f>+IFERROR(_xlfn.XLOOKUP(Tabla3[[#This Row],[ID LINGODA]],LINGODA!D:D,LINGODA!S:S),0)</f>
        <v>0</v>
      </c>
      <c r="AA170" s="18" t="str">
        <f>+IFERROR(_xlfn.XLOOKUP(Tabla3[[#This Row],[ID LINGODA]],LINGODA!D:D,LINGODA!F:F),"null")</f>
        <v>null</v>
      </c>
      <c r="AB170" s="286" t="str">
        <f>+IFERROR(_xlfn.XLOOKUP(Tabla3[[#This Row],[ID LINGODA]],LINGODA!D:D,LINGODA!G:G),"null")</f>
        <v>null</v>
      </c>
    </row>
    <row r="171" spans="1:28">
      <c r="A171" s="5" t="s">
        <v>2482</v>
      </c>
      <c r="B171" s="1" t="s">
        <v>2483</v>
      </c>
      <c r="C171" s="1" t="s">
        <v>13</v>
      </c>
      <c r="D171" s="1" t="s">
        <v>1645</v>
      </c>
      <c r="E171" s="57">
        <v>1848361</v>
      </c>
      <c r="F171" s="57"/>
      <c r="G171" s="18">
        <f>(_xlfn.MINIFS(INGRESOS!A:A,INGRESOS!C:C,Tabla3[[#This Row],[CORREO]]))</f>
        <v>45999</v>
      </c>
      <c r="H171" s="3">
        <f>+SUMIFS(INGRESOS!J:J,INGRESOS!D:D,Tabla3[[#This Row],[ID STRIPE]],INGRESOS!A:A,"&gt;="&amp;DATE(YEAR(Tabla3[[#This Row],[FECHA INGRESO]]),MONTH(Tabla3[[#This Row],[FECHA INGRESO]]),1),INGRESOS!A:A,"&lt;="&amp;DATE(YEAR(Tabla3[[#This Row],[FECHA INGRESO]]),MONTH(Tabla3[[#This Row],[FECHA INGRESO]])+1,0))</f>
        <v>1451</v>
      </c>
      <c r="I171" s="286">
        <f ca="1">DATEDIF(Tabla3[[#This Row],[FECHA INGRESO]],IF(OR(Tabla3[[#This Row],[ESTADO]]="OK",Tabla3[[#This Row],[ESTADO]]="¡REGULARIZAR!")=TRUE,TODAY(),IF(Tabla3[[#This Row],[ULTIMO PAGO]]="",TODAY(),Tabla3[[#This Row],[ULTIMO PAGO]])),"m")</f>
        <v>2</v>
      </c>
      <c r="J171" s="18">
        <f>(_xlfn.MAXIFS(INGRESOS!A:A,INGRESOS!C:C,Tabla3[[#This Row],[CORREO]]))</f>
        <v>46066</v>
      </c>
      <c r="K171" s="7">
        <f ca="1">+IFERROR(Tabla3[[#This Row],[ABONADO NETO ]]/Tabla3[[#This Row],[MESES ACT]],Tabla3[[#This Row],[ABONO 1ER MES]])</f>
        <v>1354.12</v>
      </c>
      <c r="M171" s="287" t="s">
        <v>2119</v>
      </c>
      <c r="N171" s="288">
        <f>+SUMIF(INGRESOS!D:D,Tabla3[[#This Row],[ID STRIPE]],INGRESOS!J:J)</f>
        <v>2708.24</v>
      </c>
      <c r="O171" s="6">
        <v>26000</v>
      </c>
      <c r="P171" s="6">
        <f>+SUMIF('CALENDARIO INGRESOS'!A:A,Tabla3[[#This Row],[ID STRIPE]],'CALENDARIO INGRESOS'!I:I)</f>
        <v>26000</v>
      </c>
      <c r="Q171" s="6">
        <f>+SUMIF(INGRESOS!D:D,Tabla3[[#This Row],[ID STRIPE]],INGRESOS!G:G)</f>
        <v>2800</v>
      </c>
      <c r="R171" s="3" t="str">
        <f>IF(Tabla3[[#This Row],[ESTADO]]="OK",IF(COUNTIFS('CALENDARIO INGRESOS'!$A:$A,$D171,'CALENDARIO INGRESOS'!$H:$H,"LATAM",'CALENDARIO INGRESOS'!$L:$L,"&lt;&gt;PAGADA")&gt;0,"LATAM",
 IF(COUNTIFS('CALENDARIO INGRESOS'!$A:$A,$D171,'CALENDARIO INGRESOS'!$H:$H,"VISA",'CALENDARIO INGRESOS'!$L:$L,"&lt;&gt;PAGADA")&gt;0,"VISA",
  IF(COUNTIFS('CALENDARIO INGRESOS'!$A:$A,$D171,'CALENDARIO INGRESOS'!$H:$H,"FIRMA PA",'CALENDARIO INGRESOS'!$L:$L,"&lt;&gt;PAGADA")&gt;0,"FIRMA PA",
   IF(COUNTIFS('CALENDARIO INGRESOS'!$A:$A,$D171,'CALENDARIO INGRESOS'!$H:$H,"ALEM",'CALENDARIO INGRESOS'!$L:$L,"&lt;&gt;PAGADA")&gt;0,"ALEM","LISTO")))),"-")</f>
        <v>LATAM</v>
      </c>
      <c r="S171" s="188">
        <f>+SUMIFS('CALENDARIO INGRESOS'!I:I,'CALENDARIO INGRESOS'!A:A,Tabla3[[#This Row],[ID STRIPE]],'CALENDARIO INGRESOS'!H:H,"LATAM")</f>
        <v>9300</v>
      </c>
      <c r="T171" s="188">
        <f>+IF(Tabla3[[#This Row],[MONTO LATAM]]-Tabla3[[#This Row],[IMPORTE ABONADO]]&gt;=0,Tabla3[[#This Row],[MONTO LATAM]]-Tabla3[[#This Row],[IMPORTE ABONADO]],0)</f>
        <v>6500</v>
      </c>
      <c r="U171" s="188">
        <f>+SUMIFS('CALENDARIO INGRESOS'!I:I,'CALENDARIO INGRESOS'!A:A,Tabla3[[#This Row],[ID STRIPE]],'CALENDARIO INGRESOS'!H:H,"ALEM")</f>
        <v>8000</v>
      </c>
      <c r="V171" s="6">
        <f>+SUMIFS('CALENDARIO INGRESOS'!I:I,'CALENDARIO INGRESOS'!A:A,Tabla3[[#This Row],[ID STRIPE]],'CALENDARIO INGRESOS'!H:H,"VISA")+SUMIFS('CALENDARIO INGRESOS'!I:I,'CALENDARIO INGRESOS'!A:A,Tabla3[[#This Row],[ID STRIPE]],'CALENDARIO INGRESOS'!H:H,"FIRMA PA")</f>
        <v>8700</v>
      </c>
      <c r="W171" s="252">
        <v>1</v>
      </c>
      <c r="X171" s="57">
        <f>+IFERROR(AVERAGEIF('CALENDARIO INGRESOS'!A:A,Tabla3[[#This Row],[ID STRIPE]],'CALENDARIO INGRESOS'!M:M),"0")</f>
        <v>-1.3333333333333333</v>
      </c>
      <c r="Y171" s="18">
        <v>46244</v>
      </c>
      <c r="Z171" s="286">
        <f>+IFERROR(_xlfn.XLOOKUP(Tabla3[[#This Row],[ID LINGODA]],LINGODA!D:D,LINGODA!S:S),0)</f>
        <v>103</v>
      </c>
      <c r="AA171" s="18" t="str">
        <f>+IFERROR(_xlfn.XLOOKUP(Tabla3[[#This Row],[ID LINGODA]],LINGODA!D:D,LINGODA!F:F),"null")</f>
        <v>A1.1</v>
      </c>
      <c r="AB171" s="286" t="str">
        <f>+IFERROR(_xlfn.XLOOKUP(Tabla3[[#This Row],[ID LINGODA]],LINGODA!D:D,LINGODA!G:G),"null")</f>
        <v>A2.1</v>
      </c>
    </row>
    <row r="172" spans="1:28">
      <c r="A172" s="5" t="s">
        <v>2484</v>
      </c>
      <c r="B172" s="1" t="s">
        <v>2485</v>
      </c>
      <c r="C172" s="1" t="s">
        <v>12</v>
      </c>
      <c r="D172" s="1" t="s">
        <v>1658</v>
      </c>
      <c r="E172" s="57">
        <v>1849775</v>
      </c>
      <c r="F172" s="57"/>
      <c r="G172" s="18">
        <f>(_xlfn.MINIFS(INGRESOS!A:A,INGRESOS!C:C,Tabla3[[#This Row],[CORREO]]))</f>
        <v>46004</v>
      </c>
      <c r="H172" s="3">
        <f>+SUMIFS(INGRESOS!J:J,INGRESOS!D:D,Tabla3[[#This Row],[ID STRIPE]],INGRESOS!A:A,"&gt;="&amp;DATE(YEAR(Tabla3[[#This Row],[FECHA INGRESO]]),MONTH(Tabla3[[#This Row],[FECHA INGRESO]]),1),INGRESOS!A:A,"&lt;="&amp;DATE(YEAR(Tabla3[[#This Row],[FECHA INGRESO]]),MONTH(Tabla3[[#This Row],[FECHA INGRESO]])+1,0))</f>
        <v>241.62</v>
      </c>
      <c r="I172" s="286">
        <f ca="1">DATEDIF(Tabla3[[#This Row],[FECHA INGRESO]],IF(OR(Tabla3[[#This Row],[ESTADO]]="OK",Tabla3[[#This Row],[ESTADO]]="¡REGULARIZAR!")=TRUE,TODAY(),IF(Tabla3[[#This Row],[ULTIMO PAGO]]="",TODAY(),Tabla3[[#This Row],[ULTIMO PAGO]])),"m")</f>
        <v>2</v>
      </c>
      <c r="J172" s="18">
        <f>(_xlfn.MAXIFS(INGRESOS!A:A,INGRESOS!C:C,Tabla3[[#This Row],[CORREO]]))</f>
        <v>46078</v>
      </c>
      <c r="K172" s="7">
        <f ca="1">+IFERROR(Tabla3[[#This Row],[ABONADO NETO ]]/Tabla3[[#This Row],[MESES ACT]],Tabla3[[#This Row],[ABONO 1ER MES]])</f>
        <v>1934.62</v>
      </c>
      <c r="M172" s="287" t="s">
        <v>2119</v>
      </c>
      <c r="N172" s="288">
        <f>+SUMIF(INGRESOS!D:D,Tabla3[[#This Row],[ID STRIPE]],INGRESOS!J:J)</f>
        <v>3869.24</v>
      </c>
      <c r="O172" s="6">
        <v>26000</v>
      </c>
      <c r="P172" s="6">
        <f>+SUMIF('CALENDARIO INGRESOS'!A:A,Tabla3[[#This Row],[ID STRIPE]],'CALENDARIO INGRESOS'!I:I)</f>
        <v>26000</v>
      </c>
      <c r="Q172" s="6">
        <f>+SUMIF(INGRESOS!D:D,Tabla3[[#This Row],[ID STRIPE]],INGRESOS!G:G)</f>
        <v>4000</v>
      </c>
      <c r="R172" s="3" t="str">
        <f>IF(Tabla3[[#This Row],[ESTADO]]="OK",IF(COUNTIFS('CALENDARIO INGRESOS'!$A:$A,$D172,'CALENDARIO INGRESOS'!$H:$H,"LATAM",'CALENDARIO INGRESOS'!$L:$L,"&lt;&gt;PAGADA")&gt;0,"LATAM",
 IF(COUNTIFS('CALENDARIO INGRESOS'!$A:$A,$D172,'CALENDARIO INGRESOS'!$H:$H,"VISA",'CALENDARIO INGRESOS'!$L:$L,"&lt;&gt;PAGADA")&gt;0,"VISA",
  IF(COUNTIFS('CALENDARIO INGRESOS'!$A:$A,$D172,'CALENDARIO INGRESOS'!$H:$H,"FIRMA PA",'CALENDARIO INGRESOS'!$L:$L,"&lt;&gt;PAGADA")&gt;0,"FIRMA PA",
   IF(COUNTIFS('CALENDARIO INGRESOS'!$A:$A,$D172,'CALENDARIO INGRESOS'!$H:$H,"ALEM",'CALENDARIO INGRESOS'!$L:$L,"&lt;&gt;PAGADA")&gt;0,"ALEM","LISTO")))),"-")</f>
        <v>LATAM</v>
      </c>
      <c r="S172" s="188">
        <f>+SUMIFS('CALENDARIO INGRESOS'!I:I,'CALENDARIO INGRESOS'!A:A,Tabla3[[#This Row],[ID STRIPE]],'CALENDARIO INGRESOS'!H:H,"LATAM")</f>
        <v>15000</v>
      </c>
      <c r="T172" s="188">
        <f>+IF(Tabla3[[#This Row],[MONTO LATAM]]-Tabla3[[#This Row],[IMPORTE ABONADO]]&gt;=0,Tabla3[[#This Row],[MONTO LATAM]]-Tabla3[[#This Row],[IMPORTE ABONADO]],0)</f>
        <v>11000</v>
      </c>
      <c r="U172" s="188">
        <f>+SUMIFS('CALENDARIO INGRESOS'!I:I,'CALENDARIO INGRESOS'!A:A,Tabla3[[#This Row],[ID STRIPE]],'CALENDARIO INGRESOS'!H:H,"ALEM")</f>
        <v>8000</v>
      </c>
      <c r="V172" s="6">
        <f>+SUMIFS('CALENDARIO INGRESOS'!I:I,'CALENDARIO INGRESOS'!A:A,Tabla3[[#This Row],[ID STRIPE]],'CALENDARIO INGRESOS'!H:H,"VISA")+SUMIFS('CALENDARIO INGRESOS'!I:I,'CALENDARIO INGRESOS'!A:A,Tabla3[[#This Row],[ID STRIPE]],'CALENDARIO INGRESOS'!H:H,"FIRMA PA")</f>
        <v>3000</v>
      </c>
      <c r="W172" s="252">
        <v>1</v>
      </c>
      <c r="X172" s="57">
        <f>+IFERROR(AVERAGEIF('CALENDARIO INGRESOS'!A:A,Tabla3[[#This Row],[ID STRIPE]],'CALENDARIO INGRESOS'!M:M),"0")</f>
        <v>0</v>
      </c>
      <c r="Y172" s="18">
        <v>46266</v>
      </c>
      <c r="Z172" s="286">
        <f>+IFERROR(_xlfn.XLOOKUP(Tabla3[[#This Row],[ID LINGODA]],LINGODA!D:D,LINGODA!S:S),0)</f>
        <v>33</v>
      </c>
      <c r="AA172" s="18" t="str">
        <f>+IFERROR(_xlfn.XLOOKUP(Tabla3[[#This Row],[ID LINGODA]],LINGODA!D:D,LINGODA!F:F),"null")</f>
        <v>A1.1</v>
      </c>
      <c r="AB172" s="286" t="str">
        <f>+IFERROR(_xlfn.XLOOKUP(Tabla3[[#This Row],[ID LINGODA]],LINGODA!D:D,LINGODA!G:G),"null")</f>
        <v>A1.1</v>
      </c>
    </row>
    <row r="173" spans="1:28">
      <c r="A173" s="5" t="s">
        <v>2486</v>
      </c>
      <c r="B173" s="1" t="s">
        <v>2487</v>
      </c>
      <c r="C173" s="1" t="s">
        <v>11</v>
      </c>
      <c r="D173" s="1" t="s">
        <v>1674</v>
      </c>
      <c r="E173" s="57">
        <v>1850348</v>
      </c>
      <c r="F173" s="57"/>
      <c r="G173" s="18">
        <f>(_xlfn.MINIFS(INGRESOS!A:A,INGRESOS!C:C,Tabla3[[#This Row],[CORREO]]))</f>
        <v>46006</v>
      </c>
      <c r="H173" s="3">
        <f>+SUMIFS(INGRESOS!J:J,INGRESOS!D:D,Tabla3[[#This Row],[ID STRIPE]],INGRESOS!A:A,"&gt;="&amp;DATE(YEAR(Tabla3[[#This Row],[FECHA INGRESO]]),MONTH(Tabla3[[#This Row],[FECHA INGRESO]]),1),INGRESOS!A:A,"&lt;="&amp;DATE(YEAR(Tabla3[[#This Row],[FECHA INGRESO]]),MONTH(Tabla3[[#This Row],[FECHA INGRESO]])+1,0))</f>
        <v>3991.62</v>
      </c>
      <c r="I173" s="286">
        <f ca="1">DATEDIF(Tabla3[[#This Row],[FECHA INGRESO]],IF(OR(Tabla3[[#This Row],[ESTADO]]="OK",Tabla3[[#This Row],[ESTADO]]="¡REGULARIZAR!")=TRUE,TODAY(),IF(Tabla3[[#This Row],[ULTIMO PAGO]]="",TODAY(),Tabla3[[#This Row],[ULTIMO PAGO]])),"m")</f>
        <v>2</v>
      </c>
      <c r="J173" s="18">
        <f>(_xlfn.MAXIFS(INGRESOS!A:A,INGRESOS!C:C,Tabla3[[#This Row],[CORREO]]))</f>
        <v>46083</v>
      </c>
      <c r="K173" s="7">
        <f ca="1">+IFERROR(Tabla3[[#This Row],[ABONADO NETO ]]/Tabla3[[#This Row],[MESES ACT]],Tabla3[[#This Row],[ABONO 1ER MES]])</f>
        <v>2963.06</v>
      </c>
      <c r="M173" s="287" t="s">
        <v>2119</v>
      </c>
      <c r="N173" s="288">
        <f>+SUMIF(INGRESOS!D:D,Tabla3[[#This Row],[ID STRIPE]],INGRESOS!J:J)</f>
        <v>5926.12</v>
      </c>
      <c r="O173" s="6">
        <v>24000</v>
      </c>
      <c r="P173" s="6">
        <f>+SUMIF('CALENDARIO INGRESOS'!A:A,Tabla3[[#This Row],[ID STRIPE]],'CALENDARIO INGRESOS'!I:I)</f>
        <v>24000</v>
      </c>
      <c r="Q173" s="6">
        <f>+SUMIF(INGRESOS!D:D,Tabla3[[#This Row],[ID STRIPE]],INGRESOS!G:G)</f>
        <v>6000</v>
      </c>
      <c r="R173" s="3" t="str">
        <f>IF(Tabla3[[#This Row],[ESTADO]]="OK",IF(COUNTIFS('CALENDARIO INGRESOS'!$A:$A,$D173,'CALENDARIO INGRESOS'!$H:$H,"LATAM",'CALENDARIO INGRESOS'!$L:$L,"&lt;&gt;PAGADA")&gt;0,"LATAM",
 IF(COUNTIFS('CALENDARIO INGRESOS'!$A:$A,$D173,'CALENDARIO INGRESOS'!$H:$H,"VISA",'CALENDARIO INGRESOS'!$L:$L,"&lt;&gt;PAGADA")&gt;0,"VISA",
  IF(COUNTIFS('CALENDARIO INGRESOS'!$A:$A,$D173,'CALENDARIO INGRESOS'!$H:$H,"FIRMA PA",'CALENDARIO INGRESOS'!$L:$L,"&lt;&gt;PAGADA")&gt;0,"FIRMA PA",
   IF(COUNTIFS('CALENDARIO INGRESOS'!$A:$A,$D173,'CALENDARIO INGRESOS'!$H:$H,"ALEM",'CALENDARIO INGRESOS'!$L:$L,"&lt;&gt;PAGADA")&gt;0,"ALEM","LISTO")))),"-")</f>
        <v>LATAM</v>
      </c>
      <c r="S173" s="188">
        <f>+SUMIFS('CALENDARIO INGRESOS'!I:I,'CALENDARIO INGRESOS'!A:A,Tabla3[[#This Row],[ID STRIPE]],'CALENDARIO INGRESOS'!H:H,"LATAM")</f>
        <v>16000</v>
      </c>
      <c r="T173" s="188">
        <f>+IF(Tabla3[[#This Row],[MONTO LATAM]]-Tabla3[[#This Row],[IMPORTE ABONADO]]&gt;=0,Tabla3[[#This Row],[MONTO LATAM]]-Tabla3[[#This Row],[IMPORTE ABONADO]],0)</f>
        <v>10000</v>
      </c>
      <c r="U173" s="188">
        <f>+SUMIFS('CALENDARIO INGRESOS'!I:I,'CALENDARIO INGRESOS'!A:A,Tabla3[[#This Row],[ID STRIPE]],'CALENDARIO INGRESOS'!H:H,"ALEM")</f>
        <v>8000</v>
      </c>
      <c r="V173" s="6">
        <f>+SUMIFS('CALENDARIO INGRESOS'!I:I,'CALENDARIO INGRESOS'!A:A,Tabla3[[#This Row],[ID STRIPE]],'CALENDARIO INGRESOS'!H:H,"VISA")+SUMIFS('CALENDARIO INGRESOS'!I:I,'CALENDARIO INGRESOS'!A:A,Tabla3[[#This Row],[ID STRIPE]],'CALENDARIO INGRESOS'!H:H,"FIRMA PA")</f>
        <v>0</v>
      </c>
      <c r="W173" s="252">
        <v>0</v>
      </c>
      <c r="X173" s="57">
        <f>+IFERROR(AVERAGEIF('CALENDARIO INGRESOS'!A:A,Tabla3[[#This Row],[ID STRIPE]],'CALENDARIO INGRESOS'!M:M),"0")</f>
        <v>5.75</v>
      </c>
      <c r="Y173" s="18">
        <v>46023</v>
      </c>
      <c r="Z173" s="286">
        <f>+IFERROR(_xlfn.XLOOKUP(Tabla3[[#This Row],[ID LINGODA]],LINGODA!D:D,LINGODA!S:S),0)</f>
        <v>85</v>
      </c>
      <c r="AA173" s="18" t="str">
        <f>+IFERROR(_xlfn.XLOOKUP(Tabla3[[#This Row],[ID LINGODA]],LINGODA!D:D,LINGODA!F:F),"null")</f>
        <v>A2.1</v>
      </c>
      <c r="AB173" s="286" t="str">
        <f>+IFERROR(_xlfn.XLOOKUP(Tabla3[[#This Row],[ID LINGODA]],LINGODA!D:D,LINGODA!G:G),"null")</f>
        <v>A2.2</v>
      </c>
    </row>
    <row r="174" spans="1:28">
      <c r="A174" s="5" t="s">
        <v>2488</v>
      </c>
      <c r="B174" s="1" t="s">
        <v>2489</v>
      </c>
      <c r="C174" s="1" t="s">
        <v>22</v>
      </c>
      <c r="D174" s="1" t="s">
        <v>1696</v>
      </c>
      <c r="E174" s="57">
        <v>1852430</v>
      </c>
      <c r="F174" s="57"/>
      <c r="G174" s="18">
        <f>(_xlfn.MINIFS(INGRESOS!A:A,INGRESOS!C:C,Tabla3[[#This Row],[CORREO]]))</f>
        <v>46013</v>
      </c>
      <c r="H174" s="3">
        <f>+SUMIFS(INGRESOS!J:J,INGRESOS!D:D,Tabla3[[#This Row],[ID STRIPE]],INGRESOS!A:A,"&gt;="&amp;DATE(YEAR(Tabla3[[#This Row],[FECHA INGRESO]]),MONTH(Tabla3[[#This Row],[FECHA INGRESO]]),1),INGRESOS!A:A,"&lt;="&amp;DATE(YEAR(Tabla3[[#This Row],[FECHA INGRESO]]),MONTH(Tabla3[[#This Row],[FECHA INGRESO]])+1,0))</f>
        <v>241.62</v>
      </c>
      <c r="I174" s="286">
        <f ca="1">DATEDIF(Tabla3[[#This Row],[FECHA INGRESO]],IF(OR(Tabla3[[#This Row],[ESTADO]]="OK",Tabla3[[#This Row],[ESTADO]]="¡REGULARIZAR!")=TRUE,TODAY(),IF(Tabla3[[#This Row],[ULTIMO PAGO]]="",TODAY(),Tabla3[[#This Row],[ULTIMO PAGO]])),"m")</f>
        <v>0</v>
      </c>
      <c r="J174" s="18">
        <f>(_xlfn.MAXIFS(INGRESOS!A:A,INGRESOS!C:C,Tabla3[[#This Row],[CORREO]]))</f>
        <v>46013</v>
      </c>
      <c r="K174" s="7">
        <f ca="1">+IFERROR(Tabla3[[#This Row],[ABONADO NETO ]]/Tabla3[[#This Row],[MESES ACT]],Tabla3[[#This Row],[ABONO 1ER MES]])</f>
        <v>241.62</v>
      </c>
      <c r="M174" s="287" t="s">
        <v>2162</v>
      </c>
      <c r="N174" s="288">
        <f>+SUMIF(INGRESOS!D:D,Tabla3[[#This Row],[ID STRIPE]],INGRESOS!J:J)</f>
        <v>241.62</v>
      </c>
      <c r="O174" s="6">
        <v>26000</v>
      </c>
      <c r="P174" s="6">
        <f>+SUMIF('CALENDARIO INGRESOS'!A:A,Tabla3[[#This Row],[ID STRIPE]],'CALENDARIO INGRESOS'!I:I)</f>
        <v>250</v>
      </c>
      <c r="Q174" s="6">
        <f>+SUMIF(INGRESOS!D:D,Tabla3[[#This Row],[ID STRIPE]],INGRESOS!G:G)</f>
        <v>250</v>
      </c>
      <c r="R174" s="3" t="str">
        <f>IF(Tabla3[[#This Row],[ESTADO]]="OK",IF(COUNTIFS('CALENDARIO INGRESOS'!$A:$A,$D174,'CALENDARIO INGRESOS'!$H:$H,"LATAM",'CALENDARIO INGRESOS'!$L:$L,"&lt;&gt;PAGADA")&gt;0,"LATAM",
 IF(COUNTIFS('CALENDARIO INGRESOS'!$A:$A,$D174,'CALENDARIO INGRESOS'!$H:$H,"VISA",'CALENDARIO INGRESOS'!$L:$L,"&lt;&gt;PAGADA")&gt;0,"VISA",
  IF(COUNTIFS('CALENDARIO INGRESOS'!$A:$A,$D174,'CALENDARIO INGRESOS'!$H:$H,"FIRMA PA",'CALENDARIO INGRESOS'!$L:$L,"&lt;&gt;PAGADA")&gt;0,"FIRMA PA",
   IF(COUNTIFS('CALENDARIO INGRESOS'!$A:$A,$D174,'CALENDARIO INGRESOS'!$H:$H,"ALEM",'CALENDARIO INGRESOS'!$L:$L,"&lt;&gt;PAGADA")&gt;0,"ALEM","LISTO")))),"-")</f>
        <v>-</v>
      </c>
      <c r="S174" s="188">
        <f>+SUMIFS('CALENDARIO INGRESOS'!I:I,'CALENDARIO INGRESOS'!A:A,Tabla3[[#This Row],[ID STRIPE]],'CALENDARIO INGRESOS'!H:H,"LATAM")</f>
        <v>250</v>
      </c>
      <c r="T174" s="188">
        <f>+IF(Tabla3[[#This Row],[MONTO LATAM]]-Tabla3[[#This Row],[IMPORTE ABONADO]]&gt;=0,Tabla3[[#This Row],[MONTO LATAM]]-Tabla3[[#This Row],[IMPORTE ABONADO]],0)</f>
        <v>0</v>
      </c>
      <c r="U174" s="188">
        <f>+SUMIFS('CALENDARIO INGRESOS'!I:I,'CALENDARIO INGRESOS'!A:A,Tabla3[[#This Row],[ID STRIPE]],'CALENDARIO INGRESOS'!H:H,"ALEM")</f>
        <v>0</v>
      </c>
      <c r="V174" s="6">
        <f>+SUMIFS('CALENDARIO INGRESOS'!I:I,'CALENDARIO INGRESOS'!A:A,Tabla3[[#This Row],[ID STRIPE]],'CALENDARIO INGRESOS'!H:H,"VISA")+SUMIFS('CALENDARIO INGRESOS'!I:I,'CALENDARIO INGRESOS'!A:A,Tabla3[[#This Row],[ID STRIPE]],'CALENDARIO INGRESOS'!H:H,"FIRMA PA")</f>
        <v>0</v>
      </c>
      <c r="W174" s="252">
        <v>0</v>
      </c>
      <c r="X174" s="57">
        <f>+IFERROR(AVERAGEIF('CALENDARIO INGRESOS'!A:A,Tabla3[[#This Row],[ID STRIPE]],'CALENDARIO INGRESOS'!M:M),"0")</f>
        <v>0</v>
      </c>
      <c r="Y174" s="18">
        <v>46508</v>
      </c>
      <c r="Z174" s="286">
        <f>+IFERROR(_xlfn.XLOOKUP(Tabla3[[#This Row],[ID LINGODA]],LINGODA!D:D,LINGODA!S:S),0)</f>
        <v>0</v>
      </c>
      <c r="AA174" s="18" t="str">
        <f>+IFERROR(_xlfn.XLOOKUP(Tabla3[[#This Row],[ID LINGODA]],LINGODA!D:D,LINGODA!F:F),"null")</f>
        <v>-</v>
      </c>
      <c r="AB174" s="286" t="str">
        <f>+IFERROR(_xlfn.XLOOKUP(Tabla3[[#This Row],[ID LINGODA]],LINGODA!D:D,LINGODA!G:G),"null")</f>
        <v>-</v>
      </c>
    </row>
    <row r="175" spans="1:28">
      <c r="A175" s="5" t="s">
        <v>2490</v>
      </c>
      <c r="B175" s="1" t="s">
        <v>2491</v>
      </c>
      <c r="C175" s="1" t="s">
        <v>11</v>
      </c>
      <c r="D175" s="1" t="s">
        <v>1743</v>
      </c>
      <c r="E175" s="57">
        <v>1852671</v>
      </c>
      <c r="F175" s="57"/>
      <c r="G175" s="18">
        <f>(_xlfn.MINIFS(INGRESOS!A:A,INGRESOS!C:C,Tabla3[[#This Row],[CORREO]]))</f>
        <v>46017</v>
      </c>
      <c r="H175" s="3">
        <f>+SUMIFS(INGRESOS!J:J,INGRESOS!D:D,Tabla3[[#This Row],[ID STRIPE]],INGRESOS!A:A,"&gt;="&amp;DATE(YEAR(Tabla3[[#This Row],[FECHA INGRESO]]),MONTH(Tabla3[[#This Row],[FECHA INGRESO]]),1),INGRESOS!A:A,"&lt;="&amp;DATE(YEAR(Tabla3[[#This Row],[FECHA INGRESO]]),MONTH(Tabla3[[#This Row],[FECHA INGRESO]])+1,0))</f>
        <v>1934.4899999999998</v>
      </c>
      <c r="I175" s="286">
        <f ca="1">DATEDIF(Tabla3[[#This Row],[FECHA INGRESO]],IF(OR(Tabla3[[#This Row],[ESTADO]]="OK",Tabla3[[#This Row],[ESTADO]]="¡REGULARIZAR!")=TRUE,TODAY(),IF(Tabla3[[#This Row],[ULTIMO PAGO]]="",TODAY(),Tabla3[[#This Row],[ULTIMO PAGO]])),"m")</f>
        <v>2</v>
      </c>
      <c r="J175" s="18">
        <f>(_xlfn.MAXIFS(INGRESOS!A:A,INGRESOS!C:C,Tabla3[[#This Row],[CORREO]]))</f>
        <v>46079</v>
      </c>
      <c r="K175" s="7">
        <f ca="1">+IFERROR(Tabla3[[#This Row],[ABONADO NETO ]]/Tabla3[[#This Row],[MESES ACT]],Tabla3[[#This Row],[ABONO 1ER MES]])</f>
        <v>1934.4949999999999</v>
      </c>
      <c r="M175" s="287" t="s">
        <v>2119</v>
      </c>
      <c r="N175" s="288">
        <f>+SUMIF(INGRESOS!D:D,Tabla3[[#This Row],[ID STRIPE]],INGRESOS!J:J)</f>
        <v>3868.99</v>
      </c>
      <c r="O175" s="6">
        <v>26000</v>
      </c>
      <c r="P175" s="6">
        <f>+SUMIF('CALENDARIO INGRESOS'!A:A,Tabla3[[#This Row],[ID STRIPE]],'CALENDARIO INGRESOS'!I:I)</f>
        <v>26000</v>
      </c>
      <c r="Q175" s="6">
        <f>+SUMIF(INGRESOS!D:D,Tabla3[[#This Row],[ID STRIPE]],INGRESOS!G:G)</f>
        <v>4000</v>
      </c>
      <c r="R175" s="3" t="str">
        <f>IF(Tabla3[[#This Row],[ESTADO]]="OK",IF(COUNTIFS('CALENDARIO INGRESOS'!$A:$A,$D175,'CALENDARIO INGRESOS'!$H:$H,"LATAM",'CALENDARIO INGRESOS'!$L:$L,"&lt;&gt;PAGADA")&gt;0,"LATAM",
 IF(COUNTIFS('CALENDARIO INGRESOS'!$A:$A,$D175,'CALENDARIO INGRESOS'!$H:$H,"VISA",'CALENDARIO INGRESOS'!$L:$L,"&lt;&gt;PAGADA")&gt;0,"VISA",
  IF(COUNTIFS('CALENDARIO INGRESOS'!$A:$A,$D175,'CALENDARIO INGRESOS'!$H:$H,"FIRMA PA",'CALENDARIO INGRESOS'!$L:$L,"&lt;&gt;PAGADA")&gt;0,"FIRMA PA",
   IF(COUNTIFS('CALENDARIO INGRESOS'!$A:$A,$D175,'CALENDARIO INGRESOS'!$H:$H,"ALEM",'CALENDARIO INGRESOS'!$L:$L,"&lt;&gt;PAGADA")&gt;0,"ALEM","LISTO")))),"-")</f>
        <v>LATAM</v>
      </c>
      <c r="S175" s="188">
        <f>+SUMIFS('CALENDARIO INGRESOS'!I:I,'CALENDARIO INGRESOS'!A:A,Tabla3[[#This Row],[ID STRIPE]],'CALENDARIO INGRESOS'!H:H,"LATAM")</f>
        <v>18000</v>
      </c>
      <c r="T175" s="188">
        <f>+IF(Tabla3[[#This Row],[MONTO LATAM]]-Tabla3[[#This Row],[IMPORTE ABONADO]]&gt;=0,Tabla3[[#This Row],[MONTO LATAM]]-Tabla3[[#This Row],[IMPORTE ABONADO]],0)</f>
        <v>14000</v>
      </c>
      <c r="U175" s="188">
        <f>+SUMIFS('CALENDARIO INGRESOS'!I:I,'CALENDARIO INGRESOS'!A:A,Tabla3[[#This Row],[ID STRIPE]],'CALENDARIO INGRESOS'!H:H,"ALEM")</f>
        <v>8000</v>
      </c>
      <c r="V175" s="6">
        <f>+SUMIFS('CALENDARIO INGRESOS'!I:I,'CALENDARIO INGRESOS'!A:A,Tabla3[[#This Row],[ID STRIPE]],'CALENDARIO INGRESOS'!H:H,"VISA")+SUMIFS('CALENDARIO INGRESOS'!I:I,'CALENDARIO INGRESOS'!A:A,Tabla3[[#This Row],[ID STRIPE]],'CALENDARIO INGRESOS'!H:H,"FIRMA PA")</f>
        <v>0</v>
      </c>
      <c r="W175" s="252">
        <v>1</v>
      </c>
      <c r="X175" s="57">
        <f>+IFERROR(AVERAGEIF('CALENDARIO INGRESOS'!A:A,Tabla3[[#This Row],[ID STRIPE]],'CALENDARIO INGRESOS'!M:M),"0")</f>
        <v>0.25</v>
      </c>
      <c r="Y175" s="18">
        <v>46643</v>
      </c>
      <c r="Z175" s="286">
        <f>+IFERROR(_xlfn.XLOOKUP(Tabla3[[#This Row],[ID LINGODA]],LINGODA!D:D,LINGODA!S:S),0)</f>
        <v>30</v>
      </c>
      <c r="AA175" s="18" t="str">
        <f>+IFERROR(_xlfn.XLOOKUP(Tabla3[[#This Row],[ID LINGODA]],LINGODA!D:D,LINGODA!F:F),"null")</f>
        <v>A1.1</v>
      </c>
      <c r="AB175" s="286" t="str">
        <f>+IFERROR(_xlfn.XLOOKUP(Tabla3[[#This Row],[ID LINGODA]],LINGODA!D:D,LINGODA!G:G),"null")</f>
        <v>A1.1</v>
      </c>
    </row>
    <row r="176" spans="1:28">
      <c r="A176" s="5" t="s">
        <v>2492</v>
      </c>
      <c r="B176" s="5" t="s">
        <v>2493</v>
      </c>
      <c r="C176" s="1" t="s">
        <v>12</v>
      </c>
      <c r="D176" s="1" t="s">
        <v>1756</v>
      </c>
      <c r="E176" s="57">
        <v>1849774</v>
      </c>
      <c r="F176" s="57"/>
      <c r="G176" s="18">
        <f>(_xlfn.MINIFS(INGRESOS!A:A,INGRESOS!C:C,Tabla3[[#This Row],[CORREO]]))</f>
        <v>46020</v>
      </c>
      <c r="H176" s="3">
        <f>+SUMIFS(INGRESOS!J:J,INGRESOS!D:D,Tabla3[[#This Row],[ID STRIPE]],INGRESOS!A:A,"&gt;="&amp;DATE(YEAR(Tabla3[[#This Row],[FECHA INGRESO]]),MONTH(Tabla3[[#This Row],[FECHA INGRESO]]),1),INGRESOS!A:A,"&lt;="&amp;DATE(YEAR(Tabla3[[#This Row],[FECHA INGRESO]]),MONTH(Tabla3[[#This Row],[FECHA INGRESO]])+1,0))</f>
        <v>241.62</v>
      </c>
      <c r="I176" s="286">
        <f ca="1">DATEDIF(Tabla3[[#This Row],[FECHA INGRESO]],IF(OR(Tabla3[[#This Row],[ESTADO]]="OK",Tabla3[[#This Row],[ESTADO]]="¡REGULARIZAR!")=TRUE,TODAY(),IF(Tabla3[[#This Row],[ULTIMO PAGO]]="",TODAY(),Tabla3[[#This Row],[ULTIMO PAGO]])),"m")</f>
        <v>2</v>
      </c>
      <c r="J176" s="18">
        <f>(_xlfn.MAXIFS(INGRESOS!A:A,INGRESOS!C:C,Tabla3[[#This Row],[CORREO]]))</f>
        <v>46020</v>
      </c>
      <c r="K176" s="7">
        <f ca="1">+IFERROR(Tabla3[[#This Row],[ABONADO NETO ]]/Tabla3[[#This Row],[MESES ACT]],Tabla3[[#This Row],[ABONO 1ER MES]])</f>
        <v>120.81</v>
      </c>
      <c r="M176" s="287" t="s">
        <v>2198</v>
      </c>
      <c r="N176" s="288">
        <f>+SUMIF(INGRESOS!D:D,Tabla3[[#This Row],[ID STRIPE]],INGRESOS!J:J)</f>
        <v>241.62</v>
      </c>
      <c r="O176" s="6">
        <v>29600</v>
      </c>
      <c r="P176" s="6">
        <f>+SUMIF('CALENDARIO INGRESOS'!A:A,Tabla3[[#This Row],[ID STRIPE]],'CALENDARIO INGRESOS'!I:I)</f>
        <v>29600</v>
      </c>
      <c r="Q176" s="6">
        <f>+SUMIF(INGRESOS!D:D,Tabla3[[#This Row],[ID STRIPE]],INGRESOS!G:G)</f>
        <v>250</v>
      </c>
      <c r="R176" s="3" t="str">
        <f>IF(Tabla3[[#This Row],[ESTADO]]="OK",IF(COUNTIFS('CALENDARIO INGRESOS'!$A:$A,$D176,'CALENDARIO INGRESOS'!$H:$H,"LATAM",'CALENDARIO INGRESOS'!$L:$L,"&lt;&gt;PAGADA")&gt;0,"LATAM",
 IF(COUNTIFS('CALENDARIO INGRESOS'!$A:$A,$D176,'CALENDARIO INGRESOS'!$H:$H,"VISA",'CALENDARIO INGRESOS'!$L:$L,"&lt;&gt;PAGADA")&gt;0,"VISA",
  IF(COUNTIFS('CALENDARIO INGRESOS'!$A:$A,$D176,'CALENDARIO INGRESOS'!$H:$H,"FIRMA PA",'CALENDARIO INGRESOS'!$L:$L,"&lt;&gt;PAGADA")&gt;0,"FIRMA PA",
   IF(COUNTIFS('CALENDARIO INGRESOS'!$A:$A,$D176,'CALENDARIO INGRESOS'!$H:$H,"ALEM",'CALENDARIO INGRESOS'!$L:$L,"&lt;&gt;PAGADA")&gt;0,"ALEM","LISTO")))),"-")</f>
        <v>-</v>
      </c>
      <c r="S176" s="188">
        <f>+SUMIFS('CALENDARIO INGRESOS'!I:I,'CALENDARIO INGRESOS'!A:A,Tabla3[[#This Row],[ID STRIPE]],'CALENDARIO INGRESOS'!H:H,"LATAM")</f>
        <v>18600</v>
      </c>
      <c r="T176" s="188">
        <f>+IF(Tabla3[[#This Row],[MONTO LATAM]]-Tabla3[[#This Row],[IMPORTE ABONADO]]&gt;=0,Tabla3[[#This Row],[MONTO LATAM]]-Tabla3[[#This Row],[IMPORTE ABONADO]],0)</f>
        <v>18350</v>
      </c>
      <c r="U176" s="188">
        <f>+SUMIFS('CALENDARIO INGRESOS'!I:I,'CALENDARIO INGRESOS'!A:A,Tabla3[[#This Row],[ID STRIPE]],'CALENDARIO INGRESOS'!H:H,"ALEM")</f>
        <v>8000</v>
      </c>
      <c r="V176" s="6">
        <f>+SUMIFS('CALENDARIO INGRESOS'!I:I,'CALENDARIO INGRESOS'!A:A,Tabla3[[#This Row],[ID STRIPE]],'CALENDARIO INGRESOS'!H:H,"VISA")+SUMIFS('CALENDARIO INGRESOS'!I:I,'CALENDARIO INGRESOS'!A:A,Tabla3[[#This Row],[ID STRIPE]],'CALENDARIO INGRESOS'!H:H,"FIRMA PA")</f>
        <v>3000</v>
      </c>
      <c r="W176" s="250">
        <v>1</v>
      </c>
      <c r="X176" s="57">
        <f>+IFERROR(AVERAGEIF('CALENDARIO INGRESOS'!A:A,Tabla3[[#This Row],[ID STRIPE]],'CALENDARIO INGRESOS'!M:M),"0")</f>
        <v>0</v>
      </c>
      <c r="Y176" s="18">
        <v>46799</v>
      </c>
      <c r="Z176" s="286">
        <f>+IFERROR(_xlfn.XLOOKUP(Tabla3[[#This Row],[ID LINGODA]],LINGODA!D:D,LINGODA!S:S),0)</f>
        <v>0</v>
      </c>
      <c r="AA176" s="18" t="str">
        <f>+IFERROR(_xlfn.XLOOKUP(Tabla3[[#This Row],[ID LINGODA]],LINGODA!D:D,LINGODA!F:F),"null")</f>
        <v>-</v>
      </c>
      <c r="AB176" s="286" t="str">
        <f>+IFERROR(_xlfn.XLOOKUP(Tabla3[[#This Row],[ID LINGODA]],LINGODA!D:D,LINGODA!G:G),"null")</f>
        <v>-</v>
      </c>
    </row>
    <row r="177" spans="1:28">
      <c r="A177" s="5" t="s">
        <v>2494</v>
      </c>
      <c r="B177" s="1" t="s">
        <v>2495</v>
      </c>
      <c r="C177" s="1" t="s">
        <v>13</v>
      </c>
      <c r="D177" s="1" t="s">
        <v>1761</v>
      </c>
      <c r="E177" s="57">
        <v>1853316</v>
      </c>
      <c r="F177" s="57"/>
      <c r="G177" s="18">
        <f>(_xlfn.MINIFS(INGRESOS!A:A,INGRESOS!C:C,Tabla3[[#This Row],[CORREO]]))</f>
        <v>46021</v>
      </c>
      <c r="H177" s="3">
        <f>+SUMIFS(INGRESOS!J:J,INGRESOS!D:D,Tabla3[[#This Row],[ID STRIPE]],INGRESOS!A:A,"&gt;="&amp;DATE(YEAR(Tabla3[[#This Row],[FECHA INGRESO]]),MONTH(Tabla3[[#This Row],[FECHA INGRESO]]),1),INGRESOS!A:A,"&lt;="&amp;DATE(YEAR(Tabla3[[#This Row],[FECHA INGRESO]]),MONTH(Tabla3[[#This Row],[FECHA INGRESO]])+1,0))</f>
        <v>1934.4899999999998</v>
      </c>
      <c r="I177" s="286">
        <f ca="1">DATEDIF(Tabla3[[#This Row],[FECHA INGRESO]],IF(OR(Tabla3[[#This Row],[ESTADO]]="OK",Tabla3[[#This Row],[ESTADO]]="¡REGULARIZAR!")=TRUE,TODAY(),IF(Tabla3[[#This Row],[ULTIMO PAGO]]="",TODAY(),Tabla3[[#This Row],[ULTIMO PAGO]])),"m")</f>
        <v>2</v>
      </c>
      <c r="J177" s="18">
        <f>(_xlfn.MAXIFS(INGRESOS!A:A,INGRESOS!C:C,Tabla3[[#This Row],[CORREO]]))</f>
        <v>46081</v>
      </c>
      <c r="K177" s="7">
        <f ca="1">+IFERROR(Tabla3[[#This Row],[ABONADO NETO ]]/Tabla3[[#This Row],[MESES ACT]],Tabla3[[#This Row],[ABONO 1ER MES]])</f>
        <v>1934.4949999999999</v>
      </c>
      <c r="M177" s="287" t="s">
        <v>2119</v>
      </c>
      <c r="N177" s="288">
        <f>+SUMIF(INGRESOS!D:D,Tabla3[[#This Row],[ID STRIPE]],INGRESOS!J:J)</f>
        <v>3868.99</v>
      </c>
      <c r="O177" s="6">
        <v>26000</v>
      </c>
      <c r="P177" s="6">
        <f>+SUMIF('CALENDARIO INGRESOS'!A:A,Tabla3[[#This Row],[ID STRIPE]],'CALENDARIO INGRESOS'!I:I)</f>
        <v>26000</v>
      </c>
      <c r="Q177" s="6">
        <f>+SUMIF(INGRESOS!D:D,Tabla3[[#This Row],[ID STRIPE]],INGRESOS!G:G)</f>
        <v>4000</v>
      </c>
      <c r="R177" s="3" t="str">
        <f>IF(Tabla3[[#This Row],[ESTADO]]="OK",IF(COUNTIFS('CALENDARIO INGRESOS'!$A:$A,$D177,'CALENDARIO INGRESOS'!$H:$H,"LATAM",'CALENDARIO INGRESOS'!$L:$L,"&lt;&gt;PAGADA")&gt;0,"LATAM",
 IF(COUNTIFS('CALENDARIO INGRESOS'!$A:$A,$D177,'CALENDARIO INGRESOS'!$H:$H,"VISA",'CALENDARIO INGRESOS'!$L:$L,"&lt;&gt;PAGADA")&gt;0,"VISA",
  IF(COUNTIFS('CALENDARIO INGRESOS'!$A:$A,$D177,'CALENDARIO INGRESOS'!$H:$H,"FIRMA PA",'CALENDARIO INGRESOS'!$L:$L,"&lt;&gt;PAGADA")&gt;0,"FIRMA PA",
   IF(COUNTIFS('CALENDARIO INGRESOS'!$A:$A,$D177,'CALENDARIO INGRESOS'!$H:$H,"ALEM",'CALENDARIO INGRESOS'!$L:$L,"&lt;&gt;PAGADA")&gt;0,"ALEM","LISTO")))),"-")</f>
        <v>LATAM</v>
      </c>
      <c r="S177" s="188">
        <f>+SUMIFS('CALENDARIO INGRESOS'!I:I,'CALENDARIO INGRESOS'!A:A,Tabla3[[#This Row],[ID STRIPE]],'CALENDARIO INGRESOS'!H:H,"LATAM")</f>
        <v>15000</v>
      </c>
      <c r="T177" s="188">
        <f>+IF(Tabla3[[#This Row],[MONTO LATAM]]-Tabla3[[#This Row],[IMPORTE ABONADO]]&gt;=0,Tabla3[[#This Row],[MONTO LATAM]]-Tabla3[[#This Row],[IMPORTE ABONADO]],0)</f>
        <v>11000</v>
      </c>
      <c r="U177" s="188">
        <f>+SUMIFS('CALENDARIO INGRESOS'!I:I,'CALENDARIO INGRESOS'!A:A,Tabla3[[#This Row],[ID STRIPE]],'CALENDARIO INGRESOS'!H:H,"ALEM")</f>
        <v>8000</v>
      </c>
      <c r="V177" s="6">
        <f>+SUMIFS('CALENDARIO INGRESOS'!I:I,'CALENDARIO INGRESOS'!A:A,Tabla3[[#This Row],[ID STRIPE]],'CALENDARIO INGRESOS'!H:H,"VISA")+SUMIFS('CALENDARIO INGRESOS'!I:I,'CALENDARIO INGRESOS'!A:A,Tabla3[[#This Row],[ID STRIPE]],'CALENDARIO INGRESOS'!H:H,"FIRMA PA")</f>
        <v>3000</v>
      </c>
      <c r="W177" s="252">
        <v>0</v>
      </c>
      <c r="X177" s="57">
        <f>+IFERROR(AVERAGEIF('CALENDARIO INGRESOS'!A:A,Tabla3[[#This Row],[ID STRIPE]],'CALENDARIO INGRESOS'!M:M),"0")</f>
        <v>-0.75</v>
      </c>
      <c r="Y177" s="18">
        <v>46235</v>
      </c>
      <c r="Z177" s="286">
        <f>+IFERROR(_xlfn.XLOOKUP(Tabla3[[#This Row],[ID LINGODA]],LINGODA!D:D,LINGODA!S:S),0)</f>
        <v>29</v>
      </c>
      <c r="AA177" s="18" t="str">
        <f>+IFERROR(_xlfn.XLOOKUP(Tabla3[[#This Row],[ID LINGODA]],LINGODA!D:D,LINGODA!F:F),"null")</f>
        <v>A1.1</v>
      </c>
      <c r="AB177" s="286" t="str">
        <f>+IFERROR(_xlfn.XLOOKUP(Tabla3[[#This Row],[ID LINGODA]],LINGODA!D:D,LINGODA!G:G),"null")</f>
        <v>A1.1</v>
      </c>
    </row>
    <row r="178" spans="1:28">
      <c r="A178" s="5" t="s">
        <v>2496</v>
      </c>
      <c r="B178" s="5" t="s">
        <v>2497</v>
      </c>
      <c r="C178" s="1" t="s">
        <v>16</v>
      </c>
      <c r="D178" s="1" t="s">
        <v>1870</v>
      </c>
      <c r="E178" s="57">
        <v>1857076</v>
      </c>
      <c r="F178" s="57"/>
      <c r="G178" s="18">
        <f>(_xlfn.MINIFS(INGRESOS!A:A,INGRESOS!C:C,Tabla3[[#This Row],[CORREO]]))</f>
        <v>46029</v>
      </c>
      <c r="H178" s="3">
        <f>+SUMIFS(INGRESOS!J:J,INGRESOS!D:D,Tabla3[[#This Row],[ID STRIPE]],INGRESOS!A:A,"&gt;="&amp;DATE(YEAR(Tabla3[[#This Row],[FECHA INGRESO]]),MONTH(Tabla3[[#This Row],[FECHA INGRESO]]),1),INGRESOS!A:A,"&lt;="&amp;DATE(YEAR(Tabla3[[#This Row],[FECHA INGRESO]]),MONTH(Tabla3[[#This Row],[FECHA INGRESO]])+1,0))</f>
        <v>2901.99</v>
      </c>
      <c r="I178" s="286">
        <f ca="1">DATEDIF(Tabla3[[#This Row],[FECHA INGRESO]],IF(OR(Tabla3[[#This Row],[ESTADO]]="OK",Tabla3[[#This Row],[ESTADO]]="¡REGULARIZAR!")=TRUE,TODAY(),IF(Tabla3[[#This Row],[ULTIMO PAGO]]="",TODAY(),Tabla3[[#This Row],[ULTIMO PAGO]])),"m")</f>
        <v>2</v>
      </c>
      <c r="J178" s="18">
        <f>(_xlfn.MAXIFS(INGRESOS!A:A,INGRESOS!C:C,Tabla3[[#This Row],[CORREO]]))</f>
        <v>46079</v>
      </c>
      <c r="K178" s="7">
        <f ca="1">+IFERROR(Tabla3[[#This Row],[ABONADO NETO ]]/Tabla3[[#This Row],[MESES ACT]],Tabla3[[#This Row],[ABONO 1ER MES]])</f>
        <v>1862.0549999999998</v>
      </c>
      <c r="M178" s="287" t="s">
        <v>2119</v>
      </c>
      <c r="N178" s="288">
        <f>+SUMIF(INGRESOS!D:D,Tabla3[[#This Row],[ID STRIPE]],INGRESOS!J:J)</f>
        <v>3724.1099999999997</v>
      </c>
      <c r="O178" s="6">
        <v>26750</v>
      </c>
      <c r="P178" s="6">
        <f>+SUMIF('CALENDARIO INGRESOS'!A:A,Tabla3[[#This Row],[ID STRIPE]],'CALENDARIO INGRESOS'!I:I)</f>
        <v>26750</v>
      </c>
      <c r="Q178" s="6">
        <f>+SUMIF(INGRESOS!D:D,Tabla3[[#This Row],[ID STRIPE]],INGRESOS!G:G)</f>
        <v>3850</v>
      </c>
      <c r="R178" s="3" t="str">
        <f>IF(Tabla3[[#This Row],[ESTADO]]="OK",IF(COUNTIFS('CALENDARIO INGRESOS'!$A:$A,$D178,'CALENDARIO INGRESOS'!$H:$H,"LATAM",'CALENDARIO INGRESOS'!$L:$L,"&lt;&gt;PAGADA")&gt;0,"LATAM",
 IF(COUNTIFS('CALENDARIO INGRESOS'!$A:$A,$D178,'CALENDARIO INGRESOS'!$H:$H,"VISA",'CALENDARIO INGRESOS'!$L:$L,"&lt;&gt;PAGADA")&gt;0,"VISA",
  IF(COUNTIFS('CALENDARIO INGRESOS'!$A:$A,$D178,'CALENDARIO INGRESOS'!$H:$H,"FIRMA PA",'CALENDARIO INGRESOS'!$L:$L,"&lt;&gt;PAGADA")&gt;0,"FIRMA PA",
   IF(COUNTIFS('CALENDARIO INGRESOS'!$A:$A,$D178,'CALENDARIO INGRESOS'!$H:$H,"ALEM",'CALENDARIO INGRESOS'!$L:$L,"&lt;&gt;PAGADA")&gt;0,"ALEM","LISTO")))),"-")</f>
        <v>LATAM</v>
      </c>
      <c r="S178" s="188">
        <f>+SUMIFS('CALENDARIO INGRESOS'!I:I,'CALENDARIO INGRESOS'!A:A,Tabla3[[#This Row],[ID STRIPE]],'CALENDARIO INGRESOS'!H:H,"LATAM")</f>
        <v>15750</v>
      </c>
      <c r="T178" s="188">
        <f>+IF(Tabla3[[#This Row],[MONTO LATAM]]-Tabla3[[#This Row],[IMPORTE ABONADO]]&gt;=0,Tabla3[[#This Row],[MONTO LATAM]]-Tabla3[[#This Row],[IMPORTE ABONADO]],0)</f>
        <v>11900</v>
      </c>
      <c r="U178" s="188">
        <f>+SUMIFS('CALENDARIO INGRESOS'!I:I,'CALENDARIO INGRESOS'!A:A,Tabla3[[#This Row],[ID STRIPE]],'CALENDARIO INGRESOS'!H:H,"ALEM")</f>
        <v>8000</v>
      </c>
      <c r="V178" s="6">
        <f>+SUMIFS('CALENDARIO INGRESOS'!I:I,'CALENDARIO INGRESOS'!A:A,Tabla3[[#This Row],[ID STRIPE]],'CALENDARIO INGRESOS'!H:H,"VISA")+SUMIFS('CALENDARIO INGRESOS'!I:I,'CALENDARIO INGRESOS'!A:A,Tabla3[[#This Row],[ID STRIPE]],'CALENDARIO INGRESOS'!H:H,"FIRMA PA")</f>
        <v>3000</v>
      </c>
      <c r="W178" s="250">
        <v>0</v>
      </c>
      <c r="X178" s="57">
        <f>+IFERROR(AVERAGEIF('CALENDARIO INGRESOS'!A:A,Tabla3[[#This Row],[ID STRIPE]],'CALENDARIO INGRESOS'!M:M),"0")</f>
        <v>-0.33333333333333331</v>
      </c>
      <c r="Y178" s="18">
        <v>46388</v>
      </c>
      <c r="Z178" s="286">
        <f>+IFERROR(_xlfn.XLOOKUP(Tabla3[[#This Row],[ID LINGODA]],LINGODA!D:D,LINGODA!S:S),0)</f>
        <v>9</v>
      </c>
      <c r="AA178" s="18" t="str">
        <f>+IFERROR(_xlfn.XLOOKUP(Tabla3[[#This Row],[ID LINGODA]],LINGODA!D:D,LINGODA!F:F),"null")</f>
        <v>A1.1</v>
      </c>
      <c r="AB178" s="286" t="str">
        <f>+IFERROR(_xlfn.XLOOKUP(Tabla3[[#This Row],[ID LINGODA]],LINGODA!D:D,LINGODA!G:G),"null")</f>
        <v>A1.1</v>
      </c>
    </row>
    <row r="179" spans="1:28">
      <c r="A179" s="5" t="s">
        <v>2498</v>
      </c>
      <c r="B179" s="5" t="s">
        <v>2499</v>
      </c>
      <c r="C179" s="1" t="s">
        <v>11</v>
      </c>
      <c r="D179" s="1" t="s">
        <v>1881</v>
      </c>
      <c r="E179" s="57">
        <v>1857078</v>
      </c>
      <c r="F179" s="57"/>
      <c r="G179" s="18">
        <f>(_xlfn.MINIFS(INGRESOS!A:A,INGRESOS!C:C,Tabla3[[#This Row],[CORREO]]))</f>
        <v>46031</v>
      </c>
      <c r="H179" s="3">
        <f>+SUMIFS(INGRESOS!J:J,INGRESOS!D:D,Tabla3[[#This Row],[ID STRIPE]],INGRESOS!A:A,"&gt;="&amp;DATE(YEAR(Tabla3[[#This Row],[FECHA INGRESO]]),MONTH(Tabla3[[#This Row],[FECHA INGRESO]]),1),INGRESOS!A:A,"&lt;="&amp;DATE(YEAR(Tabla3[[#This Row],[FECHA INGRESO]]),MONTH(Tabla3[[#This Row],[FECHA INGRESO]])+1,0))</f>
        <v>2901.99</v>
      </c>
      <c r="I179" s="286">
        <f ca="1">DATEDIF(Tabla3[[#This Row],[FECHA INGRESO]],IF(OR(Tabla3[[#This Row],[ESTADO]]="OK",Tabla3[[#This Row],[ESTADO]]="¡REGULARIZAR!")=TRUE,TODAY(),IF(Tabla3[[#This Row],[ULTIMO PAGO]]="",TODAY(),Tabla3[[#This Row],[ULTIMO PAGO]])),"m")</f>
        <v>1</v>
      </c>
      <c r="J179" s="18">
        <f>(_xlfn.MAXIFS(INGRESOS!A:A,INGRESOS!C:C,Tabla3[[#This Row],[CORREO]]))</f>
        <v>46073</v>
      </c>
      <c r="K179" s="7">
        <f ca="1">+IFERROR(Tabla3[[#This Row],[ABONADO NETO ]]/Tabla3[[#This Row],[MESES ACT]],Tabla3[[#This Row],[ABONO 1ER MES]])</f>
        <v>11955.49</v>
      </c>
      <c r="M179" s="287" t="s">
        <v>2198</v>
      </c>
      <c r="N179" s="288">
        <f>+SUMIF(INGRESOS!D:D,Tabla3[[#This Row],[ID STRIPE]],INGRESOS!J:J)</f>
        <v>11955.49</v>
      </c>
      <c r="O179" s="6">
        <v>25100</v>
      </c>
      <c r="P179" s="6">
        <f>+SUMIF('CALENDARIO INGRESOS'!A:A,Tabla3[[#This Row],[ID STRIPE]],'CALENDARIO INGRESOS'!I:I)</f>
        <v>25100</v>
      </c>
      <c r="Q179" s="6">
        <f>+SUMIF(INGRESOS!D:D,Tabla3[[#This Row],[ID STRIPE]],INGRESOS!G:G)</f>
        <v>12400</v>
      </c>
      <c r="R179" s="3" t="str">
        <f>IF(Tabla3[[#This Row],[ESTADO]]="OK",IF(COUNTIFS('CALENDARIO INGRESOS'!$A:$A,$D179,'CALENDARIO INGRESOS'!$H:$H,"LATAM",'CALENDARIO INGRESOS'!$L:$L,"&lt;&gt;PAGADA")&gt;0,"LATAM",
 IF(COUNTIFS('CALENDARIO INGRESOS'!$A:$A,$D179,'CALENDARIO INGRESOS'!$H:$H,"VISA",'CALENDARIO INGRESOS'!$L:$L,"&lt;&gt;PAGADA")&gt;0,"VISA",
  IF(COUNTIFS('CALENDARIO INGRESOS'!$A:$A,$D179,'CALENDARIO INGRESOS'!$H:$H,"FIRMA PA",'CALENDARIO INGRESOS'!$L:$L,"&lt;&gt;PAGADA")&gt;0,"FIRMA PA",
   IF(COUNTIFS('CALENDARIO INGRESOS'!$A:$A,$D179,'CALENDARIO INGRESOS'!$H:$H,"ALEM",'CALENDARIO INGRESOS'!$L:$L,"&lt;&gt;PAGADA")&gt;0,"ALEM","LISTO")))),"-")</f>
        <v>-</v>
      </c>
      <c r="S179" s="188">
        <f>+SUMIFS('CALENDARIO INGRESOS'!I:I,'CALENDARIO INGRESOS'!A:A,Tabla3[[#This Row],[ID STRIPE]],'CALENDARIO INGRESOS'!H:H,"LATAM")</f>
        <v>14100</v>
      </c>
      <c r="T179" s="188">
        <f>+IF(Tabla3[[#This Row],[MONTO LATAM]]-Tabla3[[#This Row],[IMPORTE ABONADO]]&gt;=0,Tabla3[[#This Row],[MONTO LATAM]]-Tabla3[[#This Row],[IMPORTE ABONADO]],0)</f>
        <v>1700</v>
      </c>
      <c r="U179" s="188">
        <f>+SUMIFS('CALENDARIO INGRESOS'!I:I,'CALENDARIO INGRESOS'!A:A,Tabla3[[#This Row],[ID STRIPE]],'CALENDARIO INGRESOS'!H:H,"ALEM")</f>
        <v>8000</v>
      </c>
      <c r="V179" s="6">
        <f>+SUMIFS('CALENDARIO INGRESOS'!I:I,'CALENDARIO INGRESOS'!A:A,Tabla3[[#This Row],[ID STRIPE]],'CALENDARIO INGRESOS'!H:H,"VISA")+SUMIFS('CALENDARIO INGRESOS'!I:I,'CALENDARIO INGRESOS'!A:A,Tabla3[[#This Row],[ID STRIPE]],'CALENDARIO INGRESOS'!H:H,"FIRMA PA")</f>
        <v>3000</v>
      </c>
      <c r="W179" s="250">
        <v>0</v>
      </c>
      <c r="X179" s="57">
        <f>+IFERROR(AVERAGEIF('CALENDARIO INGRESOS'!A:A,Tabla3[[#This Row],[ID STRIPE]],'CALENDARIO INGRESOS'!M:M),"0")</f>
        <v>-6.833333333333333</v>
      </c>
      <c r="Y179" s="18">
        <v>46174</v>
      </c>
      <c r="Z179" s="286">
        <f>+IFERROR(_xlfn.XLOOKUP(Tabla3[[#This Row],[ID LINGODA]],LINGODA!D:D,LINGODA!S:S),0)</f>
        <v>0</v>
      </c>
      <c r="AA179" s="18" t="str">
        <f>+IFERROR(_xlfn.XLOOKUP(Tabla3[[#This Row],[ID LINGODA]],LINGODA!D:D,LINGODA!F:F),"null")</f>
        <v>-</v>
      </c>
      <c r="AB179" s="286" t="str">
        <f>+IFERROR(_xlfn.XLOOKUP(Tabla3[[#This Row],[ID LINGODA]],LINGODA!D:D,LINGODA!G:G),"null")</f>
        <v>-</v>
      </c>
    </row>
    <row r="180" spans="1:28">
      <c r="A180" s="5" t="s">
        <v>2500</v>
      </c>
      <c r="B180" s="5" t="s">
        <v>2501</v>
      </c>
      <c r="C180" s="1" t="s">
        <v>14</v>
      </c>
      <c r="D180" s="1" t="s">
        <v>1899</v>
      </c>
      <c r="E180" s="57">
        <v>1857077</v>
      </c>
      <c r="F180" s="57"/>
      <c r="G180" s="18">
        <f>(_xlfn.MINIFS(INGRESOS!A:A,INGRESOS!C:C,Tabla3[[#This Row],[CORREO]]))</f>
        <v>46033</v>
      </c>
      <c r="H180" s="3">
        <f>+SUMIFS(INGRESOS!J:J,INGRESOS!D:D,Tabla3[[#This Row],[ID STRIPE]],INGRESOS!A:A,"&gt;="&amp;DATE(YEAR(Tabla3[[#This Row],[FECHA INGRESO]]),MONTH(Tabla3[[#This Row],[FECHA INGRESO]]),1),INGRESOS!A:A,"&lt;="&amp;DATE(YEAR(Tabla3[[#This Row],[FECHA INGRESO]]),MONTH(Tabla3[[#This Row],[FECHA INGRESO]])+1,0))</f>
        <v>241.62</v>
      </c>
      <c r="I180" s="286">
        <f ca="1">DATEDIF(Tabla3[[#This Row],[FECHA INGRESO]],IF(OR(Tabla3[[#This Row],[ESTADO]]="OK",Tabla3[[#This Row],[ESTADO]]="¡REGULARIZAR!")=TRUE,TODAY(),IF(Tabla3[[#This Row],[ULTIMO PAGO]]="",TODAY(),Tabla3[[#This Row],[ULTIMO PAGO]])),"m")</f>
        <v>1</v>
      </c>
      <c r="J180" s="18">
        <f>(_xlfn.MAXIFS(INGRESOS!A:A,INGRESOS!C:C,Tabla3[[#This Row],[CORREO]]))</f>
        <v>46084</v>
      </c>
      <c r="K180" s="7">
        <f ca="1">+IFERROR(Tabla3[[#This Row],[ABONADO NETO ]]/Tabla3[[#This Row],[MESES ACT]],Tabla3[[#This Row],[ABONO 1ER MES]])</f>
        <v>1208.6199999999999</v>
      </c>
      <c r="M180" s="287" t="s">
        <v>2119</v>
      </c>
      <c r="N180" s="288">
        <f>+SUMIF(INGRESOS!D:D,Tabla3[[#This Row],[ID STRIPE]],INGRESOS!J:J)</f>
        <v>1208.6199999999999</v>
      </c>
      <c r="O180" s="6">
        <v>26000</v>
      </c>
      <c r="P180" s="6">
        <f>+SUMIF('CALENDARIO INGRESOS'!A:A,Tabla3[[#This Row],[ID STRIPE]],'CALENDARIO INGRESOS'!I:I)</f>
        <v>26000</v>
      </c>
      <c r="Q180" s="6">
        <f>+SUMIF(INGRESOS!D:D,Tabla3[[#This Row],[ID STRIPE]],INGRESOS!G:G)</f>
        <v>1250</v>
      </c>
      <c r="R180" s="3" t="str">
        <f>IF(Tabla3[[#This Row],[ESTADO]]="OK",IF(COUNTIFS('CALENDARIO INGRESOS'!$A:$A,$D180,'CALENDARIO INGRESOS'!$H:$H,"LATAM",'CALENDARIO INGRESOS'!$L:$L,"&lt;&gt;PAGADA")&gt;0,"LATAM",
 IF(COUNTIFS('CALENDARIO INGRESOS'!$A:$A,$D180,'CALENDARIO INGRESOS'!$H:$H,"VISA",'CALENDARIO INGRESOS'!$L:$L,"&lt;&gt;PAGADA")&gt;0,"VISA",
  IF(COUNTIFS('CALENDARIO INGRESOS'!$A:$A,$D180,'CALENDARIO INGRESOS'!$H:$H,"FIRMA PA",'CALENDARIO INGRESOS'!$L:$L,"&lt;&gt;PAGADA")&gt;0,"FIRMA PA",
   IF(COUNTIFS('CALENDARIO INGRESOS'!$A:$A,$D180,'CALENDARIO INGRESOS'!$H:$H,"ALEM",'CALENDARIO INGRESOS'!$L:$L,"&lt;&gt;PAGADA")&gt;0,"ALEM","LISTO")))),"-")</f>
        <v>LATAM</v>
      </c>
      <c r="S180" s="188">
        <f>+SUMIFS('CALENDARIO INGRESOS'!I:I,'CALENDARIO INGRESOS'!A:A,Tabla3[[#This Row],[ID STRIPE]],'CALENDARIO INGRESOS'!H:H,"LATAM")</f>
        <v>16250</v>
      </c>
      <c r="T180" s="188">
        <f>+IF(Tabla3[[#This Row],[MONTO LATAM]]-Tabla3[[#This Row],[IMPORTE ABONADO]]&gt;=0,Tabla3[[#This Row],[MONTO LATAM]]-Tabla3[[#This Row],[IMPORTE ABONADO]],0)</f>
        <v>15000</v>
      </c>
      <c r="U180" s="188">
        <f>+SUMIFS('CALENDARIO INGRESOS'!I:I,'CALENDARIO INGRESOS'!A:A,Tabla3[[#This Row],[ID STRIPE]],'CALENDARIO INGRESOS'!H:H,"ALEM")</f>
        <v>8000</v>
      </c>
      <c r="V180" s="6">
        <f>+SUMIFS('CALENDARIO INGRESOS'!I:I,'CALENDARIO INGRESOS'!A:A,Tabla3[[#This Row],[ID STRIPE]],'CALENDARIO INGRESOS'!H:H,"VISA")+SUMIFS('CALENDARIO INGRESOS'!I:I,'CALENDARIO INGRESOS'!A:A,Tabla3[[#This Row],[ID STRIPE]],'CALENDARIO INGRESOS'!H:H,"FIRMA PA")</f>
        <v>1750</v>
      </c>
      <c r="W180" s="250">
        <v>0</v>
      </c>
      <c r="X180" s="57">
        <f>+IFERROR(AVERAGEIF('CALENDARIO INGRESOS'!A:A,Tabla3[[#This Row],[ID STRIPE]],'CALENDARIO INGRESOS'!M:M),"0")</f>
        <v>-0.66666666666666663</v>
      </c>
      <c r="Y180" s="18">
        <v>46388</v>
      </c>
      <c r="Z180" s="286">
        <f>+IFERROR(_xlfn.XLOOKUP(Tabla3[[#This Row],[ID LINGODA]],LINGODA!D:D,LINGODA!S:S),0)</f>
        <v>45</v>
      </c>
      <c r="AA180" s="18" t="str">
        <f>+IFERROR(_xlfn.XLOOKUP(Tabla3[[#This Row],[ID LINGODA]],LINGODA!D:D,LINGODA!F:F),"null")</f>
        <v>A1.1</v>
      </c>
      <c r="AB180" s="286" t="str">
        <f>+IFERROR(_xlfn.XLOOKUP(Tabla3[[#This Row],[ID LINGODA]],LINGODA!D:D,LINGODA!G:G),"null")</f>
        <v>A1.1</v>
      </c>
    </row>
    <row r="181" spans="1:28">
      <c r="A181" s="5" t="s">
        <v>2502</v>
      </c>
      <c r="B181" s="5" t="s">
        <v>2503</v>
      </c>
      <c r="C181" s="1" t="s">
        <v>14</v>
      </c>
      <c r="D181" s="1" t="s">
        <v>1875</v>
      </c>
      <c r="E181" s="57">
        <v>1857079</v>
      </c>
      <c r="F181" s="57"/>
      <c r="G181" s="18">
        <f>(_xlfn.MINIFS(INGRESOS!A:A,INGRESOS!C:C,Tabla3[[#This Row],[CORREO]]))</f>
        <v>46035</v>
      </c>
      <c r="H181" s="3">
        <f>+SUMIFS(INGRESOS!J:J,INGRESOS!D:D,Tabla3[[#This Row],[ID STRIPE]],INGRESOS!A:A,"&gt;="&amp;DATE(YEAR(Tabla3[[#This Row],[FECHA INGRESO]]),MONTH(Tabla3[[#This Row],[FECHA INGRESO]]),1),INGRESOS!A:A,"&lt;="&amp;DATE(YEAR(Tabla3[[#This Row],[FECHA INGRESO]]),MONTH(Tabla3[[#This Row],[FECHA INGRESO]])+1,0))</f>
        <v>2901.74</v>
      </c>
      <c r="I181" s="286">
        <f ca="1">DATEDIF(Tabla3[[#This Row],[FECHA INGRESO]],IF(OR(Tabla3[[#This Row],[ESTADO]]="OK",Tabla3[[#This Row],[ESTADO]]="¡REGULARIZAR!")=TRUE,TODAY(),IF(Tabla3[[#This Row],[ULTIMO PAGO]]="",TODAY(),Tabla3[[#This Row],[ULTIMO PAGO]])),"m")</f>
        <v>1</v>
      </c>
      <c r="J181" s="18">
        <f>(_xlfn.MAXIFS(INGRESOS!A:A,INGRESOS!C:C,Tabla3[[#This Row],[CORREO]]))</f>
        <v>46067</v>
      </c>
      <c r="K181" s="7">
        <f ca="1">+IFERROR(Tabla3[[#This Row],[ABONADO NETO ]]/Tabla3[[#This Row],[MESES ACT]],Tabla3[[#This Row],[ABONO 1ER MES]])</f>
        <v>3385.24</v>
      </c>
      <c r="M181" s="287" t="s">
        <v>2119</v>
      </c>
      <c r="N181" s="288">
        <f>+SUMIF(INGRESOS!D:D,Tabla3[[#This Row],[ID STRIPE]],INGRESOS!J:J)</f>
        <v>3385.24</v>
      </c>
      <c r="O181" s="6">
        <v>18000</v>
      </c>
      <c r="P181" s="6">
        <f>+SUMIF('CALENDARIO INGRESOS'!A:A,Tabla3[[#This Row],[ID STRIPE]],'CALENDARIO INGRESOS'!I:I)</f>
        <v>18000</v>
      </c>
      <c r="Q181" s="6">
        <f>+SUMIF(INGRESOS!D:D,Tabla3[[#This Row],[ID STRIPE]],INGRESOS!G:G)</f>
        <v>3500</v>
      </c>
      <c r="R181" s="3" t="str">
        <f>IF(Tabla3[[#This Row],[ESTADO]]="OK",IF(COUNTIFS('CALENDARIO INGRESOS'!$A:$A,$D181,'CALENDARIO INGRESOS'!$H:$H,"LATAM",'CALENDARIO INGRESOS'!$L:$L,"&lt;&gt;PAGADA")&gt;0,"LATAM",
 IF(COUNTIFS('CALENDARIO INGRESOS'!$A:$A,$D181,'CALENDARIO INGRESOS'!$H:$H,"VISA",'CALENDARIO INGRESOS'!$L:$L,"&lt;&gt;PAGADA")&gt;0,"VISA",
  IF(COUNTIFS('CALENDARIO INGRESOS'!$A:$A,$D181,'CALENDARIO INGRESOS'!$H:$H,"FIRMA PA",'CALENDARIO INGRESOS'!$L:$L,"&lt;&gt;PAGADA")&gt;0,"FIRMA PA",
   IF(COUNTIFS('CALENDARIO INGRESOS'!$A:$A,$D181,'CALENDARIO INGRESOS'!$H:$H,"ALEM",'CALENDARIO INGRESOS'!$L:$L,"&lt;&gt;PAGADA")&gt;0,"ALEM","LISTO")))),"-")</f>
        <v>ALEM</v>
      </c>
      <c r="S181" s="188">
        <f>+SUMIFS('CALENDARIO INGRESOS'!I:I,'CALENDARIO INGRESOS'!A:A,Tabla3[[#This Row],[ID STRIPE]],'CALENDARIO INGRESOS'!H:H,"LATAM")</f>
        <v>0</v>
      </c>
      <c r="T181" s="188">
        <f>+IF(Tabla3[[#This Row],[MONTO LATAM]]-Tabla3[[#This Row],[IMPORTE ABONADO]]&gt;=0,Tabla3[[#This Row],[MONTO LATAM]]-Tabla3[[#This Row],[IMPORTE ABONADO]],0)</f>
        <v>0</v>
      </c>
      <c r="U181" s="188">
        <f>+SUMIFS('CALENDARIO INGRESOS'!I:I,'CALENDARIO INGRESOS'!A:A,Tabla3[[#This Row],[ID STRIPE]],'CALENDARIO INGRESOS'!H:H,"ALEM")</f>
        <v>18000</v>
      </c>
      <c r="V181" s="6">
        <f>+SUMIFS('CALENDARIO INGRESOS'!I:I,'CALENDARIO INGRESOS'!A:A,Tabla3[[#This Row],[ID STRIPE]],'CALENDARIO INGRESOS'!H:H,"VISA")+SUMIFS('CALENDARIO INGRESOS'!I:I,'CALENDARIO INGRESOS'!A:A,Tabla3[[#This Row],[ID STRIPE]],'CALENDARIO INGRESOS'!H:H,"FIRMA PA")</f>
        <v>0</v>
      </c>
      <c r="W181" s="250">
        <v>1</v>
      </c>
      <c r="X181" s="57">
        <f>+IFERROR(AVERAGEIF('CALENDARIO INGRESOS'!A:A,Tabla3[[#This Row],[ID STRIPE]],'CALENDARIO INGRESOS'!M:M),"0")</f>
        <v>-3.25</v>
      </c>
      <c r="Y181" s="18">
        <v>46031</v>
      </c>
      <c r="Z181" s="286">
        <f>+IFERROR(_xlfn.XLOOKUP(Tabla3[[#This Row],[ID LINGODA]],LINGODA!D:D,LINGODA!S:S),0)</f>
        <v>0</v>
      </c>
      <c r="AA181" s="18" t="str">
        <f>+IFERROR(_xlfn.XLOOKUP(Tabla3[[#This Row],[ID LINGODA]],LINGODA!D:D,LINGODA!F:F),"null")</f>
        <v>-</v>
      </c>
      <c r="AB181" s="286" t="str">
        <f>+IFERROR(_xlfn.XLOOKUP(Tabla3[[#This Row],[ID LINGODA]],LINGODA!D:D,LINGODA!G:G),"null")</f>
        <v>-</v>
      </c>
    </row>
    <row r="182" spans="1:28">
      <c r="A182" s="5" t="s">
        <v>2504</v>
      </c>
      <c r="B182" s="5" t="s">
        <v>2505</v>
      </c>
      <c r="C182" s="1" t="s">
        <v>13</v>
      </c>
      <c r="D182" s="1" t="s">
        <v>1931</v>
      </c>
      <c r="E182" s="57">
        <v>1859533</v>
      </c>
      <c r="F182" s="57"/>
      <c r="G182" s="18">
        <f>(_xlfn.MINIFS(INGRESOS!A:A,INGRESOS!C:C,Tabla3[[#This Row],[CORREO]]))</f>
        <v>46039</v>
      </c>
      <c r="H182" s="3">
        <f>+SUMIFS(INGRESOS!J:J,INGRESOS!D:D,Tabla3[[#This Row],[ID STRIPE]],INGRESOS!A:A,"&gt;="&amp;DATE(YEAR(Tabla3[[#This Row],[FECHA INGRESO]]),MONTH(Tabla3[[#This Row],[FECHA INGRESO]]),1),INGRESOS!A:A,"&lt;="&amp;DATE(YEAR(Tabla3[[#This Row],[FECHA INGRESO]]),MONTH(Tabla3[[#This Row],[FECHA INGRESO]])+1,0))</f>
        <v>2901.99</v>
      </c>
      <c r="I182" s="286">
        <f ca="1">DATEDIF(Tabla3[[#This Row],[FECHA INGRESO]],IF(OR(Tabla3[[#This Row],[ESTADO]]="OK",Tabla3[[#This Row],[ESTADO]]="¡REGULARIZAR!")=TRUE,TODAY(),IF(Tabla3[[#This Row],[ULTIMO PAGO]]="",TODAY(),Tabla3[[#This Row],[ULTIMO PAGO]])),"m")</f>
        <v>1</v>
      </c>
      <c r="J182" s="18">
        <f>(_xlfn.MAXIFS(INGRESOS!A:A,INGRESOS!C:C,Tabla3[[#This Row],[CORREO]]))</f>
        <v>46076</v>
      </c>
      <c r="K182" s="7">
        <f ca="1">+IFERROR(Tabla3[[#This Row],[ABONADO NETO ]]/Tabla3[[#This Row],[MESES ACT]],Tabla3[[#This Row],[ABONO 1ER MES]])</f>
        <v>3869.24</v>
      </c>
      <c r="M182" s="287" t="s">
        <v>2119</v>
      </c>
      <c r="N182" s="288">
        <f>+SUMIF(INGRESOS!D:D,Tabla3[[#This Row],[ID STRIPE]],INGRESOS!J:J)</f>
        <v>3869.24</v>
      </c>
      <c r="O182" s="6">
        <v>24000</v>
      </c>
      <c r="P182" s="6">
        <f>+SUMIF('CALENDARIO INGRESOS'!A:A,Tabla3[[#This Row],[ID STRIPE]],'CALENDARIO INGRESOS'!I:I)</f>
        <v>24000</v>
      </c>
      <c r="Q182" s="6">
        <f>+SUMIF(INGRESOS!D:D,Tabla3[[#This Row],[ID STRIPE]],INGRESOS!G:G)</f>
        <v>4000</v>
      </c>
      <c r="R182" s="3" t="str">
        <f>IF(Tabla3[[#This Row],[ESTADO]]="OK",IF(COUNTIFS('CALENDARIO INGRESOS'!$A:$A,$D182,'CALENDARIO INGRESOS'!$H:$H,"LATAM",'CALENDARIO INGRESOS'!$L:$L,"&lt;&gt;PAGADA")&gt;0,"LATAM",
 IF(COUNTIFS('CALENDARIO INGRESOS'!$A:$A,$D182,'CALENDARIO INGRESOS'!$H:$H,"VISA",'CALENDARIO INGRESOS'!$L:$L,"&lt;&gt;PAGADA")&gt;0,"VISA",
  IF(COUNTIFS('CALENDARIO INGRESOS'!$A:$A,$D182,'CALENDARIO INGRESOS'!$H:$H,"FIRMA PA",'CALENDARIO INGRESOS'!$L:$L,"&lt;&gt;PAGADA")&gt;0,"FIRMA PA",
   IF(COUNTIFS('CALENDARIO INGRESOS'!$A:$A,$D182,'CALENDARIO INGRESOS'!$H:$H,"ALEM",'CALENDARIO INGRESOS'!$L:$L,"&lt;&gt;PAGADA")&gt;0,"ALEM","LISTO")))),"-")</f>
        <v>LATAM</v>
      </c>
      <c r="S182" s="188">
        <f>+SUMIFS('CALENDARIO INGRESOS'!I:I,'CALENDARIO INGRESOS'!A:A,Tabla3[[#This Row],[ID STRIPE]],'CALENDARIO INGRESOS'!H:H,"LATAM")</f>
        <v>13000</v>
      </c>
      <c r="T182" s="188">
        <f>+IF(Tabla3[[#This Row],[MONTO LATAM]]-Tabla3[[#This Row],[IMPORTE ABONADO]]&gt;=0,Tabla3[[#This Row],[MONTO LATAM]]-Tabla3[[#This Row],[IMPORTE ABONADO]],0)</f>
        <v>9000</v>
      </c>
      <c r="U182" s="188">
        <f>+SUMIFS('CALENDARIO INGRESOS'!I:I,'CALENDARIO INGRESOS'!A:A,Tabla3[[#This Row],[ID STRIPE]],'CALENDARIO INGRESOS'!H:H,"ALEM")</f>
        <v>8000</v>
      </c>
      <c r="V182" s="6">
        <f>+SUMIFS('CALENDARIO INGRESOS'!I:I,'CALENDARIO INGRESOS'!A:A,Tabla3[[#This Row],[ID STRIPE]],'CALENDARIO INGRESOS'!H:H,"VISA")+SUMIFS('CALENDARIO INGRESOS'!I:I,'CALENDARIO INGRESOS'!A:A,Tabla3[[#This Row],[ID STRIPE]],'CALENDARIO INGRESOS'!H:H,"FIRMA PA")</f>
        <v>3000</v>
      </c>
      <c r="W182" s="250">
        <v>1</v>
      </c>
      <c r="X182" s="57">
        <f>+IFERROR(AVERAGEIF('CALENDARIO INGRESOS'!A:A,Tabla3[[#This Row],[ID STRIPE]],'CALENDARIO INGRESOS'!M:M),"0")</f>
        <v>0</v>
      </c>
      <c r="Y182" s="18">
        <v>46357</v>
      </c>
      <c r="Z182" s="286">
        <f>+IFERROR(_xlfn.XLOOKUP(Tabla3[[#This Row],[ID LINGODA]],LINGODA!D:D,LINGODA!S:S),0)</f>
        <v>3</v>
      </c>
      <c r="AA182" s="18" t="str">
        <f>+IFERROR(_xlfn.XLOOKUP(Tabla3[[#This Row],[ID LINGODA]],LINGODA!D:D,LINGODA!F:F),"null")</f>
        <v>C1.1</v>
      </c>
      <c r="AB182" s="286" t="str">
        <f>+IFERROR(_xlfn.XLOOKUP(Tabla3[[#This Row],[ID LINGODA]],LINGODA!D:D,LINGODA!G:G),"null")</f>
        <v>C1.1</v>
      </c>
    </row>
    <row r="183" spans="1:28">
      <c r="A183" s="5" t="s">
        <v>2506</v>
      </c>
      <c r="B183" s="5" t="s">
        <v>2507</v>
      </c>
      <c r="C183" s="1" t="s">
        <v>13</v>
      </c>
      <c r="D183" s="1" t="s">
        <v>1936</v>
      </c>
      <c r="E183" s="57">
        <v>1859534</v>
      </c>
      <c r="F183" s="57"/>
      <c r="G183" s="18">
        <f>(_xlfn.MINIFS(INGRESOS!A:A,INGRESOS!C:C,Tabla3[[#This Row],[CORREO]]))</f>
        <v>46039</v>
      </c>
      <c r="H183" s="3">
        <f>+SUMIFS(INGRESOS!J:J,INGRESOS!D:D,Tabla3[[#This Row],[ID STRIPE]],INGRESOS!A:A,"&gt;="&amp;DATE(YEAR(Tabla3[[#This Row],[FECHA INGRESO]]),MONTH(Tabla3[[#This Row],[FECHA INGRESO]]),1),INGRESOS!A:A,"&lt;="&amp;DATE(YEAR(Tabla3[[#This Row],[FECHA INGRESO]]),MONTH(Tabla3[[#This Row],[FECHA INGRESO]])+1,0))</f>
        <v>2901.99</v>
      </c>
      <c r="I183" s="286">
        <f ca="1">DATEDIF(Tabla3[[#This Row],[FECHA INGRESO]],IF(OR(Tabla3[[#This Row],[ESTADO]]="OK",Tabla3[[#This Row],[ESTADO]]="¡REGULARIZAR!")=TRUE,TODAY(),IF(Tabla3[[#This Row],[ULTIMO PAGO]]="",TODAY(),Tabla3[[#This Row],[ULTIMO PAGO]])),"m")</f>
        <v>1</v>
      </c>
      <c r="J183" s="18">
        <f>(_xlfn.MAXIFS(INGRESOS!A:A,INGRESOS!C:C,Tabla3[[#This Row],[CORREO]]))</f>
        <v>46070</v>
      </c>
      <c r="K183" s="7">
        <f ca="1">+IFERROR(Tabla3[[#This Row],[ABONADO NETO ]]/Tabla3[[#This Row],[MESES ACT]],Tabla3[[#This Row],[ABONO 1ER MES]])</f>
        <v>3869.24</v>
      </c>
      <c r="M183" s="287" t="s">
        <v>2119</v>
      </c>
      <c r="N183" s="288">
        <f>+SUMIF(INGRESOS!D:D,Tabla3[[#This Row],[ID STRIPE]],INGRESOS!J:J)</f>
        <v>3869.24</v>
      </c>
      <c r="O183" s="6">
        <v>24000</v>
      </c>
      <c r="P183" s="6">
        <f>+SUMIF('CALENDARIO INGRESOS'!A:A,Tabla3[[#This Row],[ID STRIPE]],'CALENDARIO INGRESOS'!I:I)</f>
        <v>24000</v>
      </c>
      <c r="Q183" s="6">
        <f>+SUMIF(INGRESOS!D:D,Tabla3[[#This Row],[ID STRIPE]],INGRESOS!G:G)</f>
        <v>4000</v>
      </c>
      <c r="R183" s="3" t="str">
        <f>IF(Tabla3[[#This Row],[ESTADO]]="OK",IF(COUNTIFS('CALENDARIO INGRESOS'!$A:$A,$D183,'CALENDARIO INGRESOS'!$H:$H,"LATAM",'CALENDARIO INGRESOS'!$L:$L,"&lt;&gt;PAGADA")&gt;0,"LATAM",
 IF(COUNTIFS('CALENDARIO INGRESOS'!$A:$A,$D183,'CALENDARIO INGRESOS'!$H:$H,"VISA",'CALENDARIO INGRESOS'!$L:$L,"&lt;&gt;PAGADA")&gt;0,"VISA",
  IF(COUNTIFS('CALENDARIO INGRESOS'!$A:$A,$D183,'CALENDARIO INGRESOS'!$H:$H,"FIRMA PA",'CALENDARIO INGRESOS'!$L:$L,"&lt;&gt;PAGADA")&gt;0,"FIRMA PA",
   IF(COUNTIFS('CALENDARIO INGRESOS'!$A:$A,$D183,'CALENDARIO INGRESOS'!$H:$H,"ALEM",'CALENDARIO INGRESOS'!$L:$L,"&lt;&gt;PAGADA")&gt;0,"ALEM","LISTO")))),"-")</f>
        <v>LATAM</v>
      </c>
      <c r="S183" s="188">
        <f>+SUMIFS('CALENDARIO INGRESOS'!I:I,'CALENDARIO INGRESOS'!A:A,Tabla3[[#This Row],[ID STRIPE]],'CALENDARIO INGRESOS'!H:H,"LATAM")</f>
        <v>13000</v>
      </c>
      <c r="T183" s="188">
        <f>+IF(Tabla3[[#This Row],[MONTO LATAM]]-Tabla3[[#This Row],[IMPORTE ABONADO]]&gt;=0,Tabla3[[#This Row],[MONTO LATAM]]-Tabla3[[#This Row],[IMPORTE ABONADO]],0)</f>
        <v>9000</v>
      </c>
      <c r="U183" s="188">
        <f>+SUMIFS('CALENDARIO INGRESOS'!I:I,'CALENDARIO INGRESOS'!A:A,Tabla3[[#This Row],[ID STRIPE]],'CALENDARIO INGRESOS'!H:H,"ALEM")</f>
        <v>8000</v>
      </c>
      <c r="V183" s="6">
        <f>+SUMIFS('CALENDARIO INGRESOS'!I:I,'CALENDARIO INGRESOS'!A:A,Tabla3[[#This Row],[ID STRIPE]],'CALENDARIO INGRESOS'!H:H,"VISA")+SUMIFS('CALENDARIO INGRESOS'!I:I,'CALENDARIO INGRESOS'!A:A,Tabla3[[#This Row],[ID STRIPE]],'CALENDARIO INGRESOS'!H:H,"FIRMA PA")</f>
        <v>3000</v>
      </c>
      <c r="W183" s="250">
        <v>0</v>
      </c>
      <c r="X183" s="57">
        <f>+IFERROR(AVERAGEIF('CALENDARIO INGRESOS'!A:A,Tabla3[[#This Row],[ID STRIPE]],'CALENDARIO INGRESOS'!M:M),"0")</f>
        <v>1.6666666666666667</v>
      </c>
      <c r="Y183" s="18">
        <v>46346</v>
      </c>
      <c r="Z183" s="286">
        <f>+IFERROR(_xlfn.XLOOKUP(Tabla3[[#This Row],[ID LINGODA]],LINGODA!D:D,LINGODA!S:S),0)</f>
        <v>3</v>
      </c>
      <c r="AA183" s="18" t="str">
        <f>+IFERROR(_xlfn.XLOOKUP(Tabla3[[#This Row],[ID LINGODA]],LINGODA!D:D,LINGODA!F:F),"null")</f>
        <v>B2.1</v>
      </c>
      <c r="AB183" s="286" t="str">
        <f>+IFERROR(_xlfn.XLOOKUP(Tabla3[[#This Row],[ID LINGODA]],LINGODA!D:D,LINGODA!G:G),"null")</f>
        <v>B2.1</v>
      </c>
    </row>
    <row r="184" spans="1:28">
      <c r="A184" s="5" t="s">
        <v>2508</v>
      </c>
      <c r="B184" s="5" t="s">
        <v>2509</v>
      </c>
      <c r="C184" s="1" t="s">
        <v>11</v>
      </c>
      <c r="D184" s="1" t="s">
        <v>1945</v>
      </c>
      <c r="E184" s="57">
        <v>1859532</v>
      </c>
      <c r="F184" s="57"/>
      <c r="G184" s="18">
        <f>(_xlfn.MINIFS(INGRESOS!A:A,INGRESOS!C:C,Tabla3[[#This Row],[CORREO]]))</f>
        <v>46041</v>
      </c>
      <c r="H184" s="3">
        <f>+SUMIFS(INGRESOS!J:J,INGRESOS!D:D,Tabla3[[#This Row],[ID STRIPE]],INGRESOS!A:A,"&gt;="&amp;DATE(YEAR(Tabla3[[#This Row],[FECHA INGRESO]]),MONTH(Tabla3[[#This Row],[FECHA INGRESO]]),1),INGRESOS!A:A,"&lt;="&amp;DATE(YEAR(Tabla3[[#This Row],[FECHA INGRESO]]),MONTH(Tabla3[[#This Row],[FECHA INGRESO]])+1,0))</f>
        <v>483.24</v>
      </c>
      <c r="I184" s="286">
        <f ca="1">DATEDIF(Tabla3[[#This Row],[FECHA INGRESO]],IF(OR(Tabla3[[#This Row],[ESTADO]]="OK",Tabla3[[#This Row],[ESTADO]]="¡REGULARIZAR!")=TRUE,TODAY(),IF(Tabla3[[#This Row],[ULTIMO PAGO]]="",TODAY(),Tabla3[[#This Row],[ULTIMO PAGO]])),"m")</f>
        <v>1</v>
      </c>
      <c r="J184" s="18">
        <f>(_xlfn.MAXIFS(INGRESOS!A:A,INGRESOS!C:C,Tabla3[[#This Row],[CORREO]]))</f>
        <v>46048</v>
      </c>
      <c r="K184" s="7">
        <f ca="1">+IFERROR(Tabla3[[#This Row],[ABONADO NETO ]]/Tabla3[[#This Row],[MESES ACT]],Tabla3[[#This Row],[ABONO 1ER MES]])</f>
        <v>483.24</v>
      </c>
      <c r="M184" s="287" t="s">
        <v>2119</v>
      </c>
      <c r="N184" s="288">
        <f>+SUMIF(INGRESOS!D:D,Tabla3[[#This Row],[ID STRIPE]],INGRESOS!J:J)</f>
        <v>483.24</v>
      </c>
      <c r="O184" s="6">
        <v>29600</v>
      </c>
      <c r="P184" s="6">
        <f>+SUMIF('CALENDARIO INGRESOS'!A:A,Tabla3[[#This Row],[ID STRIPE]],'CALENDARIO INGRESOS'!I:I)</f>
        <v>29600</v>
      </c>
      <c r="Q184" s="6">
        <f>+SUMIF(INGRESOS!D:D,Tabla3[[#This Row],[ID STRIPE]],INGRESOS!G:G)</f>
        <v>500</v>
      </c>
      <c r="R184" s="3" t="str">
        <f>IF(Tabla3[[#This Row],[ESTADO]]="OK",IF(COUNTIFS('CALENDARIO INGRESOS'!$A:$A,$D184,'CALENDARIO INGRESOS'!$H:$H,"LATAM",'CALENDARIO INGRESOS'!$L:$L,"&lt;&gt;PAGADA")&gt;0,"LATAM",
 IF(COUNTIFS('CALENDARIO INGRESOS'!$A:$A,$D184,'CALENDARIO INGRESOS'!$H:$H,"VISA",'CALENDARIO INGRESOS'!$L:$L,"&lt;&gt;PAGADA")&gt;0,"VISA",
  IF(COUNTIFS('CALENDARIO INGRESOS'!$A:$A,$D184,'CALENDARIO INGRESOS'!$H:$H,"FIRMA PA",'CALENDARIO INGRESOS'!$L:$L,"&lt;&gt;PAGADA")&gt;0,"FIRMA PA",
   IF(COUNTIFS('CALENDARIO INGRESOS'!$A:$A,$D184,'CALENDARIO INGRESOS'!$H:$H,"ALEM",'CALENDARIO INGRESOS'!$L:$L,"&lt;&gt;PAGADA")&gt;0,"ALEM","LISTO")))),"-")</f>
        <v>LATAM</v>
      </c>
      <c r="S184" s="188">
        <f>+SUMIFS('CALENDARIO INGRESOS'!I:I,'CALENDARIO INGRESOS'!A:A,Tabla3[[#This Row],[ID STRIPE]],'CALENDARIO INGRESOS'!H:H,"LATAM")</f>
        <v>18600</v>
      </c>
      <c r="T184" s="188">
        <f>+IF(Tabla3[[#This Row],[MONTO LATAM]]-Tabla3[[#This Row],[IMPORTE ABONADO]]&gt;=0,Tabla3[[#This Row],[MONTO LATAM]]-Tabla3[[#This Row],[IMPORTE ABONADO]],0)</f>
        <v>18100</v>
      </c>
      <c r="U184" s="188">
        <f>+SUMIFS('CALENDARIO INGRESOS'!I:I,'CALENDARIO INGRESOS'!A:A,Tabla3[[#This Row],[ID STRIPE]],'CALENDARIO INGRESOS'!H:H,"ALEM")</f>
        <v>8000</v>
      </c>
      <c r="V184" s="6">
        <f>+SUMIFS('CALENDARIO INGRESOS'!I:I,'CALENDARIO INGRESOS'!A:A,Tabla3[[#This Row],[ID STRIPE]],'CALENDARIO INGRESOS'!H:H,"VISA")+SUMIFS('CALENDARIO INGRESOS'!I:I,'CALENDARIO INGRESOS'!A:A,Tabla3[[#This Row],[ID STRIPE]],'CALENDARIO INGRESOS'!H:H,"FIRMA PA")</f>
        <v>3000</v>
      </c>
      <c r="W184" s="250">
        <v>0</v>
      </c>
      <c r="X184" s="57">
        <f>+IFERROR(AVERAGEIF('CALENDARIO INGRESOS'!A:A,Tabla3[[#This Row],[ID STRIPE]],'CALENDARIO INGRESOS'!M:M),"0")</f>
        <v>0</v>
      </c>
      <c r="Y184" s="18">
        <v>46401</v>
      </c>
      <c r="Z184" s="286">
        <f>+IFERROR(_xlfn.XLOOKUP(Tabla3[[#This Row],[ID LINGODA]],LINGODA!D:D,LINGODA!S:S),0)</f>
        <v>1</v>
      </c>
      <c r="AA184" s="18" t="str">
        <f>+IFERROR(_xlfn.XLOOKUP(Tabla3[[#This Row],[ID LINGODA]],LINGODA!D:D,LINGODA!F:F),"null")</f>
        <v>A1.1</v>
      </c>
      <c r="AB184" s="286" t="str">
        <f>+IFERROR(_xlfn.XLOOKUP(Tabla3[[#This Row],[ID LINGODA]],LINGODA!D:D,LINGODA!G:G),"null")</f>
        <v>A1.1</v>
      </c>
    </row>
    <row r="185" spans="1:28">
      <c r="A185" s="5" t="s">
        <v>2510</v>
      </c>
      <c r="B185" s="5" t="s">
        <v>2511</v>
      </c>
      <c r="C185" s="1" t="s">
        <v>22</v>
      </c>
      <c r="D185" s="1" t="s">
        <v>2512</v>
      </c>
      <c r="E185" s="57">
        <v>1860637</v>
      </c>
      <c r="F185" s="57"/>
      <c r="G185" s="18">
        <f>(_xlfn.MINIFS(INGRESOS!A:A,INGRESOS!C:C,Tabla3[[#This Row],[CORREO]]))</f>
        <v>46043</v>
      </c>
      <c r="H185" s="3">
        <f>+SUMIFS(INGRESOS!J:J,INGRESOS!D:D,Tabla3[[#This Row],[ID STRIPE]],INGRESOS!A:A,"&gt;="&amp;DATE(YEAR(Tabla3[[#This Row],[FECHA INGRESO]]),MONTH(Tabla3[[#This Row],[FECHA INGRESO]]),1),INGRESOS!A:A,"&lt;="&amp;DATE(YEAR(Tabla3[[#This Row],[FECHA INGRESO]]),MONTH(Tabla3[[#This Row],[FECHA INGRESO]])+1,0))</f>
        <v>241.62</v>
      </c>
      <c r="I185" s="286">
        <f ca="1">DATEDIF(Tabla3[[#This Row],[FECHA INGRESO]],IF(OR(Tabla3[[#This Row],[ESTADO]]="OK",Tabla3[[#This Row],[ESTADO]]="¡REGULARIZAR!")=TRUE,TODAY(),IF(Tabla3[[#This Row],[ULTIMO PAGO]]="",TODAY(),Tabla3[[#This Row],[ULTIMO PAGO]])),"m")</f>
        <v>0</v>
      </c>
      <c r="J185" s="18">
        <f>(_xlfn.MAXIFS(INGRESOS!A:A,INGRESOS!C:C,Tabla3[[#This Row],[CORREO]]))</f>
        <v>46066</v>
      </c>
      <c r="K185" s="7">
        <f ca="1">+IFERROR(Tabla3[[#This Row],[ABONADO NETO ]]/Tabla3[[#This Row],[MESES ACT]],Tabla3[[#This Row],[ABONO 1ER MES]])</f>
        <v>241.62</v>
      </c>
      <c r="M185" s="287" t="s">
        <v>2513</v>
      </c>
      <c r="N185" s="288">
        <f>+SUMIF(INGRESOS!D:D,Tabla3[[#This Row],[ID STRIPE]],INGRESOS!J:J)</f>
        <v>3222.247823648544</v>
      </c>
      <c r="O185" s="6">
        <v>22000</v>
      </c>
      <c r="P185" s="6">
        <f>+SUMIF('CALENDARIO INGRESOS'!A:A,Tabla3[[#This Row],[ID STRIPE]],'CALENDARIO INGRESOS'!I:I)</f>
        <v>0</v>
      </c>
      <c r="Q185" s="6">
        <f>+SUMIF(INGRESOS!D:D,Tabla3[[#This Row],[ID STRIPE]],INGRESOS!G:G)</f>
        <v>3230.6278236485441</v>
      </c>
      <c r="R185" s="3" t="str">
        <f>IF(Tabla3[[#This Row],[ESTADO]]="OK",IF(COUNTIFS('CALENDARIO INGRESOS'!$A:$A,$D185,'CALENDARIO INGRESOS'!$H:$H,"LATAM",'CALENDARIO INGRESOS'!$L:$L,"&lt;&gt;PAGADA")&gt;0,"LATAM",
 IF(COUNTIFS('CALENDARIO INGRESOS'!$A:$A,$D185,'CALENDARIO INGRESOS'!$H:$H,"VISA",'CALENDARIO INGRESOS'!$L:$L,"&lt;&gt;PAGADA")&gt;0,"VISA",
  IF(COUNTIFS('CALENDARIO INGRESOS'!$A:$A,$D185,'CALENDARIO INGRESOS'!$H:$H,"FIRMA PA",'CALENDARIO INGRESOS'!$L:$L,"&lt;&gt;PAGADA")&gt;0,"FIRMA PA",
   IF(COUNTIFS('CALENDARIO INGRESOS'!$A:$A,$D185,'CALENDARIO INGRESOS'!$H:$H,"ALEM",'CALENDARIO INGRESOS'!$L:$L,"&lt;&gt;PAGADA")&gt;0,"ALEM","LISTO")))),"-")</f>
        <v>-</v>
      </c>
      <c r="S185" s="188">
        <f>+SUMIFS('CALENDARIO INGRESOS'!I:I,'CALENDARIO INGRESOS'!A:A,Tabla3[[#This Row],[ID STRIPE]],'CALENDARIO INGRESOS'!H:H,"LATAM")</f>
        <v>0</v>
      </c>
      <c r="T185" s="188">
        <f>+IF(Tabla3[[#This Row],[MONTO LATAM]]-Tabla3[[#This Row],[IMPORTE ABONADO]]&gt;=0,Tabla3[[#This Row],[MONTO LATAM]]-Tabla3[[#This Row],[IMPORTE ABONADO]],0)</f>
        <v>0</v>
      </c>
      <c r="U185" s="188">
        <f>+SUMIFS('CALENDARIO INGRESOS'!I:I,'CALENDARIO INGRESOS'!A:A,Tabla3[[#This Row],[ID STRIPE]],'CALENDARIO INGRESOS'!H:H,"ALEM")</f>
        <v>0</v>
      </c>
      <c r="V185" s="6">
        <f>+SUMIFS('CALENDARIO INGRESOS'!I:I,'CALENDARIO INGRESOS'!A:A,Tabla3[[#This Row],[ID STRIPE]],'CALENDARIO INGRESOS'!H:H,"VISA")+SUMIFS('CALENDARIO INGRESOS'!I:I,'CALENDARIO INGRESOS'!A:A,Tabla3[[#This Row],[ID STRIPE]],'CALENDARIO INGRESOS'!H:H,"FIRMA PA")</f>
        <v>0</v>
      </c>
      <c r="W185" s="250">
        <v>0</v>
      </c>
      <c r="X185" s="57" t="str">
        <f>+IFERROR(AVERAGEIF('CALENDARIO INGRESOS'!A:A,Tabla3[[#This Row],[ID STRIPE]],'CALENDARIO INGRESOS'!M:M),"0")</f>
        <v>0</v>
      </c>
      <c r="Y185" s="18">
        <v>46082</v>
      </c>
      <c r="Z185" s="286">
        <f>+IFERROR(_xlfn.XLOOKUP(Tabla3[[#This Row],[ID LINGODA]],LINGODA!D:D,LINGODA!S:S),0)</f>
        <v>13</v>
      </c>
      <c r="AA185" s="18" t="str">
        <f>+IFERROR(_xlfn.XLOOKUP(Tabla3[[#This Row],[ID LINGODA]],LINGODA!D:D,LINGODA!F:F),"null")</f>
        <v>B1.1</v>
      </c>
      <c r="AB185" s="286" t="str">
        <f>+IFERROR(_xlfn.XLOOKUP(Tabla3[[#This Row],[ID LINGODA]],LINGODA!D:D,LINGODA!G:G),"null")</f>
        <v>B1.1</v>
      </c>
    </row>
    <row r="186" spans="1:28">
      <c r="A186" s="5" t="s">
        <v>2514</v>
      </c>
      <c r="B186" s="5" t="s">
        <v>2515</v>
      </c>
      <c r="C186" s="1" t="s">
        <v>22</v>
      </c>
      <c r="D186" s="1" t="s">
        <v>1956</v>
      </c>
      <c r="E186" s="57">
        <v>1860639</v>
      </c>
      <c r="F186" s="57"/>
      <c r="G186" s="18">
        <f>(_xlfn.MINIFS(INGRESOS!A:A,INGRESOS!C:C,Tabla3[[#This Row],[CORREO]]))</f>
        <v>46044</v>
      </c>
      <c r="H186" s="3">
        <f>+SUMIFS(INGRESOS!J:J,INGRESOS!D:D,Tabla3[[#This Row],[ID STRIPE]],INGRESOS!A:A,"&gt;="&amp;DATE(YEAR(Tabla3[[#This Row],[FECHA INGRESO]]),MONTH(Tabla3[[#This Row],[FECHA INGRESO]]),1),INGRESOS!A:A,"&lt;="&amp;DATE(YEAR(Tabla3[[#This Row],[FECHA INGRESO]]),MONTH(Tabla3[[#This Row],[FECHA INGRESO]])+1,0))</f>
        <v>1450.7399999999998</v>
      </c>
      <c r="I186" s="286">
        <f ca="1">DATEDIF(Tabla3[[#This Row],[FECHA INGRESO]],IF(OR(Tabla3[[#This Row],[ESTADO]]="OK",Tabla3[[#This Row],[ESTADO]]="¡REGULARIZAR!")=TRUE,TODAY(),IF(Tabla3[[#This Row],[ULTIMO PAGO]]="",TODAY(),Tabla3[[#This Row],[ULTIMO PAGO]])),"m")</f>
        <v>0</v>
      </c>
      <c r="J186" s="18">
        <f>(_xlfn.MAXIFS(INGRESOS!A:A,INGRESOS!C:C,Tabla3[[#This Row],[CORREO]]))</f>
        <v>46044</v>
      </c>
      <c r="K186" s="7">
        <f ca="1">+IFERROR(Tabla3[[#This Row],[ABONADO NETO ]]/Tabla3[[#This Row],[MESES ACT]],Tabla3[[#This Row],[ABONO 1ER MES]])</f>
        <v>1450.7399999999998</v>
      </c>
      <c r="M186" s="287" t="s">
        <v>2139</v>
      </c>
      <c r="N186" s="288">
        <f>+SUMIF(INGRESOS!D:D,Tabla3[[#This Row],[ID STRIPE]],INGRESOS!J:J)</f>
        <v>1450.7399999999998</v>
      </c>
      <c r="O186" s="6">
        <v>23000</v>
      </c>
      <c r="P186" s="6">
        <f>+SUMIF('CALENDARIO INGRESOS'!A:A,Tabla3[[#This Row],[ID STRIPE]],'CALENDARIO INGRESOS'!I:I)</f>
        <v>11000</v>
      </c>
      <c r="Q186" s="6">
        <f>+SUMIF(INGRESOS!D:D,Tabla3[[#This Row],[ID STRIPE]],INGRESOS!G:G)</f>
        <v>1500</v>
      </c>
      <c r="R186" s="3" t="str">
        <f>IF(Tabla3[[#This Row],[ESTADO]]="OK",IF(COUNTIFS('CALENDARIO INGRESOS'!$A:$A,$D186,'CALENDARIO INGRESOS'!$H:$H,"LATAM",'CALENDARIO INGRESOS'!$L:$L,"&lt;&gt;PAGADA")&gt;0,"LATAM",
 IF(COUNTIFS('CALENDARIO INGRESOS'!$A:$A,$D186,'CALENDARIO INGRESOS'!$H:$H,"VISA",'CALENDARIO INGRESOS'!$L:$L,"&lt;&gt;PAGADA")&gt;0,"VISA",
  IF(COUNTIFS('CALENDARIO INGRESOS'!$A:$A,$D186,'CALENDARIO INGRESOS'!$H:$H,"FIRMA PA",'CALENDARIO INGRESOS'!$L:$L,"&lt;&gt;PAGADA")&gt;0,"FIRMA PA",
   IF(COUNTIFS('CALENDARIO INGRESOS'!$A:$A,$D186,'CALENDARIO INGRESOS'!$H:$H,"ALEM",'CALENDARIO INGRESOS'!$L:$L,"&lt;&gt;PAGADA")&gt;0,"ALEM","LISTO")))),"-")</f>
        <v>-</v>
      </c>
      <c r="S186" s="188">
        <f>+SUMIFS('CALENDARIO INGRESOS'!I:I,'CALENDARIO INGRESOS'!A:A,Tabla3[[#This Row],[ID STRIPE]],'CALENDARIO INGRESOS'!H:H,"LATAM")</f>
        <v>11000</v>
      </c>
      <c r="T186" s="188">
        <f>+IF(Tabla3[[#This Row],[MONTO LATAM]]-Tabla3[[#This Row],[IMPORTE ABONADO]]&gt;=0,Tabla3[[#This Row],[MONTO LATAM]]-Tabla3[[#This Row],[IMPORTE ABONADO]],0)</f>
        <v>9500</v>
      </c>
      <c r="U186" s="188">
        <f>+SUMIFS('CALENDARIO INGRESOS'!I:I,'CALENDARIO INGRESOS'!A:A,Tabla3[[#This Row],[ID STRIPE]],'CALENDARIO INGRESOS'!H:H,"ALEM")</f>
        <v>0</v>
      </c>
      <c r="V186" s="6">
        <f>+SUMIFS('CALENDARIO INGRESOS'!I:I,'CALENDARIO INGRESOS'!A:A,Tabla3[[#This Row],[ID STRIPE]],'CALENDARIO INGRESOS'!H:H,"VISA")+SUMIFS('CALENDARIO INGRESOS'!I:I,'CALENDARIO INGRESOS'!A:A,Tabla3[[#This Row],[ID STRIPE]],'CALENDARIO INGRESOS'!H:H,"FIRMA PA")</f>
        <v>0</v>
      </c>
      <c r="W186" s="250">
        <v>0</v>
      </c>
      <c r="X186" s="57">
        <f>+IFERROR(AVERAGEIF('CALENDARIO INGRESOS'!A:A,Tabla3[[#This Row],[ID STRIPE]],'CALENDARIO INGRESOS'!M:M),"0")</f>
        <v>0</v>
      </c>
      <c r="Y186" s="18">
        <v>46143</v>
      </c>
      <c r="Z186" s="286">
        <f>+IFERROR(_xlfn.XLOOKUP(Tabla3[[#This Row],[ID LINGODA]],LINGODA!D:D,LINGODA!S:S),0)</f>
        <v>3</v>
      </c>
      <c r="AA186" s="18" t="str">
        <f>+IFERROR(_xlfn.XLOOKUP(Tabla3[[#This Row],[ID LINGODA]],LINGODA!D:D,LINGODA!F:F),"null")</f>
        <v>C1.1</v>
      </c>
      <c r="AB186" s="286" t="str">
        <f>+IFERROR(_xlfn.XLOOKUP(Tabla3[[#This Row],[ID LINGODA]],LINGODA!D:D,LINGODA!G:G),"null")</f>
        <v>C1.1</v>
      </c>
    </row>
    <row r="187" spans="1:28">
      <c r="A187" s="5" t="s">
        <v>2516</v>
      </c>
      <c r="B187" s="5" t="s">
        <v>2517</v>
      </c>
      <c r="C187" s="1" t="s">
        <v>13</v>
      </c>
      <c r="D187" s="1" t="s">
        <v>2518</v>
      </c>
      <c r="E187" s="57">
        <v>1861983</v>
      </c>
      <c r="F187" s="57"/>
      <c r="G187" s="18">
        <f>(_xlfn.MINIFS(INGRESOS!A:A,INGRESOS!C:C,Tabla3[[#This Row],[CORREO]]))</f>
        <v>46048</v>
      </c>
      <c r="H187" s="3">
        <f>+SUMIFS(INGRESOS!J:J,INGRESOS!D:D,Tabla3[[#This Row],[ID STRIPE]],INGRESOS!A:A,"&gt;="&amp;DATE(YEAR(Tabla3[[#This Row],[FECHA INGRESO]]),MONTH(Tabla3[[#This Row],[FECHA INGRESO]]),1),INGRESOS!A:A,"&lt;="&amp;DATE(YEAR(Tabla3[[#This Row],[FECHA INGRESO]]),MONTH(Tabla3[[#This Row],[FECHA INGRESO]])+1,0))</f>
        <v>241.62</v>
      </c>
      <c r="I187" s="286">
        <f ca="1">DATEDIF(Tabla3[[#This Row],[FECHA INGRESO]],IF(OR(Tabla3[[#This Row],[ESTADO]]="OK",Tabla3[[#This Row],[ESTADO]]="¡REGULARIZAR!")=TRUE,TODAY(),IF(Tabla3[[#This Row],[ULTIMO PAGO]]="",TODAY(),Tabla3[[#This Row],[ULTIMO PAGO]])),"m")</f>
        <v>0</v>
      </c>
      <c r="J187" s="18">
        <f>(_xlfn.MAXIFS(INGRESOS!A:A,INGRESOS!C:C,Tabla3[[#This Row],[CORREO]]))</f>
        <v>46071</v>
      </c>
      <c r="K187" s="7">
        <f ca="1">+IFERROR(Tabla3[[#This Row],[ABONADO NETO ]]/Tabla3[[#This Row],[MESES ACT]],Tabla3[[#This Row],[ABONO 1ER MES]])</f>
        <v>241.62</v>
      </c>
      <c r="M187" s="287" t="s">
        <v>2513</v>
      </c>
      <c r="N187" s="288">
        <f>+SUMIF(INGRESOS!D:D,Tabla3[[#This Row],[ID STRIPE]],INGRESOS!J:J)</f>
        <v>483.24</v>
      </c>
      <c r="O187" s="6">
        <v>26000</v>
      </c>
      <c r="P187" s="6">
        <f>+SUMIF('CALENDARIO INGRESOS'!A:A,Tabla3[[#This Row],[ID STRIPE]],'CALENDARIO INGRESOS'!I:I)</f>
        <v>0</v>
      </c>
      <c r="Q187" s="6">
        <f>+SUMIF(INGRESOS!D:D,Tabla3[[#This Row],[ID STRIPE]],INGRESOS!G:G)</f>
        <v>500</v>
      </c>
      <c r="R187" s="3" t="str">
        <f>IF(Tabla3[[#This Row],[ESTADO]]="OK",IF(COUNTIFS('CALENDARIO INGRESOS'!$A:$A,$D187,'CALENDARIO INGRESOS'!$H:$H,"LATAM",'CALENDARIO INGRESOS'!$L:$L,"&lt;&gt;PAGADA")&gt;0,"LATAM",
 IF(COUNTIFS('CALENDARIO INGRESOS'!$A:$A,$D187,'CALENDARIO INGRESOS'!$H:$H,"VISA",'CALENDARIO INGRESOS'!$L:$L,"&lt;&gt;PAGADA")&gt;0,"VISA",
  IF(COUNTIFS('CALENDARIO INGRESOS'!$A:$A,$D187,'CALENDARIO INGRESOS'!$H:$H,"FIRMA PA",'CALENDARIO INGRESOS'!$L:$L,"&lt;&gt;PAGADA")&gt;0,"FIRMA PA",
   IF(COUNTIFS('CALENDARIO INGRESOS'!$A:$A,$D187,'CALENDARIO INGRESOS'!$H:$H,"ALEM",'CALENDARIO INGRESOS'!$L:$L,"&lt;&gt;PAGADA")&gt;0,"ALEM","LISTO")))),"-")</f>
        <v>-</v>
      </c>
      <c r="S187" s="188">
        <f>+SUMIFS('CALENDARIO INGRESOS'!I:I,'CALENDARIO INGRESOS'!A:A,Tabla3[[#This Row],[ID STRIPE]],'CALENDARIO INGRESOS'!H:H,"LATAM")</f>
        <v>0</v>
      </c>
      <c r="T187" s="188">
        <f>+IF(Tabla3[[#This Row],[MONTO LATAM]]-Tabla3[[#This Row],[IMPORTE ABONADO]]&gt;=0,Tabla3[[#This Row],[MONTO LATAM]]-Tabla3[[#This Row],[IMPORTE ABONADO]],0)</f>
        <v>0</v>
      </c>
      <c r="U187" s="188">
        <f>+SUMIFS('CALENDARIO INGRESOS'!I:I,'CALENDARIO INGRESOS'!A:A,Tabla3[[#This Row],[ID STRIPE]],'CALENDARIO INGRESOS'!H:H,"ALEM")</f>
        <v>0</v>
      </c>
      <c r="V187" s="6">
        <f>+SUMIFS('CALENDARIO INGRESOS'!I:I,'CALENDARIO INGRESOS'!A:A,Tabla3[[#This Row],[ID STRIPE]],'CALENDARIO INGRESOS'!H:H,"VISA")+SUMIFS('CALENDARIO INGRESOS'!I:I,'CALENDARIO INGRESOS'!A:A,Tabla3[[#This Row],[ID STRIPE]],'CALENDARIO INGRESOS'!H:H,"FIRMA PA")</f>
        <v>0</v>
      </c>
      <c r="W187" s="250">
        <v>0</v>
      </c>
      <c r="X187" s="57" t="str">
        <f>+IFERROR(AVERAGEIF('CALENDARIO INGRESOS'!A:A,Tabla3[[#This Row],[ID STRIPE]],'CALENDARIO INGRESOS'!M:M),"0")</f>
        <v>0</v>
      </c>
      <c r="Y187" s="18">
        <v>46295</v>
      </c>
      <c r="Z187" s="286">
        <f>+IFERROR(_xlfn.XLOOKUP(Tabla3[[#This Row],[ID LINGODA]],LINGODA!D:D,LINGODA!S:S),0)</f>
        <v>3</v>
      </c>
      <c r="AA187" s="18" t="str">
        <f>+IFERROR(_xlfn.XLOOKUP(Tabla3[[#This Row],[ID LINGODA]],LINGODA!D:D,LINGODA!F:F),"null")</f>
        <v>A1.1</v>
      </c>
      <c r="AB187" s="286" t="str">
        <f>+IFERROR(_xlfn.XLOOKUP(Tabla3[[#This Row],[ID LINGODA]],LINGODA!D:D,LINGODA!G:G),"null")</f>
        <v>A1.1</v>
      </c>
    </row>
    <row r="188" spans="1:28">
      <c r="A188" s="5" t="s">
        <v>2519</v>
      </c>
      <c r="B188" s="5" t="s">
        <v>2520</v>
      </c>
      <c r="C188" s="1" t="s">
        <v>14</v>
      </c>
      <c r="D188" s="1" t="s">
        <v>2521</v>
      </c>
      <c r="E188" s="57">
        <v>1861984</v>
      </c>
      <c r="F188" s="57"/>
      <c r="G188" s="18">
        <f>(_xlfn.MINIFS(INGRESOS!A:A,INGRESOS!C:C,Tabla3[[#This Row],[CORREO]]))</f>
        <v>46048</v>
      </c>
      <c r="H188" s="3">
        <f>+SUMIFS(INGRESOS!J:J,INGRESOS!D:D,Tabla3[[#This Row],[ID STRIPE]],INGRESOS!A:A,"&gt;="&amp;DATE(YEAR(Tabla3[[#This Row],[FECHA INGRESO]]),MONTH(Tabla3[[#This Row],[FECHA INGRESO]]),1),INGRESOS!A:A,"&lt;="&amp;DATE(YEAR(Tabla3[[#This Row],[FECHA INGRESO]]),MONTH(Tabla3[[#This Row],[FECHA INGRESO]])+1,0))</f>
        <v>628.62</v>
      </c>
      <c r="I188" s="286">
        <f ca="1">DATEDIF(Tabla3[[#This Row],[FECHA INGRESO]],IF(OR(Tabla3[[#This Row],[ESTADO]]="OK",Tabla3[[#This Row],[ESTADO]]="¡REGULARIZAR!")=TRUE,TODAY(),IF(Tabla3[[#This Row],[ULTIMO PAGO]]="",TODAY(),Tabla3[[#This Row],[ULTIMO PAGO]])),"m")</f>
        <v>1</v>
      </c>
      <c r="J188" s="18">
        <f>(_xlfn.MAXIFS(INGRESOS!A:A,INGRESOS!C:C,Tabla3[[#This Row],[CORREO]]))</f>
        <v>46048</v>
      </c>
      <c r="K188" s="7">
        <f ca="1">+IFERROR(Tabla3[[#This Row],[ABONADO NETO ]]/Tabla3[[#This Row],[MESES ACT]],Tabla3[[#This Row],[ABONO 1ER MES]])</f>
        <v>628.62</v>
      </c>
      <c r="M188" s="287" t="s">
        <v>2119</v>
      </c>
      <c r="N188" s="288">
        <f>+SUMIF(INGRESOS!D:D,Tabla3[[#This Row],[ID STRIPE]],INGRESOS!J:J)</f>
        <v>628.62</v>
      </c>
      <c r="O188" s="6">
        <v>29600</v>
      </c>
      <c r="P188" s="6">
        <f>+SUMIF('CALENDARIO INGRESOS'!A:A,Tabla3[[#This Row],[ID STRIPE]],'CALENDARIO INGRESOS'!I:I)</f>
        <v>29600</v>
      </c>
      <c r="Q188" s="6">
        <f>+SUMIF(INGRESOS!D:D,Tabla3[[#This Row],[ID STRIPE]],INGRESOS!G:G)</f>
        <v>650</v>
      </c>
      <c r="R188" s="3" t="str">
        <f>IF(Tabla3[[#This Row],[ESTADO]]="OK",IF(COUNTIFS('CALENDARIO INGRESOS'!$A:$A,$D188,'CALENDARIO INGRESOS'!$H:$H,"LATAM",'CALENDARIO INGRESOS'!$L:$L,"&lt;&gt;PAGADA")&gt;0,"LATAM",
 IF(COUNTIFS('CALENDARIO INGRESOS'!$A:$A,$D188,'CALENDARIO INGRESOS'!$H:$H,"VISA",'CALENDARIO INGRESOS'!$L:$L,"&lt;&gt;PAGADA")&gt;0,"VISA",
  IF(COUNTIFS('CALENDARIO INGRESOS'!$A:$A,$D188,'CALENDARIO INGRESOS'!$H:$H,"FIRMA PA",'CALENDARIO INGRESOS'!$L:$L,"&lt;&gt;PAGADA")&gt;0,"FIRMA PA",
   IF(COUNTIFS('CALENDARIO INGRESOS'!$A:$A,$D188,'CALENDARIO INGRESOS'!$H:$H,"ALEM",'CALENDARIO INGRESOS'!$L:$L,"&lt;&gt;PAGADA")&gt;0,"ALEM","LISTO")))),"-")</f>
        <v>LATAM</v>
      </c>
      <c r="S188" s="188">
        <f>+SUMIFS('CALENDARIO INGRESOS'!I:I,'CALENDARIO INGRESOS'!A:A,Tabla3[[#This Row],[ID STRIPE]],'CALENDARIO INGRESOS'!H:H,"LATAM")</f>
        <v>18600</v>
      </c>
      <c r="T188" s="188">
        <f>+IF(Tabla3[[#This Row],[MONTO LATAM]]-Tabla3[[#This Row],[IMPORTE ABONADO]]&gt;=0,Tabla3[[#This Row],[MONTO LATAM]]-Tabla3[[#This Row],[IMPORTE ABONADO]],0)</f>
        <v>17950</v>
      </c>
      <c r="U188" s="188">
        <f>+SUMIFS('CALENDARIO INGRESOS'!I:I,'CALENDARIO INGRESOS'!A:A,Tabla3[[#This Row],[ID STRIPE]],'CALENDARIO INGRESOS'!H:H,"ALEM")</f>
        <v>8000</v>
      </c>
      <c r="V188" s="6">
        <f>+SUMIFS('CALENDARIO INGRESOS'!I:I,'CALENDARIO INGRESOS'!A:A,Tabla3[[#This Row],[ID STRIPE]],'CALENDARIO INGRESOS'!H:H,"VISA")+SUMIFS('CALENDARIO INGRESOS'!I:I,'CALENDARIO INGRESOS'!A:A,Tabla3[[#This Row],[ID STRIPE]],'CALENDARIO INGRESOS'!H:H,"FIRMA PA")</f>
        <v>3000</v>
      </c>
      <c r="W188" s="250">
        <v>0</v>
      </c>
      <c r="X188" s="57">
        <f>+IFERROR(AVERAGEIF('CALENDARIO INGRESOS'!A:A,Tabla3[[#This Row],[ID STRIPE]],'CALENDARIO INGRESOS'!M:M),"0")</f>
        <v>0</v>
      </c>
      <c r="Y188" s="18">
        <v>46848</v>
      </c>
      <c r="Z188" s="286">
        <f>+IFERROR(_xlfn.XLOOKUP(Tabla3[[#This Row],[ID LINGODA]],LINGODA!D:D,LINGODA!S:S),0)</f>
        <v>0</v>
      </c>
      <c r="AA188" s="18" t="str">
        <f>+IFERROR(_xlfn.XLOOKUP(Tabla3[[#This Row],[ID LINGODA]],LINGODA!D:D,LINGODA!F:F),"null")</f>
        <v>-</v>
      </c>
      <c r="AB188" s="286" t="str">
        <f>+IFERROR(_xlfn.XLOOKUP(Tabla3[[#This Row],[ID LINGODA]],LINGODA!D:D,LINGODA!G:G),"null")</f>
        <v>-</v>
      </c>
    </row>
    <row r="189" spans="1:28">
      <c r="A189" s="5" t="s">
        <v>2522</v>
      </c>
      <c r="B189" s="5" t="s">
        <v>2523</v>
      </c>
      <c r="C189" s="1" t="s">
        <v>16</v>
      </c>
      <c r="D189" s="1" t="s">
        <v>1996</v>
      </c>
      <c r="E189" s="57">
        <v>1861985</v>
      </c>
      <c r="F189" s="57"/>
      <c r="G189" s="18">
        <f>(_xlfn.MINIFS(INGRESOS!A:A,INGRESOS!C:C,Tabla3[[#This Row],[CORREO]]))</f>
        <v>46049</v>
      </c>
      <c r="H189" s="3">
        <f>+SUMIFS(INGRESOS!J:J,INGRESOS!D:D,Tabla3[[#This Row],[ID STRIPE]],INGRESOS!A:A,"&gt;="&amp;DATE(YEAR(Tabla3[[#This Row],[FECHA INGRESO]]),MONTH(Tabla3[[#This Row],[FECHA INGRESO]]),1),INGRESOS!A:A,"&lt;="&amp;DATE(YEAR(Tabla3[[#This Row],[FECHA INGRESO]]),MONTH(Tabla3[[#This Row],[FECHA INGRESO]])+1,0))</f>
        <v>241.62</v>
      </c>
      <c r="I189" s="286">
        <f ca="1">DATEDIF(Tabla3[[#This Row],[FECHA INGRESO]],IF(OR(Tabla3[[#This Row],[ESTADO]]="OK",Tabla3[[#This Row],[ESTADO]]="¡REGULARIZAR!")=TRUE,TODAY(),IF(Tabla3[[#This Row],[ULTIMO PAGO]]="",TODAY(),Tabla3[[#This Row],[ULTIMO PAGO]])),"m")</f>
        <v>1</v>
      </c>
      <c r="J189" s="18">
        <f>(_xlfn.MAXIFS(INGRESOS!A:A,INGRESOS!C:C,Tabla3[[#This Row],[CORREO]]))</f>
        <v>46070</v>
      </c>
      <c r="K189" s="7">
        <f ca="1">+IFERROR(Tabla3[[#This Row],[ABONADO NETO ]]/Tabla3[[#This Row],[MESES ACT]],Tabla3[[#This Row],[ABONO 1ER MES]])</f>
        <v>1595.6100000000001</v>
      </c>
      <c r="M189" s="287" t="s">
        <v>2119</v>
      </c>
      <c r="N189" s="288">
        <f>+SUMIF(INGRESOS!D:D,Tabla3[[#This Row],[ID STRIPE]],INGRESOS!J:J)</f>
        <v>1595.6100000000001</v>
      </c>
      <c r="O189" s="6">
        <v>26000</v>
      </c>
      <c r="P189" s="6">
        <f>+SUMIF('CALENDARIO INGRESOS'!A:A,Tabla3[[#This Row],[ID STRIPE]],'CALENDARIO INGRESOS'!I:I)</f>
        <v>26000</v>
      </c>
      <c r="Q189" s="6">
        <f>+SUMIF(INGRESOS!D:D,Tabla3[[#This Row],[ID STRIPE]],INGRESOS!G:G)</f>
        <v>1650</v>
      </c>
      <c r="R189" s="3" t="str">
        <f>IF(Tabla3[[#This Row],[ESTADO]]="OK",IF(COUNTIFS('CALENDARIO INGRESOS'!$A:$A,$D189,'CALENDARIO INGRESOS'!$H:$H,"LATAM",'CALENDARIO INGRESOS'!$L:$L,"&lt;&gt;PAGADA")&gt;0,"LATAM",
 IF(COUNTIFS('CALENDARIO INGRESOS'!$A:$A,$D189,'CALENDARIO INGRESOS'!$H:$H,"VISA",'CALENDARIO INGRESOS'!$L:$L,"&lt;&gt;PAGADA")&gt;0,"VISA",
  IF(COUNTIFS('CALENDARIO INGRESOS'!$A:$A,$D189,'CALENDARIO INGRESOS'!$H:$H,"FIRMA PA",'CALENDARIO INGRESOS'!$L:$L,"&lt;&gt;PAGADA")&gt;0,"FIRMA PA",
   IF(COUNTIFS('CALENDARIO INGRESOS'!$A:$A,$D189,'CALENDARIO INGRESOS'!$H:$H,"ALEM",'CALENDARIO INGRESOS'!$L:$L,"&lt;&gt;PAGADA")&gt;0,"ALEM","LISTO")))),"-")</f>
        <v>LATAM</v>
      </c>
      <c r="S189" s="188">
        <f>+SUMIFS('CALENDARIO INGRESOS'!I:I,'CALENDARIO INGRESOS'!A:A,Tabla3[[#This Row],[ID STRIPE]],'CALENDARIO INGRESOS'!H:H,"LATAM")</f>
        <v>12050</v>
      </c>
      <c r="T189" s="188">
        <f>+IF(Tabla3[[#This Row],[MONTO LATAM]]-Tabla3[[#This Row],[IMPORTE ABONADO]]&gt;=0,Tabla3[[#This Row],[MONTO LATAM]]-Tabla3[[#This Row],[IMPORTE ABONADO]],0)</f>
        <v>10400</v>
      </c>
      <c r="U189" s="188">
        <f>+SUMIFS('CALENDARIO INGRESOS'!I:I,'CALENDARIO INGRESOS'!A:A,Tabla3[[#This Row],[ID STRIPE]],'CALENDARIO INGRESOS'!H:H,"ALEM")</f>
        <v>10000</v>
      </c>
      <c r="V189" s="6">
        <f>+SUMIFS('CALENDARIO INGRESOS'!I:I,'CALENDARIO INGRESOS'!A:A,Tabla3[[#This Row],[ID STRIPE]],'CALENDARIO INGRESOS'!H:H,"VISA")+SUMIFS('CALENDARIO INGRESOS'!I:I,'CALENDARIO INGRESOS'!A:A,Tabla3[[#This Row],[ID STRIPE]],'CALENDARIO INGRESOS'!H:H,"FIRMA PA")</f>
        <v>3950</v>
      </c>
      <c r="W189" s="250">
        <v>1</v>
      </c>
      <c r="X189" s="57">
        <f>+IFERROR(AVERAGEIF('CALENDARIO INGRESOS'!A:A,Tabla3[[#This Row],[ID STRIPE]],'CALENDARIO INGRESOS'!M:M),"0")</f>
        <v>-2</v>
      </c>
      <c r="Y189" s="18">
        <v>46407</v>
      </c>
      <c r="Z189" s="286">
        <f>+IFERROR(_xlfn.XLOOKUP(Tabla3[[#This Row],[ID LINGODA]],LINGODA!D:D,LINGODA!S:S),0)</f>
        <v>0</v>
      </c>
      <c r="AA189" s="18" t="str">
        <f>+IFERROR(_xlfn.XLOOKUP(Tabla3[[#This Row],[ID LINGODA]],LINGODA!D:D,LINGODA!F:F),"null")</f>
        <v>-</v>
      </c>
      <c r="AB189" s="286" t="str">
        <f>+IFERROR(_xlfn.XLOOKUP(Tabla3[[#This Row],[ID LINGODA]],LINGODA!D:D,LINGODA!G:G),"null")</f>
        <v>-</v>
      </c>
    </row>
    <row r="190" spans="1:28">
      <c r="A190" s="5" t="s">
        <v>2524</v>
      </c>
      <c r="B190" s="5" t="s">
        <v>2525</v>
      </c>
      <c r="C190" s="1" t="s">
        <v>13</v>
      </c>
      <c r="D190" s="1" t="s">
        <v>2526</v>
      </c>
      <c r="E190" s="57">
        <v>1861986</v>
      </c>
      <c r="F190" s="57"/>
      <c r="G190" s="18">
        <f>(_xlfn.MINIFS(INGRESOS!A:A,INGRESOS!C:C,Tabla3[[#This Row],[CORREO]]))</f>
        <v>46050</v>
      </c>
      <c r="H190" s="3">
        <f>+SUMIFS(INGRESOS!J:J,INGRESOS!D:D,Tabla3[[#This Row],[ID STRIPE]],INGRESOS!A:A,"&gt;="&amp;DATE(YEAR(Tabla3[[#This Row],[FECHA INGRESO]]),MONTH(Tabla3[[#This Row],[FECHA INGRESO]]),1),INGRESOS!A:A,"&lt;="&amp;DATE(YEAR(Tabla3[[#This Row],[FECHA INGRESO]]),MONTH(Tabla3[[#This Row],[FECHA INGRESO]])+1,0))</f>
        <v>241.62</v>
      </c>
      <c r="I190" s="286">
        <f ca="1">DATEDIF(Tabla3[[#This Row],[FECHA INGRESO]],IF(OR(Tabla3[[#This Row],[ESTADO]]="OK",Tabla3[[#This Row],[ESTADO]]="¡REGULARIZAR!")=TRUE,TODAY(),IF(Tabla3[[#This Row],[ULTIMO PAGO]]="",TODAY(),Tabla3[[#This Row],[ULTIMO PAGO]])),"m")</f>
        <v>0</v>
      </c>
      <c r="J190" s="18">
        <f>(_xlfn.MAXIFS(INGRESOS!A:A,INGRESOS!C:C,Tabla3[[#This Row],[CORREO]]))</f>
        <v>46071</v>
      </c>
      <c r="K190" s="7">
        <f ca="1">+IFERROR(Tabla3[[#This Row],[ABONADO NETO ]]/Tabla3[[#This Row],[MESES ACT]],Tabla3[[#This Row],[ABONO 1ER MES]])</f>
        <v>241.62</v>
      </c>
      <c r="M190" s="287" t="s">
        <v>2513</v>
      </c>
      <c r="N190" s="288">
        <f>+SUMIF(INGRESOS!D:D,Tabla3[[#This Row],[ID STRIPE]],INGRESOS!J:J)</f>
        <v>483.24</v>
      </c>
      <c r="O190" s="6">
        <v>26000</v>
      </c>
      <c r="P190" s="6">
        <f>+SUMIF('CALENDARIO INGRESOS'!A:A,Tabla3[[#This Row],[ID STRIPE]],'CALENDARIO INGRESOS'!I:I)</f>
        <v>0</v>
      </c>
      <c r="Q190" s="6">
        <f>+SUMIF(INGRESOS!D:D,Tabla3[[#This Row],[ID STRIPE]],INGRESOS!G:G)</f>
        <v>500</v>
      </c>
      <c r="R190" s="3" t="str">
        <f>IF(Tabla3[[#This Row],[ESTADO]]="OK",IF(COUNTIFS('CALENDARIO INGRESOS'!$A:$A,#REF!,'CALENDARIO INGRESOS'!$H:$H,"LATAM",'CALENDARIO INGRESOS'!$L:$L,"&lt;&gt;PAGADA")&gt;0,"LATAM",
 IF(COUNTIFS('CALENDARIO INGRESOS'!$A:$A,#REF!,'CALENDARIO INGRESOS'!$H:$H,"VISA",'CALENDARIO INGRESOS'!$L:$L,"&lt;&gt;PAGADA")&gt;0,"VISA",
  IF(COUNTIFS('CALENDARIO INGRESOS'!$A:$A,#REF!,'CALENDARIO INGRESOS'!$H:$H,"FIRMA PA",'CALENDARIO INGRESOS'!$L:$L,"&lt;&gt;PAGADA")&gt;0,"FIRMA PA",
   IF(COUNTIFS('CALENDARIO INGRESOS'!$A:$A,#REF!,'CALENDARIO INGRESOS'!$H:$H,"ALEM",'CALENDARIO INGRESOS'!$L:$L,"&lt;&gt;PAGADA")&gt;0,"ALEM","LISTO")))),"-")</f>
        <v>-</v>
      </c>
      <c r="S190" s="188">
        <f>+SUMIFS('CALENDARIO INGRESOS'!I:I,'CALENDARIO INGRESOS'!A:A,Tabla3[[#This Row],[ID STRIPE]],'CALENDARIO INGRESOS'!H:H,"LATAM")</f>
        <v>0</v>
      </c>
      <c r="T190" s="188">
        <f>+IF(Tabla3[[#This Row],[MONTO LATAM]]-Tabla3[[#This Row],[IMPORTE ABONADO]]&gt;=0,Tabla3[[#This Row],[MONTO LATAM]]-Tabla3[[#This Row],[IMPORTE ABONADO]],0)</f>
        <v>0</v>
      </c>
      <c r="U190" s="188">
        <f>+SUMIFS('CALENDARIO INGRESOS'!I:I,'CALENDARIO INGRESOS'!A:A,Tabla3[[#This Row],[ID STRIPE]],'CALENDARIO INGRESOS'!H:H,"ALEM")</f>
        <v>0</v>
      </c>
      <c r="V190" s="6">
        <f>+SUMIFS('CALENDARIO INGRESOS'!I:I,'CALENDARIO INGRESOS'!A:A,Tabla3[[#This Row],[ID STRIPE]],'CALENDARIO INGRESOS'!H:H,"VISA")+SUMIFS('CALENDARIO INGRESOS'!I:I,'CALENDARIO INGRESOS'!A:A,Tabla3[[#This Row],[ID STRIPE]],'CALENDARIO INGRESOS'!H:H,"FIRMA PA")</f>
        <v>0</v>
      </c>
      <c r="W190" s="250">
        <v>0</v>
      </c>
      <c r="X190" s="57" t="str">
        <f>+IFERROR(AVERAGEIF('CALENDARIO INGRESOS'!A:A,Tabla3[[#This Row],[ID STRIPE]],'CALENDARIO INGRESOS'!M:M),"0")</f>
        <v>0</v>
      </c>
      <c r="Y190" s="18">
        <v>46325</v>
      </c>
      <c r="Z190" s="286">
        <f>+IFERROR(_xlfn.XLOOKUP(Tabla3[[#This Row],[ID LINGODA]],LINGODA!D:D,LINGODA!S:S),0)</f>
        <v>4</v>
      </c>
      <c r="AA190" s="18" t="str">
        <f>+IFERROR(_xlfn.XLOOKUP(Tabla3[[#This Row],[ID LINGODA]],LINGODA!D:D,LINGODA!F:F),"null")</f>
        <v>A1.1</v>
      </c>
      <c r="AB190" s="286" t="str">
        <f>+IFERROR(_xlfn.XLOOKUP(Tabla3[[#This Row],[ID LINGODA]],LINGODA!D:D,LINGODA!G:G),"null")</f>
        <v>A1.1</v>
      </c>
    </row>
    <row r="191" spans="1:28">
      <c r="A191" s="5" t="s">
        <v>2527</v>
      </c>
      <c r="B191" s="5" t="s">
        <v>2528</v>
      </c>
      <c r="C191" s="1" t="s">
        <v>11</v>
      </c>
      <c r="D191" s="1" t="s">
        <v>2011</v>
      </c>
      <c r="E191" s="57">
        <v>1861987</v>
      </c>
      <c r="F191" s="57"/>
      <c r="G191" s="18">
        <f>(_xlfn.MINIFS(INGRESOS!A:A,INGRESOS!C:C,Tabla3[[#This Row],[CORREO]]))</f>
        <v>46051</v>
      </c>
      <c r="H191" s="3">
        <f>+SUMIFS(INGRESOS!J:J,INGRESOS!D:D,Tabla3[[#This Row],[ID STRIPE]],INGRESOS!A:A,"&gt;="&amp;DATE(YEAR(Tabla3[[#This Row],[FECHA INGRESO]]),MONTH(Tabla3[[#This Row],[FECHA INGRESO]]),1),INGRESOS!A:A,"&lt;="&amp;DATE(YEAR(Tabla3[[#This Row],[FECHA INGRESO]]),MONTH(Tabla3[[#This Row],[FECHA INGRESO]])+1,0))</f>
        <v>241.62</v>
      </c>
      <c r="I191" s="286">
        <f ca="1">DATEDIF(Tabla3[[#This Row],[FECHA INGRESO]],IF(OR(Tabla3[[#This Row],[ESTADO]]="OK",Tabla3[[#This Row],[ESTADO]]="¡REGULARIZAR!")=TRUE,TODAY(),IF(Tabla3[[#This Row],[ULTIMO PAGO]]="",TODAY(),Tabla3[[#This Row],[ULTIMO PAGO]])),"m")</f>
        <v>1</v>
      </c>
      <c r="J191" s="18">
        <f>(_xlfn.MAXIFS(INGRESOS!A:A,INGRESOS!C:C,Tabla3[[#This Row],[CORREO]]))</f>
        <v>46087</v>
      </c>
      <c r="K191" s="7">
        <f ca="1">+IFERROR(Tabla3[[#This Row],[ABONADO NETO ]]/Tabla3[[#This Row],[MESES ACT]],Tabla3[[#This Row],[ABONO 1ER MES]])</f>
        <v>3869.24</v>
      </c>
      <c r="M191" s="287" t="s">
        <v>2119</v>
      </c>
      <c r="N191" s="288">
        <f>+SUMIF(INGRESOS!D:D,Tabla3[[#This Row],[ID STRIPE]],INGRESOS!J:J)</f>
        <v>3869.24</v>
      </c>
      <c r="O191" s="6">
        <v>23000</v>
      </c>
      <c r="P191" s="6">
        <f>+SUMIF('CALENDARIO INGRESOS'!A:A,Tabla3[[#This Row],[ID STRIPE]],'CALENDARIO INGRESOS'!I:I)</f>
        <v>23000</v>
      </c>
      <c r="Q191" s="6">
        <f>+SUMIF(INGRESOS!D:D,Tabla3[[#This Row],[ID STRIPE]],INGRESOS!G:G)</f>
        <v>4000</v>
      </c>
      <c r="R191" s="3" t="str">
        <f>IF(Tabla3[[#This Row],[ESTADO]]="OK",IF(COUNTIFS('CALENDARIO INGRESOS'!$A:$A,$D191,'CALENDARIO INGRESOS'!$H:$H,"LATAM",'CALENDARIO INGRESOS'!$L:$L,"&lt;&gt;PAGADA")&gt;0,"LATAM",
 IF(COUNTIFS('CALENDARIO INGRESOS'!$A:$A,$D191,'CALENDARIO INGRESOS'!$H:$H,"VISA",'CALENDARIO INGRESOS'!$L:$L,"&lt;&gt;PAGADA")&gt;0,"VISA",
  IF(COUNTIFS('CALENDARIO INGRESOS'!$A:$A,$D191,'CALENDARIO INGRESOS'!$H:$H,"FIRMA PA",'CALENDARIO INGRESOS'!$L:$L,"&lt;&gt;PAGADA")&gt;0,"FIRMA PA",
   IF(COUNTIFS('CALENDARIO INGRESOS'!$A:$A,$D191,'CALENDARIO INGRESOS'!$H:$H,"ALEM",'CALENDARIO INGRESOS'!$L:$L,"&lt;&gt;PAGADA")&gt;0,"ALEM","LISTO")))),"-")</f>
        <v>LATAM</v>
      </c>
      <c r="S191" s="188">
        <f>+SUMIFS('CALENDARIO INGRESOS'!I:I,'CALENDARIO INGRESOS'!A:A,Tabla3[[#This Row],[ID STRIPE]],'CALENDARIO INGRESOS'!H:H,"LATAM")</f>
        <v>10000</v>
      </c>
      <c r="T191" s="188">
        <f>+IF(Tabla3[[#This Row],[MONTO LATAM]]-Tabla3[[#This Row],[IMPORTE ABONADO]]&gt;=0,Tabla3[[#This Row],[MONTO LATAM]]-Tabla3[[#This Row],[IMPORTE ABONADO]],0)</f>
        <v>6000</v>
      </c>
      <c r="U191" s="188">
        <f>+SUMIFS('CALENDARIO INGRESOS'!I:I,'CALENDARIO INGRESOS'!A:A,Tabla3[[#This Row],[ID STRIPE]],'CALENDARIO INGRESOS'!H:H,"ALEM")</f>
        <v>11000</v>
      </c>
      <c r="V191" s="6">
        <f>+SUMIFS('CALENDARIO INGRESOS'!I:I,'CALENDARIO INGRESOS'!A:A,Tabla3[[#This Row],[ID STRIPE]],'CALENDARIO INGRESOS'!H:H,"VISA")+SUMIFS('CALENDARIO INGRESOS'!I:I,'CALENDARIO INGRESOS'!A:A,Tabla3[[#This Row],[ID STRIPE]],'CALENDARIO INGRESOS'!H:H,"FIRMA PA")</f>
        <v>2000</v>
      </c>
      <c r="W191" s="250">
        <v>0</v>
      </c>
      <c r="X191" s="57">
        <f>+IFERROR(AVERAGEIF('CALENDARIO INGRESOS'!A:A,Tabla3[[#This Row],[ID STRIPE]],'CALENDARIO INGRESOS'!M:M),"0")</f>
        <v>-0.33333333333333331</v>
      </c>
      <c r="Y191" s="18">
        <v>46172</v>
      </c>
      <c r="Z191" s="286">
        <f>+IFERROR(_xlfn.XLOOKUP(Tabla3[[#This Row],[ID LINGODA]],LINGODA!D:D,LINGODA!S:S),0)</f>
        <v>10</v>
      </c>
      <c r="AA191" s="18" t="str">
        <f>+IFERROR(_xlfn.XLOOKUP(Tabla3[[#This Row],[ID LINGODA]],LINGODA!D:D,LINGODA!F:F),"null")</f>
        <v>B1.1</v>
      </c>
      <c r="AB191" s="286" t="str">
        <f>+IFERROR(_xlfn.XLOOKUP(Tabla3[[#This Row],[ID LINGODA]],LINGODA!D:D,LINGODA!G:G),"null")</f>
        <v>A2.1</v>
      </c>
    </row>
    <row r="192" spans="1:28">
      <c r="A192" s="5" t="s">
        <v>2529</v>
      </c>
      <c r="B192" s="5" t="s">
        <v>2530</v>
      </c>
      <c r="C192" s="1" t="s">
        <v>13</v>
      </c>
      <c r="D192" s="1" t="s">
        <v>2046</v>
      </c>
      <c r="E192" s="57">
        <v>1863917</v>
      </c>
      <c r="F192" s="57"/>
      <c r="G192" s="18">
        <f>(_xlfn.MINIFS(INGRESOS!A:A,INGRESOS!C:C,Tabla3[[#This Row],[CORREO]]))</f>
        <v>46052</v>
      </c>
      <c r="H192" s="3">
        <f>+SUMIFS(INGRESOS!J:J,INGRESOS!D:D,Tabla3[[#This Row],[ID STRIPE]],INGRESOS!A:A,"&gt;="&amp;DATE(YEAR(Tabla3[[#This Row],[FECHA INGRESO]]),MONTH(Tabla3[[#This Row],[FECHA INGRESO]]),1),INGRESOS!A:A,"&lt;="&amp;DATE(YEAR(Tabla3[[#This Row],[FECHA INGRESO]]),MONTH(Tabla3[[#This Row],[FECHA INGRESO]])+1,0))</f>
        <v>241.62</v>
      </c>
      <c r="I192" s="286">
        <f ca="1">DATEDIF(Tabla3[[#This Row],[FECHA INGRESO]],IF(OR(Tabla3[[#This Row],[ESTADO]]="OK",Tabla3[[#This Row],[ESTADO]]="¡REGULARIZAR!")=TRUE,TODAY(),IF(Tabla3[[#This Row],[ULTIMO PAGO]]="",TODAY(),Tabla3[[#This Row],[ULTIMO PAGO]])),"m")</f>
        <v>1</v>
      </c>
      <c r="J192" s="18">
        <f>(_xlfn.MAXIFS(INGRESOS!A:A,INGRESOS!C:C,Tabla3[[#This Row],[CORREO]]))</f>
        <v>46088</v>
      </c>
      <c r="K192" s="7">
        <f ca="1">+IFERROR(Tabla3[[#This Row],[ABONADO NETO ]]/Tabla3[[#This Row],[MESES ACT]],Tabla3[[#This Row],[ABONO 1ER MES]])</f>
        <v>966.49</v>
      </c>
      <c r="M192" s="287" t="s">
        <v>2119</v>
      </c>
      <c r="N192" s="288">
        <f>+SUMIF(INGRESOS!D:D,Tabla3[[#This Row],[ID STRIPE]],INGRESOS!J:J)</f>
        <v>966.49</v>
      </c>
      <c r="O192" s="6">
        <v>26000</v>
      </c>
      <c r="P192" s="6">
        <f>+SUMIF('CALENDARIO INGRESOS'!A:A,Tabla3[[#This Row],[ID STRIPE]],'CALENDARIO INGRESOS'!I:I)</f>
        <v>26000</v>
      </c>
      <c r="Q192" s="6">
        <f>+SUMIF(INGRESOS!D:D,Tabla3[[#This Row],[ID STRIPE]],INGRESOS!G:G)</f>
        <v>1000</v>
      </c>
      <c r="R192" s="3" t="str">
        <f>IF(Tabla3[[#This Row],[ESTADO]]="OK",IF(COUNTIFS('CALENDARIO INGRESOS'!$A:$A,$D192,'CALENDARIO INGRESOS'!$H:$H,"LATAM",'CALENDARIO INGRESOS'!$L:$L,"&lt;&gt;PAGADA")&gt;0,"LATAM",
 IF(COUNTIFS('CALENDARIO INGRESOS'!$A:$A,$D192,'CALENDARIO INGRESOS'!$H:$H,"VISA",'CALENDARIO INGRESOS'!$L:$L,"&lt;&gt;PAGADA")&gt;0,"VISA",
  IF(COUNTIFS('CALENDARIO INGRESOS'!$A:$A,$D192,'CALENDARIO INGRESOS'!$H:$H,"FIRMA PA",'CALENDARIO INGRESOS'!$L:$L,"&lt;&gt;PAGADA")&gt;0,"FIRMA PA",
   IF(COUNTIFS('CALENDARIO INGRESOS'!$A:$A,$D192,'CALENDARIO INGRESOS'!$H:$H,"ALEM",'CALENDARIO INGRESOS'!$L:$L,"&lt;&gt;PAGADA")&gt;0,"ALEM","LISTO")))),"-")</f>
        <v>LATAM</v>
      </c>
      <c r="S192" s="188">
        <f>+SUMIFS('CALENDARIO INGRESOS'!I:I,'CALENDARIO INGRESOS'!A:A,Tabla3[[#This Row],[ID STRIPE]],'CALENDARIO INGRESOS'!H:H,"LATAM")</f>
        <v>12000</v>
      </c>
      <c r="T192" s="188">
        <f>+IF(Tabla3[[#This Row],[MONTO LATAM]]-Tabla3[[#This Row],[IMPORTE ABONADO]]&gt;=0,Tabla3[[#This Row],[MONTO LATAM]]-Tabla3[[#This Row],[IMPORTE ABONADO]],0)</f>
        <v>11000</v>
      </c>
      <c r="U192" s="188">
        <f>+SUMIFS('CALENDARIO INGRESOS'!I:I,'CALENDARIO INGRESOS'!A:A,Tabla3[[#This Row],[ID STRIPE]],'CALENDARIO INGRESOS'!H:H,"ALEM")</f>
        <v>12000</v>
      </c>
      <c r="V192" s="6">
        <f>+SUMIFS('CALENDARIO INGRESOS'!I:I,'CALENDARIO INGRESOS'!A:A,Tabla3[[#This Row],[ID STRIPE]],'CALENDARIO INGRESOS'!H:H,"VISA")+SUMIFS('CALENDARIO INGRESOS'!I:I,'CALENDARIO INGRESOS'!A:A,Tabla3[[#This Row],[ID STRIPE]],'CALENDARIO INGRESOS'!H:H,"FIRMA PA")</f>
        <v>2000</v>
      </c>
      <c r="W192" s="250">
        <v>1</v>
      </c>
      <c r="X192" s="57">
        <f>+IFERROR(AVERAGEIF('CALENDARIO INGRESOS'!A:A,Tabla3[[#This Row],[ID STRIPE]],'CALENDARIO INGRESOS'!M:M),"0")</f>
        <v>-2.75</v>
      </c>
      <c r="Y192" s="18">
        <v>46753</v>
      </c>
      <c r="Z192" s="286">
        <f>+IFERROR(_xlfn.XLOOKUP(Tabla3[[#This Row],[ID LINGODA]],LINGODA!D:D,LINGODA!S:S),0)</f>
        <v>1</v>
      </c>
      <c r="AA192" s="18" t="str">
        <f>+IFERROR(_xlfn.XLOOKUP(Tabla3[[#This Row],[ID LINGODA]],LINGODA!D:D,LINGODA!F:F),"null")</f>
        <v>A1.1</v>
      </c>
      <c r="AB192" s="286" t="str">
        <f>+IFERROR(_xlfn.XLOOKUP(Tabla3[[#This Row],[ID LINGODA]],LINGODA!D:D,LINGODA!G:G),"null")</f>
        <v>A1.1</v>
      </c>
    </row>
    <row r="193" spans="1:28">
      <c r="A193" s="5" t="s">
        <v>4443</v>
      </c>
      <c r="B193" s="5" t="s">
        <v>4441</v>
      </c>
      <c r="C193" s="1" t="s">
        <v>11</v>
      </c>
      <c r="D193" s="1" t="s">
        <v>4442</v>
      </c>
      <c r="E193" s="57">
        <v>1871638</v>
      </c>
      <c r="F193" s="57"/>
      <c r="G193" s="18">
        <f>(_xlfn.MINIFS(INGRESOS!A:A,INGRESOS!C:C,Tabla3[[#This Row],[CORREO]]))</f>
        <v>46058</v>
      </c>
      <c r="H193" s="3">
        <f>+SUMIFS(INGRESOS!J:J,INGRESOS!D:D,Tabla3[[#This Row],[ID STRIPE]],INGRESOS!A:A,"&gt;="&amp;DATE(YEAR(Tabla3[[#This Row],[FECHA INGRESO]]),MONTH(Tabla3[[#This Row],[FECHA INGRESO]]),1),INGRESOS!A:A,"&lt;="&amp;DATE(YEAR(Tabla3[[#This Row],[FECHA INGRESO]]),MONTH(Tabla3[[#This Row],[FECHA INGRESO]])+1,0))</f>
        <v>492.25</v>
      </c>
      <c r="I193" s="286">
        <f ca="1">DATEDIF(Tabla3[[#This Row],[FECHA INGRESO]],IF(OR(Tabla3[[#This Row],[ESTADO]]="OK",Tabla3[[#This Row],[ESTADO]]="¡REGULARIZAR!")=TRUE,TODAY(),IF(Tabla3[[#This Row],[ULTIMO PAGO]]="",TODAY(),Tabla3[[#This Row],[ULTIMO PAGO]])),"m")</f>
        <v>1</v>
      </c>
      <c r="J193" s="18">
        <f>(_xlfn.MAXIFS(INGRESOS!A:A,INGRESOS!C:C,Tabla3[[#This Row],[CORREO]]))</f>
        <v>46058</v>
      </c>
      <c r="K193" s="7">
        <f ca="1">+IFERROR(Tabla3[[#This Row],[ABONADO NETO ]]/Tabla3[[#This Row],[MESES ACT]],Tabla3[[#This Row],[ABONO 1ER MES]])</f>
        <v>492.25</v>
      </c>
      <c r="M193" s="287" t="s">
        <v>2198</v>
      </c>
      <c r="N193" s="288">
        <f>+SUMIF(INGRESOS!D:D,Tabla3[[#This Row],[ID STRIPE]],INGRESOS!J:J)</f>
        <v>492.25</v>
      </c>
      <c r="O193" s="6">
        <v>8000</v>
      </c>
      <c r="P193" s="6">
        <f>+SUMIF('CALENDARIO INGRESOS'!A:A,Tabla3[[#This Row],[ID STRIPE]],'CALENDARIO INGRESOS'!I:I)</f>
        <v>8000</v>
      </c>
      <c r="Q193" s="6">
        <f>+SUMIF(INGRESOS!D:D,Tabla3[[#This Row],[ID STRIPE]],INGRESOS!G:G)</f>
        <v>500</v>
      </c>
      <c r="R193" s="3" t="str">
        <f>IF(Tabla3[[#This Row],[ESTADO]]="OK",IF(COUNTIFS('CALENDARIO INGRESOS'!$A:$A,$D193,'CALENDARIO INGRESOS'!$H:$H,"LATAM",'CALENDARIO INGRESOS'!$L:$L,"&lt;&gt;PAGADA")&gt;0,"LATAM",
 IF(COUNTIFS('CALENDARIO INGRESOS'!$A:$A,$D193,'CALENDARIO INGRESOS'!$H:$H,"VISA",'CALENDARIO INGRESOS'!$L:$L,"&lt;&gt;PAGADA")&gt;0,"VISA",
  IF(COUNTIFS('CALENDARIO INGRESOS'!$A:$A,$D193,'CALENDARIO INGRESOS'!$H:$H,"FIRMA PA",'CALENDARIO INGRESOS'!$L:$L,"&lt;&gt;PAGADA")&gt;0,"FIRMA PA",
   IF(COUNTIFS('CALENDARIO INGRESOS'!$A:$A,$D193,'CALENDARIO INGRESOS'!$H:$H,"ALEM",'CALENDARIO INGRESOS'!$L:$L,"&lt;&gt;PAGADA")&gt;0,"ALEM","LISTO")))),"-")</f>
        <v>-</v>
      </c>
      <c r="S193" s="188">
        <f>+SUMIFS('CALENDARIO INGRESOS'!I:I,'CALENDARIO INGRESOS'!A:A,Tabla3[[#This Row],[ID STRIPE]],'CALENDARIO INGRESOS'!H:H,"LATAM")</f>
        <v>500</v>
      </c>
      <c r="T193" s="188">
        <f>+IF(Tabla3[[#This Row],[MONTO LATAM]]-Tabla3[[#This Row],[IMPORTE ABONADO]]&gt;=0,Tabla3[[#This Row],[MONTO LATAM]]-Tabla3[[#This Row],[IMPORTE ABONADO]],0)</f>
        <v>0</v>
      </c>
      <c r="U193" s="188">
        <f>+SUMIFS('CALENDARIO INGRESOS'!I:I,'CALENDARIO INGRESOS'!A:A,Tabla3[[#This Row],[ID STRIPE]],'CALENDARIO INGRESOS'!H:H,"ALEM")</f>
        <v>7500</v>
      </c>
      <c r="V193" s="6">
        <f>+SUMIFS('CALENDARIO INGRESOS'!I:I,'CALENDARIO INGRESOS'!A:A,Tabla3[[#This Row],[ID STRIPE]],'CALENDARIO INGRESOS'!H:H,"VISA")+SUMIFS('CALENDARIO INGRESOS'!I:I,'CALENDARIO INGRESOS'!A:A,Tabla3[[#This Row],[ID STRIPE]],'CALENDARIO INGRESOS'!H:H,"FIRMA PA")</f>
        <v>0</v>
      </c>
      <c r="W193" s="250">
        <v>0</v>
      </c>
      <c r="X193" s="57">
        <f>+IFERROR(AVERAGEIF('CALENDARIO INGRESOS'!A:A,Tabla3[[#This Row],[ID STRIPE]],'CALENDARIO INGRESOS'!M:M),"0")</f>
        <v>0</v>
      </c>
      <c r="Y193" s="18">
        <v>46057</v>
      </c>
      <c r="Z193" s="286">
        <f>+IFERROR(_xlfn.XLOOKUP(Tabla3[[#This Row],[ID LINGODA]],LINGODA!D:D,LINGODA!S:S),0)</f>
        <v>0</v>
      </c>
      <c r="AA193" s="18" t="str">
        <f>+IFERROR(_xlfn.XLOOKUP(Tabla3[[#This Row],[ID LINGODA]],LINGODA!D:D,LINGODA!F:F),"null")</f>
        <v>-</v>
      </c>
      <c r="AB193" s="286" t="str">
        <f>+IFERROR(_xlfn.XLOOKUP(Tabla3[[#This Row],[ID LINGODA]],LINGODA!D:D,LINGODA!G:G),"null")</f>
        <v>-</v>
      </c>
    </row>
    <row r="194" spans="1:28">
      <c r="A194" s="5" t="s">
        <v>4459</v>
      </c>
      <c r="B194" s="5" t="s">
        <v>4453</v>
      </c>
      <c r="C194" s="1" t="s">
        <v>13</v>
      </c>
      <c r="D194" s="1" t="s">
        <v>4454</v>
      </c>
      <c r="E194" s="57">
        <v>1865332</v>
      </c>
      <c r="F194" s="57"/>
      <c r="G194" s="18">
        <f>(_xlfn.MINIFS(INGRESOS!A:A,INGRESOS!C:C,Tabla3[[#This Row],[CORREO]]))</f>
        <v>46058</v>
      </c>
      <c r="H194" s="3">
        <f>+SUMIFS(INGRESOS!J:J,INGRESOS!D:D,Tabla3[[#This Row],[ID STRIPE]],INGRESOS!A:A,"&gt;="&amp;DATE(YEAR(Tabla3[[#This Row],[FECHA INGRESO]]),MONTH(Tabla3[[#This Row],[FECHA INGRESO]]),1),INGRESOS!A:A,"&lt;="&amp;DATE(YEAR(Tabla3[[#This Row],[FECHA INGRESO]]),MONTH(Tabla3[[#This Row],[FECHA INGRESO]])+1,0))</f>
        <v>966.99</v>
      </c>
      <c r="I194" s="286">
        <f ca="1">DATEDIF(Tabla3[[#This Row],[FECHA INGRESO]],IF(OR(Tabla3[[#This Row],[ESTADO]]="OK",Tabla3[[#This Row],[ESTADO]]="¡REGULARIZAR!")=TRUE,TODAY(),IF(Tabla3[[#This Row],[ULTIMO PAGO]]="",TODAY(),Tabla3[[#This Row],[ULTIMO PAGO]])),"m")</f>
        <v>1</v>
      </c>
      <c r="J194" s="18">
        <f>(_xlfn.MAXIFS(INGRESOS!A:A,INGRESOS!C:C,Tabla3[[#This Row],[CORREO]]))</f>
        <v>46085</v>
      </c>
      <c r="K194" s="7">
        <f ca="1">+IFERROR(Tabla3[[#This Row],[ABONADO NETO ]]/Tabla3[[#This Row],[MESES ACT]],Tabla3[[#This Row],[ABONO 1ER MES]])</f>
        <v>1934.24</v>
      </c>
      <c r="M194" s="287" t="s">
        <v>2119</v>
      </c>
      <c r="N194" s="288">
        <f>+SUMIF(INGRESOS!D:D,Tabla3[[#This Row],[ID STRIPE]],INGRESOS!J:J)</f>
        <v>1934.24</v>
      </c>
      <c r="O194" s="6">
        <v>26000</v>
      </c>
      <c r="P194" s="6">
        <f>+SUMIF('CALENDARIO INGRESOS'!A:A,Tabla3[[#This Row],[ID STRIPE]],'CALENDARIO INGRESOS'!I:I)</f>
        <v>26000</v>
      </c>
      <c r="Q194" s="6">
        <f>+SUMIF(INGRESOS!D:D,Tabla3[[#This Row],[ID STRIPE]],INGRESOS!G:G)</f>
        <v>2000</v>
      </c>
      <c r="R194" s="3" t="str">
        <f>IF(Tabla3[[#This Row],[ESTADO]]="OK",IF(COUNTIFS('CALENDARIO INGRESOS'!$A:$A,$D194,'CALENDARIO INGRESOS'!$H:$H,"LATAM",'CALENDARIO INGRESOS'!$L:$L,"&lt;&gt;PAGADA")&gt;0,"LATAM",
 IF(COUNTIFS('CALENDARIO INGRESOS'!$A:$A,$D194,'CALENDARIO INGRESOS'!$H:$H,"VISA",'CALENDARIO INGRESOS'!$L:$L,"&lt;&gt;PAGADA")&gt;0,"VISA",
  IF(COUNTIFS('CALENDARIO INGRESOS'!$A:$A,$D194,'CALENDARIO INGRESOS'!$H:$H,"FIRMA PA",'CALENDARIO INGRESOS'!$L:$L,"&lt;&gt;PAGADA")&gt;0,"FIRMA PA",
   IF(COUNTIFS('CALENDARIO INGRESOS'!$A:$A,$D194,'CALENDARIO INGRESOS'!$H:$H,"ALEM",'CALENDARIO INGRESOS'!$L:$L,"&lt;&gt;PAGADA")&gt;0,"ALEM","LISTO")))),"-")</f>
        <v>LATAM</v>
      </c>
      <c r="S194" s="188">
        <f>+SUMIFS('CALENDARIO INGRESOS'!I:I,'CALENDARIO INGRESOS'!A:A,Tabla3[[#This Row],[ID STRIPE]],'CALENDARIO INGRESOS'!H:H,"LATAM")</f>
        <v>15000</v>
      </c>
      <c r="T194" s="188">
        <f>+IF(Tabla3[[#This Row],[MONTO LATAM]]-Tabla3[[#This Row],[IMPORTE ABONADO]]&gt;=0,Tabla3[[#This Row],[MONTO LATAM]]-Tabla3[[#This Row],[IMPORTE ABONADO]],0)</f>
        <v>13000</v>
      </c>
      <c r="U194" s="188">
        <f>+SUMIFS('CALENDARIO INGRESOS'!I:I,'CALENDARIO INGRESOS'!A:A,Tabla3[[#This Row],[ID STRIPE]],'CALENDARIO INGRESOS'!H:H,"ALEM")</f>
        <v>8000</v>
      </c>
      <c r="V194" s="6">
        <f>+SUMIFS('CALENDARIO INGRESOS'!I:I,'CALENDARIO INGRESOS'!A:A,Tabla3[[#This Row],[ID STRIPE]],'CALENDARIO INGRESOS'!H:H,"VISA")+SUMIFS('CALENDARIO INGRESOS'!I:I,'CALENDARIO INGRESOS'!A:A,Tabla3[[#This Row],[ID STRIPE]],'CALENDARIO INGRESOS'!H:H,"FIRMA PA")</f>
        <v>3000</v>
      </c>
      <c r="W194" s="250">
        <v>0</v>
      </c>
      <c r="X194" s="57">
        <f>+IFERROR(AVERAGEIF('CALENDARIO INGRESOS'!A:A,Tabla3[[#This Row],[ID STRIPE]],'CALENDARIO INGRESOS'!M:M),"0")</f>
        <v>0.33333333333333331</v>
      </c>
      <c r="Y194" s="18">
        <v>46447</v>
      </c>
      <c r="Z194" s="286">
        <f>+IFERROR(_xlfn.XLOOKUP(Tabla3[[#This Row],[ID LINGODA]],LINGODA!D:D,LINGODA!S:S),0)</f>
        <v>27</v>
      </c>
      <c r="AA194" s="18" t="str">
        <f>+IFERROR(_xlfn.XLOOKUP(Tabla3[[#This Row],[ID LINGODA]],LINGODA!D:D,LINGODA!F:F),"null")</f>
        <v>A1.1</v>
      </c>
      <c r="AB194" s="286" t="str">
        <f>+IFERROR(_xlfn.XLOOKUP(Tabla3[[#This Row],[ID LINGODA]],LINGODA!D:D,LINGODA!G:G),"null")</f>
        <v>A1.1</v>
      </c>
    </row>
    <row r="195" spans="1:28">
      <c r="A195" s="5" t="s">
        <v>4512</v>
      </c>
      <c r="B195" s="5" t="s">
        <v>4508</v>
      </c>
      <c r="C195" s="1" t="s">
        <v>12</v>
      </c>
      <c r="D195" s="1" t="s">
        <v>4509</v>
      </c>
      <c r="E195" s="57">
        <v>1867497</v>
      </c>
      <c r="F195" s="57"/>
      <c r="G195" s="18">
        <f>(_xlfn.MINIFS(INGRESOS!A:A,INGRESOS!C:C,Tabla3[[#This Row],[CORREO]]))</f>
        <v>46062</v>
      </c>
      <c r="H195" s="3">
        <f>+SUMIFS(INGRESOS!J:J,INGRESOS!D:D,Tabla3[[#This Row],[ID STRIPE]],INGRESOS!A:A,"&gt;="&amp;DATE(YEAR(Tabla3[[#This Row],[FECHA INGRESO]]),MONTH(Tabla3[[#This Row],[FECHA INGRESO]]),1),INGRESOS!A:A,"&lt;="&amp;DATE(YEAR(Tabla3[[#This Row],[FECHA INGRESO]]),MONTH(Tabla3[[#This Row],[FECHA INGRESO]])+1,0))</f>
        <v>1934.4899999999998</v>
      </c>
      <c r="I195" s="286">
        <f ca="1">DATEDIF(Tabla3[[#This Row],[FECHA INGRESO]],IF(OR(Tabla3[[#This Row],[ESTADO]]="OK",Tabla3[[#This Row],[ESTADO]]="¡REGULARIZAR!")=TRUE,TODAY(),IF(Tabla3[[#This Row],[ULTIMO PAGO]]="",TODAY(),Tabla3[[#This Row],[ULTIMO PAGO]])),"m")</f>
        <v>0</v>
      </c>
      <c r="J195" s="18">
        <f>(_xlfn.MAXIFS(INGRESOS!A:A,INGRESOS!C:C,Tabla3[[#This Row],[CORREO]]))</f>
        <v>46070</v>
      </c>
      <c r="K195" s="7">
        <f ca="1">+IFERROR(Tabla3[[#This Row],[ABONADO NETO ]]/Tabla3[[#This Row],[MESES ACT]],Tabla3[[#This Row],[ABONO 1ER MES]])</f>
        <v>1934.4899999999998</v>
      </c>
      <c r="M195" s="287" t="s">
        <v>2119</v>
      </c>
      <c r="N195" s="288">
        <f>+SUMIF(INGRESOS!D:D,Tabla3[[#This Row],[ID STRIPE]],INGRESOS!J:J)</f>
        <v>1934.4899999999998</v>
      </c>
      <c r="O195" s="6">
        <v>24000</v>
      </c>
      <c r="P195" s="6">
        <f>+SUMIF('CALENDARIO INGRESOS'!A:A,Tabla3[[#This Row],[ID STRIPE]],'CALENDARIO INGRESOS'!I:I)</f>
        <v>24000</v>
      </c>
      <c r="Q195" s="6">
        <f>+SUMIF(INGRESOS!D:D,Tabla3[[#This Row],[ID STRIPE]],INGRESOS!G:G)</f>
        <v>2000</v>
      </c>
      <c r="R195" s="3" t="str">
        <f>IF(Tabla3[[#This Row],[ESTADO]]="OK",IF(COUNTIFS('CALENDARIO INGRESOS'!$A:$A,$D195,'CALENDARIO INGRESOS'!$H:$H,"LATAM",'CALENDARIO INGRESOS'!$L:$L,"&lt;&gt;PAGADA")&gt;0,"LATAM",
 IF(COUNTIFS('CALENDARIO INGRESOS'!$A:$A,$D195,'CALENDARIO INGRESOS'!$H:$H,"VISA",'CALENDARIO INGRESOS'!$L:$L,"&lt;&gt;PAGADA")&gt;0,"VISA",
  IF(COUNTIFS('CALENDARIO INGRESOS'!$A:$A,$D195,'CALENDARIO INGRESOS'!$H:$H,"FIRMA PA",'CALENDARIO INGRESOS'!$L:$L,"&lt;&gt;PAGADA")&gt;0,"FIRMA PA",
   IF(COUNTIFS('CALENDARIO INGRESOS'!$A:$A,$D195,'CALENDARIO INGRESOS'!$H:$H,"ALEM",'CALENDARIO INGRESOS'!$L:$L,"&lt;&gt;PAGADA")&gt;0,"ALEM","LISTO")))),"-")</f>
        <v>LATAM</v>
      </c>
      <c r="S195" s="188">
        <f>+SUMIFS('CALENDARIO INGRESOS'!I:I,'CALENDARIO INGRESOS'!A:A,Tabla3[[#This Row],[ID STRIPE]],'CALENDARIO INGRESOS'!H:H,"LATAM")</f>
        <v>10000</v>
      </c>
      <c r="T195" s="188">
        <f>+IF(Tabla3[[#This Row],[MONTO LATAM]]-Tabla3[[#This Row],[IMPORTE ABONADO]]&gt;=0,Tabla3[[#This Row],[MONTO LATAM]]-Tabla3[[#This Row],[IMPORTE ABONADO]],0)</f>
        <v>8000</v>
      </c>
      <c r="U195" s="188">
        <f>+SUMIFS('CALENDARIO INGRESOS'!I:I,'CALENDARIO INGRESOS'!A:A,Tabla3[[#This Row],[ID STRIPE]],'CALENDARIO INGRESOS'!H:H,"ALEM")</f>
        <v>9000</v>
      </c>
      <c r="V195" s="6">
        <f>+SUMIFS('CALENDARIO INGRESOS'!I:I,'CALENDARIO INGRESOS'!A:A,Tabla3[[#This Row],[ID STRIPE]],'CALENDARIO INGRESOS'!H:H,"VISA")+SUMIFS('CALENDARIO INGRESOS'!I:I,'CALENDARIO INGRESOS'!A:A,Tabla3[[#This Row],[ID STRIPE]],'CALENDARIO INGRESOS'!H:H,"FIRMA PA")</f>
        <v>5000</v>
      </c>
      <c r="W195" s="250">
        <v>0</v>
      </c>
      <c r="X195" s="57">
        <f>+IFERROR(AVERAGEIF('CALENDARIO INGRESOS'!A:A,Tabla3[[#This Row],[ID STRIPE]],'CALENDARIO INGRESOS'!M:M),"0")</f>
        <v>-3</v>
      </c>
      <c r="Y195" s="18">
        <v>46247</v>
      </c>
      <c r="Z195" s="286">
        <f>+IFERROR(_xlfn.XLOOKUP(Tabla3[[#This Row],[ID LINGODA]],LINGODA!D:D,LINGODA!S:S),0)</f>
        <v>18</v>
      </c>
      <c r="AA195" s="18" t="str">
        <f>+IFERROR(_xlfn.XLOOKUP(Tabla3[[#This Row],[ID LINGODA]],LINGODA!D:D,LINGODA!F:F),"null")</f>
        <v>A2.1</v>
      </c>
      <c r="AB195" s="286" t="str">
        <f>+IFERROR(_xlfn.XLOOKUP(Tabla3[[#This Row],[ID LINGODA]],LINGODA!D:D,LINGODA!G:G),"null")</f>
        <v>A2.1</v>
      </c>
    </row>
    <row r="196" spans="1:28">
      <c r="A196" s="5" t="s">
        <v>4665</v>
      </c>
      <c r="B196" s="5" t="s">
        <v>4659</v>
      </c>
      <c r="C196" s="1" t="s">
        <v>11</v>
      </c>
      <c r="D196" s="1" t="s">
        <v>4660</v>
      </c>
      <c r="E196" s="57">
        <v>1865424</v>
      </c>
      <c r="F196" s="57"/>
      <c r="G196" s="18">
        <f>(_xlfn.MINIFS(INGRESOS!A:A,INGRESOS!C:C,Tabla3[[#This Row],[CORREO]]))</f>
        <v>46072</v>
      </c>
      <c r="H196" s="3">
        <f>+SUMIFS(INGRESOS!J:J,INGRESOS!D:D,Tabla3[[#This Row],[ID STRIPE]],INGRESOS!A:A,"&gt;="&amp;DATE(YEAR(Tabla3[[#This Row],[FECHA INGRESO]]),MONTH(Tabla3[[#This Row],[FECHA INGRESO]]),1),INGRESOS!A:A,"&lt;="&amp;DATE(YEAR(Tabla3[[#This Row],[FECHA INGRESO]]),MONTH(Tabla3[[#This Row],[FECHA INGRESO]])+1,0))</f>
        <v>966.99</v>
      </c>
      <c r="I196" s="286">
        <f ca="1">DATEDIF(Tabla3[[#This Row],[FECHA INGRESO]],IF(OR(Tabla3[[#This Row],[ESTADO]]="OK",Tabla3[[#This Row],[ESTADO]]="¡REGULARIZAR!")=TRUE,TODAY(),IF(Tabla3[[#This Row],[ULTIMO PAGO]]="",TODAY(),Tabla3[[#This Row],[ULTIMO PAGO]])),"m")</f>
        <v>0</v>
      </c>
      <c r="J196" s="18">
        <f>(_xlfn.MAXIFS(INGRESOS!A:A,INGRESOS!C:C,Tabla3[[#This Row],[CORREO]]))</f>
        <v>46072</v>
      </c>
      <c r="K196" s="7">
        <f ca="1">+IFERROR(Tabla3[[#This Row],[ABONADO NETO ]]/Tabla3[[#This Row],[MESES ACT]],Tabla3[[#This Row],[ABONO 1ER MES]])</f>
        <v>966.99</v>
      </c>
      <c r="M196" s="287" t="s">
        <v>2119</v>
      </c>
      <c r="N196" s="288">
        <f>+SUMIF(INGRESOS!D:D,Tabla3[[#This Row],[ID STRIPE]],INGRESOS!J:J)</f>
        <v>966.99</v>
      </c>
      <c r="O196" s="6">
        <v>26750</v>
      </c>
      <c r="P196" s="6">
        <f>+SUMIF('CALENDARIO INGRESOS'!A:A,Tabla3[[#This Row],[ID STRIPE]],'CALENDARIO INGRESOS'!I:I)</f>
        <v>26750</v>
      </c>
      <c r="Q196" s="6">
        <f>+SUMIF(INGRESOS!D:D,Tabla3[[#This Row],[ID STRIPE]],INGRESOS!G:G)</f>
        <v>1000</v>
      </c>
      <c r="R196" s="3" t="str">
        <f>IF(Tabla3[[#This Row],[ESTADO]]="OK",IF(COUNTIFS('CALENDARIO INGRESOS'!$A:$A,$D196,'CALENDARIO INGRESOS'!$H:$H,"LATAM",'CALENDARIO INGRESOS'!$L:$L,"&lt;&gt;PAGADA")&gt;0,"LATAM",
 IF(COUNTIFS('CALENDARIO INGRESOS'!$A:$A,$D196,'CALENDARIO INGRESOS'!$H:$H,"VISA",'CALENDARIO INGRESOS'!$L:$L,"&lt;&gt;PAGADA")&gt;0,"VISA",
  IF(COUNTIFS('CALENDARIO INGRESOS'!$A:$A,$D196,'CALENDARIO INGRESOS'!$H:$H,"FIRMA PA",'CALENDARIO INGRESOS'!$L:$L,"&lt;&gt;PAGADA")&gt;0,"FIRMA PA",
   IF(COUNTIFS('CALENDARIO INGRESOS'!$A:$A,$D196,'CALENDARIO INGRESOS'!$H:$H,"ALEM",'CALENDARIO INGRESOS'!$L:$L,"&lt;&gt;PAGADA")&gt;0,"ALEM","LISTO")))),"-")</f>
        <v>LATAM</v>
      </c>
      <c r="S196" s="188">
        <f>+SUMIFS('CALENDARIO INGRESOS'!I:I,'CALENDARIO INGRESOS'!A:A,Tabla3[[#This Row],[ID STRIPE]],'CALENDARIO INGRESOS'!H:H,"LATAM")</f>
        <v>15750</v>
      </c>
      <c r="T196" s="188">
        <f>+IF(Tabla3[[#This Row],[MONTO LATAM]]-Tabla3[[#This Row],[IMPORTE ABONADO]]&gt;=0,Tabla3[[#This Row],[MONTO LATAM]]-Tabla3[[#This Row],[IMPORTE ABONADO]],0)</f>
        <v>14750</v>
      </c>
      <c r="U196" s="188">
        <f>+SUMIFS('CALENDARIO INGRESOS'!I:I,'CALENDARIO INGRESOS'!A:A,Tabla3[[#This Row],[ID STRIPE]],'CALENDARIO INGRESOS'!H:H,"ALEM")</f>
        <v>8000</v>
      </c>
      <c r="V196" s="6">
        <f>+SUMIFS('CALENDARIO INGRESOS'!I:I,'CALENDARIO INGRESOS'!A:A,Tabla3[[#This Row],[ID STRIPE]],'CALENDARIO INGRESOS'!H:H,"VISA")+SUMIFS('CALENDARIO INGRESOS'!I:I,'CALENDARIO INGRESOS'!A:A,Tabla3[[#This Row],[ID STRIPE]],'CALENDARIO INGRESOS'!H:H,"FIRMA PA")</f>
        <v>3000</v>
      </c>
      <c r="W196" s="250">
        <v>0</v>
      </c>
      <c r="X196" s="57">
        <f>+IFERROR(AVERAGEIF('CALENDARIO INGRESOS'!A:A,Tabla3[[#This Row],[ID STRIPE]],'CALENDARIO INGRESOS'!M:M),"0")</f>
        <v>-4</v>
      </c>
      <c r="Y196" s="18">
        <v>46402</v>
      </c>
      <c r="Z196" s="286">
        <f>+IFERROR(_xlfn.XLOOKUP(Tabla3[[#This Row],[ID LINGODA]],LINGODA!D:D,LINGODA!S:S),0)</f>
        <v>1</v>
      </c>
      <c r="AA196" s="18" t="str">
        <f>+IFERROR(_xlfn.XLOOKUP(Tabla3[[#This Row],[ID LINGODA]],LINGODA!D:D,LINGODA!F:F),"null")</f>
        <v>A1.1</v>
      </c>
      <c r="AB196" s="286" t="str">
        <f>+IFERROR(_xlfn.XLOOKUP(Tabla3[[#This Row],[ID LINGODA]],LINGODA!D:D,LINGODA!G:G),"null")</f>
        <v>A1.1</v>
      </c>
    </row>
    <row r="197" spans="1:28">
      <c r="A197" s="5" t="s">
        <v>4771</v>
      </c>
      <c r="B197" s="5" t="s">
        <v>4767</v>
      </c>
      <c r="C197" s="1" t="s">
        <v>22</v>
      </c>
      <c r="D197" s="1" t="s">
        <v>4768</v>
      </c>
      <c r="E197" s="57">
        <v>1870270</v>
      </c>
      <c r="F197" s="57"/>
      <c r="G197" s="18">
        <f>(_xlfn.MINIFS(INGRESOS!A:A,INGRESOS!C:C,Tabla3[[#This Row],[CORREO]]))</f>
        <v>46078</v>
      </c>
      <c r="H197" s="3">
        <f>+SUMIFS(INGRESOS!J:J,INGRESOS!D:D,Tabla3[[#This Row],[ID STRIPE]],INGRESOS!A:A,"&gt;="&amp;DATE(YEAR(Tabla3[[#This Row],[FECHA INGRESO]]),MONTH(Tabla3[[#This Row],[FECHA INGRESO]]),1),INGRESOS!A:A,"&lt;="&amp;DATE(YEAR(Tabla3[[#This Row],[FECHA INGRESO]]),MONTH(Tabla3[[#This Row],[FECHA INGRESO]])+1,0))</f>
        <v>241.62</v>
      </c>
      <c r="I197" s="286">
        <f ca="1">DATEDIF(Tabla3[[#This Row],[FECHA INGRESO]],IF(OR(Tabla3[[#This Row],[ESTADO]]="OK",Tabla3[[#This Row],[ESTADO]]="¡REGULARIZAR!")=TRUE,TODAY(),IF(Tabla3[[#This Row],[ULTIMO PAGO]]="",TODAY(),Tabla3[[#This Row],[ULTIMO PAGO]])),"m")</f>
        <v>0</v>
      </c>
      <c r="J197" s="18">
        <f>(_xlfn.MAXIFS(INGRESOS!A:A,INGRESOS!C:C,Tabla3[[#This Row],[CORREO]]))</f>
        <v>46078</v>
      </c>
      <c r="K197" s="7">
        <f ca="1">+IFERROR(Tabla3[[#This Row],[ABONADO NETO ]]/Tabla3[[#This Row],[MESES ACT]],Tabla3[[#This Row],[ABONO 1ER MES]])</f>
        <v>241.62</v>
      </c>
      <c r="M197" s="287" t="s">
        <v>2119</v>
      </c>
      <c r="N197" s="288">
        <f>+SUMIF(INGRESOS!D:D,Tabla3[[#This Row],[ID STRIPE]],INGRESOS!J:J)</f>
        <v>241.62</v>
      </c>
      <c r="O197" s="6">
        <v>24000</v>
      </c>
      <c r="P197" s="6">
        <f>+SUMIF('CALENDARIO INGRESOS'!A:A,Tabla3[[#This Row],[ID STRIPE]],'CALENDARIO INGRESOS'!I:I)</f>
        <v>24000</v>
      </c>
      <c r="Q197" s="6">
        <f>+SUMIF(INGRESOS!D:D,Tabla3[[#This Row],[ID STRIPE]],INGRESOS!G:G)</f>
        <v>250</v>
      </c>
      <c r="R197" s="3" t="str">
        <f>IF(Tabla3[[#This Row],[ESTADO]]="OK",IF(COUNTIFS('CALENDARIO INGRESOS'!$A:$A,$D197,'CALENDARIO INGRESOS'!$H:$H,"LATAM",'CALENDARIO INGRESOS'!$L:$L,"&lt;&gt;PAGADA")&gt;0,"LATAM",
 IF(COUNTIFS('CALENDARIO INGRESOS'!$A:$A,$D197,'CALENDARIO INGRESOS'!$H:$H,"VISA",'CALENDARIO INGRESOS'!$L:$L,"&lt;&gt;PAGADA")&gt;0,"VISA",
  IF(COUNTIFS('CALENDARIO INGRESOS'!$A:$A,$D197,'CALENDARIO INGRESOS'!$H:$H,"FIRMA PA",'CALENDARIO INGRESOS'!$L:$L,"&lt;&gt;PAGADA")&gt;0,"FIRMA PA",
   IF(COUNTIFS('CALENDARIO INGRESOS'!$A:$A,$D197,'CALENDARIO INGRESOS'!$H:$H,"ALEM",'CALENDARIO INGRESOS'!$L:$L,"&lt;&gt;PAGADA")&gt;0,"ALEM","LISTO")))),"-")</f>
        <v>LATAM</v>
      </c>
      <c r="S197" s="188">
        <f>+SUMIFS('CALENDARIO INGRESOS'!I:I,'CALENDARIO INGRESOS'!A:A,Tabla3[[#This Row],[ID STRIPE]],'CALENDARIO INGRESOS'!H:H,"LATAM")</f>
        <v>9000</v>
      </c>
      <c r="T197" s="188">
        <f>+IF(Tabla3[[#This Row],[MONTO LATAM]]-Tabla3[[#This Row],[IMPORTE ABONADO]]&gt;=0,Tabla3[[#This Row],[MONTO LATAM]]-Tabla3[[#This Row],[IMPORTE ABONADO]],0)</f>
        <v>8750</v>
      </c>
      <c r="U197" s="188">
        <f>+SUMIFS('CALENDARIO INGRESOS'!I:I,'CALENDARIO INGRESOS'!A:A,Tabla3[[#This Row],[ID STRIPE]],'CALENDARIO INGRESOS'!H:H,"ALEM")</f>
        <v>10000</v>
      </c>
      <c r="V197" s="6">
        <f>+SUMIFS('CALENDARIO INGRESOS'!I:I,'CALENDARIO INGRESOS'!A:A,Tabla3[[#This Row],[ID STRIPE]],'CALENDARIO INGRESOS'!H:H,"VISA")+SUMIFS('CALENDARIO INGRESOS'!I:I,'CALENDARIO INGRESOS'!A:A,Tabla3[[#This Row],[ID STRIPE]],'CALENDARIO INGRESOS'!H:H,"FIRMA PA")</f>
        <v>5000</v>
      </c>
      <c r="W197" s="250">
        <v>0</v>
      </c>
      <c r="X197" s="57">
        <f>+IFERROR(AVERAGEIF('CALENDARIO INGRESOS'!A:A,Tabla3[[#This Row],[ID STRIPE]],'CALENDARIO INGRESOS'!M:M),"0")</f>
        <v>-9</v>
      </c>
      <c r="Y197" s="18">
        <v>46235</v>
      </c>
      <c r="Z197" s="286">
        <f>+IFERROR(_xlfn.XLOOKUP(Tabla3[[#This Row],[ID LINGODA]],LINGODA!D:D,LINGODA!S:S),0)</f>
        <v>3</v>
      </c>
      <c r="AA197" s="18" t="str">
        <f>+IFERROR(_xlfn.XLOOKUP(Tabla3[[#This Row],[ID LINGODA]],LINGODA!D:D,LINGODA!F:F),"null")</f>
        <v>A2.1</v>
      </c>
      <c r="AB197" s="286" t="str">
        <f>+IFERROR(_xlfn.XLOOKUP(Tabla3[[#This Row],[ID LINGODA]],LINGODA!D:D,LINGODA!G:G),"null")</f>
        <v>A2.1</v>
      </c>
    </row>
    <row r="198" spans="1:28">
      <c r="A198" s="5" t="s">
        <v>5990</v>
      </c>
      <c r="B198" s="5" t="s">
        <v>5986</v>
      </c>
      <c r="C198" s="1" t="s">
        <v>12</v>
      </c>
      <c r="D198" s="1" t="s">
        <v>5987</v>
      </c>
      <c r="E198" s="57">
        <v>0</v>
      </c>
      <c r="F198" s="57"/>
      <c r="G198" s="18">
        <f>(_xlfn.MINIFS(INGRESOS!A:A,INGRESOS!C:C,Tabla3[[#This Row],[CORREO]]))</f>
        <v>46084</v>
      </c>
      <c r="H198" s="3">
        <f>+SUMIFS(INGRESOS!J:J,INGRESOS!D:D,Tabla3[[#This Row],[ID STRIPE]],INGRESOS!A:A,"&gt;="&amp;DATE(YEAR(Tabla3[[#This Row],[FECHA INGRESO]]),MONTH(Tabla3[[#This Row],[FECHA INGRESO]]),1),INGRESOS!A:A,"&lt;="&amp;DATE(YEAR(Tabla3[[#This Row],[FECHA INGRESO]]),MONTH(Tabla3[[#This Row],[FECHA INGRESO]])+1,0))</f>
        <v>483.5</v>
      </c>
      <c r="I198" s="286">
        <f ca="1">DATEDIF(Tabla3[[#This Row],[FECHA INGRESO]],IF(OR(Tabla3[[#This Row],[ESTADO]]="OK",Tabla3[[#This Row],[ESTADO]]="¡REGULARIZAR!")=TRUE,TODAY(),IF(Tabla3[[#This Row],[ULTIMO PAGO]]="",TODAY(),Tabla3[[#This Row],[ULTIMO PAGO]])),"m")</f>
        <v>0</v>
      </c>
      <c r="J198" s="18">
        <f>(_xlfn.MAXIFS(INGRESOS!A:A,INGRESOS!C:C,Tabla3[[#This Row],[CORREO]]))</f>
        <v>46084</v>
      </c>
      <c r="K198" s="7">
        <f ca="1">+IFERROR(Tabla3[[#This Row],[ABONADO NETO ]]/Tabla3[[#This Row],[MESES ACT]],Tabla3[[#This Row],[ABONO 1ER MES]])</f>
        <v>483.5</v>
      </c>
      <c r="M198" s="287" t="s">
        <v>2119</v>
      </c>
      <c r="N198" s="288">
        <f>+SUMIF(INGRESOS!D:D,Tabla3[[#This Row],[ID STRIPE]],INGRESOS!J:J)</f>
        <v>483.5</v>
      </c>
      <c r="O198" s="6">
        <v>3000</v>
      </c>
      <c r="P198" s="6">
        <f>+SUMIF('CALENDARIO INGRESOS'!A:A,Tabla3[[#This Row],[ID STRIPE]],'CALENDARIO INGRESOS'!I:I)</f>
        <v>3000</v>
      </c>
      <c r="Q198" s="6">
        <f>+SUMIF(INGRESOS!D:D,Tabla3[[#This Row],[ID STRIPE]],INGRESOS!G:G)</f>
        <v>500</v>
      </c>
      <c r="R198" s="3" t="str">
        <f>IF(Tabla3[[#This Row],[ESTADO]]="OK",IF(COUNTIFS('CALENDARIO INGRESOS'!$A:$A,$D198,'CALENDARIO INGRESOS'!$H:$H,"LATAM",'CALENDARIO INGRESOS'!$L:$L,"&lt;&gt;PAGADA")&gt;0,"LATAM",
 IF(COUNTIFS('CALENDARIO INGRESOS'!$A:$A,$D198,'CALENDARIO INGRESOS'!$H:$H,"VISA",'CALENDARIO INGRESOS'!$L:$L,"&lt;&gt;PAGADA")&gt;0,"VISA",
  IF(COUNTIFS('CALENDARIO INGRESOS'!$A:$A,$D198,'CALENDARIO INGRESOS'!$H:$H,"FIRMA PA",'CALENDARIO INGRESOS'!$L:$L,"&lt;&gt;PAGADA")&gt;0,"FIRMA PA",
   IF(COUNTIFS('CALENDARIO INGRESOS'!$A:$A,$D198,'CALENDARIO INGRESOS'!$H:$H,"ALEM",'CALENDARIO INGRESOS'!$L:$L,"&lt;&gt;PAGADA")&gt;0,"ALEM","LISTO")))),"-")</f>
        <v>ALEM</v>
      </c>
      <c r="S198" s="188">
        <f>+SUMIFS('CALENDARIO INGRESOS'!I:I,'CALENDARIO INGRESOS'!A:A,Tabla3[[#This Row],[ID STRIPE]],'CALENDARIO INGRESOS'!H:H,"LATAM")</f>
        <v>0</v>
      </c>
      <c r="T198" s="188">
        <f>+IF(Tabla3[[#This Row],[MONTO LATAM]]-Tabla3[[#This Row],[IMPORTE ABONADO]]&gt;=0,Tabla3[[#This Row],[MONTO LATAM]]-Tabla3[[#This Row],[IMPORTE ABONADO]],0)</f>
        <v>0</v>
      </c>
      <c r="U198" s="188">
        <f>+SUMIFS('CALENDARIO INGRESOS'!I:I,'CALENDARIO INGRESOS'!A:A,Tabla3[[#This Row],[ID STRIPE]],'CALENDARIO INGRESOS'!H:H,"ALEM")</f>
        <v>3000</v>
      </c>
      <c r="V198" s="6">
        <f>+SUMIFS('CALENDARIO INGRESOS'!I:I,'CALENDARIO INGRESOS'!A:A,Tabla3[[#This Row],[ID STRIPE]],'CALENDARIO INGRESOS'!H:H,"VISA")+SUMIFS('CALENDARIO INGRESOS'!I:I,'CALENDARIO INGRESOS'!A:A,Tabla3[[#This Row],[ID STRIPE]],'CALENDARIO INGRESOS'!H:H,"FIRMA PA")</f>
        <v>0</v>
      </c>
      <c r="W198" s="250">
        <v>0</v>
      </c>
      <c r="X198" s="57">
        <f>+IFERROR(AVERAGEIF('CALENDARIO INGRESOS'!A:A,Tabla3[[#This Row],[ID STRIPE]],'CALENDARIO INGRESOS'!M:M),"0")</f>
        <v>0</v>
      </c>
      <c r="Y198" s="18">
        <v>46083</v>
      </c>
      <c r="Z198" s="286">
        <f>+IFERROR(_xlfn.XLOOKUP(Tabla3[[#This Row],[ID LINGODA]],LINGODA!D:D,LINGODA!S:S),0)</f>
        <v>0</v>
      </c>
      <c r="AA198" s="18" t="str">
        <f>+IFERROR(_xlfn.XLOOKUP(Tabla3[[#This Row],[ID LINGODA]],LINGODA!D:D,LINGODA!F:F),"null")</f>
        <v>null</v>
      </c>
      <c r="AB198" s="286" t="str">
        <f>+IFERROR(_xlfn.XLOOKUP(Tabla3[[#This Row],[ID LINGODA]],LINGODA!D:D,LINGODA!G:G),"null")</f>
        <v>null</v>
      </c>
    </row>
    <row r="199" spans="1:28">
      <c r="A199" s="5" t="s">
        <v>6046</v>
      </c>
      <c r="B199" s="5" t="s">
        <v>6034</v>
      </c>
      <c r="C199" s="1" t="s">
        <v>13</v>
      </c>
      <c r="D199" s="1" t="s">
        <v>6035</v>
      </c>
      <c r="E199" s="57">
        <v>0</v>
      </c>
      <c r="F199" s="57"/>
      <c r="G199" s="18">
        <f>(_xlfn.MINIFS(INGRESOS!A:A,INGRESOS!C:C,Tabla3[[#This Row],[CORREO]]))</f>
        <v>46084</v>
      </c>
      <c r="H199" s="3">
        <f>+SUMIFS(INGRESOS!J:J,INGRESOS!D:D,Tabla3[[#This Row],[ID STRIPE]],INGRESOS!A:A,"&gt;="&amp;DATE(YEAR(Tabla3[[#This Row],[FECHA INGRESO]]),MONTH(Tabla3[[#This Row],[FECHA INGRESO]]),1),INGRESOS!A:A,"&lt;="&amp;DATE(YEAR(Tabla3[[#This Row],[FECHA INGRESO]]),MONTH(Tabla3[[#This Row],[FECHA INGRESO]])+1,0))</f>
        <v>2901.99</v>
      </c>
      <c r="I199" s="286">
        <f ca="1">DATEDIF(Tabla3[[#This Row],[FECHA INGRESO]],IF(OR(Tabla3[[#This Row],[ESTADO]]="OK",Tabla3[[#This Row],[ESTADO]]="¡REGULARIZAR!")=TRUE,TODAY(),IF(Tabla3[[#This Row],[ULTIMO PAGO]]="",TODAY(),Tabla3[[#This Row],[ULTIMO PAGO]])),"m")</f>
        <v>0</v>
      </c>
      <c r="J199" s="18">
        <f>(_xlfn.MAXIFS(INGRESOS!A:A,INGRESOS!C:C,Tabla3[[#This Row],[CORREO]]))</f>
        <v>46084</v>
      </c>
      <c r="K199" s="7">
        <f ca="1">+IFERROR(Tabla3[[#This Row],[ABONADO NETO ]]/Tabla3[[#This Row],[MESES ACT]],Tabla3[[#This Row],[ABONO 1ER MES]])</f>
        <v>2901.99</v>
      </c>
      <c r="M199" s="287" t="s">
        <v>2119</v>
      </c>
      <c r="N199" s="288">
        <f>+SUMIF(INGRESOS!D:D,Tabla3[[#This Row],[ID STRIPE]],INGRESOS!J:J)</f>
        <v>2901.99</v>
      </c>
      <c r="O199" s="6">
        <v>26000</v>
      </c>
      <c r="P199" s="6">
        <f>+SUMIF('CALENDARIO INGRESOS'!A:A,Tabla3[[#This Row],[ID STRIPE]],'CALENDARIO INGRESOS'!I:I)</f>
        <v>26000</v>
      </c>
      <c r="Q199" s="6">
        <f>+SUMIF(INGRESOS!D:D,Tabla3[[#This Row],[ID STRIPE]],INGRESOS!G:G)</f>
        <v>3000</v>
      </c>
      <c r="R199" s="3" t="str">
        <f>IF(Tabla3[[#This Row],[ESTADO]]="OK",IF(COUNTIFS('CALENDARIO INGRESOS'!$A:$A,$D199,'CALENDARIO INGRESOS'!$H:$H,"LATAM",'CALENDARIO INGRESOS'!$L:$L,"&lt;&gt;PAGADA")&gt;0,"LATAM",
 IF(COUNTIFS('CALENDARIO INGRESOS'!$A:$A,$D199,'CALENDARIO INGRESOS'!$H:$H,"VISA",'CALENDARIO INGRESOS'!$L:$L,"&lt;&gt;PAGADA")&gt;0,"VISA",
  IF(COUNTIFS('CALENDARIO INGRESOS'!$A:$A,$D199,'CALENDARIO INGRESOS'!$H:$H,"FIRMA PA",'CALENDARIO INGRESOS'!$L:$L,"&lt;&gt;PAGADA")&gt;0,"FIRMA PA",
   IF(COUNTIFS('CALENDARIO INGRESOS'!$A:$A,$D199,'CALENDARIO INGRESOS'!$H:$H,"ALEM",'CALENDARIO INGRESOS'!$L:$L,"&lt;&gt;PAGADA")&gt;0,"ALEM","LISTO")))),"-")</f>
        <v>LATAM</v>
      </c>
      <c r="S199" s="188">
        <f>+SUMIFS('CALENDARIO INGRESOS'!I:I,'CALENDARIO INGRESOS'!A:A,Tabla3[[#This Row],[ID STRIPE]],'CALENDARIO INGRESOS'!H:H,"LATAM")</f>
        <v>15000</v>
      </c>
      <c r="T199" s="188">
        <f>+IF(Tabla3[[#This Row],[MONTO LATAM]]-Tabla3[[#This Row],[IMPORTE ABONADO]]&gt;=0,Tabla3[[#This Row],[MONTO LATAM]]-Tabla3[[#This Row],[IMPORTE ABONADO]],0)</f>
        <v>12000</v>
      </c>
      <c r="U199" s="188">
        <f>+SUMIFS('CALENDARIO INGRESOS'!I:I,'CALENDARIO INGRESOS'!A:A,Tabla3[[#This Row],[ID STRIPE]],'CALENDARIO INGRESOS'!H:H,"ALEM")</f>
        <v>8000</v>
      </c>
      <c r="V199" s="6">
        <f>+SUMIFS('CALENDARIO INGRESOS'!I:I,'CALENDARIO INGRESOS'!A:A,Tabla3[[#This Row],[ID STRIPE]],'CALENDARIO INGRESOS'!H:H,"VISA")+SUMIFS('CALENDARIO INGRESOS'!I:I,'CALENDARIO INGRESOS'!A:A,Tabla3[[#This Row],[ID STRIPE]],'CALENDARIO INGRESOS'!H:H,"FIRMA PA")</f>
        <v>3000</v>
      </c>
      <c r="W199" s="250">
        <v>0</v>
      </c>
      <c r="X199" s="57">
        <f>+IFERROR(AVERAGEIF('CALENDARIO INGRESOS'!A:A,Tabla3[[#This Row],[ID STRIPE]],'CALENDARIO INGRESOS'!M:M),"0")</f>
        <v>-1</v>
      </c>
      <c r="Y199" s="18">
        <v>46391</v>
      </c>
      <c r="Z199" s="286">
        <f>+IFERROR(_xlfn.XLOOKUP(Tabla3[[#This Row],[ID LINGODA]],LINGODA!D:D,LINGODA!S:S),0)</f>
        <v>0</v>
      </c>
      <c r="AA199" s="18" t="str">
        <f>+IFERROR(_xlfn.XLOOKUP(Tabla3[[#This Row],[ID LINGODA]],LINGODA!D:D,LINGODA!F:F),"null")</f>
        <v>null</v>
      </c>
      <c r="AB199" s="286" t="str">
        <f>+IFERROR(_xlfn.XLOOKUP(Tabla3[[#This Row],[ID LINGODA]],LINGODA!D:D,LINGODA!G:G),"null")</f>
        <v>null</v>
      </c>
    </row>
    <row r="200" spans="1:28">
      <c r="A200" s="5" t="s">
        <v>6047</v>
      </c>
      <c r="B200" s="5" t="s">
        <v>6042</v>
      </c>
      <c r="C200" s="1" t="s">
        <v>13</v>
      </c>
      <c r="D200" s="1" t="s">
        <v>6043</v>
      </c>
      <c r="E200" s="57">
        <v>0</v>
      </c>
      <c r="F200" s="57"/>
      <c r="G200" s="18">
        <f>(_xlfn.MINIFS(INGRESOS!A:A,INGRESOS!C:C,Tabla3[[#This Row],[CORREO]]))</f>
        <v>46085</v>
      </c>
      <c r="H200" s="3">
        <f>+SUMIFS(INGRESOS!J:J,INGRESOS!D:D,Tabla3[[#This Row],[ID STRIPE]],INGRESOS!A:A,"&gt;="&amp;DATE(YEAR(Tabla3[[#This Row],[FECHA INGRESO]]),MONTH(Tabla3[[#This Row],[FECHA INGRESO]]),1),INGRESOS!A:A,"&lt;="&amp;DATE(YEAR(Tabla3[[#This Row],[FECHA INGRESO]]),MONTH(Tabla3[[#This Row],[FECHA INGRESO]])+1,0))</f>
        <v>2901.99</v>
      </c>
      <c r="I200" s="286">
        <f ca="1">DATEDIF(Tabla3[[#This Row],[FECHA INGRESO]],IF(OR(Tabla3[[#This Row],[ESTADO]]="OK",Tabla3[[#This Row],[ESTADO]]="¡REGULARIZAR!")=TRUE,TODAY(),IF(Tabla3[[#This Row],[ULTIMO PAGO]]="",TODAY(),Tabla3[[#This Row],[ULTIMO PAGO]])),"m")</f>
        <v>0</v>
      </c>
      <c r="J200" s="18">
        <f>(_xlfn.MAXIFS(INGRESOS!A:A,INGRESOS!C:C,Tabla3[[#This Row],[CORREO]]))</f>
        <v>46086</v>
      </c>
      <c r="K200" s="7">
        <f ca="1">+IFERROR(Tabla3[[#This Row],[ABONADO NETO ]]/Tabla3[[#This Row],[MESES ACT]],Tabla3[[#This Row],[ABONO 1ER MES]])</f>
        <v>2901.99</v>
      </c>
      <c r="M200" s="287" t="s">
        <v>2513</v>
      </c>
      <c r="N200" s="288">
        <f>+SUMIF(INGRESOS!D:D,Tabla3[[#This Row],[ID STRIPE]],INGRESOS!J:J)</f>
        <v>2901.99</v>
      </c>
      <c r="O200" s="6">
        <v>21000</v>
      </c>
      <c r="P200" s="6">
        <f>+SUMIF('CALENDARIO INGRESOS'!A:A,Tabla3[[#This Row],[ID STRIPE]],'CALENDARIO INGRESOS'!I:I)</f>
        <v>0</v>
      </c>
      <c r="Q200" s="6">
        <f>+SUMIF(INGRESOS!D:D,Tabla3[[#This Row],[ID STRIPE]],INGRESOS!G:G)</f>
        <v>3000</v>
      </c>
      <c r="R200" s="3" t="str">
        <f>IF(Tabla3[[#This Row],[ESTADO]]="OK",IF(COUNTIFS('CALENDARIO INGRESOS'!$A:$A,$D200,'CALENDARIO INGRESOS'!$H:$H,"LATAM",'CALENDARIO INGRESOS'!$L:$L,"&lt;&gt;PAGADA")&gt;0,"LATAM",
 IF(COUNTIFS('CALENDARIO INGRESOS'!$A:$A,$D200,'CALENDARIO INGRESOS'!$H:$H,"VISA",'CALENDARIO INGRESOS'!$L:$L,"&lt;&gt;PAGADA")&gt;0,"VISA",
  IF(COUNTIFS('CALENDARIO INGRESOS'!$A:$A,$D200,'CALENDARIO INGRESOS'!$H:$H,"FIRMA PA",'CALENDARIO INGRESOS'!$L:$L,"&lt;&gt;PAGADA")&gt;0,"FIRMA PA",
   IF(COUNTIFS('CALENDARIO INGRESOS'!$A:$A,$D200,'CALENDARIO INGRESOS'!$H:$H,"ALEM",'CALENDARIO INGRESOS'!$L:$L,"&lt;&gt;PAGADA")&gt;0,"ALEM","LISTO")))),"-")</f>
        <v>-</v>
      </c>
      <c r="S200" s="188">
        <f>+SUMIFS('CALENDARIO INGRESOS'!I:I,'CALENDARIO INGRESOS'!A:A,Tabla3[[#This Row],[ID STRIPE]],'CALENDARIO INGRESOS'!H:H,"LATAM")</f>
        <v>0</v>
      </c>
      <c r="T200" s="188">
        <f>+IF(Tabla3[[#This Row],[MONTO LATAM]]-Tabla3[[#This Row],[IMPORTE ABONADO]]&gt;=0,Tabla3[[#This Row],[MONTO LATAM]]-Tabla3[[#This Row],[IMPORTE ABONADO]],0)</f>
        <v>0</v>
      </c>
      <c r="U200" s="188">
        <f>+SUMIFS('CALENDARIO INGRESOS'!I:I,'CALENDARIO INGRESOS'!A:A,Tabla3[[#This Row],[ID STRIPE]],'CALENDARIO INGRESOS'!H:H,"ALEM")</f>
        <v>0</v>
      </c>
      <c r="V200" s="6">
        <f>+SUMIFS('CALENDARIO INGRESOS'!I:I,'CALENDARIO INGRESOS'!A:A,Tabla3[[#This Row],[ID STRIPE]],'CALENDARIO INGRESOS'!H:H,"VISA")+SUMIFS('CALENDARIO INGRESOS'!I:I,'CALENDARIO INGRESOS'!A:A,Tabla3[[#This Row],[ID STRIPE]],'CALENDARIO INGRESOS'!H:H,"FIRMA PA")</f>
        <v>0</v>
      </c>
      <c r="W200" s="250">
        <v>0</v>
      </c>
      <c r="X200" s="57" t="str">
        <f>+IFERROR(AVERAGEIF('CALENDARIO INGRESOS'!A:A,Tabla3[[#This Row],[ID STRIPE]],'CALENDARIO INGRESOS'!M:M),"0")</f>
        <v>0</v>
      </c>
      <c r="Y200" s="18">
        <v>46346</v>
      </c>
      <c r="Z200" s="286">
        <f>+IFERROR(_xlfn.XLOOKUP(Tabla3[[#This Row],[ID LINGODA]],LINGODA!D:D,LINGODA!S:S),0)</f>
        <v>0</v>
      </c>
      <c r="AA200" s="18" t="str">
        <f>+IFERROR(_xlfn.XLOOKUP(Tabla3[[#This Row],[ID LINGODA]],LINGODA!D:D,LINGODA!F:F),"null")</f>
        <v>null</v>
      </c>
      <c r="AB200" s="286" t="str">
        <f>+IFERROR(_xlfn.XLOOKUP(Tabla3[[#This Row],[ID LINGODA]],LINGODA!D:D,LINGODA!G:G),"null")</f>
        <v>null</v>
      </c>
    </row>
    <row r="201" spans="1:28">
      <c r="A201" s="5" t="s">
        <v>6699</v>
      </c>
      <c r="B201" s="5" t="s">
        <v>6695</v>
      </c>
      <c r="C201" s="1" t="s">
        <v>14</v>
      </c>
      <c r="D201" s="1" t="s">
        <v>6696</v>
      </c>
      <c r="E201" s="57">
        <v>0</v>
      </c>
      <c r="F201" s="57"/>
      <c r="G201" s="18">
        <f>(_xlfn.MINIFS(INGRESOS!A:A,INGRESOS!C:C,Tabla3[[#This Row],[CORREO]]))</f>
        <v>46087</v>
      </c>
      <c r="H201" s="3">
        <f>+SUMIFS(INGRESOS!J:J,INGRESOS!D:D,Tabla3[[#This Row],[ID STRIPE]],INGRESOS!A:A,"&gt;="&amp;DATE(YEAR(Tabla3[[#This Row],[FECHA INGRESO]]),MONTH(Tabla3[[#This Row],[FECHA INGRESO]]),1),INGRESOS!A:A,"&lt;="&amp;DATE(YEAR(Tabla3[[#This Row],[FECHA INGRESO]]),MONTH(Tabla3[[#This Row],[FECHA INGRESO]])+1,0))</f>
        <v>241.62</v>
      </c>
      <c r="I201" s="286">
        <f ca="1">DATEDIF(Tabla3[[#This Row],[FECHA INGRESO]],IF(OR(Tabla3[[#This Row],[ESTADO]]="OK",Tabla3[[#This Row],[ESTADO]]="¡REGULARIZAR!")=TRUE,TODAY(),IF(Tabla3[[#This Row],[ULTIMO PAGO]]="",TODAY(),Tabla3[[#This Row],[ULTIMO PAGO]])),"m")</f>
        <v>0</v>
      </c>
      <c r="J201" s="18">
        <f>(_xlfn.MAXIFS(INGRESOS!A:A,INGRESOS!C:C,Tabla3[[#This Row],[CORREO]]))</f>
        <v>46087</v>
      </c>
      <c r="K201" s="7">
        <f ca="1">+IFERROR(Tabla3[[#This Row],[ABONADO NETO ]]/Tabla3[[#This Row],[MESES ACT]],Tabla3[[#This Row],[ABONO 1ER MES]])</f>
        <v>241.62</v>
      </c>
      <c r="M201" s="287" t="s">
        <v>6711</v>
      </c>
      <c r="N201" s="288">
        <f>+SUMIF(INGRESOS!D:D,Tabla3[[#This Row],[ID STRIPE]],INGRESOS!J:J)</f>
        <v>241.62</v>
      </c>
      <c r="O201" s="6">
        <v>24000</v>
      </c>
      <c r="P201" s="6">
        <f>+SUMIF('CALENDARIO INGRESOS'!A:A,Tabla3[[#This Row],[ID STRIPE]],'CALENDARIO INGRESOS'!I:I)</f>
        <v>24000</v>
      </c>
      <c r="Q201" s="6">
        <f>+SUMIF(INGRESOS!D:D,Tabla3[[#This Row],[ID STRIPE]],INGRESOS!G:G)</f>
        <v>250</v>
      </c>
      <c r="R201" s="3" t="str">
        <f>IF(Tabla3[[#This Row],[ESTADO]]="OK",IF(COUNTIFS('CALENDARIO INGRESOS'!$A:$A,$D201,'CALENDARIO INGRESOS'!$H:$H,"LATAM",'CALENDARIO INGRESOS'!$L:$L,"&lt;&gt;PAGADA")&gt;0,"LATAM",
 IF(COUNTIFS('CALENDARIO INGRESOS'!$A:$A,$D201,'CALENDARIO INGRESOS'!$H:$H,"VISA",'CALENDARIO INGRESOS'!$L:$L,"&lt;&gt;PAGADA")&gt;0,"VISA",
  IF(COUNTIFS('CALENDARIO INGRESOS'!$A:$A,$D201,'CALENDARIO INGRESOS'!$H:$H,"FIRMA PA",'CALENDARIO INGRESOS'!$L:$L,"&lt;&gt;PAGADA")&gt;0,"FIRMA PA",
   IF(COUNTIFS('CALENDARIO INGRESOS'!$A:$A,$D201,'CALENDARIO INGRESOS'!$H:$H,"ALEM",'CALENDARIO INGRESOS'!$L:$L,"&lt;&gt;PAGADA")&gt;0,"ALEM","LISTO")))),"-")</f>
        <v>-</v>
      </c>
      <c r="S201" s="188">
        <f>+SUMIFS('CALENDARIO INGRESOS'!I:I,'CALENDARIO INGRESOS'!A:A,Tabla3[[#This Row],[ID STRIPE]],'CALENDARIO INGRESOS'!H:H,"LATAM")</f>
        <v>14000</v>
      </c>
      <c r="T201" s="188">
        <f>+IF(Tabla3[[#This Row],[MONTO LATAM]]-Tabla3[[#This Row],[IMPORTE ABONADO]]&gt;=0,Tabla3[[#This Row],[MONTO LATAM]]-Tabla3[[#This Row],[IMPORTE ABONADO]],0)</f>
        <v>13750</v>
      </c>
      <c r="U201" s="188">
        <f>+SUMIFS('CALENDARIO INGRESOS'!I:I,'CALENDARIO INGRESOS'!A:A,Tabla3[[#This Row],[ID STRIPE]],'CALENDARIO INGRESOS'!H:H,"ALEM")</f>
        <v>10000</v>
      </c>
      <c r="V201" s="6">
        <f>+SUMIFS('CALENDARIO INGRESOS'!I:I,'CALENDARIO INGRESOS'!A:A,Tabla3[[#This Row],[ID STRIPE]],'CALENDARIO INGRESOS'!H:H,"VISA")+SUMIFS('CALENDARIO INGRESOS'!I:I,'CALENDARIO INGRESOS'!A:A,Tabla3[[#This Row],[ID STRIPE]],'CALENDARIO INGRESOS'!H:H,"FIRMA PA")</f>
        <v>0</v>
      </c>
      <c r="W201" s="250">
        <v>0</v>
      </c>
      <c r="X201" s="57">
        <f>+IFERROR(AVERAGEIF('CALENDARIO INGRESOS'!A:A,Tabla3[[#This Row],[ID STRIPE]],'CALENDARIO INGRESOS'!M:M),"0")</f>
        <v>58</v>
      </c>
      <c r="Y201" s="18">
        <v>46292</v>
      </c>
      <c r="Z201" s="286">
        <f>+IFERROR(_xlfn.XLOOKUP(Tabla3[[#This Row],[ID LINGODA]],LINGODA!D:D,LINGODA!S:S),0)</f>
        <v>0</v>
      </c>
      <c r="AA201" s="18" t="str">
        <f>+IFERROR(_xlfn.XLOOKUP(Tabla3[[#This Row],[ID LINGODA]],LINGODA!D:D,LINGODA!F:F),"null")</f>
        <v>null</v>
      </c>
      <c r="AB201" s="286" t="str">
        <f>+IFERROR(_xlfn.XLOOKUP(Tabla3[[#This Row],[ID LINGODA]],LINGODA!D:D,LINGODA!G:G),"null")</f>
        <v>null</v>
      </c>
    </row>
    <row r="1048573" spans="25:25">
      <c r="Y1048573" s="168"/>
    </row>
  </sheetData>
  <conditionalFormatting sqref="E1:F201 X1:X1048572 X1048573:Y1048576">
    <cfRule type="cellIs" dxfId="21" priority="12" operator="lessThan">
      <formula>-2</formula>
    </cfRule>
  </conditionalFormatting>
  <conditionalFormatting sqref="L1:L201 R1:R1048576">
    <cfRule type="cellIs" dxfId="20" priority="8" operator="equal">
      <formula>"LISTO"</formula>
    </cfRule>
    <cfRule type="cellIs" dxfId="19" priority="9" operator="equal">
      <formula>"LATAM"</formula>
    </cfRule>
    <cfRule type="cellIs" dxfId="18" priority="10" operator="equal">
      <formula>"ALEM"</formula>
    </cfRule>
  </conditionalFormatting>
  <conditionalFormatting sqref="M1 M2:N1048576">
    <cfRule type="containsText" dxfId="17" priority="14" operator="containsText" text="EN PAUSA">
      <formula>NOT(ISERROR(SEARCH("EN PAUSA",M1)))</formula>
    </cfRule>
    <cfRule type="containsText" dxfId="16" priority="15" operator="containsText" text="OK">
      <formula>NOT(ISERROR(SEARCH("OK",M1)))</formula>
    </cfRule>
    <cfRule type="containsText" dxfId="15" priority="16" operator="containsText" text="EVALUACION">
      <formula>NOT(ISERROR(SEARCH("EVALUACION",M1)))</formula>
    </cfRule>
    <cfRule type="containsText" dxfId="14" priority="17" operator="containsText" text="REGULARIZAR">
      <formula>NOT(ISERROR(SEARCH("REGULARIZAR",M1)))</formula>
    </cfRule>
    <cfRule type="containsText" dxfId="13" priority="18" operator="containsText" text="SUSPENDIDO">
      <formula>NOT(ISERROR(SEARCH("SUSPENDIDO",M1)))</formula>
    </cfRule>
    <cfRule type="containsText" dxfId="12" priority="20" operator="containsText" text="ELIMINADO">
      <formula>NOT(ISERROR(SEARCH("ELIMINADO",M1)))</formula>
    </cfRule>
  </conditionalFormatting>
  <conditionalFormatting sqref="Q2">
    <cfRule type="containsText" dxfId="11" priority="1" operator="containsText" text="EN PAUSA">
      <formula>NOT(ISERROR(SEARCH("EN PAUSA",Q2)))</formula>
    </cfRule>
    <cfRule type="containsText" dxfId="10" priority="2" operator="containsText" text="OK">
      <formula>NOT(ISERROR(SEARCH("OK",Q2)))</formula>
    </cfRule>
    <cfRule type="containsText" dxfId="9" priority="3" operator="containsText" text="EVALUACION">
      <formula>NOT(ISERROR(SEARCH("EVALUACION",Q2)))</formula>
    </cfRule>
    <cfRule type="containsText" dxfId="8" priority="4" operator="containsText" text="REGULARIZAR">
      <formula>NOT(ISERROR(SEARCH("REGULARIZAR",Q2)))</formula>
    </cfRule>
    <cfRule type="containsText" dxfId="7" priority="5" operator="containsText" text="SUSPENDIDO">
      <formula>NOT(ISERROR(SEARCH("SUSPENDIDO",Q2)))</formula>
    </cfRule>
    <cfRule type="containsText" dxfId="6" priority="6" operator="containsText" text="ELIMINADO">
      <formula>NOT(ISERROR(SEARCH("ELIMINADO",Q2)))</formula>
    </cfRule>
  </conditionalFormatting>
  <conditionalFormatting sqref="R1:R1048576">
    <cfRule type="cellIs" dxfId="5" priority="7" operator="equal">
      <formula>"FIRMA PA"</formula>
    </cfRule>
  </conditionalFormatting>
  <dataValidations count="1">
    <dataValidation type="list" allowBlank="1" showInputMessage="1" showErrorMessage="1" sqref="M1:M1048576" xr:uid="{D24A6E34-B671-49E7-AD9F-069D94FD0004}">
      <formula1>"EVALUACION,OK,SUSPENDIDO,ELIMINADO,EN PAUSA,¡REGULARIZAR!,TRASPASAR "</formula1>
    </dataValidation>
  </dataValidations>
  <hyperlinks>
    <hyperlink ref="B58" r:id="rId1" xr:uid="{A10B5BA3-ADA6-4E6A-804F-38B816B3224E}"/>
    <hyperlink ref="B59" r:id="rId2" xr:uid="{9388C505-2D5D-4CDC-AF05-329BEE442793}"/>
    <hyperlink ref="B65" r:id="rId3" xr:uid="{1B575EDC-49C0-4B93-8FBA-58F4FB13F187}"/>
    <hyperlink ref="B57" r:id="rId4" xr:uid="{47647997-4695-49A9-95B9-A4FDDC264A1A}"/>
    <hyperlink ref="B55" r:id="rId5" xr:uid="{1954FB62-61A9-4F3E-9596-A384CCE592B8}"/>
    <hyperlink ref="B43" r:id="rId6" xr:uid="{A856709A-AF4B-43D1-A7B6-8E9C190C517B}"/>
    <hyperlink ref="B68" r:id="rId7" xr:uid="{692BE1BA-3619-4054-BD28-9BE1FAA06C8C}"/>
    <hyperlink ref="B71" r:id="rId8" xr:uid="{E985619B-2B1F-49DA-8EEA-1968A9259B8F}"/>
    <hyperlink ref="B39" r:id="rId9" xr:uid="{CACDFEA5-812E-4FA0-B880-7F16865EC27F}"/>
    <hyperlink ref="B46" r:id="rId10" xr:uid="{B43E6E0A-5D92-4B63-9DD9-92903FE22B72}"/>
    <hyperlink ref="B90" r:id="rId11" xr:uid="{CCAE2677-EAB8-455D-8015-5EF93B9EAAFC}"/>
    <hyperlink ref="B5" r:id="rId12" xr:uid="{22B669B5-6A13-4CD2-88B1-9963E4151D25}"/>
  </hyperlinks>
  <pageMargins left="0.7" right="0.7" top="0.75" bottom="0.75" header="0.3" footer="0.3"/>
  <pageSetup paperSize="9" orientation="portrait" r:id="rId13"/>
  <tableParts count="1">
    <tablePart r:id="rId1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4A803-4C4D-40D5-88FE-BA7EFDC99652}">
  <dimension ref="A1:F113"/>
  <sheetViews>
    <sheetView workbookViewId="0">
      <selection activeCell="F51" sqref="F51"/>
    </sheetView>
  </sheetViews>
  <sheetFormatPr baseColWidth="10" defaultColWidth="11.5" defaultRowHeight="15"/>
  <cols>
    <col min="1" max="1" width="11.5" customWidth="1"/>
    <col min="4" max="4" width="22" bestFit="1" customWidth="1"/>
    <col min="5" max="5" width="43.83203125" bestFit="1" customWidth="1"/>
    <col min="6" max="6" width="39.1640625" bestFit="1" customWidth="1"/>
  </cols>
  <sheetData>
    <row r="1" spans="1:6">
      <c r="A1" s="721" t="s">
        <v>4936</v>
      </c>
      <c r="B1" s="721" t="s">
        <v>6580</v>
      </c>
      <c r="C1" s="721" t="s">
        <v>6581</v>
      </c>
      <c r="D1" s="721" t="s">
        <v>2099</v>
      </c>
      <c r="E1" s="721" t="s">
        <v>6701</v>
      </c>
      <c r="F1" s="721" t="s">
        <v>6702</v>
      </c>
    </row>
    <row r="2" spans="1:6">
      <c r="A2" s="722" t="s">
        <v>6727</v>
      </c>
      <c r="B2" s="722" t="s">
        <v>6527</v>
      </c>
      <c r="C2" s="722" t="s">
        <v>6681</v>
      </c>
      <c r="D2" s="722" t="s">
        <v>2512</v>
      </c>
      <c r="E2" s="722" t="s">
        <v>2510</v>
      </c>
      <c r="F2" s="722"/>
    </row>
    <row r="3" spans="1:6">
      <c r="A3" s="722">
        <v>25116</v>
      </c>
      <c r="B3" s="722" t="s">
        <v>6393</v>
      </c>
      <c r="C3" s="722" t="s">
        <v>6621</v>
      </c>
      <c r="D3" s="722" t="s">
        <v>4464</v>
      </c>
      <c r="E3" s="722" t="s">
        <v>2190</v>
      </c>
      <c r="F3" s="722"/>
    </row>
    <row r="4" spans="1:6">
      <c r="A4" s="722">
        <v>25087</v>
      </c>
      <c r="B4" s="722" t="s">
        <v>6242</v>
      </c>
      <c r="C4" s="722" t="s">
        <v>6243</v>
      </c>
      <c r="D4" s="722" t="s">
        <v>165</v>
      </c>
      <c r="E4" s="722" t="s">
        <v>2177</v>
      </c>
      <c r="F4" s="722"/>
    </row>
    <row r="5" spans="1:6">
      <c r="A5" s="722">
        <v>25131</v>
      </c>
      <c r="B5" s="722" t="s">
        <v>6242</v>
      </c>
      <c r="C5" s="722" t="s">
        <v>6637</v>
      </c>
      <c r="D5" s="722" t="s">
        <v>541</v>
      </c>
      <c r="E5" s="722" t="s">
        <v>2322</v>
      </c>
      <c r="F5" s="722"/>
    </row>
    <row r="6" spans="1:6">
      <c r="A6" s="722">
        <v>25075</v>
      </c>
      <c r="B6" s="722" t="s">
        <v>6585</v>
      </c>
      <c r="C6" s="722" t="s">
        <v>6586</v>
      </c>
      <c r="D6" s="722" t="s">
        <v>187</v>
      </c>
      <c r="E6" s="722" t="s">
        <v>2148</v>
      </c>
      <c r="F6" s="722"/>
    </row>
    <row r="7" spans="1:6">
      <c r="A7" s="722">
        <v>25139</v>
      </c>
      <c r="B7" s="722" t="s">
        <v>6647</v>
      </c>
      <c r="C7" s="722" t="s">
        <v>6648</v>
      </c>
      <c r="D7" s="722" t="s">
        <v>901</v>
      </c>
      <c r="E7" s="722" t="s">
        <v>2409</v>
      </c>
      <c r="F7" s="722"/>
    </row>
    <row r="8" spans="1:6">
      <c r="A8" s="722">
        <v>25074</v>
      </c>
      <c r="B8" s="722" t="s">
        <v>6401</v>
      </c>
      <c r="C8" s="722" t="s">
        <v>6584</v>
      </c>
      <c r="D8" s="722" t="s">
        <v>221</v>
      </c>
      <c r="E8" s="722" t="s">
        <v>2205</v>
      </c>
      <c r="F8" s="722"/>
    </row>
    <row r="9" spans="1:6">
      <c r="A9" s="722">
        <v>25123</v>
      </c>
      <c r="B9" s="722" t="s">
        <v>6452</v>
      </c>
      <c r="C9" s="722" t="s">
        <v>6628</v>
      </c>
      <c r="D9" s="722" t="s">
        <v>527</v>
      </c>
      <c r="E9" s="722" t="s">
        <v>2320</v>
      </c>
      <c r="F9" s="722"/>
    </row>
    <row r="10" spans="1:6">
      <c r="A10" s="722">
        <v>25140</v>
      </c>
      <c r="B10" s="722" t="s">
        <v>6449</v>
      </c>
      <c r="C10" s="722" t="s">
        <v>6198</v>
      </c>
      <c r="D10" s="722" t="s">
        <v>530</v>
      </c>
      <c r="E10" s="722" t="s">
        <v>2326</v>
      </c>
      <c r="F10" s="722"/>
    </row>
    <row r="11" spans="1:6">
      <c r="A11" s="722">
        <v>25138</v>
      </c>
      <c r="B11" s="722" t="s">
        <v>6645</v>
      </c>
      <c r="C11" s="722" t="s">
        <v>6646</v>
      </c>
      <c r="D11" s="722" t="s">
        <v>695</v>
      </c>
      <c r="E11" s="722" t="s">
        <v>2352</v>
      </c>
      <c r="F11" s="722"/>
    </row>
    <row r="12" spans="1:6">
      <c r="A12" s="722">
        <v>25128</v>
      </c>
      <c r="B12" s="722" t="s">
        <v>6487</v>
      </c>
      <c r="C12" s="722" t="s">
        <v>6634</v>
      </c>
      <c r="D12" s="722" t="s">
        <v>904</v>
      </c>
      <c r="E12" s="722" t="s">
        <v>2407</v>
      </c>
      <c r="F12" s="722"/>
    </row>
    <row r="13" spans="1:6">
      <c r="A13" s="722">
        <v>25114</v>
      </c>
      <c r="B13" s="722" t="s">
        <v>6619</v>
      </c>
      <c r="C13" s="722" t="s">
        <v>6620</v>
      </c>
      <c r="D13" s="722" t="s">
        <v>574</v>
      </c>
      <c r="E13" s="722" t="s">
        <v>2338</v>
      </c>
      <c r="F13" s="722"/>
    </row>
    <row r="14" spans="1:6">
      <c r="A14" s="722">
        <v>25188</v>
      </c>
      <c r="B14" s="722" t="s">
        <v>6686</v>
      </c>
      <c r="C14" s="722" t="s">
        <v>6687</v>
      </c>
      <c r="D14" s="722" t="s">
        <v>2011</v>
      </c>
      <c r="E14" s="722" t="s">
        <v>2527</v>
      </c>
      <c r="F14" s="722"/>
    </row>
    <row r="15" spans="1:6">
      <c r="A15" s="722">
        <v>25190</v>
      </c>
      <c r="B15" s="722" t="s">
        <v>6390</v>
      </c>
      <c r="C15" s="722" t="s">
        <v>6688</v>
      </c>
      <c r="D15" s="722" t="s">
        <v>162</v>
      </c>
      <c r="E15" s="722" t="s">
        <v>2171</v>
      </c>
      <c r="F15" s="722"/>
    </row>
    <row r="16" spans="1:6">
      <c r="A16" s="722">
        <v>25079</v>
      </c>
      <c r="B16" s="722" t="s">
        <v>6178</v>
      </c>
      <c r="C16" s="722" t="s">
        <v>6257</v>
      </c>
      <c r="D16" s="722" t="s">
        <v>184</v>
      </c>
      <c r="E16" s="722" t="s">
        <v>2183</v>
      </c>
      <c r="F16" s="722"/>
    </row>
    <row r="17" spans="1:6">
      <c r="A17" s="722">
        <v>25143</v>
      </c>
      <c r="B17" s="722" t="s">
        <v>6499</v>
      </c>
      <c r="C17" s="722" t="s">
        <v>6649</v>
      </c>
      <c r="D17" s="722" t="s">
        <v>1206</v>
      </c>
      <c r="E17" s="722" t="s">
        <v>2433</v>
      </c>
      <c r="F17" s="722"/>
    </row>
    <row r="18" spans="1:6">
      <c r="A18" s="722">
        <v>25129</v>
      </c>
      <c r="B18" s="722" t="s">
        <v>6377</v>
      </c>
      <c r="C18" s="722" t="s">
        <v>6635</v>
      </c>
      <c r="D18" s="722" t="s">
        <v>118</v>
      </c>
      <c r="E18" s="722" t="s">
        <v>2124</v>
      </c>
      <c r="F18" s="722"/>
    </row>
    <row r="19" spans="1:6">
      <c r="A19" s="722">
        <v>25095</v>
      </c>
      <c r="B19" s="722" t="s">
        <v>6169</v>
      </c>
      <c r="C19" s="722" t="s">
        <v>6603</v>
      </c>
      <c r="D19" s="722" t="s">
        <v>479</v>
      </c>
      <c r="E19" s="722" t="s">
        <v>2299</v>
      </c>
      <c r="F19" s="722"/>
    </row>
    <row r="20" spans="1:6">
      <c r="A20" s="722">
        <v>25151</v>
      </c>
      <c r="B20" s="722" t="s">
        <v>6169</v>
      </c>
      <c r="C20" s="722" t="s">
        <v>6170</v>
      </c>
      <c r="D20" s="722" t="s">
        <v>751</v>
      </c>
      <c r="E20" s="722" t="s">
        <v>2378</v>
      </c>
      <c r="F20" s="722"/>
    </row>
    <row r="21" spans="1:6">
      <c r="A21" s="722">
        <v>25081</v>
      </c>
      <c r="B21" s="722" t="s">
        <v>6297</v>
      </c>
      <c r="C21" s="722" t="s">
        <v>6591</v>
      </c>
      <c r="D21" s="722" t="s">
        <v>156</v>
      </c>
      <c r="E21" s="722" t="s">
        <v>2163</v>
      </c>
      <c r="F21" s="722"/>
    </row>
    <row r="22" spans="1:6">
      <c r="A22" s="722">
        <v>25183</v>
      </c>
      <c r="B22" s="722" t="s">
        <v>6297</v>
      </c>
      <c r="C22" s="722" t="s">
        <v>6684</v>
      </c>
      <c r="D22" s="722" t="s">
        <v>168</v>
      </c>
      <c r="E22" s="722" t="s">
        <v>6703</v>
      </c>
      <c r="F22" s="722"/>
    </row>
    <row r="23" spans="1:6">
      <c r="A23" s="722">
        <v>25120</v>
      </c>
      <c r="B23" s="722" t="s">
        <v>6136</v>
      </c>
      <c r="C23" s="722" t="s">
        <v>6137</v>
      </c>
      <c r="D23" s="722" t="s">
        <v>670</v>
      </c>
      <c r="E23" s="722" t="s">
        <v>2354</v>
      </c>
      <c r="F23" s="722"/>
    </row>
    <row r="24" spans="1:6">
      <c r="A24" s="722">
        <v>25083</v>
      </c>
      <c r="B24" s="722" t="s">
        <v>6594</v>
      </c>
      <c r="C24" s="722" t="s">
        <v>6245</v>
      </c>
      <c r="D24" s="722" t="s">
        <v>191</v>
      </c>
      <c r="E24" s="722" t="s">
        <v>2194</v>
      </c>
      <c r="F24" s="722"/>
    </row>
    <row r="25" spans="1:6">
      <c r="A25" s="722">
        <v>25168</v>
      </c>
      <c r="B25" s="722" t="s">
        <v>6518</v>
      </c>
      <c r="C25" s="722" t="s">
        <v>6519</v>
      </c>
      <c r="D25" s="722" t="s">
        <v>1556</v>
      </c>
      <c r="E25" s="722" t="s">
        <v>2478</v>
      </c>
      <c r="F25" s="722"/>
    </row>
    <row r="26" spans="1:6">
      <c r="A26" s="722">
        <v>25189</v>
      </c>
      <c r="B26" s="722" t="s">
        <v>6175</v>
      </c>
      <c r="C26" s="722" t="s">
        <v>6291</v>
      </c>
      <c r="D26" s="722" t="s">
        <v>1956</v>
      </c>
      <c r="E26" s="722" t="s">
        <v>2514</v>
      </c>
      <c r="F26" s="722"/>
    </row>
    <row r="27" spans="1:6">
      <c r="A27" s="722">
        <v>25110</v>
      </c>
      <c r="B27" s="722" t="s">
        <v>6317</v>
      </c>
      <c r="C27" s="722" t="s">
        <v>6318</v>
      </c>
      <c r="D27" s="722" t="s">
        <v>122</v>
      </c>
      <c r="E27" s="722" t="s">
        <v>2144</v>
      </c>
      <c r="F27" s="722"/>
    </row>
    <row r="28" spans="1:6">
      <c r="A28" s="722">
        <v>25137</v>
      </c>
      <c r="B28" s="722" t="s">
        <v>6317</v>
      </c>
      <c r="C28" s="722" t="s">
        <v>6644</v>
      </c>
      <c r="D28" s="722" t="s">
        <v>756</v>
      </c>
      <c r="E28" s="722" t="s">
        <v>2380</v>
      </c>
      <c r="F28" s="722"/>
    </row>
    <row r="29" spans="1:6">
      <c r="A29" s="722">
        <v>25133</v>
      </c>
      <c r="B29" s="722" t="s">
        <v>6187</v>
      </c>
      <c r="C29" s="722" t="s">
        <v>6638</v>
      </c>
      <c r="D29" s="722" t="s">
        <v>90</v>
      </c>
      <c r="E29" s="722" t="s">
        <v>2188</v>
      </c>
      <c r="F29" s="722"/>
    </row>
    <row r="30" spans="1:6">
      <c r="A30" s="722">
        <v>25142</v>
      </c>
      <c r="B30" s="722" t="s">
        <v>6187</v>
      </c>
      <c r="C30" s="722" t="s">
        <v>6426</v>
      </c>
      <c r="D30" s="722" t="s">
        <v>115</v>
      </c>
      <c r="E30" s="722" t="s">
        <v>2142</v>
      </c>
      <c r="F30" s="722"/>
    </row>
    <row r="31" spans="1:6">
      <c r="A31" s="722">
        <v>25144</v>
      </c>
      <c r="B31" s="722" t="s">
        <v>6214</v>
      </c>
      <c r="C31" s="722" t="s">
        <v>6342</v>
      </c>
      <c r="D31" s="722" t="s">
        <v>253</v>
      </c>
      <c r="E31" s="722" t="s">
        <v>2215</v>
      </c>
      <c r="F31" s="722"/>
    </row>
    <row r="32" spans="1:6">
      <c r="A32" s="722">
        <v>25170</v>
      </c>
      <c r="B32" s="722" t="s">
        <v>6214</v>
      </c>
      <c r="C32" s="722" t="s">
        <v>6671</v>
      </c>
      <c r="D32" s="722" t="s">
        <v>1674</v>
      </c>
      <c r="E32" s="722" t="s">
        <v>2486</v>
      </c>
      <c r="F32" s="722"/>
    </row>
    <row r="33" spans="1:6">
      <c r="A33" s="722">
        <v>25103</v>
      </c>
      <c r="B33" s="722" t="s">
        <v>6433</v>
      </c>
      <c r="C33" s="722" t="s">
        <v>6434</v>
      </c>
      <c r="D33" s="722" t="s">
        <v>194</v>
      </c>
      <c r="E33" s="722" t="s">
        <v>2167</v>
      </c>
      <c r="F33" s="722"/>
    </row>
    <row r="34" spans="1:6">
      <c r="A34" s="722">
        <v>25193</v>
      </c>
      <c r="B34" s="722" t="s">
        <v>6240</v>
      </c>
      <c r="C34" s="722" t="s">
        <v>6176</v>
      </c>
      <c r="D34" s="722" t="s">
        <v>4660</v>
      </c>
      <c r="E34" s="722" t="s">
        <v>4665</v>
      </c>
      <c r="F34" s="722"/>
    </row>
    <row r="35" spans="1:6">
      <c r="A35" s="722">
        <v>25178</v>
      </c>
      <c r="B35" s="722" t="s">
        <v>6679</v>
      </c>
      <c r="C35" s="722" t="s">
        <v>6680</v>
      </c>
      <c r="D35" s="722" t="s">
        <v>519</v>
      </c>
      <c r="E35" s="722" t="s">
        <v>2314</v>
      </c>
      <c r="F35" s="722"/>
    </row>
    <row r="36" spans="1:6">
      <c r="A36" s="722">
        <v>25117</v>
      </c>
      <c r="B36" s="722" t="s">
        <v>6195</v>
      </c>
      <c r="C36" s="722" t="s">
        <v>6196</v>
      </c>
      <c r="D36" s="722" t="s">
        <v>385</v>
      </c>
      <c r="E36" s="722" t="s">
        <v>2272</v>
      </c>
      <c r="F36" s="722"/>
    </row>
    <row r="37" spans="1:6">
      <c r="A37" s="722">
        <v>25149</v>
      </c>
      <c r="B37" s="722" t="s">
        <v>6504</v>
      </c>
      <c r="C37" s="722" t="s">
        <v>6654</v>
      </c>
      <c r="D37" s="722" t="s">
        <v>1248</v>
      </c>
      <c r="E37" s="722" t="s">
        <v>2444</v>
      </c>
      <c r="F37" s="722"/>
    </row>
    <row r="38" spans="1:6">
      <c r="A38" s="722">
        <v>25166</v>
      </c>
      <c r="B38" s="722" t="s">
        <v>6234</v>
      </c>
      <c r="C38" s="722" t="s">
        <v>6668</v>
      </c>
      <c r="D38" s="722" t="s">
        <v>1251</v>
      </c>
      <c r="E38" s="722" t="s">
        <v>2442</v>
      </c>
      <c r="F38" s="722"/>
    </row>
    <row r="39" spans="1:6">
      <c r="A39" s="722">
        <v>25192</v>
      </c>
      <c r="B39" s="722" t="s">
        <v>6689</v>
      </c>
      <c r="C39" s="722" t="s">
        <v>6690</v>
      </c>
      <c r="D39" s="722" t="s">
        <v>2521</v>
      </c>
      <c r="E39" s="722" t="s">
        <v>2519</v>
      </c>
      <c r="F39" s="722"/>
    </row>
    <row r="40" spans="1:6">
      <c r="A40" s="722">
        <v>25086</v>
      </c>
      <c r="B40" s="722" t="s">
        <v>6284</v>
      </c>
      <c r="C40" s="722" t="s">
        <v>6331</v>
      </c>
      <c r="D40" s="722" t="s">
        <v>250</v>
      </c>
      <c r="E40" s="722" t="s">
        <v>2217</v>
      </c>
      <c r="F40" s="722"/>
    </row>
    <row r="41" spans="1:6">
      <c r="A41" s="722">
        <v>25199</v>
      </c>
      <c r="B41" s="722" t="s">
        <v>6284</v>
      </c>
      <c r="C41" s="722" t="s">
        <v>6372</v>
      </c>
      <c r="D41" s="722" t="s">
        <v>1945</v>
      </c>
      <c r="E41" s="722" t="s">
        <v>2508</v>
      </c>
      <c r="F41" s="722"/>
    </row>
    <row r="42" spans="1:6">
      <c r="A42" s="722">
        <v>25156</v>
      </c>
      <c r="B42" s="722" t="s">
        <v>6521</v>
      </c>
      <c r="C42" s="722" t="s">
        <v>6658</v>
      </c>
      <c r="D42" s="722" t="s">
        <v>1401</v>
      </c>
      <c r="E42" s="722" t="s">
        <v>2456</v>
      </c>
      <c r="F42" s="722"/>
    </row>
    <row r="43" spans="1:6">
      <c r="A43" s="722">
        <v>25171</v>
      </c>
      <c r="B43" s="722" t="s">
        <v>6521</v>
      </c>
      <c r="C43" s="722" t="s">
        <v>6522</v>
      </c>
      <c r="D43" s="722" t="s">
        <v>1743</v>
      </c>
      <c r="E43" s="722" t="s">
        <v>2490</v>
      </c>
      <c r="F43" s="722"/>
    </row>
    <row r="44" spans="1:6">
      <c r="A44" s="722">
        <v>25111</v>
      </c>
      <c r="B44" s="722" t="s">
        <v>6617</v>
      </c>
      <c r="C44" s="722" t="s">
        <v>6618</v>
      </c>
      <c r="D44" s="722" t="s">
        <v>2347</v>
      </c>
      <c r="E44" s="722" t="s">
        <v>2345</v>
      </c>
      <c r="F44" s="722"/>
    </row>
    <row r="45" spans="1:6">
      <c r="A45" s="722">
        <v>25152</v>
      </c>
      <c r="B45" s="722" t="s">
        <v>6121</v>
      </c>
      <c r="C45" s="722" t="s">
        <v>6656</v>
      </c>
      <c r="D45" s="722" t="s">
        <v>787</v>
      </c>
      <c r="E45" s="722" t="s">
        <v>2392</v>
      </c>
      <c r="F45" s="722"/>
    </row>
    <row r="46" spans="1:6">
      <c r="A46" s="722">
        <v>25174</v>
      </c>
      <c r="B46" s="722" t="s">
        <v>6524</v>
      </c>
      <c r="C46" s="722" t="s">
        <v>6676</v>
      </c>
      <c r="D46" s="722" t="s">
        <v>1761</v>
      </c>
      <c r="E46" s="722" t="s">
        <v>2494</v>
      </c>
      <c r="F46" s="722"/>
    </row>
    <row r="47" spans="1:6">
      <c r="A47" s="722">
        <v>25105</v>
      </c>
      <c r="B47" s="722" t="s">
        <v>6610</v>
      </c>
      <c r="C47" s="722" t="s">
        <v>6611</v>
      </c>
      <c r="D47" s="722" t="s">
        <v>465</v>
      </c>
      <c r="E47" s="722" t="s">
        <v>2291</v>
      </c>
      <c r="F47" s="722"/>
    </row>
    <row r="48" spans="1:6">
      <c r="A48" s="722">
        <v>25088</v>
      </c>
      <c r="B48" s="722" t="s">
        <v>6383</v>
      </c>
      <c r="C48" s="722" t="s">
        <v>6596</v>
      </c>
      <c r="D48" s="722" t="s">
        <v>95</v>
      </c>
      <c r="E48" s="722" t="s">
        <v>2128</v>
      </c>
      <c r="F48" s="722"/>
    </row>
    <row r="49" spans="1:6">
      <c r="A49" s="722">
        <v>25089</v>
      </c>
      <c r="B49" s="722" t="s">
        <v>6148</v>
      </c>
      <c r="C49" s="722" t="s">
        <v>6597</v>
      </c>
      <c r="D49" s="722" t="s">
        <v>98</v>
      </c>
      <c r="E49" s="722" t="s">
        <v>2126</v>
      </c>
      <c r="F49" s="722"/>
    </row>
    <row r="50" spans="1:6">
      <c r="A50" s="722">
        <v>25125</v>
      </c>
      <c r="B50" s="722" t="s">
        <v>6161</v>
      </c>
      <c r="C50" s="722" t="s">
        <v>6631</v>
      </c>
      <c r="D50" s="722" t="s">
        <v>739</v>
      </c>
      <c r="E50" s="722" t="s">
        <v>2374</v>
      </c>
      <c r="F50" s="722"/>
    </row>
    <row r="51" spans="1:6">
      <c r="A51" s="722">
        <v>25167</v>
      </c>
      <c r="B51" s="722" t="s">
        <v>6669</v>
      </c>
      <c r="C51" s="722" t="s">
        <v>6670</v>
      </c>
      <c r="D51" s="722" t="s">
        <v>970</v>
      </c>
      <c r="E51" s="722" t="s">
        <v>2419</v>
      </c>
      <c r="F51" s="722"/>
    </row>
    <row r="52" spans="1:6">
      <c r="A52" s="723">
        <v>25169</v>
      </c>
      <c r="B52" s="723" t="s">
        <v>6669</v>
      </c>
      <c r="C52" s="723" t="s">
        <v>6670</v>
      </c>
      <c r="D52" s="723" t="s">
        <v>970</v>
      </c>
      <c r="E52" s="723" t="s">
        <v>2419</v>
      </c>
      <c r="F52" s="723" t="s">
        <v>6704</v>
      </c>
    </row>
    <row r="53" spans="1:6">
      <c r="A53" s="722">
        <v>25090</v>
      </c>
      <c r="B53" s="722" t="s">
        <v>6385</v>
      </c>
      <c r="C53" s="722" t="s">
        <v>6471</v>
      </c>
      <c r="D53" s="722" t="s">
        <v>109</v>
      </c>
      <c r="E53" s="722" t="s">
        <v>2134</v>
      </c>
      <c r="F53" s="722"/>
    </row>
    <row r="54" spans="1:6">
      <c r="A54" s="722">
        <v>25198</v>
      </c>
      <c r="B54" s="722" t="s">
        <v>6264</v>
      </c>
      <c r="C54" s="722" t="s">
        <v>6265</v>
      </c>
      <c r="D54" s="722" t="s">
        <v>700</v>
      </c>
      <c r="E54" s="722" t="s">
        <v>2359</v>
      </c>
      <c r="F54" s="722"/>
    </row>
    <row r="55" spans="1:6">
      <c r="A55" s="722">
        <v>25092</v>
      </c>
      <c r="B55" s="722" t="s">
        <v>6599</v>
      </c>
      <c r="C55" s="722" t="s">
        <v>6600</v>
      </c>
      <c r="D55" s="722" t="s">
        <v>103</v>
      </c>
      <c r="E55" s="722" t="s">
        <v>2130</v>
      </c>
      <c r="F55" s="722"/>
    </row>
    <row r="56" spans="1:6">
      <c r="A56" s="722">
        <v>25161</v>
      </c>
      <c r="B56" s="722" t="s">
        <v>6354</v>
      </c>
      <c r="C56" s="722" t="s">
        <v>6428</v>
      </c>
      <c r="D56" s="722" t="s">
        <v>362</v>
      </c>
      <c r="E56" s="722" t="s">
        <v>2264</v>
      </c>
      <c r="F56" s="722"/>
    </row>
    <row r="57" spans="1:6">
      <c r="A57" s="722">
        <v>25104</v>
      </c>
      <c r="B57" s="722" t="s">
        <v>6229</v>
      </c>
      <c r="C57" s="722" t="s">
        <v>6609</v>
      </c>
      <c r="D57" s="722" t="s">
        <v>333</v>
      </c>
      <c r="E57" s="722" t="s">
        <v>2260</v>
      </c>
      <c r="F57" s="722"/>
    </row>
    <row r="58" spans="1:6">
      <c r="A58" s="722">
        <v>25106</v>
      </c>
      <c r="B58" s="722" t="s">
        <v>6229</v>
      </c>
      <c r="C58" s="722" t="s">
        <v>6612</v>
      </c>
      <c r="D58" s="722" t="s">
        <v>330</v>
      </c>
      <c r="E58" s="722" t="s">
        <v>2255</v>
      </c>
      <c r="F58" s="722"/>
    </row>
    <row r="59" spans="1:6">
      <c r="A59" s="722">
        <v>25158</v>
      </c>
      <c r="B59" s="722" t="s">
        <v>6229</v>
      </c>
      <c r="C59" s="722" t="s">
        <v>6230</v>
      </c>
      <c r="D59" s="722" t="s">
        <v>1437</v>
      </c>
      <c r="E59" s="722" t="s">
        <v>2464</v>
      </c>
      <c r="F59" s="722"/>
    </row>
    <row r="60" spans="1:6">
      <c r="A60" s="722">
        <v>25195</v>
      </c>
      <c r="B60" s="722" t="s">
        <v>6691</v>
      </c>
      <c r="C60" s="722" t="s">
        <v>6692</v>
      </c>
      <c r="D60" s="722" t="s">
        <v>4454</v>
      </c>
      <c r="E60" s="722" t="s">
        <v>4459</v>
      </c>
      <c r="F60" s="722"/>
    </row>
    <row r="61" spans="1:6">
      <c r="A61" s="722">
        <v>25185</v>
      </c>
      <c r="B61" s="722" t="s">
        <v>6287</v>
      </c>
      <c r="C61" s="722" t="s">
        <v>6288</v>
      </c>
      <c r="D61" s="722" t="s">
        <v>1931</v>
      </c>
      <c r="E61" s="722" t="s">
        <v>2504</v>
      </c>
      <c r="F61" s="722"/>
    </row>
    <row r="62" spans="1:6">
      <c r="A62" s="722">
        <v>25124</v>
      </c>
      <c r="B62" s="722" t="s">
        <v>6629</v>
      </c>
      <c r="C62" s="722" t="s">
        <v>6630</v>
      </c>
      <c r="D62" s="722" t="s">
        <v>266</v>
      </c>
      <c r="E62" s="722" t="s">
        <v>2226</v>
      </c>
      <c r="F62" s="722"/>
    </row>
    <row r="63" spans="1:6">
      <c r="A63" s="722">
        <v>25072</v>
      </c>
      <c r="B63" s="722" t="s">
        <v>6582</v>
      </c>
      <c r="C63" s="722" t="s">
        <v>6583</v>
      </c>
      <c r="D63" s="722" t="s">
        <v>181</v>
      </c>
      <c r="E63" s="722" t="s">
        <v>2173</v>
      </c>
      <c r="F63" s="722"/>
    </row>
    <row r="64" spans="1:6">
      <c r="A64" s="722">
        <v>25136</v>
      </c>
      <c r="B64" s="722" t="s">
        <v>6643</v>
      </c>
      <c r="C64" s="722" t="s">
        <v>6125</v>
      </c>
      <c r="D64" s="722" t="s">
        <v>798</v>
      </c>
      <c r="E64" s="722" t="s">
        <v>2390</v>
      </c>
      <c r="F64" s="722"/>
    </row>
    <row r="65" spans="1:6">
      <c r="A65" s="722">
        <v>25165</v>
      </c>
      <c r="B65" s="722" t="s">
        <v>6643</v>
      </c>
      <c r="C65" s="722" t="s">
        <v>6667</v>
      </c>
      <c r="D65" s="722" t="s">
        <v>1468</v>
      </c>
      <c r="E65" s="722" t="s">
        <v>2472</v>
      </c>
      <c r="F65" s="722"/>
    </row>
    <row r="66" spans="1:6">
      <c r="A66" s="722">
        <v>25100</v>
      </c>
      <c r="B66" s="722" t="s">
        <v>6087</v>
      </c>
      <c r="C66" s="722" t="s">
        <v>6605</v>
      </c>
      <c r="D66" s="722" t="s">
        <v>136</v>
      </c>
      <c r="E66" s="722" t="s">
        <v>2153</v>
      </c>
      <c r="F66" s="722"/>
    </row>
    <row r="67" spans="1:6">
      <c r="A67" s="722">
        <v>25132</v>
      </c>
      <c r="B67" s="722" t="s">
        <v>6133</v>
      </c>
      <c r="C67" s="722" t="s">
        <v>6134</v>
      </c>
      <c r="D67" s="722" t="s">
        <v>955</v>
      </c>
      <c r="E67" s="722" t="s">
        <v>2415</v>
      </c>
      <c r="F67" s="722"/>
    </row>
    <row r="68" spans="1:6">
      <c r="A68" s="722">
        <v>25084</v>
      </c>
      <c r="B68" s="722" t="s">
        <v>6347</v>
      </c>
      <c r="C68" s="722" t="s">
        <v>6111</v>
      </c>
      <c r="D68" s="722" t="s">
        <v>468</v>
      </c>
      <c r="E68" s="722" t="s">
        <v>2293</v>
      </c>
      <c r="F68" s="722"/>
    </row>
    <row r="69" spans="1:6">
      <c r="A69" s="722">
        <v>25172</v>
      </c>
      <c r="B69" s="722" t="s">
        <v>6672</v>
      </c>
      <c r="C69" s="722" t="s">
        <v>6673</v>
      </c>
      <c r="D69" s="722" t="s">
        <v>711</v>
      </c>
      <c r="E69" s="722" t="s">
        <v>2363</v>
      </c>
      <c r="F69" s="722"/>
    </row>
    <row r="70" spans="1:6">
      <c r="A70" s="722">
        <v>25107</v>
      </c>
      <c r="B70" s="722" t="s">
        <v>6333</v>
      </c>
      <c r="C70" s="722" t="s">
        <v>6334</v>
      </c>
      <c r="D70" s="722" t="s">
        <v>372</v>
      </c>
      <c r="E70" s="722" t="s">
        <v>2270</v>
      </c>
      <c r="F70" s="722"/>
    </row>
    <row r="71" spans="1:6">
      <c r="A71" s="722">
        <v>25135</v>
      </c>
      <c r="B71" s="722" t="s">
        <v>6641</v>
      </c>
      <c r="C71" s="722" t="s">
        <v>6642</v>
      </c>
      <c r="D71" s="722" t="s">
        <v>1001</v>
      </c>
      <c r="E71" s="722" t="s">
        <v>2423</v>
      </c>
      <c r="F71" s="722"/>
    </row>
    <row r="72" spans="1:6">
      <c r="A72" s="722">
        <v>25164</v>
      </c>
      <c r="B72" s="722" t="s">
        <v>6093</v>
      </c>
      <c r="C72" s="722" t="s">
        <v>6666</v>
      </c>
      <c r="D72" s="722" t="s">
        <v>1461</v>
      </c>
      <c r="E72" s="722" t="s">
        <v>2468</v>
      </c>
      <c r="F72" s="722"/>
    </row>
    <row r="73" spans="1:6">
      <c r="A73" s="722">
        <v>25179</v>
      </c>
      <c r="B73" s="722" t="s">
        <v>6290</v>
      </c>
      <c r="C73" s="722" t="s">
        <v>6291</v>
      </c>
      <c r="D73" s="722" t="s">
        <v>1936</v>
      </c>
      <c r="E73" s="722" t="s">
        <v>2506</v>
      </c>
      <c r="F73" s="722"/>
    </row>
    <row r="74" spans="1:6">
      <c r="A74" s="722">
        <v>25155</v>
      </c>
      <c r="B74" s="722" t="s">
        <v>6446</v>
      </c>
      <c r="C74" s="722" t="s">
        <v>6657</v>
      </c>
      <c r="D74" s="722" t="s">
        <v>501</v>
      </c>
      <c r="E74" s="722" t="s">
        <v>2310</v>
      </c>
      <c r="F74" s="722"/>
    </row>
    <row r="75" spans="1:6">
      <c r="A75" s="722">
        <v>25197</v>
      </c>
      <c r="B75" s="722" t="s">
        <v>6269</v>
      </c>
      <c r="C75" s="722" t="s">
        <v>6270</v>
      </c>
      <c r="D75" s="722" t="s">
        <v>1875</v>
      </c>
      <c r="E75" s="722" t="s">
        <v>2502</v>
      </c>
      <c r="F75" s="722"/>
    </row>
    <row r="76" spans="1:6">
      <c r="A76" s="722">
        <v>25071</v>
      </c>
      <c r="B76" s="722" t="s">
        <v>6320</v>
      </c>
      <c r="C76" s="722" t="s">
        <v>6321</v>
      </c>
      <c r="D76" s="722" t="s">
        <v>484</v>
      </c>
      <c r="E76" s="722" t="s">
        <v>2297</v>
      </c>
      <c r="F76" s="722"/>
    </row>
    <row r="77" spans="1:6">
      <c r="A77" s="722">
        <v>25093</v>
      </c>
      <c r="B77" s="722" t="s">
        <v>6320</v>
      </c>
      <c r="C77" s="722" t="s">
        <v>6412</v>
      </c>
      <c r="D77" s="722" t="s">
        <v>278</v>
      </c>
      <c r="E77" s="722" t="s">
        <v>2236</v>
      </c>
      <c r="F77" s="722"/>
    </row>
    <row r="78" spans="1:6">
      <c r="A78" s="722">
        <v>25082</v>
      </c>
      <c r="B78" s="722" t="s">
        <v>6592</v>
      </c>
      <c r="C78" s="722" t="s">
        <v>6593</v>
      </c>
      <c r="D78" s="722" t="s">
        <v>197</v>
      </c>
      <c r="E78" s="722" t="s">
        <v>2196</v>
      </c>
      <c r="F78" s="722"/>
    </row>
    <row r="79" spans="1:6">
      <c r="A79" s="722">
        <v>25182</v>
      </c>
      <c r="B79" s="722" t="s">
        <v>6682</v>
      </c>
      <c r="C79" s="722" t="s">
        <v>6683</v>
      </c>
      <c r="D79" s="722" t="s">
        <v>1416</v>
      </c>
      <c r="E79" s="722" t="s">
        <v>2460</v>
      </c>
      <c r="F79" s="722"/>
    </row>
    <row r="80" spans="1:6">
      <c r="A80" s="722">
        <v>25127</v>
      </c>
      <c r="B80" s="722" t="s">
        <v>6632</v>
      </c>
      <c r="C80" s="722" t="s">
        <v>6633</v>
      </c>
      <c r="D80" s="722" t="s">
        <v>907</v>
      </c>
      <c r="E80" s="722" t="s">
        <v>2405</v>
      </c>
      <c r="F80" s="722"/>
    </row>
    <row r="81" spans="1:6">
      <c r="A81" s="722">
        <v>25162</v>
      </c>
      <c r="B81" s="722" t="s">
        <v>6662</v>
      </c>
      <c r="C81" s="722" t="s">
        <v>6663</v>
      </c>
      <c r="D81" s="722" t="s">
        <v>441</v>
      </c>
      <c r="E81" s="722" t="s">
        <v>2285</v>
      </c>
      <c r="F81" s="722"/>
    </row>
    <row r="82" spans="1:6">
      <c r="A82" s="722">
        <v>25122</v>
      </c>
      <c r="B82" s="722" t="s">
        <v>6465</v>
      </c>
      <c r="C82" s="722" t="s">
        <v>6466</v>
      </c>
      <c r="D82" s="722" t="s">
        <v>703</v>
      </c>
      <c r="E82" s="722" t="s">
        <v>2361</v>
      </c>
      <c r="F82" s="722"/>
    </row>
    <row r="83" spans="1:6">
      <c r="A83" s="722">
        <v>25085</v>
      </c>
      <c r="B83" s="722" t="s">
        <v>6106</v>
      </c>
      <c r="C83" s="722" t="s">
        <v>6595</v>
      </c>
      <c r="D83" s="722" t="s">
        <v>271</v>
      </c>
      <c r="E83" s="722" t="s">
        <v>2228</v>
      </c>
      <c r="F83" s="722"/>
    </row>
    <row r="84" spans="1:6">
      <c r="A84" s="722">
        <v>25115</v>
      </c>
      <c r="B84" s="722" t="s">
        <v>6294</v>
      </c>
      <c r="C84" s="722" t="s">
        <v>6295</v>
      </c>
      <c r="D84" s="722" t="s">
        <v>87</v>
      </c>
      <c r="E84" s="722" t="s">
        <v>2120</v>
      </c>
      <c r="F84" s="722"/>
    </row>
    <row r="85" spans="1:6">
      <c r="A85" s="722">
        <v>25101</v>
      </c>
      <c r="B85" s="722" t="s">
        <v>6606</v>
      </c>
      <c r="C85" s="722" t="s">
        <v>6607</v>
      </c>
      <c r="D85" s="722" t="s">
        <v>188</v>
      </c>
      <c r="E85" s="722" t="s">
        <v>2165</v>
      </c>
      <c r="F85" s="722"/>
    </row>
    <row r="86" spans="1:6">
      <c r="A86" s="722">
        <v>25096</v>
      </c>
      <c r="B86" s="722" t="s">
        <v>6368</v>
      </c>
      <c r="C86" s="722" t="s">
        <v>6604</v>
      </c>
      <c r="D86" s="722" t="s">
        <v>274</v>
      </c>
      <c r="E86" s="722" t="s">
        <v>2232</v>
      </c>
      <c r="F86" s="722"/>
    </row>
    <row r="87" spans="1:6">
      <c r="A87" s="722">
        <v>25108</v>
      </c>
      <c r="B87" s="722" t="s">
        <v>6613</v>
      </c>
      <c r="C87" s="722" t="s">
        <v>6614</v>
      </c>
      <c r="D87" s="722" t="s">
        <v>80</v>
      </c>
      <c r="E87" s="722" t="s">
        <v>2122</v>
      </c>
      <c r="F87" s="722"/>
    </row>
    <row r="88" spans="1:6">
      <c r="A88" s="722">
        <v>25078</v>
      </c>
      <c r="B88" s="722" t="s">
        <v>6588</v>
      </c>
      <c r="C88" s="722" t="s">
        <v>6589</v>
      </c>
      <c r="D88" s="722" t="s">
        <v>258</v>
      </c>
      <c r="E88" s="722" t="s">
        <v>2219</v>
      </c>
      <c r="F88" s="722"/>
    </row>
    <row r="89" spans="1:6">
      <c r="A89" s="722">
        <v>25163</v>
      </c>
      <c r="B89" s="722" t="s">
        <v>6664</v>
      </c>
      <c r="C89" s="722" t="s">
        <v>6665</v>
      </c>
      <c r="D89" s="722" t="s">
        <v>1201</v>
      </c>
      <c r="E89" s="722" t="s">
        <v>2431</v>
      </c>
      <c r="F89" s="722"/>
    </row>
    <row r="90" spans="1:6">
      <c r="A90" s="722">
        <v>25173</v>
      </c>
      <c r="B90" s="722" t="s">
        <v>6674</v>
      </c>
      <c r="C90" s="722" t="s">
        <v>6675</v>
      </c>
      <c r="D90" s="722" t="s">
        <v>762</v>
      </c>
      <c r="E90" s="722" t="s">
        <v>2382</v>
      </c>
      <c r="F90" s="722"/>
    </row>
    <row r="91" spans="1:6">
      <c r="A91" s="722">
        <v>25148</v>
      </c>
      <c r="B91" s="722" t="s">
        <v>6494</v>
      </c>
      <c r="C91" s="722" t="s">
        <v>6653</v>
      </c>
      <c r="D91" s="722" t="s">
        <v>1155</v>
      </c>
      <c r="E91" s="722" t="s">
        <v>2427</v>
      </c>
      <c r="F91" s="722"/>
    </row>
    <row r="92" spans="1:6">
      <c r="A92" s="722">
        <v>25196</v>
      </c>
      <c r="B92" s="722" t="s">
        <v>6357</v>
      </c>
      <c r="C92" s="722" t="s">
        <v>6693</v>
      </c>
      <c r="D92" s="722" t="s">
        <v>4509</v>
      </c>
      <c r="E92" s="722" t="s">
        <v>4512</v>
      </c>
      <c r="F92" s="722"/>
    </row>
    <row r="93" spans="1:6">
      <c r="A93" s="722">
        <v>25109</v>
      </c>
      <c r="B93" s="722" t="s">
        <v>6615</v>
      </c>
      <c r="C93" s="722" t="s">
        <v>6616</v>
      </c>
      <c r="D93" s="722" t="s">
        <v>322</v>
      </c>
      <c r="E93" s="722" t="s">
        <v>2250</v>
      </c>
      <c r="F93" s="722"/>
    </row>
    <row r="94" spans="1:6">
      <c r="A94" s="722">
        <v>25094</v>
      </c>
      <c r="B94" s="722" t="s">
        <v>6601</v>
      </c>
      <c r="C94" s="722" t="s">
        <v>6602</v>
      </c>
      <c r="D94" s="722" t="s">
        <v>407</v>
      </c>
      <c r="E94" s="722" t="s">
        <v>2279</v>
      </c>
      <c r="F94" s="722"/>
    </row>
    <row r="95" spans="1:6">
      <c r="A95" s="722">
        <v>25091</v>
      </c>
      <c r="B95" s="722" t="s">
        <v>6420</v>
      </c>
      <c r="C95" s="722" t="s">
        <v>6598</v>
      </c>
      <c r="D95" s="722" t="s">
        <v>535</v>
      </c>
      <c r="E95" s="722" t="s">
        <v>2324</v>
      </c>
      <c r="F95" s="722"/>
    </row>
    <row r="96" spans="1:6">
      <c r="A96" s="722">
        <v>25099</v>
      </c>
      <c r="B96" s="722" t="s">
        <v>6420</v>
      </c>
      <c r="C96" s="722" t="s">
        <v>6421</v>
      </c>
      <c r="D96" s="722" t="s">
        <v>314</v>
      </c>
      <c r="E96" s="722" t="s">
        <v>2241</v>
      </c>
      <c r="F96" s="722"/>
    </row>
    <row r="97" spans="1:6">
      <c r="A97" s="722">
        <v>25146</v>
      </c>
      <c r="B97" s="722" t="s">
        <v>6651</v>
      </c>
      <c r="C97" s="722" t="s">
        <v>6652</v>
      </c>
      <c r="D97" s="722" t="s">
        <v>129</v>
      </c>
      <c r="E97" s="722" t="s">
        <v>2146</v>
      </c>
      <c r="F97" s="722"/>
    </row>
    <row r="98" spans="1:6">
      <c r="A98" s="722">
        <v>25186</v>
      </c>
      <c r="B98" s="722" t="s">
        <v>6237</v>
      </c>
      <c r="C98" s="722" t="s">
        <v>6685</v>
      </c>
      <c r="D98" s="722" t="s">
        <v>1658</v>
      </c>
      <c r="E98" s="722" t="s">
        <v>2484</v>
      </c>
      <c r="F98" s="722"/>
    </row>
    <row r="99" spans="1:6">
      <c r="A99" s="722">
        <v>25157</v>
      </c>
      <c r="B99" s="722" t="s">
        <v>6659</v>
      </c>
      <c r="C99" s="722" t="s">
        <v>6513</v>
      </c>
      <c r="D99" s="722" t="s">
        <v>1440</v>
      </c>
      <c r="E99" s="722" t="s">
        <v>2466</v>
      </c>
      <c r="F99" s="722"/>
    </row>
    <row r="100" spans="1:6">
      <c r="A100" s="722">
        <v>25112</v>
      </c>
      <c r="B100" s="722" t="s">
        <v>6275</v>
      </c>
      <c r="C100" s="722" t="s">
        <v>6276</v>
      </c>
      <c r="D100" s="722" t="s">
        <v>317</v>
      </c>
      <c r="E100" s="722" t="s">
        <v>2243</v>
      </c>
      <c r="F100" s="722"/>
    </row>
    <row r="101" spans="1:6">
      <c r="A101" s="722">
        <v>25134</v>
      </c>
      <c r="B101" s="722" t="s">
        <v>6639</v>
      </c>
      <c r="C101" s="722" t="s">
        <v>6640</v>
      </c>
      <c r="D101" s="722" t="s">
        <v>994</v>
      </c>
      <c r="E101" s="722" t="s">
        <v>2421</v>
      </c>
      <c r="F101" s="722"/>
    </row>
    <row r="102" spans="1:6">
      <c r="A102" s="722">
        <v>25145</v>
      </c>
      <c r="B102" s="722" t="s">
        <v>6281</v>
      </c>
      <c r="C102" s="722" t="s">
        <v>6650</v>
      </c>
      <c r="D102" s="722" t="s">
        <v>1152</v>
      </c>
      <c r="E102" s="722" t="s">
        <v>2425</v>
      </c>
      <c r="F102" s="722"/>
    </row>
    <row r="103" spans="1:6">
      <c r="A103" s="722">
        <v>25076</v>
      </c>
      <c r="B103" s="722" t="s">
        <v>6387</v>
      </c>
      <c r="C103" s="722" t="s">
        <v>6587</v>
      </c>
      <c r="D103" s="722" t="s">
        <v>275</v>
      </c>
      <c r="E103" s="722" t="s">
        <v>2230</v>
      </c>
      <c r="F103" s="722"/>
    </row>
    <row r="104" spans="1:6">
      <c r="A104" s="722">
        <v>25160</v>
      </c>
      <c r="B104" s="722" t="s">
        <v>6660</v>
      </c>
      <c r="C104" s="722" t="s">
        <v>6661</v>
      </c>
      <c r="D104" s="722" t="s">
        <v>1374</v>
      </c>
      <c r="E104" s="722" t="s">
        <v>2454</v>
      </c>
      <c r="F104" s="722"/>
    </row>
    <row r="105" spans="1:6">
      <c r="A105" s="722">
        <v>25118</v>
      </c>
      <c r="B105" s="722" t="s">
        <v>6622</v>
      </c>
      <c r="C105" s="722" t="s">
        <v>6623</v>
      </c>
      <c r="D105" s="722" t="s">
        <v>281</v>
      </c>
      <c r="E105" s="722" t="s">
        <v>2234</v>
      </c>
      <c r="F105" s="722"/>
    </row>
    <row r="106" spans="1:6">
      <c r="A106" s="722">
        <v>25119</v>
      </c>
      <c r="B106" s="722" t="s">
        <v>6624</v>
      </c>
      <c r="C106" s="722" t="s">
        <v>6625</v>
      </c>
      <c r="D106" s="722" t="s">
        <v>716</v>
      </c>
      <c r="E106" s="722" t="s">
        <v>2365</v>
      </c>
      <c r="F106" s="722"/>
    </row>
    <row r="107" spans="1:6">
      <c r="A107" s="722">
        <v>25175</v>
      </c>
      <c r="B107" s="722" t="s">
        <v>6677</v>
      </c>
      <c r="C107" s="722" t="s">
        <v>6678</v>
      </c>
      <c r="D107" s="722" t="s">
        <v>178</v>
      </c>
      <c r="E107" s="722" t="s">
        <v>2181</v>
      </c>
      <c r="F107" s="722"/>
    </row>
    <row r="108" spans="1:6">
      <c r="A108" s="722">
        <v>25080</v>
      </c>
      <c r="B108" s="722" t="s">
        <v>6339</v>
      </c>
      <c r="C108" s="722" t="s">
        <v>6590</v>
      </c>
      <c r="D108" s="722" t="s">
        <v>460</v>
      </c>
      <c r="E108" s="722" t="s">
        <v>2289</v>
      </c>
      <c r="F108" s="722"/>
    </row>
    <row r="109" spans="1:6">
      <c r="A109" s="722">
        <v>25130</v>
      </c>
      <c r="B109" s="722" t="s">
        <v>6221</v>
      </c>
      <c r="C109" s="722" t="s">
        <v>6636</v>
      </c>
      <c r="D109" s="722" t="s">
        <v>912</v>
      </c>
      <c r="E109" s="722" t="s">
        <v>2403</v>
      </c>
      <c r="F109" s="722"/>
    </row>
    <row r="110" spans="1:6">
      <c r="A110" s="722">
        <v>25191</v>
      </c>
      <c r="B110" s="722" t="s">
        <v>6259</v>
      </c>
      <c r="C110" s="722" t="s">
        <v>6260</v>
      </c>
      <c r="D110" s="722" t="s">
        <v>4442</v>
      </c>
      <c r="E110" s="722" t="s">
        <v>4443</v>
      </c>
      <c r="F110" s="722"/>
    </row>
    <row r="111" spans="1:6">
      <c r="A111" s="722">
        <v>25121</v>
      </c>
      <c r="B111" s="722" t="s">
        <v>6626</v>
      </c>
      <c r="C111" s="722" t="s">
        <v>6627</v>
      </c>
      <c r="D111" s="722" t="s">
        <v>112</v>
      </c>
      <c r="E111" s="722" t="s">
        <v>2140</v>
      </c>
      <c r="F111" s="722"/>
    </row>
    <row r="112" spans="1:6">
      <c r="A112" s="722">
        <v>25102</v>
      </c>
      <c r="B112" s="722" t="s">
        <v>6608</v>
      </c>
      <c r="C112" s="722" t="s">
        <v>6167</v>
      </c>
      <c r="D112" s="722" t="s">
        <v>538</v>
      </c>
      <c r="E112" s="722" t="s">
        <v>2318</v>
      </c>
      <c r="F112" s="722"/>
    </row>
    <row r="113" spans="1:6">
      <c r="A113" s="722">
        <v>25150</v>
      </c>
      <c r="B113" s="722" t="s">
        <v>6655</v>
      </c>
      <c r="C113" s="722" t="s">
        <v>6152</v>
      </c>
      <c r="D113" s="722" t="s">
        <v>447</v>
      </c>
      <c r="E113" s="722" t="s">
        <v>2283</v>
      </c>
      <c r="F113" s="72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0EE18-A507-4D00-9C86-7CC123A23D72}">
  <dimension ref="A1:U1154"/>
  <sheetViews>
    <sheetView zoomScale="79" zoomScaleNormal="69" workbookViewId="0">
      <pane ySplit="1" topLeftCell="A1096" activePane="bottomLeft" state="frozen"/>
      <selection pane="bottomLeft" activeCell="H1123" sqref="H1123"/>
    </sheetView>
  </sheetViews>
  <sheetFormatPr baseColWidth="10" defaultColWidth="11.6640625" defaultRowHeight="15"/>
  <cols>
    <col min="1" max="1" width="11.5" style="10" customWidth="1"/>
    <col min="2" max="2" width="26.1640625" style="10" customWidth="1"/>
    <col min="3" max="3" width="38.33203125" bestFit="1" customWidth="1"/>
    <col min="4" max="4" width="22.33203125" bestFit="1" customWidth="1"/>
    <col min="5" max="5" width="32.83203125" bestFit="1" customWidth="1"/>
    <col min="6" max="6" width="15.1640625" bestFit="1" customWidth="1"/>
    <col min="7" max="7" width="14.33203125" customWidth="1"/>
    <col min="8" max="8" width="13" bestFit="1" customWidth="1"/>
    <col min="9" max="9" width="12" customWidth="1"/>
    <col min="10" max="10" width="16.1640625" customWidth="1"/>
    <col min="11" max="11" width="40.1640625" customWidth="1"/>
    <col min="12" max="12" width="13" customWidth="1"/>
    <col min="13" max="13" width="10.1640625" customWidth="1"/>
    <col min="14" max="14" width="16.1640625" style="526" customWidth="1"/>
    <col min="15" max="15" width="16.1640625" style="526" bestFit="1" customWidth="1"/>
    <col min="16" max="16" width="15.1640625" style="526" customWidth="1"/>
    <col min="17" max="17" width="15.83203125" style="53" bestFit="1" customWidth="1"/>
    <col min="18" max="18" width="21" style="701" customWidth="1"/>
    <col min="19" max="19" width="19.83203125" style="53" bestFit="1" customWidth="1"/>
    <col min="20" max="20" width="21.1640625" style="249" bestFit="1" customWidth="1"/>
  </cols>
  <sheetData>
    <row r="1" spans="1:20" s="113" customFormat="1" ht="19.25" customHeight="1">
      <c r="A1" s="106" t="s">
        <v>71</v>
      </c>
      <c r="B1" s="106" t="s">
        <v>67</v>
      </c>
      <c r="C1" s="107" t="s">
        <v>2098</v>
      </c>
      <c r="D1" s="107" t="s">
        <v>66</v>
      </c>
      <c r="E1" s="107" t="s">
        <v>2531</v>
      </c>
      <c r="F1" s="108" t="s">
        <v>75</v>
      </c>
      <c r="G1" s="109" t="s">
        <v>2532</v>
      </c>
      <c r="H1" s="110" t="s">
        <v>2533</v>
      </c>
      <c r="I1" s="111" t="s">
        <v>2534</v>
      </c>
      <c r="J1" s="109" t="s">
        <v>2535</v>
      </c>
      <c r="K1" s="112" t="s">
        <v>2536</v>
      </c>
      <c r="L1" s="112" t="s">
        <v>4788</v>
      </c>
      <c r="M1" s="112" t="s">
        <v>2537</v>
      </c>
      <c r="N1" s="519" t="s">
        <v>2538</v>
      </c>
      <c r="O1" s="519" t="s">
        <v>2539</v>
      </c>
      <c r="P1" s="520" t="s">
        <v>2540</v>
      </c>
      <c r="Q1" s="101" t="s">
        <v>2541</v>
      </c>
      <c r="R1" s="688" t="s">
        <v>6561</v>
      </c>
      <c r="S1" s="678" t="s">
        <v>6562</v>
      </c>
      <c r="T1" s="679" t="s">
        <v>6563</v>
      </c>
    </row>
    <row r="2" spans="1:20" ht="16">
      <c r="A2" s="82">
        <v>45658</v>
      </c>
      <c r="B2" s="82" t="str">
        <f>+_xlfn.XLOOKUP(Tabla4[[#This Row],[ID CLIENTE]],'RESUMEN CLIENTES'!D:D,'RESUMEN CLIENTES'!A:A)</f>
        <v>Andrea Corpeño López</v>
      </c>
      <c r="C2" s="83" t="s">
        <v>2117</v>
      </c>
      <c r="D2" s="83" t="s">
        <v>84</v>
      </c>
      <c r="E2" s="83" t="s">
        <v>85</v>
      </c>
      <c r="F2" s="83" t="s">
        <v>86</v>
      </c>
      <c r="G2" s="84">
        <v>2985</v>
      </c>
      <c r="H2" s="85">
        <v>0</v>
      </c>
      <c r="I2" s="86">
        <f t="shared" ref="I2:I65" si="0">+IFERROR(-(H2)/G2,"")</f>
        <v>0</v>
      </c>
      <c r="J2" s="87">
        <f t="shared" ref="J2:J65" si="1">+G2+H2</f>
        <v>2985</v>
      </c>
      <c r="K2" s="87" t="s">
        <v>2542</v>
      </c>
      <c r="L2" s="87" t="s">
        <v>4672</v>
      </c>
      <c r="M2" s="87"/>
      <c r="N2" s="521"/>
      <c r="O2" s="521">
        <f>+Tabla4[[#This Row],[PAGO NO EURO]]+Tabla4[[#This Row],[CARGO NO EURO]]</f>
        <v>0</v>
      </c>
      <c r="P2" s="521"/>
      <c r="Q2" s="88"/>
      <c r="R2" s="689">
        <f>+_xlfn.XLOOKUP(Tabla4[[#This Row],[ID CLIENTE]],'RESUMEN CLIENTES'!D:D,'RESUMEN CLIENTES'!G:G)</f>
        <v>45658</v>
      </c>
      <c r="S2" s="88" t="str">
        <f>+_xlfn.XLOOKUP(Tabla4[[#This Row],[ID CLIENTE]],'RESUMEN CLIENTES'!D:D,'RESUMEN CLIENTES'!AA:AA)</f>
        <v>-</v>
      </c>
      <c r="T2" s="680" t="str">
        <f>+_xlfn.XLOOKUP(Tabla4[[#This Row],[ID CLIENTE]],'RESUMEN CLIENTES'!D:D,'RESUMEN CLIENTES'!C:C)</f>
        <v>El Salvador</v>
      </c>
    </row>
    <row r="3" spans="1:20" ht="16">
      <c r="A3" s="82">
        <v>45658</v>
      </c>
      <c r="B3" s="82" t="str">
        <f>+_xlfn.XLOOKUP(Tabla4[[#This Row],[ID CLIENTE]],'RESUMEN CLIENTES'!D:D,'RESUMEN CLIENTES'!A:A)</f>
        <v>Jose Marcelo Marroquín Guzmán</v>
      </c>
      <c r="C3" s="83" t="s">
        <v>2121</v>
      </c>
      <c r="D3" s="83" t="s">
        <v>87</v>
      </c>
      <c r="E3" s="83" t="s">
        <v>88</v>
      </c>
      <c r="F3" s="83" t="s">
        <v>89</v>
      </c>
      <c r="G3" s="84">
        <v>2985</v>
      </c>
      <c r="H3" s="85">
        <v>0</v>
      </c>
      <c r="I3" s="86">
        <f t="shared" si="0"/>
        <v>0</v>
      </c>
      <c r="J3" s="87">
        <f t="shared" si="1"/>
        <v>2985</v>
      </c>
      <c r="K3" s="87" t="s">
        <v>2542</v>
      </c>
      <c r="L3" s="87" t="s">
        <v>4672</v>
      </c>
      <c r="M3" s="87"/>
      <c r="N3" s="521"/>
      <c r="O3" s="521">
        <f>+Tabla4[[#This Row],[PAGO NO EURO]]+Tabla4[[#This Row],[CARGO NO EURO]]</f>
        <v>0</v>
      </c>
      <c r="P3" s="521"/>
      <c r="Q3" s="88"/>
      <c r="R3" s="689">
        <f>+_xlfn.XLOOKUP(Tabla4[[#This Row],[ID CLIENTE]],'RESUMEN CLIENTES'!D:D,'RESUMEN CLIENTES'!G:G)</f>
        <v>45658</v>
      </c>
      <c r="S3" s="88" t="str">
        <f>+_xlfn.XLOOKUP(Tabla4[[#This Row],[ID CLIENTE]],'RESUMEN CLIENTES'!D:D,'RESUMEN CLIENTES'!AA:AA)</f>
        <v>A2.1</v>
      </c>
      <c r="T3" s="680" t="str">
        <f>+_xlfn.XLOOKUP(Tabla4[[#This Row],[ID CLIENTE]],'RESUMEN CLIENTES'!D:D,'RESUMEN CLIENTES'!C:C)</f>
        <v>El Salvador</v>
      </c>
    </row>
    <row r="4" spans="1:20" ht="16">
      <c r="A4" s="82">
        <v>45684</v>
      </c>
      <c r="B4" s="82" t="str">
        <f>+_xlfn.XLOOKUP(Tabla4[[#This Row],[ID CLIENTE]],'RESUMEN CLIENTES'!D:D,'RESUMEN CLIENTES'!A:A)</f>
        <v>María Fernanda Alvar Sepúlveda</v>
      </c>
      <c r="C4" s="83" t="s">
        <v>2123</v>
      </c>
      <c r="D4" s="83" t="s">
        <v>80</v>
      </c>
      <c r="E4" s="83" t="s">
        <v>82</v>
      </c>
      <c r="F4" s="83" t="s">
        <v>83</v>
      </c>
      <c r="G4" s="84">
        <f>+(Tabla4[[#This Row],[AUXILIAR]])*Tabla4[[#This Row],[CAMBIO]]</f>
        <v>4983.5962712473829</v>
      </c>
      <c r="H4" s="85">
        <v>0</v>
      </c>
      <c r="I4" s="86">
        <f t="shared" si="0"/>
        <v>0</v>
      </c>
      <c r="J4" s="87">
        <f t="shared" si="1"/>
        <v>4983.5962712473829</v>
      </c>
      <c r="K4" s="87" t="s">
        <v>145</v>
      </c>
      <c r="L4" s="87" t="s">
        <v>4675</v>
      </c>
      <c r="M4" s="87" t="s">
        <v>2543</v>
      </c>
      <c r="N4" s="522">
        <v>5300000</v>
      </c>
      <c r="O4" s="523">
        <f>+Tabla4[[#This Row],[PAGO NO EURO]]+Tabla4[[#This Row],[CARGO NO EURO]]</f>
        <v>5233500</v>
      </c>
      <c r="P4" s="524">
        <v>-66500</v>
      </c>
      <c r="Q4" s="89">
        <v>9.5224921586842129E-4</v>
      </c>
      <c r="R4" s="689">
        <f>+_xlfn.XLOOKUP(Tabla4[[#This Row],[ID CLIENTE]],'RESUMEN CLIENTES'!D:D,'RESUMEN CLIENTES'!G:G)</f>
        <v>45684</v>
      </c>
      <c r="S4" s="89" t="str">
        <f>+_xlfn.XLOOKUP(Tabla4[[#This Row],[ID CLIENTE]],'RESUMEN CLIENTES'!D:D,'RESUMEN CLIENTES'!AA:AA)</f>
        <v>A1.1</v>
      </c>
      <c r="T4" s="680" t="str">
        <f>+_xlfn.XLOOKUP(Tabla4[[#This Row],[ID CLIENTE]],'RESUMEN CLIENTES'!D:D,'RESUMEN CLIENTES'!C:C)</f>
        <v>Chile</v>
      </c>
    </row>
    <row r="5" spans="1:20" ht="16">
      <c r="A5" s="82">
        <v>45699</v>
      </c>
      <c r="B5" s="82" t="str">
        <f>+_xlfn.XLOOKUP(Tabla4[[#This Row],[ID CLIENTE]],'RESUMEN CLIENTES'!D:D,'RESUMEN CLIENTES'!A:A)</f>
        <v>Camila Sanchez Aravena</v>
      </c>
      <c r="C5" s="83" t="s">
        <v>2125</v>
      </c>
      <c r="D5" s="83" t="s">
        <v>118</v>
      </c>
      <c r="E5" s="83" t="s">
        <v>119</v>
      </c>
      <c r="F5" s="83" t="s">
        <v>120</v>
      </c>
      <c r="G5" s="84">
        <f>+Tabla4[[#This Row],[PAGO NO EURO]]*Tabla4[[#This Row],[CAMBIO]]</f>
        <v>10597.552773957821</v>
      </c>
      <c r="H5" s="85">
        <f>+Tabla4[[#This Row],[CARGO NO EURO]]*Tabla4[[#This Row],[CAMBIO]]</f>
        <v>-402.70720616725055</v>
      </c>
      <c r="I5" s="86">
        <f t="shared" si="0"/>
        <v>3.8000018943699324E-2</v>
      </c>
      <c r="J5" s="87">
        <f t="shared" si="1"/>
        <v>10194.845567790571</v>
      </c>
      <c r="K5" s="87" t="s">
        <v>2544</v>
      </c>
      <c r="L5" s="87" t="s">
        <v>4675</v>
      </c>
      <c r="M5" s="87" t="s">
        <v>2543</v>
      </c>
      <c r="N5" s="522">
        <v>10557600</v>
      </c>
      <c r="O5" s="523">
        <f>+Tabla4[[#This Row],[PAGO NO EURO]]+Tabla4[[#This Row],[CARGO NO EURO]]</f>
        <v>10156411</v>
      </c>
      <c r="P5" s="524">
        <v>-401189</v>
      </c>
      <c r="Q5" s="89">
        <v>1.003784266685404E-3</v>
      </c>
      <c r="R5" s="689">
        <f>+_xlfn.XLOOKUP(Tabla4[[#This Row],[ID CLIENTE]],'RESUMEN CLIENTES'!D:D,'RESUMEN CLIENTES'!G:G)</f>
        <v>45699</v>
      </c>
      <c r="S5" s="89" t="str">
        <f>+_xlfn.XLOOKUP(Tabla4[[#This Row],[ID CLIENTE]],'RESUMEN CLIENTES'!D:D,'RESUMEN CLIENTES'!AA:AA)</f>
        <v>B2.1</v>
      </c>
      <c r="T5" s="680" t="str">
        <f>+_xlfn.XLOOKUP(Tabla4[[#This Row],[ID CLIENTE]],'RESUMEN CLIENTES'!D:D,'RESUMEN CLIENTES'!C:C)</f>
        <v>Chile</v>
      </c>
    </row>
    <row r="6" spans="1:20" ht="16">
      <c r="A6" s="82">
        <v>45721</v>
      </c>
      <c r="B6" s="82" t="str">
        <f>+_xlfn.XLOOKUP(Tabla4[[#This Row],[ID CLIENTE]],'RESUMEN CLIENTES'!D:D,'RESUMEN CLIENTES'!A:A)</f>
        <v>Gabriela Kimberlyn Moran Caiza</v>
      </c>
      <c r="C6" s="83" t="s">
        <v>2127</v>
      </c>
      <c r="D6" s="83" t="s">
        <v>98</v>
      </c>
      <c r="E6" s="83" t="s">
        <v>99</v>
      </c>
      <c r="F6" s="83" t="s">
        <v>100</v>
      </c>
      <c r="G6" s="84">
        <v>1500</v>
      </c>
      <c r="H6" s="85">
        <v>-49</v>
      </c>
      <c r="I6" s="86">
        <f t="shared" si="0"/>
        <v>3.2666666666666663E-2</v>
      </c>
      <c r="J6" s="87">
        <f t="shared" si="1"/>
        <v>1451</v>
      </c>
      <c r="K6" s="87"/>
      <c r="L6" s="87" t="s">
        <v>4672</v>
      </c>
      <c r="M6" s="87"/>
      <c r="N6" s="521"/>
      <c r="O6" s="521">
        <f>+Tabla4[[#This Row],[PAGO NO EURO]]+Tabla4[[#This Row],[CARGO NO EURO]]</f>
        <v>0</v>
      </c>
      <c r="P6" s="521"/>
      <c r="Q6" s="88"/>
      <c r="R6" s="689">
        <f>+_xlfn.XLOOKUP(Tabla4[[#This Row],[ID CLIENTE]],'RESUMEN CLIENTES'!D:D,'RESUMEN CLIENTES'!G:G)</f>
        <v>45721</v>
      </c>
      <c r="S6" s="88" t="str">
        <f>+_xlfn.XLOOKUP(Tabla4[[#This Row],[ID CLIENTE]],'RESUMEN CLIENTES'!D:D,'RESUMEN CLIENTES'!AA:AA)</f>
        <v>B2.1</v>
      </c>
      <c r="T6" s="680" t="str">
        <f>+_xlfn.XLOOKUP(Tabla4[[#This Row],[ID CLIENTE]],'RESUMEN CLIENTES'!D:D,'RESUMEN CLIENTES'!C:C)</f>
        <v>Ecuador</v>
      </c>
    </row>
    <row r="7" spans="1:20" ht="16">
      <c r="A7" s="82">
        <v>45721</v>
      </c>
      <c r="B7" s="82" t="str">
        <f>+_xlfn.XLOOKUP(Tabla4[[#This Row],[ID CLIENTE]],'RESUMEN CLIENTES'!D:D,'RESUMEN CLIENTES'!A:A)</f>
        <v>Gabriel Alejandro Ortega Moreno</v>
      </c>
      <c r="C7" s="83" t="s">
        <v>2129</v>
      </c>
      <c r="D7" s="83" t="s">
        <v>95</v>
      </c>
      <c r="E7" s="83" t="s">
        <v>96</v>
      </c>
      <c r="F7" s="83" t="s">
        <v>97</v>
      </c>
      <c r="G7" s="84">
        <v>3500</v>
      </c>
      <c r="H7" s="85">
        <v>-114</v>
      </c>
      <c r="I7" s="86">
        <f t="shared" si="0"/>
        <v>3.2571428571428571E-2</v>
      </c>
      <c r="J7" s="87">
        <f t="shared" si="1"/>
        <v>3386</v>
      </c>
      <c r="K7" s="87"/>
      <c r="L7" s="87" t="s">
        <v>4672</v>
      </c>
      <c r="M7" s="87"/>
      <c r="N7" s="521"/>
      <c r="O7" s="521">
        <f>+Tabla4[[#This Row],[PAGO NO EURO]]+Tabla4[[#This Row],[CARGO NO EURO]]</f>
        <v>0</v>
      </c>
      <c r="P7" s="521"/>
      <c r="Q7" s="88"/>
      <c r="R7" s="689">
        <f>+_xlfn.XLOOKUP(Tabla4[[#This Row],[ID CLIENTE]],'RESUMEN CLIENTES'!D:D,'RESUMEN CLIENTES'!G:G)</f>
        <v>45721</v>
      </c>
      <c r="S7" s="88" t="str">
        <f>+_xlfn.XLOOKUP(Tabla4[[#This Row],[ID CLIENTE]],'RESUMEN CLIENTES'!D:D,'RESUMEN CLIENTES'!AA:AA)</f>
        <v>B2.1</v>
      </c>
      <c r="T7" s="680" t="str">
        <f>+_xlfn.XLOOKUP(Tabla4[[#This Row],[ID CLIENTE]],'RESUMEN CLIENTES'!D:D,'RESUMEN CLIENTES'!C:C)</f>
        <v>Ecuador</v>
      </c>
    </row>
    <row r="8" spans="1:20" ht="16">
      <c r="A8" s="82">
        <v>45725</v>
      </c>
      <c r="B8" s="82" t="str">
        <f>+_xlfn.XLOOKUP(Tabla4[[#This Row],[ID CLIENTE]],'RESUMEN CLIENTES'!D:D,'RESUMEN CLIENTES'!A:A)</f>
        <v>Isaac Ricardo Jimenez Campos</v>
      </c>
      <c r="C8" s="83" t="s">
        <v>2131</v>
      </c>
      <c r="D8" s="83" t="s">
        <v>103</v>
      </c>
      <c r="E8" s="83" t="s">
        <v>104</v>
      </c>
      <c r="F8" s="83" t="s">
        <v>105</v>
      </c>
      <c r="G8" s="84">
        <v>1000</v>
      </c>
      <c r="H8" s="85">
        <v>-32.75</v>
      </c>
      <c r="I8" s="86">
        <f t="shared" si="0"/>
        <v>3.2750000000000001E-2</v>
      </c>
      <c r="J8" s="87">
        <f t="shared" si="1"/>
        <v>967.25</v>
      </c>
      <c r="K8" s="87"/>
      <c r="L8" s="87" t="s">
        <v>4672</v>
      </c>
      <c r="M8" s="87"/>
      <c r="N8" s="521"/>
      <c r="O8" s="521">
        <f>+Tabla4[[#This Row],[PAGO NO EURO]]+Tabla4[[#This Row],[CARGO NO EURO]]</f>
        <v>0</v>
      </c>
      <c r="P8" s="521"/>
      <c r="Q8" s="88"/>
      <c r="R8" s="689">
        <f>+_xlfn.XLOOKUP(Tabla4[[#This Row],[ID CLIENTE]],'RESUMEN CLIENTES'!D:D,'RESUMEN CLIENTES'!G:G)</f>
        <v>45725</v>
      </c>
      <c r="S8" s="88" t="str">
        <f>+_xlfn.XLOOKUP(Tabla4[[#This Row],[ID CLIENTE]],'RESUMEN CLIENTES'!D:D,'RESUMEN CLIENTES'!AA:AA)</f>
        <v>null</v>
      </c>
      <c r="T8" s="680" t="str">
        <f>+_xlfn.XLOOKUP(Tabla4[[#This Row],[ID CLIENTE]],'RESUMEN CLIENTES'!D:D,'RESUMEN CLIENTES'!C:C)</f>
        <v>México</v>
      </c>
    </row>
    <row r="9" spans="1:20" ht="16">
      <c r="A9" s="82">
        <v>45726</v>
      </c>
      <c r="B9" s="82" t="str">
        <f>+_xlfn.XLOOKUP(Tabla4[[#This Row],[ID CLIENTE]],'RESUMEN CLIENTES'!D:D,'RESUMEN CLIENTES'!A:A)</f>
        <v>Hector Armando Daza Mejia</v>
      </c>
      <c r="C9" s="83" t="s">
        <v>2133</v>
      </c>
      <c r="D9" s="83" t="s">
        <v>106</v>
      </c>
      <c r="E9" s="83" t="s">
        <v>107</v>
      </c>
      <c r="F9" s="83" t="s">
        <v>108</v>
      </c>
      <c r="G9" s="84">
        <v>1500</v>
      </c>
      <c r="H9" s="85">
        <v>-49</v>
      </c>
      <c r="I9" s="86">
        <f t="shared" si="0"/>
        <v>3.2666666666666663E-2</v>
      </c>
      <c r="J9" s="87">
        <f t="shared" si="1"/>
        <v>1451</v>
      </c>
      <c r="K9" s="87"/>
      <c r="L9" s="87" t="s">
        <v>4672</v>
      </c>
      <c r="M9" s="87"/>
      <c r="N9" s="521"/>
      <c r="O9" s="521">
        <f>+Tabla4[[#This Row],[PAGO NO EURO]]+Tabla4[[#This Row],[CARGO NO EURO]]</f>
        <v>0</v>
      </c>
      <c r="P9" s="521"/>
      <c r="Q9" s="88"/>
      <c r="R9" s="689">
        <f>+_xlfn.XLOOKUP(Tabla4[[#This Row],[ID CLIENTE]],'RESUMEN CLIENTES'!D:D,'RESUMEN CLIENTES'!G:G)</f>
        <v>45726</v>
      </c>
      <c r="S9" s="88" t="str">
        <f>+_xlfn.XLOOKUP(Tabla4[[#This Row],[ID CLIENTE]],'RESUMEN CLIENTES'!D:D,'RESUMEN CLIENTES'!AA:AA)</f>
        <v>B1.2</v>
      </c>
      <c r="T9" s="680" t="str">
        <f>+_xlfn.XLOOKUP(Tabla4[[#This Row],[ID CLIENTE]],'RESUMEN CLIENTES'!D:D,'RESUMEN CLIENTES'!C:C)</f>
        <v>Colombia</v>
      </c>
    </row>
    <row r="10" spans="1:20" ht="16">
      <c r="A10" s="82">
        <v>45729</v>
      </c>
      <c r="B10" s="82" t="str">
        <f>+_xlfn.XLOOKUP(Tabla4[[#This Row],[ID CLIENTE]],'RESUMEN CLIENTES'!D:D,'RESUMEN CLIENTES'!A:A)</f>
        <v>Ian Job Lino Durán</v>
      </c>
      <c r="C10" s="83" t="s">
        <v>2135</v>
      </c>
      <c r="D10" s="83" t="s">
        <v>109</v>
      </c>
      <c r="E10" s="83" t="s">
        <v>110</v>
      </c>
      <c r="F10" s="83" t="s">
        <v>111</v>
      </c>
      <c r="G10" s="84">
        <v>1500</v>
      </c>
      <c r="H10" s="85">
        <v>-49</v>
      </c>
      <c r="I10" s="86">
        <f t="shared" si="0"/>
        <v>3.2666666666666663E-2</v>
      </c>
      <c r="J10" s="87">
        <f t="shared" si="1"/>
        <v>1451</v>
      </c>
      <c r="K10" s="87"/>
      <c r="L10" s="87" t="s">
        <v>4672</v>
      </c>
      <c r="M10" s="87"/>
      <c r="N10" s="521"/>
      <c r="O10" s="521">
        <f>+Tabla4[[#This Row],[PAGO NO EURO]]+Tabla4[[#This Row],[CARGO NO EURO]]</f>
        <v>0</v>
      </c>
      <c r="P10" s="521"/>
      <c r="Q10" s="88"/>
      <c r="R10" s="689">
        <f>+_xlfn.XLOOKUP(Tabla4[[#This Row],[ID CLIENTE]],'RESUMEN CLIENTES'!D:D,'RESUMEN CLIENTES'!G:G)</f>
        <v>45729</v>
      </c>
      <c r="S10" s="88" t="str">
        <f>+_xlfn.XLOOKUP(Tabla4[[#This Row],[ID CLIENTE]],'RESUMEN CLIENTES'!D:D,'RESUMEN CLIENTES'!AA:AA)</f>
        <v>B2.1</v>
      </c>
      <c r="T10" s="680" t="str">
        <f>+_xlfn.XLOOKUP(Tabla4[[#This Row],[ID CLIENTE]],'RESUMEN CLIENTES'!D:D,'RESUMEN CLIENTES'!C:C)</f>
        <v>México</v>
      </c>
    </row>
    <row r="11" spans="1:20" ht="16">
      <c r="A11" s="82">
        <v>45733</v>
      </c>
      <c r="B11" s="82" t="str">
        <f>+_xlfn.XLOOKUP(Tabla4[[#This Row],[ID CLIENTE]],'RESUMEN CLIENTES'!D:D,'RESUMEN CLIENTES'!A:A)</f>
        <v>Kennedy Santana</v>
      </c>
      <c r="C11" s="83" t="s">
        <v>2137</v>
      </c>
      <c r="D11" s="83" t="s">
        <v>2138</v>
      </c>
      <c r="E11" s="83" t="s">
        <v>2551</v>
      </c>
      <c r="F11" s="83"/>
      <c r="G11" s="84">
        <v>500</v>
      </c>
      <c r="H11" s="85">
        <v>-16.5</v>
      </c>
      <c r="I11" s="86">
        <f t="shared" si="0"/>
        <v>3.3000000000000002E-2</v>
      </c>
      <c r="J11" s="87">
        <f t="shared" si="1"/>
        <v>483.5</v>
      </c>
      <c r="K11" s="87"/>
      <c r="L11" s="87" t="s">
        <v>4672</v>
      </c>
      <c r="M11" s="87"/>
      <c r="N11" s="521"/>
      <c r="O11" s="521">
        <f>+Tabla4[[#This Row],[PAGO NO EURO]]+Tabla4[[#This Row],[CARGO NO EURO]]</f>
        <v>0</v>
      </c>
      <c r="P11" s="521"/>
      <c r="Q11" s="88"/>
      <c r="R11" s="689">
        <f>+_xlfn.XLOOKUP(Tabla4[[#This Row],[ID CLIENTE]],'RESUMEN CLIENTES'!D:D,'RESUMEN CLIENTES'!G:G)</f>
        <v>45733</v>
      </c>
      <c r="S11" s="88" t="str">
        <f>+_xlfn.XLOOKUP(Tabla4[[#This Row],[ID CLIENTE]],'RESUMEN CLIENTES'!D:D,'RESUMEN CLIENTES'!AA:AA)</f>
        <v>null</v>
      </c>
      <c r="T11" s="680" t="str">
        <f>+_xlfn.XLOOKUP(Tabla4[[#This Row],[ID CLIENTE]],'RESUMEN CLIENTES'!D:D,'RESUMEN CLIENTES'!C:C)</f>
        <v>República Dominicana</v>
      </c>
    </row>
    <row r="12" spans="1:20" ht="16">
      <c r="A12" s="82">
        <v>45735</v>
      </c>
      <c r="B12" s="82" t="str">
        <f>+_xlfn.XLOOKUP(Tabla4[[#This Row],[ID CLIENTE]],'RESUMEN CLIENTES'!D:D,'RESUMEN CLIENTES'!A:A)</f>
        <v>Victor Emanuel Hernández Ruíz</v>
      </c>
      <c r="C12" s="83" t="s">
        <v>2141</v>
      </c>
      <c r="D12" s="83" t="s">
        <v>112</v>
      </c>
      <c r="E12" s="83" t="s">
        <v>113</v>
      </c>
      <c r="F12" s="83" t="s">
        <v>114</v>
      </c>
      <c r="G12" s="84">
        <v>3000</v>
      </c>
      <c r="H12" s="85">
        <v>-155.88999999999999</v>
      </c>
      <c r="I12" s="86">
        <f t="shared" si="0"/>
        <v>5.1963333333333327E-2</v>
      </c>
      <c r="J12" s="87">
        <f t="shared" si="1"/>
        <v>2844.11</v>
      </c>
      <c r="K12" s="87"/>
      <c r="L12" s="87" t="s">
        <v>4672</v>
      </c>
      <c r="M12" s="87"/>
      <c r="N12" s="521"/>
      <c r="O12" s="521">
        <f>+Tabla4[[#This Row],[PAGO NO EURO]]+Tabla4[[#This Row],[CARGO NO EURO]]</f>
        <v>0</v>
      </c>
      <c r="P12" s="521"/>
      <c r="Q12" s="88"/>
      <c r="R12" s="689">
        <f>+_xlfn.XLOOKUP(Tabla4[[#This Row],[ID CLIENTE]],'RESUMEN CLIENTES'!D:D,'RESUMEN CLIENTES'!G:G)</f>
        <v>45735</v>
      </c>
      <c r="S12" s="88" t="str">
        <f>+_xlfn.XLOOKUP(Tabla4[[#This Row],[ID CLIENTE]],'RESUMEN CLIENTES'!D:D,'RESUMEN CLIENTES'!AA:AA)</f>
        <v>B2.1</v>
      </c>
      <c r="T12" s="680" t="str">
        <f>+_xlfn.XLOOKUP(Tabla4[[#This Row],[ID CLIENTE]],'RESUMEN CLIENTES'!D:D,'RESUMEN CLIENTES'!C:C)</f>
        <v>México</v>
      </c>
    </row>
    <row r="13" spans="1:20" ht="16">
      <c r="A13" s="82">
        <v>45737</v>
      </c>
      <c r="B13" s="82" t="str">
        <f>+_xlfn.XLOOKUP(Tabla4[[#This Row],[ID CLIENTE]],'RESUMEN CLIENTES'!D:D,'RESUMEN CLIENTES'!A:A)</f>
        <v>David Hernández Viveros</v>
      </c>
      <c r="C13" s="83" t="s">
        <v>2143</v>
      </c>
      <c r="D13" s="83" t="s">
        <v>115</v>
      </c>
      <c r="E13" s="83" t="s">
        <v>116</v>
      </c>
      <c r="F13" s="83" t="s">
        <v>117</v>
      </c>
      <c r="G13" s="84">
        <v>1500</v>
      </c>
      <c r="H13" s="85">
        <v>-78.19</v>
      </c>
      <c r="I13" s="86">
        <f t="shared" si="0"/>
        <v>5.2126666666666668E-2</v>
      </c>
      <c r="J13" s="87">
        <f t="shared" si="1"/>
        <v>1421.81</v>
      </c>
      <c r="K13" s="87"/>
      <c r="L13" s="87" t="s">
        <v>4672</v>
      </c>
      <c r="M13" s="87"/>
      <c r="N13" s="521"/>
      <c r="O13" s="521">
        <f>+Tabla4[[#This Row],[PAGO NO EURO]]+Tabla4[[#This Row],[CARGO NO EURO]]</f>
        <v>0</v>
      </c>
      <c r="P13" s="521"/>
      <c r="Q13" s="88"/>
      <c r="R13" s="689">
        <f>+_xlfn.XLOOKUP(Tabla4[[#This Row],[ID CLIENTE]],'RESUMEN CLIENTES'!D:D,'RESUMEN CLIENTES'!G:G)</f>
        <v>45737</v>
      </c>
      <c r="S13" s="88" t="str">
        <f>+_xlfn.XLOOKUP(Tabla4[[#This Row],[ID CLIENTE]],'RESUMEN CLIENTES'!D:D,'RESUMEN CLIENTES'!AA:AA)</f>
        <v>null</v>
      </c>
      <c r="T13" s="680" t="str">
        <f>+_xlfn.XLOOKUP(Tabla4[[#This Row],[ID CLIENTE]],'RESUMEN CLIENTES'!D:D,'RESUMEN CLIENTES'!C:C)</f>
        <v>México</v>
      </c>
    </row>
    <row r="14" spans="1:20" ht="16">
      <c r="A14" s="82">
        <v>45740</v>
      </c>
      <c r="B14" s="82" t="str">
        <f>+_xlfn.XLOOKUP(Tabla4[[#This Row],[ID CLIENTE]],'RESUMEN CLIENTES'!D:D,'RESUMEN CLIENTES'!A:A)</f>
        <v>Andrea Corpeño López</v>
      </c>
      <c r="C14" s="83" t="s">
        <v>2117</v>
      </c>
      <c r="D14" s="83" t="s">
        <v>84</v>
      </c>
      <c r="E14" s="83" t="s">
        <v>93</v>
      </c>
      <c r="F14" s="83" t="s">
        <v>94</v>
      </c>
      <c r="G14" s="84">
        <v>400</v>
      </c>
      <c r="H14" s="85">
        <v>-13.25</v>
      </c>
      <c r="I14" s="86">
        <f t="shared" si="0"/>
        <v>3.3125000000000002E-2</v>
      </c>
      <c r="J14" s="87">
        <f t="shared" si="1"/>
        <v>386.75</v>
      </c>
      <c r="K14" s="87"/>
      <c r="L14" s="87" t="s">
        <v>4672</v>
      </c>
      <c r="M14" s="87"/>
      <c r="N14" s="521"/>
      <c r="O14" s="521">
        <f>+Tabla4[[#This Row],[PAGO NO EURO]]+Tabla4[[#This Row],[CARGO NO EURO]]</f>
        <v>0</v>
      </c>
      <c r="P14" s="521"/>
      <c r="Q14" s="88"/>
      <c r="R14" s="689">
        <f>+_xlfn.XLOOKUP(Tabla4[[#This Row],[ID CLIENTE]],'RESUMEN CLIENTES'!D:D,'RESUMEN CLIENTES'!G:G)</f>
        <v>45658</v>
      </c>
      <c r="S14" s="88" t="str">
        <f>+_xlfn.XLOOKUP(Tabla4[[#This Row],[ID CLIENTE]],'RESUMEN CLIENTES'!D:D,'RESUMEN CLIENTES'!AA:AA)</f>
        <v>-</v>
      </c>
      <c r="T14" s="680" t="str">
        <f>+_xlfn.XLOOKUP(Tabla4[[#This Row],[ID CLIENTE]],'RESUMEN CLIENTES'!D:D,'RESUMEN CLIENTES'!C:C)</f>
        <v>El Salvador</v>
      </c>
    </row>
    <row r="15" spans="1:20" ht="16">
      <c r="A15" s="82">
        <v>45740</v>
      </c>
      <c r="B15" s="82" t="str">
        <f>+_xlfn.XLOOKUP(Tabla4[[#This Row],[ID CLIENTE]],'RESUMEN CLIENTES'!D:D,'RESUMEN CLIENTES'!A:A)</f>
        <v>Jose Marcelo Marroquín Guzmán</v>
      </c>
      <c r="C15" s="83" t="s">
        <v>2121</v>
      </c>
      <c r="D15" s="83" t="s">
        <v>87</v>
      </c>
      <c r="E15" s="83" t="s">
        <v>101</v>
      </c>
      <c r="F15" s="83" t="s">
        <v>102</v>
      </c>
      <c r="G15" s="84">
        <v>400</v>
      </c>
      <c r="H15" s="85">
        <v>-13.25</v>
      </c>
      <c r="I15" s="86">
        <f t="shared" si="0"/>
        <v>3.3125000000000002E-2</v>
      </c>
      <c r="J15" s="87">
        <f t="shared" si="1"/>
        <v>386.75</v>
      </c>
      <c r="K15" s="87"/>
      <c r="L15" s="87" t="s">
        <v>4672</v>
      </c>
      <c r="M15" s="87"/>
      <c r="N15" s="521"/>
      <c r="O15" s="521">
        <f>+Tabla4[[#This Row],[PAGO NO EURO]]+Tabla4[[#This Row],[CARGO NO EURO]]</f>
        <v>0</v>
      </c>
      <c r="P15" s="521"/>
      <c r="Q15" s="88"/>
      <c r="R15" s="689">
        <f>+_xlfn.XLOOKUP(Tabla4[[#This Row],[ID CLIENTE]],'RESUMEN CLIENTES'!D:D,'RESUMEN CLIENTES'!G:G)</f>
        <v>45658</v>
      </c>
      <c r="S15" s="88" t="str">
        <f>+_xlfn.XLOOKUP(Tabla4[[#This Row],[ID CLIENTE]],'RESUMEN CLIENTES'!D:D,'RESUMEN CLIENTES'!AA:AA)</f>
        <v>A2.1</v>
      </c>
      <c r="T15" s="680" t="str">
        <f>+_xlfn.XLOOKUP(Tabla4[[#This Row],[ID CLIENTE]],'RESUMEN CLIENTES'!D:D,'RESUMEN CLIENTES'!C:C)</f>
        <v>El Salvador</v>
      </c>
    </row>
    <row r="16" spans="1:20" ht="16">
      <c r="A16" s="82">
        <v>45740</v>
      </c>
      <c r="B16" s="82" t="str">
        <f>+_xlfn.XLOOKUP(Tabla4[[#This Row],[ID CLIENTE]],'RESUMEN CLIENTES'!D:D,'RESUMEN CLIENTES'!A:A)</f>
        <v>Moira Millaray Schneider Rivera</v>
      </c>
      <c r="C16" s="83" t="s">
        <v>2147</v>
      </c>
      <c r="D16" s="83" t="s">
        <v>129</v>
      </c>
      <c r="E16" s="83" t="s">
        <v>130</v>
      </c>
      <c r="F16" s="83" t="s">
        <v>131</v>
      </c>
      <c r="G16" s="84">
        <f>+Tabla4[[#This Row],[PAGO NO EURO]]*Tabla4[[#This Row],[CAMBIO]]</f>
        <v>1502.9990400000002</v>
      </c>
      <c r="H16" s="85">
        <f>+Tabla4[[#This Row],[CARGO NO EURO]]*Tabla4[[#This Row],[CAMBIO]]</f>
        <v>-57.114400000000003</v>
      </c>
      <c r="I16" s="86">
        <f t="shared" si="0"/>
        <v>3.8000290406040443E-2</v>
      </c>
      <c r="J16" s="87">
        <f t="shared" si="1"/>
        <v>1445.8846400000002</v>
      </c>
      <c r="K16" s="87" t="s">
        <v>2544</v>
      </c>
      <c r="L16" s="87" t="s">
        <v>4675</v>
      </c>
      <c r="M16" s="87" t="s">
        <v>2543</v>
      </c>
      <c r="N16" s="522">
        <v>1515120</v>
      </c>
      <c r="O16" s="523">
        <f>+Tabla4[[#This Row],[PAGO NO EURO]]+Tabla4[[#This Row],[CARGO NO EURO]]</f>
        <v>1457545</v>
      </c>
      <c r="P16" s="524">
        <v>-57575</v>
      </c>
      <c r="Q16" s="89">
        <v>9.9200000000000004E-4</v>
      </c>
      <c r="R16" s="689">
        <f>+_xlfn.XLOOKUP(Tabla4[[#This Row],[ID CLIENTE]],'RESUMEN CLIENTES'!D:D,'RESUMEN CLIENTES'!G:G)</f>
        <v>45740</v>
      </c>
      <c r="S16" s="89" t="str">
        <f>+_xlfn.XLOOKUP(Tabla4[[#This Row],[ID CLIENTE]],'RESUMEN CLIENTES'!D:D,'RESUMEN CLIENTES'!AA:AA)</f>
        <v>null</v>
      </c>
      <c r="T16" s="680" t="str">
        <f>+_xlfn.XLOOKUP(Tabla4[[#This Row],[ID CLIENTE]],'RESUMEN CLIENTES'!D:D,'RESUMEN CLIENTES'!C:C)</f>
        <v>Chile</v>
      </c>
    </row>
    <row r="17" spans="1:20" ht="16">
      <c r="A17" s="82">
        <v>45740</v>
      </c>
      <c r="B17" s="82" t="str">
        <f>+_xlfn.XLOOKUP(Tabla4[[#This Row],[ID CLIENTE]],'RESUMEN CLIENTES'!D:D,'RESUMEN CLIENTES'!A:A)</f>
        <v>Daniela Harbst Tassara</v>
      </c>
      <c r="C17" s="83" t="s">
        <v>2145</v>
      </c>
      <c r="D17" s="83" t="s">
        <v>122</v>
      </c>
      <c r="E17" s="83" t="s">
        <v>123</v>
      </c>
      <c r="F17" s="83" t="s">
        <v>124</v>
      </c>
      <c r="G17" s="84">
        <f>+Tabla4[[#This Row],[PAGO NO EURO]]*Tabla4[[#This Row],[CAMBIO]]</f>
        <v>3848.069184</v>
      </c>
      <c r="H17" s="85">
        <f>+Tabla4[[#This Row],[CARGO NO EURO]]*Tabla4[[#This Row],[CAMBIO]]</f>
        <v>0</v>
      </c>
      <c r="I17" s="86">
        <f t="shared" si="0"/>
        <v>0</v>
      </c>
      <c r="J17" s="87">
        <f t="shared" si="1"/>
        <v>3848.069184</v>
      </c>
      <c r="K17" s="87" t="s">
        <v>2545</v>
      </c>
      <c r="L17" s="87" t="s">
        <v>4675</v>
      </c>
      <c r="M17" s="87" t="s">
        <v>2543</v>
      </c>
      <c r="N17" s="524">
        <v>3879102</v>
      </c>
      <c r="O17" s="524">
        <f>+Tabla4[[#This Row],[PAGO NO EURO]]+Tabla4[[#This Row],[CARGO NO EURO]]</f>
        <v>3879102</v>
      </c>
      <c r="P17" s="524">
        <v>0</v>
      </c>
      <c r="Q17" s="89">
        <v>9.9200000000000004E-4</v>
      </c>
      <c r="R17" s="689">
        <f>+_xlfn.XLOOKUP(Tabla4[[#This Row],[ID CLIENTE]],'RESUMEN CLIENTES'!D:D,'RESUMEN CLIENTES'!G:G)</f>
        <v>45740</v>
      </c>
      <c r="S17" s="89" t="str">
        <f>+_xlfn.XLOOKUP(Tabla4[[#This Row],[ID CLIENTE]],'RESUMEN CLIENTES'!D:D,'RESUMEN CLIENTES'!AA:AA)</f>
        <v>A2.1</v>
      </c>
      <c r="T17" s="680" t="str">
        <f>+_xlfn.XLOOKUP(Tabla4[[#This Row],[ID CLIENTE]],'RESUMEN CLIENTES'!D:D,'RESUMEN CLIENTES'!C:C)</f>
        <v>Chile</v>
      </c>
    </row>
    <row r="18" spans="1:20" ht="16">
      <c r="A18" s="82">
        <v>45741</v>
      </c>
      <c r="B18" s="82" t="str">
        <f>+_xlfn.XLOOKUP(Tabla4[[#This Row],[ID CLIENTE]],'RESUMEN CLIENTES'!D:D,'RESUMEN CLIENTES'!A:A)</f>
        <v>Alina Maria Cervantes Real</v>
      </c>
      <c r="C18" s="83" t="s">
        <v>2149</v>
      </c>
      <c r="D18" s="83" t="s">
        <v>187</v>
      </c>
      <c r="E18" s="83" t="s">
        <v>2546</v>
      </c>
      <c r="F18" s="83" t="s">
        <v>2547</v>
      </c>
      <c r="G18" s="84">
        <v>1000</v>
      </c>
      <c r="H18" s="85">
        <v>-32.75</v>
      </c>
      <c r="I18" s="86">
        <f t="shared" si="0"/>
        <v>3.2750000000000001E-2</v>
      </c>
      <c r="J18" s="87">
        <f t="shared" si="1"/>
        <v>967.25</v>
      </c>
      <c r="K18" s="87"/>
      <c r="L18" s="87" t="s">
        <v>4672</v>
      </c>
      <c r="M18" s="87"/>
      <c r="N18" s="521"/>
      <c r="O18" s="521">
        <f>+Tabla4[[#This Row],[PAGO NO EURO]]+Tabla4[[#This Row],[CARGO NO EURO]]</f>
        <v>0</v>
      </c>
      <c r="P18" s="521"/>
      <c r="Q18" s="88"/>
      <c r="R18" s="689">
        <f>+_xlfn.XLOOKUP(Tabla4[[#This Row],[ID CLIENTE]],'RESUMEN CLIENTES'!D:D,'RESUMEN CLIENTES'!G:G)</f>
        <v>45741</v>
      </c>
      <c r="S18" s="88" t="str">
        <f>+_xlfn.XLOOKUP(Tabla4[[#This Row],[ID CLIENTE]],'RESUMEN CLIENTES'!D:D,'RESUMEN CLIENTES'!AA:AA)</f>
        <v>B1.1</v>
      </c>
      <c r="T18" s="680" t="str">
        <f>+_xlfn.XLOOKUP(Tabla4[[#This Row],[ID CLIENTE]],'RESUMEN CLIENTES'!D:D,'RESUMEN CLIENTES'!C:C)</f>
        <v>México</v>
      </c>
    </row>
    <row r="19" spans="1:20" ht="16">
      <c r="A19" s="82">
        <v>45742</v>
      </c>
      <c r="B19" s="82" t="str">
        <f>+_xlfn.XLOOKUP(Tabla4[[#This Row],[ID CLIENTE]],'RESUMEN CLIENTES'!D:D,'RESUMEN CLIENTES'!A:A)</f>
        <v>Katherine Salomé Herráez Maldonado</v>
      </c>
      <c r="C19" s="83" t="s">
        <v>2151</v>
      </c>
      <c r="D19" s="83" t="s">
        <v>132</v>
      </c>
      <c r="E19" s="83" t="s">
        <v>133</v>
      </c>
      <c r="F19" s="83" t="s">
        <v>134</v>
      </c>
      <c r="G19" s="84">
        <v>508.21710000000007</v>
      </c>
      <c r="H19" s="85">
        <v>-16.7958</v>
      </c>
      <c r="I19" s="86">
        <f t="shared" si="0"/>
        <v>3.3048474756162273E-2</v>
      </c>
      <c r="J19" s="87">
        <f t="shared" si="1"/>
        <v>491.42130000000009</v>
      </c>
      <c r="K19" s="87"/>
      <c r="L19" s="87" t="s">
        <v>4672</v>
      </c>
      <c r="M19" s="87" t="s">
        <v>2548</v>
      </c>
      <c r="N19" s="521">
        <v>546.47</v>
      </c>
      <c r="O19" s="521">
        <f>+Tabla4[[#This Row],[PAGO NO EURO]]+Tabla4[[#This Row],[CARGO NO EURO]]</f>
        <v>528.41000000000008</v>
      </c>
      <c r="P19" s="521">
        <v>-18.059999999999999</v>
      </c>
      <c r="Q19" s="89">
        <v>0.92400000000000004</v>
      </c>
      <c r="R19" s="689">
        <f>+_xlfn.XLOOKUP(Tabla4[[#This Row],[ID CLIENTE]],'RESUMEN CLIENTES'!D:D,'RESUMEN CLIENTES'!G:G)</f>
        <v>45742</v>
      </c>
      <c r="S19" s="89" t="str">
        <f>+_xlfn.XLOOKUP(Tabla4[[#This Row],[ID CLIENTE]],'RESUMEN CLIENTES'!D:D,'RESUMEN CLIENTES'!AA:AA)</f>
        <v>A1.1</v>
      </c>
      <c r="T19" s="680" t="str">
        <f>+_xlfn.XLOOKUP(Tabla4[[#This Row],[ID CLIENTE]],'RESUMEN CLIENTES'!D:D,'RESUMEN CLIENTES'!C:C)</f>
        <v>Ecuador</v>
      </c>
    </row>
    <row r="20" spans="1:20" ht="16">
      <c r="A20" s="82">
        <v>45743</v>
      </c>
      <c r="B20" s="82" t="str">
        <f>+_xlfn.XLOOKUP(Tabla4[[#This Row],[ID CLIENTE]],'RESUMEN CLIENTES'!D:D,'RESUMEN CLIENTES'!A:A)</f>
        <v>Juan Pablo Martínez Cabello</v>
      </c>
      <c r="C20" s="83" t="s">
        <v>2154</v>
      </c>
      <c r="D20" s="83" t="s">
        <v>136</v>
      </c>
      <c r="E20" s="83" t="s">
        <v>137</v>
      </c>
      <c r="F20" s="83" t="s">
        <v>138</v>
      </c>
      <c r="G20" s="84">
        <f>+Tabla4[[#This Row],[PAGO NO EURO]]*Tabla4[[#This Row],[CAMBIO]]</f>
        <v>3999.7440000000001</v>
      </c>
      <c r="H20" s="85">
        <f>+Tabla4[[#This Row],[CARGO NO EURO]]*Tabla4[[#This Row],[CAMBIO]]</f>
        <v>-151.990272</v>
      </c>
      <c r="I20" s="86">
        <f t="shared" si="0"/>
        <v>3.7999999999999999E-2</v>
      </c>
      <c r="J20" s="87">
        <f t="shared" si="1"/>
        <v>3847.7537280000001</v>
      </c>
      <c r="K20" s="87" t="s">
        <v>2544</v>
      </c>
      <c r="L20" s="87" t="s">
        <v>4675</v>
      </c>
      <c r="M20" s="87" t="s">
        <v>2543</v>
      </c>
      <c r="N20" s="522">
        <v>4032000</v>
      </c>
      <c r="O20" s="523">
        <f>+Tabla4[[#This Row],[PAGO NO EURO]]+Tabla4[[#This Row],[CARGO NO EURO]]</f>
        <v>3878784</v>
      </c>
      <c r="P20" s="524">
        <v>-153216</v>
      </c>
      <c r="Q20" s="89">
        <v>9.9200000000000004E-4</v>
      </c>
      <c r="R20" s="689">
        <f>+_xlfn.XLOOKUP(Tabla4[[#This Row],[ID CLIENTE]],'RESUMEN CLIENTES'!D:D,'RESUMEN CLIENTES'!G:G)</f>
        <v>45743</v>
      </c>
      <c r="S20" s="89" t="str">
        <f>+_xlfn.XLOOKUP(Tabla4[[#This Row],[ID CLIENTE]],'RESUMEN CLIENTES'!D:D,'RESUMEN CLIENTES'!AA:AA)</f>
        <v>B1.1</v>
      </c>
      <c r="T20" s="680" t="str">
        <f>+_xlfn.XLOOKUP(Tabla4[[#This Row],[ID CLIENTE]],'RESUMEN CLIENTES'!D:D,'RESUMEN CLIENTES'!C:C)</f>
        <v>Chile</v>
      </c>
    </row>
    <row r="21" spans="1:20" ht="16">
      <c r="A21" s="82">
        <v>45747</v>
      </c>
      <c r="B21" s="82" t="str">
        <f>+_xlfn.XLOOKUP(Tabla4[[#This Row],[ID CLIENTE]],'RESUMEN CLIENTES'!D:D,'RESUMEN CLIENTES'!A:A)</f>
        <v>Hugo Nicolás Trávez Morales</v>
      </c>
      <c r="C21" s="83" t="s">
        <v>2156</v>
      </c>
      <c r="D21" s="83" t="s">
        <v>139</v>
      </c>
      <c r="E21" s="83" t="s">
        <v>140</v>
      </c>
      <c r="F21" s="83" t="s">
        <v>141</v>
      </c>
      <c r="G21" s="84">
        <v>250</v>
      </c>
      <c r="H21" s="85">
        <v>-8.3800000000000008</v>
      </c>
      <c r="I21" s="86">
        <f t="shared" si="0"/>
        <v>3.3520000000000001E-2</v>
      </c>
      <c r="J21" s="87">
        <f t="shared" si="1"/>
        <v>241.62</v>
      </c>
      <c r="K21" s="87"/>
      <c r="L21" s="87" t="s">
        <v>4672</v>
      </c>
      <c r="M21" s="87"/>
      <c r="N21" s="521"/>
      <c r="O21" s="521">
        <f>+Tabla4[[#This Row],[PAGO NO EURO]]+Tabla4[[#This Row],[CARGO NO EURO]]</f>
        <v>0</v>
      </c>
      <c r="P21" s="521"/>
      <c r="Q21" s="88"/>
      <c r="R21" s="689">
        <f>+_xlfn.XLOOKUP(Tabla4[[#This Row],[ID CLIENTE]],'RESUMEN CLIENTES'!D:D,'RESUMEN CLIENTES'!G:G)</f>
        <v>45747</v>
      </c>
      <c r="S21" s="88" t="str">
        <f>+_xlfn.XLOOKUP(Tabla4[[#This Row],[ID CLIENTE]],'RESUMEN CLIENTES'!D:D,'RESUMEN CLIENTES'!AA:AA)</f>
        <v>null</v>
      </c>
      <c r="T21" s="680" t="str">
        <f>+_xlfn.XLOOKUP(Tabla4[[#This Row],[ID CLIENTE]],'RESUMEN CLIENTES'!D:D,'RESUMEN CLIENTES'!C:C)</f>
        <v>Ecuador</v>
      </c>
    </row>
    <row r="22" spans="1:20" ht="16">
      <c r="A22" s="82">
        <v>45748</v>
      </c>
      <c r="B22" s="82" t="str">
        <f>+_xlfn.XLOOKUP(Tabla4[[#This Row],[ID CLIENTE]],'RESUMEN CLIENTES'!D:D,'RESUMEN CLIENTES'!A:A)</f>
        <v>David Mogrovejo</v>
      </c>
      <c r="C22" s="83" t="s">
        <v>2160</v>
      </c>
      <c r="D22" s="83" t="s">
        <v>2161</v>
      </c>
      <c r="E22" s="83" t="s">
        <v>2549</v>
      </c>
      <c r="F22" s="83" t="s">
        <v>2550</v>
      </c>
      <c r="G22" s="84">
        <v>250</v>
      </c>
      <c r="H22" s="85">
        <v>-8.3800000000000008</v>
      </c>
      <c r="I22" s="86">
        <f t="shared" si="0"/>
        <v>3.3520000000000001E-2</v>
      </c>
      <c r="J22" s="87">
        <f t="shared" si="1"/>
        <v>241.62</v>
      </c>
      <c r="K22" s="87"/>
      <c r="L22" s="87" t="s">
        <v>4672</v>
      </c>
      <c r="M22" s="87"/>
      <c r="N22" s="521"/>
      <c r="O22" s="521">
        <f>+Tabla4[[#This Row],[PAGO NO EURO]]+Tabla4[[#This Row],[CARGO NO EURO]]</f>
        <v>0</v>
      </c>
      <c r="P22" s="521"/>
      <c r="Q22" s="88"/>
      <c r="R22" s="689">
        <f>+_xlfn.XLOOKUP(Tabla4[[#This Row],[ID CLIENTE]],'RESUMEN CLIENTES'!D:D,'RESUMEN CLIENTES'!G:G)</f>
        <v>45748</v>
      </c>
      <c r="S22" s="88" t="str">
        <f>+_xlfn.XLOOKUP(Tabla4[[#This Row],[ID CLIENTE]],'RESUMEN CLIENTES'!D:D,'RESUMEN CLIENTES'!AA:AA)</f>
        <v>null</v>
      </c>
      <c r="T22" s="680" t="str">
        <f>+_xlfn.XLOOKUP(Tabla4[[#This Row],[ID CLIENTE]],'RESUMEN CLIENTES'!D:D,'RESUMEN CLIENTES'!C:C)</f>
        <v>Ecuador</v>
      </c>
    </row>
    <row r="23" spans="1:20" ht="16">
      <c r="A23" s="82">
        <v>45748</v>
      </c>
      <c r="B23" s="82" t="str">
        <f>+_xlfn.XLOOKUP(Tabla4[[#This Row],[ID CLIENTE]],'RESUMEN CLIENTES'!D:D,'RESUMEN CLIENTES'!A:A)</f>
        <v>Jordan Eliecer Toledo Bravo</v>
      </c>
      <c r="C23" s="83" t="s">
        <v>2158</v>
      </c>
      <c r="D23" s="83" t="s">
        <v>142</v>
      </c>
      <c r="E23" s="83" t="s">
        <v>143</v>
      </c>
      <c r="F23" s="83" t="s">
        <v>144</v>
      </c>
      <c r="G23" s="84">
        <f>+Tabla4[[#This Row],[PAGO NO EURO]]*Tabla4[[#This Row],[CAMBIO]]</f>
        <v>2159.8735548129703</v>
      </c>
      <c r="H23" s="85">
        <f>+Tabla4[[#This Row],[CARGO NO EURO]]*Tabla4[[#This Row],[CAMBIO]]</f>
        <v>-82.075515361331469</v>
      </c>
      <c r="I23" s="86">
        <f t="shared" si="0"/>
        <v>3.8000148285735467E-2</v>
      </c>
      <c r="J23" s="87">
        <f t="shared" si="1"/>
        <v>2077.7980394516389</v>
      </c>
      <c r="K23" s="87" t="s">
        <v>145</v>
      </c>
      <c r="L23" s="87" t="s">
        <v>4675</v>
      </c>
      <c r="M23" s="87" t="s">
        <v>2543</v>
      </c>
      <c r="N23" s="522">
        <v>2333333</v>
      </c>
      <c r="O23" s="523">
        <f>+Tabla4[[#This Row],[PAGO NO EURO]]+Tabla4[[#This Row],[CARGO NO EURO]]</f>
        <v>2244666</v>
      </c>
      <c r="P23" s="524">
        <v>-88667</v>
      </c>
      <c r="Q23" s="88">
        <v>9.2566022715701978E-4</v>
      </c>
      <c r="R23" s="689">
        <f>+_xlfn.XLOOKUP(Tabla4[[#This Row],[ID CLIENTE]],'RESUMEN CLIENTES'!D:D,'RESUMEN CLIENTES'!G:G)</f>
        <v>45748</v>
      </c>
      <c r="S23" s="88" t="str">
        <f>+_xlfn.XLOOKUP(Tabla4[[#This Row],[ID CLIENTE]],'RESUMEN CLIENTES'!D:D,'RESUMEN CLIENTES'!AA:AA)</f>
        <v>A1.1</v>
      </c>
      <c r="T23" s="680" t="str">
        <f>+_xlfn.XLOOKUP(Tabla4[[#This Row],[ID CLIENTE]],'RESUMEN CLIENTES'!D:D,'RESUMEN CLIENTES'!C:C)</f>
        <v>Chile</v>
      </c>
    </row>
    <row r="24" spans="1:20" ht="16">
      <c r="A24" s="82">
        <v>45748</v>
      </c>
      <c r="B24" s="82" t="str">
        <f>+_xlfn.XLOOKUP(Tabla4[[#This Row],[ID CLIENTE]],'RESUMEN CLIENTES'!D:D,'RESUMEN CLIENTES'!A:A)</f>
        <v>Jordan Eliecer Toledo Bravo</v>
      </c>
      <c r="C24" s="83" t="s">
        <v>2158</v>
      </c>
      <c r="D24" s="83" t="s">
        <v>142</v>
      </c>
      <c r="E24" s="83" t="s">
        <v>146</v>
      </c>
      <c r="F24" s="83" t="s">
        <v>147</v>
      </c>
      <c r="G24" s="84">
        <f>+Tabla4[[#This Row],[PAGO NO EURO]]*Tabla4[[#This Row],[CAMBIO]]</f>
        <v>4319.7480352861676</v>
      </c>
      <c r="H24" s="85">
        <f>+Tabla4[[#This Row],[CARGO NO EURO]]*Tabla4[[#This Row],[CAMBIO]]</f>
        <v>-164.15010506243578</v>
      </c>
      <c r="I24" s="86">
        <f t="shared" si="0"/>
        <v>3.7999925857148155E-2</v>
      </c>
      <c r="J24" s="87">
        <f t="shared" si="1"/>
        <v>4155.597930223732</v>
      </c>
      <c r="K24" s="87" t="s">
        <v>145</v>
      </c>
      <c r="L24" s="87" t="s">
        <v>4675</v>
      </c>
      <c r="M24" s="87" t="s">
        <v>2543</v>
      </c>
      <c r="N24" s="522">
        <v>4666667</v>
      </c>
      <c r="O24" s="523">
        <f>+Tabla4[[#This Row],[PAGO NO EURO]]+Tabla4[[#This Row],[CARGO NO EURO]]</f>
        <v>4489334</v>
      </c>
      <c r="P24" s="524">
        <v>-177333</v>
      </c>
      <c r="Q24" s="88">
        <v>9.2566022715701978E-4</v>
      </c>
      <c r="R24" s="689">
        <f>+_xlfn.XLOOKUP(Tabla4[[#This Row],[ID CLIENTE]],'RESUMEN CLIENTES'!D:D,'RESUMEN CLIENTES'!G:G)</f>
        <v>45748</v>
      </c>
      <c r="S24" s="88" t="str">
        <f>+_xlfn.XLOOKUP(Tabla4[[#This Row],[ID CLIENTE]],'RESUMEN CLIENTES'!D:D,'RESUMEN CLIENTES'!AA:AA)</f>
        <v>A1.1</v>
      </c>
      <c r="T24" s="680" t="str">
        <f>+_xlfn.XLOOKUP(Tabla4[[#This Row],[ID CLIENTE]],'RESUMEN CLIENTES'!D:D,'RESUMEN CLIENTES'!C:C)</f>
        <v>Chile</v>
      </c>
    </row>
    <row r="25" spans="1:20" ht="16">
      <c r="A25" s="82">
        <v>45754</v>
      </c>
      <c r="B25" s="82" t="str">
        <f>+_xlfn.XLOOKUP(Tabla4[[#This Row],[ID CLIENTE]],'RESUMEN CLIENTES'!D:D,'RESUMEN CLIENTES'!A:A)</f>
        <v>Ian Job Lino Durán</v>
      </c>
      <c r="C25" s="83" t="s">
        <v>2135</v>
      </c>
      <c r="D25" s="83" t="s">
        <v>109</v>
      </c>
      <c r="E25" s="83" t="s">
        <v>154</v>
      </c>
      <c r="F25" s="83" t="s">
        <v>155</v>
      </c>
      <c r="G25" s="84">
        <v>2500</v>
      </c>
      <c r="H25" s="85">
        <v>-81.5</v>
      </c>
      <c r="I25" s="86">
        <f t="shared" si="0"/>
        <v>3.2599999999999997E-2</v>
      </c>
      <c r="J25" s="87">
        <f t="shared" si="1"/>
        <v>2418.5</v>
      </c>
      <c r="K25" s="87"/>
      <c r="L25" s="87" t="s">
        <v>4672</v>
      </c>
      <c r="M25" s="87"/>
      <c r="N25" s="521"/>
      <c r="O25" s="521">
        <f>+Tabla4[[#This Row],[PAGO NO EURO]]+Tabla4[[#This Row],[CARGO NO EURO]]</f>
        <v>0</v>
      </c>
      <c r="P25" s="521"/>
      <c r="Q25" s="88"/>
      <c r="R25" s="689">
        <f>+_xlfn.XLOOKUP(Tabla4[[#This Row],[ID CLIENTE]],'RESUMEN CLIENTES'!D:D,'RESUMEN CLIENTES'!G:G)</f>
        <v>45729</v>
      </c>
      <c r="S25" s="88" t="str">
        <f>+_xlfn.XLOOKUP(Tabla4[[#This Row],[ID CLIENTE]],'RESUMEN CLIENTES'!D:D,'RESUMEN CLIENTES'!AA:AA)</f>
        <v>B2.1</v>
      </c>
      <c r="T25" s="680" t="str">
        <f>+_xlfn.XLOOKUP(Tabla4[[#This Row],[ID CLIENTE]],'RESUMEN CLIENTES'!D:D,'RESUMEN CLIENTES'!C:C)</f>
        <v>México</v>
      </c>
    </row>
    <row r="26" spans="1:20" ht="16">
      <c r="A26" s="82">
        <v>45755</v>
      </c>
      <c r="B26" s="82" t="str">
        <f>+_xlfn.XLOOKUP(Tabla4[[#This Row],[ID CLIENTE]],'RESUMEN CLIENTES'!D:D,'RESUMEN CLIENTES'!A:A)</f>
        <v>Catalina Andrea Videla Muñoz</v>
      </c>
      <c r="C26" s="83" t="s">
        <v>2164</v>
      </c>
      <c r="D26" s="83" t="s">
        <v>156</v>
      </c>
      <c r="E26" s="83" t="s">
        <v>157</v>
      </c>
      <c r="F26" s="83" t="s">
        <v>158</v>
      </c>
      <c r="G26" s="84">
        <f>+Tabla4[[#This Row],[PAGO NO EURO]]*Tabla4[[#This Row],[CAMBIO]]</f>
        <v>2776.9806814710591</v>
      </c>
      <c r="H26" s="85">
        <f>+Tabla4[[#This Row],[CARGO NO EURO]]*Tabla4[[#This Row],[CAMBIO]]</f>
        <v>-105.52526589590026</v>
      </c>
      <c r="I26" s="86">
        <f t="shared" si="0"/>
        <v>3.8000000000000006E-2</v>
      </c>
      <c r="J26" s="87">
        <f t="shared" si="1"/>
        <v>2671.4554155751589</v>
      </c>
      <c r="K26" s="87" t="s">
        <v>2544</v>
      </c>
      <c r="L26" s="87" t="s">
        <v>4675</v>
      </c>
      <c r="M26" s="87" t="s">
        <v>2543</v>
      </c>
      <c r="N26" s="522">
        <v>3000000</v>
      </c>
      <c r="O26" s="523">
        <f>+Tabla4[[#This Row],[PAGO NO EURO]]+Tabla4[[#This Row],[CARGO NO EURO]]</f>
        <v>2886000</v>
      </c>
      <c r="P26" s="524">
        <v>-114000</v>
      </c>
      <c r="Q26" s="89">
        <v>9.2566022715701978E-4</v>
      </c>
      <c r="R26" s="689">
        <f>+_xlfn.XLOOKUP(Tabla4[[#This Row],[ID CLIENTE]],'RESUMEN CLIENTES'!D:D,'RESUMEN CLIENTES'!G:G)</f>
        <v>45755</v>
      </c>
      <c r="S26" s="89" t="str">
        <f>+_xlfn.XLOOKUP(Tabla4[[#This Row],[ID CLIENTE]],'RESUMEN CLIENTES'!D:D,'RESUMEN CLIENTES'!AA:AA)</f>
        <v>B1.3</v>
      </c>
      <c r="T26" s="680" t="str">
        <f>+_xlfn.XLOOKUP(Tabla4[[#This Row],[ID CLIENTE]],'RESUMEN CLIENTES'!D:D,'RESUMEN CLIENTES'!C:C)</f>
        <v>Chile</v>
      </c>
    </row>
    <row r="27" spans="1:20" ht="16">
      <c r="A27" s="82">
        <v>45757</v>
      </c>
      <c r="B27" s="82" t="str">
        <f>+_xlfn.XLOOKUP(Tabla4[[#This Row],[ID CLIENTE]],'RESUMEN CLIENTES'!D:D,'RESUMEN CLIENTES'!A:A)</f>
        <v>Dinorah Gómez Castellanos</v>
      </c>
      <c r="C27" s="83" t="s">
        <v>2168</v>
      </c>
      <c r="D27" s="83" t="s">
        <v>194</v>
      </c>
      <c r="E27" s="83" t="s">
        <v>195</v>
      </c>
      <c r="F27" s="83" t="s">
        <v>196</v>
      </c>
      <c r="G27" s="84">
        <v>2500</v>
      </c>
      <c r="H27" s="85">
        <v>-8.3800000000000008</v>
      </c>
      <c r="I27" s="86">
        <f t="shared" si="0"/>
        <v>3.3520000000000004E-3</v>
      </c>
      <c r="J27" s="87">
        <f t="shared" si="1"/>
        <v>2491.62</v>
      </c>
      <c r="K27" s="87"/>
      <c r="L27" s="87" t="s">
        <v>4672</v>
      </c>
      <c r="M27" s="87"/>
      <c r="N27" s="521"/>
      <c r="O27" s="521">
        <f>+Tabla4[[#This Row],[PAGO NO EURO]]+Tabla4[[#This Row],[CARGO NO EURO]]</f>
        <v>0</v>
      </c>
      <c r="P27" s="521"/>
      <c r="Q27" s="88"/>
      <c r="R27" s="689">
        <f>+_xlfn.XLOOKUP(Tabla4[[#This Row],[ID CLIENTE]],'RESUMEN CLIENTES'!D:D,'RESUMEN CLIENTES'!G:G)</f>
        <v>45757</v>
      </c>
      <c r="S27" s="88" t="str">
        <f>+_xlfn.XLOOKUP(Tabla4[[#This Row],[ID CLIENTE]],'RESUMEN CLIENTES'!D:D,'RESUMEN CLIENTES'!AA:AA)</f>
        <v>B2.1</v>
      </c>
      <c r="T27" s="680" t="str">
        <f>+_xlfn.XLOOKUP(Tabla4[[#This Row],[ID CLIENTE]],'RESUMEN CLIENTES'!D:D,'RESUMEN CLIENTES'!C:C)</f>
        <v>México</v>
      </c>
    </row>
    <row r="28" spans="1:20" ht="16">
      <c r="A28" s="82">
        <v>45757</v>
      </c>
      <c r="B28" s="82" t="str">
        <f>+_xlfn.XLOOKUP(Tabla4[[#This Row],[ID CLIENTE]],'RESUMEN CLIENTES'!D:D,'RESUMEN CLIENTES'!A:A)</f>
        <v>Marco Tulio Negrete Aceves</v>
      </c>
      <c r="C28" s="83" t="s">
        <v>2166</v>
      </c>
      <c r="D28" s="83" t="s">
        <v>188</v>
      </c>
      <c r="E28" s="83" t="s">
        <v>189</v>
      </c>
      <c r="F28" s="83" t="s">
        <v>190</v>
      </c>
      <c r="G28" s="84">
        <v>2500</v>
      </c>
      <c r="H28" s="85">
        <v>-8.3800000000000008</v>
      </c>
      <c r="I28" s="86">
        <f t="shared" si="0"/>
        <v>3.3520000000000004E-3</v>
      </c>
      <c r="J28" s="87">
        <f t="shared" si="1"/>
        <v>2491.62</v>
      </c>
      <c r="K28" s="87"/>
      <c r="L28" s="87" t="s">
        <v>4672</v>
      </c>
      <c r="M28" s="87"/>
      <c r="N28" s="521"/>
      <c r="O28" s="521">
        <f>+Tabla4[[#This Row],[PAGO NO EURO]]+Tabla4[[#This Row],[CARGO NO EURO]]</f>
        <v>0</v>
      </c>
      <c r="P28" s="521"/>
      <c r="Q28" s="88"/>
      <c r="R28" s="689">
        <f>+_xlfn.XLOOKUP(Tabla4[[#This Row],[ID CLIENTE]],'RESUMEN CLIENTES'!D:D,'RESUMEN CLIENTES'!G:G)</f>
        <v>45757</v>
      </c>
      <c r="S28" s="88" t="str">
        <f>+_xlfn.XLOOKUP(Tabla4[[#This Row],[ID CLIENTE]],'RESUMEN CLIENTES'!D:D,'RESUMEN CLIENTES'!AA:AA)</f>
        <v>B2.1</v>
      </c>
      <c r="T28" s="680" t="str">
        <f>+_xlfn.XLOOKUP(Tabla4[[#This Row],[ID CLIENTE]],'RESUMEN CLIENTES'!D:D,'RESUMEN CLIENTES'!C:C)</f>
        <v>México</v>
      </c>
    </row>
    <row r="29" spans="1:20" ht="16">
      <c r="A29" s="82">
        <v>45757</v>
      </c>
      <c r="B29" s="82" t="str">
        <f>+_xlfn.XLOOKUP(Tabla4[[#This Row],[ID CLIENTE]],'RESUMEN CLIENTES'!D:D,'RESUMEN CLIENTES'!A:A)</f>
        <v>Rodrigo Rivera Ruiz</v>
      </c>
      <c r="C29" s="83" t="s">
        <v>2170</v>
      </c>
      <c r="D29" s="83" t="s">
        <v>159</v>
      </c>
      <c r="E29" s="83" t="s">
        <v>160</v>
      </c>
      <c r="F29" s="83" t="s">
        <v>161</v>
      </c>
      <c r="G29" s="84">
        <v>4000</v>
      </c>
      <c r="H29" s="85">
        <v>-130.25</v>
      </c>
      <c r="I29" s="86">
        <f t="shared" si="0"/>
        <v>3.2562500000000001E-2</v>
      </c>
      <c r="J29" s="87">
        <f t="shared" si="1"/>
        <v>3869.75</v>
      </c>
      <c r="K29" s="87"/>
      <c r="L29" s="87" t="s">
        <v>4672</v>
      </c>
      <c r="M29" s="87"/>
      <c r="N29" s="521"/>
      <c r="O29" s="521">
        <f>+Tabla4[[#This Row],[PAGO NO EURO]]+Tabla4[[#This Row],[CARGO NO EURO]]</f>
        <v>0</v>
      </c>
      <c r="P29" s="521"/>
      <c r="Q29" s="88"/>
      <c r="R29" s="689">
        <f>+_xlfn.XLOOKUP(Tabla4[[#This Row],[ID CLIENTE]],'RESUMEN CLIENTES'!D:D,'RESUMEN CLIENTES'!G:G)</f>
        <v>45757</v>
      </c>
      <c r="S29" s="88" t="str">
        <f>+_xlfn.XLOOKUP(Tabla4[[#This Row],[ID CLIENTE]],'RESUMEN CLIENTES'!D:D,'RESUMEN CLIENTES'!AA:AA)</f>
        <v>A1.1</v>
      </c>
      <c r="T29" s="680" t="str">
        <f>+_xlfn.XLOOKUP(Tabla4[[#This Row],[ID CLIENTE]],'RESUMEN CLIENTES'!D:D,'RESUMEN CLIENTES'!C:C)</f>
        <v>Chile</v>
      </c>
    </row>
    <row r="30" spans="1:20" ht="16">
      <c r="A30" s="82">
        <v>45758</v>
      </c>
      <c r="B30" s="82" t="str">
        <f>+_xlfn.XLOOKUP(Tabla4[[#This Row],[ID CLIENTE]],'RESUMEN CLIENTES'!D:D,'RESUMEN CLIENTES'!A:A)</f>
        <v>Bastian Sofjer Peralta</v>
      </c>
      <c r="C30" s="83" t="s">
        <v>2172</v>
      </c>
      <c r="D30" s="83" t="s">
        <v>162</v>
      </c>
      <c r="E30" s="83" t="s">
        <v>163</v>
      </c>
      <c r="F30" s="83" t="s">
        <v>164</v>
      </c>
      <c r="G30" s="84">
        <f>+Tabla4[[#This Row],[PAGO NO EURO]]*Tabla4[[#This Row],[CAMBIO]]</f>
        <v>4050.6891540391184</v>
      </c>
      <c r="H30" s="85">
        <f>+Tabla4[[#This Row],[CARGO NO EURO]]*Tabla4[[#This Row],[CAMBIO]]</f>
        <v>0</v>
      </c>
      <c r="I30" s="86">
        <f t="shared" si="0"/>
        <v>0</v>
      </c>
      <c r="J30" s="87">
        <f t="shared" si="1"/>
        <v>4050.6891540391184</v>
      </c>
      <c r="K30" s="87" t="s">
        <v>145</v>
      </c>
      <c r="L30" s="87" t="s">
        <v>4675</v>
      </c>
      <c r="M30" s="87" t="s">
        <v>2543</v>
      </c>
      <c r="N30" s="522">
        <v>4376000</v>
      </c>
      <c r="O30" s="523">
        <f>+Tabla4[[#This Row],[PAGO NO EURO]]+Tabla4[[#This Row],[CARGO NO EURO]]</f>
        <v>4376000</v>
      </c>
      <c r="P30" s="524">
        <v>0</v>
      </c>
      <c r="Q30" s="89">
        <v>9.2566022715701978E-4</v>
      </c>
      <c r="R30" s="689">
        <f>+_xlfn.XLOOKUP(Tabla4[[#This Row],[ID CLIENTE]],'RESUMEN CLIENTES'!D:D,'RESUMEN CLIENTES'!G:G)</f>
        <v>45758</v>
      </c>
      <c r="S30" s="89" t="str">
        <f>+_xlfn.XLOOKUP(Tabla4[[#This Row],[ID CLIENTE]],'RESUMEN CLIENTES'!D:D,'RESUMEN CLIENTES'!AA:AA)</f>
        <v>A1.1</v>
      </c>
      <c r="T30" s="680" t="str">
        <f>+_xlfn.XLOOKUP(Tabla4[[#This Row],[ID CLIENTE]],'RESUMEN CLIENTES'!D:D,'RESUMEN CLIENTES'!C:C)</f>
        <v>Chile</v>
      </c>
    </row>
    <row r="31" spans="1:20" ht="16">
      <c r="A31" s="82">
        <v>45762</v>
      </c>
      <c r="B31" s="82" t="str">
        <f>+_xlfn.XLOOKUP(Tabla4[[#This Row],[ID CLIENTE]],'RESUMEN CLIENTES'!D:D,'RESUMEN CLIENTES'!A:A)</f>
        <v>Alejandra Leva Vallejo</v>
      </c>
      <c r="C31" s="83" t="s">
        <v>2178</v>
      </c>
      <c r="D31" s="83" t="s">
        <v>165</v>
      </c>
      <c r="E31" s="83" t="s">
        <v>166</v>
      </c>
      <c r="F31" s="83" t="s">
        <v>167</v>
      </c>
      <c r="G31" s="84">
        <v>4000</v>
      </c>
      <c r="H31" s="85">
        <v>-130.25</v>
      </c>
      <c r="I31" s="86">
        <f t="shared" si="0"/>
        <v>3.2562500000000001E-2</v>
      </c>
      <c r="J31" s="87">
        <f t="shared" si="1"/>
        <v>3869.75</v>
      </c>
      <c r="K31" s="87"/>
      <c r="L31" s="87" t="s">
        <v>4672</v>
      </c>
      <c r="M31" s="87"/>
      <c r="N31" s="521"/>
      <c r="O31" s="521">
        <f>+Tabla4[[#This Row],[PAGO NO EURO]]+Tabla4[[#This Row],[CARGO NO EURO]]</f>
        <v>0</v>
      </c>
      <c r="P31" s="521"/>
      <c r="Q31" s="88"/>
      <c r="R31" s="689">
        <f>+_xlfn.XLOOKUP(Tabla4[[#This Row],[ID CLIENTE]],'RESUMEN CLIENTES'!D:D,'RESUMEN CLIENTES'!G:G)</f>
        <v>45762</v>
      </c>
      <c r="S31" s="88" t="str">
        <f>+_xlfn.XLOOKUP(Tabla4[[#This Row],[ID CLIENTE]],'RESUMEN CLIENTES'!D:D,'RESUMEN CLIENTES'!AA:AA)</f>
        <v>A1.1</v>
      </c>
      <c r="T31" s="680" t="str">
        <f>+_xlfn.XLOOKUP(Tabla4[[#This Row],[ID CLIENTE]],'RESUMEN CLIENTES'!D:D,'RESUMEN CLIENTES'!C:C)</f>
        <v>México</v>
      </c>
    </row>
    <row r="32" spans="1:20" ht="16">
      <c r="A32" s="82">
        <v>45762</v>
      </c>
      <c r="B32" s="82" t="str">
        <f>+_xlfn.XLOOKUP(Tabla4[[#This Row],[ID CLIENTE]],'RESUMEN CLIENTES'!D:D,'RESUMEN CLIENTES'!A:A)</f>
        <v xml:space="preserve">Catalina Ochoa Urrutia
</v>
      </c>
      <c r="C32" s="83" t="s">
        <v>2180</v>
      </c>
      <c r="D32" s="83" t="s">
        <v>168</v>
      </c>
      <c r="E32" s="83" t="s">
        <v>169</v>
      </c>
      <c r="F32" s="83" t="s">
        <v>170</v>
      </c>
      <c r="G32" s="84">
        <v>1500</v>
      </c>
      <c r="H32" s="85">
        <v>-49</v>
      </c>
      <c r="I32" s="86">
        <f t="shared" si="0"/>
        <v>3.2666666666666663E-2</v>
      </c>
      <c r="J32" s="87">
        <f t="shared" si="1"/>
        <v>1451</v>
      </c>
      <c r="K32" s="87"/>
      <c r="L32" s="87" t="s">
        <v>4672</v>
      </c>
      <c r="M32" s="87"/>
      <c r="N32" s="521"/>
      <c r="O32" s="521">
        <f>+Tabla4[[#This Row],[PAGO NO EURO]]+Tabla4[[#This Row],[CARGO NO EURO]]</f>
        <v>0</v>
      </c>
      <c r="P32" s="521"/>
      <c r="Q32" s="88"/>
      <c r="R32" s="689">
        <f>+_xlfn.XLOOKUP(Tabla4[[#This Row],[ID CLIENTE]],'RESUMEN CLIENTES'!D:D,'RESUMEN CLIENTES'!G:G)</f>
        <v>45762</v>
      </c>
      <c r="S32" s="88" t="str">
        <f>+_xlfn.XLOOKUP(Tabla4[[#This Row],[ID CLIENTE]],'RESUMEN CLIENTES'!D:D,'RESUMEN CLIENTES'!AA:AA)</f>
        <v>B2.1</v>
      </c>
      <c r="T32" s="680" t="str">
        <f>+_xlfn.XLOOKUP(Tabla4[[#This Row],[ID CLIENTE]],'RESUMEN CLIENTES'!D:D,'RESUMEN CLIENTES'!C:C)</f>
        <v>Chile</v>
      </c>
    </row>
    <row r="33" spans="1:20" ht="16">
      <c r="A33" s="82">
        <v>45762</v>
      </c>
      <c r="B33" s="82" t="str">
        <f>+_xlfn.XLOOKUP(Tabla4[[#This Row],[ID CLIENTE]],'RESUMEN CLIENTES'!D:D,'RESUMEN CLIENTES'!A:A)</f>
        <v>Guillermo Alfonso Garvalena Gaxiola</v>
      </c>
      <c r="C33" s="83" t="s">
        <v>2176</v>
      </c>
      <c r="D33" s="83" t="s">
        <v>171</v>
      </c>
      <c r="E33" s="83" t="s">
        <v>172</v>
      </c>
      <c r="F33" s="83" t="s">
        <v>173</v>
      </c>
      <c r="G33" s="84">
        <v>1000</v>
      </c>
      <c r="H33" s="85">
        <v>-32.75</v>
      </c>
      <c r="I33" s="86">
        <f t="shared" si="0"/>
        <v>3.2750000000000001E-2</v>
      </c>
      <c r="J33" s="87">
        <f t="shared" si="1"/>
        <v>967.25</v>
      </c>
      <c r="K33" s="87"/>
      <c r="L33" s="87" t="s">
        <v>4672</v>
      </c>
      <c r="M33" s="87"/>
      <c r="N33" s="521"/>
      <c r="O33" s="521">
        <f>+Tabla4[[#This Row],[PAGO NO EURO]]+Tabla4[[#This Row],[CARGO NO EURO]]</f>
        <v>0</v>
      </c>
      <c r="P33" s="521"/>
      <c r="Q33" s="88"/>
      <c r="R33" s="689">
        <f>+_xlfn.XLOOKUP(Tabla4[[#This Row],[ID CLIENTE]],'RESUMEN CLIENTES'!D:D,'RESUMEN CLIENTES'!G:G)</f>
        <v>45762</v>
      </c>
      <c r="S33" s="88" t="str">
        <f>+_xlfn.XLOOKUP(Tabla4[[#This Row],[ID CLIENTE]],'RESUMEN CLIENTES'!D:D,'RESUMEN CLIENTES'!AA:AA)</f>
        <v>A2.1</v>
      </c>
      <c r="T33" s="680" t="str">
        <f>+_xlfn.XLOOKUP(Tabla4[[#This Row],[ID CLIENTE]],'RESUMEN CLIENTES'!D:D,'RESUMEN CLIENTES'!C:C)</f>
        <v>México</v>
      </c>
    </row>
    <row r="34" spans="1:20" ht="16">
      <c r="A34" s="82">
        <v>45762</v>
      </c>
      <c r="B34" s="82" t="str">
        <f>+_xlfn.XLOOKUP(Tabla4[[#This Row],[ID CLIENTE]],'RESUMEN CLIENTES'!D:D,'RESUMEN CLIENTES'!A:A)</f>
        <v>Isaac Ricardo Jimenez Campos</v>
      </c>
      <c r="C34" s="83" t="s">
        <v>2131</v>
      </c>
      <c r="D34" s="83" t="s">
        <v>103</v>
      </c>
      <c r="E34" s="83" t="s">
        <v>174</v>
      </c>
      <c r="F34" s="83" t="s">
        <v>175</v>
      </c>
      <c r="G34" s="84">
        <v>654</v>
      </c>
      <c r="H34" s="85">
        <v>-21.51</v>
      </c>
      <c r="I34" s="86">
        <f t="shared" si="0"/>
        <v>3.2889908256880734E-2</v>
      </c>
      <c r="J34" s="87">
        <f t="shared" si="1"/>
        <v>632.49</v>
      </c>
      <c r="K34" s="87"/>
      <c r="L34" s="87" t="s">
        <v>4672</v>
      </c>
      <c r="M34" s="87"/>
      <c r="N34" s="521"/>
      <c r="O34" s="521">
        <f>+Tabla4[[#This Row],[PAGO NO EURO]]+Tabla4[[#This Row],[CARGO NO EURO]]</f>
        <v>0</v>
      </c>
      <c r="P34" s="521"/>
      <c r="Q34" s="88"/>
      <c r="R34" s="689">
        <f>+_xlfn.XLOOKUP(Tabla4[[#This Row],[ID CLIENTE]],'RESUMEN CLIENTES'!D:D,'RESUMEN CLIENTES'!G:G)</f>
        <v>45725</v>
      </c>
      <c r="S34" s="88" t="str">
        <f>+_xlfn.XLOOKUP(Tabla4[[#This Row],[ID CLIENTE]],'RESUMEN CLIENTES'!D:D,'RESUMEN CLIENTES'!AA:AA)</f>
        <v>null</v>
      </c>
      <c r="T34" s="680" t="str">
        <f>+_xlfn.XLOOKUP(Tabla4[[#This Row],[ID CLIENTE]],'RESUMEN CLIENTES'!D:D,'RESUMEN CLIENTES'!C:C)</f>
        <v>México</v>
      </c>
    </row>
    <row r="35" spans="1:20" ht="16">
      <c r="A35" s="82">
        <v>45769</v>
      </c>
      <c r="B35" s="82" t="str">
        <f>+_xlfn.XLOOKUP(Tabla4[[#This Row],[ID CLIENTE]],'RESUMEN CLIENTES'!D:D,'RESUMEN CLIENTES'!A:A)</f>
        <v xml:space="preserve">Catalina Ochoa Urrutia
</v>
      </c>
      <c r="C35" s="83" t="s">
        <v>2180</v>
      </c>
      <c r="D35" s="83" t="s">
        <v>168</v>
      </c>
      <c r="E35" s="83" t="s">
        <v>176</v>
      </c>
      <c r="F35" s="83" t="s">
        <v>177</v>
      </c>
      <c r="G35" s="84">
        <v>2500</v>
      </c>
      <c r="H35" s="85">
        <v>-81.5</v>
      </c>
      <c r="I35" s="86">
        <f t="shared" si="0"/>
        <v>3.2599999999999997E-2</v>
      </c>
      <c r="J35" s="87">
        <f t="shared" si="1"/>
        <v>2418.5</v>
      </c>
      <c r="K35" s="87"/>
      <c r="L35" s="87" t="s">
        <v>4672</v>
      </c>
      <c r="M35" s="87"/>
      <c r="N35" s="521"/>
      <c r="O35" s="521">
        <f>+Tabla4[[#This Row],[PAGO NO EURO]]+Tabla4[[#This Row],[CARGO NO EURO]]</f>
        <v>0</v>
      </c>
      <c r="P35" s="521"/>
      <c r="Q35" s="88"/>
      <c r="R35" s="689">
        <f>+_xlfn.XLOOKUP(Tabla4[[#This Row],[ID CLIENTE]],'RESUMEN CLIENTES'!D:D,'RESUMEN CLIENTES'!G:G)</f>
        <v>45762</v>
      </c>
      <c r="S35" s="88" t="str">
        <f>+_xlfn.XLOOKUP(Tabla4[[#This Row],[ID CLIENTE]],'RESUMEN CLIENTES'!D:D,'RESUMEN CLIENTES'!AA:AA)</f>
        <v>B2.1</v>
      </c>
      <c r="T35" s="680" t="str">
        <f>+_xlfn.XLOOKUP(Tabla4[[#This Row],[ID CLIENTE]],'RESUMEN CLIENTES'!D:D,'RESUMEN CLIENTES'!C:C)</f>
        <v>Chile</v>
      </c>
    </row>
    <row r="36" spans="1:20" ht="16">
      <c r="A36" s="82">
        <v>45769</v>
      </c>
      <c r="B36" s="82" t="str">
        <f>+_xlfn.XLOOKUP(Tabla4[[#This Row],[ID CLIENTE]],'RESUMEN CLIENTES'!D:D,'RESUMEN CLIENTES'!A:A)</f>
        <v>Sven Sigurd Biedermann Aberg</v>
      </c>
      <c r="C36" s="83" t="s">
        <v>2182</v>
      </c>
      <c r="D36" s="83" t="s">
        <v>178</v>
      </c>
      <c r="E36" s="83" t="s">
        <v>179</v>
      </c>
      <c r="F36" s="83" t="s">
        <v>180</v>
      </c>
      <c r="G36" s="84">
        <f>+Tabla4[[#This Row],[PAGO NO EURO]]*Tabla4[[#This Row],[CAMBIO]]</f>
        <v>1022.7712415880627</v>
      </c>
      <c r="H36" s="85">
        <f>+Tabla4[[#This Row],[CARGO NO EURO]]*Tabla4[[#This Row],[CAMBIO]]</f>
        <v>-38.86569595764179</v>
      </c>
      <c r="I36" s="86">
        <f t="shared" si="0"/>
        <v>3.8000380121457858E-2</v>
      </c>
      <c r="J36" s="87">
        <f t="shared" si="1"/>
        <v>983.90554563042087</v>
      </c>
      <c r="K36" s="87" t="s">
        <v>2545</v>
      </c>
      <c r="L36" s="87" t="s">
        <v>4675</v>
      </c>
      <c r="M36" s="87" t="s">
        <v>2543</v>
      </c>
      <c r="N36" s="522">
        <v>1104910</v>
      </c>
      <c r="O36" s="523">
        <f>+Tabla4[[#This Row],[PAGO NO EURO]]+Tabla4[[#This Row],[CARGO NO EURO]]</f>
        <v>1062923</v>
      </c>
      <c r="P36" s="524">
        <v>-41987</v>
      </c>
      <c r="Q36" s="89">
        <v>9.2566022715701978E-4</v>
      </c>
      <c r="R36" s="689">
        <f>+_xlfn.XLOOKUP(Tabla4[[#This Row],[ID CLIENTE]],'RESUMEN CLIENTES'!D:D,'RESUMEN CLIENTES'!G:G)</f>
        <v>45769</v>
      </c>
      <c r="S36" s="89" t="str">
        <f>+_xlfn.XLOOKUP(Tabla4[[#This Row],[ID CLIENTE]],'RESUMEN CLIENTES'!D:D,'RESUMEN CLIENTES'!AA:AA)</f>
        <v>null</v>
      </c>
      <c r="T36" s="680" t="str">
        <f>+_xlfn.XLOOKUP(Tabla4[[#This Row],[ID CLIENTE]],'RESUMEN CLIENTES'!D:D,'RESUMEN CLIENTES'!C:C)</f>
        <v>Chile</v>
      </c>
    </row>
    <row r="37" spans="1:20" ht="16">
      <c r="A37" s="82">
        <v>45771</v>
      </c>
      <c r="B37" s="82" t="str">
        <f>+_xlfn.XLOOKUP(Tabla4[[#This Row],[ID CLIENTE]],'RESUMEN CLIENTES'!D:D,'RESUMEN CLIENTES'!A:A)</f>
        <v>Andrea Corpeño López</v>
      </c>
      <c r="C37" s="83" t="s">
        <v>2117</v>
      </c>
      <c r="D37" s="83" t="s">
        <v>84</v>
      </c>
      <c r="E37" s="83" t="s">
        <v>148</v>
      </c>
      <c r="F37" s="83" t="s">
        <v>149</v>
      </c>
      <c r="G37" s="84">
        <v>400</v>
      </c>
      <c r="H37" s="85">
        <v>-13.25</v>
      </c>
      <c r="I37" s="86">
        <f t="shared" si="0"/>
        <v>3.3125000000000002E-2</v>
      </c>
      <c r="J37" s="87">
        <f t="shared" si="1"/>
        <v>386.75</v>
      </c>
      <c r="K37" s="87"/>
      <c r="L37" s="87" t="s">
        <v>4672</v>
      </c>
      <c r="M37" s="87"/>
      <c r="N37" s="521"/>
      <c r="O37" s="521">
        <f>+Tabla4[[#This Row],[PAGO NO EURO]]+Tabla4[[#This Row],[CARGO NO EURO]]</f>
        <v>0</v>
      </c>
      <c r="P37" s="521"/>
      <c r="Q37" s="88"/>
      <c r="R37" s="689">
        <f>+_xlfn.XLOOKUP(Tabla4[[#This Row],[ID CLIENTE]],'RESUMEN CLIENTES'!D:D,'RESUMEN CLIENTES'!G:G)</f>
        <v>45658</v>
      </c>
      <c r="S37" s="88" t="str">
        <f>+_xlfn.XLOOKUP(Tabla4[[#This Row],[ID CLIENTE]],'RESUMEN CLIENTES'!D:D,'RESUMEN CLIENTES'!AA:AA)</f>
        <v>-</v>
      </c>
      <c r="T37" s="680" t="str">
        <f>+_xlfn.XLOOKUP(Tabla4[[#This Row],[ID CLIENTE]],'RESUMEN CLIENTES'!D:D,'RESUMEN CLIENTES'!C:C)</f>
        <v>El Salvador</v>
      </c>
    </row>
    <row r="38" spans="1:20" ht="16">
      <c r="A38" s="82">
        <v>45771</v>
      </c>
      <c r="B38" s="82" t="str">
        <f>+_xlfn.XLOOKUP(Tabla4[[#This Row],[ID CLIENTE]],'RESUMEN CLIENTES'!D:D,'RESUMEN CLIENTES'!A:A)</f>
        <v>Boris Andrés Silva Véliz</v>
      </c>
      <c r="C38" s="83" t="s">
        <v>2184</v>
      </c>
      <c r="D38" s="83" t="s">
        <v>184</v>
      </c>
      <c r="E38" s="83" t="s">
        <v>185</v>
      </c>
      <c r="F38" s="83" t="s">
        <v>186</v>
      </c>
      <c r="G38" s="84">
        <f>+Tabla4[[#This Row],[PAGO NO EURO]]*Tabla4[[#This Row],[CAMBIO]]</f>
        <v>2043.8577815626998</v>
      </c>
      <c r="H38" s="85">
        <f>+Tabla4[[#This Row],[CARGO NO EURO]]*Tabla4[[#This Row],[CAMBIO]]</f>
        <v>0</v>
      </c>
      <c r="I38" s="86">
        <f t="shared" si="0"/>
        <v>0</v>
      </c>
      <c r="J38" s="87">
        <f t="shared" si="1"/>
        <v>2043.8577815626998</v>
      </c>
      <c r="K38" s="87" t="s">
        <v>145</v>
      </c>
      <c r="L38" s="87" t="s">
        <v>4675</v>
      </c>
      <c r="M38" s="87" t="s">
        <v>2543</v>
      </c>
      <c r="N38" s="522">
        <v>2208000</v>
      </c>
      <c r="O38" s="523">
        <f>+Tabla4[[#This Row],[PAGO NO EURO]]+Tabla4[[#This Row],[CARGO NO EURO]]</f>
        <v>2208000</v>
      </c>
      <c r="P38" s="524">
        <v>0</v>
      </c>
      <c r="Q38" s="89">
        <v>9.2566022715701978E-4</v>
      </c>
      <c r="R38" s="689">
        <f>+_xlfn.XLOOKUP(Tabla4[[#This Row],[ID CLIENTE]],'RESUMEN CLIENTES'!D:D,'RESUMEN CLIENTES'!G:G)</f>
        <v>45771</v>
      </c>
      <c r="S38" s="89" t="str">
        <f>+_xlfn.XLOOKUP(Tabla4[[#This Row],[ID CLIENTE]],'RESUMEN CLIENTES'!D:D,'RESUMEN CLIENTES'!AA:AA)</f>
        <v>C1.1</v>
      </c>
      <c r="T38" s="680" t="str">
        <f>+_xlfn.XLOOKUP(Tabla4[[#This Row],[ID CLIENTE]],'RESUMEN CLIENTES'!D:D,'RESUMEN CLIENTES'!C:C)</f>
        <v>Chile</v>
      </c>
    </row>
    <row r="39" spans="1:20" ht="16">
      <c r="A39" s="82">
        <v>45771</v>
      </c>
      <c r="B39" s="82" t="str">
        <f>+_xlfn.XLOOKUP(Tabla4[[#This Row],[ID CLIENTE]],'RESUMEN CLIENTES'!D:D,'RESUMEN CLIENTES'!A:A)</f>
        <v>Jose Marcelo Marroquín Guzmán</v>
      </c>
      <c r="C39" s="83" t="s">
        <v>2121</v>
      </c>
      <c r="D39" s="83" t="s">
        <v>87</v>
      </c>
      <c r="E39" s="83" t="s">
        <v>152</v>
      </c>
      <c r="F39" s="83" t="s">
        <v>153</v>
      </c>
      <c r="G39" s="84">
        <v>400</v>
      </c>
      <c r="H39" s="85">
        <v>-13.25</v>
      </c>
      <c r="I39" s="86">
        <f t="shared" si="0"/>
        <v>3.3125000000000002E-2</v>
      </c>
      <c r="J39" s="87">
        <f t="shared" si="1"/>
        <v>386.75</v>
      </c>
      <c r="K39" s="87"/>
      <c r="L39" s="87" t="s">
        <v>4672</v>
      </c>
      <c r="M39" s="87"/>
      <c r="N39" s="521"/>
      <c r="O39" s="521">
        <f>+Tabla4[[#This Row],[PAGO NO EURO]]+Tabla4[[#This Row],[CARGO NO EURO]]</f>
        <v>0</v>
      </c>
      <c r="P39" s="521"/>
      <c r="Q39" s="88"/>
      <c r="R39" s="689">
        <f>+_xlfn.XLOOKUP(Tabla4[[#This Row],[ID CLIENTE]],'RESUMEN CLIENTES'!D:D,'RESUMEN CLIENTES'!G:G)</f>
        <v>45658</v>
      </c>
      <c r="S39" s="88" t="str">
        <f>+_xlfn.XLOOKUP(Tabla4[[#This Row],[ID CLIENTE]],'RESUMEN CLIENTES'!D:D,'RESUMEN CLIENTES'!AA:AA)</f>
        <v>A2.1</v>
      </c>
      <c r="T39" s="680" t="str">
        <f>+_xlfn.XLOOKUP(Tabla4[[#This Row],[ID CLIENTE]],'RESUMEN CLIENTES'!D:D,'RESUMEN CLIENTES'!C:C)</f>
        <v>El Salvador</v>
      </c>
    </row>
    <row r="40" spans="1:20" ht="16">
      <c r="A40" s="82">
        <v>45772</v>
      </c>
      <c r="B40" s="82" t="str">
        <f>+_xlfn.XLOOKUP(Tabla4[[#This Row],[ID CLIENTE]],'RESUMEN CLIENTES'!D:D,'RESUMEN CLIENTES'!A:A)</f>
        <v>Juan Carlos Ramirez Chavez</v>
      </c>
      <c r="C40" s="83" t="s">
        <v>2174</v>
      </c>
      <c r="D40" s="83" t="s">
        <v>181</v>
      </c>
      <c r="E40" s="83" t="s">
        <v>182</v>
      </c>
      <c r="F40" s="83" t="s">
        <v>183</v>
      </c>
      <c r="G40" s="84">
        <v>3000</v>
      </c>
      <c r="H40" s="85">
        <v>-65.25</v>
      </c>
      <c r="I40" s="86">
        <f t="shared" si="0"/>
        <v>2.1749999999999999E-2</v>
      </c>
      <c r="J40" s="87">
        <f t="shared" si="1"/>
        <v>2934.75</v>
      </c>
      <c r="K40" s="87"/>
      <c r="L40" s="87" t="s">
        <v>4672</v>
      </c>
      <c r="M40" s="87"/>
      <c r="N40" s="521"/>
      <c r="O40" s="521">
        <f>+Tabla4[[#This Row],[PAGO NO EURO]]+Tabla4[[#This Row],[CARGO NO EURO]]</f>
        <v>0</v>
      </c>
      <c r="P40" s="521"/>
      <c r="Q40" s="88"/>
      <c r="R40" s="689">
        <f>+_xlfn.XLOOKUP(Tabla4[[#This Row],[ID CLIENTE]],'RESUMEN CLIENTES'!D:D,'RESUMEN CLIENTES'!G:G)</f>
        <v>45772</v>
      </c>
      <c r="S40" s="88" t="str">
        <f>+_xlfn.XLOOKUP(Tabla4[[#This Row],[ID CLIENTE]],'RESUMEN CLIENTES'!D:D,'RESUMEN CLIENTES'!AA:AA)</f>
        <v>B2.1</v>
      </c>
      <c r="T40" s="680" t="str">
        <f>+_xlfn.XLOOKUP(Tabla4[[#This Row],[ID CLIENTE]],'RESUMEN CLIENTES'!D:D,'RESUMEN CLIENTES'!C:C)</f>
        <v>Perú</v>
      </c>
    </row>
    <row r="41" spans="1:20" ht="16">
      <c r="A41" s="82">
        <v>45772</v>
      </c>
      <c r="B41" s="82" t="str">
        <f>+_xlfn.XLOOKUP(Tabla4[[#This Row],[ID CLIENTE]],'RESUMEN CLIENTES'!D:D,'RESUMEN CLIENTES'!A:A)</f>
        <v>Maria Laura Servin Chávez</v>
      </c>
      <c r="C41" s="83" t="s">
        <v>2186</v>
      </c>
      <c r="D41" s="83" t="s">
        <v>2187</v>
      </c>
      <c r="E41" s="83" t="s">
        <v>2552</v>
      </c>
      <c r="F41" s="83" t="s">
        <v>2553</v>
      </c>
      <c r="G41" s="84">
        <v>4000</v>
      </c>
      <c r="H41" s="85">
        <v>-128.09</v>
      </c>
      <c r="I41" s="86">
        <f t="shared" si="0"/>
        <v>3.2022500000000002E-2</v>
      </c>
      <c r="J41" s="87">
        <f t="shared" si="1"/>
        <v>3871.91</v>
      </c>
      <c r="K41" s="87"/>
      <c r="L41" s="87" t="s">
        <v>4672</v>
      </c>
      <c r="M41" s="87"/>
      <c r="N41" s="521"/>
      <c r="O41" s="521">
        <f>+Tabla4[[#This Row],[PAGO NO EURO]]+Tabla4[[#This Row],[CARGO NO EURO]]</f>
        <v>0</v>
      </c>
      <c r="P41" s="521"/>
      <c r="Q41" s="88"/>
      <c r="R41" s="689">
        <f>+_xlfn.XLOOKUP(Tabla4[[#This Row],[ID CLIENTE]],'RESUMEN CLIENTES'!D:D,'RESUMEN CLIENTES'!G:G)</f>
        <v>45772</v>
      </c>
      <c r="S41" s="88" t="str">
        <f>+_xlfn.XLOOKUP(Tabla4[[#This Row],[ID CLIENTE]],'RESUMEN CLIENTES'!D:D,'RESUMEN CLIENTES'!AA:AA)</f>
        <v>null</v>
      </c>
      <c r="T41" s="680" t="str">
        <f>+_xlfn.XLOOKUP(Tabla4[[#This Row],[ID CLIENTE]],'RESUMEN CLIENTES'!D:D,'RESUMEN CLIENTES'!C:C)</f>
        <v>Paraguay</v>
      </c>
    </row>
    <row r="42" spans="1:20" ht="16">
      <c r="A42" s="82">
        <v>45774</v>
      </c>
      <c r="B42" s="82" t="str">
        <f>+_xlfn.XLOOKUP(Tabla4[[#This Row],[ID CLIENTE]],'RESUMEN CLIENTES'!D:D,'RESUMEN CLIENTES'!A:A)</f>
        <v>David Enrique Díaz Mejía</v>
      </c>
      <c r="C42" s="83" t="s">
        <v>2189</v>
      </c>
      <c r="D42" s="83" t="s">
        <v>90</v>
      </c>
      <c r="E42" s="83" t="s">
        <v>91</v>
      </c>
      <c r="F42" s="83" t="s">
        <v>92</v>
      </c>
      <c r="G42" s="84">
        <v>1500</v>
      </c>
      <c r="H42" s="85">
        <v>0</v>
      </c>
      <c r="I42" s="86">
        <f t="shared" si="0"/>
        <v>0</v>
      </c>
      <c r="J42" s="87">
        <f t="shared" si="1"/>
        <v>1500</v>
      </c>
      <c r="K42" s="87"/>
      <c r="L42" s="87" t="s">
        <v>4672</v>
      </c>
      <c r="M42" s="87"/>
      <c r="N42" s="521"/>
      <c r="O42" s="521">
        <f>+Tabla4[[#This Row],[PAGO NO EURO]]+Tabla4[[#This Row],[CARGO NO EURO]]</f>
        <v>0</v>
      </c>
      <c r="P42" s="521"/>
      <c r="Q42" s="88"/>
      <c r="R42" s="689">
        <f>+_xlfn.XLOOKUP(Tabla4[[#This Row],[ID CLIENTE]],'RESUMEN CLIENTES'!D:D,'RESUMEN CLIENTES'!G:G)</f>
        <v>45774</v>
      </c>
      <c r="S42" s="88" t="str">
        <f>+_xlfn.XLOOKUP(Tabla4[[#This Row],[ID CLIENTE]],'RESUMEN CLIENTES'!D:D,'RESUMEN CLIENTES'!AA:AA)</f>
        <v>A1.1</v>
      </c>
      <c r="T42" s="680" t="str">
        <f>+_xlfn.XLOOKUP(Tabla4[[#This Row],[ID CLIENTE]],'RESUMEN CLIENTES'!D:D,'RESUMEN CLIENTES'!C:C)</f>
        <v>Honduras</v>
      </c>
    </row>
    <row r="43" spans="1:20" ht="16">
      <c r="A43" s="82">
        <v>45775</v>
      </c>
      <c r="B43" s="82" t="str">
        <f>+_xlfn.XLOOKUP(Tabla4[[#This Row],[ID CLIENTE]],'RESUMEN CLIENTES'!D:D,'RESUMEN CLIENTES'!A:A)</f>
        <v>Alan Diego Titiro Casone</v>
      </c>
      <c r="C43" s="83" t="s">
        <v>2191</v>
      </c>
      <c r="D43" s="83" t="s">
        <v>4464</v>
      </c>
      <c r="E43" s="83" t="s">
        <v>4465</v>
      </c>
      <c r="F43" s="83" t="s">
        <v>4466</v>
      </c>
      <c r="G43" s="84">
        <f>+Tabla4[[#This Row],[PAGO NO EURO]]*Tabla4[[#This Row],[CAMBIO]]</f>
        <v>7865.3719765622836</v>
      </c>
      <c r="H43" s="85">
        <f>+Tabla4[[#This Row],[CARGO NO EURO]]*Tabla4[[#This Row],[CAMBIO]]</f>
        <v>-298.88457942627582</v>
      </c>
      <c r="I43" s="86">
        <f t="shared" si="0"/>
        <v>3.8000056490260135E-2</v>
      </c>
      <c r="J43" s="87">
        <f t="shared" si="1"/>
        <v>7566.4873971360075</v>
      </c>
      <c r="K43" s="87" t="s">
        <v>2545</v>
      </c>
      <c r="L43" s="87" t="s">
        <v>4675</v>
      </c>
      <c r="M43" s="87" t="s">
        <v>2543</v>
      </c>
      <c r="N43" s="522">
        <v>8497040</v>
      </c>
      <c r="O43" s="523">
        <f>+Tabla4[[#This Row],[PAGO NO EURO]]+Tabla4[[#This Row],[CARGO NO EURO]]</f>
        <v>8174152</v>
      </c>
      <c r="P43" s="524">
        <v>-322888</v>
      </c>
      <c r="Q43" s="89">
        <v>9.2566022715701978E-4</v>
      </c>
      <c r="R43" s="689">
        <f>+_xlfn.XLOOKUP(Tabla4[[#This Row],[ID CLIENTE]],'RESUMEN CLIENTES'!D:D,'RESUMEN CLIENTES'!G:G)</f>
        <v>45775</v>
      </c>
      <c r="S43" s="89" t="str">
        <f>+_xlfn.XLOOKUP(Tabla4[[#This Row],[ID CLIENTE]],'RESUMEN CLIENTES'!D:D,'RESUMEN CLIENTES'!AA:AA)</f>
        <v>A2.2</v>
      </c>
      <c r="T43" s="680" t="str">
        <f>+_xlfn.XLOOKUP(Tabla4[[#This Row],[ID CLIENTE]],'RESUMEN CLIENTES'!D:D,'RESUMEN CLIENTES'!C:C)</f>
        <v>Chile</v>
      </c>
    </row>
    <row r="44" spans="1:20" ht="16">
      <c r="A44" s="82">
        <v>45777</v>
      </c>
      <c r="B44" s="82" t="str">
        <f>+_xlfn.XLOOKUP(Tabla4[[#This Row],[ID CLIENTE]],'RESUMEN CLIENTES'!D:D,'RESUMEN CLIENTES'!A:A)</f>
        <v>Christian Rivera Hernandez</v>
      </c>
      <c r="C44" s="83" t="s">
        <v>2195</v>
      </c>
      <c r="D44" s="83" t="s">
        <v>191</v>
      </c>
      <c r="E44" s="83" t="s">
        <v>192</v>
      </c>
      <c r="F44" s="83" t="s">
        <v>193</v>
      </c>
      <c r="G44" s="84">
        <v>2600</v>
      </c>
      <c r="H44" s="85">
        <v>0</v>
      </c>
      <c r="I44" s="86">
        <f t="shared" si="0"/>
        <v>0</v>
      </c>
      <c r="J44" s="87">
        <f t="shared" si="1"/>
        <v>2600</v>
      </c>
      <c r="K44" s="87"/>
      <c r="L44" s="87" t="s">
        <v>4672</v>
      </c>
      <c r="M44" s="87"/>
      <c r="N44" s="521"/>
      <c r="O44" s="521">
        <f>+Tabla4[[#This Row],[PAGO NO EURO]]+Tabla4[[#This Row],[CARGO NO EURO]]</f>
        <v>0</v>
      </c>
      <c r="P44" s="521"/>
      <c r="Q44" s="88"/>
      <c r="R44" s="689">
        <f>+_xlfn.XLOOKUP(Tabla4[[#This Row],[ID CLIENTE]],'RESUMEN CLIENTES'!D:D,'RESUMEN CLIENTES'!G:G)</f>
        <v>45777</v>
      </c>
      <c r="S44" s="88" t="str">
        <f>+_xlfn.XLOOKUP(Tabla4[[#This Row],[ID CLIENTE]],'RESUMEN CLIENTES'!D:D,'RESUMEN CLIENTES'!AA:AA)</f>
        <v>B1.1</v>
      </c>
      <c r="T44" s="680" t="str">
        <f>+_xlfn.XLOOKUP(Tabla4[[#This Row],[ID CLIENTE]],'RESUMEN CLIENTES'!D:D,'RESUMEN CLIENTES'!C:C)</f>
        <v>Colombia</v>
      </c>
    </row>
    <row r="45" spans="1:20" ht="16">
      <c r="A45" s="82">
        <v>45777</v>
      </c>
      <c r="B45" s="82" t="str">
        <f>+_xlfn.XLOOKUP(Tabla4[[#This Row],[ID CLIENTE]],'RESUMEN CLIENTES'!D:D,'RESUMEN CLIENTES'!A:A)</f>
        <v>Lina Estrada</v>
      </c>
      <c r="C45" s="83" t="s">
        <v>2197</v>
      </c>
      <c r="D45" s="83" t="s">
        <v>197</v>
      </c>
      <c r="E45" s="83" t="s">
        <v>198</v>
      </c>
      <c r="F45" s="83" t="s">
        <v>199</v>
      </c>
      <c r="G45" s="84">
        <v>2600</v>
      </c>
      <c r="H45" s="85">
        <v>0</v>
      </c>
      <c r="I45" s="86">
        <f t="shared" si="0"/>
        <v>0</v>
      </c>
      <c r="J45" s="87">
        <f t="shared" si="1"/>
        <v>2600</v>
      </c>
      <c r="K45" s="87" t="s">
        <v>2542</v>
      </c>
      <c r="L45" s="87" t="s">
        <v>4672</v>
      </c>
      <c r="M45" s="87"/>
      <c r="N45" s="521"/>
      <c r="O45" s="521">
        <f>+Tabla4[[#This Row],[PAGO NO EURO]]+Tabla4[[#This Row],[CARGO NO EURO]]</f>
        <v>0</v>
      </c>
      <c r="P45" s="521"/>
      <c r="Q45" s="88"/>
      <c r="R45" s="689">
        <f>+_xlfn.XLOOKUP(Tabla4[[#This Row],[ID CLIENTE]],'RESUMEN CLIENTES'!D:D,'RESUMEN CLIENTES'!G:G)</f>
        <v>45777</v>
      </c>
      <c r="S45" s="88" t="str">
        <f>+_xlfn.XLOOKUP(Tabla4[[#This Row],[ID CLIENTE]],'RESUMEN CLIENTES'!D:D,'RESUMEN CLIENTES'!AA:AA)</f>
        <v>B1.1</v>
      </c>
      <c r="T45" s="680" t="str">
        <f>+_xlfn.XLOOKUP(Tabla4[[#This Row],[ID CLIENTE]],'RESUMEN CLIENTES'!D:D,'RESUMEN CLIENTES'!C:C)</f>
        <v>Colombia</v>
      </c>
    </row>
    <row r="46" spans="1:20" ht="16">
      <c r="A46" s="82">
        <v>45777</v>
      </c>
      <c r="B46" s="82" t="str">
        <f>+_xlfn.XLOOKUP(Tabla4[[#This Row],[ID CLIENTE]],'RESUMEN CLIENTES'!D:D,'RESUMEN CLIENTES'!A:A)</f>
        <v>Mateo Gabriel Martinez Dávila</v>
      </c>
      <c r="C46" s="83" t="s">
        <v>2193</v>
      </c>
      <c r="D46" s="83" t="s">
        <v>200</v>
      </c>
      <c r="E46" s="83" t="s">
        <v>201</v>
      </c>
      <c r="F46" s="83" t="s">
        <v>202</v>
      </c>
      <c r="G46" s="84">
        <f>+Tabla4[[#This Row],[PAGO NO EURO]]*Tabla4[[#This Row],[CAMBIO]]</f>
        <v>497.07213670150236</v>
      </c>
      <c r="H46" s="85">
        <v>0</v>
      </c>
      <c r="I46" s="86">
        <f t="shared" si="0"/>
        <v>0</v>
      </c>
      <c r="J46" s="87">
        <f t="shared" si="1"/>
        <v>497.07213670150236</v>
      </c>
      <c r="K46" s="87" t="s">
        <v>145</v>
      </c>
      <c r="L46" s="87" t="s">
        <v>4675</v>
      </c>
      <c r="M46" s="87" t="s">
        <v>2543</v>
      </c>
      <c r="N46" s="522">
        <v>536992</v>
      </c>
      <c r="O46" s="523">
        <f>+Tabla4[[#This Row],[PAGO NO EURO]]+Tabla4[[#This Row],[CARGO NO EURO]]</f>
        <v>536992</v>
      </c>
      <c r="P46" s="524">
        <v>0</v>
      </c>
      <c r="Q46" s="89">
        <v>9.2566022715701978E-4</v>
      </c>
      <c r="R46" s="689">
        <f>+_xlfn.XLOOKUP(Tabla4[[#This Row],[ID CLIENTE]],'RESUMEN CLIENTES'!D:D,'RESUMEN CLIENTES'!G:G)</f>
        <v>45777</v>
      </c>
      <c r="S46" s="89" t="str">
        <f>+_xlfn.XLOOKUP(Tabla4[[#This Row],[ID CLIENTE]],'RESUMEN CLIENTES'!D:D,'RESUMEN CLIENTES'!AA:AA)</f>
        <v>A1.1</v>
      </c>
      <c r="T46" s="680" t="str">
        <f>+_xlfn.XLOOKUP(Tabla4[[#This Row],[ID CLIENTE]],'RESUMEN CLIENTES'!D:D,'RESUMEN CLIENTES'!C:C)</f>
        <v>Bolivia</v>
      </c>
    </row>
    <row r="47" spans="1:20" ht="16">
      <c r="A47" s="82">
        <v>45779</v>
      </c>
      <c r="B47" s="82" t="str">
        <f>+_xlfn.XLOOKUP(Tabla4[[#This Row],[ID CLIENTE]],'RESUMEN CLIENTES'!D:D,'RESUMEN CLIENTES'!A:A)</f>
        <v>Bernardita Lobo Zegers</v>
      </c>
      <c r="C47" s="83" t="s">
        <v>2202</v>
      </c>
      <c r="D47" s="83" t="s">
        <v>203</v>
      </c>
      <c r="E47" s="83" t="s">
        <v>204</v>
      </c>
      <c r="F47" s="83" t="s">
        <v>205</v>
      </c>
      <c r="G47" s="84">
        <v>4000</v>
      </c>
      <c r="H47" s="85">
        <v>-130.25</v>
      </c>
      <c r="I47" s="86">
        <f t="shared" si="0"/>
        <v>3.2562500000000001E-2</v>
      </c>
      <c r="J47" s="87">
        <f t="shared" si="1"/>
        <v>3869.75</v>
      </c>
      <c r="K47" s="87"/>
      <c r="L47" s="87" t="s">
        <v>4672</v>
      </c>
      <c r="M47" s="87"/>
      <c r="N47" s="521"/>
      <c r="O47" s="521">
        <f>+Tabla4[[#This Row],[PAGO NO EURO]]+Tabla4[[#This Row],[CARGO NO EURO]]</f>
        <v>0</v>
      </c>
      <c r="P47" s="521"/>
      <c r="Q47" s="88"/>
      <c r="R47" s="689">
        <f>+_xlfn.XLOOKUP(Tabla4[[#This Row],[ID CLIENTE]],'RESUMEN CLIENTES'!D:D,'RESUMEN CLIENTES'!G:G)</f>
        <v>45779</v>
      </c>
      <c r="S47" s="88" t="str">
        <f>+_xlfn.XLOOKUP(Tabla4[[#This Row],[ID CLIENTE]],'RESUMEN CLIENTES'!D:D,'RESUMEN CLIENTES'!AA:AA)</f>
        <v>A1.1</v>
      </c>
      <c r="T47" s="680" t="str">
        <f>+_xlfn.XLOOKUP(Tabla4[[#This Row],[ID CLIENTE]],'RESUMEN CLIENTES'!D:D,'RESUMEN CLIENTES'!C:C)</f>
        <v>México</v>
      </c>
    </row>
    <row r="48" spans="1:20" ht="16">
      <c r="A48" s="82">
        <v>45779</v>
      </c>
      <c r="B48" s="82" t="str">
        <f>+_xlfn.XLOOKUP(Tabla4[[#This Row],[ID CLIENTE]],'RESUMEN CLIENTES'!D:D,'RESUMEN CLIENTES'!A:A)</f>
        <v>Moira Millaray Schneider Rivera</v>
      </c>
      <c r="C48" s="83" t="s">
        <v>2147</v>
      </c>
      <c r="D48" s="83" t="s">
        <v>129</v>
      </c>
      <c r="E48" s="83" t="s">
        <v>206</v>
      </c>
      <c r="F48" s="83" t="s">
        <v>207</v>
      </c>
      <c r="G48" s="84">
        <v>2500</v>
      </c>
      <c r="H48" s="85">
        <v>-81.5</v>
      </c>
      <c r="I48" s="86">
        <f t="shared" si="0"/>
        <v>3.2599999999999997E-2</v>
      </c>
      <c r="J48" s="87">
        <f t="shared" si="1"/>
        <v>2418.5</v>
      </c>
      <c r="K48" s="87"/>
      <c r="L48" s="87" t="s">
        <v>4672</v>
      </c>
      <c r="M48" s="87"/>
      <c r="N48" s="521"/>
      <c r="O48" s="521">
        <f>+Tabla4[[#This Row],[PAGO NO EURO]]+Tabla4[[#This Row],[CARGO NO EURO]]</f>
        <v>0</v>
      </c>
      <c r="P48" s="521"/>
      <c r="Q48" s="88"/>
      <c r="R48" s="689">
        <f>+_xlfn.XLOOKUP(Tabla4[[#This Row],[ID CLIENTE]],'RESUMEN CLIENTES'!D:D,'RESUMEN CLIENTES'!G:G)</f>
        <v>45740</v>
      </c>
      <c r="S48" s="88" t="str">
        <f>+_xlfn.XLOOKUP(Tabla4[[#This Row],[ID CLIENTE]],'RESUMEN CLIENTES'!D:D,'RESUMEN CLIENTES'!AA:AA)</f>
        <v>null</v>
      </c>
      <c r="T48" s="680" t="str">
        <f>+_xlfn.XLOOKUP(Tabla4[[#This Row],[ID CLIENTE]],'RESUMEN CLIENTES'!D:D,'RESUMEN CLIENTES'!C:C)</f>
        <v>Chile</v>
      </c>
    </row>
    <row r="49" spans="1:20" ht="16">
      <c r="A49" s="82">
        <v>45781</v>
      </c>
      <c r="B49" s="82" t="str">
        <f>+_xlfn.XLOOKUP(Tabla4[[#This Row],[ID CLIENTE]],'RESUMEN CLIENTES'!D:D,'RESUMEN CLIENTES'!A:A)</f>
        <v>Dinorah Gómez Castellanos</v>
      </c>
      <c r="C49" s="83" t="s">
        <v>2168</v>
      </c>
      <c r="D49" s="83" t="s">
        <v>194</v>
      </c>
      <c r="E49" s="83" t="s">
        <v>210</v>
      </c>
      <c r="F49" s="83" t="s">
        <v>211</v>
      </c>
      <c r="G49" s="84">
        <v>1500</v>
      </c>
      <c r="H49" s="85">
        <v>-49</v>
      </c>
      <c r="I49" s="86">
        <f t="shared" si="0"/>
        <v>3.2666666666666663E-2</v>
      </c>
      <c r="J49" s="87">
        <f t="shared" si="1"/>
        <v>1451</v>
      </c>
      <c r="K49" s="87"/>
      <c r="L49" s="87" t="s">
        <v>4672</v>
      </c>
      <c r="M49" s="87"/>
      <c r="N49" s="521"/>
      <c r="O49" s="521">
        <f>+Tabla4[[#This Row],[PAGO NO EURO]]+Tabla4[[#This Row],[CARGO NO EURO]]</f>
        <v>0</v>
      </c>
      <c r="P49" s="521"/>
      <c r="Q49" s="88"/>
      <c r="R49" s="689">
        <f>+_xlfn.XLOOKUP(Tabla4[[#This Row],[ID CLIENTE]],'RESUMEN CLIENTES'!D:D,'RESUMEN CLIENTES'!G:G)</f>
        <v>45757</v>
      </c>
      <c r="S49" s="88" t="str">
        <f>+_xlfn.XLOOKUP(Tabla4[[#This Row],[ID CLIENTE]],'RESUMEN CLIENTES'!D:D,'RESUMEN CLIENTES'!AA:AA)</f>
        <v>B2.1</v>
      </c>
      <c r="T49" s="680" t="str">
        <f>+_xlfn.XLOOKUP(Tabla4[[#This Row],[ID CLIENTE]],'RESUMEN CLIENTES'!D:D,'RESUMEN CLIENTES'!C:C)</f>
        <v>México</v>
      </c>
    </row>
    <row r="50" spans="1:20" ht="16">
      <c r="A50" s="82">
        <v>45781</v>
      </c>
      <c r="B50" s="82" t="str">
        <f>+_xlfn.XLOOKUP(Tabla4[[#This Row],[ID CLIENTE]],'RESUMEN CLIENTES'!D:D,'RESUMEN CLIENTES'!A:A)</f>
        <v>Marco Tulio Negrete Aceves</v>
      </c>
      <c r="C50" s="83" t="s">
        <v>2166</v>
      </c>
      <c r="D50" s="83" t="s">
        <v>188</v>
      </c>
      <c r="E50" s="83" t="s">
        <v>216</v>
      </c>
      <c r="F50" s="83" t="s">
        <v>217</v>
      </c>
      <c r="G50" s="84">
        <v>1500</v>
      </c>
      <c r="H50" s="85">
        <v>-49</v>
      </c>
      <c r="I50" s="86">
        <f t="shared" si="0"/>
        <v>3.2666666666666663E-2</v>
      </c>
      <c r="J50" s="87">
        <f t="shared" si="1"/>
        <v>1451</v>
      </c>
      <c r="K50" s="87"/>
      <c r="L50" s="87" t="s">
        <v>4672</v>
      </c>
      <c r="M50" s="87"/>
      <c r="N50" s="521"/>
      <c r="O50" s="521">
        <f>+Tabla4[[#This Row],[PAGO NO EURO]]+Tabla4[[#This Row],[CARGO NO EURO]]</f>
        <v>0</v>
      </c>
      <c r="P50" s="521"/>
      <c r="Q50" s="88"/>
      <c r="R50" s="689">
        <f>+_xlfn.XLOOKUP(Tabla4[[#This Row],[ID CLIENTE]],'RESUMEN CLIENTES'!D:D,'RESUMEN CLIENTES'!G:G)</f>
        <v>45757</v>
      </c>
      <c r="S50" s="88" t="str">
        <f>+_xlfn.XLOOKUP(Tabla4[[#This Row],[ID CLIENTE]],'RESUMEN CLIENTES'!D:D,'RESUMEN CLIENTES'!AA:AA)</f>
        <v>B2.1</v>
      </c>
      <c r="T50" s="680" t="str">
        <f>+_xlfn.XLOOKUP(Tabla4[[#This Row],[ID CLIENTE]],'RESUMEN CLIENTES'!D:D,'RESUMEN CLIENTES'!C:C)</f>
        <v>México</v>
      </c>
    </row>
    <row r="51" spans="1:20" ht="16">
      <c r="A51" s="82">
        <v>45783</v>
      </c>
      <c r="B51" s="82" t="str">
        <f>+_xlfn.XLOOKUP(Tabla4[[#This Row],[ID CLIENTE]],'RESUMEN CLIENTES'!D:D,'RESUMEN CLIENTES'!A:A)</f>
        <v>Juan Carlos Ramirez Chavez</v>
      </c>
      <c r="C51" s="83" t="s">
        <v>2174</v>
      </c>
      <c r="D51" s="83" t="s">
        <v>181</v>
      </c>
      <c r="E51" s="83" t="s">
        <v>214</v>
      </c>
      <c r="F51" s="83" t="s">
        <v>215</v>
      </c>
      <c r="G51" s="84">
        <v>1000</v>
      </c>
      <c r="H51" s="85">
        <v>-32.75</v>
      </c>
      <c r="I51" s="86">
        <f t="shared" si="0"/>
        <v>3.2750000000000001E-2</v>
      </c>
      <c r="J51" s="87">
        <f t="shared" si="1"/>
        <v>967.25</v>
      </c>
      <c r="K51" s="87"/>
      <c r="L51" s="87" t="s">
        <v>4672</v>
      </c>
      <c r="M51" s="87"/>
      <c r="N51" s="521"/>
      <c r="O51" s="521">
        <f>+Tabla4[[#This Row],[PAGO NO EURO]]+Tabla4[[#This Row],[CARGO NO EURO]]</f>
        <v>0</v>
      </c>
      <c r="P51" s="521"/>
      <c r="Q51" s="88"/>
      <c r="R51" s="689">
        <f>+_xlfn.XLOOKUP(Tabla4[[#This Row],[ID CLIENTE]],'RESUMEN CLIENTES'!D:D,'RESUMEN CLIENTES'!G:G)</f>
        <v>45772</v>
      </c>
      <c r="S51" s="88" t="str">
        <f>+_xlfn.XLOOKUP(Tabla4[[#This Row],[ID CLIENTE]],'RESUMEN CLIENTES'!D:D,'RESUMEN CLIENTES'!AA:AA)</f>
        <v>B2.1</v>
      </c>
      <c r="T51" s="680" t="str">
        <f>+_xlfn.XLOOKUP(Tabla4[[#This Row],[ID CLIENTE]],'RESUMEN CLIENTES'!D:D,'RESUMEN CLIENTES'!C:C)</f>
        <v>Perú</v>
      </c>
    </row>
    <row r="52" spans="1:20" ht="16">
      <c r="A52" s="82">
        <v>45786</v>
      </c>
      <c r="B52" s="82" t="str">
        <f>+_xlfn.XLOOKUP(Tabla4[[#This Row],[ID CLIENTE]],'RESUMEN CLIENTES'!D:D,'RESUMEN CLIENTES'!A:A)</f>
        <v>Laura Margarita Cepeda Garrido</v>
      </c>
      <c r="C52" s="83" t="s">
        <v>2204</v>
      </c>
      <c r="D52" s="83" t="s">
        <v>218</v>
      </c>
      <c r="E52" s="83" t="s">
        <v>219</v>
      </c>
      <c r="F52" s="83" t="s">
        <v>220</v>
      </c>
      <c r="G52" s="84">
        <v>600</v>
      </c>
      <c r="H52" s="85">
        <v>-19.75</v>
      </c>
      <c r="I52" s="86">
        <f t="shared" si="0"/>
        <v>3.2916666666666664E-2</v>
      </c>
      <c r="J52" s="87">
        <f t="shared" si="1"/>
        <v>580.25</v>
      </c>
      <c r="K52" s="87"/>
      <c r="L52" s="87" t="s">
        <v>4672</v>
      </c>
      <c r="M52" s="87"/>
      <c r="N52" s="521"/>
      <c r="O52" s="521">
        <f>+Tabla4[[#This Row],[PAGO NO EURO]]+Tabla4[[#This Row],[CARGO NO EURO]]</f>
        <v>0</v>
      </c>
      <c r="P52" s="521"/>
      <c r="Q52" s="88"/>
      <c r="R52" s="689">
        <f>+_xlfn.XLOOKUP(Tabla4[[#This Row],[ID CLIENTE]],'RESUMEN CLIENTES'!D:D,'RESUMEN CLIENTES'!G:G)</f>
        <v>45786</v>
      </c>
      <c r="S52" s="88" t="str">
        <f>+_xlfn.XLOOKUP(Tabla4[[#This Row],[ID CLIENTE]],'RESUMEN CLIENTES'!D:D,'RESUMEN CLIENTES'!AA:AA)</f>
        <v>A1.1</v>
      </c>
      <c r="T52" s="680" t="str">
        <f>+_xlfn.XLOOKUP(Tabla4[[#This Row],[ID CLIENTE]],'RESUMEN CLIENTES'!D:D,'RESUMEN CLIENTES'!C:C)</f>
        <v>Colombia</v>
      </c>
    </row>
    <row r="53" spans="1:20" ht="16">
      <c r="A53" s="82">
        <v>45787</v>
      </c>
      <c r="B53" s="82" t="str">
        <f>+_xlfn.XLOOKUP(Tabla4[[#This Row],[ID CLIENTE]],'RESUMEN CLIENTES'!D:D,'RESUMEN CLIENTES'!A:A)</f>
        <v>Angel Martin Alarcon Macias</v>
      </c>
      <c r="C53" s="83" t="s">
        <v>2206</v>
      </c>
      <c r="D53" s="83" t="s">
        <v>221</v>
      </c>
      <c r="E53" s="83" t="s">
        <v>222</v>
      </c>
      <c r="F53" s="83" t="s">
        <v>223</v>
      </c>
      <c r="G53" s="84">
        <v>2000</v>
      </c>
      <c r="H53" s="85">
        <v>-64.290000000000006</v>
      </c>
      <c r="I53" s="86">
        <f t="shared" si="0"/>
        <v>3.2145E-2</v>
      </c>
      <c r="J53" s="87">
        <f t="shared" si="1"/>
        <v>1935.71</v>
      </c>
      <c r="K53" s="87"/>
      <c r="L53" s="87" t="s">
        <v>4672</v>
      </c>
      <c r="M53" s="87"/>
      <c r="N53" s="521"/>
      <c r="O53" s="521">
        <f>+Tabla4[[#This Row],[PAGO NO EURO]]+Tabla4[[#This Row],[CARGO NO EURO]]</f>
        <v>0</v>
      </c>
      <c r="P53" s="521"/>
      <c r="Q53" s="88"/>
      <c r="R53" s="689">
        <f>+_xlfn.XLOOKUP(Tabla4[[#This Row],[ID CLIENTE]],'RESUMEN CLIENTES'!D:D,'RESUMEN CLIENTES'!G:G)</f>
        <v>45787</v>
      </c>
      <c r="S53" s="88" t="str">
        <f>+_xlfn.XLOOKUP(Tabla4[[#This Row],[ID CLIENTE]],'RESUMEN CLIENTES'!D:D,'RESUMEN CLIENTES'!AA:AA)</f>
        <v>A1.2</v>
      </c>
      <c r="T53" s="680" t="str">
        <f>+_xlfn.XLOOKUP(Tabla4[[#This Row],[ID CLIENTE]],'RESUMEN CLIENTES'!D:D,'RESUMEN CLIENTES'!C:C)</f>
        <v>Ecuador</v>
      </c>
    </row>
    <row r="54" spans="1:20" ht="16">
      <c r="A54" s="82">
        <v>45789</v>
      </c>
      <c r="B54" s="82" t="str">
        <f>+_xlfn.XLOOKUP(Tabla4[[#This Row],[ID CLIENTE]],'RESUMEN CLIENTES'!D:D,'RESUMEN CLIENTES'!A:A)</f>
        <v>Catalina Andrea Videla Muñoz</v>
      </c>
      <c r="C54" s="83" t="s">
        <v>2164</v>
      </c>
      <c r="D54" s="83" t="s">
        <v>156</v>
      </c>
      <c r="E54" s="83" t="s">
        <v>232</v>
      </c>
      <c r="F54" s="83" t="s">
        <v>233</v>
      </c>
      <c r="G54" s="84">
        <v>1250</v>
      </c>
      <c r="H54" s="85">
        <v>-40.880000000000003</v>
      </c>
      <c r="I54" s="86">
        <f t="shared" si="0"/>
        <v>3.2704000000000004E-2</v>
      </c>
      <c r="J54" s="87">
        <f t="shared" si="1"/>
        <v>1209.1199999999999</v>
      </c>
      <c r="K54" s="87"/>
      <c r="L54" s="87" t="s">
        <v>4672</v>
      </c>
      <c r="M54" s="87"/>
      <c r="N54" s="521"/>
      <c r="O54" s="521">
        <f>+Tabla4[[#This Row],[PAGO NO EURO]]+Tabla4[[#This Row],[CARGO NO EURO]]</f>
        <v>0</v>
      </c>
      <c r="P54" s="521"/>
      <c r="Q54" s="88"/>
      <c r="R54" s="689">
        <f>+_xlfn.XLOOKUP(Tabla4[[#This Row],[ID CLIENTE]],'RESUMEN CLIENTES'!D:D,'RESUMEN CLIENTES'!G:G)</f>
        <v>45755</v>
      </c>
      <c r="S54" s="88" t="str">
        <f>+_xlfn.XLOOKUP(Tabla4[[#This Row],[ID CLIENTE]],'RESUMEN CLIENTES'!D:D,'RESUMEN CLIENTES'!AA:AA)</f>
        <v>B1.3</v>
      </c>
      <c r="T54" s="680" t="str">
        <f>+_xlfn.XLOOKUP(Tabla4[[#This Row],[ID CLIENTE]],'RESUMEN CLIENTES'!D:D,'RESUMEN CLIENTES'!C:C)</f>
        <v>Chile</v>
      </c>
    </row>
    <row r="55" spans="1:20" ht="16">
      <c r="A55" s="82">
        <v>45790</v>
      </c>
      <c r="B55" s="82" t="str">
        <f>+_xlfn.XLOOKUP(Tabla4[[#This Row],[ID CLIENTE]],'RESUMEN CLIENTES'!D:D,'RESUMEN CLIENTES'!A:A)</f>
        <v>Camila Sanchez Aravena</v>
      </c>
      <c r="C55" s="83" t="s">
        <v>2125</v>
      </c>
      <c r="D55" s="83" t="s">
        <v>118</v>
      </c>
      <c r="E55" s="83" t="s">
        <v>150</v>
      </c>
      <c r="F55" s="83" t="s">
        <v>151</v>
      </c>
      <c r="G55" s="84">
        <v>557.39</v>
      </c>
      <c r="H55" s="85">
        <v>-18.37</v>
      </c>
      <c r="I55" s="86">
        <f t="shared" si="0"/>
        <v>3.2957175406806725E-2</v>
      </c>
      <c r="J55" s="87">
        <f t="shared" si="1"/>
        <v>539.02</v>
      </c>
      <c r="K55" s="87"/>
      <c r="L55" s="87" t="s">
        <v>4672</v>
      </c>
      <c r="M55" s="87"/>
      <c r="N55" s="521"/>
      <c r="O55" s="521">
        <f>+Tabla4[[#This Row],[PAGO NO EURO]]+Tabla4[[#This Row],[CARGO NO EURO]]</f>
        <v>0</v>
      </c>
      <c r="P55" s="521"/>
      <c r="Q55" s="88"/>
      <c r="R55" s="689">
        <f>+_xlfn.XLOOKUP(Tabla4[[#This Row],[ID CLIENTE]],'RESUMEN CLIENTES'!D:D,'RESUMEN CLIENTES'!G:G)</f>
        <v>45699</v>
      </c>
      <c r="S55" s="88" t="str">
        <f>+_xlfn.XLOOKUP(Tabla4[[#This Row],[ID CLIENTE]],'RESUMEN CLIENTES'!D:D,'RESUMEN CLIENTES'!AA:AA)</f>
        <v>B2.1</v>
      </c>
      <c r="T55" s="680" t="str">
        <f>+_xlfn.XLOOKUP(Tabla4[[#This Row],[ID CLIENTE]],'RESUMEN CLIENTES'!D:D,'RESUMEN CLIENTES'!C:C)</f>
        <v>Chile</v>
      </c>
    </row>
    <row r="56" spans="1:20" ht="16">
      <c r="A56" s="82">
        <v>45790</v>
      </c>
      <c r="B56" s="82" t="str">
        <f>+_xlfn.XLOOKUP(Tabla4[[#This Row],[ID CLIENTE]],'RESUMEN CLIENTES'!D:D,'RESUMEN CLIENTES'!A:A)</f>
        <v>Camila Sanchez Aravena</v>
      </c>
      <c r="C56" s="83" t="s">
        <v>2125</v>
      </c>
      <c r="D56" s="83" t="s">
        <v>118</v>
      </c>
      <c r="E56" s="83" t="s">
        <v>208</v>
      </c>
      <c r="F56" s="83" t="s">
        <v>209</v>
      </c>
      <c r="G56" s="84">
        <v>557.39</v>
      </c>
      <c r="H56" s="85">
        <v>-18.37</v>
      </c>
      <c r="I56" s="86">
        <f t="shared" si="0"/>
        <v>3.2957175406806725E-2</v>
      </c>
      <c r="J56" s="87">
        <f t="shared" si="1"/>
        <v>539.02</v>
      </c>
      <c r="K56" s="87"/>
      <c r="L56" s="87" t="s">
        <v>4672</v>
      </c>
      <c r="M56" s="87"/>
      <c r="N56" s="521"/>
      <c r="O56" s="521">
        <f>+Tabla4[[#This Row],[PAGO NO EURO]]+Tabla4[[#This Row],[CARGO NO EURO]]</f>
        <v>0</v>
      </c>
      <c r="P56" s="521"/>
      <c r="Q56" s="88"/>
      <c r="R56" s="689">
        <f>+_xlfn.XLOOKUP(Tabla4[[#This Row],[ID CLIENTE]],'RESUMEN CLIENTES'!D:D,'RESUMEN CLIENTES'!G:G)</f>
        <v>45699</v>
      </c>
      <c r="S56" s="88" t="str">
        <f>+_xlfn.XLOOKUP(Tabla4[[#This Row],[ID CLIENTE]],'RESUMEN CLIENTES'!D:D,'RESUMEN CLIENTES'!AA:AA)</f>
        <v>B2.1</v>
      </c>
      <c r="T56" s="680" t="str">
        <f>+_xlfn.XLOOKUP(Tabla4[[#This Row],[ID CLIENTE]],'RESUMEN CLIENTES'!D:D,'RESUMEN CLIENTES'!C:C)</f>
        <v>Chile</v>
      </c>
    </row>
    <row r="57" spans="1:20" ht="16">
      <c r="A57" s="82">
        <v>45790</v>
      </c>
      <c r="B57" s="82" t="str">
        <f>+_xlfn.XLOOKUP(Tabla4[[#This Row],[ID CLIENTE]],'RESUMEN CLIENTES'!D:D,'RESUMEN CLIENTES'!A:A)</f>
        <v>Carlos Josue Escobar Morán</v>
      </c>
      <c r="C57" s="83" t="s">
        <v>2208</v>
      </c>
      <c r="D57" s="83" t="s">
        <v>226</v>
      </c>
      <c r="E57" s="83" t="s">
        <v>227</v>
      </c>
      <c r="F57" s="83" t="s">
        <v>228</v>
      </c>
      <c r="G57" s="84">
        <v>2000</v>
      </c>
      <c r="H57" s="85">
        <v>0</v>
      </c>
      <c r="I57" s="86">
        <f t="shared" si="0"/>
        <v>0</v>
      </c>
      <c r="J57" s="87">
        <f t="shared" si="1"/>
        <v>2000</v>
      </c>
      <c r="K57" s="87" t="s">
        <v>2542</v>
      </c>
      <c r="L57" s="87" t="s">
        <v>4672</v>
      </c>
      <c r="M57" s="87"/>
      <c r="N57" s="521"/>
      <c r="O57" s="521">
        <f>+Tabla4[[#This Row],[PAGO NO EURO]]+Tabla4[[#This Row],[CARGO NO EURO]]</f>
        <v>0</v>
      </c>
      <c r="P57" s="521"/>
      <c r="Q57" s="88"/>
      <c r="R57" s="689">
        <f>+_xlfn.XLOOKUP(Tabla4[[#This Row],[ID CLIENTE]],'RESUMEN CLIENTES'!D:D,'RESUMEN CLIENTES'!G:G)</f>
        <v>45790</v>
      </c>
      <c r="S57" s="88" t="str">
        <f>+_xlfn.XLOOKUP(Tabla4[[#This Row],[ID CLIENTE]],'RESUMEN CLIENTES'!D:D,'RESUMEN CLIENTES'!AA:AA)</f>
        <v>B1.1</v>
      </c>
      <c r="T57" s="680" t="str">
        <f>+_xlfn.XLOOKUP(Tabla4[[#This Row],[ID CLIENTE]],'RESUMEN CLIENTES'!D:D,'RESUMEN CLIENTES'!C:C)</f>
        <v>El Salvador</v>
      </c>
    </row>
    <row r="58" spans="1:20" ht="16">
      <c r="A58" s="82">
        <v>45790</v>
      </c>
      <c r="B58" s="82" t="str">
        <f>+_xlfn.XLOOKUP(Tabla4[[#This Row],[ID CLIENTE]],'RESUMEN CLIENTES'!D:D,'RESUMEN CLIENTES'!A:A)</f>
        <v>Nathaly Gabriela Henríquez Masín</v>
      </c>
      <c r="C58" s="83" t="s">
        <v>2210</v>
      </c>
      <c r="D58" s="83" t="s">
        <v>229</v>
      </c>
      <c r="E58" s="83" t="s">
        <v>230</v>
      </c>
      <c r="F58" s="83" t="s">
        <v>231</v>
      </c>
      <c r="G58" s="84">
        <v>2000</v>
      </c>
      <c r="H58" s="85">
        <v>0</v>
      </c>
      <c r="I58" s="86">
        <f t="shared" si="0"/>
        <v>0</v>
      </c>
      <c r="J58" s="87">
        <f t="shared" si="1"/>
        <v>2000</v>
      </c>
      <c r="K58" s="87" t="s">
        <v>2542</v>
      </c>
      <c r="L58" s="87" t="s">
        <v>4672</v>
      </c>
      <c r="M58" s="87"/>
      <c r="N58" s="521"/>
      <c r="O58" s="521">
        <f>+Tabla4[[#This Row],[PAGO NO EURO]]+Tabla4[[#This Row],[CARGO NO EURO]]</f>
        <v>0</v>
      </c>
      <c r="P58" s="521"/>
      <c r="Q58" s="88"/>
      <c r="R58" s="689">
        <f>+_xlfn.XLOOKUP(Tabla4[[#This Row],[ID CLIENTE]],'RESUMEN CLIENTES'!D:D,'RESUMEN CLIENTES'!G:G)</f>
        <v>45790</v>
      </c>
      <c r="S58" s="88" t="str">
        <f>+_xlfn.XLOOKUP(Tabla4[[#This Row],[ID CLIENTE]],'RESUMEN CLIENTES'!D:D,'RESUMEN CLIENTES'!AA:AA)</f>
        <v>null</v>
      </c>
      <c r="T58" s="680" t="str">
        <f>+_xlfn.XLOOKUP(Tabla4[[#This Row],[ID CLIENTE]],'RESUMEN CLIENTES'!D:D,'RESUMEN CLIENTES'!C:C)</f>
        <v>El Salvador</v>
      </c>
    </row>
    <row r="59" spans="1:20" ht="16">
      <c r="A59" s="82">
        <v>45790</v>
      </c>
      <c r="B59" s="82" t="str">
        <f>+_xlfn.XLOOKUP(Tabla4[[#This Row],[ID CLIENTE]],'RESUMEN CLIENTES'!D:D,'RESUMEN CLIENTES'!A:A)</f>
        <v>Juan Carlos Ramirez Chavez</v>
      </c>
      <c r="C59" s="83" t="s">
        <v>2174</v>
      </c>
      <c r="D59" s="83" t="s">
        <v>181</v>
      </c>
      <c r="E59" s="83" t="s">
        <v>2554</v>
      </c>
      <c r="F59" s="83" t="s">
        <v>2555</v>
      </c>
      <c r="G59" s="84">
        <v>1000</v>
      </c>
      <c r="H59" s="85">
        <v>-32.75</v>
      </c>
      <c r="I59" s="86">
        <f t="shared" si="0"/>
        <v>3.2750000000000001E-2</v>
      </c>
      <c r="J59" s="87">
        <f t="shared" si="1"/>
        <v>967.25</v>
      </c>
      <c r="K59" s="87"/>
      <c r="L59" s="87" t="s">
        <v>4672</v>
      </c>
      <c r="M59" s="87"/>
      <c r="N59" s="521"/>
      <c r="O59" s="521">
        <f>+Tabla4[[#This Row],[PAGO NO EURO]]+Tabla4[[#This Row],[CARGO NO EURO]]</f>
        <v>0</v>
      </c>
      <c r="P59" s="521"/>
      <c r="Q59" s="88"/>
      <c r="R59" s="689">
        <f>+_xlfn.XLOOKUP(Tabla4[[#This Row],[ID CLIENTE]],'RESUMEN CLIENTES'!D:D,'RESUMEN CLIENTES'!G:G)</f>
        <v>45772</v>
      </c>
      <c r="S59" s="88" t="str">
        <f>+_xlfn.XLOOKUP(Tabla4[[#This Row],[ID CLIENTE]],'RESUMEN CLIENTES'!D:D,'RESUMEN CLIENTES'!AA:AA)</f>
        <v>B2.1</v>
      </c>
      <c r="T59" s="680" t="str">
        <f>+_xlfn.XLOOKUP(Tabla4[[#This Row],[ID CLIENTE]],'RESUMEN CLIENTES'!D:D,'RESUMEN CLIENTES'!C:C)</f>
        <v>Perú</v>
      </c>
    </row>
    <row r="60" spans="1:20" ht="16">
      <c r="A60" s="82">
        <v>45791</v>
      </c>
      <c r="B60" s="82" t="str">
        <f>+_xlfn.XLOOKUP(Tabla4[[#This Row],[ID CLIENTE]],'RESUMEN CLIENTES'!D:D,'RESUMEN CLIENTES'!A:A)</f>
        <v>Gabriela Kimberlyn Moran Caiza</v>
      </c>
      <c r="C60" s="83" t="s">
        <v>2127</v>
      </c>
      <c r="D60" s="83" t="s">
        <v>98</v>
      </c>
      <c r="E60" s="83" t="s">
        <v>236</v>
      </c>
      <c r="F60" s="83" t="s">
        <v>237</v>
      </c>
      <c r="G60" s="84">
        <v>500</v>
      </c>
      <c r="H60" s="85">
        <v>-16.5</v>
      </c>
      <c r="I60" s="86">
        <f t="shared" si="0"/>
        <v>3.3000000000000002E-2</v>
      </c>
      <c r="J60" s="87">
        <f t="shared" si="1"/>
        <v>483.5</v>
      </c>
      <c r="K60" s="87"/>
      <c r="L60" s="87" t="s">
        <v>4672</v>
      </c>
      <c r="M60" s="87"/>
      <c r="N60" s="521"/>
      <c r="O60" s="521">
        <f>+Tabla4[[#This Row],[PAGO NO EURO]]+Tabla4[[#This Row],[CARGO NO EURO]]</f>
        <v>0</v>
      </c>
      <c r="P60" s="521"/>
      <c r="Q60" s="88"/>
      <c r="R60" s="689">
        <f>+_xlfn.XLOOKUP(Tabla4[[#This Row],[ID CLIENTE]],'RESUMEN CLIENTES'!D:D,'RESUMEN CLIENTES'!G:G)</f>
        <v>45721</v>
      </c>
      <c r="S60" s="88" t="str">
        <f>+_xlfn.XLOOKUP(Tabla4[[#This Row],[ID CLIENTE]],'RESUMEN CLIENTES'!D:D,'RESUMEN CLIENTES'!AA:AA)</f>
        <v>B2.1</v>
      </c>
      <c r="T60" s="680" t="str">
        <f>+_xlfn.XLOOKUP(Tabla4[[#This Row],[ID CLIENTE]],'RESUMEN CLIENTES'!D:D,'RESUMEN CLIENTES'!C:C)</f>
        <v>Ecuador</v>
      </c>
    </row>
    <row r="61" spans="1:20" ht="16">
      <c r="A61" s="82">
        <v>45791</v>
      </c>
      <c r="B61" s="82" t="str">
        <f>+_xlfn.XLOOKUP(Tabla4[[#This Row],[ID CLIENTE]],'RESUMEN CLIENTES'!D:D,'RESUMEN CLIENTES'!A:A)</f>
        <v>Gabriel Alejandro Ortega Moreno</v>
      </c>
      <c r="C61" s="83" t="s">
        <v>2129</v>
      </c>
      <c r="D61" s="83" t="s">
        <v>95</v>
      </c>
      <c r="E61" s="83" t="s">
        <v>234</v>
      </c>
      <c r="F61" s="83" t="s">
        <v>235</v>
      </c>
      <c r="G61" s="84">
        <v>1000</v>
      </c>
      <c r="H61" s="85">
        <v>-32.75</v>
      </c>
      <c r="I61" s="86">
        <f t="shared" si="0"/>
        <v>3.2750000000000001E-2</v>
      </c>
      <c r="J61" s="87">
        <f t="shared" si="1"/>
        <v>967.25</v>
      </c>
      <c r="K61" s="87"/>
      <c r="L61" s="87" t="s">
        <v>4672</v>
      </c>
      <c r="M61" s="87"/>
      <c r="N61" s="521"/>
      <c r="O61" s="521">
        <f>+Tabla4[[#This Row],[PAGO NO EURO]]+Tabla4[[#This Row],[CARGO NO EURO]]</f>
        <v>0</v>
      </c>
      <c r="P61" s="521"/>
      <c r="Q61" s="88"/>
      <c r="R61" s="689">
        <f>+_xlfn.XLOOKUP(Tabla4[[#This Row],[ID CLIENTE]],'RESUMEN CLIENTES'!D:D,'RESUMEN CLIENTES'!G:G)</f>
        <v>45721</v>
      </c>
      <c r="S61" s="88" t="str">
        <f>+_xlfn.XLOOKUP(Tabla4[[#This Row],[ID CLIENTE]],'RESUMEN CLIENTES'!D:D,'RESUMEN CLIENTES'!AA:AA)</f>
        <v>B2.1</v>
      </c>
      <c r="T61" s="680" t="str">
        <f>+_xlfn.XLOOKUP(Tabla4[[#This Row],[ID CLIENTE]],'RESUMEN CLIENTES'!D:D,'RESUMEN CLIENTES'!C:C)</f>
        <v>Ecuador</v>
      </c>
    </row>
    <row r="62" spans="1:20" ht="16">
      <c r="A62" s="82">
        <v>45791</v>
      </c>
      <c r="B62" s="82" t="str">
        <f>+_xlfn.XLOOKUP(Tabla4[[#This Row],[ID CLIENTE]],'RESUMEN CLIENTES'!D:D,'RESUMEN CLIENTES'!A:A)</f>
        <v>Jordan Eliecer Toledo Bravo</v>
      </c>
      <c r="C62" s="83" t="s">
        <v>2158</v>
      </c>
      <c r="D62" s="83" t="s">
        <v>142</v>
      </c>
      <c r="E62" s="83" t="s">
        <v>212</v>
      </c>
      <c r="F62" s="83" t="s">
        <v>213</v>
      </c>
      <c r="G62" s="84">
        <v>600</v>
      </c>
      <c r="H62" s="85">
        <v>-19.75</v>
      </c>
      <c r="I62" s="86">
        <f t="shared" si="0"/>
        <v>3.2916666666666664E-2</v>
      </c>
      <c r="J62" s="87">
        <f t="shared" si="1"/>
        <v>580.25</v>
      </c>
      <c r="K62" s="87"/>
      <c r="L62" s="87" t="s">
        <v>4672</v>
      </c>
      <c r="M62" s="87"/>
      <c r="N62" s="521"/>
      <c r="O62" s="521">
        <f>+Tabla4[[#This Row],[PAGO NO EURO]]+Tabla4[[#This Row],[CARGO NO EURO]]</f>
        <v>0</v>
      </c>
      <c r="P62" s="521"/>
      <c r="Q62" s="88"/>
      <c r="R62" s="689">
        <f>+_xlfn.XLOOKUP(Tabla4[[#This Row],[ID CLIENTE]],'RESUMEN CLIENTES'!D:D,'RESUMEN CLIENTES'!G:G)</f>
        <v>45748</v>
      </c>
      <c r="S62" s="88" t="str">
        <f>+_xlfn.XLOOKUP(Tabla4[[#This Row],[ID CLIENTE]],'RESUMEN CLIENTES'!D:D,'RESUMEN CLIENTES'!AA:AA)</f>
        <v>A1.1</v>
      </c>
      <c r="T62" s="680" t="str">
        <f>+_xlfn.XLOOKUP(Tabla4[[#This Row],[ID CLIENTE]],'RESUMEN CLIENTES'!D:D,'RESUMEN CLIENTES'!C:C)</f>
        <v>Chile</v>
      </c>
    </row>
    <row r="63" spans="1:20" ht="16">
      <c r="A63" s="82">
        <v>45791</v>
      </c>
      <c r="B63" s="82" t="str">
        <f>+_xlfn.XLOOKUP(Tabla4[[#This Row],[ID CLIENTE]],'RESUMEN CLIENTES'!D:D,'RESUMEN CLIENTES'!A:A)</f>
        <v>Juan Pablo Martínez Cabello</v>
      </c>
      <c r="C63" s="83" t="s">
        <v>2154</v>
      </c>
      <c r="D63" s="83" t="s">
        <v>136</v>
      </c>
      <c r="E63" s="83" t="s">
        <v>240</v>
      </c>
      <c r="F63" s="83" t="s">
        <v>241</v>
      </c>
      <c r="G63" s="84">
        <v>1000</v>
      </c>
      <c r="H63" s="85">
        <v>-32.75</v>
      </c>
      <c r="I63" s="86">
        <f t="shared" si="0"/>
        <v>3.2750000000000001E-2</v>
      </c>
      <c r="J63" s="87">
        <f t="shared" si="1"/>
        <v>967.25</v>
      </c>
      <c r="K63" s="87"/>
      <c r="L63" s="87" t="s">
        <v>4672</v>
      </c>
      <c r="M63" s="87"/>
      <c r="N63" s="521"/>
      <c r="O63" s="521">
        <f>+Tabla4[[#This Row],[PAGO NO EURO]]+Tabla4[[#This Row],[CARGO NO EURO]]</f>
        <v>0</v>
      </c>
      <c r="P63" s="521"/>
      <c r="Q63" s="88"/>
      <c r="R63" s="689">
        <f>+_xlfn.XLOOKUP(Tabla4[[#This Row],[ID CLIENTE]],'RESUMEN CLIENTES'!D:D,'RESUMEN CLIENTES'!G:G)</f>
        <v>45743</v>
      </c>
      <c r="S63" s="88" t="str">
        <f>+_xlfn.XLOOKUP(Tabla4[[#This Row],[ID CLIENTE]],'RESUMEN CLIENTES'!D:D,'RESUMEN CLIENTES'!AA:AA)</f>
        <v>B1.1</v>
      </c>
      <c r="T63" s="680" t="str">
        <f>+_xlfn.XLOOKUP(Tabla4[[#This Row],[ID CLIENTE]],'RESUMEN CLIENTES'!D:D,'RESUMEN CLIENTES'!C:C)</f>
        <v>Chile</v>
      </c>
    </row>
    <row r="64" spans="1:20" ht="16">
      <c r="A64" s="82">
        <v>45791</v>
      </c>
      <c r="B64" s="82" t="str">
        <f>+_xlfn.XLOOKUP(Tabla4[[#This Row],[ID CLIENTE]],'RESUMEN CLIENTES'!D:D,'RESUMEN CLIENTES'!A:A)</f>
        <v>Isaac Ricardo Jimenez Campos</v>
      </c>
      <c r="C64" s="83" t="s">
        <v>2131</v>
      </c>
      <c r="D64" s="83" t="s">
        <v>103</v>
      </c>
      <c r="E64" s="83" t="s">
        <v>238</v>
      </c>
      <c r="F64" s="83" t="s">
        <v>239</v>
      </c>
      <c r="G64" s="84">
        <v>654</v>
      </c>
      <c r="H64" s="85">
        <v>-21.51</v>
      </c>
      <c r="I64" s="86">
        <f t="shared" si="0"/>
        <v>3.2889908256880734E-2</v>
      </c>
      <c r="J64" s="87">
        <f t="shared" si="1"/>
        <v>632.49</v>
      </c>
      <c r="K64" s="87"/>
      <c r="L64" s="87" t="s">
        <v>4672</v>
      </c>
      <c r="M64" s="87"/>
      <c r="N64" s="521"/>
      <c r="O64" s="521">
        <f>+Tabla4[[#This Row],[PAGO NO EURO]]+Tabla4[[#This Row],[CARGO NO EURO]]</f>
        <v>0</v>
      </c>
      <c r="P64" s="521"/>
      <c r="Q64" s="88"/>
      <c r="R64" s="689">
        <f>+_xlfn.XLOOKUP(Tabla4[[#This Row],[ID CLIENTE]],'RESUMEN CLIENTES'!D:D,'RESUMEN CLIENTES'!G:G)</f>
        <v>45725</v>
      </c>
      <c r="S64" s="88" t="str">
        <f>+_xlfn.XLOOKUP(Tabla4[[#This Row],[ID CLIENTE]],'RESUMEN CLIENTES'!D:D,'RESUMEN CLIENTES'!AA:AA)</f>
        <v>null</v>
      </c>
      <c r="T64" s="680" t="str">
        <f>+_xlfn.XLOOKUP(Tabla4[[#This Row],[ID CLIENTE]],'RESUMEN CLIENTES'!D:D,'RESUMEN CLIENTES'!C:C)</f>
        <v>México</v>
      </c>
    </row>
    <row r="65" spans="1:20" ht="16">
      <c r="A65" s="82">
        <v>45792</v>
      </c>
      <c r="B65" s="82" t="str">
        <f>+_xlfn.XLOOKUP(Tabla4[[#This Row],[ID CLIENTE]],'RESUMEN CLIENTES'!D:D,'RESUMEN CLIENTES'!A:A)</f>
        <v>Juan Carlos Ramirez Chavez</v>
      </c>
      <c r="C65" s="83" t="s">
        <v>2174</v>
      </c>
      <c r="D65" s="83" t="s">
        <v>181</v>
      </c>
      <c r="E65" s="83" t="s">
        <v>2556</v>
      </c>
      <c r="F65" s="83" t="s">
        <v>2557</v>
      </c>
      <c r="G65" s="84">
        <v>2000</v>
      </c>
      <c r="H65" s="85">
        <v>-65.25</v>
      </c>
      <c r="I65" s="86">
        <f t="shared" si="0"/>
        <v>3.2625000000000001E-2</v>
      </c>
      <c r="J65" s="87">
        <f t="shared" si="1"/>
        <v>1934.75</v>
      </c>
      <c r="K65" s="87"/>
      <c r="L65" s="87" t="s">
        <v>4672</v>
      </c>
      <c r="M65" s="87"/>
      <c r="N65" s="521"/>
      <c r="O65" s="521">
        <f>+Tabla4[[#This Row],[PAGO NO EURO]]+Tabla4[[#This Row],[CARGO NO EURO]]</f>
        <v>0</v>
      </c>
      <c r="P65" s="521"/>
      <c r="Q65" s="88"/>
      <c r="R65" s="689">
        <f>+_xlfn.XLOOKUP(Tabla4[[#This Row],[ID CLIENTE]],'RESUMEN CLIENTES'!D:D,'RESUMEN CLIENTES'!G:G)</f>
        <v>45772</v>
      </c>
      <c r="S65" s="88" t="str">
        <f>+_xlfn.XLOOKUP(Tabla4[[#This Row],[ID CLIENTE]],'RESUMEN CLIENTES'!D:D,'RESUMEN CLIENTES'!AA:AA)</f>
        <v>B2.1</v>
      </c>
      <c r="T65" s="680" t="str">
        <f>+_xlfn.XLOOKUP(Tabla4[[#This Row],[ID CLIENTE]],'RESUMEN CLIENTES'!D:D,'RESUMEN CLIENTES'!C:C)</f>
        <v>Perú</v>
      </c>
    </row>
    <row r="66" spans="1:20" ht="16">
      <c r="A66" s="82">
        <v>45793</v>
      </c>
      <c r="B66" s="82" t="str">
        <f>+_xlfn.XLOOKUP(Tabla4[[#This Row],[ID CLIENTE]],'RESUMEN CLIENTES'!D:D,'RESUMEN CLIENTES'!A:A)</f>
        <v>Alina Maria Cervantes Real</v>
      </c>
      <c r="C66" s="83" t="s">
        <v>2149</v>
      </c>
      <c r="D66" s="83" t="s">
        <v>187</v>
      </c>
      <c r="E66" s="83" t="s">
        <v>2558</v>
      </c>
      <c r="F66" s="83" t="s">
        <v>2559</v>
      </c>
      <c r="G66" s="84">
        <v>1500</v>
      </c>
      <c r="H66" s="85">
        <v>-49</v>
      </c>
      <c r="I66" s="86">
        <f t="shared" ref="I66:I129" si="2">+IFERROR(-(H66)/G66,"")</f>
        <v>3.2666666666666663E-2</v>
      </c>
      <c r="J66" s="87">
        <f t="shared" ref="J66:J129" si="3">+G66+H66</f>
        <v>1451</v>
      </c>
      <c r="K66" s="87"/>
      <c r="L66" s="87" t="s">
        <v>4672</v>
      </c>
      <c r="M66" s="87"/>
      <c r="N66" s="521"/>
      <c r="O66" s="521">
        <f>+Tabla4[[#This Row],[PAGO NO EURO]]+Tabla4[[#This Row],[CARGO NO EURO]]</f>
        <v>0</v>
      </c>
      <c r="P66" s="521"/>
      <c r="Q66" s="88"/>
      <c r="R66" s="689">
        <f>+_xlfn.XLOOKUP(Tabla4[[#This Row],[ID CLIENTE]],'RESUMEN CLIENTES'!D:D,'RESUMEN CLIENTES'!G:G)</f>
        <v>45741</v>
      </c>
      <c r="S66" s="88" t="str">
        <f>+_xlfn.XLOOKUP(Tabla4[[#This Row],[ID CLIENTE]],'RESUMEN CLIENTES'!D:D,'RESUMEN CLIENTES'!AA:AA)</f>
        <v>B1.1</v>
      </c>
      <c r="T66" s="680" t="str">
        <f>+_xlfn.XLOOKUP(Tabla4[[#This Row],[ID CLIENTE]],'RESUMEN CLIENTES'!D:D,'RESUMEN CLIENTES'!C:C)</f>
        <v>México</v>
      </c>
    </row>
    <row r="67" spans="1:20" ht="16">
      <c r="A67" s="82">
        <v>45793</v>
      </c>
      <c r="B67" s="82" t="str">
        <f>+_xlfn.XLOOKUP(Tabla4[[#This Row],[ID CLIENTE]],'RESUMEN CLIENTES'!D:D,'RESUMEN CLIENTES'!A:A)</f>
        <v>David Enrique Díaz Mejía</v>
      </c>
      <c r="C67" s="83" t="s">
        <v>2189</v>
      </c>
      <c r="D67" s="83" t="s">
        <v>90</v>
      </c>
      <c r="E67" s="83" t="s">
        <v>245</v>
      </c>
      <c r="F67" s="83" t="s">
        <v>246</v>
      </c>
      <c r="G67" s="84">
        <v>1500</v>
      </c>
      <c r="H67" s="85">
        <v>0</v>
      </c>
      <c r="I67" s="86">
        <f t="shared" si="2"/>
        <v>0</v>
      </c>
      <c r="J67" s="87">
        <f t="shared" si="3"/>
        <v>1500</v>
      </c>
      <c r="K67" s="87"/>
      <c r="L67" s="87" t="s">
        <v>4672</v>
      </c>
      <c r="M67" s="87"/>
      <c r="N67" s="521"/>
      <c r="O67" s="521">
        <f>+Tabla4[[#This Row],[PAGO NO EURO]]+Tabla4[[#This Row],[CARGO NO EURO]]</f>
        <v>0</v>
      </c>
      <c r="P67" s="521"/>
      <c r="Q67" s="88"/>
      <c r="R67" s="689">
        <f>+_xlfn.XLOOKUP(Tabla4[[#This Row],[ID CLIENTE]],'RESUMEN CLIENTES'!D:D,'RESUMEN CLIENTES'!G:G)</f>
        <v>45774</v>
      </c>
      <c r="S67" s="88" t="str">
        <f>+_xlfn.XLOOKUP(Tabla4[[#This Row],[ID CLIENTE]],'RESUMEN CLIENTES'!D:D,'RESUMEN CLIENTES'!AA:AA)</f>
        <v>A1.1</v>
      </c>
      <c r="T67" s="680" t="str">
        <f>+_xlfn.XLOOKUP(Tabla4[[#This Row],[ID CLIENTE]],'RESUMEN CLIENTES'!D:D,'RESUMEN CLIENTES'!C:C)</f>
        <v>Honduras</v>
      </c>
    </row>
    <row r="68" spans="1:20" ht="16">
      <c r="A68" s="82">
        <v>45793</v>
      </c>
      <c r="B68" s="82" t="str">
        <f>+_xlfn.XLOOKUP(Tabla4[[#This Row],[ID CLIENTE]],'RESUMEN CLIENTES'!D:D,'RESUMEN CLIENTES'!A:A)</f>
        <v>David Enrique Díaz Mejía</v>
      </c>
      <c r="C68" s="83" t="s">
        <v>2189</v>
      </c>
      <c r="D68" s="83" t="s">
        <v>90</v>
      </c>
      <c r="E68" s="83" t="s">
        <v>127</v>
      </c>
      <c r="F68" s="83" t="s">
        <v>128</v>
      </c>
      <c r="G68" s="84">
        <v>1500</v>
      </c>
      <c r="H68" s="85">
        <v>0</v>
      </c>
      <c r="I68" s="86">
        <f t="shared" si="2"/>
        <v>0</v>
      </c>
      <c r="J68" s="87">
        <f t="shared" si="3"/>
        <v>1500</v>
      </c>
      <c r="K68" s="87"/>
      <c r="L68" s="87" t="s">
        <v>4672</v>
      </c>
      <c r="M68" s="87"/>
      <c r="N68" s="521"/>
      <c r="O68" s="521">
        <f>+Tabla4[[#This Row],[PAGO NO EURO]]+Tabla4[[#This Row],[CARGO NO EURO]]</f>
        <v>0</v>
      </c>
      <c r="P68" s="521"/>
      <c r="Q68" s="88"/>
      <c r="R68" s="689">
        <f>+_xlfn.XLOOKUP(Tabla4[[#This Row],[ID CLIENTE]],'RESUMEN CLIENTES'!D:D,'RESUMEN CLIENTES'!G:G)</f>
        <v>45774</v>
      </c>
      <c r="S68" s="88" t="str">
        <f>+_xlfn.XLOOKUP(Tabla4[[#This Row],[ID CLIENTE]],'RESUMEN CLIENTES'!D:D,'RESUMEN CLIENTES'!AA:AA)</f>
        <v>A1.1</v>
      </c>
      <c r="T68" s="680" t="str">
        <f>+_xlfn.XLOOKUP(Tabla4[[#This Row],[ID CLIENTE]],'RESUMEN CLIENTES'!D:D,'RESUMEN CLIENTES'!C:C)</f>
        <v>Honduras</v>
      </c>
    </row>
    <row r="69" spans="1:20" ht="16">
      <c r="A69" s="82">
        <v>45794</v>
      </c>
      <c r="B69" s="82" t="str">
        <f>+_xlfn.XLOOKUP(Tabla4[[#This Row],[ID CLIENTE]],'RESUMEN CLIENTES'!D:D,'RESUMEN CLIENTES'!A:A)</f>
        <v>Nancy Gisselle Molinari Cheme</v>
      </c>
      <c r="C69" s="83" t="s">
        <v>2212</v>
      </c>
      <c r="D69" s="83" t="s">
        <v>247</v>
      </c>
      <c r="E69" s="83" t="s">
        <v>248</v>
      </c>
      <c r="F69" s="83" t="s">
        <v>249</v>
      </c>
      <c r="G69" s="84">
        <v>1000</v>
      </c>
      <c r="H69" s="85">
        <v>-32.75</v>
      </c>
      <c r="I69" s="86">
        <f t="shared" si="2"/>
        <v>3.2750000000000001E-2</v>
      </c>
      <c r="J69" s="87">
        <f t="shared" si="3"/>
        <v>967.25</v>
      </c>
      <c r="K69" s="87"/>
      <c r="L69" s="87" t="s">
        <v>4672</v>
      </c>
      <c r="M69" s="87"/>
      <c r="N69" s="521"/>
      <c r="O69" s="521">
        <f>+Tabla4[[#This Row],[PAGO NO EURO]]+Tabla4[[#This Row],[CARGO NO EURO]]</f>
        <v>0</v>
      </c>
      <c r="P69" s="521"/>
      <c r="Q69" s="88"/>
      <c r="R69" s="689">
        <f>+_xlfn.XLOOKUP(Tabla4[[#This Row],[ID CLIENTE]],'RESUMEN CLIENTES'!D:D,'RESUMEN CLIENTES'!G:G)</f>
        <v>45794</v>
      </c>
      <c r="S69" s="88" t="str">
        <f>+_xlfn.XLOOKUP(Tabla4[[#This Row],[ID CLIENTE]],'RESUMEN CLIENTES'!D:D,'RESUMEN CLIENTES'!AA:AA)</f>
        <v>B1.1</v>
      </c>
      <c r="T69" s="680" t="str">
        <f>+_xlfn.XLOOKUP(Tabla4[[#This Row],[ID CLIENTE]],'RESUMEN CLIENTES'!D:D,'RESUMEN CLIENTES'!C:C)</f>
        <v>Perú</v>
      </c>
    </row>
    <row r="70" spans="1:20" ht="16">
      <c r="A70" s="82">
        <v>45796</v>
      </c>
      <c r="B70" s="82" t="str">
        <f>+_xlfn.XLOOKUP(Tabla4[[#This Row],[ID CLIENTE]],'RESUMEN CLIENTES'!D:D,'RESUMEN CLIENTES'!A:A)</f>
        <v>Juan Carlos Ramirez Chavez</v>
      </c>
      <c r="C70" s="83" t="s">
        <v>2174</v>
      </c>
      <c r="D70" s="83" t="s">
        <v>181</v>
      </c>
      <c r="E70" s="83" t="s">
        <v>2560</v>
      </c>
      <c r="F70" s="83" t="s">
        <v>2561</v>
      </c>
      <c r="G70" s="84">
        <v>2000</v>
      </c>
      <c r="H70" s="85">
        <v>-65.25</v>
      </c>
      <c r="I70" s="86">
        <f t="shared" si="2"/>
        <v>3.2625000000000001E-2</v>
      </c>
      <c r="J70" s="87">
        <f t="shared" si="3"/>
        <v>1934.75</v>
      </c>
      <c r="K70" s="87"/>
      <c r="L70" s="87" t="s">
        <v>4672</v>
      </c>
      <c r="M70" s="87"/>
      <c r="N70" s="521"/>
      <c r="O70" s="521">
        <f>+Tabla4[[#This Row],[PAGO NO EURO]]+Tabla4[[#This Row],[CARGO NO EURO]]</f>
        <v>0</v>
      </c>
      <c r="P70" s="521"/>
      <c r="Q70" s="88"/>
      <c r="R70" s="689">
        <f>+_xlfn.XLOOKUP(Tabla4[[#This Row],[ID CLIENTE]],'RESUMEN CLIENTES'!D:D,'RESUMEN CLIENTES'!G:G)</f>
        <v>45772</v>
      </c>
      <c r="S70" s="88" t="str">
        <f>+_xlfn.XLOOKUP(Tabla4[[#This Row],[ID CLIENTE]],'RESUMEN CLIENTES'!D:D,'RESUMEN CLIENTES'!AA:AA)</f>
        <v>B2.1</v>
      </c>
      <c r="T70" s="680" t="str">
        <f>+_xlfn.XLOOKUP(Tabla4[[#This Row],[ID CLIENTE]],'RESUMEN CLIENTES'!D:D,'RESUMEN CLIENTES'!C:C)</f>
        <v>Perú</v>
      </c>
    </row>
    <row r="71" spans="1:20" ht="16">
      <c r="A71" s="82">
        <v>45798</v>
      </c>
      <c r="B71" s="82" t="str">
        <f>+_xlfn.XLOOKUP(Tabla4[[#This Row],[ID CLIENTE]],'RESUMEN CLIENTES'!D:D,'RESUMEN CLIENTES'!A:A)</f>
        <v>Rodrigo Ignacio Rodriguez Frutos</v>
      </c>
      <c r="C71" s="83" t="s">
        <v>2214</v>
      </c>
      <c r="D71" s="83" t="s">
        <v>242</v>
      </c>
      <c r="E71" s="83" t="s">
        <v>243</v>
      </c>
      <c r="F71" s="83" t="s">
        <v>244</v>
      </c>
      <c r="G71" s="84">
        <v>4000</v>
      </c>
      <c r="H71" s="85">
        <v>-5</v>
      </c>
      <c r="I71" s="86">
        <f t="shared" si="2"/>
        <v>1.25E-3</v>
      </c>
      <c r="J71" s="87">
        <f t="shared" si="3"/>
        <v>3995</v>
      </c>
      <c r="K71" s="87"/>
      <c r="L71" s="87" t="s">
        <v>4672</v>
      </c>
      <c r="M71" s="87"/>
      <c r="N71" s="521"/>
      <c r="O71" s="521">
        <f>+Tabla4[[#This Row],[PAGO NO EURO]]+Tabla4[[#This Row],[CARGO NO EURO]]</f>
        <v>0</v>
      </c>
      <c r="P71" s="521"/>
      <c r="Q71" s="88"/>
      <c r="R71" s="689">
        <f>+_xlfn.XLOOKUP(Tabla4[[#This Row],[ID CLIENTE]],'RESUMEN CLIENTES'!D:D,'RESUMEN CLIENTES'!G:G)</f>
        <v>45798</v>
      </c>
      <c r="S71" s="88" t="str">
        <f>+_xlfn.XLOOKUP(Tabla4[[#This Row],[ID CLIENTE]],'RESUMEN CLIENTES'!D:D,'RESUMEN CLIENTES'!AA:AA)</f>
        <v>null</v>
      </c>
      <c r="T71" s="680" t="str">
        <f>+_xlfn.XLOOKUP(Tabla4[[#This Row],[ID CLIENTE]],'RESUMEN CLIENTES'!D:D,'RESUMEN CLIENTES'!C:C)</f>
        <v>México</v>
      </c>
    </row>
    <row r="72" spans="1:20" ht="16">
      <c r="A72" s="82">
        <v>45798</v>
      </c>
      <c r="B72" s="82" t="str">
        <f>+_xlfn.XLOOKUP(Tabla4[[#This Row],[ID CLIENTE]],'RESUMEN CLIENTES'!D:D,'RESUMEN CLIENTES'!A:A)</f>
        <v>David Hernández Viveros</v>
      </c>
      <c r="C72" s="83" t="s">
        <v>2143</v>
      </c>
      <c r="D72" s="83" t="s">
        <v>115</v>
      </c>
      <c r="E72" s="83" t="s">
        <v>224</v>
      </c>
      <c r="F72" s="83" t="s">
        <v>225</v>
      </c>
      <c r="G72" s="84">
        <v>2500</v>
      </c>
      <c r="H72" s="85">
        <v>-129.99</v>
      </c>
      <c r="I72" s="86">
        <f t="shared" si="2"/>
        <v>5.1996000000000001E-2</v>
      </c>
      <c r="J72" s="87">
        <f t="shared" si="3"/>
        <v>2370.0100000000002</v>
      </c>
      <c r="K72" s="87"/>
      <c r="L72" s="87" t="s">
        <v>4672</v>
      </c>
      <c r="M72" s="87"/>
      <c r="N72" s="521"/>
      <c r="O72" s="521">
        <f>+Tabla4[[#This Row],[PAGO NO EURO]]+Tabla4[[#This Row],[CARGO NO EURO]]</f>
        <v>0</v>
      </c>
      <c r="P72" s="521"/>
      <c r="Q72" s="88"/>
      <c r="R72" s="689">
        <f>+_xlfn.XLOOKUP(Tabla4[[#This Row],[ID CLIENTE]],'RESUMEN CLIENTES'!D:D,'RESUMEN CLIENTES'!G:G)</f>
        <v>45737</v>
      </c>
      <c r="S72" s="88" t="str">
        <f>+_xlfn.XLOOKUP(Tabla4[[#This Row],[ID CLIENTE]],'RESUMEN CLIENTES'!D:D,'RESUMEN CLIENTES'!AA:AA)</f>
        <v>null</v>
      </c>
      <c r="T72" s="680" t="str">
        <f>+_xlfn.XLOOKUP(Tabla4[[#This Row],[ID CLIENTE]],'RESUMEN CLIENTES'!D:D,'RESUMEN CLIENTES'!C:C)</f>
        <v>México</v>
      </c>
    </row>
    <row r="73" spans="1:20" ht="16">
      <c r="A73" s="82">
        <v>45803</v>
      </c>
      <c r="B73" s="82" t="str">
        <f>+_xlfn.XLOOKUP(Tabla4[[#This Row],[ID CLIENTE]],'RESUMEN CLIENTES'!D:D,'RESUMEN CLIENTES'!A:A)</f>
        <v>Diego Alonso Salazar Palacios</v>
      </c>
      <c r="C73" s="83" t="s">
        <v>2216</v>
      </c>
      <c r="D73" s="83" t="s">
        <v>253</v>
      </c>
      <c r="E73" s="83" t="s">
        <v>254</v>
      </c>
      <c r="F73" s="83" t="s">
        <v>255</v>
      </c>
      <c r="G73" s="84">
        <v>250</v>
      </c>
      <c r="H73" s="85">
        <v>-8.3800000000000008</v>
      </c>
      <c r="I73" s="86">
        <f t="shared" si="2"/>
        <v>3.3520000000000001E-2</v>
      </c>
      <c r="J73" s="87">
        <f t="shared" si="3"/>
        <v>241.62</v>
      </c>
      <c r="K73" s="87"/>
      <c r="L73" s="87" t="s">
        <v>4672</v>
      </c>
      <c r="M73" s="87"/>
      <c r="N73" s="521"/>
      <c r="O73" s="521">
        <f>+Tabla4[[#This Row],[PAGO NO EURO]]+Tabla4[[#This Row],[CARGO NO EURO]]</f>
        <v>0</v>
      </c>
      <c r="P73" s="521"/>
      <c r="Q73" s="88"/>
      <c r="R73" s="689">
        <f>+_xlfn.XLOOKUP(Tabla4[[#This Row],[ID CLIENTE]],'RESUMEN CLIENTES'!D:D,'RESUMEN CLIENTES'!G:G)</f>
        <v>45803</v>
      </c>
      <c r="S73" s="88" t="str">
        <f>+_xlfn.XLOOKUP(Tabla4[[#This Row],[ID CLIENTE]],'RESUMEN CLIENTES'!D:D,'RESUMEN CLIENTES'!AA:AA)</f>
        <v>A1.1</v>
      </c>
      <c r="T73" s="680" t="str">
        <f>+_xlfn.XLOOKUP(Tabla4[[#This Row],[ID CLIENTE]],'RESUMEN CLIENTES'!D:D,'RESUMEN CLIENTES'!C:C)</f>
        <v>Perú</v>
      </c>
    </row>
    <row r="74" spans="1:20" ht="16">
      <c r="A74" s="82">
        <v>45803</v>
      </c>
      <c r="B74" s="82" t="str">
        <f>+_xlfn.XLOOKUP(Tabla4[[#This Row],[ID CLIENTE]],'RESUMEN CLIENTES'!D:D,'RESUMEN CLIENTES'!A:A)</f>
        <v>Fernanda Castro</v>
      </c>
      <c r="C74" s="83" t="s">
        <v>2218</v>
      </c>
      <c r="D74" s="83" t="s">
        <v>250</v>
      </c>
      <c r="E74" s="83" t="s">
        <v>251</v>
      </c>
      <c r="F74" s="83" t="s">
        <v>252</v>
      </c>
      <c r="G74" s="84">
        <v>2000</v>
      </c>
      <c r="H74" s="85">
        <v>-65.25</v>
      </c>
      <c r="I74" s="86">
        <f t="shared" si="2"/>
        <v>3.2625000000000001E-2</v>
      </c>
      <c r="J74" s="87">
        <f t="shared" si="3"/>
        <v>1934.75</v>
      </c>
      <c r="K74" s="87"/>
      <c r="L74" s="87" t="s">
        <v>4672</v>
      </c>
      <c r="M74" s="87"/>
      <c r="N74" s="521"/>
      <c r="O74" s="521">
        <f>+Tabla4[[#This Row],[PAGO NO EURO]]+Tabla4[[#This Row],[CARGO NO EURO]]</f>
        <v>0</v>
      </c>
      <c r="P74" s="521"/>
      <c r="Q74" s="88"/>
      <c r="R74" s="689">
        <f>+_xlfn.XLOOKUP(Tabla4[[#This Row],[ID CLIENTE]],'RESUMEN CLIENTES'!D:D,'RESUMEN CLIENTES'!G:G)</f>
        <v>45803</v>
      </c>
      <c r="S74" s="88" t="str">
        <f>+_xlfn.XLOOKUP(Tabla4[[#This Row],[ID CLIENTE]],'RESUMEN CLIENTES'!D:D,'RESUMEN CLIENTES'!AA:AA)</f>
        <v>A2.1</v>
      </c>
      <c r="T74" s="680" t="str">
        <f>+_xlfn.XLOOKUP(Tabla4[[#This Row],[ID CLIENTE]],'RESUMEN CLIENTES'!D:D,'RESUMEN CLIENTES'!C:C)</f>
        <v>Ecuador</v>
      </c>
    </row>
    <row r="75" spans="1:20" ht="16">
      <c r="A75" s="82">
        <v>45805</v>
      </c>
      <c r="B75" s="82" t="str">
        <f>+_xlfn.XLOOKUP(Tabla4[[#This Row],[ID CLIENTE]],'RESUMEN CLIENTES'!D:D,'RESUMEN CLIENTES'!A:A)</f>
        <v>Alina Maria Cervantes Real</v>
      </c>
      <c r="C75" s="83" t="s">
        <v>2149</v>
      </c>
      <c r="D75" s="83" t="s">
        <v>187</v>
      </c>
      <c r="E75" s="83" t="s">
        <v>2562</v>
      </c>
      <c r="F75" s="83" t="s">
        <v>2563</v>
      </c>
      <c r="G75" s="84">
        <v>700</v>
      </c>
      <c r="H75" s="85">
        <v>-23</v>
      </c>
      <c r="I75" s="86">
        <f t="shared" si="2"/>
        <v>3.2857142857142856E-2</v>
      </c>
      <c r="J75" s="87">
        <f t="shared" si="3"/>
        <v>677</v>
      </c>
      <c r="K75" s="87"/>
      <c r="L75" s="87" t="s">
        <v>4672</v>
      </c>
      <c r="M75" s="87"/>
      <c r="N75" s="521"/>
      <c r="O75" s="521">
        <f>+Tabla4[[#This Row],[PAGO NO EURO]]+Tabla4[[#This Row],[CARGO NO EURO]]</f>
        <v>0</v>
      </c>
      <c r="P75" s="521"/>
      <c r="Q75" s="88"/>
      <c r="R75" s="689">
        <f>+_xlfn.XLOOKUP(Tabla4[[#This Row],[ID CLIENTE]],'RESUMEN CLIENTES'!D:D,'RESUMEN CLIENTES'!G:G)</f>
        <v>45741</v>
      </c>
      <c r="S75" s="88" t="str">
        <f>+_xlfn.XLOOKUP(Tabla4[[#This Row],[ID CLIENTE]],'RESUMEN CLIENTES'!D:D,'RESUMEN CLIENTES'!AA:AA)</f>
        <v>B1.1</v>
      </c>
      <c r="T75" s="680" t="str">
        <f>+_xlfn.XLOOKUP(Tabla4[[#This Row],[ID CLIENTE]],'RESUMEN CLIENTES'!D:D,'RESUMEN CLIENTES'!C:C)</f>
        <v>México</v>
      </c>
    </row>
    <row r="76" spans="1:20" ht="16">
      <c r="A76" s="82">
        <v>45805</v>
      </c>
      <c r="B76" s="82" t="str">
        <f>+_xlfn.XLOOKUP(Tabla4[[#This Row],[ID CLIENTE]],'RESUMEN CLIENTES'!D:D,'RESUMEN CLIENTES'!A:A)</f>
        <v>Guillermo Alfonso Garvalena Gaxiola</v>
      </c>
      <c r="C76" s="83" t="s">
        <v>2176</v>
      </c>
      <c r="D76" s="83" t="s">
        <v>171</v>
      </c>
      <c r="E76" s="83" t="s">
        <v>256</v>
      </c>
      <c r="F76" s="83" t="s">
        <v>257</v>
      </c>
      <c r="G76" s="84">
        <v>1000</v>
      </c>
      <c r="H76" s="85">
        <v>-32.75</v>
      </c>
      <c r="I76" s="86">
        <f t="shared" si="2"/>
        <v>3.2750000000000001E-2</v>
      </c>
      <c r="J76" s="87">
        <f t="shared" si="3"/>
        <v>967.25</v>
      </c>
      <c r="K76" s="87"/>
      <c r="L76" s="87" t="s">
        <v>4672</v>
      </c>
      <c r="M76" s="87"/>
      <c r="N76" s="521"/>
      <c r="O76" s="521">
        <f>+Tabla4[[#This Row],[PAGO NO EURO]]+Tabla4[[#This Row],[CARGO NO EURO]]</f>
        <v>0</v>
      </c>
      <c r="P76" s="521"/>
      <c r="Q76" s="88"/>
      <c r="R76" s="689">
        <f>+_xlfn.XLOOKUP(Tabla4[[#This Row],[ID CLIENTE]],'RESUMEN CLIENTES'!D:D,'RESUMEN CLIENTES'!G:G)</f>
        <v>45762</v>
      </c>
      <c r="S76" s="88" t="str">
        <f>+_xlfn.XLOOKUP(Tabla4[[#This Row],[ID CLIENTE]],'RESUMEN CLIENTES'!D:D,'RESUMEN CLIENTES'!AA:AA)</f>
        <v>A2.1</v>
      </c>
      <c r="T76" s="680" t="str">
        <f>+_xlfn.XLOOKUP(Tabla4[[#This Row],[ID CLIENTE]],'RESUMEN CLIENTES'!D:D,'RESUMEN CLIENTES'!C:C)</f>
        <v>México</v>
      </c>
    </row>
    <row r="77" spans="1:20" ht="16">
      <c r="A77" s="82">
        <v>45805</v>
      </c>
      <c r="B77" s="82" t="str">
        <f>+_xlfn.XLOOKUP(Tabla4[[#This Row],[ID CLIENTE]],'RESUMEN CLIENTES'!D:D,'RESUMEN CLIENTES'!A:A)</f>
        <v>Juan Carlos Ramirez Chavez</v>
      </c>
      <c r="C77" s="83" t="s">
        <v>2174</v>
      </c>
      <c r="D77" s="83" t="s">
        <v>181</v>
      </c>
      <c r="E77" s="83" t="s">
        <v>269</v>
      </c>
      <c r="F77" s="83" t="s">
        <v>270</v>
      </c>
      <c r="G77" s="84">
        <v>2000</v>
      </c>
      <c r="H77" s="85">
        <v>-65.25</v>
      </c>
      <c r="I77" s="86">
        <f t="shared" si="2"/>
        <v>3.2625000000000001E-2</v>
      </c>
      <c r="J77" s="87">
        <f t="shared" si="3"/>
        <v>1934.75</v>
      </c>
      <c r="K77" s="87"/>
      <c r="L77" s="87" t="s">
        <v>4672</v>
      </c>
      <c r="M77" s="87"/>
      <c r="N77" s="521"/>
      <c r="O77" s="521">
        <f>+Tabla4[[#This Row],[PAGO NO EURO]]+Tabla4[[#This Row],[CARGO NO EURO]]</f>
        <v>0</v>
      </c>
      <c r="P77" s="521"/>
      <c r="Q77" s="88"/>
      <c r="R77" s="689">
        <f>+_xlfn.XLOOKUP(Tabla4[[#This Row],[ID CLIENTE]],'RESUMEN CLIENTES'!D:D,'RESUMEN CLIENTES'!G:G)</f>
        <v>45772</v>
      </c>
      <c r="S77" s="88" t="str">
        <f>+_xlfn.XLOOKUP(Tabla4[[#This Row],[ID CLIENTE]],'RESUMEN CLIENTES'!D:D,'RESUMEN CLIENTES'!AA:AA)</f>
        <v>B2.1</v>
      </c>
      <c r="T77" s="680" t="str">
        <f>+_xlfn.XLOOKUP(Tabla4[[#This Row],[ID CLIENTE]],'RESUMEN CLIENTES'!D:D,'RESUMEN CLIENTES'!C:C)</f>
        <v>Perú</v>
      </c>
    </row>
    <row r="78" spans="1:20" ht="16">
      <c r="A78" s="82">
        <v>45805</v>
      </c>
      <c r="B78" s="82" t="str">
        <f>+_xlfn.XLOOKUP(Tabla4[[#This Row],[ID CLIENTE]],'RESUMEN CLIENTES'!D:D,'RESUMEN CLIENTES'!A:A)</f>
        <v>Maria Laura Rios Pino</v>
      </c>
      <c r="C78" s="83" t="s">
        <v>2220</v>
      </c>
      <c r="D78" s="83" t="s">
        <v>258</v>
      </c>
      <c r="E78" s="83" t="s">
        <v>259</v>
      </c>
      <c r="F78" s="83" t="s">
        <v>260</v>
      </c>
      <c r="G78" s="84">
        <v>248</v>
      </c>
      <c r="H78" s="85">
        <v>-9.5299999999999994</v>
      </c>
      <c r="I78" s="86">
        <f t="shared" si="2"/>
        <v>3.8427419354838704E-2</v>
      </c>
      <c r="J78" s="87">
        <f t="shared" si="3"/>
        <v>238.47</v>
      </c>
      <c r="K78" s="87"/>
      <c r="L78" s="87" t="s">
        <v>4672</v>
      </c>
      <c r="M78" s="87"/>
      <c r="N78" s="521"/>
      <c r="O78" s="521">
        <f>+Tabla4[[#This Row],[PAGO NO EURO]]+Tabla4[[#This Row],[CARGO NO EURO]]</f>
        <v>0</v>
      </c>
      <c r="P78" s="521"/>
      <c r="Q78" s="88"/>
      <c r="R78" s="689">
        <f>+_xlfn.XLOOKUP(Tabla4[[#This Row],[ID CLIENTE]],'RESUMEN CLIENTES'!D:D,'RESUMEN CLIENTES'!G:G)</f>
        <v>45805</v>
      </c>
      <c r="S78" s="88" t="str">
        <f>+_xlfn.XLOOKUP(Tabla4[[#This Row],[ID CLIENTE]],'RESUMEN CLIENTES'!D:D,'RESUMEN CLIENTES'!AA:AA)</f>
        <v>B1.1</v>
      </c>
      <c r="T78" s="680" t="str">
        <f>+_xlfn.XLOOKUP(Tabla4[[#This Row],[ID CLIENTE]],'RESUMEN CLIENTES'!D:D,'RESUMEN CLIENTES'!C:C)</f>
        <v>Perú</v>
      </c>
    </row>
    <row r="79" spans="1:20" ht="16">
      <c r="A79" s="82">
        <v>45807</v>
      </c>
      <c r="B79" s="82" t="str">
        <f>+_xlfn.XLOOKUP(Tabla4[[#This Row],[ID CLIENTE]],'RESUMEN CLIENTES'!D:D,'RESUMEN CLIENTES'!A:A)</f>
        <v>Hugo Nicolás Trávez Morales</v>
      </c>
      <c r="C79" s="83" t="s">
        <v>2156</v>
      </c>
      <c r="D79" s="83" t="s">
        <v>139</v>
      </c>
      <c r="E79" s="83" t="s">
        <v>264</v>
      </c>
      <c r="F79" s="83" t="s">
        <v>265</v>
      </c>
      <c r="G79" s="84">
        <v>750</v>
      </c>
      <c r="H79" s="85">
        <v>-24.63</v>
      </c>
      <c r="I79" s="86">
        <f t="shared" si="2"/>
        <v>3.2840000000000001E-2</v>
      </c>
      <c r="J79" s="87">
        <f t="shared" si="3"/>
        <v>725.37</v>
      </c>
      <c r="K79" s="87"/>
      <c r="L79" s="87" t="s">
        <v>4672</v>
      </c>
      <c r="M79" s="87"/>
      <c r="N79" s="521"/>
      <c r="O79" s="521">
        <f>+Tabla4[[#This Row],[PAGO NO EURO]]+Tabla4[[#This Row],[CARGO NO EURO]]</f>
        <v>0</v>
      </c>
      <c r="P79" s="521"/>
      <c r="Q79" s="88"/>
      <c r="R79" s="689">
        <f>+_xlfn.XLOOKUP(Tabla4[[#This Row],[ID CLIENTE]],'RESUMEN CLIENTES'!D:D,'RESUMEN CLIENTES'!G:G)</f>
        <v>45747</v>
      </c>
      <c r="S79" s="88" t="str">
        <f>+_xlfn.XLOOKUP(Tabla4[[#This Row],[ID CLIENTE]],'RESUMEN CLIENTES'!D:D,'RESUMEN CLIENTES'!AA:AA)</f>
        <v>null</v>
      </c>
      <c r="T79" s="680" t="str">
        <f>+_xlfn.XLOOKUP(Tabla4[[#This Row],[ID CLIENTE]],'RESUMEN CLIENTES'!D:D,'RESUMEN CLIENTES'!C:C)</f>
        <v>Ecuador</v>
      </c>
    </row>
    <row r="80" spans="1:20" ht="16">
      <c r="A80" s="82">
        <v>45807</v>
      </c>
      <c r="B80" s="82" t="str">
        <f>+_xlfn.XLOOKUP(Tabla4[[#This Row],[ID CLIENTE]],'RESUMEN CLIENTES'!D:D,'RESUMEN CLIENTES'!A:A)</f>
        <v>Cinthya Jhoana Males Caiza</v>
      </c>
      <c r="C80" s="83" t="s">
        <v>2222</v>
      </c>
      <c r="D80" s="83" t="s">
        <v>2223</v>
      </c>
      <c r="E80" s="83" t="s">
        <v>2564</v>
      </c>
      <c r="F80" s="83" t="s">
        <v>2565</v>
      </c>
      <c r="G80" s="84">
        <v>250</v>
      </c>
      <c r="H80" s="85">
        <v>-8.3800000000000008</v>
      </c>
      <c r="I80" s="86">
        <f t="shared" si="2"/>
        <v>3.3520000000000001E-2</v>
      </c>
      <c r="J80" s="87">
        <f t="shared" si="3"/>
        <v>241.62</v>
      </c>
      <c r="K80" s="87"/>
      <c r="L80" s="87" t="s">
        <v>4672</v>
      </c>
      <c r="M80" s="87"/>
      <c r="N80" s="521"/>
      <c r="O80" s="521">
        <f>+Tabla4[[#This Row],[PAGO NO EURO]]+Tabla4[[#This Row],[CARGO NO EURO]]</f>
        <v>0</v>
      </c>
      <c r="P80" s="521"/>
      <c r="Q80" s="88"/>
      <c r="R80" s="689">
        <f>+_xlfn.XLOOKUP(Tabla4[[#This Row],[ID CLIENTE]],'RESUMEN CLIENTES'!D:D,'RESUMEN CLIENTES'!G:G)</f>
        <v>45807</v>
      </c>
      <c r="S80" s="88" t="str">
        <f>+_xlfn.XLOOKUP(Tabla4[[#This Row],[ID CLIENTE]],'RESUMEN CLIENTES'!D:D,'RESUMEN CLIENTES'!AA:AA)</f>
        <v>A1.1</v>
      </c>
      <c r="T80" s="680" t="str">
        <f>+_xlfn.XLOOKUP(Tabla4[[#This Row],[ID CLIENTE]],'RESUMEN CLIENTES'!D:D,'RESUMEN CLIENTES'!C:C)</f>
        <v>Ecuador</v>
      </c>
    </row>
    <row r="81" spans="1:20" ht="16">
      <c r="A81" s="82">
        <v>45807</v>
      </c>
      <c r="B81" s="82" t="str">
        <f>+_xlfn.XLOOKUP(Tabla4[[#This Row],[ID CLIENTE]],'RESUMEN CLIENTES'!D:D,'RESUMEN CLIENTES'!A:A)</f>
        <v>Juan Camilo Sanchez Ramirez</v>
      </c>
      <c r="C81" s="83" t="s">
        <v>2227</v>
      </c>
      <c r="D81" s="83" t="s">
        <v>266</v>
      </c>
      <c r="E81" s="83" t="s">
        <v>267</v>
      </c>
      <c r="F81" s="83" t="s">
        <v>268</v>
      </c>
      <c r="G81" s="84">
        <v>2000</v>
      </c>
      <c r="H81" s="85">
        <v>-65.25</v>
      </c>
      <c r="I81" s="86">
        <f t="shared" si="2"/>
        <v>3.2625000000000001E-2</v>
      </c>
      <c r="J81" s="87">
        <f t="shared" si="3"/>
        <v>1934.75</v>
      </c>
      <c r="K81" s="87"/>
      <c r="L81" s="87" t="s">
        <v>4672</v>
      </c>
      <c r="M81" s="87"/>
      <c r="N81" s="521"/>
      <c r="O81" s="521">
        <f>+Tabla4[[#This Row],[PAGO NO EURO]]+Tabla4[[#This Row],[CARGO NO EURO]]</f>
        <v>0</v>
      </c>
      <c r="P81" s="521"/>
      <c r="Q81" s="88"/>
      <c r="R81" s="689">
        <f>+_xlfn.XLOOKUP(Tabla4[[#This Row],[ID CLIENTE]],'RESUMEN CLIENTES'!D:D,'RESUMEN CLIENTES'!G:G)</f>
        <v>45807</v>
      </c>
      <c r="S81" s="88" t="str">
        <f>+_xlfn.XLOOKUP(Tabla4[[#This Row],[ID CLIENTE]],'RESUMEN CLIENTES'!D:D,'RESUMEN CLIENTES'!AA:AA)</f>
        <v>A1.1</v>
      </c>
      <c r="T81" s="680" t="str">
        <f>+_xlfn.XLOOKUP(Tabla4[[#This Row],[ID CLIENTE]],'RESUMEN CLIENTES'!D:D,'RESUMEN CLIENTES'!C:C)</f>
        <v>Colombia</v>
      </c>
    </row>
    <row r="82" spans="1:20" ht="16">
      <c r="A82" s="82">
        <v>45807</v>
      </c>
      <c r="B82" s="82" t="str">
        <f>+_xlfn.XLOOKUP(Tabla4[[#This Row],[ID CLIENTE]],'RESUMEN CLIENTES'!D:D,'RESUMEN CLIENTES'!A:A)</f>
        <v>Manuel Francisco Sulbaran Fandiño</v>
      </c>
      <c r="C82" s="83" t="s">
        <v>2229</v>
      </c>
      <c r="D82" s="83" t="s">
        <v>271</v>
      </c>
      <c r="E82" s="83" t="s">
        <v>272</v>
      </c>
      <c r="F82" s="83" t="s">
        <v>273</v>
      </c>
      <c r="G82" s="84">
        <v>5000</v>
      </c>
      <c r="H82" s="85">
        <v>0</v>
      </c>
      <c r="I82" s="86">
        <f t="shared" si="2"/>
        <v>0</v>
      </c>
      <c r="J82" s="87">
        <f t="shared" si="3"/>
        <v>5000</v>
      </c>
      <c r="K82" s="87" t="s">
        <v>2542</v>
      </c>
      <c r="L82" s="87" t="s">
        <v>4672</v>
      </c>
      <c r="M82" s="87"/>
      <c r="N82" s="521"/>
      <c r="O82" s="521">
        <f>+Tabla4[[#This Row],[PAGO NO EURO]]+Tabla4[[#This Row],[CARGO NO EURO]]</f>
        <v>0</v>
      </c>
      <c r="P82" s="521"/>
      <c r="Q82" s="88"/>
      <c r="R82" s="689">
        <f>+_xlfn.XLOOKUP(Tabla4[[#This Row],[ID CLIENTE]],'RESUMEN CLIENTES'!D:D,'RESUMEN CLIENTES'!G:G)</f>
        <v>45807</v>
      </c>
      <c r="S82" s="88" t="str">
        <f>+_xlfn.XLOOKUP(Tabla4[[#This Row],[ID CLIENTE]],'RESUMEN CLIENTES'!D:D,'RESUMEN CLIENTES'!AA:AA)</f>
        <v>B1.1</v>
      </c>
      <c r="T82" s="680" t="str">
        <f>+_xlfn.XLOOKUP(Tabla4[[#This Row],[ID CLIENTE]],'RESUMEN CLIENTES'!D:D,'RESUMEN CLIENTES'!C:C)</f>
        <v>Colombia</v>
      </c>
    </row>
    <row r="83" spans="1:20" ht="16">
      <c r="A83" s="82">
        <v>45807</v>
      </c>
      <c r="B83" s="82" t="str">
        <f>+_xlfn.XLOOKUP(Tabla4[[#This Row],[ID CLIENTE]],'RESUMEN CLIENTES'!D:D,'RESUMEN CLIENTES'!A:A)</f>
        <v>Maryori Elizabeth Ramos Tapia</v>
      </c>
      <c r="C83" s="83" t="s">
        <v>2225</v>
      </c>
      <c r="D83" s="83" t="s">
        <v>261</v>
      </c>
      <c r="E83" s="83" t="s">
        <v>262</v>
      </c>
      <c r="F83" s="83" t="s">
        <v>263</v>
      </c>
      <c r="G83" s="84">
        <v>250</v>
      </c>
      <c r="H83" s="85">
        <v>-8.3800000000000008</v>
      </c>
      <c r="I83" s="86">
        <f t="shared" si="2"/>
        <v>3.3520000000000001E-2</v>
      </c>
      <c r="J83" s="87">
        <f t="shared" si="3"/>
        <v>241.62</v>
      </c>
      <c r="K83" s="87"/>
      <c r="L83" s="87" t="s">
        <v>4672</v>
      </c>
      <c r="M83" s="87"/>
      <c r="N83" s="521"/>
      <c r="O83" s="521">
        <f>+Tabla4[[#This Row],[PAGO NO EURO]]+Tabla4[[#This Row],[CARGO NO EURO]]</f>
        <v>0</v>
      </c>
      <c r="P83" s="521"/>
      <c r="Q83" s="88"/>
      <c r="R83" s="689">
        <f>+_xlfn.XLOOKUP(Tabla4[[#This Row],[ID CLIENTE]],'RESUMEN CLIENTES'!D:D,'RESUMEN CLIENTES'!G:G)</f>
        <v>45807</v>
      </c>
      <c r="S83" s="88" t="str">
        <f>+_xlfn.XLOOKUP(Tabla4[[#This Row],[ID CLIENTE]],'RESUMEN CLIENTES'!D:D,'RESUMEN CLIENTES'!AA:AA)</f>
        <v>A1.1</v>
      </c>
      <c r="T83" s="680" t="str">
        <f>+_xlfn.XLOOKUP(Tabla4[[#This Row],[ID CLIENTE]],'RESUMEN CLIENTES'!D:D,'RESUMEN CLIENTES'!C:C)</f>
        <v>Perú</v>
      </c>
    </row>
    <row r="84" spans="1:20" ht="16">
      <c r="A84" s="82">
        <v>45807</v>
      </c>
      <c r="B84" s="82" t="str">
        <f>+_xlfn.XLOOKUP(Tabla4[[#This Row],[ID CLIENTE]],'RESUMEN CLIENTES'!D:D,'RESUMEN CLIENTES'!A:A)</f>
        <v>Nataly Elizabeth Elias Berrios</v>
      </c>
      <c r="C84" s="83" t="s">
        <v>2200</v>
      </c>
      <c r="D84" s="83" t="s">
        <v>816</v>
      </c>
      <c r="E84" s="83" t="s">
        <v>2566</v>
      </c>
      <c r="F84" s="83" t="s">
        <v>2567</v>
      </c>
      <c r="G84" s="84">
        <v>3990</v>
      </c>
      <c r="H84" s="85">
        <v>-129.93</v>
      </c>
      <c r="I84" s="86">
        <f t="shared" si="2"/>
        <v>3.2563909774436094E-2</v>
      </c>
      <c r="J84" s="87">
        <f t="shared" si="3"/>
        <v>3860.07</v>
      </c>
      <c r="K84" s="87"/>
      <c r="L84" s="87" t="s">
        <v>4672</v>
      </c>
      <c r="M84" s="87"/>
      <c r="N84" s="521"/>
      <c r="O84" s="521">
        <f>+Tabla4[[#This Row],[PAGO NO EURO]]+Tabla4[[#This Row],[CARGO NO EURO]]</f>
        <v>0</v>
      </c>
      <c r="P84" s="521"/>
      <c r="Q84" s="88"/>
      <c r="R84" s="689">
        <f>+_xlfn.XLOOKUP(Tabla4[[#This Row],[ID CLIENTE]],'RESUMEN CLIENTES'!D:D,'RESUMEN CLIENTES'!G:G)</f>
        <v>45807</v>
      </c>
      <c r="S84" s="88" t="str">
        <f>+_xlfn.XLOOKUP(Tabla4[[#This Row],[ID CLIENTE]],'RESUMEN CLIENTES'!D:D,'RESUMEN CLIENTES'!AA:AA)</f>
        <v>null</v>
      </c>
      <c r="T84" s="680" t="str">
        <f>+_xlfn.XLOOKUP(Tabla4[[#This Row],[ID CLIENTE]],'RESUMEN CLIENTES'!D:D,'RESUMEN CLIENTES'!C:C)</f>
        <v>Bolivia</v>
      </c>
    </row>
    <row r="85" spans="1:20" ht="16">
      <c r="A85" s="82">
        <v>45810</v>
      </c>
      <c r="B85" s="82" t="str">
        <f>+_xlfn.XLOOKUP(Tabla4[[#This Row],[ID CLIENTE]],'RESUMEN CLIENTES'!D:D,'RESUMEN CLIENTES'!A:A)</f>
        <v>Nataly Elizabeth Elias Berrios</v>
      </c>
      <c r="C85" s="83" t="s">
        <v>2200</v>
      </c>
      <c r="D85" s="83" t="s">
        <v>816</v>
      </c>
      <c r="E85" s="83" t="s">
        <v>4797</v>
      </c>
      <c r="F85" s="83" t="s">
        <v>4798</v>
      </c>
      <c r="G85" s="84">
        <v>340</v>
      </c>
      <c r="H85" s="85">
        <v>-12.55</v>
      </c>
      <c r="I85" s="86">
        <f t="shared" si="2"/>
        <v>3.6911764705882352E-2</v>
      </c>
      <c r="J85" s="87">
        <f t="shared" si="3"/>
        <v>327.45</v>
      </c>
      <c r="K85" s="87" t="s">
        <v>4800</v>
      </c>
      <c r="L85" s="87" t="s">
        <v>4672</v>
      </c>
      <c r="M85" s="87"/>
      <c r="N85" s="521"/>
      <c r="O85" s="521">
        <f>+Tabla4[[#This Row],[PAGO NO EURO]]+Tabla4[[#This Row],[CARGO NO EURO]]</f>
        <v>0</v>
      </c>
      <c r="P85" s="521"/>
      <c r="Q85" s="88"/>
      <c r="R85" s="689">
        <f>+_xlfn.XLOOKUP(Tabla4[[#This Row],[ID CLIENTE]],'RESUMEN CLIENTES'!D:D,'RESUMEN CLIENTES'!G:G)</f>
        <v>45807</v>
      </c>
      <c r="S85" s="88" t="str">
        <f>+_xlfn.XLOOKUP(Tabla4[[#This Row],[ID CLIENTE]],'RESUMEN CLIENTES'!D:D,'RESUMEN CLIENTES'!AA:AA)</f>
        <v>null</v>
      </c>
      <c r="T85" s="680" t="str">
        <f>+_xlfn.XLOOKUP(Tabla4[[#This Row],[ID CLIENTE]],'RESUMEN CLIENTES'!D:D,'RESUMEN CLIENTES'!C:C)</f>
        <v>Bolivia</v>
      </c>
    </row>
    <row r="86" spans="1:20" ht="16">
      <c r="A86" s="82">
        <v>45810</v>
      </c>
      <c r="B86" s="82" t="str">
        <f>+_xlfn.XLOOKUP(Tabla4[[#This Row],[ID CLIENTE]],'RESUMEN CLIENTES'!D:D,'RESUMEN CLIENTES'!A:A)</f>
        <v>María de los Ángeles Gutiérrez Quevedo</v>
      </c>
      <c r="C86" s="83" t="s">
        <v>2233</v>
      </c>
      <c r="D86" s="83" t="s">
        <v>274</v>
      </c>
      <c r="E86" s="83" t="s">
        <v>4789</v>
      </c>
      <c r="F86" s="83" t="s">
        <v>4790</v>
      </c>
      <c r="G86" s="84">
        <v>1530.47</v>
      </c>
      <c r="H86" s="85">
        <v>-49.99</v>
      </c>
      <c r="I86" s="86">
        <f t="shared" si="2"/>
        <v>3.2663168830489982E-2</v>
      </c>
      <c r="J86" s="87">
        <f t="shared" si="3"/>
        <v>1480.48</v>
      </c>
      <c r="K86" s="87"/>
      <c r="L86" s="87" t="s">
        <v>4672</v>
      </c>
      <c r="M86" s="87"/>
      <c r="N86" s="521"/>
      <c r="O86" s="521">
        <f>+Tabla4[[#This Row],[PAGO NO EURO]]+Tabla4[[#This Row],[CARGO NO EURO]]</f>
        <v>0</v>
      </c>
      <c r="P86" s="521"/>
      <c r="Q86" s="88"/>
      <c r="R86" s="689">
        <f>+_xlfn.XLOOKUP(Tabla4[[#This Row],[ID CLIENTE]],'RESUMEN CLIENTES'!D:D,'RESUMEN CLIENTES'!G:G)</f>
        <v>45810</v>
      </c>
      <c r="S86" s="88" t="str">
        <f>+_xlfn.XLOOKUP(Tabla4[[#This Row],[ID CLIENTE]],'RESUMEN CLIENTES'!D:D,'RESUMEN CLIENTES'!AA:AA)</f>
        <v>A1.1</v>
      </c>
      <c r="T86" s="680" t="str">
        <f>+_xlfn.XLOOKUP(Tabla4[[#This Row],[ID CLIENTE]],'RESUMEN CLIENTES'!D:D,'RESUMEN CLIENTES'!C:C)</f>
        <v>Chile</v>
      </c>
    </row>
    <row r="87" spans="1:20" ht="16">
      <c r="A87" s="82">
        <v>45810</v>
      </c>
      <c r="B87" s="82" t="str">
        <f>+_xlfn.XLOOKUP(Tabla4[[#This Row],[ID CLIENTE]],'RESUMEN CLIENTES'!D:D,'RESUMEN CLIENTES'!A:A)</f>
        <v>Boris Andrés Silva Véliz</v>
      </c>
      <c r="C87" s="83" t="s">
        <v>2184</v>
      </c>
      <c r="D87" s="83" t="s">
        <v>184</v>
      </c>
      <c r="E87" s="83" t="s">
        <v>286</v>
      </c>
      <c r="F87" s="83" t="s">
        <v>287</v>
      </c>
      <c r="G87" s="84">
        <v>695</v>
      </c>
      <c r="H87" s="85">
        <v>-22.84</v>
      </c>
      <c r="I87" s="86">
        <f t="shared" si="2"/>
        <v>3.2863309352517987E-2</v>
      </c>
      <c r="J87" s="87">
        <f t="shared" si="3"/>
        <v>672.16</v>
      </c>
      <c r="K87" s="87"/>
      <c r="L87" s="87" t="s">
        <v>4672</v>
      </c>
      <c r="M87" s="87"/>
      <c r="N87" s="521"/>
      <c r="O87" s="521">
        <f>+Tabla4[[#This Row],[PAGO NO EURO]]+Tabla4[[#This Row],[CARGO NO EURO]]</f>
        <v>0</v>
      </c>
      <c r="P87" s="521"/>
      <c r="Q87" s="88"/>
      <c r="R87" s="689">
        <f>+_xlfn.XLOOKUP(Tabla4[[#This Row],[ID CLIENTE]],'RESUMEN CLIENTES'!D:D,'RESUMEN CLIENTES'!G:G)</f>
        <v>45771</v>
      </c>
      <c r="S87" s="88" t="str">
        <f>+_xlfn.XLOOKUP(Tabla4[[#This Row],[ID CLIENTE]],'RESUMEN CLIENTES'!D:D,'RESUMEN CLIENTES'!AA:AA)</f>
        <v>C1.1</v>
      </c>
      <c r="T87" s="680" t="str">
        <f>+_xlfn.XLOOKUP(Tabla4[[#This Row],[ID CLIENTE]],'RESUMEN CLIENTES'!D:D,'RESUMEN CLIENTES'!C:C)</f>
        <v>Chile</v>
      </c>
    </row>
    <row r="88" spans="1:20" ht="16">
      <c r="A88" s="82">
        <v>45810</v>
      </c>
      <c r="B88" s="82" t="str">
        <f>+_xlfn.XLOOKUP(Tabla4[[#This Row],[ID CLIENTE]],'RESUMEN CLIENTES'!D:D,'RESUMEN CLIENTES'!A:A)</f>
        <v>Rodrigo Alfonso Busse Hernández</v>
      </c>
      <c r="C88" s="83" t="s">
        <v>2231</v>
      </c>
      <c r="D88" s="83" t="s">
        <v>275</v>
      </c>
      <c r="E88" s="83" t="s">
        <v>4794</v>
      </c>
      <c r="F88" s="83" t="s">
        <v>4795</v>
      </c>
      <c r="G88" s="84">
        <v>1093.18</v>
      </c>
      <c r="H88" s="85">
        <v>-35.78</v>
      </c>
      <c r="I88" s="86">
        <f t="shared" si="2"/>
        <v>3.2730199967068552E-2</v>
      </c>
      <c r="J88" s="87">
        <f t="shared" si="3"/>
        <v>1057.4000000000001</v>
      </c>
      <c r="K88" s="87"/>
      <c r="L88" s="87" t="s">
        <v>4672</v>
      </c>
      <c r="M88" s="87"/>
      <c r="N88" s="521"/>
      <c r="O88" s="521">
        <f>+Tabla4[[#This Row],[PAGO NO EURO]]+Tabla4[[#This Row],[CARGO NO EURO]]</f>
        <v>0</v>
      </c>
      <c r="P88" s="521"/>
      <c r="Q88" s="88"/>
      <c r="R88" s="689">
        <f>+_xlfn.XLOOKUP(Tabla4[[#This Row],[ID CLIENTE]],'RESUMEN CLIENTES'!D:D,'RESUMEN CLIENTES'!G:G)</f>
        <v>45810</v>
      </c>
      <c r="S88" s="88" t="str">
        <f>+_xlfn.XLOOKUP(Tabla4[[#This Row],[ID CLIENTE]],'RESUMEN CLIENTES'!D:D,'RESUMEN CLIENTES'!AA:AA)</f>
        <v>null</v>
      </c>
      <c r="T88" s="680" t="str">
        <f>+_xlfn.XLOOKUP(Tabla4[[#This Row],[ID CLIENTE]],'RESUMEN CLIENTES'!D:D,'RESUMEN CLIENTES'!C:C)</f>
        <v>Chile</v>
      </c>
    </row>
    <row r="89" spans="1:20" ht="16">
      <c r="A89" s="82">
        <v>45810</v>
      </c>
      <c r="B89" s="82" t="str">
        <f>+_xlfn.XLOOKUP(Tabla4[[#This Row],[ID CLIENTE]],'RESUMEN CLIENTES'!D:D,'RESUMEN CLIENTES'!A:A)</f>
        <v>Mateo Gabriel Martinez Dávila</v>
      </c>
      <c r="C89" s="83" t="s">
        <v>2193</v>
      </c>
      <c r="D89" s="83" t="s">
        <v>200</v>
      </c>
      <c r="E89" s="83" t="s">
        <v>276</v>
      </c>
      <c r="F89" s="83" t="s">
        <v>277</v>
      </c>
      <c r="G89" s="84">
        <f>+Tabla4[[#This Row],[PAGO NO EURO]]*Tabla4[[#This Row],[CAMBIO]]</f>
        <v>3875.4071201310321</v>
      </c>
      <c r="H89" s="85">
        <f>+Tabla4[[#This Row],[CARGO NO EURO]]*Tabla4[[#This Row],[CAMBIO]]</f>
        <v>0</v>
      </c>
      <c r="I89" s="86">
        <f t="shared" si="2"/>
        <v>0</v>
      </c>
      <c r="J89" s="87">
        <f t="shared" si="3"/>
        <v>3875.4071201310321</v>
      </c>
      <c r="K89" s="87" t="s">
        <v>2542</v>
      </c>
      <c r="L89" s="87" t="s">
        <v>4675</v>
      </c>
      <c r="M89" s="87" t="s">
        <v>2543</v>
      </c>
      <c r="N89" s="522">
        <v>4117000</v>
      </c>
      <c r="O89" s="523">
        <f>+Tabla4[[#This Row],[PAGO NO EURO]]+Tabla4[[#This Row],[CARGO NO EURO]]</f>
        <v>4117000</v>
      </c>
      <c r="P89" s="524">
        <v>0</v>
      </c>
      <c r="Q89" s="89">
        <v>9.4131822203814234E-4</v>
      </c>
      <c r="R89" s="689">
        <f>+_xlfn.XLOOKUP(Tabla4[[#This Row],[ID CLIENTE]],'RESUMEN CLIENTES'!D:D,'RESUMEN CLIENTES'!G:G)</f>
        <v>45777</v>
      </c>
      <c r="S89" s="89" t="str">
        <f>+_xlfn.XLOOKUP(Tabla4[[#This Row],[ID CLIENTE]],'RESUMEN CLIENTES'!D:D,'RESUMEN CLIENTES'!AA:AA)</f>
        <v>A1.1</v>
      </c>
      <c r="T89" s="680" t="str">
        <f>+_xlfn.XLOOKUP(Tabla4[[#This Row],[ID CLIENTE]],'RESUMEN CLIENTES'!D:D,'RESUMEN CLIENTES'!C:C)</f>
        <v>Bolivia</v>
      </c>
    </row>
    <row r="90" spans="1:20" ht="16">
      <c r="A90" s="82">
        <v>45810</v>
      </c>
      <c r="B90" s="82" t="str">
        <f>+_xlfn.XLOOKUP(Tabla4[[#This Row],[ID CLIENTE]],'RESUMEN CLIENTES'!D:D,'RESUMEN CLIENTES'!A:A)</f>
        <v>María Fernanda Alvar Sepúlveda</v>
      </c>
      <c r="C90" s="83" t="s">
        <v>2123</v>
      </c>
      <c r="D90" s="83" t="s">
        <v>80</v>
      </c>
      <c r="E90" s="83" t="s">
        <v>430</v>
      </c>
      <c r="F90" s="83" t="s">
        <v>431</v>
      </c>
      <c r="G90" s="84">
        <f>+Tabla4[[#This Row],[PAGO NO EURO]]*Tabla4[[#This Row],[CAMBIO]]</f>
        <v>1116.3517624403448</v>
      </c>
      <c r="H90" s="85">
        <v>0</v>
      </c>
      <c r="I90" s="86">
        <f t="shared" si="2"/>
        <v>0</v>
      </c>
      <c r="J90" s="87">
        <f t="shared" si="3"/>
        <v>1116.3517624403448</v>
      </c>
      <c r="K90" s="87" t="s">
        <v>2568</v>
      </c>
      <c r="L90" s="87" t="s">
        <v>4675</v>
      </c>
      <c r="M90" s="87" t="s">
        <v>2543</v>
      </c>
      <c r="N90" s="522">
        <v>1200000</v>
      </c>
      <c r="O90" s="523">
        <f>+Tabla4[[#This Row],[PAGO NO EURO]]+Tabla4[[#This Row],[CARGO NO EURO]]</f>
        <v>1200000</v>
      </c>
      <c r="P90" s="524">
        <v>0</v>
      </c>
      <c r="Q90" s="88">
        <v>9.3029313536695409E-4</v>
      </c>
      <c r="R90" s="689">
        <f>+_xlfn.XLOOKUP(Tabla4[[#This Row],[ID CLIENTE]],'RESUMEN CLIENTES'!D:D,'RESUMEN CLIENTES'!G:G)</f>
        <v>45684</v>
      </c>
      <c r="S90" s="88" t="str">
        <f>+_xlfn.XLOOKUP(Tabla4[[#This Row],[ID CLIENTE]],'RESUMEN CLIENTES'!D:D,'RESUMEN CLIENTES'!AA:AA)</f>
        <v>A1.1</v>
      </c>
      <c r="T90" s="680" t="str">
        <f>+_xlfn.XLOOKUP(Tabla4[[#This Row],[ID CLIENTE]],'RESUMEN CLIENTES'!D:D,'RESUMEN CLIENTES'!C:C)</f>
        <v>Chile</v>
      </c>
    </row>
    <row r="91" spans="1:20" ht="16">
      <c r="A91" s="82">
        <v>45811</v>
      </c>
      <c r="B91" s="82" t="str">
        <f>+_xlfn.XLOOKUP(Tabla4[[#This Row],[ID CLIENTE]],'RESUMEN CLIENTES'!D:D,'RESUMEN CLIENTES'!A:A)</f>
        <v>Alejandra Leva Vallejo</v>
      </c>
      <c r="C91" s="83" t="s">
        <v>2178</v>
      </c>
      <c r="D91" s="83" t="s">
        <v>165</v>
      </c>
      <c r="E91" s="83" t="s">
        <v>284</v>
      </c>
      <c r="F91" s="83" t="s">
        <v>285</v>
      </c>
      <c r="G91" s="84">
        <v>1000</v>
      </c>
      <c r="H91" s="85">
        <v>-32.75</v>
      </c>
      <c r="I91" s="86">
        <f t="shared" si="2"/>
        <v>3.2750000000000001E-2</v>
      </c>
      <c r="J91" s="87">
        <f t="shared" si="3"/>
        <v>967.25</v>
      </c>
      <c r="K91" s="87"/>
      <c r="L91" s="87" t="s">
        <v>4672</v>
      </c>
      <c r="M91" s="87"/>
      <c r="N91" s="521"/>
      <c r="O91" s="521">
        <f>+Tabla4[[#This Row],[PAGO NO EURO]]+Tabla4[[#This Row],[CARGO NO EURO]]</f>
        <v>0</v>
      </c>
      <c r="P91" s="521"/>
      <c r="Q91" s="88"/>
      <c r="R91" s="689">
        <f>+_xlfn.XLOOKUP(Tabla4[[#This Row],[ID CLIENTE]],'RESUMEN CLIENTES'!D:D,'RESUMEN CLIENTES'!G:G)</f>
        <v>45762</v>
      </c>
      <c r="S91" s="88" t="str">
        <f>+_xlfn.XLOOKUP(Tabla4[[#This Row],[ID CLIENTE]],'RESUMEN CLIENTES'!D:D,'RESUMEN CLIENTES'!AA:AA)</f>
        <v>A1.1</v>
      </c>
      <c r="T91" s="680" t="str">
        <f>+_xlfn.XLOOKUP(Tabla4[[#This Row],[ID CLIENTE]],'RESUMEN CLIENTES'!D:D,'RESUMEN CLIENTES'!C:C)</f>
        <v>México</v>
      </c>
    </row>
    <row r="92" spans="1:20" ht="16">
      <c r="A92" s="82">
        <v>45811</v>
      </c>
      <c r="B92" s="82" t="str">
        <f>+_xlfn.XLOOKUP(Tabla4[[#This Row],[ID CLIENTE]],'RESUMEN CLIENTES'!D:D,'RESUMEN CLIENTES'!A:A)</f>
        <v>Camila Sanchez Aravena</v>
      </c>
      <c r="C92" s="83" t="s">
        <v>2125</v>
      </c>
      <c r="D92" s="83" t="s">
        <v>118</v>
      </c>
      <c r="E92" s="83" t="s">
        <v>288</v>
      </c>
      <c r="F92" s="83" t="s">
        <v>289</v>
      </c>
      <c r="G92" s="84">
        <v>546.98</v>
      </c>
      <c r="H92" s="85">
        <v>-18.03</v>
      </c>
      <c r="I92" s="86">
        <f t="shared" si="2"/>
        <v>3.296281399685546E-2</v>
      </c>
      <c r="J92" s="87">
        <f t="shared" si="3"/>
        <v>528.95000000000005</v>
      </c>
      <c r="K92" s="87"/>
      <c r="L92" s="87" t="s">
        <v>4672</v>
      </c>
      <c r="M92" s="87"/>
      <c r="N92" s="521"/>
      <c r="O92" s="521">
        <f>+Tabla4[[#This Row],[PAGO NO EURO]]+Tabla4[[#This Row],[CARGO NO EURO]]</f>
        <v>0</v>
      </c>
      <c r="P92" s="521"/>
      <c r="Q92" s="88"/>
      <c r="R92" s="689">
        <f>+_xlfn.XLOOKUP(Tabla4[[#This Row],[ID CLIENTE]],'RESUMEN CLIENTES'!D:D,'RESUMEN CLIENTES'!G:G)</f>
        <v>45699</v>
      </c>
      <c r="S92" s="88" t="str">
        <f>+_xlfn.XLOOKUP(Tabla4[[#This Row],[ID CLIENTE]],'RESUMEN CLIENTES'!D:D,'RESUMEN CLIENTES'!AA:AA)</f>
        <v>B2.1</v>
      </c>
      <c r="T92" s="680" t="str">
        <f>+_xlfn.XLOOKUP(Tabla4[[#This Row],[ID CLIENTE]],'RESUMEN CLIENTES'!D:D,'RESUMEN CLIENTES'!C:C)</f>
        <v>Chile</v>
      </c>
    </row>
    <row r="93" spans="1:20" ht="16">
      <c r="A93" s="82">
        <v>45811</v>
      </c>
      <c r="B93" s="82" t="str">
        <f>+_xlfn.XLOOKUP(Tabla4[[#This Row],[ID CLIENTE]],'RESUMEN CLIENTES'!D:D,'RESUMEN CLIENTES'!A:A)</f>
        <v>Marco Tulio Negrete Aceves</v>
      </c>
      <c r="C93" s="83" t="s">
        <v>2166</v>
      </c>
      <c r="D93" s="83" t="s">
        <v>188</v>
      </c>
      <c r="E93" s="83" t="s">
        <v>300</v>
      </c>
      <c r="F93" s="83" t="s">
        <v>301</v>
      </c>
      <c r="G93" s="84">
        <v>1500</v>
      </c>
      <c r="H93" s="85">
        <v>-49</v>
      </c>
      <c r="I93" s="86">
        <f t="shared" si="2"/>
        <v>3.2666666666666663E-2</v>
      </c>
      <c r="J93" s="87">
        <f t="shared" si="3"/>
        <v>1451</v>
      </c>
      <c r="K93" s="87"/>
      <c r="L93" s="87" t="s">
        <v>4672</v>
      </c>
      <c r="M93" s="87"/>
      <c r="N93" s="521"/>
      <c r="O93" s="521">
        <f>+Tabla4[[#This Row],[PAGO NO EURO]]+Tabla4[[#This Row],[CARGO NO EURO]]</f>
        <v>0</v>
      </c>
      <c r="P93" s="521"/>
      <c r="Q93" s="88"/>
      <c r="R93" s="689">
        <f>+_xlfn.XLOOKUP(Tabla4[[#This Row],[ID CLIENTE]],'RESUMEN CLIENTES'!D:D,'RESUMEN CLIENTES'!G:G)</f>
        <v>45757</v>
      </c>
      <c r="S93" s="88" t="str">
        <f>+_xlfn.XLOOKUP(Tabla4[[#This Row],[ID CLIENTE]],'RESUMEN CLIENTES'!D:D,'RESUMEN CLIENTES'!AA:AA)</f>
        <v>B2.1</v>
      </c>
      <c r="T93" s="680" t="str">
        <f>+_xlfn.XLOOKUP(Tabla4[[#This Row],[ID CLIENTE]],'RESUMEN CLIENTES'!D:D,'RESUMEN CLIENTES'!C:C)</f>
        <v>México</v>
      </c>
    </row>
    <row r="94" spans="1:20" ht="16">
      <c r="A94" s="82">
        <v>45812</v>
      </c>
      <c r="B94" s="82" t="str">
        <f>+_xlfn.XLOOKUP(Tabla4[[#This Row],[ID CLIENTE]],'RESUMEN CLIENTES'!D:D,'RESUMEN CLIENTES'!A:A)</f>
        <v xml:space="preserve">Catalina Ochoa Urrutia
</v>
      </c>
      <c r="C94" s="83" t="s">
        <v>2180</v>
      </c>
      <c r="D94" s="83" t="s">
        <v>168</v>
      </c>
      <c r="E94" s="83" t="s">
        <v>290</v>
      </c>
      <c r="F94" s="83" t="s">
        <v>291</v>
      </c>
      <c r="G94" s="84">
        <v>1500</v>
      </c>
      <c r="H94" s="85">
        <v>-49</v>
      </c>
      <c r="I94" s="86">
        <f t="shared" si="2"/>
        <v>3.2666666666666663E-2</v>
      </c>
      <c r="J94" s="87">
        <f t="shared" si="3"/>
        <v>1451</v>
      </c>
      <c r="K94" s="87"/>
      <c r="L94" s="87" t="s">
        <v>4672</v>
      </c>
      <c r="M94" s="87"/>
      <c r="N94" s="521"/>
      <c r="O94" s="521">
        <f>+Tabla4[[#This Row],[PAGO NO EURO]]+Tabla4[[#This Row],[CARGO NO EURO]]</f>
        <v>0</v>
      </c>
      <c r="P94" s="521"/>
      <c r="Q94" s="88"/>
      <c r="R94" s="689">
        <f>+_xlfn.XLOOKUP(Tabla4[[#This Row],[ID CLIENTE]],'RESUMEN CLIENTES'!D:D,'RESUMEN CLIENTES'!G:G)</f>
        <v>45762</v>
      </c>
      <c r="S94" s="88" t="str">
        <f>+_xlfn.XLOOKUP(Tabla4[[#This Row],[ID CLIENTE]],'RESUMEN CLIENTES'!D:D,'RESUMEN CLIENTES'!AA:AA)</f>
        <v>B2.1</v>
      </c>
      <c r="T94" s="680" t="str">
        <f>+_xlfn.XLOOKUP(Tabla4[[#This Row],[ID CLIENTE]],'RESUMEN CLIENTES'!D:D,'RESUMEN CLIENTES'!C:C)</f>
        <v>Chile</v>
      </c>
    </row>
    <row r="95" spans="1:20" ht="16">
      <c r="A95" s="82">
        <v>45812</v>
      </c>
      <c r="B95" s="82" t="str">
        <f>+_xlfn.XLOOKUP(Tabla4[[#This Row],[ID CLIENTE]],'RESUMEN CLIENTES'!D:D,'RESUMEN CLIENTES'!A:A)</f>
        <v>Daniela Harbst Tassara</v>
      </c>
      <c r="C95" s="83" t="s">
        <v>2145</v>
      </c>
      <c r="D95" s="83" t="s">
        <v>122</v>
      </c>
      <c r="E95" s="83" t="s">
        <v>292</v>
      </c>
      <c r="F95" s="83" t="s">
        <v>293</v>
      </c>
      <c r="G95" s="84">
        <f>+Tabla4[[#This Row],[PAGO NO EURO]]*Tabla4[[#This Row],[CAMBIO]]</f>
        <v>8132.4575936140982</v>
      </c>
      <c r="H95" s="85">
        <f>+Tabla4[[#This Row],[CARGO NO EURO]]*Tabla4[[#This Row],[CAMBIO]]</f>
        <v>0</v>
      </c>
      <c r="I95" s="86">
        <f t="shared" si="2"/>
        <v>0</v>
      </c>
      <c r="J95" s="87">
        <f t="shared" si="3"/>
        <v>8132.4575936140982</v>
      </c>
      <c r="K95" s="87" t="s">
        <v>2542</v>
      </c>
      <c r="L95" s="87" t="s">
        <v>4675</v>
      </c>
      <c r="M95" s="87" t="s">
        <v>2543</v>
      </c>
      <c r="N95" s="524">
        <v>8639435</v>
      </c>
      <c r="O95" s="524">
        <f>+Tabla4[[#This Row],[PAGO NO EURO]]+Tabla4[[#This Row],[CARGO NO EURO]]</f>
        <v>8639435</v>
      </c>
      <c r="P95" s="524">
        <v>0</v>
      </c>
      <c r="Q95" s="89">
        <v>9.4131822203814234E-4</v>
      </c>
      <c r="R95" s="689">
        <f>+_xlfn.XLOOKUP(Tabla4[[#This Row],[ID CLIENTE]],'RESUMEN CLIENTES'!D:D,'RESUMEN CLIENTES'!G:G)</f>
        <v>45740</v>
      </c>
      <c r="S95" s="89" t="str">
        <f>+_xlfn.XLOOKUP(Tabla4[[#This Row],[ID CLIENTE]],'RESUMEN CLIENTES'!D:D,'RESUMEN CLIENTES'!AA:AA)</f>
        <v>A2.1</v>
      </c>
      <c r="T95" s="680" t="str">
        <f>+_xlfn.XLOOKUP(Tabla4[[#This Row],[ID CLIENTE]],'RESUMEN CLIENTES'!D:D,'RESUMEN CLIENTES'!C:C)</f>
        <v>Chile</v>
      </c>
    </row>
    <row r="96" spans="1:20" ht="16">
      <c r="A96" s="82">
        <v>45812</v>
      </c>
      <c r="B96" s="82" t="str">
        <f>+_xlfn.XLOOKUP(Tabla4[[#This Row],[ID CLIENTE]],'RESUMEN CLIENTES'!D:D,'RESUMEN CLIENTES'!A:A)</f>
        <v>Ian Job Lino Durán</v>
      </c>
      <c r="C96" s="83" t="s">
        <v>2135</v>
      </c>
      <c r="D96" s="83" t="s">
        <v>109</v>
      </c>
      <c r="E96" s="83" t="s">
        <v>296</v>
      </c>
      <c r="F96" s="83" t="s">
        <v>297</v>
      </c>
      <c r="G96" s="84">
        <v>1500</v>
      </c>
      <c r="H96" s="85">
        <v>-49</v>
      </c>
      <c r="I96" s="86">
        <f t="shared" si="2"/>
        <v>3.2666666666666663E-2</v>
      </c>
      <c r="J96" s="87">
        <f t="shared" si="3"/>
        <v>1451</v>
      </c>
      <c r="K96" s="87"/>
      <c r="L96" s="87" t="s">
        <v>4672</v>
      </c>
      <c r="M96" s="87"/>
      <c r="N96" s="521"/>
      <c r="O96" s="521">
        <f>+Tabla4[[#This Row],[PAGO NO EURO]]+Tabla4[[#This Row],[CARGO NO EURO]]</f>
        <v>0</v>
      </c>
      <c r="P96" s="521"/>
      <c r="Q96" s="88"/>
      <c r="R96" s="689">
        <f>+_xlfn.XLOOKUP(Tabla4[[#This Row],[ID CLIENTE]],'RESUMEN CLIENTES'!D:D,'RESUMEN CLIENTES'!G:G)</f>
        <v>45729</v>
      </c>
      <c r="S96" s="88" t="str">
        <f>+_xlfn.XLOOKUP(Tabla4[[#This Row],[ID CLIENTE]],'RESUMEN CLIENTES'!D:D,'RESUMEN CLIENTES'!AA:AA)</f>
        <v>B2.1</v>
      </c>
      <c r="T96" s="680" t="str">
        <f>+_xlfn.XLOOKUP(Tabla4[[#This Row],[ID CLIENTE]],'RESUMEN CLIENTES'!D:D,'RESUMEN CLIENTES'!C:C)</f>
        <v>México</v>
      </c>
    </row>
    <row r="97" spans="1:20" ht="16">
      <c r="A97" s="82">
        <v>45812</v>
      </c>
      <c r="B97" s="82" t="str">
        <f>+_xlfn.XLOOKUP(Tabla4[[#This Row],[ID CLIENTE]],'RESUMEN CLIENTES'!D:D,'RESUMEN CLIENTES'!A:A)</f>
        <v>Juan Carlos Ramirez Chavez</v>
      </c>
      <c r="C97" s="83" t="s">
        <v>2174</v>
      </c>
      <c r="D97" s="83" t="s">
        <v>181</v>
      </c>
      <c r="E97" s="83" t="s">
        <v>2569</v>
      </c>
      <c r="F97" s="83" t="s">
        <v>2570</v>
      </c>
      <c r="G97" s="84">
        <v>2000</v>
      </c>
      <c r="H97" s="85">
        <v>-65.25</v>
      </c>
      <c r="I97" s="86">
        <f t="shared" si="2"/>
        <v>3.2625000000000001E-2</v>
      </c>
      <c r="J97" s="87">
        <f t="shared" si="3"/>
        <v>1934.75</v>
      </c>
      <c r="K97" s="87"/>
      <c r="L97" s="87" t="s">
        <v>4672</v>
      </c>
      <c r="M97" s="87"/>
      <c r="N97" s="521"/>
      <c r="O97" s="521">
        <f>+Tabla4[[#This Row],[PAGO NO EURO]]+Tabla4[[#This Row],[CARGO NO EURO]]</f>
        <v>0</v>
      </c>
      <c r="P97" s="521"/>
      <c r="Q97" s="88"/>
      <c r="R97" s="689">
        <f>+_xlfn.XLOOKUP(Tabla4[[#This Row],[ID CLIENTE]],'RESUMEN CLIENTES'!D:D,'RESUMEN CLIENTES'!G:G)</f>
        <v>45772</v>
      </c>
      <c r="S97" s="88" t="str">
        <f>+_xlfn.XLOOKUP(Tabla4[[#This Row],[ID CLIENTE]],'RESUMEN CLIENTES'!D:D,'RESUMEN CLIENTES'!AA:AA)</f>
        <v>B2.1</v>
      </c>
      <c r="T97" s="680" t="str">
        <f>+_xlfn.XLOOKUP(Tabla4[[#This Row],[ID CLIENTE]],'RESUMEN CLIENTES'!D:D,'RESUMEN CLIENTES'!C:C)</f>
        <v>Perú</v>
      </c>
    </row>
    <row r="98" spans="1:20" ht="16">
      <c r="A98" s="82">
        <v>45812</v>
      </c>
      <c r="B98" s="82" t="str">
        <f>+_xlfn.XLOOKUP(Tabla4[[#This Row],[ID CLIENTE]],'RESUMEN CLIENTES'!D:D,'RESUMEN CLIENTES'!A:A)</f>
        <v>Liliana María Moreno Martinez</v>
      </c>
      <c r="C98" s="83" t="s">
        <v>2237</v>
      </c>
      <c r="D98" s="83" t="s">
        <v>278</v>
      </c>
      <c r="E98" s="83" t="s">
        <v>279</v>
      </c>
      <c r="F98" s="83" t="s">
        <v>280</v>
      </c>
      <c r="G98" s="84">
        <v>1000</v>
      </c>
      <c r="H98" s="85">
        <v>-32.75</v>
      </c>
      <c r="I98" s="86">
        <f t="shared" si="2"/>
        <v>3.2750000000000001E-2</v>
      </c>
      <c r="J98" s="87">
        <f t="shared" si="3"/>
        <v>967.25</v>
      </c>
      <c r="K98" s="87"/>
      <c r="L98" s="87" t="s">
        <v>4672</v>
      </c>
      <c r="M98" s="87"/>
      <c r="N98" s="521"/>
      <c r="O98" s="521">
        <f>+Tabla4[[#This Row],[PAGO NO EURO]]+Tabla4[[#This Row],[CARGO NO EURO]]</f>
        <v>0</v>
      </c>
      <c r="P98" s="521"/>
      <c r="Q98" s="88"/>
      <c r="R98" s="689">
        <f>+_xlfn.XLOOKUP(Tabla4[[#This Row],[ID CLIENTE]],'RESUMEN CLIENTES'!D:D,'RESUMEN CLIENTES'!G:G)</f>
        <v>45812</v>
      </c>
      <c r="S98" s="88" t="str">
        <f>+_xlfn.XLOOKUP(Tabla4[[#This Row],[ID CLIENTE]],'RESUMEN CLIENTES'!D:D,'RESUMEN CLIENTES'!AA:AA)</f>
        <v>A1.1</v>
      </c>
      <c r="T98" s="680" t="str">
        <f>+_xlfn.XLOOKUP(Tabla4[[#This Row],[ID CLIENTE]],'RESUMEN CLIENTES'!D:D,'RESUMEN CLIENTES'!C:C)</f>
        <v>El Salvador</v>
      </c>
    </row>
    <row r="99" spans="1:20" ht="16">
      <c r="A99" s="82">
        <v>45812</v>
      </c>
      <c r="B99" s="82" t="str">
        <f>+_xlfn.XLOOKUP(Tabla4[[#This Row],[ID CLIENTE]],'RESUMEN CLIENTES'!D:D,'RESUMEN CLIENTES'!A:A)</f>
        <v>Sergio Francisco Garcia Sandoval</v>
      </c>
      <c r="C99" s="83" t="s">
        <v>2235</v>
      </c>
      <c r="D99" s="83" t="s">
        <v>281</v>
      </c>
      <c r="E99" s="83" t="s">
        <v>282</v>
      </c>
      <c r="F99" s="83" t="s">
        <v>283</v>
      </c>
      <c r="G99" s="84">
        <v>1500</v>
      </c>
      <c r="H99" s="85">
        <v>-5</v>
      </c>
      <c r="I99" s="86">
        <f t="shared" si="2"/>
        <v>3.3333333333333335E-3</v>
      </c>
      <c r="J99" s="87">
        <f t="shared" si="3"/>
        <v>1495</v>
      </c>
      <c r="K99" s="87"/>
      <c r="L99" s="87" t="s">
        <v>4672</v>
      </c>
      <c r="M99" s="87"/>
      <c r="N99" s="521"/>
      <c r="O99" s="521">
        <f>+Tabla4[[#This Row],[PAGO NO EURO]]+Tabla4[[#This Row],[CARGO NO EURO]]</f>
        <v>0</v>
      </c>
      <c r="P99" s="521"/>
      <c r="Q99" s="88"/>
      <c r="R99" s="689">
        <f>+_xlfn.XLOOKUP(Tabla4[[#This Row],[ID CLIENTE]],'RESUMEN CLIENTES'!D:D,'RESUMEN CLIENTES'!G:G)</f>
        <v>45812</v>
      </c>
      <c r="S99" s="88" t="str">
        <f>+_xlfn.XLOOKUP(Tabla4[[#This Row],[ID CLIENTE]],'RESUMEN CLIENTES'!D:D,'RESUMEN CLIENTES'!AA:AA)</f>
        <v>A1.1</v>
      </c>
      <c r="T99" s="680" t="str">
        <f>+_xlfn.XLOOKUP(Tabla4[[#This Row],[ID CLIENTE]],'RESUMEN CLIENTES'!D:D,'RESUMEN CLIENTES'!C:C)</f>
        <v>Perú</v>
      </c>
    </row>
    <row r="100" spans="1:20" ht="16">
      <c r="A100" s="82">
        <v>45813</v>
      </c>
      <c r="B100" s="82" t="str">
        <f>+_xlfn.XLOOKUP(Tabla4[[#This Row],[ID CLIENTE]],'RESUMEN CLIENTES'!D:D,'RESUMEN CLIENTES'!A:A)</f>
        <v>Dinorah Gómez Castellanos</v>
      </c>
      <c r="C100" s="83" t="s">
        <v>2168</v>
      </c>
      <c r="D100" s="83" t="s">
        <v>194</v>
      </c>
      <c r="E100" s="83" t="s">
        <v>294</v>
      </c>
      <c r="F100" s="83" t="s">
        <v>295</v>
      </c>
      <c r="G100" s="84">
        <v>1500</v>
      </c>
      <c r="H100" s="85">
        <v>-49</v>
      </c>
      <c r="I100" s="86">
        <f t="shared" si="2"/>
        <v>3.2666666666666663E-2</v>
      </c>
      <c r="J100" s="87">
        <f t="shared" si="3"/>
        <v>1451</v>
      </c>
      <c r="K100" s="87"/>
      <c r="L100" s="87" t="s">
        <v>4672</v>
      </c>
      <c r="M100" s="87"/>
      <c r="N100" s="521"/>
      <c r="O100" s="521">
        <f>+Tabla4[[#This Row],[PAGO NO EURO]]+Tabla4[[#This Row],[CARGO NO EURO]]</f>
        <v>0</v>
      </c>
      <c r="P100" s="521"/>
      <c r="Q100" s="88"/>
      <c r="R100" s="689">
        <f>+_xlfn.XLOOKUP(Tabla4[[#This Row],[ID CLIENTE]],'RESUMEN CLIENTES'!D:D,'RESUMEN CLIENTES'!G:G)</f>
        <v>45757</v>
      </c>
      <c r="S100" s="88" t="str">
        <f>+_xlfn.XLOOKUP(Tabla4[[#This Row],[ID CLIENTE]],'RESUMEN CLIENTES'!D:D,'RESUMEN CLIENTES'!AA:AA)</f>
        <v>B2.1</v>
      </c>
      <c r="T100" s="680" t="str">
        <f>+_xlfn.XLOOKUP(Tabla4[[#This Row],[ID CLIENTE]],'RESUMEN CLIENTES'!D:D,'RESUMEN CLIENTES'!C:C)</f>
        <v>México</v>
      </c>
    </row>
    <row r="101" spans="1:20" ht="16">
      <c r="A101" s="82">
        <v>45813</v>
      </c>
      <c r="B101" s="82" t="str">
        <f>+_xlfn.XLOOKUP(Tabla4[[#This Row],[ID CLIENTE]],'RESUMEN CLIENTES'!D:D,'RESUMEN CLIENTES'!A:A)</f>
        <v>Sven Sigurd Biedermann Aberg</v>
      </c>
      <c r="C101" s="83" t="s">
        <v>2182</v>
      </c>
      <c r="D101" s="83" t="s">
        <v>178</v>
      </c>
      <c r="E101" s="83" t="s">
        <v>304</v>
      </c>
      <c r="F101" s="83" t="s">
        <v>305</v>
      </c>
      <c r="G101" s="84">
        <v>3000</v>
      </c>
      <c r="H101" s="85">
        <v>-97.75</v>
      </c>
      <c r="I101" s="86">
        <f t="shared" si="2"/>
        <v>3.2583333333333332E-2</v>
      </c>
      <c r="J101" s="87">
        <f t="shared" si="3"/>
        <v>2902.25</v>
      </c>
      <c r="K101" s="87"/>
      <c r="L101" s="87" t="s">
        <v>4672</v>
      </c>
      <c r="M101" s="87"/>
      <c r="N101" s="521"/>
      <c r="O101" s="521">
        <f>+Tabla4[[#This Row],[PAGO NO EURO]]+Tabla4[[#This Row],[CARGO NO EURO]]</f>
        <v>0</v>
      </c>
      <c r="P101" s="521"/>
      <c r="Q101" s="88"/>
      <c r="R101" s="689">
        <f>+_xlfn.XLOOKUP(Tabla4[[#This Row],[ID CLIENTE]],'RESUMEN CLIENTES'!D:D,'RESUMEN CLIENTES'!G:G)</f>
        <v>45769</v>
      </c>
      <c r="S101" s="88" t="str">
        <f>+_xlfn.XLOOKUP(Tabla4[[#This Row],[ID CLIENTE]],'RESUMEN CLIENTES'!D:D,'RESUMEN CLIENTES'!AA:AA)</f>
        <v>null</v>
      </c>
      <c r="T101" s="680" t="str">
        <f>+_xlfn.XLOOKUP(Tabla4[[#This Row],[ID CLIENTE]],'RESUMEN CLIENTES'!D:D,'RESUMEN CLIENTES'!C:C)</f>
        <v>Chile</v>
      </c>
    </row>
    <row r="102" spans="1:20" ht="16">
      <c r="A102" s="82">
        <v>45814</v>
      </c>
      <c r="B102" s="82" t="str">
        <f>+_xlfn.XLOOKUP(Tabla4[[#This Row],[ID CLIENTE]],'RESUMEN CLIENTES'!D:D,'RESUMEN CLIENTES'!A:A)</f>
        <v>Liliana María Moreno Martinez</v>
      </c>
      <c r="C102" s="83" t="s">
        <v>2237</v>
      </c>
      <c r="D102" s="83" t="s">
        <v>278</v>
      </c>
      <c r="E102" s="83" t="s">
        <v>4805</v>
      </c>
      <c r="F102" s="83" t="s">
        <v>4806</v>
      </c>
      <c r="G102" s="84">
        <v>1000</v>
      </c>
      <c r="H102" s="85">
        <v>-32.75</v>
      </c>
      <c r="I102" s="86">
        <f t="shared" si="2"/>
        <v>3.2750000000000001E-2</v>
      </c>
      <c r="J102" s="87">
        <f t="shared" si="3"/>
        <v>967.25</v>
      </c>
      <c r="K102" s="87" t="s">
        <v>4804</v>
      </c>
      <c r="L102" s="87" t="s">
        <v>4672</v>
      </c>
      <c r="M102" s="87"/>
      <c r="N102" s="521"/>
      <c r="O102" s="521">
        <f>+Tabla4[[#This Row],[PAGO NO EURO]]+Tabla4[[#This Row],[CARGO NO EURO]]</f>
        <v>0</v>
      </c>
      <c r="P102" s="521"/>
      <c r="Q102" s="88"/>
      <c r="R102" s="689">
        <f>+_xlfn.XLOOKUP(Tabla4[[#This Row],[ID CLIENTE]],'RESUMEN CLIENTES'!D:D,'RESUMEN CLIENTES'!G:G)</f>
        <v>45812</v>
      </c>
      <c r="S102" s="88" t="str">
        <f>+_xlfn.XLOOKUP(Tabla4[[#This Row],[ID CLIENTE]],'RESUMEN CLIENTES'!D:D,'RESUMEN CLIENTES'!AA:AA)</f>
        <v>A1.1</v>
      </c>
      <c r="T102" s="680" t="str">
        <f>+_xlfn.XLOOKUP(Tabla4[[#This Row],[ID CLIENTE]],'RESUMEN CLIENTES'!D:D,'RESUMEN CLIENTES'!C:C)</f>
        <v>El Salvador</v>
      </c>
    </row>
    <row r="103" spans="1:20" ht="16">
      <c r="A103" s="82">
        <v>45814</v>
      </c>
      <c r="B103" s="82" t="str">
        <f>+_xlfn.XLOOKUP(Tabla4[[#This Row],[ID CLIENTE]],'RESUMEN CLIENTES'!D:D,'RESUMEN CLIENTES'!A:A)</f>
        <v>Liliana María Moreno Martinez</v>
      </c>
      <c r="C103" s="83" t="s">
        <v>2237</v>
      </c>
      <c r="D103" s="83" t="s">
        <v>278</v>
      </c>
      <c r="E103" s="83" t="s">
        <v>308</v>
      </c>
      <c r="F103" s="83" t="s">
        <v>309</v>
      </c>
      <c r="G103" s="84">
        <v>1000</v>
      </c>
      <c r="H103" s="85">
        <v>-32.75</v>
      </c>
      <c r="I103" s="86">
        <f t="shared" si="2"/>
        <v>3.2750000000000001E-2</v>
      </c>
      <c r="J103" s="87">
        <f t="shared" si="3"/>
        <v>967.25</v>
      </c>
      <c r="K103" s="87"/>
      <c r="L103" s="87" t="s">
        <v>4672</v>
      </c>
      <c r="M103" s="87"/>
      <c r="N103" s="521"/>
      <c r="O103" s="521">
        <f>+Tabla4[[#This Row],[PAGO NO EURO]]+Tabla4[[#This Row],[CARGO NO EURO]]</f>
        <v>0</v>
      </c>
      <c r="P103" s="521"/>
      <c r="Q103" s="88"/>
      <c r="R103" s="689">
        <f>+_xlfn.XLOOKUP(Tabla4[[#This Row],[ID CLIENTE]],'RESUMEN CLIENTES'!D:D,'RESUMEN CLIENTES'!G:G)</f>
        <v>45812</v>
      </c>
      <c r="S103" s="88" t="str">
        <f>+_xlfn.XLOOKUP(Tabla4[[#This Row],[ID CLIENTE]],'RESUMEN CLIENTES'!D:D,'RESUMEN CLIENTES'!AA:AA)</f>
        <v>A1.1</v>
      </c>
      <c r="T103" s="680" t="str">
        <f>+_xlfn.XLOOKUP(Tabla4[[#This Row],[ID CLIENTE]],'RESUMEN CLIENTES'!D:D,'RESUMEN CLIENTES'!C:C)</f>
        <v>El Salvador</v>
      </c>
    </row>
    <row r="104" spans="1:20" ht="16">
      <c r="A104" s="82">
        <v>45814</v>
      </c>
      <c r="B104" s="82" t="str">
        <f>+_xlfn.XLOOKUP(Tabla4[[#This Row],[ID CLIENTE]],'RESUMEN CLIENTES'!D:D,'RESUMEN CLIENTES'!A:A)</f>
        <v>Moira Millaray Schneider Rivera</v>
      </c>
      <c r="C104" s="83" t="s">
        <v>2147</v>
      </c>
      <c r="D104" s="83" t="s">
        <v>129</v>
      </c>
      <c r="E104" s="83" t="s">
        <v>302</v>
      </c>
      <c r="F104" s="83" t="s">
        <v>303</v>
      </c>
      <c r="G104" s="84">
        <v>1000</v>
      </c>
      <c r="H104" s="85">
        <v>-32.75</v>
      </c>
      <c r="I104" s="86">
        <f t="shared" si="2"/>
        <v>3.2750000000000001E-2</v>
      </c>
      <c r="J104" s="87">
        <f t="shared" si="3"/>
        <v>967.25</v>
      </c>
      <c r="K104" s="87"/>
      <c r="L104" s="87" t="s">
        <v>4672</v>
      </c>
      <c r="M104" s="87"/>
      <c r="N104" s="521"/>
      <c r="O104" s="521">
        <f>+Tabla4[[#This Row],[PAGO NO EURO]]+Tabla4[[#This Row],[CARGO NO EURO]]</f>
        <v>0</v>
      </c>
      <c r="P104" s="521"/>
      <c r="Q104" s="88"/>
      <c r="R104" s="689">
        <f>+_xlfn.XLOOKUP(Tabla4[[#This Row],[ID CLIENTE]],'RESUMEN CLIENTES'!D:D,'RESUMEN CLIENTES'!G:G)</f>
        <v>45740</v>
      </c>
      <c r="S104" s="88" t="str">
        <f>+_xlfn.XLOOKUP(Tabla4[[#This Row],[ID CLIENTE]],'RESUMEN CLIENTES'!D:D,'RESUMEN CLIENTES'!AA:AA)</f>
        <v>null</v>
      </c>
      <c r="T104" s="680" t="str">
        <f>+_xlfn.XLOOKUP(Tabla4[[#This Row],[ID CLIENTE]],'RESUMEN CLIENTES'!D:D,'RESUMEN CLIENTES'!C:C)</f>
        <v>Chile</v>
      </c>
    </row>
    <row r="105" spans="1:20" ht="16">
      <c r="A105" s="82">
        <v>45815</v>
      </c>
      <c r="B105" s="82" t="str">
        <f>+_xlfn.XLOOKUP(Tabla4[[#This Row],[ID CLIENTE]],'RESUMEN CLIENTES'!D:D,'RESUMEN CLIENTES'!A:A)</f>
        <v>Jordan Eliecer Toledo Bravo</v>
      </c>
      <c r="C105" s="83" t="s">
        <v>2158</v>
      </c>
      <c r="D105" s="83" t="s">
        <v>142</v>
      </c>
      <c r="E105" s="83" t="s">
        <v>298</v>
      </c>
      <c r="F105" s="83" t="s">
        <v>299</v>
      </c>
      <c r="G105" s="84">
        <v>400</v>
      </c>
      <c r="H105" s="85">
        <v>-13.25</v>
      </c>
      <c r="I105" s="86">
        <f t="shared" si="2"/>
        <v>3.3125000000000002E-2</v>
      </c>
      <c r="J105" s="87">
        <f t="shared" si="3"/>
        <v>386.75</v>
      </c>
      <c r="K105" s="87"/>
      <c r="L105" s="87" t="s">
        <v>4672</v>
      </c>
      <c r="M105" s="87"/>
      <c r="N105" s="521"/>
      <c r="O105" s="521">
        <f>+Tabla4[[#This Row],[PAGO NO EURO]]+Tabla4[[#This Row],[CARGO NO EURO]]</f>
        <v>0</v>
      </c>
      <c r="P105" s="521"/>
      <c r="Q105" s="88"/>
      <c r="R105" s="689">
        <f>+_xlfn.XLOOKUP(Tabla4[[#This Row],[ID CLIENTE]],'RESUMEN CLIENTES'!D:D,'RESUMEN CLIENTES'!G:G)</f>
        <v>45748</v>
      </c>
      <c r="S105" s="88" t="str">
        <f>+_xlfn.XLOOKUP(Tabla4[[#This Row],[ID CLIENTE]],'RESUMEN CLIENTES'!D:D,'RESUMEN CLIENTES'!AA:AA)</f>
        <v>A1.1</v>
      </c>
      <c r="T105" s="680" t="str">
        <f>+_xlfn.XLOOKUP(Tabla4[[#This Row],[ID CLIENTE]],'RESUMEN CLIENTES'!D:D,'RESUMEN CLIENTES'!C:C)</f>
        <v>Chile</v>
      </c>
    </row>
    <row r="106" spans="1:20" ht="16">
      <c r="A106" s="82">
        <v>45815</v>
      </c>
      <c r="B106" s="82" t="str">
        <f>+_xlfn.XLOOKUP(Tabla4[[#This Row],[ID CLIENTE]],'RESUMEN CLIENTES'!D:D,'RESUMEN CLIENTES'!A:A)</f>
        <v>Patricio Marcelo Chavez Macias</v>
      </c>
      <c r="C106" s="83" t="s">
        <v>2239</v>
      </c>
      <c r="D106" s="83" t="s">
        <v>2240</v>
      </c>
      <c r="E106" s="83" t="s">
        <v>2551</v>
      </c>
      <c r="F106" s="83"/>
      <c r="G106" s="84">
        <v>250</v>
      </c>
      <c r="H106" s="85">
        <v>-8.3800000000000008</v>
      </c>
      <c r="I106" s="86">
        <f t="shared" si="2"/>
        <v>3.3520000000000001E-2</v>
      </c>
      <c r="J106" s="87">
        <f t="shared" si="3"/>
        <v>241.62</v>
      </c>
      <c r="K106" s="87"/>
      <c r="L106" s="87" t="s">
        <v>4672</v>
      </c>
      <c r="M106" s="87"/>
      <c r="N106" s="521"/>
      <c r="O106" s="521">
        <f>+Tabla4[[#This Row],[PAGO NO EURO]]+Tabla4[[#This Row],[CARGO NO EURO]]</f>
        <v>0</v>
      </c>
      <c r="P106" s="521"/>
      <c r="Q106" s="88"/>
      <c r="R106" s="689">
        <f>+_xlfn.XLOOKUP(Tabla4[[#This Row],[ID CLIENTE]],'RESUMEN CLIENTES'!D:D,'RESUMEN CLIENTES'!G:G)</f>
        <v>45815</v>
      </c>
      <c r="S106" s="88" t="str">
        <f>+_xlfn.XLOOKUP(Tabla4[[#This Row],[ID CLIENTE]],'RESUMEN CLIENTES'!D:D,'RESUMEN CLIENTES'!AA:AA)</f>
        <v>null</v>
      </c>
      <c r="T106" s="680" t="str">
        <f>+_xlfn.XLOOKUP(Tabla4[[#This Row],[ID CLIENTE]],'RESUMEN CLIENTES'!D:D,'RESUMEN CLIENTES'!C:C)</f>
        <v>Argentina</v>
      </c>
    </row>
    <row r="107" spans="1:20" ht="16">
      <c r="A107" s="82">
        <v>45815</v>
      </c>
      <c r="B107" s="82" t="str">
        <f>+_xlfn.XLOOKUP(Tabla4[[#This Row],[ID CLIENTE]],'RESUMEN CLIENTES'!D:D,'RESUMEN CLIENTES'!A:A)</f>
        <v>Victor Emanuel Hernández Ruíz</v>
      </c>
      <c r="C107" s="83" t="s">
        <v>2141</v>
      </c>
      <c r="D107" s="83" t="s">
        <v>112</v>
      </c>
      <c r="E107" s="83" t="s">
        <v>306</v>
      </c>
      <c r="F107" s="83" t="s">
        <v>307</v>
      </c>
      <c r="G107" s="84">
        <v>1000</v>
      </c>
      <c r="H107" s="85">
        <v>-32.75</v>
      </c>
      <c r="I107" s="86">
        <f t="shared" si="2"/>
        <v>3.2750000000000001E-2</v>
      </c>
      <c r="J107" s="87">
        <f t="shared" si="3"/>
        <v>967.25</v>
      </c>
      <c r="K107" s="87"/>
      <c r="L107" s="87" t="s">
        <v>4672</v>
      </c>
      <c r="M107" s="87"/>
      <c r="N107" s="521"/>
      <c r="O107" s="521">
        <f>+Tabla4[[#This Row],[PAGO NO EURO]]+Tabla4[[#This Row],[CARGO NO EURO]]</f>
        <v>0</v>
      </c>
      <c r="P107" s="521"/>
      <c r="Q107" s="88"/>
      <c r="R107" s="689">
        <f>+_xlfn.XLOOKUP(Tabla4[[#This Row],[ID CLIENTE]],'RESUMEN CLIENTES'!D:D,'RESUMEN CLIENTES'!G:G)</f>
        <v>45735</v>
      </c>
      <c r="S107" s="88" t="str">
        <f>+_xlfn.XLOOKUP(Tabla4[[#This Row],[ID CLIENTE]],'RESUMEN CLIENTES'!D:D,'RESUMEN CLIENTES'!AA:AA)</f>
        <v>B2.1</v>
      </c>
      <c r="T107" s="680" t="str">
        <f>+_xlfn.XLOOKUP(Tabla4[[#This Row],[ID CLIENTE]],'RESUMEN CLIENTES'!D:D,'RESUMEN CLIENTES'!C:C)</f>
        <v>México</v>
      </c>
    </row>
    <row r="108" spans="1:20" ht="16">
      <c r="A108" s="82">
        <v>45816</v>
      </c>
      <c r="B108" s="82" t="str">
        <f>+_xlfn.XLOOKUP(Tabla4[[#This Row],[ID CLIENTE]],'RESUMEN CLIENTES'!D:D,'RESUMEN CLIENTES'!A:A)</f>
        <v>Diego Alonso Salazar Palacios</v>
      </c>
      <c r="C108" s="83" t="s">
        <v>2216</v>
      </c>
      <c r="D108" s="83" t="s">
        <v>253</v>
      </c>
      <c r="E108" s="83" t="s">
        <v>310</v>
      </c>
      <c r="F108" s="83" t="s">
        <v>311</v>
      </c>
      <c r="G108" s="84">
        <v>1750</v>
      </c>
      <c r="H108" s="85">
        <v>-57.13</v>
      </c>
      <c r="I108" s="86">
        <f t="shared" si="2"/>
        <v>3.2645714285714285E-2</v>
      </c>
      <c r="J108" s="87">
        <f t="shared" si="3"/>
        <v>1692.87</v>
      </c>
      <c r="K108" s="87"/>
      <c r="L108" s="87" t="s">
        <v>4672</v>
      </c>
      <c r="M108" s="87"/>
      <c r="N108" s="521"/>
      <c r="O108" s="521">
        <f>+Tabla4[[#This Row],[PAGO NO EURO]]+Tabla4[[#This Row],[CARGO NO EURO]]</f>
        <v>0</v>
      </c>
      <c r="P108" s="521"/>
      <c r="Q108" s="88"/>
      <c r="R108" s="689">
        <f>+_xlfn.XLOOKUP(Tabla4[[#This Row],[ID CLIENTE]],'RESUMEN CLIENTES'!D:D,'RESUMEN CLIENTES'!G:G)</f>
        <v>45803</v>
      </c>
      <c r="S108" s="88" t="str">
        <f>+_xlfn.XLOOKUP(Tabla4[[#This Row],[ID CLIENTE]],'RESUMEN CLIENTES'!D:D,'RESUMEN CLIENTES'!AA:AA)</f>
        <v>A1.1</v>
      </c>
      <c r="T108" s="680" t="str">
        <f>+_xlfn.XLOOKUP(Tabla4[[#This Row],[ID CLIENTE]],'RESUMEN CLIENTES'!D:D,'RESUMEN CLIENTES'!C:C)</f>
        <v>Perú</v>
      </c>
    </row>
    <row r="109" spans="1:20" ht="16">
      <c r="A109" s="82">
        <v>45816</v>
      </c>
      <c r="B109" s="82" t="str">
        <f>+_xlfn.XLOOKUP(Tabla4[[#This Row],[ID CLIENTE]],'RESUMEN CLIENTES'!D:D,'RESUMEN CLIENTES'!A:A)</f>
        <v>Liliana María Moreno Martinez</v>
      </c>
      <c r="C109" s="83" t="s">
        <v>2237</v>
      </c>
      <c r="D109" s="83" t="s">
        <v>278</v>
      </c>
      <c r="E109" s="83" t="s">
        <v>312</v>
      </c>
      <c r="F109" s="83" t="s">
        <v>313</v>
      </c>
      <c r="G109" s="84">
        <v>1000</v>
      </c>
      <c r="H109" s="85">
        <v>-32.75</v>
      </c>
      <c r="I109" s="86">
        <f t="shared" si="2"/>
        <v>3.2750000000000001E-2</v>
      </c>
      <c r="J109" s="87">
        <f t="shared" si="3"/>
        <v>967.25</v>
      </c>
      <c r="K109" s="87"/>
      <c r="L109" s="87" t="s">
        <v>4672</v>
      </c>
      <c r="M109" s="87"/>
      <c r="N109" s="521"/>
      <c r="O109" s="521">
        <f>+Tabla4[[#This Row],[PAGO NO EURO]]+Tabla4[[#This Row],[CARGO NO EURO]]</f>
        <v>0</v>
      </c>
      <c r="P109" s="521"/>
      <c r="Q109" s="88"/>
      <c r="R109" s="689">
        <f>+_xlfn.XLOOKUP(Tabla4[[#This Row],[ID CLIENTE]],'RESUMEN CLIENTES'!D:D,'RESUMEN CLIENTES'!G:G)</f>
        <v>45812</v>
      </c>
      <c r="S109" s="88" t="str">
        <f>+_xlfn.XLOOKUP(Tabla4[[#This Row],[ID CLIENTE]],'RESUMEN CLIENTES'!D:D,'RESUMEN CLIENTES'!AA:AA)</f>
        <v>A1.1</v>
      </c>
      <c r="T109" s="680" t="str">
        <f>+_xlfn.XLOOKUP(Tabla4[[#This Row],[ID CLIENTE]],'RESUMEN CLIENTES'!D:D,'RESUMEN CLIENTES'!C:C)</f>
        <v>El Salvador</v>
      </c>
    </row>
    <row r="110" spans="1:20" ht="16">
      <c r="A110" s="82">
        <v>45816</v>
      </c>
      <c r="B110" s="82" t="str">
        <f>+_xlfn.XLOOKUP(Tabla4[[#This Row],[ID CLIENTE]],'RESUMEN CLIENTES'!D:D,'RESUMEN CLIENTES'!A:A)</f>
        <v>Miguel Angel Sisalima Shiña</v>
      </c>
      <c r="C110" s="83" t="s">
        <v>2242</v>
      </c>
      <c r="D110" s="83" t="s">
        <v>314</v>
      </c>
      <c r="E110" s="83" t="s">
        <v>315</v>
      </c>
      <c r="F110" s="83" t="s">
        <v>316</v>
      </c>
      <c r="G110" s="84">
        <v>250</v>
      </c>
      <c r="H110" s="85">
        <v>-8.3800000000000008</v>
      </c>
      <c r="I110" s="86">
        <f t="shared" si="2"/>
        <v>3.3520000000000001E-2</v>
      </c>
      <c r="J110" s="87">
        <f t="shared" si="3"/>
        <v>241.62</v>
      </c>
      <c r="K110" s="87"/>
      <c r="L110" s="87" t="s">
        <v>4672</v>
      </c>
      <c r="M110" s="87"/>
      <c r="N110" s="521"/>
      <c r="O110" s="521">
        <f>+Tabla4[[#This Row],[PAGO NO EURO]]+Tabla4[[#This Row],[CARGO NO EURO]]</f>
        <v>0</v>
      </c>
      <c r="P110" s="521"/>
      <c r="Q110" s="88"/>
      <c r="R110" s="689">
        <f>+_xlfn.XLOOKUP(Tabla4[[#This Row],[ID CLIENTE]],'RESUMEN CLIENTES'!D:D,'RESUMEN CLIENTES'!G:G)</f>
        <v>45816</v>
      </c>
      <c r="S110" s="88" t="str">
        <f>+_xlfn.XLOOKUP(Tabla4[[#This Row],[ID CLIENTE]],'RESUMEN CLIENTES'!D:D,'RESUMEN CLIENTES'!AA:AA)</f>
        <v>A1.1</v>
      </c>
      <c r="T110" s="680" t="str">
        <f>+_xlfn.XLOOKUP(Tabla4[[#This Row],[ID CLIENTE]],'RESUMEN CLIENTES'!D:D,'RESUMEN CLIENTES'!C:C)</f>
        <v>Ecuador</v>
      </c>
    </row>
    <row r="111" spans="1:20" ht="16">
      <c r="A111" s="82">
        <v>45819</v>
      </c>
      <c r="B111" s="82" t="str">
        <f>+_xlfn.XLOOKUP(Tabla4[[#This Row],[ID CLIENTE]],'RESUMEN CLIENTES'!D:D,'RESUMEN CLIENTES'!A:A)</f>
        <v>Brandon Alcantara Gallegos</v>
      </c>
      <c r="C111" s="83" t="s">
        <v>2249</v>
      </c>
      <c r="D111" s="83" t="s">
        <v>319</v>
      </c>
      <c r="E111" s="83" t="s">
        <v>320</v>
      </c>
      <c r="F111" s="83" t="s">
        <v>321</v>
      </c>
      <c r="G111" s="84">
        <v>1000</v>
      </c>
      <c r="H111" s="85">
        <v>-32.75</v>
      </c>
      <c r="I111" s="86">
        <f t="shared" si="2"/>
        <v>3.2750000000000001E-2</v>
      </c>
      <c r="J111" s="87">
        <f t="shared" si="3"/>
        <v>967.25</v>
      </c>
      <c r="K111" s="87"/>
      <c r="L111" s="87" t="s">
        <v>4672</v>
      </c>
      <c r="M111" s="87"/>
      <c r="N111" s="521"/>
      <c r="O111" s="521">
        <f>+Tabla4[[#This Row],[PAGO NO EURO]]+Tabla4[[#This Row],[CARGO NO EURO]]</f>
        <v>0</v>
      </c>
      <c r="P111" s="521"/>
      <c r="Q111" s="88"/>
      <c r="R111" s="689">
        <f>+_xlfn.XLOOKUP(Tabla4[[#This Row],[ID CLIENTE]],'RESUMEN CLIENTES'!D:D,'RESUMEN CLIENTES'!G:G)</f>
        <v>45819</v>
      </c>
      <c r="S111" s="88" t="str">
        <f>+_xlfn.XLOOKUP(Tabla4[[#This Row],[ID CLIENTE]],'RESUMEN CLIENTES'!D:D,'RESUMEN CLIENTES'!AA:AA)</f>
        <v>null</v>
      </c>
      <c r="T111" s="680" t="str">
        <f>+_xlfn.XLOOKUP(Tabla4[[#This Row],[ID CLIENTE]],'RESUMEN CLIENTES'!D:D,'RESUMEN CLIENTES'!C:C)</f>
        <v>México</v>
      </c>
    </row>
    <row r="112" spans="1:20" ht="16">
      <c r="A112" s="82">
        <v>45819</v>
      </c>
      <c r="B112" s="82" t="str">
        <f>+_xlfn.XLOOKUP(Tabla4[[#This Row],[ID CLIENTE]],'RESUMEN CLIENTES'!D:D,'RESUMEN CLIENTES'!A:A)</f>
        <v>Juan Luis Jimenez Bravo</v>
      </c>
      <c r="C112" s="83" t="s">
        <v>2246</v>
      </c>
      <c r="D112" s="83" t="s">
        <v>2247</v>
      </c>
      <c r="E112" s="83" t="s">
        <v>2573</v>
      </c>
      <c r="F112" s="83" t="s">
        <v>2574</v>
      </c>
      <c r="G112" s="84">
        <v>250</v>
      </c>
      <c r="H112" s="85">
        <v>-13.44</v>
      </c>
      <c r="I112" s="86">
        <f t="shared" si="2"/>
        <v>5.3759999999999995E-2</v>
      </c>
      <c r="J112" s="87">
        <f t="shared" si="3"/>
        <v>236.56</v>
      </c>
      <c r="K112" s="87"/>
      <c r="L112" s="87" t="s">
        <v>4672</v>
      </c>
      <c r="M112" s="87"/>
      <c r="N112" s="521"/>
      <c r="O112" s="521">
        <f>+Tabla4[[#This Row],[PAGO NO EURO]]+Tabla4[[#This Row],[CARGO NO EURO]]</f>
        <v>0</v>
      </c>
      <c r="P112" s="521"/>
      <c r="Q112" s="88"/>
      <c r="R112" s="689">
        <f>+_xlfn.XLOOKUP(Tabla4[[#This Row],[ID CLIENTE]],'RESUMEN CLIENTES'!D:D,'RESUMEN CLIENTES'!G:G)</f>
        <v>45819</v>
      </c>
      <c r="S112" s="88" t="str">
        <f>+_xlfn.XLOOKUP(Tabla4[[#This Row],[ID CLIENTE]],'RESUMEN CLIENTES'!D:D,'RESUMEN CLIENTES'!AA:AA)</f>
        <v>null</v>
      </c>
      <c r="T112" s="680" t="str">
        <f>+_xlfn.XLOOKUP(Tabla4[[#This Row],[ID CLIENTE]],'RESUMEN CLIENTES'!D:D,'RESUMEN CLIENTES'!C:C)</f>
        <v>Perú</v>
      </c>
    </row>
    <row r="113" spans="1:20" ht="16">
      <c r="A113" s="82">
        <v>45819</v>
      </c>
      <c r="B113" s="82" t="str">
        <f>+_xlfn.XLOOKUP(Tabla4[[#This Row],[ID CLIENTE]],'RESUMEN CLIENTES'!D:D,'RESUMEN CLIENTES'!A:A)</f>
        <v>Mauricio Ignacio Alcayaga Romo</v>
      </c>
      <c r="C113" s="83" t="s">
        <v>2251</v>
      </c>
      <c r="D113" s="83" t="s">
        <v>322</v>
      </c>
      <c r="E113" s="83" t="s">
        <v>323</v>
      </c>
      <c r="F113" s="83" t="s">
        <v>324</v>
      </c>
      <c r="G113" s="84">
        <v>250</v>
      </c>
      <c r="H113" s="85">
        <v>-8.3800000000000008</v>
      </c>
      <c r="I113" s="86">
        <f t="shared" si="2"/>
        <v>3.3520000000000001E-2</v>
      </c>
      <c r="J113" s="87">
        <f t="shared" si="3"/>
        <v>241.62</v>
      </c>
      <c r="K113" s="87" t="s">
        <v>4681</v>
      </c>
      <c r="L113" s="87" t="s">
        <v>4675</v>
      </c>
      <c r="M113" s="87"/>
      <c r="N113" s="521"/>
      <c r="O113" s="521">
        <f>+Tabla4[[#This Row],[PAGO NO EURO]]+Tabla4[[#This Row],[CARGO NO EURO]]</f>
        <v>0</v>
      </c>
      <c r="P113" s="521"/>
      <c r="Q113" s="88"/>
      <c r="R113" s="689">
        <f>+_xlfn.XLOOKUP(Tabla4[[#This Row],[ID CLIENTE]],'RESUMEN CLIENTES'!D:D,'RESUMEN CLIENTES'!G:G)</f>
        <v>45819</v>
      </c>
      <c r="S113" s="88" t="str">
        <f>+_xlfn.XLOOKUP(Tabla4[[#This Row],[ID CLIENTE]],'RESUMEN CLIENTES'!D:D,'RESUMEN CLIENTES'!AA:AA)</f>
        <v>B2.1</v>
      </c>
      <c r="T113" s="680" t="str">
        <f>+_xlfn.XLOOKUP(Tabla4[[#This Row],[ID CLIENTE]],'RESUMEN CLIENTES'!D:D,'RESUMEN CLIENTES'!C:C)</f>
        <v>Chile</v>
      </c>
    </row>
    <row r="114" spans="1:20" ht="16">
      <c r="A114" s="82">
        <v>45820</v>
      </c>
      <c r="B114" s="82" t="str">
        <f>+_xlfn.XLOOKUP(Tabla4[[#This Row],[ID CLIENTE]],'RESUMEN CLIENTES'!D:D,'RESUMEN CLIENTES'!A:A)</f>
        <v>Jorge Andrés Barrera Vásquez</v>
      </c>
      <c r="C114" s="83" t="s">
        <v>2256</v>
      </c>
      <c r="D114" s="83" t="s">
        <v>330</v>
      </c>
      <c r="E114" s="83" t="s">
        <v>331</v>
      </c>
      <c r="F114" s="83" t="s">
        <v>332</v>
      </c>
      <c r="G114" s="84">
        <v>250</v>
      </c>
      <c r="H114" s="85">
        <v>-8.3800000000000008</v>
      </c>
      <c r="I114" s="86">
        <f t="shared" si="2"/>
        <v>3.3520000000000001E-2</v>
      </c>
      <c r="J114" s="87">
        <f t="shared" si="3"/>
        <v>241.62</v>
      </c>
      <c r="K114" s="87"/>
      <c r="L114" s="87" t="s">
        <v>4672</v>
      </c>
      <c r="M114" s="87"/>
      <c r="N114" s="521"/>
      <c r="O114" s="521">
        <f>+Tabla4[[#This Row],[PAGO NO EURO]]+Tabla4[[#This Row],[CARGO NO EURO]]</f>
        <v>0</v>
      </c>
      <c r="P114" s="521"/>
      <c r="Q114" s="88"/>
      <c r="R114" s="689">
        <f>+_xlfn.XLOOKUP(Tabla4[[#This Row],[ID CLIENTE]],'RESUMEN CLIENTES'!D:D,'RESUMEN CLIENTES'!G:G)</f>
        <v>45820</v>
      </c>
      <c r="S114" s="88" t="str">
        <f>+_xlfn.XLOOKUP(Tabla4[[#This Row],[ID CLIENTE]],'RESUMEN CLIENTES'!D:D,'RESUMEN CLIENTES'!AA:AA)</f>
        <v>null</v>
      </c>
      <c r="T114" s="680" t="str">
        <f>+_xlfn.XLOOKUP(Tabla4[[#This Row],[ID CLIENTE]],'RESUMEN CLIENTES'!D:D,'RESUMEN CLIENTES'!C:C)</f>
        <v>Ecuador</v>
      </c>
    </row>
    <row r="115" spans="1:20" ht="16">
      <c r="A115" s="82">
        <v>45820</v>
      </c>
      <c r="B115" s="82" t="str">
        <f>+_xlfn.XLOOKUP(Tabla4[[#This Row],[ID CLIENTE]],'RESUMEN CLIENTES'!D:D,'RESUMEN CLIENTES'!A:A)</f>
        <v>Brandon Alcantara Gallegos</v>
      </c>
      <c r="C115" s="83" t="s">
        <v>2249</v>
      </c>
      <c r="D115" s="83" t="s">
        <v>319</v>
      </c>
      <c r="E115" s="83" t="s">
        <v>328</v>
      </c>
      <c r="F115" s="83" t="s">
        <v>329</v>
      </c>
      <c r="G115" s="84">
        <v>1000</v>
      </c>
      <c r="H115" s="85">
        <v>-32.75</v>
      </c>
      <c r="I115" s="86">
        <f t="shared" si="2"/>
        <v>3.2750000000000001E-2</v>
      </c>
      <c r="J115" s="87">
        <f t="shared" si="3"/>
        <v>967.25</v>
      </c>
      <c r="K115" s="87"/>
      <c r="L115" s="87" t="s">
        <v>4672</v>
      </c>
      <c r="M115" s="87"/>
      <c r="N115" s="521"/>
      <c r="O115" s="521">
        <f>+Tabla4[[#This Row],[PAGO NO EURO]]+Tabla4[[#This Row],[CARGO NO EURO]]</f>
        <v>0</v>
      </c>
      <c r="P115" s="521"/>
      <c r="Q115" s="88"/>
      <c r="R115" s="689">
        <f>+_xlfn.XLOOKUP(Tabla4[[#This Row],[ID CLIENTE]],'RESUMEN CLIENTES'!D:D,'RESUMEN CLIENTES'!G:G)</f>
        <v>45819</v>
      </c>
      <c r="S115" s="88" t="str">
        <f>+_xlfn.XLOOKUP(Tabla4[[#This Row],[ID CLIENTE]],'RESUMEN CLIENTES'!D:D,'RESUMEN CLIENTES'!AA:AA)</f>
        <v>null</v>
      </c>
      <c r="T115" s="680" t="str">
        <f>+_xlfn.XLOOKUP(Tabla4[[#This Row],[ID CLIENTE]],'RESUMEN CLIENTES'!D:D,'RESUMEN CLIENTES'!C:C)</f>
        <v>México</v>
      </c>
    </row>
    <row r="116" spans="1:20" ht="16">
      <c r="A116" s="82">
        <v>45820</v>
      </c>
      <c r="B116" s="82" t="str">
        <f>+_xlfn.XLOOKUP(Tabla4[[#This Row],[ID CLIENTE]],'RESUMEN CLIENTES'!D:D,'RESUMEN CLIENTES'!A:A)</f>
        <v>Rodrigo Ignacio Rodriguez Frutos</v>
      </c>
      <c r="C116" s="83" t="s">
        <v>2214</v>
      </c>
      <c r="D116" s="83" t="s">
        <v>242</v>
      </c>
      <c r="E116" s="83" t="s">
        <v>2575</v>
      </c>
      <c r="F116" s="83" t="s">
        <v>2576</v>
      </c>
      <c r="G116" s="84">
        <v>2000</v>
      </c>
      <c r="H116" s="85">
        <v>-5</v>
      </c>
      <c r="I116" s="86">
        <f t="shared" si="2"/>
        <v>2.5000000000000001E-3</v>
      </c>
      <c r="J116" s="87">
        <f t="shared" si="3"/>
        <v>1995</v>
      </c>
      <c r="K116" s="87"/>
      <c r="L116" s="87" t="s">
        <v>4672</v>
      </c>
      <c r="M116" s="87"/>
      <c r="N116" s="521"/>
      <c r="O116" s="521">
        <f>+Tabla4[[#This Row],[PAGO NO EURO]]+Tabla4[[#This Row],[CARGO NO EURO]]</f>
        <v>0</v>
      </c>
      <c r="P116" s="521"/>
      <c r="Q116" s="88"/>
      <c r="R116" s="689">
        <f>+_xlfn.XLOOKUP(Tabla4[[#This Row],[ID CLIENTE]],'RESUMEN CLIENTES'!D:D,'RESUMEN CLIENTES'!G:G)</f>
        <v>45798</v>
      </c>
      <c r="S116" s="88" t="str">
        <f>+_xlfn.XLOOKUP(Tabla4[[#This Row],[ID CLIENTE]],'RESUMEN CLIENTES'!D:D,'RESUMEN CLIENTES'!AA:AA)</f>
        <v>null</v>
      </c>
      <c r="T116" s="680" t="str">
        <f>+_xlfn.XLOOKUP(Tabla4[[#This Row],[ID CLIENTE]],'RESUMEN CLIENTES'!D:D,'RESUMEN CLIENTES'!C:C)</f>
        <v>México</v>
      </c>
    </row>
    <row r="117" spans="1:20" ht="16">
      <c r="A117" s="82">
        <v>45820</v>
      </c>
      <c r="B117" s="82" t="str">
        <f>+_xlfn.XLOOKUP(Tabla4[[#This Row],[ID CLIENTE]],'RESUMEN CLIENTES'!D:D,'RESUMEN CLIENTES'!A:A)</f>
        <v>Félix Andrés Beltrán Morales</v>
      </c>
      <c r="C117" s="83" t="s">
        <v>2253</v>
      </c>
      <c r="D117" s="83" t="s">
        <v>2254</v>
      </c>
      <c r="E117" s="83" t="s">
        <v>2577</v>
      </c>
      <c r="F117" s="83" t="s">
        <v>2578</v>
      </c>
      <c r="G117" s="84">
        <v>250</v>
      </c>
      <c r="H117" s="85">
        <v>-8.3800000000000008</v>
      </c>
      <c r="I117" s="86">
        <f t="shared" si="2"/>
        <v>3.3520000000000001E-2</v>
      </c>
      <c r="J117" s="87">
        <f t="shared" si="3"/>
        <v>241.62</v>
      </c>
      <c r="K117" s="87"/>
      <c r="L117" s="87" t="s">
        <v>4672</v>
      </c>
      <c r="M117" s="87"/>
      <c r="N117" s="521"/>
      <c r="O117" s="521">
        <f>+Tabla4[[#This Row],[PAGO NO EURO]]+Tabla4[[#This Row],[CARGO NO EURO]]</f>
        <v>0</v>
      </c>
      <c r="P117" s="521"/>
      <c r="Q117" s="88"/>
      <c r="R117" s="689">
        <f>+_xlfn.XLOOKUP(Tabla4[[#This Row],[ID CLIENTE]],'RESUMEN CLIENTES'!D:D,'RESUMEN CLIENTES'!G:G)</f>
        <v>45820</v>
      </c>
      <c r="S117" s="88" t="str">
        <f>+_xlfn.XLOOKUP(Tabla4[[#This Row],[ID CLIENTE]],'RESUMEN CLIENTES'!D:D,'RESUMEN CLIENTES'!AA:AA)</f>
        <v>null</v>
      </c>
      <c r="T117" s="680" t="str">
        <f>+_xlfn.XLOOKUP(Tabla4[[#This Row],[ID CLIENTE]],'RESUMEN CLIENTES'!D:D,'RESUMEN CLIENTES'!C:C)</f>
        <v>Chile</v>
      </c>
    </row>
    <row r="118" spans="1:20" ht="16">
      <c r="A118" s="82">
        <v>45821</v>
      </c>
      <c r="B118" s="82" t="str">
        <f>+_xlfn.XLOOKUP(Tabla4[[#This Row],[ID CLIENTE]],'RESUMEN CLIENTES'!D:D,'RESUMEN CLIENTES'!A:A)</f>
        <v>Gabriel Galarza</v>
      </c>
      <c r="C118" s="83" t="s">
        <v>2258</v>
      </c>
      <c r="D118" s="83" t="s">
        <v>2259</v>
      </c>
      <c r="E118" s="83" t="s">
        <v>2579</v>
      </c>
      <c r="F118" s="83" t="s">
        <v>2580</v>
      </c>
      <c r="G118" s="84">
        <v>250</v>
      </c>
      <c r="H118" s="85">
        <v>-8.3800000000000008</v>
      </c>
      <c r="I118" s="86">
        <f t="shared" si="2"/>
        <v>3.3520000000000001E-2</v>
      </c>
      <c r="J118" s="87">
        <f t="shared" si="3"/>
        <v>241.62</v>
      </c>
      <c r="K118" s="87"/>
      <c r="L118" s="87" t="s">
        <v>4672</v>
      </c>
      <c r="M118" s="87"/>
      <c r="N118" s="521"/>
      <c r="O118" s="521">
        <f>+Tabla4[[#This Row],[PAGO NO EURO]]+Tabla4[[#This Row],[CARGO NO EURO]]</f>
        <v>0</v>
      </c>
      <c r="P118" s="521"/>
      <c r="Q118" s="88"/>
      <c r="R118" s="689">
        <f>+_xlfn.XLOOKUP(Tabla4[[#This Row],[ID CLIENTE]],'RESUMEN CLIENTES'!D:D,'RESUMEN CLIENTES'!G:G)</f>
        <v>45821</v>
      </c>
      <c r="S118" s="88" t="str">
        <f>+_xlfn.XLOOKUP(Tabla4[[#This Row],[ID CLIENTE]],'RESUMEN CLIENTES'!D:D,'RESUMEN CLIENTES'!AA:AA)</f>
        <v>null</v>
      </c>
      <c r="T118" s="680" t="str">
        <f>+_xlfn.XLOOKUP(Tabla4[[#This Row],[ID CLIENTE]],'RESUMEN CLIENTES'!D:D,'RESUMEN CLIENTES'!C:C)</f>
        <v>Ecuador</v>
      </c>
    </row>
    <row r="119" spans="1:20" ht="16">
      <c r="A119" s="82">
        <v>45821</v>
      </c>
      <c r="B119" s="82" t="str">
        <f>+_xlfn.XLOOKUP(Tabla4[[#This Row],[ID CLIENTE]],'RESUMEN CLIENTES'!D:D,'RESUMEN CLIENTES'!A:A)</f>
        <v>Jorge Augusto Cámbara Vargas</v>
      </c>
      <c r="C119" s="83" t="s">
        <v>2261</v>
      </c>
      <c r="D119" s="83" t="s">
        <v>333</v>
      </c>
      <c r="E119" s="83" t="s">
        <v>334</v>
      </c>
      <c r="F119" s="83" t="s">
        <v>335</v>
      </c>
      <c r="G119" s="84">
        <v>500</v>
      </c>
      <c r="H119" s="85">
        <v>-16.5</v>
      </c>
      <c r="I119" s="86">
        <f t="shared" si="2"/>
        <v>3.3000000000000002E-2</v>
      </c>
      <c r="J119" s="87">
        <f t="shared" si="3"/>
        <v>483.5</v>
      </c>
      <c r="K119" s="87"/>
      <c r="L119" s="87" t="s">
        <v>4672</v>
      </c>
      <c r="M119" s="87"/>
      <c r="N119" s="521"/>
      <c r="O119" s="521">
        <f>+Tabla4[[#This Row],[PAGO NO EURO]]+Tabla4[[#This Row],[CARGO NO EURO]]</f>
        <v>0</v>
      </c>
      <c r="P119" s="521"/>
      <c r="Q119" s="88"/>
      <c r="R119" s="689">
        <f>+_xlfn.XLOOKUP(Tabla4[[#This Row],[ID CLIENTE]],'RESUMEN CLIENTES'!D:D,'RESUMEN CLIENTES'!G:G)</f>
        <v>45821</v>
      </c>
      <c r="S119" s="88" t="str">
        <f>+_xlfn.XLOOKUP(Tabla4[[#This Row],[ID CLIENTE]],'RESUMEN CLIENTES'!D:D,'RESUMEN CLIENTES'!AA:AA)</f>
        <v>B1.1</v>
      </c>
      <c r="T119" s="680" t="str">
        <f>+_xlfn.XLOOKUP(Tabla4[[#This Row],[ID CLIENTE]],'RESUMEN CLIENTES'!D:D,'RESUMEN CLIENTES'!C:C)</f>
        <v>Guatemala</v>
      </c>
    </row>
    <row r="120" spans="1:20" ht="16">
      <c r="A120" s="82">
        <v>45822</v>
      </c>
      <c r="B120" s="82" t="str">
        <f>+_xlfn.XLOOKUP(Tabla4[[#This Row],[ID CLIENTE]],'RESUMEN CLIENTES'!D:D,'RESUMEN CLIENTES'!A:A)</f>
        <v>Maria Laura Rios Pino</v>
      </c>
      <c r="C120" s="83" t="s">
        <v>2220</v>
      </c>
      <c r="D120" s="83" t="s">
        <v>258</v>
      </c>
      <c r="E120" s="83" t="s">
        <v>336</v>
      </c>
      <c r="F120" s="83" t="s">
        <v>337</v>
      </c>
      <c r="G120" s="84">
        <v>1000</v>
      </c>
      <c r="H120" s="85">
        <v>-32.799999999999997</v>
      </c>
      <c r="I120" s="86">
        <f t="shared" si="2"/>
        <v>3.2799999999999996E-2</v>
      </c>
      <c r="J120" s="87">
        <f t="shared" si="3"/>
        <v>967.2</v>
      </c>
      <c r="K120" s="87"/>
      <c r="L120" s="87" t="s">
        <v>4672</v>
      </c>
      <c r="M120" s="87"/>
      <c r="N120" s="521"/>
      <c r="O120" s="521">
        <f>+Tabla4[[#This Row],[PAGO NO EURO]]+Tabla4[[#This Row],[CARGO NO EURO]]</f>
        <v>0</v>
      </c>
      <c r="P120" s="521"/>
      <c r="Q120" s="88"/>
      <c r="R120" s="689">
        <f>+_xlfn.XLOOKUP(Tabla4[[#This Row],[ID CLIENTE]],'RESUMEN CLIENTES'!D:D,'RESUMEN CLIENTES'!G:G)</f>
        <v>45805</v>
      </c>
      <c r="S120" s="88" t="str">
        <f>+_xlfn.XLOOKUP(Tabla4[[#This Row],[ID CLIENTE]],'RESUMEN CLIENTES'!D:D,'RESUMEN CLIENTES'!AA:AA)</f>
        <v>B1.1</v>
      </c>
      <c r="T120" s="680" t="str">
        <f>+_xlfn.XLOOKUP(Tabla4[[#This Row],[ID CLIENTE]],'RESUMEN CLIENTES'!D:D,'RESUMEN CLIENTES'!C:C)</f>
        <v>Perú</v>
      </c>
    </row>
    <row r="121" spans="1:20" ht="16">
      <c r="A121" s="82">
        <v>45823</v>
      </c>
      <c r="B121" s="82" t="str">
        <f>+_xlfn.XLOOKUP(Tabla4[[#This Row],[ID CLIENTE]],'RESUMEN CLIENTES'!D:D,'RESUMEN CLIENTES'!A:A)</f>
        <v>Alina Maria Cervantes Real</v>
      </c>
      <c r="C121" s="83" t="s">
        <v>2149</v>
      </c>
      <c r="D121" s="83" t="s">
        <v>187</v>
      </c>
      <c r="E121" s="83" t="s">
        <v>338</v>
      </c>
      <c r="F121" s="83" t="s">
        <v>339</v>
      </c>
      <c r="G121" s="84">
        <v>1500</v>
      </c>
      <c r="H121" s="85">
        <v>-49</v>
      </c>
      <c r="I121" s="86">
        <f t="shared" si="2"/>
        <v>3.2666666666666663E-2</v>
      </c>
      <c r="J121" s="87">
        <f t="shared" si="3"/>
        <v>1451</v>
      </c>
      <c r="K121" s="87"/>
      <c r="L121" s="87" t="s">
        <v>4672</v>
      </c>
      <c r="M121" s="87"/>
      <c r="N121" s="521"/>
      <c r="O121" s="521">
        <f>+Tabla4[[#This Row],[PAGO NO EURO]]+Tabla4[[#This Row],[CARGO NO EURO]]</f>
        <v>0</v>
      </c>
      <c r="P121" s="521"/>
      <c r="Q121" s="88"/>
      <c r="R121" s="689">
        <f>+_xlfn.XLOOKUP(Tabla4[[#This Row],[ID CLIENTE]],'RESUMEN CLIENTES'!D:D,'RESUMEN CLIENTES'!G:G)</f>
        <v>45741</v>
      </c>
      <c r="S121" s="88" t="str">
        <f>+_xlfn.XLOOKUP(Tabla4[[#This Row],[ID CLIENTE]],'RESUMEN CLIENTES'!D:D,'RESUMEN CLIENTES'!AA:AA)</f>
        <v>B1.1</v>
      </c>
      <c r="T121" s="680" t="str">
        <f>+_xlfn.XLOOKUP(Tabla4[[#This Row],[ID CLIENTE]],'RESUMEN CLIENTES'!D:D,'RESUMEN CLIENTES'!C:C)</f>
        <v>México</v>
      </c>
    </row>
    <row r="122" spans="1:20" ht="16">
      <c r="A122" s="82">
        <v>45823</v>
      </c>
      <c r="B122" s="82" t="str">
        <f>+_xlfn.XLOOKUP(Tabla4[[#This Row],[ID CLIENTE]],'RESUMEN CLIENTES'!D:D,'RESUMEN CLIENTES'!A:A)</f>
        <v>Juan Pablo Martínez Cabello</v>
      </c>
      <c r="C122" s="83" t="s">
        <v>2154</v>
      </c>
      <c r="D122" s="83" t="s">
        <v>136</v>
      </c>
      <c r="E122" s="83" t="s">
        <v>348</v>
      </c>
      <c r="F122" s="83" t="s">
        <v>349</v>
      </c>
      <c r="G122" s="84">
        <v>1000</v>
      </c>
      <c r="H122" s="85">
        <v>-32.75</v>
      </c>
      <c r="I122" s="86">
        <f t="shared" si="2"/>
        <v>3.2750000000000001E-2</v>
      </c>
      <c r="J122" s="87">
        <f t="shared" si="3"/>
        <v>967.25</v>
      </c>
      <c r="K122" s="87"/>
      <c r="L122" s="87" t="s">
        <v>4672</v>
      </c>
      <c r="M122" s="87"/>
      <c r="N122" s="521"/>
      <c r="O122" s="521">
        <f>+Tabla4[[#This Row],[PAGO NO EURO]]+Tabla4[[#This Row],[CARGO NO EURO]]</f>
        <v>0</v>
      </c>
      <c r="P122" s="521"/>
      <c r="Q122" s="88"/>
      <c r="R122" s="689">
        <f>+_xlfn.XLOOKUP(Tabla4[[#This Row],[ID CLIENTE]],'RESUMEN CLIENTES'!D:D,'RESUMEN CLIENTES'!G:G)</f>
        <v>45743</v>
      </c>
      <c r="S122" s="88" t="str">
        <f>+_xlfn.XLOOKUP(Tabla4[[#This Row],[ID CLIENTE]],'RESUMEN CLIENTES'!D:D,'RESUMEN CLIENTES'!AA:AA)</f>
        <v>B1.1</v>
      </c>
      <c r="T122" s="680" t="str">
        <f>+_xlfn.XLOOKUP(Tabla4[[#This Row],[ID CLIENTE]],'RESUMEN CLIENTES'!D:D,'RESUMEN CLIENTES'!C:C)</f>
        <v>Chile</v>
      </c>
    </row>
    <row r="123" spans="1:20" ht="16">
      <c r="A123" s="82">
        <v>45823</v>
      </c>
      <c r="B123" s="82" t="str">
        <f>+_xlfn.XLOOKUP(Tabla4[[#This Row],[ID CLIENTE]],'RESUMEN CLIENTES'!D:D,'RESUMEN CLIENTES'!A:A)</f>
        <v>Isaac Ricardo Jimenez Campos</v>
      </c>
      <c r="C123" s="83" t="s">
        <v>2131</v>
      </c>
      <c r="D123" s="83" t="s">
        <v>103</v>
      </c>
      <c r="E123" s="83" t="s">
        <v>346</v>
      </c>
      <c r="F123" s="83" t="s">
        <v>347</v>
      </c>
      <c r="G123" s="84">
        <v>654</v>
      </c>
      <c r="H123" s="85">
        <v>-21.51</v>
      </c>
      <c r="I123" s="86">
        <f t="shared" si="2"/>
        <v>3.2889908256880734E-2</v>
      </c>
      <c r="J123" s="87">
        <f t="shared" si="3"/>
        <v>632.49</v>
      </c>
      <c r="K123" s="87"/>
      <c r="L123" s="87" t="s">
        <v>4672</v>
      </c>
      <c r="M123" s="87"/>
      <c r="N123" s="521"/>
      <c r="O123" s="521">
        <f>+Tabla4[[#This Row],[PAGO NO EURO]]+Tabla4[[#This Row],[CARGO NO EURO]]</f>
        <v>0</v>
      </c>
      <c r="P123" s="521"/>
      <c r="Q123" s="88"/>
      <c r="R123" s="689">
        <f>+_xlfn.XLOOKUP(Tabla4[[#This Row],[ID CLIENTE]],'RESUMEN CLIENTES'!D:D,'RESUMEN CLIENTES'!G:G)</f>
        <v>45725</v>
      </c>
      <c r="S123" s="88" t="str">
        <f>+_xlfn.XLOOKUP(Tabla4[[#This Row],[ID CLIENTE]],'RESUMEN CLIENTES'!D:D,'RESUMEN CLIENTES'!AA:AA)</f>
        <v>null</v>
      </c>
      <c r="T123" s="680" t="str">
        <f>+_xlfn.XLOOKUP(Tabla4[[#This Row],[ID CLIENTE]],'RESUMEN CLIENTES'!D:D,'RESUMEN CLIENTES'!C:C)</f>
        <v>México</v>
      </c>
    </row>
    <row r="124" spans="1:20" ht="16">
      <c r="A124" s="82">
        <v>45824</v>
      </c>
      <c r="B124" s="82" t="str">
        <f>+_xlfn.XLOOKUP(Tabla4[[#This Row],[ID CLIENTE]],'RESUMEN CLIENTES'!D:D,'RESUMEN CLIENTES'!A:A)</f>
        <v>Nancy Gisselle Molinari Cheme</v>
      </c>
      <c r="C124" s="83" t="s">
        <v>2212</v>
      </c>
      <c r="D124" s="83" t="s">
        <v>247</v>
      </c>
      <c r="E124" s="83" t="s">
        <v>353</v>
      </c>
      <c r="F124" s="83" t="s">
        <v>354</v>
      </c>
      <c r="G124" s="84">
        <v>1000</v>
      </c>
      <c r="H124" s="85">
        <v>-32.75</v>
      </c>
      <c r="I124" s="86">
        <f t="shared" si="2"/>
        <v>3.2750000000000001E-2</v>
      </c>
      <c r="J124" s="87">
        <f t="shared" si="3"/>
        <v>967.25</v>
      </c>
      <c r="K124" s="87"/>
      <c r="L124" s="87" t="s">
        <v>4672</v>
      </c>
      <c r="M124" s="87"/>
      <c r="N124" s="521"/>
      <c r="O124" s="521">
        <f>+Tabla4[[#This Row],[PAGO NO EURO]]+Tabla4[[#This Row],[CARGO NO EURO]]</f>
        <v>0</v>
      </c>
      <c r="P124" s="521"/>
      <c r="Q124" s="88"/>
      <c r="R124" s="689">
        <f>+_xlfn.XLOOKUP(Tabla4[[#This Row],[ID CLIENTE]],'RESUMEN CLIENTES'!D:D,'RESUMEN CLIENTES'!G:G)</f>
        <v>45794</v>
      </c>
      <c r="S124" s="88" t="str">
        <f>+_xlfn.XLOOKUP(Tabla4[[#This Row],[ID CLIENTE]],'RESUMEN CLIENTES'!D:D,'RESUMEN CLIENTES'!AA:AA)</f>
        <v>B1.1</v>
      </c>
      <c r="T124" s="680" t="str">
        <f>+_xlfn.XLOOKUP(Tabla4[[#This Row],[ID CLIENTE]],'RESUMEN CLIENTES'!D:D,'RESUMEN CLIENTES'!C:C)</f>
        <v>Perú</v>
      </c>
    </row>
    <row r="125" spans="1:20" ht="16">
      <c r="A125" s="82">
        <v>45824</v>
      </c>
      <c r="B125" s="82" t="str">
        <f>+_xlfn.XLOOKUP(Tabla4[[#This Row],[ID CLIENTE]],'RESUMEN CLIENTES'!D:D,'RESUMEN CLIENTES'!A:A)</f>
        <v>Catalina Andrea Videla Muñoz</v>
      </c>
      <c r="C125" s="83" t="s">
        <v>2164</v>
      </c>
      <c r="D125" s="83" t="s">
        <v>156</v>
      </c>
      <c r="E125" s="83" t="s">
        <v>340</v>
      </c>
      <c r="F125" s="83" t="s">
        <v>341</v>
      </c>
      <c r="G125" s="84">
        <v>1250</v>
      </c>
      <c r="H125" s="85">
        <v>-40.880000000000003</v>
      </c>
      <c r="I125" s="86">
        <f t="shared" si="2"/>
        <v>3.2704000000000004E-2</v>
      </c>
      <c r="J125" s="87">
        <f t="shared" si="3"/>
        <v>1209.1199999999999</v>
      </c>
      <c r="K125" s="87"/>
      <c r="L125" s="87" t="s">
        <v>4672</v>
      </c>
      <c r="M125" s="87"/>
      <c r="N125" s="521"/>
      <c r="O125" s="521">
        <f>+Tabla4[[#This Row],[PAGO NO EURO]]+Tabla4[[#This Row],[CARGO NO EURO]]</f>
        <v>0</v>
      </c>
      <c r="P125" s="521"/>
      <c r="Q125" s="88"/>
      <c r="R125" s="689">
        <f>+_xlfn.XLOOKUP(Tabla4[[#This Row],[ID CLIENTE]],'RESUMEN CLIENTES'!D:D,'RESUMEN CLIENTES'!G:G)</f>
        <v>45755</v>
      </c>
      <c r="S125" s="88" t="str">
        <f>+_xlfn.XLOOKUP(Tabla4[[#This Row],[ID CLIENTE]],'RESUMEN CLIENTES'!D:D,'RESUMEN CLIENTES'!AA:AA)</f>
        <v>B1.3</v>
      </c>
      <c r="T125" s="680" t="str">
        <f>+_xlfn.XLOOKUP(Tabla4[[#This Row],[ID CLIENTE]],'RESUMEN CLIENTES'!D:D,'RESUMEN CLIENTES'!C:C)</f>
        <v>Chile</v>
      </c>
    </row>
    <row r="126" spans="1:20" ht="16">
      <c r="A126" s="82">
        <v>45825</v>
      </c>
      <c r="B126" s="82" t="str">
        <f>+_xlfn.XLOOKUP(Tabla4[[#This Row],[ID CLIENTE]],'RESUMEN CLIENTES'!D:D,'RESUMEN CLIENTES'!A:A)</f>
        <v>Bastian Sofjer Peralta</v>
      </c>
      <c r="C126" s="83" t="s">
        <v>2172</v>
      </c>
      <c r="D126" s="83" t="s">
        <v>162</v>
      </c>
      <c r="E126" s="83" t="s">
        <v>412</v>
      </c>
      <c r="F126" s="83" t="s">
        <v>413</v>
      </c>
      <c r="G126" s="84">
        <v>3000</v>
      </c>
      <c r="H126" s="85">
        <v>-97.75</v>
      </c>
      <c r="I126" s="86">
        <f t="shared" si="2"/>
        <v>3.2583333333333332E-2</v>
      </c>
      <c r="J126" s="87">
        <f t="shared" si="3"/>
        <v>2902.25</v>
      </c>
      <c r="K126" s="87"/>
      <c r="L126" s="87" t="s">
        <v>4672</v>
      </c>
      <c r="M126" s="87"/>
      <c r="N126" s="521"/>
      <c r="O126" s="521">
        <f>+Tabla4[[#This Row],[PAGO NO EURO]]+Tabla4[[#This Row],[CARGO NO EURO]]</f>
        <v>0</v>
      </c>
      <c r="P126" s="521"/>
      <c r="Q126" s="88"/>
      <c r="R126" s="689">
        <f>+_xlfn.XLOOKUP(Tabla4[[#This Row],[ID CLIENTE]],'RESUMEN CLIENTES'!D:D,'RESUMEN CLIENTES'!G:G)</f>
        <v>45758</v>
      </c>
      <c r="S126" s="88" t="str">
        <f>+_xlfn.XLOOKUP(Tabla4[[#This Row],[ID CLIENTE]],'RESUMEN CLIENTES'!D:D,'RESUMEN CLIENTES'!AA:AA)</f>
        <v>A1.1</v>
      </c>
      <c r="T126" s="680" t="str">
        <f>+_xlfn.XLOOKUP(Tabla4[[#This Row],[ID CLIENTE]],'RESUMEN CLIENTES'!D:D,'RESUMEN CLIENTES'!C:C)</f>
        <v>Chile</v>
      </c>
    </row>
    <row r="127" spans="1:20" ht="16">
      <c r="A127" s="82">
        <v>45825</v>
      </c>
      <c r="B127" s="82" t="str">
        <f>+_xlfn.XLOOKUP(Tabla4[[#This Row],[ID CLIENTE]],'RESUMEN CLIENTES'!D:D,'RESUMEN CLIENTES'!A:A)</f>
        <v>Gabriela Kimberlyn Moran Caiza</v>
      </c>
      <c r="C127" s="83" t="s">
        <v>2127</v>
      </c>
      <c r="D127" s="83" t="s">
        <v>98</v>
      </c>
      <c r="E127" s="83" t="s">
        <v>344</v>
      </c>
      <c r="F127" s="83" t="s">
        <v>345</v>
      </c>
      <c r="G127" s="84">
        <v>500</v>
      </c>
      <c r="H127" s="85">
        <v>-16.5</v>
      </c>
      <c r="I127" s="86">
        <f t="shared" si="2"/>
        <v>3.3000000000000002E-2</v>
      </c>
      <c r="J127" s="87">
        <f t="shared" si="3"/>
        <v>483.5</v>
      </c>
      <c r="K127" s="87"/>
      <c r="L127" s="87" t="s">
        <v>4672</v>
      </c>
      <c r="M127" s="87"/>
      <c r="N127" s="521"/>
      <c r="O127" s="521">
        <f>+Tabla4[[#This Row],[PAGO NO EURO]]+Tabla4[[#This Row],[CARGO NO EURO]]</f>
        <v>0</v>
      </c>
      <c r="P127" s="521"/>
      <c r="Q127" s="88"/>
      <c r="R127" s="689">
        <f>+_xlfn.XLOOKUP(Tabla4[[#This Row],[ID CLIENTE]],'RESUMEN CLIENTES'!D:D,'RESUMEN CLIENTES'!G:G)</f>
        <v>45721</v>
      </c>
      <c r="S127" s="88" t="str">
        <f>+_xlfn.XLOOKUP(Tabla4[[#This Row],[ID CLIENTE]],'RESUMEN CLIENTES'!D:D,'RESUMEN CLIENTES'!AA:AA)</f>
        <v>B2.1</v>
      </c>
      <c r="T127" s="680" t="str">
        <f>+_xlfn.XLOOKUP(Tabla4[[#This Row],[ID CLIENTE]],'RESUMEN CLIENTES'!D:D,'RESUMEN CLIENTES'!C:C)</f>
        <v>Ecuador</v>
      </c>
    </row>
    <row r="128" spans="1:20" ht="16">
      <c r="A128" s="82">
        <v>45825</v>
      </c>
      <c r="B128" s="82" t="str">
        <f>+_xlfn.XLOOKUP(Tabla4[[#This Row],[ID CLIENTE]],'RESUMEN CLIENTES'!D:D,'RESUMEN CLIENTES'!A:A)</f>
        <v>Gabriel Alejandro Ortega Moreno</v>
      </c>
      <c r="C128" s="83" t="s">
        <v>2129</v>
      </c>
      <c r="D128" s="83" t="s">
        <v>95</v>
      </c>
      <c r="E128" s="83" t="s">
        <v>342</v>
      </c>
      <c r="F128" s="83" t="s">
        <v>343</v>
      </c>
      <c r="G128" s="84">
        <v>1000</v>
      </c>
      <c r="H128" s="85">
        <v>-32.75</v>
      </c>
      <c r="I128" s="86">
        <f t="shared" si="2"/>
        <v>3.2750000000000001E-2</v>
      </c>
      <c r="J128" s="87">
        <f t="shared" si="3"/>
        <v>967.25</v>
      </c>
      <c r="K128" s="87"/>
      <c r="L128" s="87" t="s">
        <v>4672</v>
      </c>
      <c r="M128" s="87"/>
      <c r="N128" s="521"/>
      <c r="O128" s="521">
        <f>+Tabla4[[#This Row],[PAGO NO EURO]]+Tabla4[[#This Row],[CARGO NO EURO]]</f>
        <v>0</v>
      </c>
      <c r="P128" s="521"/>
      <c r="Q128" s="88"/>
      <c r="R128" s="689">
        <f>+_xlfn.XLOOKUP(Tabla4[[#This Row],[ID CLIENTE]],'RESUMEN CLIENTES'!D:D,'RESUMEN CLIENTES'!G:G)</f>
        <v>45721</v>
      </c>
      <c r="S128" s="88" t="str">
        <f>+_xlfn.XLOOKUP(Tabla4[[#This Row],[ID CLIENTE]],'RESUMEN CLIENTES'!D:D,'RESUMEN CLIENTES'!AA:AA)</f>
        <v>B2.1</v>
      </c>
      <c r="T128" s="680" t="str">
        <f>+_xlfn.XLOOKUP(Tabla4[[#This Row],[ID CLIENTE]],'RESUMEN CLIENTES'!D:D,'RESUMEN CLIENTES'!C:C)</f>
        <v>Ecuador</v>
      </c>
    </row>
    <row r="129" spans="1:20" ht="16">
      <c r="A129" s="82">
        <v>45827</v>
      </c>
      <c r="B129" s="82" t="str">
        <f>+_xlfn.XLOOKUP(Tabla4[[#This Row],[ID CLIENTE]],'RESUMEN CLIENTES'!D:D,'RESUMEN CLIENTES'!A:A)</f>
        <v>Rainier Guerrero</v>
      </c>
      <c r="C129" s="83" t="s">
        <v>2263</v>
      </c>
      <c r="D129" s="83" t="s">
        <v>350</v>
      </c>
      <c r="E129" s="83" t="s">
        <v>351</v>
      </c>
      <c r="F129" s="83" t="s">
        <v>352</v>
      </c>
      <c r="G129" s="84">
        <v>250</v>
      </c>
      <c r="H129" s="85">
        <v>-8.3800000000000008</v>
      </c>
      <c r="I129" s="86">
        <f t="shared" si="2"/>
        <v>3.3520000000000001E-2</v>
      </c>
      <c r="J129" s="87">
        <f t="shared" si="3"/>
        <v>241.62</v>
      </c>
      <c r="K129" s="87"/>
      <c r="L129" s="87" t="s">
        <v>4672</v>
      </c>
      <c r="M129" s="87"/>
      <c r="N129" s="521"/>
      <c r="O129" s="521">
        <f>+Tabla4[[#This Row],[PAGO NO EURO]]+Tabla4[[#This Row],[CARGO NO EURO]]</f>
        <v>0</v>
      </c>
      <c r="P129" s="521"/>
      <c r="Q129" s="88"/>
      <c r="R129" s="689">
        <f>+_xlfn.XLOOKUP(Tabla4[[#This Row],[ID CLIENTE]],'RESUMEN CLIENTES'!D:D,'RESUMEN CLIENTES'!G:G)</f>
        <v>45827</v>
      </c>
      <c r="S129" s="88" t="str">
        <f>+_xlfn.XLOOKUP(Tabla4[[#This Row],[ID CLIENTE]],'RESUMEN CLIENTES'!D:D,'RESUMEN CLIENTES'!AA:AA)</f>
        <v>A1.1</v>
      </c>
      <c r="T129" s="680" t="str">
        <f>+_xlfn.XLOOKUP(Tabla4[[#This Row],[ID CLIENTE]],'RESUMEN CLIENTES'!D:D,'RESUMEN CLIENTES'!C:C)</f>
        <v>México</v>
      </c>
    </row>
    <row r="130" spans="1:20" ht="16">
      <c r="A130" s="82">
        <v>45830</v>
      </c>
      <c r="B130" s="82" t="str">
        <f>+_xlfn.XLOOKUP(Tabla4[[#This Row],[ID CLIENTE]],'RESUMEN CLIENTES'!D:D,'RESUMEN CLIENTES'!A:A)</f>
        <v>Jessica Ayelén Culla Alvarez</v>
      </c>
      <c r="C130" s="83" t="s">
        <v>2265</v>
      </c>
      <c r="D130" s="83" t="s">
        <v>362</v>
      </c>
      <c r="E130" s="83" t="s">
        <v>363</v>
      </c>
      <c r="F130" s="83" t="s">
        <v>364</v>
      </c>
      <c r="G130" s="84">
        <v>250</v>
      </c>
      <c r="H130" s="85">
        <v>-8.3800000000000008</v>
      </c>
      <c r="I130" s="86">
        <f t="shared" ref="I130:I193" si="4">+IFERROR(-(H130)/G130,"")</f>
        <v>3.3520000000000001E-2</v>
      </c>
      <c r="J130" s="87">
        <f t="shared" ref="J130:J193" si="5">+G130+H130</f>
        <v>241.62</v>
      </c>
      <c r="K130" s="87"/>
      <c r="L130" s="87" t="s">
        <v>4672</v>
      </c>
      <c r="M130" s="87"/>
      <c r="N130" s="521"/>
      <c r="O130" s="521">
        <f>+Tabla4[[#This Row],[PAGO NO EURO]]+Tabla4[[#This Row],[CARGO NO EURO]]</f>
        <v>0</v>
      </c>
      <c r="P130" s="521"/>
      <c r="Q130" s="88"/>
      <c r="R130" s="689">
        <f>+_xlfn.XLOOKUP(Tabla4[[#This Row],[ID CLIENTE]],'RESUMEN CLIENTES'!D:D,'RESUMEN CLIENTES'!G:G)</f>
        <v>45830</v>
      </c>
      <c r="S130" s="88" t="str">
        <f>+_xlfn.XLOOKUP(Tabla4[[#This Row],[ID CLIENTE]],'RESUMEN CLIENTES'!D:D,'RESUMEN CLIENTES'!AA:AA)</f>
        <v>B1.1</v>
      </c>
      <c r="T130" s="680" t="str">
        <f>+_xlfn.XLOOKUP(Tabla4[[#This Row],[ID CLIENTE]],'RESUMEN CLIENTES'!D:D,'RESUMEN CLIENTES'!C:C)</f>
        <v>Argentina</v>
      </c>
    </row>
    <row r="131" spans="1:20" ht="16">
      <c r="A131" s="82">
        <v>45831</v>
      </c>
      <c r="B131" s="82" t="str">
        <f>+_xlfn.XLOOKUP(Tabla4[[#This Row],[ID CLIENTE]],'RESUMEN CLIENTES'!D:D,'RESUMEN CLIENTES'!A:A)</f>
        <v>Andrea Cristina Estrada Morocho</v>
      </c>
      <c r="C131" s="83" t="s">
        <v>2267</v>
      </c>
      <c r="D131" s="83" t="s">
        <v>325</v>
      </c>
      <c r="E131" s="83" t="s">
        <v>326</v>
      </c>
      <c r="F131" s="83" t="s">
        <v>327</v>
      </c>
      <c r="G131" s="84">
        <v>500</v>
      </c>
      <c r="H131" s="85">
        <v>0</v>
      </c>
      <c r="I131" s="86">
        <f t="shared" si="4"/>
        <v>0</v>
      </c>
      <c r="J131" s="87">
        <f t="shared" si="5"/>
        <v>500</v>
      </c>
      <c r="K131" s="87"/>
      <c r="L131" s="87" t="s">
        <v>4672</v>
      </c>
      <c r="M131" s="87"/>
      <c r="N131" s="521"/>
      <c r="O131" s="521">
        <f>+Tabla4[[#This Row],[PAGO NO EURO]]+Tabla4[[#This Row],[CARGO NO EURO]]</f>
        <v>0</v>
      </c>
      <c r="P131" s="521"/>
      <c r="Q131" s="88"/>
      <c r="R131" s="689">
        <f>+_xlfn.XLOOKUP(Tabla4[[#This Row],[ID CLIENTE]],'RESUMEN CLIENTES'!D:D,'RESUMEN CLIENTES'!G:G)</f>
        <v>45831</v>
      </c>
      <c r="S131" s="88" t="str">
        <f>+_xlfn.XLOOKUP(Tabla4[[#This Row],[ID CLIENTE]],'RESUMEN CLIENTES'!D:D,'RESUMEN CLIENTES'!AA:AA)</f>
        <v>A1.1</v>
      </c>
      <c r="T131" s="680" t="str">
        <f>+_xlfn.XLOOKUP(Tabla4[[#This Row],[ID CLIENTE]],'RESUMEN CLIENTES'!D:D,'RESUMEN CLIENTES'!C:C)</f>
        <v>Ecuador</v>
      </c>
    </row>
    <row r="132" spans="1:20" ht="16">
      <c r="A132" s="82">
        <v>45831</v>
      </c>
      <c r="B132" s="82" t="str">
        <f>+_xlfn.XLOOKUP(Tabla4[[#This Row],[ID CLIENTE]],'RESUMEN CLIENTES'!D:D,'RESUMEN CLIENTES'!A:A)</f>
        <v>Jose Marcelo Marroquín Guzmán</v>
      </c>
      <c r="C132" s="83" t="s">
        <v>2121</v>
      </c>
      <c r="D132" s="83" t="s">
        <v>87</v>
      </c>
      <c r="E132" s="83" t="s">
        <v>357</v>
      </c>
      <c r="F132" s="83" t="s">
        <v>358</v>
      </c>
      <c r="G132" s="84">
        <v>513</v>
      </c>
      <c r="H132" s="85">
        <v>-16.920000000000002</v>
      </c>
      <c r="I132" s="86">
        <f t="shared" si="4"/>
        <v>3.2982456140350884E-2</v>
      </c>
      <c r="J132" s="87">
        <f t="shared" si="5"/>
        <v>496.08</v>
      </c>
      <c r="K132" s="87"/>
      <c r="L132" s="87" t="s">
        <v>4672</v>
      </c>
      <c r="M132" s="87"/>
      <c r="N132" s="521"/>
      <c r="O132" s="521">
        <f>+Tabla4[[#This Row],[PAGO NO EURO]]+Tabla4[[#This Row],[CARGO NO EURO]]</f>
        <v>0</v>
      </c>
      <c r="P132" s="521"/>
      <c r="Q132" s="88"/>
      <c r="R132" s="689">
        <f>+_xlfn.XLOOKUP(Tabla4[[#This Row],[ID CLIENTE]],'RESUMEN CLIENTES'!D:D,'RESUMEN CLIENTES'!G:G)</f>
        <v>45658</v>
      </c>
      <c r="S132" s="88" t="str">
        <f>+_xlfn.XLOOKUP(Tabla4[[#This Row],[ID CLIENTE]],'RESUMEN CLIENTES'!D:D,'RESUMEN CLIENTES'!AA:AA)</f>
        <v>A2.1</v>
      </c>
      <c r="T132" s="680" t="str">
        <f>+_xlfn.XLOOKUP(Tabla4[[#This Row],[ID CLIENTE]],'RESUMEN CLIENTES'!D:D,'RESUMEN CLIENTES'!C:C)</f>
        <v>El Salvador</v>
      </c>
    </row>
    <row r="133" spans="1:20" ht="16">
      <c r="A133" s="82">
        <v>45832</v>
      </c>
      <c r="B133" s="82" t="str">
        <f>+_xlfn.XLOOKUP(Tabla4[[#This Row],[ID CLIENTE]],'RESUMEN CLIENTES'!D:D,'RESUMEN CLIENTES'!A:A)</f>
        <v>Andrea Corpeño López</v>
      </c>
      <c r="C133" s="83" t="s">
        <v>2117</v>
      </c>
      <c r="D133" s="83" t="s">
        <v>84</v>
      </c>
      <c r="E133" s="83" t="s">
        <v>355</v>
      </c>
      <c r="F133" s="83" t="s">
        <v>356</v>
      </c>
      <c r="G133" s="84">
        <v>513</v>
      </c>
      <c r="H133" s="85">
        <v>-16.920000000000002</v>
      </c>
      <c r="I133" s="86">
        <f t="shared" si="4"/>
        <v>3.2982456140350884E-2</v>
      </c>
      <c r="J133" s="87">
        <f t="shared" si="5"/>
        <v>496.08</v>
      </c>
      <c r="K133" s="87"/>
      <c r="L133" s="87" t="s">
        <v>4672</v>
      </c>
      <c r="M133" s="87"/>
      <c r="N133" s="521"/>
      <c r="O133" s="521">
        <f>+Tabla4[[#This Row],[PAGO NO EURO]]+Tabla4[[#This Row],[CARGO NO EURO]]</f>
        <v>0</v>
      </c>
      <c r="P133" s="521"/>
      <c r="Q133" s="88"/>
      <c r="R133" s="689">
        <f>+_xlfn.XLOOKUP(Tabla4[[#This Row],[ID CLIENTE]],'RESUMEN CLIENTES'!D:D,'RESUMEN CLIENTES'!G:G)</f>
        <v>45658</v>
      </c>
      <c r="S133" s="88" t="str">
        <f>+_xlfn.XLOOKUP(Tabla4[[#This Row],[ID CLIENTE]],'RESUMEN CLIENTES'!D:D,'RESUMEN CLIENTES'!AA:AA)</f>
        <v>-</v>
      </c>
      <c r="T133" s="680" t="str">
        <f>+_xlfn.XLOOKUP(Tabla4[[#This Row],[ID CLIENTE]],'RESUMEN CLIENTES'!D:D,'RESUMEN CLIENTES'!C:C)</f>
        <v>El Salvador</v>
      </c>
    </row>
    <row r="134" spans="1:20" ht="16">
      <c r="A134" s="82">
        <v>45832</v>
      </c>
      <c r="B134" s="82" t="str">
        <f>+_xlfn.XLOOKUP(Tabla4[[#This Row],[ID CLIENTE]],'RESUMEN CLIENTES'!D:D,'RESUMEN CLIENTES'!A:A)</f>
        <v>Juan Camilo Sanchez Ramirez</v>
      </c>
      <c r="C134" s="83" t="s">
        <v>2227</v>
      </c>
      <c r="D134" s="83" t="s">
        <v>266</v>
      </c>
      <c r="E134" s="83" t="s">
        <v>365</v>
      </c>
      <c r="F134" s="83" t="s">
        <v>366</v>
      </c>
      <c r="G134" s="84">
        <v>2000</v>
      </c>
      <c r="H134" s="85">
        <v>-65.25</v>
      </c>
      <c r="I134" s="86">
        <f t="shared" si="4"/>
        <v>3.2625000000000001E-2</v>
      </c>
      <c r="J134" s="87">
        <f t="shared" si="5"/>
        <v>1934.75</v>
      </c>
      <c r="K134" s="87"/>
      <c r="L134" s="87" t="s">
        <v>4672</v>
      </c>
      <c r="M134" s="87"/>
      <c r="N134" s="521"/>
      <c r="O134" s="521">
        <f>+Tabla4[[#This Row],[PAGO NO EURO]]+Tabla4[[#This Row],[CARGO NO EURO]]</f>
        <v>0</v>
      </c>
      <c r="P134" s="521"/>
      <c r="Q134" s="88"/>
      <c r="R134" s="689">
        <f>+_xlfn.XLOOKUP(Tabla4[[#This Row],[ID CLIENTE]],'RESUMEN CLIENTES'!D:D,'RESUMEN CLIENTES'!G:G)</f>
        <v>45807</v>
      </c>
      <c r="S134" s="88" t="str">
        <f>+_xlfn.XLOOKUP(Tabla4[[#This Row],[ID CLIENTE]],'RESUMEN CLIENTES'!D:D,'RESUMEN CLIENTES'!AA:AA)</f>
        <v>A1.1</v>
      </c>
      <c r="T134" s="680" t="str">
        <f>+_xlfn.XLOOKUP(Tabla4[[#This Row],[ID CLIENTE]],'RESUMEN CLIENTES'!D:D,'RESUMEN CLIENTES'!C:C)</f>
        <v>Colombia</v>
      </c>
    </row>
    <row r="135" spans="1:20" ht="16">
      <c r="A135" s="82">
        <v>45832</v>
      </c>
      <c r="B135" s="82" t="str">
        <f>+_xlfn.XLOOKUP(Tabla4[[#This Row],[ID CLIENTE]],'RESUMEN CLIENTES'!D:D,'RESUMEN CLIENTES'!A:A)</f>
        <v>Fernanda Castro</v>
      </c>
      <c r="C135" s="83" t="s">
        <v>2218</v>
      </c>
      <c r="D135" s="83" t="s">
        <v>250</v>
      </c>
      <c r="E135" s="83" t="s">
        <v>360</v>
      </c>
      <c r="F135" s="83" t="s">
        <v>361</v>
      </c>
      <c r="G135" s="84">
        <v>1000</v>
      </c>
      <c r="H135" s="85">
        <v>-32.75</v>
      </c>
      <c r="I135" s="86">
        <f t="shared" si="4"/>
        <v>3.2750000000000001E-2</v>
      </c>
      <c r="J135" s="87">
        <f t="shared" si="5"/>
        <v>967.25</v>
      </c>
      <c r="K135" s="87"/>
      <c r="L135" s="87" t="s">
        <v>4672</v>
      </c>
      <c r="M135" s="87"/>
      <c r="N135" s="521"/>
      <c r="O135" s="521">
        <f>+Tabla4[[#This Row],[PAGO NO EURO]]+Tabla4[[#This Row],[CARGO NO EURO]]</f>
        <v>0</v>
      </c>
      <c r="P135" s="521"/>
      <c r="Q135" s="88"/>
      <c r="R135" s="689">
        <f>+_xlfn.XLOOKUP(Tabla4[[#This Row],[ID CLIENTE]],'RESUMEN CLIENTES'!D:D,'RESUMEN CLIENTES'!G:G)</f>
        <v>45803</v>
      </c>
      <c r="S135" s="88" t="str">
        <f>+_xlfn.XLOOKUP(Tabla4[[#This Row],[ID CLIENTE]],'RESUMEN CLIENTES'!D:D,'RESUMEN CLIENTES'!AA:AA)</f>
        <v>A2.1</v>
      </c>
      <c r="T135" s="680" t="str">
        <f>+_xlfn.XLOOKUP(Tabla4[[#This Row],[ID CLIENTE]],'RESUMEN CLIENTES'!D:D,'RESUMEN CLIENTES'!C:C)</f>
        <v>Ecuador</v>
      </c>
    </row>
    <row r="136" spans="1:20" ht="16">
      <c r="A136" s="82">
        <v>45833</v>
      </c>
      <c r="B136" s="82" t="str">
        <f>+_xlfn.XLOOKUP(Tabla4[[#This Row],[ID CLIENTE]],'RESUMEN CLIENTES'!D:D,'RESUMEN CLIENTES'!A:A)</f>
        <v>José Miguel Undurraga Saavedra</v>
      </c>
      <c r="C136" s="83" t="s">
        <v>2269</v>
      </c>
      <c r="D136" s="83" t="s">
        <v>367</v>
      </c>
      <c r="E136" s="83" t="s">
        <v>368</v>
      </c>
      <c r="F136" s="83" t="s">
        <v>369</v>
      </c>
      <c r="G136" s="84">
        <f>+Tabla4[[#This Row],[PAGO NO EURO]]*Tabla4[[#This Row],[CAMBIO]]</f>
        <v>4104.1474480863008</v>
      </c>
      <c r="H136" s="85">
        <f>+Tabla4[[#This Row],[CARGO NO EURO]]*Tabla4[[#This Row],[CAMBIO]]</f>
        <v>0</v>
      </c>
      <c r="I136" s="86">
        <f t="shared" si="4"/>
        <v>0</v>
      </c>
      <c r="J136" s="87">
        <f t="shared" si="5"/>
        <v>4104.1474480863008</v>
      </c>
      <c r="K136" s="87" t="s">
        <v>2542</v>
      </c>
      <c r="L136" s="87" t="s">
        <v>4675</v>
      </c>
      <c r="M136" s="87" t="s">
        <v>2543</v>
      </c>
      <c r="N136" s="522">
        <v>4360000</v>
      </c>
      <c r="O136" s="523">
        <f>+Tabla4[[#This Row],[PAGO NO EURO]]+Tabla4[[#This Row],[CARGO NO EURO]]</f>
        <v>4360000</v>
      </c>
      <c r="P136" s="524">
        <v>0</v>
      </c>
      <c r="Q136" s="89">
        <v>9.4131822203814234E-4</v>
      </c>
      <c r="R136" s="689">
        <f>+_xlfn.XLOOKUP(Tabla4[[#This Row],[ID CLIENTE]],'RESUMEN CLIENTES'!D:D,'RESUMEN CLIENTES'!G:G)</f>
        <v>45833</v>
      </c>
      <c r="S136" s="89" t="str">
        <f>+_xlfn.XLOOKUP(Tabla4[[#This Row],[ID CLIENTE]],'RESUMEN CLIENTES'!D:D,'RESUMEN CLIENTES'!AA:AA)</f>
        <v>A1.1</v>
      </c>
      <c r="T136" s="680" t="str">
        <f>+_xlfn.XLOOKUP(Tabla4[[#This Row],[ID CLIENTE]],'RESUMEN CLIENTES'!D:D,'RESUMEN CLIENTES'!C:C)</f>
        <v>Chile</v>
      </c>
    </row>
    <row r="137" spans="1:20" ht="16">
      <c r="A137" s="82">
        <v>45833</v>
      </c>
      <c r="B137" s="82" t="str">
        <f>+_xlfn.XLOOKUP(Tabla4[[#This Row],[ID CLIENTE]],'RESUMEN CLIENTES'!D:D,'RESUMEN CLIENTES'!A:A)</f>
        <v>Mauricio Ignacio Alcayaga Romo</v>
      </c>
      <c r="C137" s="83" t="s">
        <v>2251</v>
      </c>
      <c r="D137" s="83" t="s">
        <v>322</v>
      </c>
      <c r="E137" s="83" t="s">
        <v>370</v>
      </c>
      <c r="F137" s="83" t="s">
        <v>371</v>
      </c>
      <c r="G137" s="84">
        <v>1750</v>
      </c>
      <c r="H137" s="85">
        <v>-57.13</v>
      </c>
      <c r="I137" s="86">
        <f t="shared" si="4"/>
        <v>3.2645714285714285E-2</v>
      </c>
      <c r="J137" s="87">
        <f t="shared" si="5"/>
        <v>1692.87</v>
      </c>
      <c r="K137" s="87"/>
      <c r="L137" s="87" t="s">
        <v>4672</v>
      </c>
      <c r="M137" s="87"/>
      <c r="N137" s="521"/>
      <c r="O137" s="521">
        <f>+Tabla4[[#This Row],[PAGO NO EURO]]+Tabla4[[#This Row],[CARGO NO EURO]]</f>
        <v>0</v>
      </c>
      <c r="P137" s="521"/>
      <c r="Q137" s="88"/>
      <c r="R137" s="689">
        <f>+_xlfn.XLOOKUP(Tabla4[[#This Row],[ID CLIENTE]],'RESUMEN CLIENTES'!D:D,'RESUMEN CLIENTES'!G:G)</f>
        <v>45819</v>
      </c>
      <c r="S137" s="88" t="str">
        <f>+_xlfn.XLOOKUP(Tabla4[[#This Row],[ID CLIENTE]],'RESUMEN CLIENTES'!D:D,'RESUMEN CLIENTES'!AA:AA)</f>
        <v>B2.1</v>
      </c>
      <c r="T137" s="680" t="str">
        <f>+_xlfn.XLOOKUP(Tabla4[[#This Row],[ID CLIENTE]],'RESUMEN CLIENTES'!D:D,'RESUMEN CLIENTES'!C:C)</f>
        <v>Chile</v>
      </c>
    </row>
    <row r="138" spans="1:20" ht="16">
      <c r="A138" s="82">
        <v>45836</v>
      </c>
      <c r="B138" s="82" t="str">
        <f>+_xlfn.XLOOKUP(Tabla4[[#This Row],[ID CLIENTE]],'RESUMEN CLIENTES'!D:D,'RESUMEN CLIENTES'!A:A)</f>
        <v>Julio Nelson Adaros Moraga</v>
      </c>
      <c r="C138" s="83" t="s">
        <v>2271</v>
      </c>
      <c r="D138" s="83" t="s">
        <v>372</v>
      </c>
      <c r="E138" s="83" t="s">
        <v>373</v>
      </c>
      <c r="F138" s="83" t="s">
        <v>374</v>
      </c>
      <c r="G138" s="84">
        <v>4000</v>
      </c>
      <c r="H138" s="85">
        <v>-130.25</v>
      </c>
      <c r="I138" s="86">
        <f t="shared" si="4"/>
        <v>3.2562500000000001E-2</v>
      </c>
      <c r="J138" s="87">
        <f t="shared" si="5"/>
        <v>3869.75</v>
      </c>
      <c r="K138" s="87"/>
      <c r="L138" s="87" t="s">
        <v>4672</v>
      </c>
      <c r="M138" s="87"/>
      <c r="N138" s="521"/>
      <c r="O138" s="521">
        <f>+Tabla4[[#This Row],[PAGO NO EURO]]+Tabla4[[#This Row],[CARGO NO EURO]]</f>
        <v>0</v>
      </c>
      <c r="P138" s="521"/>
      <c r="Q138" s="88"/>
      <c r="R138" s="689">
        <f>+_xlfn.XLOOKUP(Tabla4[[#This Row],[ID CLIENTE]],'RESUMEN CLIENTES'!D:D,'RESUMEN CLIENTES'!G:G)</f>
        <v>45836</v>
      </c>
      <c r="S138" s="88" t="str">
        <f>+_xlfn.XLOOKUP(Tabla4[[#This Row],[ID CLIENTE]],'RESUMEN CLIENTES'!D:D,'RESUMEN CLIENTES'!AA:AA)</f>
        <v>A1.1</v>
      </c>
      <c r="T138" s="680" t="str">
        <f>+_xlfn.XLOOKUP(Tabla4[[#This Row],[ID CLIENTE]],'RESUMEN CLIENTES'!D:D,'RESUMEN CLIENTES'!C:C)</f>
        <v>Chile</v>
      </c>
    </row>
    <row r="139" spans="1:20" ht="16">
      <c r="A139" s="82">
        <v>45837</v>
      </c>
      <c r="B139" s="82" t="str">
        <f>+_xlfn.XLOOKUP(Tabla4[[#This Row],[ID CLIENTE]],'RESUMEN CLIENTES'!D:D,'RESUMEN CLIENTES'!A:A)</f>
        <v>Guillermo Alfonso Garvalena Gaxiola</v>
      </c>
      <c r="C139" s="83" t="s">
        <v>2176</v>
      </c>
      <c r="D139" s="83" t="s">
        <v>171</v>
      </c>
      <c r="E139" s="83" t="s">
        <v>375</v>
      </c>
      <c r="F139" s="83" t="s">
        <v>376</v>
      </c>
      <c r="G139" s="84">
        <v>500</v>
      </c>
      <c r="H139" s="85">
        <v>-16.5</v>
      </c>
      <c r="I139" s="86">
        <f t="shared" si="4"/>
        <v>3.3000000000000002E-2</v>
      </c>
      <c r="J139" s="87">
        <f t="shared" si="5"/>
        <v>483.5</v>
      </c>
      <c r="K139" s="87"/>
      <c r="L139" s="87" t="s">
        <v>4672</v>
      </c>
      <c r="M139" s="87"/>
      <c r="N139" s="521"/>
      <c r="O139" s="521">
        <f>+Tabla4[[#This Row],[PAGO NO EURO]]+Tabla4[[#This Row],[CARGO NO EURO]]</f>
        <v>0</v>
      </c>
      <c r="P139" s="521"/>
      <c r="Q139" s="88"/>
      <c r="R139" s="689">
        <f>+_xlfn.XLOOKUP(Tabla4[[#This Row],[ID CLIENTE]],'RESUMEN CLIENTES'!D:D,'RESUMEN CLIENTES'!G:G)</f>
        <v>45762</v>
      </c>
      <c r="S139" s="88" t="str">
        <f>+_xlfn.XLOOKUP(Tabla4[[#This Row],[ID CLIENTE]],'RESUMEN CLIENTES'!D:D,'RESUMEN CLIENTES'!AA:AA)</f>
        <v>A2.1</v>
      </c>
      <c r="T139" s="680" t="str">
        <f>+_xlfn.XLOOKUP(Tabla4[[#This Row],[ID CLIENTE]],'RESUMEN CLIENTES'!D:D,'RESUMEN CLIENTES'!C:C)</f>
        <v>México</v>
      </c>
    </row>
    <row r="140" spans="1:20" ht="16">
      <c r="A140" s="82">
        <v>45837</v>
      </c>
      <c r="B140" s="82" t="str">
        <f>+_xlfn.XLOOKUP(Tabla4[[#This Row],[ID CLIENTE]],'RESUMEN CLIENTES'!D:D,'RESUMEN CLIENTES'!A:A)</f>
        <v>Guillermo Alfonso Garvalena Gaxiola</v>
      </c>
      <c r="C140" s="83" t="s">
        <v>2176</v>
      </c>
      <c r="D140" s="83" t="s">
        <v>171</v>
      </c>
      <c r="E140" s="83" t="s">
        <v>377</v>
      </c>
      <c r="F140" s="83" t="s">
        <v>378</v>
      </c>
      <c r="G140" s="84">
        <v>500</v>
      </c>
      <c r="H140" s="85">
        <v>-16.5</v>
      </c>
      <c r="I140" s="86">
        <f t="shared" si="4"/>
        <v>3.3000000000000002E-2</v>
      </c>
      <c r="J140" s="87">
        <f t="shared" si="5"/>
        <v>483.5</v>
      </c>
      <c r="K140" s="87"/>
      <c r="L140" s="87" t="s">
        <v>4672</v>
      </c>
      <c r="M140" s="87"/>
      <c r="N140" s="521"/>
      <c r="O140" s="521">
        <f>+Tabla4[[#This Row],[PAGO NO EURO]]+Tabla4[[#This Row],[CARGO NO EURO]]</f>
        <v>0</v>
      </c>
      <c r="P140" s="521"/>
      <c r="Q140" s="88"/>
      <c r="R140" s="689">
        <f>+_xlfn.XLOOKUP(Tabla4[[#This Row],[ID CLIENTE]],'RESUMEN CLIENTES'!D:D,'RESUMEN CLIENTES'!G:G)</f>
        <v>45762</v>
      </c>
      <c r="S140" s="88" t="str">
        <f>+_xlfn.XLOOKUP(Tabla4[[#This Row],[ID CLIENTE]],'RESUMEN CLIENTES'!D:D,'RESUMEN CLIENTES'!AA:AA)</f>
        <v>A2.1</v>
      </c>
      <c r="T140" s="680" t="str">
        <f>+_xlfn.XLOOKUP(Tabla4[[#This Row],[ID CLIENTE]],'RESUMEN CLIENTES'!D:D,'RESUMEN CLIENTES'!C:C)</f>
        <v>México</v>
      </c>
    </row>
    <row r="141" spans="1:20" ht="16">
      <c r="A141" s="82">
        <v>45838</v>
      </c>
      <c r="B141" s="82" t="str">
        <f>+_xlfn.XLOOKUP(Tabla4[[#This Row],[ID CLIENTE]],'RESUMEN CLIENTES'!D:D,'RESUMEN CLIENTES'!A:A)</f>
        <v>Jorge Andrés Barrera Vásquez</v>
      </c>
      <c r="C141" s="83" t="s">
        <v>2256</v>
      </c>
      <c r="D141" s="83" t="s">
        <v>330</v>
      </c>
      <c r="E141" s="83" t="s">
        <v>379</v>
      </c>
      <c r="F141" s="83" t="s">
        <v>380</v>
      </c>
      <c r="G141" s="84">
        <v>1750</v>
      </c>
      <c r="H141" s="85">
        <v>-57.13</v>
      </c>
      <c r="I141" s="86">
        <f t="shared" si="4"/>
        <v>3.2645714285714285E-2</v>
      </c>
      <c r="J141" s="87">
        <f t="shared" si="5"/>
        <v>1692.87</v>
      </c>
      <c r="K141" s="87"/>
      <c r="L141" s="87" t="s">
        <v>4672</v>
      </c>
      <c r="M141" s="87"/>
      <c r="N141" s="521"/>
      <c r="O141" s="521">
        <f>+Tabla4[[#This Row],[PAGO NO EURO]]+Tabla4[[#This Row],[CARGO NO EURO]]</f>
        <v>0</v>
      </c>
      <c r="P141" s="521"/>
      <c r="Q141" s="88"/>
      <c r="R141" s="689">
        <f>+_xlfn.XLOOKUP(Tabla4[[#This Row],[ID CLIENTE]],'RESUMEN CLIENTES'!D:D,'RESUMEN CLIENTES'!G:G)</f>
        <v>45820</v>
      </c>
      <c r="S141" s="88" t="str">
        <f>+_xlfn.XLOOKUP(Tabla4[[#This Row],[ID CLIENTE]],'RESUMEN CLIENTES'!D:D,'RESUMEN CLIENTES'!AA:AA)</f>
        <v>null</v>
      </c>
      <c r="T141" s="680" t="str">
        <f>+_xlfn.XLOOKUP(Tabla4[[#This Row],[ID CLIENTE]],'RESUMEN CLIENTES'!D:D,'RESUMEN CLIENTES'!C:C)</f>
        <v>Ecuador</v>
      </c>
    </row>
    <row r="142" spans="1:20" ht="16">
      <c r="A142" s="82">
        <v>45838</v>
      </c>
      <c r="B142" s="82" t="str">
        <f>+_xlfn.XLOOKUP(Tabla4[[#This Row],[ID CLIENTE]],'RESUMEN CLIENTES'!D:D,'RESUMEN CLIENTES'!A:A)</f>
        <v>Carlos Josue Escobar Morán</v>
      </c>
      <c r="C142" s="83" t="s">
        <v>2208</v>
      </c>
      <c r="D142" s="83" t="s">
        <v>226</v>
      </c>
      <c r="E142" s="83" t="s">
        <v>383</v>
      </c>
      <c r="F142" s="83" t="s">
        <v>384</v>
      </c>
      <c r="G142" s="84">
        <v>500</v>
      </c>
      <c r="H142" s="85">
        <v>-16.5</v>
      </c>
      <c r="I142" s="86">
        <f t="shared" si="4"/>
        <v>3.3000000000000002E-2</v>
      </c>
      <c r="J142" s="87">
        <f t="shared" si="5"/>
        <v>483.5</v>
      </c>
      <c r="K142" s="87"/>
      <c r="L142" s="87" t="s">
        <v>4672</v>
      </c>
      <c r="M142" s="87"/>
      <c r="N142" s="521"/>
      <c r="O142" s="521">
        <f>+Tabla4[[#This Row],[PAGO NO EURO]]+Tabla4[[#This Row],[CARGO NO EURO]]</f>
        <v>0</v>
      </c>
      <c r="P142" s="521"/>
      <c r="Q142" s="88"/>
      <c r="R142" s="689">
        <f>+_xlfn.XLOOKUP(Tabla4[[#This Row],[ID CLIENTE]],'RESUMEN CLIENTES'!D:D,'RESUMEN CLIENTES'!G:G)</f>
        <v>45790</v>
      </c>
      <c r="S142" s="88" t="str">
        <f>+_xlfn.XLOOKUP(Tabla4[[#This Row],[ID CLIENTE]],'RESUMEN CLIENTES'!D:D,'RESUMEN CLIENTES'!AA:AA)</f>
        <v>B1.1</v>
      </c>
      <c r="T142" s="680" t="str">
        <f>+_xlfn.XLOOKUP(Tabla4[[#This Row],[ID CLIENTE]],'RESUMEN CLIENTES'!D:D,'RESUMEN CLIENTES'!C:C)</f>
        <v>El Salvador</v>
      </c>
    </row>
    <row r="143" spans="1:20" ht="16">
      <c r="A143" s="82">
        <v>45838</v>
      </c>
      <c r="B143" s="82" t="str">
        <f>+_xlfn.XLOOKUP(Tabla4[[#This Row],[ID CLIENTE]],'RESUMEN CLIENTES'!D:D,'RESUMEN CLIENTES'!A:A)</f>
        <v>Ellen Cristina Gerónimo Bonilla</v>
      </c>
      <c r="C143" s="83" t="s">
        <v>2273</v>
      </c>
      <c r="D143" s="83" t="s">
        <v>385</v>
      </c>
      <c r="E143" s="83" t="s">
        <v>386</v>
      </c>
      <c r="F143" s="83" t="s">
        <v>387</v>
      </c>
      <c r="G143" s="84">
        <v>4000</v>
      </c>
      <c r="H143" s="85">
        <v>-130.25</v>
      </c>
      <c r="I143" s="86">
        <f t="shared" si="4"/>
        <v>3.2562500000000001E-2</v>
      </c>
      <c r="J143" s="87">
        <f t="shared" si="5"/>
        <v>3869.75</v>
      </c>
      <c r="K143" s="87"/>
      <c r="L143" s="87" t="s">
        <v>4672</v>
      </c>
      <c r="M143" s="87"/>
      <c r="N143" s="521"/>
      <c r="O143" s="521">
        <f>+Tabla4[[#This Row],[PAGO NO EURO]]+Tabla4[[#This Row],[CARGO NO EURO]]</f>
        <v>0</v>
      </c>
      <c r="P143" s="521"/>
      <c r="Q143" s="88"/>
      <c r="R143" s="689">
        <f>+_xlfn.XLOOKUP(Tabla4[[#This Row],[ID CLIENTE]],'RESUMEN CLIENTES'!D:D,'RESUMEN CLIENTES'!G:G)</f>
        <v>45838</v>
      </c>
      <c r="S143" s="88" t="str">
        <f>+_xlfn.XLOOKUP(Tabla4[[#This Row],[ID CLIENTE]],'RESUMEN CLIENTES'!D:D,'RESUMEN CLIENTES'!AA:AA)</f>
        <v>A1.1</v>
      </c>
      <c r="T143" s="680" t="str">
        <f>+_xlfn.XLOOKUP(Tabla4[[#This Row],[ID CLIENTE]],'RESUMEN CLIENTES'!D:D,'RESUMEN CLIENTES'!C:C)</f>
        <v>República Dominicana</v>
      </c>
    </row>
    <row r="144" spans="1:20" ht="16">
      <c r="A144" s="82">
        <v>45838</v>
      </c>
      <c r="B144" s="82" t="str">
        <f>+_xlfn.XLOOKUP(Tabla4[[#This Row],[ID CLIENTE]],'RESUMEN CLIENTES'!D:D,'RESUMEN CLIENTES'!A:A)</f>
        <v>Juan Carlos Ramirez Chavez</v>
      </c>
      <c r="C144" s="83" t="s">
        <v>2174</v>
      </c>
      <c r="D144" s="83" t="s">
        <v>181</v>
      </c>
      <c r="E144" s="83" t="s">
        <v>2581</v>
      </c>
      <c r="F144" s="83" t="s">
        <v>2582</v>
      </c>
      <c r="G144" s="84">
        <v>2000</v>
      </c>
      <c r="H144" s="85">
        <v>-65.25</v>
      </c>
      <c r="I144" s="86">
        <f t="shared" si="4"/>
        <v>3.2625000000000001E-2</v>
      </c>
      <c r="J144" s="87">
        <f t="shared" si="5"/>
        <v>1934.75</v>
      </c>
      <c r="K144" s="87"/>
      <c r="L144" s="87" t="s">
        <v>4672</v>
      </c>
      <c r="M144" s="87"/>
      <c r="N144" s="521"/>
      <c r="O144" s="521">
        <f>+Tabla4[[#This Row],[PAGO NO EURO]]+Tabla4[[#This Row],[CARGO NO EURO]]</f>
        <v>0</v>
      </c>
      <c r="P144" s="521"/>
      <c r="Q144" s="88"/>
      <c r="R144" s="689">
        <f>+_xlfn.XLOOKUP(Tabla4[[#This Row],[ID CLIENTE]],'RESUMEN CLIENTES'!D:D,'RESUMEN CLIENTES'!G:G)</f>
        <v>45772</v>
      </c>
      <c r="S144" s="88" t="str">
        <f>+_xlfn.XLOOKUP(Tabla4[[#This Row],[ID CLIENTE]],'RESUMEN CLIENTES'!D:D,'RESUMEN CLIENTES'!AA:AA)</f>
        <v>B2.1</v>
      </c>
      <c r="T144" s="680" t="str">
        <f>+_xlfn.XLOOKUP(Tabla4[[#This Row],[ID CLIENTE]],'RESUMEN CLIENTES'!D:D,'RESUMEN CLIENTES'!C:C)</f>
        <v>Perú</v>
      </c>
    </row>
    <row r="145" spans="1:20" ht="16">
      <c r="A145" s="82">
        <v>45838</v>
      </c>
      <c r="B145" s="82" t="str">
        <f>+_xlfn.XLOOKUP(Tabla4[[#This Row],[ID CLIENTE]],'RESUMEN CLIENTES'!D:D,'RESUMEN CLIENTES'!A:A)</f>
        <v>Miguel Angel Sisalima Shiña</v>
      </c>
      <c r="C145" s="83" t="s">
        <v>2242</v>
      </c>
      <c r="D145" s="83" t="s">
        <v>314</v>
      </c>
      <c r="E145" s="83" t="s">
        <v>393</v>
      </c>
      <c r="F145" s="83" t="s">
        <v>394</v>
      </c>
      <c r="G145" s="84">
        <v>1750</v>
      </c>
      <c r="H145" s="85">
        <v>-57.13</v>
      </c>
      <c r="I145" s="86">
        <f t="shared" si="4"/>
        <v>3.2645714285714285E-2</v>
      </c>
      <c r="J145" s="87">
        <f t="shared" si="5"/>
        <v>1692.87</v>
      </c>
      <c r="K145" s="87"/>
      <c r="L145" s="87" t="s">
        <v>4672</v>
      </c>
      <c r="M145" s="87"/>
      <c r="N145" s="521"/>
      <c r="O145" s="521">
        <f>+Tabla4[[#This Row],[PAGO NO EURO]]+Tabla4[[#This Row],[CARGO NO EURO]]</f>
        <v>0</v>
      </c>
      <c r="P145" s="521"/>
      <c r="Q145" s="88"/>
      <c r="R145" s="689">
        <f>+_xlfn.XLOOKUP(Tabla4[[#This Row],[ID CLIENTE]],'RESUMEN CLIENTES'!D:D,'RESUMEN CLIENTES'!G:G)</f>
        <v>45816</v>
      </c>
      <c r="S145" s="88" t="str">
        <f>+_xlfn.XLOOKUP(Tabla4[[#This Row],[ID CLIENTE]],'RESUMEN CLIENTES'!D:D,'RESUMEN CLIENTES'!AA:AA)</f>
        <v>A1.1</v>
      </c>
      <c r="T145" s="680" t="str">
        <f>+_xlfn.XLOOKUP(Tabla4[[#This Row],[ID CLIENTE]],'RESUMEN CLIENTES'!D:D,'RESUMEN CLIENTES'!C:C)</f>
        <v>Ecuador</v>
      </c>
    </row>
    <row r="146" spans="1:20" ht="16">
      <c r="A146" s="82">
        <v>45838</v>
      </c>
      <c r="B146" s="82" t="str">
        <f>+_xlfn.XLOOKUP(Tabla4[[#This Row],[ID CLIENTE]],'RESUMEN CLIENTES'!D:D,'RESUMEN CLIENTES'!A:A)</f>
        <v>Nathaly Gabriela Henríquez Masín</v>
      </c>
      <c r="C146" s="83" t="s">
        <v>2210</v>
      </c>
      <c r="D146" s="83" t="s">
        <v>229</v>
      </c>
      <c r="E146" s="83" t="s">
        <v>395</v>
      </c>
      <c r="F146" s="83" t="s">
        <v>396</v>
      </c>
      <c r="G146" s="84">
        <v>500</v>
      </c>
      <c r="H146" s="85">
        <v>-16.5</v>
      </c>
      <c r="I146" s="86">
        <f t="shared" si="4"/>
        <v>3.3000000000000002E-2</v>
      </c>
      <c r="J146" s="87">
        <f t="shared" si="5"/>
        <v>483.5</v>
      </c>
      <c r="K146" s="87"/>
      <c r="L146" s="87" t="s">
        <v>4672</v>
      </c>
      <c r="M146" s="87"/>
      <c r="N146" s="521"/>
      <c r="O146" s="521">
        <f>+Tabla4[[#This Row],[PAGO NO EURO]]+Tabla4[[#This Row],[CARGO NO EURO]]</f>
        <v>0</v>
      </c>
      <c r="P146" s="521"/>
      <c r="Q146" s="88"/>
      <c r="R146" s="689">
        <f>+_xlfn.XLOOKUP(Tabla4[[#This Row],[ID CLIENTE]],'RESUMEN CLIENTES'!D:D,'RESUMEN CLIENTES'!G:G)</f>
        <v>45790</v>
      </c>
      <c r="S146" s="88" t="str">
        <f>+_xlfn.XLOOKUP(Tabla4[[#This Row],[ID CLIENTE]],'RESUMEN CLIENTES'!D:D,'RESUMEN CLIENTES'!AA:AA)</f>
        <v>null</v>
      </c>
      <c r="T146" s="680" t="str">
        <f>+_xlfn.XLOOKUP(Tabla4[[#This Row],[ID CLIENTE]],'RESUMEN CLIENTES'!D:D,'RESUMEN CLIENTES'!C:C)</f>
        <v>El Salvador</v>
      </c>
    </row>
    <row r="147" spans="1:20" ht="16">
      <c r="A147" s="82">
        <v>45839</v>
      </c>
      <c r="B147" s="82" t="str">
        <f>+_xlfn.XLOOKUP(Tabla4[[#This Row],[ID CLIENTE]],'RESUMEN CLIENTES'!D:D,'RESUMEN CLIENTES'!A:A)</f>
        <v>Angel Martin Alarcon Macias</v>
      </c>
      <c r="C147" s="83" t="s">
        <v>2206</v>
      </c>
      <c r="D147" s="83" t="s">
        <v>221</v>
      </c>
      <c r="E147" s="83" t="s">
        <v>381</v>
      </c>
      <c r="F147" s="83" t="s">
        <v>382</v>
      </c>
      <c r="G147" s="84">
        <v>3000</v>
      </c>
      <c r="H147" s="85">
        <v>-45.25</v>
      </c>
      <c r="I147" s="86">
        <f t="shared" si="4"/>
        <v>1.5083333333333334E-2</v>
      </c>
      <c r="J147" s="87">
        <f t="shared" si="5"/>
        <v>2954.75</v>
      </c>
      <c r="K147" s="87"/>
      <c r="L147" s="87" t="s">
        <v>4672</v>
      </c>
      <c r="M147" s="87"/>
      <c r="N147" s="521"/>
      <c r="O147" s="521">
        <f>+Tabla4[[#This Row],[PAGO NO EURO]]+Tabla4[[#This Row],[CARGO NO EURO]]</f>
        <v>0</v>
      </c>
      <c r="P147" s="521"/>
      <c r="Q147" s="88"/>
      <c r="R147" s="689">
        <f>+_xlfn.XLOOKUP(Tabla4[[#This Row],[ID CLIENTE]],'RESUMEN CLIENTES'!D:D,'RESUMEN CLIENTES'!G:G)</f>
        <v>45787</v>
      </c>
      <c r="S147" s="88" t="str">
        <f>+_xlfn.XLOOKUP(Tabla4[[#This Row],[ID CLIENTE]],'RESUMEN CLIENTES'!D:D,'RESUMEN CLIENTES'!AA:AA)</f>
        <v>A1.2</v>
      </c>
      <c r="T147" s="680" t="str">
        <f>+_xlfn.XLOOKUP(Tabla4[[#This Row],[ID CLIENTE]],'RESUMEN CLIENTES'!D:D,'RESUMEN CLIENTES'!C:C)</f>
        <v>Ecuador</v>
      </c>
    </row>
    <row r="148" spans="1:20" ht="16">
      <c r="A148" s="82">
        <v>45839</v>
      </c>
      <c r="B148" s="82" t="str">
        <f>+_xlfn.XLOOKUP(Tabla4[[#This Row],[ID CLIENTE]],'RESUMEN CLIENTES'!D:D,'RESUMEN CLIENTES'!A:A)</f>
        <v>María Fernanda Lincango Andi</v>
      </c>
      <c r="C148" s="83" t="s">
        <v>2275</v>
      </c>
      <c r="D148" s="83" t="s">
        <v>390</v>
      </c>
      <c r="E148" s="83" t="s">
        <v>391</v>
      </c>
      <c r="F148" s="83" t="s">
        <v>392</v>
      </c>
      <c r="G148" s="84">
        <v>250</v>
      </c>
      <c r="H148" s="85">
        <v>-8.3800000000000008</v>
      </c>
      <c r="I148" s="86">
        <f t="shared" si="4"/>
        <v>3.3520000000000001E-2</v>
      </c>
      <c r="J148" s="87">
        <f t="shared" si="5"/>
        <v>241.62</v>
      </c>
      <c r="K148" s="87"/>
      <c r="L148" s="87" t="s">
        <v>4672</v>
      </c>
      <c r="M148" s="87"/>
      <c r="N148" s="521"/>
      <c r="O148" s="521">
        <f>+Tabla4[[#This Row],[PAGO NO EURO]]+Tabla4[[#This Row],[CARGO NO EURO]]</f>
        <v>0</v>
      </c>
      <c r="P148" s="521"/>
      <c r="Q148" s="88"/>
      <c r="R148" s="689">
        <f>+_xlfn.XLOOKUP(Tabla4[[#This Row],[ID CLIENTE]],'RESUMEN CLIENTES'!D:D,'RESUMEN CLIENTES'!G:G)</f>
        <v>45839</v>
      </c>
      <c r="S148" s="88" t="str">
        <f>+_xlfn.XLOOKUP(Tabla4[[#This Row],[ID CLIENTE]],'RESUMEN CLIENTES'!D:D,'RESUMEN CLIENTES'!AA:AA)</f>
        <v>null</v>
      </c>
      <c r="T148" s="680" t="str">
        <f>+_xlfn.XLOOKUP(Tabla4[[#This Row],[ID CLIENTE]],'RESUMEN CLIENTES'!D:D,'RESUMEN CLIENTES'!C:C)</f>
        <v>Ecuador</v>
      </c>
    </row>
    <row r="149" spans="1:20" ht="16">
      <c r="A149" s="82">
        <v>45839</v>
      </c>
      <c r="B149" s="82" t="str">
        <f>+_xlfn.XLOOKUP(Tabla4[[#This Row],[ID CLIENTE]],'RESUMEN CLIENTES'!D:D,'RESUMEN CLIENTES'!A:A)</f>
        <v>Laura Margarita Cepeda Garrido</v>
      </c>
      <c r="C149" s="83" t="s">
        <v>2204</v>
      </c>
      <c r="D149" s="83" t="s">
        <v>218</v>
      </c>
      <c r="E149" s="83" t="s">
        <v>388</v>
      </c>
      <c r="F149" s="83" t="s">
        <v>389</v>
      </c>
      <c r="G149" s="84">
        <v>600</v>
      </c>
      <c r="H149" s="85">
        <v>-19.75</v>
      </c>
      <c r="I149" s="86">
        <f t="shared" si="4"/>
        <v>3.2916666666666664E-2</v>
      </c>
      <c r="J149" s="87">
        <f t="shared" si="5"/>
        <v>580.25</v>
      </c>
      <c r="K149" s="87"/>
      <c r="L149" s="87" t="s">
        <v>4672</v>
      </c>
      <c r="M149" s="87"/>
      <c r="N149" s="521"/>
      <c r="O149" s="521">
        <f>+Tabla4[[#This Row],[PAGO NO EURO]]+Tabla4[[#This Row],[CARGO NO EURO]]</f>
        <v>0</v>
      </c>
      <c r="P149" s="521"/>
      <c r="Q149" s="88"/>
      <c r="R149" s="689">
        <f>+_xlfn.XLOOKUP(Tabla4[[#This Row],[ID CLIENTE]],'RESUMEN CLIENTES'!D:D,'RESUMEN CLIENTES'!G:G)</f>
        <v>45786</v>
      </c>
      <c r="S149" s="88" t="str">
        <f>+_xlfn.XLOOKUP(Tabla4[[#This Row],[ID CLIENTE]],'RESUMEN CLIENTES'!D:D,'RESUMEN CLIENTES'!AA:AA)</f>
        <v>A1.1</v>
      </c>
      <c r="T149" s="680" t="str">
        <f>+_xlfn.XLOOKUP(Tabla4[[#This Row],[ID CLIENTE]],'RESUMEN CLIENTES'!D:D,'RESUMEN CLIENTES'!C:C)</f>
        <v>Colombia</v>
      </c>
    </row>
    <row r="150" spans="1:20" ht="16">
      <c r="A150" s="82">
        <v>45840</v>
      </c>
      <c r="B150" s="82" t="str">
        <f>+_xlfn.XLOOKUP(Tabla4[[#This Row],[ID CLIENTE]],'RESUMEN CLIENTES'!D:D,'RESUMEN CLIENTES'!A:A)</f>
        <v>Hugo Nicolás Trávez Morales</v>
      </c>
      <c r="C150" s="83" t="s">
        <v>2156</v>
      </c>
      <c r="D150" s="83" t="s">
        <v>139</v>
      </c>
      <c r="E150" s="83" t="s">
        <v>403</v>
      </c>
      <c r="F150" s="83" t="s">
        <v>404</v>
      </c>
      <c r="G150" s="84">
        <v>1000</v>
      </c>
      <c r="H150" s="85">
        <v>-32.75</v>
      </c>
      <c r="I150" s="86">
        <f t="shared" si="4"/>
        <v>3.2750000000000001E-2</v>
      </c>
      <c r="J150" s="87">
        <f t="shared" si="5"/>
        <v>967.25</v>
      </c>
      <c r="K150" s="87"/>
      <c r="L150" s="87" t="s">
        <v>4672</v>
      </c>
      <c r="M150" s="87"/>
      <c r="N150" s="521"/>
      <c r="O150" s="521">
        <f>+Tabla4[[#This Row],[PAGO NO EURO]]+Tabla4[[#This Row],[CARGO NO EURO]]</f>
        <v>0</v>
      </c>
      <c r="P150" s="521"/>
      <c r="Q150" s="88"/>
      <c r="R150" s="689">
        <f>+_xlfn.XLOOKUP(Tabla4[[#This Row],[ID CLIENTE]],'RESUMEN CLIENTES'!D:D,'RESUMEN CLIENTES'!G:G)</f>
        <v>45747</v>
      </c>
      <c r="S150" s="88" t="str">
        <f>+_xlfn.XLOOKUP(Tabla4[[#This Row],[ID CLIENTE]],'RESUMEN CLIENTES'!D:D,'RESUMEN CLIENTES'!AA:AA)</f>
        <v>null</v>
      </c>
      <c r="T150" s="680" t="str">
        <f>+_xlfn.XLOOKUP(Tabla4[[#This Row],[ID CLIENTE]],'RESUMEN CLIENTES'!D:D,'RESUMEN CLIENTES'!C:C)</f>
        <v>Ecuador</v>
      </c>
    </row>
    <row r="151" spans="1:20" ht="16">
      <c r="A151" s="82">
        <v>45840</v>
      </c>
      <c r="B151" s="82" t="str">
        <f>+_xlfn.XLOOKUP(Tabla4[[#This Row],[ID CLIENTE]],'RESUMEN CLIENTES'!D:D,'RESUMEN CLIENTES'!A:A)</f>
        <v>Maria Laura Rios Pino</v>
      </c>
      <c r="C151" s="83" t="s">
        <v>2220</v>
      </c>
      <c r="D151" s="83" t="s">
        <v>258</v>
      </c>
      <c r="E151" s="83" t="s">
        <v>405</v>
      </c>
      <c r="F151" s="83" t="s">
        <v>406</v>
      </c>
      <c r="G151" s="84">
        <f>+Tabla4[[#This Row],[PAGO NO EURO]]*Tabla4[[#This Row],[CAMBIO]]</f>
        <v>642.3982869379015</v>
      </c>
      <c r="H151" s="85">
        <f>+Tabla4[[#This Row],[CARGO NO EURO]]*Tabla4[[#This Row],[CAMBIO]]</f>
        <v>-21.139186295503212</v>
      </c>
      <c r="I151" s="86">
        <f t="shared" si="4"/>
        <v>3.2906666666666667E-2</v>
      </c>
      <c r="J151" s="87">
        <f t="shared" si="5"/>
        <v>621.25910064239827</v>
      </c>
      <c r="K151" s="87"/>
      <c r="L151" s="87" t="s">
        <v>4672</v>
      </c>
      <c r="M151" s="87" t="s">
        <v>2548</v>
      </c>
      <c r="N151" s="524">
        <v>750</v>
      </c>
      <c r="O151" s="524">
        <f>+Tabla4[[#This Row],[PAGO NO EURO]]+Tabla4[[#This Row],[CARGO NO EURO]]</f>
        <v>725.32</v>
      </c>
      <c r="P151" s="524">
        <v>-24.68</v>
      </c>
      <c r="Q151" s="92">
        <v>0.85653104925053536</v>
      </c>
      <c r="R151" s="690">
        <f>+_xlfn.XLOOKUP(Tabla4[[#This Row],[ID CLIENTE]],'RESUMEN CLIENTES'!D:D,'RESUMEN CLIENTES'!G:G)</f>
        <v>45805</v>
      </c>
      <c r="S151" s="92" t="str">
        <f>+_xlfn.XLOOKUP(Tabla4[[#This Row],[ID CLIENTE]],'RESUMEN CLIENTES'!D:D,'RESUMEN CLIENTES'!AA:AA)</f>
        <v>B1.1</v>
      </c>
      <c r="T151" s="680" t="str">
        <f>+_xlfn.XLOOKUP(Tabla4[[#This Row],[ID CLIENTE]],'RESUMEN CLIENTES'!D:D,'RESUMEN CLIENTES'!C:C)</f>
        <v>Perú</v>
      </c>
    </row>
    <row r="152" spans="1:20" ht="16">
      <c r="A152" s="82">
        <v>45841</v>
      </c>
      <c r="B152" s="82" t="str">
        <f>+_xlfn.XLOOKUP(Tabla4[[#This Row],[ID CLIENTE]],'RESUMEN CLIENTES'!D:D,'RESUMEN CLIENTES'!A:A)</f>
        <v>Ángel Barrón Martínez</v>
      </c>
      <c r="C152" s="83" t="s">
        <v>2277</v>
      </c>
      <c r="D152" s="83" t="s">
        <v>2278</v>
      </c>
      <c r="E152" s="83" t="s">
        <v>2583</v>
      </c>
      <c r="F152" s="83" t="s">
        <v>2584</v>
      </c>
      <c r="G152" s="84">
        <v>250</v>
      </c>
      <c r="H152" s="85">
        <v>-8.3800000000000008</v>
      </c>
      <c r="I152" s="86">
        <f t="shared" si="4"/>
        <v>3.3520000000000001E-2</v>
      </c>
      <c r="J152" s="87">
        <f t="shared" si="5"/>
        <v>241.62</v>
      </c>
      <c r="K152" s="87"/>
      <c r="L152" s="87" t="s">
        <v>4672</v>
      </c>
      <c r="M152" s="87"/>
      <c r="N152" s="521"/>
      <c r="O152" s="521">
        <f>+Tabla4[[#This Row],[PAGO NO EURO]]+Tabla4[[#This Row],[CARGO NO EURO]]</f>
        <v>0</v>
      </c>
      <c r="P152" s="521"/>
      <c r="Q152" s="88"/>
      <c r="R152" s="689">
        <f>+_xlfn.XLOOKUP(Tabla4[[#This Row],[ID CLIENTE]],'RESUMEN CLIENTES'!D:D,'RESUMEN CLIENTES'!G:G)</f>
        <v>45841</v>
      </c>
      <c r="S152" s="88" t="str">
        <f>+_xlfn.XLOOKUP(Tabla4[[#This Row],[ID CLIENTE]],'RESUMEN CLIENTES'!D:D,'RESUMEN CLIENTES'!AA:AA)</f>
        <v>null</v>
      </c>
      <c r="T152" s="680" t="str">
        <f>+_xlfn.XLOOKUP(Tabla4[[#This Row],[ID CLIENTE]],'RESUMEN CLIENTES'!D:D,'RESUMEN CLIENTES'!C:C)</f>
        <v>México</v>
      </c>
    </row>
    <row r="153" spans="1:20" ht="16">
      <c r="A153" s="82">
        <v>45841</v>
      </c>
      <c r="B153" s="82" t="str">
        <f>+_xlfn.XLOOKUP(Tabla4[[#This Row],[ID CLIENTE]],'RESUMEN CLIENTES'!D:D,'RESUMEN CLIENTES'!A:A)</f>
        <v>Jessica Ayelén Culla Alvarez</v>
      </c>
      <c r="C153" s="83" t="s">
        <v>2265</v>
      </c>
      <c r="D153" s="83" t="s">
        <v>362</v>
      </c>
      <c r="E153" s="83" t="s">
        <v>399</v>
      </c>
      <c r="F153" s="83" t="s">
        <v>400</v>
      </c>
      <c r="G153" s="84">
        <v>1000</v>
      </c>
      <c r="H153" s="85">
        <v>-32.75</v>
      </c>
      <c r="I153" s="86">
        <f t="shared" si="4"/>
        <v>3.2750000000000001E-2</v>
      </c>
      <c r="J153" s="87">
        <f t="shared" si="5"/>
        <v>967.25</v>
      </c>
      <c r="K153" s="87"/>
      <c r="L153" s="87" t="s">
        <v>4672</v>
      </c>
      <c r="M153" s="87"/>
      <c r="N153" s="521"/>
      <c r="O153" s="521">
        <f>+Tabla4[[#This Row],[PAGO NO EURO]]+Tabla4[[#This Row],[CARGO NO EURO]]</f>
        <v>0</v>
      </c>
      <c r="P153" s="521"/>
      <c r="Q153" s="88"/>
      <c r="R153" s="689">
        <f>+_xlfn.XLOOKUP(Tabla4[[#This Row],[ID CLIENTE]],'RESUMEN CLIENTES'!D:D,'RESUMEN CLIENTES'!G:G)</f>
        <v>45830</v>
      </c>
      <c r="S153" s="88" t="str">
        <f>+_xlfn.XLOOKUP(Tabla4[[#This Row],[ID CLIENTE]],'RESUMEN CLIENTES'!D:D,'RESUMEN CLIENTES'!AA:AA)</f>
        <v>B1.1</v>
      </c>
      <c r="T153" s="680" t="str">
        <f>+_xlfn.XLOOKUP(Tabla4[[#This Row],[ID CLIENTE]],'RESUMEN CLIENTES'!D:D,'RESUMEN CLIENTES'!C:C)</f>
        <v>Argentina</v>
      </c>
    </row>
    <row r="154" spans="1:20" ht="16">
      <c r="A154" s="82">
        <v>45841</v>
      </c>
      <c r="B154" s="82" t="str">
        <f>+_xlfn.XLOOKUP(Tabla4[[#This Row],[ID CLIENTE]],'RESUMEN CLIENTES'!D:D,'RESUMEN CLIENTES'!A:A)</f>
        <v>Jessica Ayelén Culla Alvarez</v>
      </c>
      <c r="C154" s="83" t="s">
        <v>2265</v>
      </c>
      <c r="D154" s="83" t="s">
        <v>362</v>
      </c>
      <c r="E154" s="83" t="s">
        <v>401</v>
      </c>
      <c r="F154" s="83" t="s">
        <v>402</v>
      </c>
      <c r="G154" s="84">
        <v>750</v>
      </c>
      <c r="H154" s="85">
        <v>-24.63</v>
      </c>
      <c r="I154" s="86">
        <f t="shared" si="4"/>
        <v>3.2840000000000001E-2</v>
      </c>
      <c r="J154" s="87">
        <f t="shared" si="5"/>
        <v>725.37</v>
      </c>
      <c r="K154" s="87"/>
      <c r="L154" s="87" t="s">
        <v>4672</v>
      </c>
      <c r="M154" s="87"/>
      <c r="N154" s="521"/>
      <c r="O154" s="521">
        <f>+Tabla4[[#This Row],[PAGO NO EURO]]+Tabla4[[#This Row],[CARGO NO EURO]]</f>
        <v>0</v>
      </c>
      <c r="P154" s="521"/>
      <c r="Q154" s="88"/>
      <c r="R154" s="689">
        <f>+_xlfn.XLOOKUP(Tabla4[[#This Row],[ID CLIENTE]],'RESUMEN CLIENTES'!D:D,'RESUMEN CLIENTES'!G:G)</f>
        <v>45830</v>
      </c>
      <c r="S154" s="88" t="str">
        <f>+_xlfn.XLOOKUP(Tabla4[[#This Row],[ID CLIENTE]],'RESUMEN CLIENTES'!D:D,'RESUMEN CLIENTES'!AA:AA)</f>
        <v>B1.1</v>
      </c>
      <c r="T154" s="680" t="str">
        <f>+_xlfn.XLOOKUP(Tabla4[[#This Row],[ID CLIENTE]],'RESUMEN CLIENTES'!D:D,'RESUMEN CLIENTES'!C:C)</f>
        <v>Argentina</v>
      </c>
    </row>
    <row r="155" spans="1:20" ht="16">
      <c r="A155" s="82">
        <v>45841</v>
      </c>
      <c r="B155" s="82" t="str">
        <f>+_xlfn.XLOOKUP(Tabla4[[#This Row],[ID CLIENTE]],'RESUMEN CLIENTES'!D:D,'RESUMEN CLIENTES'!A:A)</f>
        <v>Rainier Guerrero</v>
      </c>
      <c r="C155" s="83" t="s">
        <v>2263</v>
      </c>
      <c r="D155" s="83" t="s">
        <v>350</v>
      </c>
      <c r="E155" s="83" t="s">
        <v>397</v>
      </c>
      <c r="F155" s="83" t="s">
        <v>398</v>
      </c>
      <c r="G155" s="84">
        <v>750</v>
      </c>
      <c r="H155" s="85">
        <v>-24.63</v>
      </c>
      <c r="I155" s="86">
        <f t="shared" si="4"/>
        <v>3.2840000000000001E-2</v>
      </c>
      <c r="J155" s="87">
        <f t="shared" si="5"/>
        <v>725.37</v>
      </c>
      <c r="K155" s="87"/>
      <c r="L155" s="87" t="s">
        <v>4672</v>
      </c>
      <c r="M155" s="87"/>
      <c r="N155" s="521"/>
      <c r="O155" s="521">
        <f>+Tabla4[[#This Row],[PAGO NO EURO]]+Tabla4[[#This Row],[CARGO NO EURO]]</f>
        <v>0</v>
      </c>
      <c r="P155" s="521"/>
      <c r="Q155" s="88"/>
      <c r="R155" s="689">
        <f>+_xlfn.XLOOKUP(Tabla4[[#This Row],[ID CLIENTE]],'RESUMEN CLIENTES'!D:D,'RESUMEN CLIENTES'!G:G)</f>
        <v>45827</v>
      </c>
      <c r="S155" s="88" t="str">
        <f>+_xlfn.XLOOKUP(Tabla4[[#This Row],[ID CLIENTE]],'RESUMEN CLIENTES'!D:D,'RESUMEN CLIENTES'!AA:AA)</f>
        <v>A1.1</v>
      </c>
      <c r="T155" s="680" t="str">
        <f>+_xlfn.XLOOKUP(Tabla4[[#This Row],[ID CLIENTE]],'RESUMEN CLIENTES'!D:D,'RESUMEN CLIENTES'!C:C)</f>
        <v>México</v>
      </c>
    </row>
    <row r="156" spans="1:20" ht="16">
      <c r="A156" s="82">
        <v>45842</v>
      </c>
      <c r="B156" s="82" t="str">
        <f>+_xlfn.XLOOKUP(Tabla4[[#This Row],[ID CLIENTE]],'RESUMEN CLIENTES'!D:D,'RESUMEN CLIENTES'!A:A)</f>
        <v>Boris Andrés Silva Véliz</v>
      </c>
      <c r="C156" s="83" t="s">
        <v>2184</v>
      </c>
      <c r="D156" s="83" t="s">
        <v>184</v>
      </c>
      <c r="E156" s="83" t="s">
        <v>416</v>
      </c>
      <c r="F156" s="83" t="s">
        <v>417</v>
      </c>
      <c r="G156" s="84">
        <v>695</v>
      </c>
      <c r="H156" s="85">
        <v>-22.84</v>
      </c>
      <c r="I156" s="86">
        <f t="shared" si="4"/>
        <v>3.2863309352517987E-2</v>
      </c>
      <c r="J156" s="87">
        <f t="shared" si="5"/>
        <v>672.16</v>
      </c>
      <c r="K156" s="87"/>
      <c r="L156" s="87" t="s">
        <v>4672</v>
      </c>
      <c r="M156" s="87"/>
      <c r="N156" s="521"/>
      <c r="O156" s="521">
        <f>+Tabla4[[#This Row],[PAGO NO EURO]]+Tabla4[[#This Row],[CARGO NO EURO]]</f>
        <v>0</v>
      </c>
      <c r="P156" s="521"/>
      <c r="Q156" s="88"/>
      <c r="R156" s="689">
        <f>+_xlfn.XLOOKUP(Tabla4[[#This Row],[ID CLIENTE]],'RESUMEN CLIENTES'!D:D,'RESUMEN CLIENTES'!G:G)</f>
        <v>45771</v>
      </c>
      <c r="S156" s="88" t="str">
        <f>+_xlfn.XLOOKUP(Tabla4[[#This Row],[ID CLIENTE]],'RESUMEN CLIENTES'!D:D,'RESUMEN CLIENTES'!AA:AA)</f>
        <v>C1.1</v>
      </c>
      <c r="T156" s="680" t="str">
        <f>+_xlfn.XLOOKUP(Tabla4[[#This Row],[ID CLIENTE]],'RESUMEN CLIENTES'!D:D,'RESUMEN CLIENTES'!C:C)</f>
        <v>Chile</v>
      </c>
    </row>
    <row r="157" spans="1:20" ht="16">
      <c r="A157" s="82">
        <v>45842</v>
      </c>
      <c r="B157" s="82" t="str">
        <f>+_xlfn.XLOOKUP(Tabla4[[#This Row],[ID CLIENTE]],'RESUMEN CLIENTES'!D:D,'RESUMEN CLIENTES'!A:A)</f>
        <v>Dinorah Gómez Castellanos</v>
      </c>
      <c r="C157" s="83" t="s">
        <v>2168</v>
      </c>
      <c r="D157" s="83" t="s">
        <v>194</v>
      </c>
      <c r="E157" s="83" t="s">
        <v>422</v>
      </c>
      <c r="F157" s="83" t="s">
        <v>423</v>
      </c>
      <c r="G157" s="84">
        <v>800</v>
      </c>
      <c r="H157" s="85">
        <v>-26.25</v>
      </c>
      <c r="I157" s="86">
        <f t="shared" si="4"/>
        <v>3.2812500000000001E-2</v>
      </c>
      <c r="J157" s="87">
        <f t="shared" si="5"/>
        <v>773.75</v>
      </c>
      <c r="K157" s="87"/>
      <c r="L157" s="87" t="s">
        <v>4672</v>
      </c>
      <c r="M157" s="87"/>
      <c r="N157" s="521"/>
      <c r="O157" s="521">
        <f>+Tabla4[[#This Row],[PAGO NO EURO]]+Tabla4[[#This Row],[CARGO NO EURO]]</f>
        <v>0</v>
      </c>
      <c r="P157" s="521"/>
      <c r="Q157" s="88"/>
      <c r="R157" s="689">
        <f>+_xlfn.XLOOKUP(Tabla4[[#This Row],[ID CLIENTE]],'RESUMEN CLIENTES'!D:D,'RESUMEN CLIENTES'!G:G)</f>
        <v>45757</v>
      </c>
      <c r="S157" s="88" t="str">
        <f>+_xlfn.XLOOKUP(Tabla4[[#This Row],[ID CLIENTE]],'RESUMEN CLIENTES'!D:D,'RESUMEN CLIENTES'!AA:AA)</f>
        <v>B2.1</v>
      </c>
      <c r="T157" s="680" t="str">
        <f>+_xlfn.XLOOKUP(Tabla4[[#This Row],[ID CLIENTE]],'RESUMEN CLIENTES'!D:D,'RESUMEN CLIENTES'!C:C)</f>
        <v>México</v>
      </c>
    </row>
    <row r="158" spans="1:20" ht="16">
      <c r="A158" s="82">
        <v>45842</v>
      </c>
      <c r="B158" s="82" t="str">
        <f>+_xlfn.XLOOKUP(Tabla4[[#This Row],[ID CLIENTE]],'RESUMEN CLIENTES'!D:D,'RESUMEN CLIENTES'!A:A)</f>
        <v>Mayra Leonor Rivera Paico</v>
      </c>
      <c r="C158" s="83" t="s">
        <v>2280</v>
      </c>
      <c r="D158" s="83" t="s">
        <v>407</v>
      </c>
      <c r="E158" s="83" t="s">
        <v>408</v>
      </c>
      <c r="F158" s="83" t="s">
        <v>409</v>
      </c>
      <c r="G158" s="84">
        <v>4000</v>
      </c>
      <c r="H158" s="85">
        <v>-130.25</v>
      </c>
      <c r="I158" s="86">
        <f t="shared" si="4"/>
        <v>3.2562500000000001E-2</v>
      </c>
      <c r="J158" s="87">
        <f t="shared" si="5"/>
        <v>3869.75</v>
      </c>
      <c r="K158" s="87"/>
      <c r="L158" s="87" t="s">
        <v>4672</v>
      </c>
      <c r="M158" s="87"/>
      <c r="N158" s="521"/>
      <c r="O158" s="521">
        <f>+Tabla4[[#This Row],[PAGO NO EURO]]+Tabla4[[#This Row],[CARGO NO EURO]]</f>
        <v>0</v>
      </c>
      <c r="P158" s="521"/>
      <c r="Q158" s="88"/>
      <c r="R158" s="689">
        <f>+_xlfn.XLOOKUP(Tabla4[[#This Row],[ID CLIENTE]],'RESUMEN CLIENTES'!D:D,'RESUMEN CLIENTES'!G:G)</f>
        <v>45842</v>
      </c>
      <c r="S158" s="88" t="str">
        <f>+_xlfn.XLOOKUP(Tabla4[[#This Row],[ID CLIENTE]],'RESUMEN CLIENTES'!D:D,'RESUMEN CLIENTES'!AA:AA)</f>
        <v>A1.1</v>
      </c>
      <c r="T158" s="680" t="str">
        <f>+_xlfn.XLOOKUP(Tabla4[[#This Row],[ID CLIENTE]],'RESUMEN CLIENTES'!D:D,'RESUMEN CLIENTES'!C:C)</f>
        <v>Perú</v>
      </c>
    </row>
    <row r="159" spans="1:20" ht="16">
      <c r="A159" s="82">
        <v>45842</v>
      </c>
      <c r="B159" s="82" t="str">
        <f>+_xlfn.XLOOKUP(Tabla4[[#This Row],[ID CLIENTE]],'RESUMEN CLIENTES'!D:D,'RESUMEN CLIENTES'!A:A)</f>
        <v>Moira Millaray Schneider Rivera</v>
      </c>
      <c r="C159" s="83" t="s">
        <v>2147</v>
      </c>
      <c r="D159" s="83" t="s">
        <v>129</v>
      </c>
      <c r="E159" s="83" t="s">
        <v>433</v>
      </c>
      <c r="F159" s="83" t="s">
        <v>434</v>
      </c>
      <c r="G159" s="84">
        <v>1000</v>
      </c>
      <c r="H159" s="85">
        <v>-32.75</v>
      </c>
      <c r="I159" s="86">
        <f t="shared" si="4"/>
        <v>3.2750000000000001E-2</v>
      </c>
      <c r="J159" s="87">
        <f t="shared" si="5"/>
        <v>967.25</v>
      </c>
      <c r="K159" s="87"/>
      <c r="L159" s="87" t="s">
        <v>4672</v>
      </c>
      <c r="M159" s="87"/>
      <c r="N159" s="521"/>
      <c r="O159" s="521">
        <f>+Tabla4[[#This Row],[PAGO NO EURO]]+Tabla4[[#This Row],[CARGO NO EURO]]</f>
        <v>0</v>
      </c>
      <c r="P159" s="521"/>
      <c r="Q159" s="88"/>
      <c r="R159" s="689">
        <f>+_xlfn.XLOOKUP(Tabla4[[#This Row],[ID CLIENTE]],'RESUMEN CLIENTES'!D:D,'RESUMEN CLIENTES'!G:G)</f>
        <v>45740</v>
      </c>
      <c r="S159" s="88" t="str">
        <f>+_xlfn.XLOOKUP(Tabla4[[#This Row],[ID CLIENTE]],'RESUMEN CLIENTES'!D:D,'RESUMEN CLIENTES'!AA:AA)</f>
        <v>null</v>
      </c>
      <c r="T159" s="680" t="str">
        <f>+_xlfn.XLOOKUP(Tabla4[[#This Row],[ID CLIENTE]],'RESUMEN CLIENTES'!D:D,'RESUMEN CLIENTES'!C:C)</f>
        <v>Chile</v>
      </c>
    </row>
    <row r="160" spans="1:20" ht="16">
      <c r="A160" s="82">
        <v>45843</v>
      </c>
      <c r="B160" s="82" t="str">
        <f>+_xlfn.XLOOKUP(Tabla4[[#This Row],[ID CLIENTE]],'RESUMEN CLIENTES'!D:D,'RESUMEN CLIENTES'!A:A)</f>
        <v>Nataly Elizabeth Elias Berrios</v>
      </c>
      <c r="C160" s="83" t="s">
        <v>2200</v>
      </c>
      <c r="D160" s="83" t="s">
        <v>816</v>
      </c>
      <c r="E160" s="83" t="s">
        <v>4801</v>
      </c>
      <c r="F160" s="83" t="s">
        <v>4802</v>
      </c>
      <c r="G160" s="84">
        <v>777</v>
      </c>
      <c r="H160" s="85">
        <v>-27.77</v>
      </c>
      <c r="I160" s="86">
        <f t="shared" si="4"/>
        <v>3.5740025740025737E-2</v>
      </c>
      <c r="J160" s="87">
        <f t="shared" si="5"/>
        <v>749.23</v>
      </c>
      <c r="K160" s="87"/>
      <c r="L160" s="87" t="s">
        <v>4672</v>
      </c>
      <c r="M160" s="87"/>
      <c r="N160" s="521"/>
      <c r="O160" s="521">
        <f>+Tabla4[[#This Row],[PAGO NO EURO]]+Tabla4[[#This Row],[CARGO NO EURO]]</f>
        <v>0</v>
      </c>
      <c r="P160" s="521"/>
      <c r="Q160" s="88"/>
      <c r="R160" s="689">
        <f>+_xlfn.XLOOKUP(Tabla4[[#This Row],[ID CLIENTE]],'RESUMEN CLIENTES'!D:D,'RESUMEN CLIENTES'!G:G)</f>
        <v>45807</v>
      </c>
      <c r="S160" s="88" t="str">
        <f>+_xlfn.XLOOKUP(Tabla4[[#This Row],[ID CLIENTE]],'RESUMEN CLIENTES'!D:D,'RESUMEN CLIENTES'!AA:AA)</f>
        <v>null</v>
      </c>
      <c r="T160" s="680" t="str">
        <f>+_xlfn.XLOOKUP(Tabla4[[#This Row],[ID CLIENTE]],'RESUMEN CLIENTES'!D:D,'RESUMEN CLIENTES'!C:C)</f>
        <v>Bolivia</v>
      </c>
    </row>
    <row r="161" spans="1:20" ht="16">
      <c r="A161" s="82">
        <v>45843</v>
      </c>
      <c r="B161" s="82" t="str">
        <f>+_xlfn.XLOOKUP(Tabla4[[#This Row],[ID CLIENTE]],'RESUMEN CLIENTES'!D:D,'RESUMEN CLIENTES'!A:A)</f>
        <v xml:space="preserve">Catalina Ochoa Urrutia
</v>
      </c>
      <c r="C161" s="83" t="s">
        <v>2180</v>
      </c>
      <c r="D161" s="83" t="s">
        <v>168</v>
      </c>
      <c r="E161" s="83" t="s">
        <v>420</v>
      </c>
      <c r="F161" s="83" t="s">
        <v>421</v>
      </c>
      <c r="G161" s="84">
        <v>1500</v>
      </c>
      <c r="H161" s="85">
        <v>-49</v>
      </c>
      <c r="I161" s="86">
        <f t="shared" si="4"/>
        <v>3.2666666666666663E-2</v>
      </c>
      <c r="J161" s="87">
        <f t="shared" si="5"/>
        <v>1451</v>
      </c>
      <c r="K161" s="87"/>
      <c r="L161" s="87" t="s">
        <v>4672</v>
      </c>
      <c r="M161" s="87"/>
      <c r="N161" s="521"/>
      <c r="O161" s="521">
        <f>+Tabla4[[#This Row],[PAGO NO EURO]]+Tabla4[[#This Row],[CARGO NO EURO]]</f>
        <v>0</v>
      </c>
      <c r="P161" s="521"/>
      <c r="Q161" s="88"/>
      <c r="R161" s="689">
        <f>+_xlfn.XLOOKUP(Tabla4[[#This Row],[ID CLIENTE]],'RESUMEN CLIENTES'!D:D,'RESUMEN CLIENTES'!G:G)</f>
        <v>45762</v>
      </c>
      <c r="S161" s="88" t="str">
        <f>+_xlfn.XLOOKUP(Tabla4[[#This Row],[ID CLIENTE]],'RESUMEN CLIENTES'!D:D,'RESUMEN CLIENTES'!AA:AA)</f>
        <v>B2.1</v>
      </c>
      <c r="T161" s="680" t="str">
        <f>+_xlfn.XLOOKUP(Tabla4[[#This Row],[ID CLIENTE]],'RESUMEN CLIENTES'!D:D,'RESUMEN CLIENTES'!C:C)</f>
        <v>Chile</v>
      </c>
    </row>
    <row r="162" spans="1:20" ht="16">
      <c r="A162" s="82">
        <v>45844</v>
      </c>
      <c r="B162" s="82" t="str">
        <f>+_xlfn.XLOOKUP(Tabla4[[#This Row],[ID CLIENTE]],'RESUMEN CLIENTES'!D:D,'RESUMEN CLIENTES'!A:A)</f>
        <v>Alejandra Leva Vallejo</v>
      </c>
      <c r="C162" s="83" t="s">
        <v>2178</v>
      </c>
      <c r="D162" s="83" t="s">
        <v>165</v>
      </c>
      <c r="E162" s="83" t="s">
        <v>410</v>
      </c>
      <c r="F162" s="83" t="s">
        <v>411</v>
      </c>
      <c r="G162" s="84">
        <v>1000</v>
      </c>
      <c r="H162" s="85">
        <v>-32.75</v>
      </c>
      <c r="I162" s="86">
        <f t="shared" si="4"/>
        <v>3.2750000000000001E-2</v>
      </c>
      <c r="J162" s="87">
        <f t="shared" si="5"/>
        <v>967.25</v>
      </c>
      <c r="K162" s="87"/>
      <c r="L162" s="87" t="s">
        <v>4672</v>
      </c>
      <c r="M162" s="87"/>
      <c r="N162" s="521"/>
      <c r="O162" s="521">
        <f>+Tabla4[[#This Row],[PAGO NO EURO]]+Tabla4[[#This Row],[CARGO NO EURO]]</f>
        <v>0</v>
      </c>
      <c r="P162" s="521"/>
      <c r="Q162" s="88"/>
      <c r="R162" s="689">
        <f>+_xlfn.XLOOKUP(Tabla4[[#This Row],[ID CLIENTE]],'RESUMEN CLIENTES'!D:D,'RESUMEN CLIENTES'!G:G)</f>
        <v>45762</v>
      </c>
      <c r="S162" s="88" t="str">
        <f>+_xlfn.XLOOKUP(Tabla4[[#This Row],[ID CLIENTE]],'RESUMEN CLIENTES'!D:D,'RESUMEN CLIENTES'!AA:AA)</f>
        <v>A1.1</v>
      </c>
      <c r="T162" s="680" t="str">
        <f>+_xlfn.XLOOKUP(Tabla4[[#This Row],[ID CLIENTE]],'RESUMEN CLIENTES'!D:D,'RESUMEN CLIENTES'!C:C)</f>
        <v>México</v>
      </c>
    </row>
    <row r="163" spans="1:20" ht="16">
      <c r="A163" s="82">
        <v>45844</v>
      </c>
      <c r="B163" s="82" t="str">
        <f>+_xlfn.XLOOKUP(Tabla4[[#This Row],[ID CLIENTE]],'RESUMEN CLIENTES'!D:D,'RESUMEN CLIENTES'!A:A)</f>
        <v>Bernardita Lobo Zegers</v>
      </c>
      <c r="C163" s="83" t="s">
        <v>2202</v>
      </c>
      <c r="D163" s="83" t="s">
        <v>203</v>
      </c>
      <c r="E163" s="83" t="s">
        <v>414</v>
      </c>
      <c r="F163" s="83" t="s">
        <v>415</v>
      </c>
      <c r="G163" s="84">
        <v>1000</v>
      </c>
      <c r="H163" s="85">
        <v>-32.75</v>
      </c>
      <c r="I163" s="86">
        <f t="shared" si="4"/>
        <v>3.2750000000000001E-2</v>
      </c>
      <c r="J163" s="87">
        <f t="shared" si="5"/>
        <v>967.25</v>
      </c>
      <c r="K163" s="87"/>
      <c r="L163" s="87" t="s">
        <v>4672</v>
      </c>
      <c r="M163" s="87"/>
      <c r="N163" s="521"/>
      <c r="O163" s="521">
        <f>+Tabla4[[#This Row],[PAGO NO EURO]]+Tabla4[[#This Row],[CARGO NO EURO]]</f>
        <v>0</v>
      </c>
      <c r="P163" s="521"/>
      <c r="Q163" s="88"/>
      <c r="R163" s="689">
        <f>+_xlfn.XLOOKUP(Tabla4[[#This Row],[ID CLIENTE]],'RESUMEN CLIENTES'!D:D,'RESUMEN CLIENTES'!G:G)</f>
        <v>45779</v>
      </c>
      <c r="S163" s="88" t="str">
        <f>+_xlfn.XLOOKUP(Tabla4[[#This Row],[ID CLIENTE]],'RESUMEN CLIENTES'!D:D,'RESUMEN CLIENTES'!AA:AA)</f>
        <v>A1.1</v>
      </c>
      <c r="T163" s="680" t="str">
        <f>+_xlfn.XLOOKUP(Tabla4[[#This Row],[ID CLIENTE]],'RESUMEN CLIENTES'!D:D,'RESUMEN CLIENTES'!C:C)</f>
        <v>México</v>
      </c>
    </row>
    <row r="164" spans="1:20" ht="16">
      <c r="A164" s="82">
        <v>45844</v>
      </c>
      <c r="B164" s="82" t="str">
        <f>+_xlfn.XLOOKUP(Tabla4[[#This Row],[ID CLIENTE]],'RESUMEN CLIENTES'!D:D,'RESUMEN CLIENTES'!A:A)</f>
        <v>Ian Job Lino Durán</v>
      </c>
      <c r="C164" s="83" t="s">
        <v>2135</v>
      </c>
      <c r="D164" s="83" t="s">
        <v>109</v>
      </c>
      <c r="E164" s="83" t="s">
        <v>424</v>
      </c>
      <c r="F164" s="83" t="s">
        <v>425</v>
      </c>
      <c r="G164" s="84">
        <v>1500</v>
      </c>
      <c r="H164" s="85">
        <v>-49</v>
      </c>
      <c r="I164" s="86">
        <f t="shared" si="4"/>
        <v>3.2666666666666663E-2</v>
      </c>
      <c r="J164" s="87">
        <f t="shared" si="5"/>
        <v>1451</v>
      </c>
      <c r="K164" s="87"/>
      <c r="L164" s="87" t="s">
        <v>4672</v>
      </c>
      <c r="M164" s="87"/>
      <c r="N164" s="521"/>
      <c r="O164" s="521">
        <f>+Tabla4[[#This Row],[PAGO NO EURO]]+Tabla4[[#This Row],[CARGO NO EURO]]</f>
        <v>0</v>
      </c>
      <c r="P164" s="521"/>
      <c r="Q164" s="88"/>
      <c r="R164" s="689">
        <f>+_xlfn.XLOOKUP(Tabla4[[#This Row],[ID CLIENTE]],'RESUMEN CLIENTES'!D:D,'RESUMEN CLIENTES'!G:G)</f>
        <v>45729</v>
      </c>
      <c r="S164" s="88" t="str">
        <f>+_xlfn.XLOOKUP(Tabla4[[#This Row],[ID CLIENTE]],'RESUMEN CLIENTES'!D:D,'RESUMEN CLIENTES'!AA:AA)</f>
        <v>B2.1</v>
      </c>
      <c r="T164" s="680" t="str">
        <f>+_xlfn.XLOOKUP(Tabla4[[#This Row],[ID CLIENTE]],'RESUMEN CLIENTES'!D:D,'RESUMEN CLIENTES'!C:C)</f>
        <v>México</v>
      </c>
    </row>
    <row r="165" spans="1:20" ht="16">
      <c r="A165" s="82">
        <v>45844</v>
      </c>
      <c r="B165" s="82" t="str">
        <f>+_xlfn.XLOOKUP(Tabla4[[#This Row],[ID CLIENTE]],'RESUMEN CLIENTES'!D:D,'RESUMEN CLIENTES'!A:A)</f>
        <v>Jordan Eliecer Toledo Bravo</v>
      </c>
      <c r="C165" s="83" t="s">
        <v>2158</v>
      </c>
      <c r="D165" s="83" t="s">
        <v>142</v>
      </c>
      <c r="E165" s="83" t="s">
        <v>426</v>
      </c>
      <c r="F165" s="83" t="s">
        <v>427</v>
      </c>
      <c r="G165" s="84">
        <v>500</v>
      </c>
      <c r="H165" s="85">
        <v>-16.5</v>
      </c>
      <c r="I165" s="86">
        <f t="shared" si="4"/>
        <v>3.3000000000000002E-2</v>
      </c>
      <c r="J165" s="87">
        <f t="shared" si="5"/>
        <v>483.5</v>
      </c>
      <c r="K165" s="87"/>
      <c r="L165" s="87" t="s">
        <v>4672</v>
      </c>
      <c r="M165" s="87"/>
      <c r="N165" s="521"/>
      <c r="O165" s="521">
        <f>+Tabla4[[#This Row],[PAGO NO EURO]]+Tabla4[[#This Row],[CARGO NO EURO]]</f>
        <v>0</v>
      </c>
      <c r="P165" s="521"/>
      <c r="Q165" s="88"/>
      <c r="R165" s="689">
        <f>+_xlfn.XLOOKUP(Tabla4[[#This Row],[ID CLIENTE]],'RESUMEN CLIENTES'!D:D,'RESUMEN CLIENTES'!G:G)</f>
        <v>45748</v>
      </c>
      <c r="S165" s="88" t="str">
        <f>+_xlfn.XLOOKUP(Tabla4[[#This Row],[ID CLIENTE]],'RESUMEN CLIENTES'!D:D,'RESUMEN CLIENTES'!AA:AA)</f>
        <v>A1.1</v>
      </c>
      <c r="T165" s="680" t="str">
        <f>+_xlfn.XLOOKUP(Tabla4[[#This Row],[ID CLIENTE]],'RESUMEN CLIENTES'!D:D,'RESUMEN CLIENTES'!C:C)</f>
        <v>Chile</v>
      </c>
    </row>
    <row r="166" spans="1:20" ht="16">
      <c r="A166" s="82">
        <v>45844</v>
      </c>
      <c r="B166" s="82" t="str">
        <f>+_xlfn.XLOOKUP(Tabla4[[#This Row],[ID CLIENTE]],'RESUMEN CLIENTES'!D:D,'RESUMEN CLIENTES'!A:A)</f>
        <v>Liliana María Moreno Martinez</v>
      </c>
      <c r="C166" s="83" t="s">
        <v>2237</v>
      </c>
      <c r="D166" s="83" t="s">
        <v>278</v>
      </c>
      <c r="E166" s="83" t="s">
        <v>439</v>
      </c>
      <c r="F166" s="83" t="s">
        <v>440</v>
      </c>
      <c r="G166" s="84">
        <v>500</v>
      </c>
      <c r="H166" s="85">
        <v>-16.5</v>
      </c>
      <c r="I166" s="86">
        <f t="shared" si="4"/>
        <v>3.3000000000000002E-2</v>
      </c>
      <c r="J166" s="87">
        <f t="shared" si="5"/>
        <v>483.5</v>
      </c>
      <c r="K166" s="87"/>
      <c r="L166" s="87" t="s">
        <v>4672</v>
      </c>
      <c r="M166" s="87"/>
      <c r="N166" s="521"/>
      <c r="O166" s="521">
        <f>+Tabla4[[#This Row],[PAGO NO EURO]]+Tabla4[[#This Row],[CARGO NO EURO]]</f>
        <v>0</v>
      </c>
      <c r="P166" s="521"/>
      <c r="Q166" s="88"/>
      <c r="R166" s="689">
        <f>+_xlfn.XLOOKUP(Tabla4[[#This Row],[ID CLIENTE]],'RESUMEN CLIENTES'!D:D,'RESUMEN CLIENTES'!G:G)</f>
        <v>45812</v>
      </c>
      <c r="S166" s="88" t="str">
        <f>+_xlfn.XLOOKUP(Tabla4[[#This Row],[ID CLIENTE]],'RESUMEN CLIENTES'!D:D,'RESUMEN CLIENTES'!AA:AA)</f>
        <v>A1.1</v>
      </c>
      <c r="T166" s="680" t="str">
        <f>+_xlfn.XLOOKUP(Tabla4[[#This Row],[ID CLIENTE]],'RESUMEN CLIENTES'!D:D,'RESUMEN CLIENTES'!C:C)</f>
        <v>El Salvador</v>
      </c>
    </row>
    <row r="167" spans="1:20" ht="16">
      <c r="A167" s="82">
        <v>45844</v>
      </c>
      <c r="B167" s="82" t="str">
        <f>+_xlfn.XLOOKUP(Tabla4[[#This Row],[ID CLIENTE]],'RESUMEN CLIENTES'!D:D,'RESUMEN CLIENTES'!A:A)</f>
        <v>Marco Tulio Negrete Aceves</v>
      </c>
      <c r="C167" s="83" t="s">
        <v>2166</v>
      </c>
      <c r="D167" s="83" t="s">
        <v>188</v>
      </c>
      <c r="E167" s="83" t="s">
        <v>428</v>
      </c>
      <c r="F167" s="83" t="s">
        <v>429</v>
      </c>
      <c r="G167" s="84">
        <v>800</v>
      </c>
      <c r="H167" s="85">
        <v>-26.25</v>
      </c>
      <c r="I167" s="86">
        <f t="shared" si="4"/>
        <v>3.2812500000000001E-2</v>
      </c>
      <c r="J167" s="87">
        <f t="shared" si="5"/>
        <v>773.75</v>
      </c>
      <c r="K167" s="87"/>
      <c r="L167" s="87" t="s">
        <v>4672</v>
      </c>
      <c r="M167" s="87"/>
      <c r="N167" s="521"/>
      <c r="O167" s="521">
        <f>+Tabla4[[#This Row],[PAGO NO EURO]]+Tabla4[[#This Row],[CARGO NO EURO]]</f>
        <v>0</v>
      </c>
      <c r="P167" s="521"/>
      <c r="Q167" s="88"/>
      <c r="R167" s="689">
        <f>+_xlfn.XLOOKUP(Tabla4[[#This Row],[ID CLIENTE]],'RESUMEN CLIENTES'!D:D,'RESUMEN CLIENTES'!G:G)</f>
        <v>45757</v>
      </c>
      <c r="S167" s="88" t="str">
        <f>+_xlfn.XLOOKUP(Tabla4[[#This Row],[ID CLIENTE]],'RESUMEN CLIENTES'!D:D,'RESUMEN CLIENTES'!AA:AA)</f>
        <v>B2.1</v>
      </c>
      <c r="T167" s="680" t="str">
        <f>+_xlfn.XLOOKUP(Tabla4[[#This Row],[ID CLIENTE]],'RESUMEN CLIENTES'!D:D,'RESUMEN CLIENTES'!C:C)</f>
        <v>México</v>
      </c>
    </row>
    <row r="168" spans="1:20" ht="16">
      <c r="A168" s="82">
        <v>45844</v>
      </c>
      <c r="B168" s="82" t="str">
        <f>+_xlfn.XLOOKUP(Tabla4[[#This Row],[ID CLIENTE]],'RESUMEN CLIENTES'!D:D,'RESUMEN CLIENTES'!A:A)</f>
        <v>Rodrigo Rivera Ruiz</v>
      </c>
      <c r="C168" s="83" t="s">
        <v>2170</v>
      </c>
      <c r="D168" s="83" t="s">
        <v>159</v>
      </c>
      <c r="E168" s="83" t="s">
        <v>435</v>
      </c>
      <c r="F168" s="83" t="s">
        <v>436</v>
      </c>
      <c r="G168" s="84">
        <v>1500</v>
      </c>
      <c r="H168" s="85">
        <v>-49</v>
      </c>
      <c r="I168" s="86">
        <f t="shared" si="4"/>
        <v>3.2666666666666663E-2</v>
      </c>
      <c r="J168" s="87">
        <f t="shared" si="5"/>
        <v>1451</v>
      </c>
      <c r="K168" s="87"/>
      <c r="L168" s="87" t="s">
        <v>4672</v>
      </c>
      <c r="M168" s="87"/>
      <c r="N168" s="521"/>
      <c r="O168" s="521">
        <f>+Tabla4[[#This Row],[PAGO NO EURO]]+Tabla4[[#This Row],[CARGO NO EURO]]</f>
        <v>0</v>
      </c>
      <c r="P168" s="521"/>
      <c r="Q168" s="88"/>
      <c r="R168" s="689">
        <f>+_xlfn.XLOOKUP(Tabla4[[#This Row],[ID CLIENTE]],'RESUMEN CLIENTES'!D:D,'RESUMEN CLIENTES'!G:G)</f>
        <v>45757</v>
      </c>
      <c r="S168" s="88" t="str">
        <f>+_xlfn.XLOOKUP(Tabla4[[#This Row],[ID CLIENTE]],'RESUMEN CLIENTES'!D:D,'RESUMEN CLIENTES'!AA:AA)</f>
        <v>A1.1</v>
      </c>
      <c r="T168" s="680" t="str">
        <f>+_xlfn.XLOOKUP(Tabla4[[#This Row],[ID CLIENTE]],'RESUMEN CLIENTES'!D:D,'RESUMEN CLIENTES'!C:C)</f>
        <v>Chile</v>
      </c>
    </row>
    <row r="169" spans="1:20" ht="16">
      <c r="A169" s="82">
        <v>45845</v>
      </c>
      <c r="B169" s="82" t="str">
        <f>+_xlfn.XLOOKUP(Tabla4[[#This Row],[ID CLIENTE]],'RESUMEN CLIENTES'!D:D,'RESUMEN CLIENTES'!A:A)</f>
        <v>Miguel Ángel Cortez García</v>
      </c>
      <c r="C169" s="83" t="s">
        <v>2282</v>
      </c>
      <c r="D169" s="83" t="s">
        <v>444</v>
      </c>
      <c r="E169" s="83" t="s">
        <v>445</v>
      </c>
      <c r="F169" s="83" t="s">
        <v>446</v>
      </c>
      <c r="G169" s="84">
        <v>250</v>
      </c>
      <c r="H169" s="85">
        <v>-8.3800000000000008</v>
      </c>
      <c r="I169" s="86">
        <f t="shared" si="4"/>
        <v>3.3520000000000001E-2</v>
      </c>
      <c r="J169" s="87">
        <f t="shared" si="5"/>
        <v>241.62</v>
      </c>
      <c r="K169" s="87"/>
      <c r="L169" s="87" t="s">
        <v>4672</v>
      </c>
      <c r="M169" s="87"/>
      <c r="N169" s="521"/>
      <c r="O169" s="521">
        <f>+Tabla4[[#This Row],[PAGO NO EURO]]+Tabla4[[#This Row],[CARGO NO EURO]]</f>
        <v>0</v>
      </c>
      <c r="P169" s="521"/>
      <c r="Q169" s="88"/>
      <c r="R169" s="689">
        <f>+_xlfn.XLOOKUP(Tabla4[[#This Row],[ID CLIENTE]],'RESUMEN CLIENTES'!D:D,'RESUMEN CLIENTES'!G:G)</f>
        <v>45845</v>
      </c>
      <c r="S169" s="88" t="str">
        <f>+_xlfn.XLOOKUP(Tabla4[[#This Row],[ID CLIENTE]],'RESUMEN CLIENTES'!D:D,'RESUMEN CLIENTES'!AA:AA)</f>
        <v>null</v>
      </c>
      <c r="T169" s="680" t="str">
        <f>+_xlfn.XLOOKUP(Tabla4[[#This Row],[ID CLIENTE]],'RESUMEN CLIENTES'!D:D,'RESUMEN CLIENTES'!C:C)</f>
        <v>México</v>
      </c>
    </row>
    <row r="170" spans="1:20" ht="16">
      <c r="A170" s="82">
        <v>45845</v>
      </c>
      <c r="B170" s="82" t="str">
        <f>+_xlfn.XLOOKUP(Tabla4[[#This Row],[ID CLIENTE]],'RESUMEN CLIENTES'!D:D,'RESUMEN CLIENTES'!A:A)</f>
        <v>Luis Manuel Villanueva Contreras</v>
      </c>
      <c r="C170" s="83" t="s">
        <v>2286</v>
      </c>
      <c r="D170" s="83" t="s">
        <v>441</v>
      </c>
      <c r="E170" s="83" t="s">
        <v>442</v>
      </c>
      <c r="F170" s="83" t="s">
        <v>443</v>
      </c>
      <c r="G170" s="84">
        <v>250</v>
      </c>
      <c r="H170" s="85">
        <v>-8.3800000000000008</v>
      </c>
      <c r="I170" s="86">
        <f t="shared" si="4"/>
        <v>3.3520000000000001E-2</v>
      </c>
      <c r="J170" s="87">
        <f t="shared" si="5"/>
        <v>241.62</v>
      </c>
      <c r="K170" s="87"/>
      <c r="L170" s="87" t="s">
        <v>4672</v>
      </c>
      <c r="M170" s="87"/>
      <c r="N170" s="521"/>
      <c r="O170" s="521">
        <f>+Tabla4[[#This Row],[PAGO NO EURO]]+Tabla4[[#This Row],[CARGO NO EURO]]</f>
        <v>0</v>
      </c>
      <c r="P170" s="521"/>
      <c r="Q170" s="88"/>
      <c r="R170" s="689">
        <f>+_xlfn.XLOOKUP(Tabla4[[#This Row],[ID CLIENTE]],'RESUMEN CLIENTES'!D:D,'RESUMEN CLIENTES'!G:G)</f>
        <v>45845</v>
      </c>
      <c r="S170" s="88" t="str">
        <f>+_xlfn.XLOOKUP(Tabla4[[#This Row],[ID CLIENTE]],'RESUMEN CLIENTES'!D:D,'RESUMEN CLIENTES'!AA:AA)</f>
        <v>A2.1</v>
      </c>
      <c r="T170" s="680" t="str">
        <f>+_xlfn.XLOOKUP(Tabla4[[#This Row],[ID CLIENTE]],'RESUMEN CLIENTES'!D:D,'RESUMEN CLIENTES'!C:C)</f>
        <v>México</v>
      </c>
    </row>
    <row r="171" spans="1:20" ht="16">
      <c r="A171" s="82">
        <v>45845</v>
      </c>
      <c r="B171" s="82" t="str">
        <f>+_xlfn.XLOOKUP(Tabla4[[#This Row],[ID CLIENTE]],'RESUMEN CLIENTES'!D:D,'RESUMEN CLIENTES'!A:A)</f>
        <v>Yefry Onil Santana Marte</v>
      </c>
      <c r="C171" s="83" t="s">
        <v>2284</v>
      </c>
      <c r="D171" s="83" t="s">
        <v>447</v>
      </c>
      <c r="E171" s="83" t="s">
        <v>448</v>
      </c>
      <c r="F171" s="83" t="s">
        <v>449</v>
      </c>
      <c r="G171" s="84">
        <v>250</v>
      </c>
      <c r="H171" s="85">
        <v>-13.44</v>
      </c>
      <c r="I171" s="86">
        <f t="shared" si="4"/>
        <v>5.3759999999999995E-2</v>
      </c>
      <c r="J171" s="87">
        <f t="shared" si="5"/>
        <v>236.56</v>
      </c>
      <c r="K171" s="87"/>
      <c r="L171" s="87" t="s">
        <v>4672</v>
      </c>
      <c r="M171" s="87"/>
      <c r="N171" s="521"/>
      <c r="O171" s="521">
        <f>+Tabla4[[#This Row],[PAGO NO EURO]]+Tabla4[[#This Row],[CARGO NO EURO]]</f>
        <v>0</v>
      </c>
      <c r="P171" s="521"/>
      <c r="Q171" s="88"/>
      <c r="R171" s="689">
        <f>+_xlfn.XLOOKUP(Tabla4[[#This Row],[ID CLIENTE]],'RESUMEN CLIENTES'!D:D,'RESUMEN CLIENTES'!G:G)</f>
        <v>45845</v>
      </c>
      <c r="S171" s="88" t="str">
        <f>+_xlfn.XLOOKUP(Tabla4[[#This Row],[ID CLIENTE]],'RESUMEN CLIENTES'!D:D,'RESUMEN CLIENTES'!AA:AA)</f>
        <v>A1.1</v>
      </c>
      <c r="T171" s="680" t="str">
        <f>+_xlfn.XLOOKUP(Tabla4[[#This Row],[ID CLIENTE]],'RESUMEN CLIENTES'!D:D,'RESUMEN CLIENTES'!C:C)</f>
        <v>República Dominicana</v>
      </c>
    </row>
    <row r="172" spans="1:20" ht="16">
      <c r="A172" s="82">
        <v>45846</v>
      </c>
      <c r="B172" s="82" t="str">
        <f>+_xlfn.XLOOKUP(Tabla4[[#This Row],[ID CLIENTE]],'RESUMEN CLIENTES'!D:D,'RESUMEN CLIENTES'!A:A)</f>
        <v>Camila Sanchez Aravena</v>
      </c>
      <c r="C172" s="83" t="s">
        <v>2125</v>
      </c>
      <c r="D172" s="83" t="s">
        <v>118</v>
      </c>
      <c r="E172" s="83" t="s">
        <v>418</v>
      </c>
      <c r="F172" s="83" t="s">
        <v>419</v>
      </c>
      <c r="G172" s="84">
        <v>529.39</v>
      </c>
      <c r="H172" s="85">
        <v>-17.46</v>
      </c>
      <c r="I172" s="86">
        <f t="shared" si="4"/>
        <v>3.2981355900187012E-2</v>
      </c>
      <c r="J172" s="87">
        <f t="shared" si="5"/>
        <v>511.93</v>
      </c>
      <c r="K172" s="87"/>
      <c r="L172" s="87" t="s">
        <v>4672</v>
      </c>
      <c r="M172" s="87"/>
      <c r="N172" s="521"/>
      <c r="O172" s="521">
        <f>+Tabla4[[#This Row],[PAGO NO EURO]]+Tabla4[[#This Row],[CARGO NO EURO]]</f>
        <v>0</v>
      </c>
      <c r="P172" s="521"/>
      <c r="Q172" s="88"/>
      <c r="R172" s="689">
        <f>+_xlfn.XLOOKUP(Tabla4[[#This Row],[ID CLIENTE]],'RESUMEN CLIENTES'!D:D,'RESUMEN CLIENTES'!G:G)</f>
        <v>45699</v>
      </c>
      <c r="S172" s="88" t="str">
        <f>+_xlfn.XLOOKUP(Tabla4[[#This Row],[ID CLIENTE]],'RESUMEN CLIENTES'!D:D,'RESUMEN CLIENTES'!AA:AA)</f>
        <v>B2.1</v>
      </c>
      <c r="T172" s="680" t="str">
        <f>+_xlfn.XLOOKUP(Tabla4[[#This Row],[ID CLIENTE]],'RESUMEN CLIENTES'!D:D,'RESUMEN CLIENTES'!C:C)</f>
        <v>Chile</v>
      </c>
    </row>
    <row r="173" spans="1:20" ht="16">
      <c r="A173" s="82">
        <v>45846</v>
      </c>
      <c r="B173" s="82" t="str">
        <f>+_xlfn.XLOOKUP(Tabla4[[#This Row],[ID CLIENTE]],'RESUMEN CLIENTES'!D:D,'RESUMEN CLIENTES'!A:A)</f>
        <v>Paola Hitos</v>
      </c>
      <c r="C173" s="83" t="s">
        <v>2288</v>
      </c>
      <c r="D173" s="83" t="s">
        <v>455</v>
      </c>
      <c r="E173" s="83" t="s">
        <v>456</v>
      </c>
      <c r="F173" s="83" t="s">
        <v>457</v>
      </c>
      <c r="G173" s="84">
        <v>250</v>
      </c>
      <c r="H173" s="85">
        <v>-8.3800000000000008</v>
      </c>
      <c r="I173" s="86">
        <f t="shared" si="4"/>
        <v>3.3520000000000001E-2</v>
      </c>
      <c r="J173" s="87">
        <f t="shared" si="5"/>
        <v>241.62</v>
      </c>
      <c r="K173" s="87"/>
      <c r="L173" s="87" t="s">
        <v>4672</v>
      </c>
      <c r="M173" s="87"/>
      <c r="N173" s="521"/>
      <c r="O173" s="521">
        <f>+Tabla4[[#This Row],[PAGO NO EURO]]+Tabla4[[#This Row],[CARGO NO EURO]]</f>
        <v>0</v>
      </c>
      <c r="P173" s="521"/>
      <c r="Q173" s="88"/>
      <c r="R173" s="689">
        <f>+_xlfn.XLOOKUP(Tabla4[[#This Row],[ID CLIENTE]],'RESUMEN CLIENTES'!D:D,'RESUMEN CLIENTES'!G:G)</f>
        <v>45846</v>
      </c>
      <c r="S173" s="88" t="str">
        <f>+_xlfn.XLOOKUP(Tabla4[[#This Row],[ID CLIENTE]],'RESUMEN CLIENTES'!D:D,'RESUMEN CLIENTES'!AA:AA)</f>
        <v>A1.1</v>
      </c>
      <c r="T173" s="680" t="str">
        <f>+_xlfn.XLOOKUP(Tabla4[[#This Row],[ID CLIENTE]],'RESUMEN CLIENTES'!D:D,'RESUMEN CLIENTES'!C:C)</f>
        <v>México</v>
      </c>
    </row>
    <row r="174" spans="1:20" ht="16">
      <c r="A174" s="82">
        <v>45846</v>
      </c>
      <c r="B174" s="82" t="str">
        <f>+_xlfn.XLOOKUP(Tabla4[[#This Row],[ID CLIENTE]],'RESUMEN CLIENTES'!D:D,'RESUMEN CLIENTES'!A:A)</f>
        <v>Victor Emanuel Hernández Ruíz</v>
      </c>
      <c r="C174" s="83" t="s">
        <v>2141</v>
      </c>
      <c r="D174" s="83" t="s">
        <v>112</v>
      </c>
      <c r="E174" s="83" t="s">
        <v>437</v>
      </c>
      <c r="F174" s="83" t="s">
        <v>438</v>
      </c>
      <c r="G174" s="84">
        <v>1000</v>
      </c>
      <c r="H174" s="85">
        <v>-32.75</v>
      </c>
      <c r="I174" s="86">
        <f t="shared" si="4"/>
        <v>3.2750000000000001E-2</v>
      </c>
      <c r="J174" s="87">
        <f t="shared" si="5"/>
        <v>967.25</v>
      </c>
      <c r="K174" s="87"/>
      <c r="L174" s="87" t="s">
        <v>4672</v>
      </c>
      <c r="M174" s="87"/>
      <c r="N174" s="521"/>
      <c r="O174" s="521">
        <f>+Tabla4[[#This Row],[PAGO NO EURO]]+Tabla4[[#This Row],[CARGO NO EURO]]</f>
        <v>0</v>
      </c>
      <c r="P174" s="521"/>
      <c r="Q174" s="88"/>
      <c r="R174" s="689">
        <f>+_xlfn.XLOOKUP(Tabla4[[#This Row],[ID CLIENTE]],'RESUMEN CLIENTES'!D:D,'RESUMEN CLIENTES'!G:G)</f>
        <v>45735</v>
      </c>
      <c r="S174" s="88" t="str">
        <f>+_xlfn.XLOOKUP(Tabla4[[#This Row],[ID CLIENTE]],'RESUMEN CLIENTES'!D:D,'RESUMEN CLIENTES'!AA:AA)</f>
        <v>B2.1</v>
      </c>
      <c r="T174" s="680" t="str">
        <f>+_xlfn.XLOOKUP(Tabla4[[#This Row],[ID CLIENTE]],'RESUMEN CLIENTES'!D:D,'RESUMEN CLIENTES'!C:C)</f>
        <v>México</v>
      </c>
    </row>
    <row r="175" spans="1:20" ht="16">
      <c r="A175" s="82">
        <v>45846</v>
      </c>
      <c r="B175" s="82" t="str">
        <f>+_xlfn.XLOOKUP(Tabla4[[#This Row],[ID CLIENTE]],'RESUMEN CLIENTES'!D:D,'RESUMEN CLIENTES'!A:A)</f>
        <v>Yefry Onil Santana Marte</v>
      </c>
      <c r="C175" s="83" t="s">
        <v>2284</v>
      </c>
      <c r="D175" s="83" t="s">
        <v>447</v>
      </c>
      <c r="E175" s="83" t="s">
        <v>458</v>
      </c>
      <c r="F175" s="83" t="s">
        <v>459</v>
      </c>
      <c r="G175" s="84">
        <v>750</v>
      </c>
      <c r="H175" s="85">
        <v>-24.63</v>
      </c>
      <c r="I175" s="86">
        <f t="shared" si="4"/>
        <v>3.2840000000000001E-2</v>
      </c>
      <c r="J175" s="87">
        <f t="shared" si="5"/>
        <v>725.37</v>
      </c>
      <c r="K175" s="87"/>
      <c r="L175" s="87" t="s">
        <v>4672</v>
      </c>
      <c r="M175" s="87"/>
      <c r="N175" s="521"/>
      <c r="O175" s="521">
        <f>+Tabla4[[#This Row],[PAGO NO EURO]]+Tabla4[[#This Row],[CARGO NO EURO]]</f>
        <v>0</v>
      </c>
      <c r="P175" s="521"/>
      <c r="Q175" s="88"/>
      <c r="R175" s="689">
        <f>+_xlfn.XLOOKUP(Tabla4[[#This Row],[ID CLIENTE]],'RESUMEN CLIENTES'!D:D,'RESUMEN CLIENTES'!G:G)</f>
        <v>45845</v>
      </c>
      <c r="S175" s="88" t="str">
        <f>+_xlfn.XLOOKUP(Tabla4[[#This Row],[ID CLIENTE]],'RESUMEN CLIENTES'!D:D,'RESUMEN CLIENTES'!AA:AA)</f>
        <v>A1.1</v>
      </c>
      <c r="T175" s="680" t="str">
        <f>+_xlfn.XLOOKUP(Tabla4[[#This Row],[ID CLIENTE]],'RESUMEN CLIENTES'!D:D,'RESUMEN CLIENTES'!C:C)</f>
        <v>República Dominicana</v>
      </c>
    </row>
    <row r="176" spans="1:20" ht="16">
      <c r="A176" s="82">
        <v>45847</v>
      </c>
      <c r="B176" s="82" t="str">
        <f>+_xlfn.XLOOKUP(Tabla4[[#This Row],[ID CLIENTE]],'RESUMEN CLIENTES'!D:D,'RESUMEN CLIENTES'!A:A)</f>
        <v>Diego Alonso Salazar Palacios</v>
      </c>
      <c r="C176" s="83" t="s">
        <v>2216</v>
      </c>
      <c r="D176" s="83" t="s">
        <v>253</v>
      </c>
      <c r="E176" s="83" t="s">
        <v>453</v>
      </c>
      <c r="F176" s="83" t="s">
        <v>454</v>
      </c>
      <c r="G176" s="84">
        <v>2000</v>
      </c>
      <c r="H176" s="85">
        <v>-65.25</v>
      </c>
      <c r="I176" s="86">
        <f t="shared" si="4"/>
        <v>3.2625000000000001E-2</v>
      </c>
      <c r="J176" s="87">
        <f t="shared" si="5"/>
        <v>1934.75</v>
      </c>
      <c r="K176" s="87"/>
      <c r="L176" s="87" t="s">
        <v>4672</v>
      </c>
      <c r="M176" s="87"/>
      <c r="N176" s="521"/>
      <c r="O176" s="521">
        <f>+Tabla4[[#This Row],[PAGO NO EURO]]+Tabla4[[#This Row],[CARGO NO EURO]]</f>
        <v>0</v>
      </c>
      <c r="P176" s="521"/>
      <c r="Q176" s="88"/>
      <c r="R176" s="689">
        <f>+_xlfn.XLOOKUP(Tabla4[[#This Row],[ID CLIENTE]],'RESUMEN CLIENTES'!D:D,'RESUMEN CLIENTES'!G:G)</f>
        <v>45803</v>
      </c>
      <c r="S176" s="88" t="str">
        <f>+_xlfn.XLOOKUP(Tabla4[[#This Row],[ID CLIENTE]],'RESUMEN CLIENTES'!D:D,'RESUMEN CLIENTES'!AA:AA)</f>
        <v>A1.1</v>
      </c>
      <c r="T176" s="680" t="str">
        <f>+_xlfn.XLOOKUP(Tabla4[[#This Row],[ID CLIENTE]],'RESUMEN CLIENTES'!D:D,'RESUMEN CLIENTES'!C:C)</f>
        <v>Perú</v>
      </c>
    </row>
    <row r="177" spans="1:20" ht="16">
      <c r="A177" s="82">
        <v>45847</v>
      </c>
      <c r="B177" s="82" t="str">
        <f>+_xlfn.XLOOKUP(Tabla4[[#This Row],[ID CLIENTE]],'RESUMEN CLIENTES'!D:D,'RESUMEN CLIENTES'!A:A)</f>
        <v>Polliyana Alvarado Alvarado</v>
      </c>
      <c r="C177" s="83" t="s">
        <v>2244</v>
      </c>
      <c r="D177" s="83" t="s">
        <v>317</v>
      </c>
      <c r="E177" s="83" t="s">
        <v>2571</v>
      </c>
      <c r="F177" s="83" t="s">
        <v>2572</v>
      </c>
      <c r="G177" s="84">
        <f>+Tabla4[[#This Row],[PAGO NO EURO]]*Tabla4[[#This Row],[CAMBIO]]</f>
        <v>13645.890491054159</v>
      </c>
      <c r="H177" s="85">
        <f>+Tabla4[[#This Row],[CARGO NO EURO]]*Tabla4[[#This Row],[CAMBIO]]</f>
        <v>0</v>
      </c>
      <c r="I177" s="86">
        <f t="shared" si="4"/>
        <v>0</v>
      </c>
      <c r="J177" s="87">
        <f t="shared" si="5"/>
        <v>13645.890491054159</v>
      </c>
      <c r="K177" s="87" t="s">
        <v>4680</v>
      </c>
      <c r="L177" s="87" t="s">
        <v>4675</v>
      </c>
      <c r="M177" s="87" t="s">
        <v>2543</v>
      </c>
      <c r="N177" s="522">
        <v>15170000</v>
      </c>
      <c r="O177" s="523">
        <f>+Tabla4[[#This Row],[PAGO NO EURO]]+Tabla4[[#This Row],[CARGO NO EURO]]</f>
        <v>15170000</v>
      </c>
      <c r="P177" s="524">
        <v>0</v>
      </c>
      <c r="Q177" s="89">
        <v>8.995313441696875E-4</v>
      </c>
      <c r="R177" s="689">
        <f>+_xlfn.XLOOKUP(Tabla4[[#This Row],[ID CLIENTE]],'RESUMEN CLIENTES'!D:D,'RESUMEN CLIENTES'!G:G)</f>
        <v>45847</v>
      </c>
      <c r="S177" s="89" t="str">
        <f>+_xlfn.XLOOKUP(Tabla4[[#This Row],[ID CLIENTE]],'RESUMEN CLIENTES'!D:D,'RESUMEN CLIENTES'!AA:AA)</f>
        <v>A1.2</v>
      </c>
      <c r="T177" s="680" t="str">
        <f>+_xlfn.XLOOKUP(Tabla4[[#This Row],[ID CLIENTE]],'RESUMEN CLIENTES'!D:D,'RESUMEN CLIENTES'!C:C)</f>
        <v>Chile</v>
      </c>
    </row>
    <row r="178" spans="1:20" ht="16">
      <c r="A178" s="82">
        <v>45847</v>
      </c>
      <c r="B178" s="82" t="str">
        <f>+_xlfn.XLOOKUP(Tabla4[[#This Row],[ID CLIENTE]],'RESUMEN CLIENTES'!D:D,'RESUMEN CLIENTES'!A:A)</f>
        <v>Valeria Carolina Heredia Peña</v>
      </c>
      <c r="C178" s="83" t="s">
        <v>2290</v>
      </c>
      <c r="D178" s="83" t="s">
        <v>460</v>
      </c>
      <c r="E178" s="83" t="s">
        <v>461</v>
      </c>
      <c r="F178" s="83" t="s">
        <v>462</v>
      </c>
      <c r="G178" s="84">
        <f>+Tabla4[[#This Row],[PAGO NO EURO]]*Tabla4[[#This Row],[CAMBIO]]</f>
        <v>3975.9285412300187</v>
      </c>
      <c r="H178" s="85">
        <f>+Tabla4[[#This Row],[CARGO NO EURO]]*Tabla4[[#This Row],[CAMBIO]]</f>
        <v>0</v>
      </c>
      <c r="I178" s="86">
        <f t="shared" si="4"/>
        <v>0</v>
      </c>
      <c r="J178" s="87">
        <f t="shared" si="5"/>
        <v>3975.9285412300187</v>
      </c>
      <c r="K178" s="87" t="s">
        <v>2542</v>
      </c>
      <c r="L178" s="87" t="s">
        <v>4675</v>
      </c>
      <c r="M178" s="87" t="s">
        <v>2543</v>
      </c>
      <c r="N178" s="522">
        <v>4420000</v>
      </c>
      <c r="O178" s="523">
        <f>+Tabla4[[#This Row],[PAGO NO EURO]]+Tabla4[[#This Row],[CARGO NO EURO]]</f>
        <v>4420000</v>
      </c>
      <c r="P178" s="524">
        <v>0</v>
      </c>
      <c r="Q178" s="89">
        <v>8.995313441696875E-4</v>
      </c>
      <c r="R178" s="689">
        <f>+_xlfn.XLOOKUP(Tabla4[[#This Row],[ID CLIENTE]],'RESUMEN CLIENTES'!D:D,'RESUMEN CLIENTES'!G:G)</f>
        <v>45847</v>
      </c>
      <c r="S178" s="89" t="str">
        <f>+_xlfn.XLOOKUP(Tabla4[[#This Row],[ID CLIENTE]],'RESUMEN CLIENTES'!D:D,'RESUMEN CLIENTES'!AA:AA)</f>
        <v>A1.1</v>
      </c>
      <c r="T178" s="680" t="str">
        <f>+_xlfn.XLOOKUP(Tabla4[[#This Row],[ID CLIENTE]],'RESUMEN CLIENTES'!D:D,'RESUMEN CLIENTES'!C:C)</f>
        <v>Bolivia</v>
      </c>
    </row>
    <row r="179" spans="1:20" ht="16">
      <c r="A179" s="82">
        <v>45848</v>
      </c>
      <c r="B179" s="82" t="str">
        <f>+_xlfn.XLOOKUP(Tabla4[[#This Row],[ID CLIENTE]],'RESUMEN CLIENTES'!D:D,'RESUMEN CLIENTES'!A:A)</f>
        <v>María de los Ángeles Gutiérrez Quevedo</v>
      </c>
      <c r="C179" s="83" t="s">
        <v>2233</v>
      </c>
      <c r="D179" s="83" t="s">
        <v>274</v>
      </c>
      <c r="E179" s="83" t="s">
        <v>471</v>
      </c>
      <c r="F179" s="83" t="s">
        <v>472</v>
      </c>
      <c r="G179" s="84">
        <v>1500</v>
      </c>
      <c r="H179" s="85">
        <v>-49</v>
      </c>
      <c r="I179" s="86">
        <f t="shared" si="4"/>
        <v>3.2666666666666663E-2</v>
      </c>
      <c r="J179" s="87">
        <f t="shared" si="5"/>
        <v>1451</v>
      </c>
      <c r="K179" s="87"/>
      <c r="L179" s="87" t="s">
        <v>4672</v>
      </c>
      <c r="M179" s="87"/>
      <c r="N179" s="521"/>
      <c r="O179" s="521">
        <f>+Tabla4[[#This Row],[PAGO NO EURO]]+Tabla4[[#This Row],[CARGO NO EURO]]</f>
        <v>0</v>
      </c>
      <c r="P179" s="521"/>
      <c r="Q179" s="88"/>
      <c r="R179" s="689">
        <f>+_xlfn.XLOOKUP(Tabla4[[#This Row],[ID CLIENTE]],'RESUMEN CLIENTES'!D:D,'RESUMEN CLIENTES'!G:G)</f>
        <v>45810</v>
      </c>
      <c r="S179" s="88" t="str">
        <f>+_xlfn.XLOOKUP(Tabla4[[#This Row],[ID CLIENTE]],'RESUMEN CLIENTES'!D:D,'RESUMEN CLIENTES'!AA:AA)</f>
        <v>A1.1</v>
      </c>
      <c r="T179" s="680" t="str">
        <f>+_xlfn.XLOOKUP(Tabla4[[#This Row],[ID CLIENTE]],'RESUMEN CLIENTES'!D:D,'RESUMEN CLIENTES'!C:C)</f>
        <v>Chile</v>
      </c>
    </row>
    <row r="180" spans="1:20" ht="16">
      <c r="A180" s="82">
        <v>45848</v>
      </c>
      <c r="B180" s="82" t="str">
        <f>+_xlfn.XLOOKUP(Tabla4[[#This Row],[ID CLIENTE]],'RESUMEN CLIENTES'!D:D,'RESUMEN CLIENTES'!A:A)</f>
        <v>Brandon Alcantara Gallegos</v>
      </c>
      <c r="C180" s="83" t="s">
        <v>2249</v>
      </c>
      <c r="D180" s="83" t="s">
        <v>319</v>
      </c>
      <c r="E180" s="83" t="s">
        <v>463</v>
      </c>
      <c r="F180" s="83" t="s">
        <v>464</v>
      </c>
      <c r="G180" s="84">
        <v>1000</v>
      </c>
      <c r="H180" s="85">
        <v>-32.75</v>
      </c>
      <c r="I180" s="86">
        <f t="shared" si="4"/>
        <v>3.2750000000000001E-2</v>
      </c>
      <c r="J180" s="87">
        <f t="shared" si="5"/>
        <v>967.25</v>
      </c>
      <c r="K180" s="87"/>
      <c r="L180" s="87" t="s">
        <v>4672</v>
      </c>
      <c r="M180" s="87"/>
      <c r="N180" s="521"/>
      <c r="O180" s="521">
        <f>+Tabla4[[#This Row],[PAGO NO EURO]]+Tabla4[[#This Row],[CARGO NO EURO]]</f>
        <v>0</v>
      </c>
      <c r="P180" s="521"/>
      <c r="Q180" s="88"/>
      <c r="R180" s="689">
        <f>+_xlfn.XLOOKUP(Tabla4[[#This Row],[ID CLIENTE]],'RESUMEN CLIENTES'!D:D,'RESUMEN CLIENTES'!G:G)</f>
        <v>45819</v>
      </c>
      <c r="S180" s="88" t="str">
        <f>+_xlfn.XLOOKUP(Tabla4[[#This Row],[ID CLIENTE]],'RESUMEN CLIENTES'!D:D,'RESUMEN CLIENTES'!AA:AA)</f>
        <v>null</v>
      </c>
      <c r="T180" s="680" t="str">
        <f>+_xlfn.XLOOKUP(Tabla4[[#This Row],[ID CLIENTE]],'RESUMEN CLIENTES'!D:D,'RESUMEN CLIENTES'!C:C)</f>
        <v>México</v>
      </c>
    </row>
    <row r="181" spans="1:20" ht="16">
      <c r="A181" s="82">
        <v>45848</v>
      </c>
      <c r="B181" s="82" t="str">
        <f>+_xlfn.XLOOKUP(Tabla4[[#This Row],[ID CLIENTE]],'RESUMEN CLIENTES'!D:D,'RESUMEN CLIENTES'!A:A)</f>
        <v>Rodrigo Alfonso Busse Hernández</v>
      </c>
      <c r="C181" s="83" t="s">
        <v>2231</v>
      </c>
      <c r="D181" s="83" t="s">
        <v>275</v>
      </c>
      <c r="E181" s="83" t="s">
        <v>473</v>
      </c>
      <c r="F181" s="83" t="s">
        <v>474</v>
      </c>
      <c r="G181" s="84">
        <v>1111</v>
      </c>
      <c r="H181" s="85">
        <v>-36.36</v>
      </c>
      <c r="I181" s="86">
        <f t="shared" si="4"/>
        <v>3.272727272727273E-2</v>
      </c>
      <c r="J181" s="87">
        <f t="shared" si="5"/>
        <v>1074.6400000000001</v>
      </c>
      <c r="K181" s="87"/>
      <c r="L181" s="87" t="s">
        <v>4672</v>
      </c>
      <c r="M181" s="87"/>
      <c r="N181" s="521"/>
      <c r="O181" s="521">
        <f>+Tabla4[[#This Row],[PAGO NO EURO]]+Tabla4[[#This Row],[CARGO NO EURO]]</f>
        <v>0</v>
      </c>
      <c r="P181" s="521"/>
      <c r="Q181" s="88"/>
      <c r="R181" s="689">
        <f>+_xlfn.XLOOKUP(Tabla4[[#This Row],[ID CLIENTE]],'RESUMEN CLIENTES'!D:D,'RESUMEN CLIENTES'!G:G)</f>
        <v>45810</v>
      </c>
      <c r="S181" s="88" t="str">
        <f>+_xlfn.XLOOKUP(Tabla4[[#This Row],[ID CLIENTE]],'RESUMEN CLIENTES'!D:D,'RESUMEN CLIENTES'!AA:AA)</f>
        <v>null</v>
      </c>
      <c r="T181" s="680" t="str">
        <f>+_xlfn.XLOOKUP(Tabla4[[#This Row],[ID CLIENTE]],'RESUMEN CLIENTES'!D:D,'RESUMEN CLIENTES'!C:C)</f>
        <v>Chile</v>
      </c>
    </row>
    <row r="182" spans="1:20" ht="16">
      <c r="A182" s="82">
        <v>45848</v>
      </c>
      <c r="B182" s="82" t="str">
        <f>+_xlfn.XLOOKUP(Tabla4[[#This Row],[ID CLIENTE]],'RESUMEN CLIENTES'!D:D,'RESUMEN CLIENTES'!A:A)</f>
        <v>Julian Medina</v>
      </c>
      <c r="C182" s="83" t="s">
        <v>2294</v>
      </c>
      <c r="D182" s="83" t="s">
        <v>468</v>
      </c>
      <c r="E182" s="83" t="s">
        <v>469</v>
      </c>
      <c r="F182" s="83" t="s">
        <v>470</v>
      </c>
      <c r="G182" s="84">
        <v>250</v>
      </c>
      <c r="H182" s="85">
        <v>-8.3800000000000008</v>
      </c>
      <c r="I182" s="86">
        <f t="shared" si="4"/>
        <v>3.3520000000000001E-2</v>
      </c>
      <c r="J182" s="87">
        <f t="shared" si="5"/>
        <v>241.62</v>
      </c>
      <c r="K182" s="87"/>
      <c r="L182" s="87" t="s">
        <v>4672</v>
      </c>
      <c r="M182" s="87"/>
      <c r="N182" s="521"/>
      <c r="O182" s="521">
        <f>+Tabla4[[#This Row],[PAGO NO EURO]]+Tabla4[[#This Row],[CARGO NO EURO]]</f>
        <v>0</v>
      </c>
      <c r="P182" s="521"/>
      <c r="Q182" s="88"/>
      <c r="R182" s="689">
        <f>+_xlfn.XLOOKUP(Tabla4[[#This Row],[ID CLIENTE]],'RESUMEN CLIENTES'!D:D,'RESUMEN CLIENTES'!G:G)</f>
        <v>45848</v>
      </c>
      <c r="S182" s="88" t="str">
        <f>+_xlfn.XLOOKUP(Tabla4[[#This Row],[ID CLIENTE]],'RESUMEN CLIENTES'!D:D,'RESUMEN CLIENTES'!AA:AA)</f>
        <v>B1.1</v>
      </c>
      <c r="T182" s="680" t="str">
        <f>+_xlfn.XLOOKUP(Tabla4[[#This Row],[ID CLIENTE]],'RESUMEN CLIENTES'!D:D,'RESUMEN CLIENTES'!C:C)</f>
        <v>Ecuador</v>
      </c>
    </row>
    <row r="183" spans="1:20" ht="16">
      <c r="A183" s="82">
        <v>45848</v>
      </c>
      <c r="B183" s="82" t="str">
        <f>+_xlfn.XLOOKUP(Tabla4[[#This Row],[ID CLIENTE]],'RESUMEN CLIENTES'!D:D,'RESUMEN CLIENTES'!A:A)</f>
        <v>Freddy Renzo Perez Villafuerte</v>
      </c>
      <c r="C183" s="83" t="s">
        <v>2292</v>
      </c>
      <c r="D183" s="83" t="s">
        <v>465</v>
      </c>
      <c r="E183" s="83" t="s">
        <v>466</v>
      </c>
      <c r="F183" s="83" t="s">
        <v>467</v>
      </c>
      <c r="G183" s="84">
        <v>250</v>
      </c>
      <c r="H183" s="85">
        <v>-8.3800000000000008</v>
      </c>
      <c r="I183" s="86">
        <f t="shared" si="4"/>
        <v>3.3520000000000001E-2</v>
      </c>
      <c r="J183" s="87">
        <f t="shared" si="5"/>
        <v>241.62</v>
      </c>
      <c r="K183" s="87"/>
      <c r="L183" s="87" t="s">
        <v>4672</v>
      </c>
      <c r="M183" s="87"/>
      <c r="N183" s="521"/>
      <c r="O183" s="521">
        <f>+Tabla4[[#This Row],[PAGO NO EURO]]+Tabla4[[#This Row],[CARGO NO EURO]]</f>
        <v>0</v>
      </c>
      <c r="P183" s="521"/>
      <c r="Q183" s="88"/>
      <c r="R183" s="689">
        <f>+_xlfn.XLOOKUP(Tabla4[[#This Row],[ID CLIENTE]],'RESUMEN CLIENTES'!D:D,'RESUMEN CLIENTES'!G:G)</f>
        <v>45848</v>
      </c>
      <c r="S183" s="88" t="str">
        <f>+_xlfn.XLOOKUP(Tabla4[[#This Row],[ID CLIENTE]],'RESUMEN CLIENTES'!D:D,'RESUMEN CLIENTES'!AA:AA)</f>
        <v>B1.1</v>
      </c>
      <c r="T183" s="680" t="str">
        <f>+_xlfn.XLOOKUP(Tabla4[[#This Row],[ID CLIENTE]],'RESUMEN CLIENTES'!D:D,'RESUMEN CLIENTES'!C:C)</f>
        <v>Perú</v>
      </c>
    </row>
    <row r="184" spans="1:20" ht="16">
      <c r="A184" s="82">
        <v>45849</v>
      </c>
      <c r="B184" s="82" t="str">
        <f>+_xlfn.XLOOKUP(Tabla4[[#This Row],[ID CLIENTE]],'RESUMEN CLIENTES'!D:D,'RESUMEN CLIENTES'!A:A)</f>
        <v>David Enrique Díaz Mejía</v>
      </c>
      <c r="C184" s="83" t="s">
        <v>2189</v>
      </c>
      <c r="D184" s="83" t="s">
        <v>90</v>
      </c>
      <c r="E184" s="83" t="s">
        <v>482</v>
      </c>
      <c r="F184" s="83" t="s">
        <v>483</v>
      </c>
      <c r="G184" s="84">
        <v>1000</v>
      </c>
      <c r="H184" s="85">
        <v>0</v>
      </c>
      <c r="I184" s="86">
        <f t="shared" si="4"/>
        <v>0</v>
      </c>
      <c r="J184" s="87">
        <f t="shared" si="5"/>
        <v>1000</v>
      </c>
      <c r="K184" s="87" t="s">
        <v>2542</v>
      </c>
      <c r="L184" s="87" t="s">
        <v>4672</v>
      </c>
      <c r="M184" s="87"/>
      <c r="N184" s="521"/>
      <c r="O184" s="521">
        <f>+Tabla4[[#This Row],[PAGO NO EURO]]+Tabla4[[#This Row],[CARGO NO EURO]]</f>
        <v>0</v>
      </c>
      <c r="P184" s="521"/>
      <c r="Q184" s="88"/>
      <c r="R184" s="689">
        <f>+_xlfn.XLOOKUP(Tabla4[[#This Row],[ID CLIENTE]],'RESUMEN CLIENTES'!D:D,'RESUMEN CLIENTES'!G:G)</f>
        <v>45774</v>
      </c>
      <c r="S184" s="88" t="str">
        <f>+_xlfn.XLOOKUP(Tabla4[[#This Row],[ID CLIENTE]],'RESUMEN CLIENTES'!D:D,'RESUMEN CLIENTES'!AA:AA)</f>
        <v>A1.1</v>
      </c>
      <c r="T184" s="680" t="str">
        <f>+_xlfn.XLOOKUP(Tabla4[[#This Row],[ID CLIENTE]],'RESUMEN CLIENTES'!D:D,'RESUMEN CLIENTES'!C:C)</f>
        <v>Honduras</v>
      </c>
    </row>
    <row r="185" spans="1:20" ht="16">
      <c r="A185" s="82">
        <v>45849</v>
      </c>
      <c r="B185" s="82" t="str">
        <f>+_xlfn.XLOOKUP(Tabla4[[#This Row],[ID CLIENTE]],'RESUMEN CLIENTES'!D:D,'RESUMEN CLIENTES'!A:A)</f>
        <v>Mateo Gabriel Martinez Dávila</v>
      </c>
      <c r="C185" s="83" t="s">
        <v>2193</v>
      </c>
      <c r="D185" s="83" t="s">
        <v>200</v>
      </c>
      <c r="E185" s="83" t="s">
        <v>475</v>
      </c>
      <c r="F185" s="83" t="s">
        <v>476</v>
      </c>
      <c r="G185" s="84">
        <f>+Tabla4[[#This Row],[PAGO NO EURO]]*Tabla4[[#This Row],[CAMBIO]]</f>
        <v>942.1841541755889</v>
      </c>
      <c r="H185" s="85">
        <f>+Tabla4[[#This Row],[CARGO NO EURO]]*Tabla4[[#This Row],[CAMBIO]]</f>
        <v>0</v>
      </c>
      <c r="I185" s="86">
        <f t="shared" si="4"/>
        <v>0</v>
      </c>
      <c r="J185" s="87">
        <f t="shared" si="5"/>
        <v>942.1841541755889</v>
      </c>
      <c r="K185" s="87" t="s">
        <v>4678</v>
      </c>
      <c r="L185" s="87" t="s">
        <v>4675</v>
      </c>
      <c r="M185" s="87" t="s">
        <v>2548</v>
      </c>
      <c r="N185" s="524">
        <v>1100</v>
      </c>
      <c r="O185" s="524">
        <f>+Tabla4[[#This Row],[PAGO NO EURO]]+Tabla4[[#This Row],[CARGO NO EURO]]</f>
        <v>1100</v>
      </c>
      <c r="P185" s="524">
        <v>0</v>
      </c>
      <c r="Q185" s="92">
        <v>0.85653104925053536</v>
      </c>
      <c r="R185" s="690">
        <f>+_xlfn.XLOOKUP(Tabla4[[#This Row],[ID CLIENTE]],'RESUMEN CLIENTES'!D:D,'RESUMEN CLIENTES'!G:G)</f>
        <v>45777</v>
      </c>
      <c r="S185" s="92" t="str">
        <f>+_xlfn.XLOOKUP(Tabla4[[#This Row],[ID CLIENTE]],'RESUMEN CLIENTES'!D:D,'RESUMEN CLIENTES'!AA:AA)</f>
        <v>A1.1</v>
      </c>
      <c r="T185" s="680" t="str">
        <f>+_xlfn.XLOOKUP(Tabla4[[#This Row],[ID CLIENTE]],'RESUMEN CLIENTES'!D:D,'RESUMEN CLIENTES'!C:C)</f>
        <v>Bolivia</v>
      </c>
    </row>
    <row r="186" spans="1:20" ht="16">
      <c r="A186" s="82">
        <v>45849</v>
      </c>
      <c r="B186" s="82" t="str">
        <f>+_xlfn.XLOOKUP(Tabla4[[#This Row],[ID CLIENTE]],'RESUMEN CLIENTES'!D:D,'RESUMEN CLIENTES'!A:A)</f>
        <v>Alexandra Carolina Ordoñez Cuotto</v>
      </c>
      <c r="C186" s="83" t="s">
        <v>2296</v>
      </c>
      <c r="D186" s="83" t="s">
        <v>450</v>
      </c>
      <c r="E186" s="83" t="s">
        <v>451</v>
      </c>
      <c r="F186" s="83" t="s">
        <v>452</v>
      </c>
      <c r="G186" s="84">
        <v>250</v>
      </c>
      <c r="H186" s="85">
        <v>0</v>
      </c>
      <c r="I186" s="86">
        <f t="shared" si="4"/>
        <v>0</v>
      </c>
      <c r="J186" s="87">
        <f t="shared" si="5"/>
        <v>250</v>
      </c>
      <c r="K186" s="87" t="s">
        <v>2542</v>
      </c>
      <c r="L186" s="87" t="s">
        <v>4672</v>
      </c>
      <c r="M186" s="87"/>
      <c r="N186" s="521"/>
      <c r="O186" s="521">
        <f>+Tabla4[[#This Row],[PAGO NO EURO]]+Tabla4[[#This Row],[CARGO NO EURO]]</f>
        <v>0</v>
      </c>
      <c r="P186" s="521"/>
      <c r="Q186" s="88"/>
      <c r="R186" s="689">
        <f>+_xlfn.XLOOKUP(Tabla4[[#This Row],[ID CLIENTE]],'RESUMEN CLIENTES'!D:D,'RESUMEN CLIENTES'!G:G)</f>
        <v>45849</v>
      </c>
      <c r="S186" s="88" t="str">
        <f>+_xlfn.XLOOKUP(Tabla4[[#This Row],[ID CLIENTE]],'RESUMEN CLIENTES'!D:D,'RESUMEN CLIENTES'!AA:AA)</f>
        <v>A1.1</v>
      </c>
      <c r="T186" s="680" t="str">
        <f>+_xlfn.XLOOKUP(Tabla4[[#This Row],[ID CLIENTE]],'RESUMEN CLIENTES'!D:D,'RESUMEN CLIENTES'!C:C)</f>
        <v>Venezuela</v>
      </c>
    </row>
    <row r="187" spans="1:20" ht="16">
      <c r="A187" s="82">
        <v>45852</v>
      </c>
      <c r="B187" s="82" t="str">
        <f>+_xlfn.XLOOKUP(Tabla4[[#This Row],[ID CLIENTE]],'RESUMEN CLIENTES'!D:D,'RESUMEN CLIENTES'!A:A)</f>
        <v>Carlos Mersaim Olivares Sandoval</v>
      </c>
      <c r="C187" s="83" t="s">
        <v>2300</v>
      </c>
      <c r="D187" s="83" t="s">
        <v>479</v>
      </c>
      <c r="E187" s="83" t="s">
        <v>480</v>
      </c>
      <c r="F187" s="83" t="s">
        <v>481</v>
      </c>
      <c r="G187" s="84">
        <v>250</v>
      </c>
      <c r="H187" s="85">
        <v>-8.3800000000000008</v>
      </c>
      <c r="I187" s="86">
        <f t="shared" si="4"/>
        <v>3.3520000000000001E-2</v>
      </c>
      <c r="J187" s="87">
        <f t="shared" si="5"/>
        <v>241.62</v>
      </c>
      <c r="K187" s="87"/>
      <c r="L187" s="87" t="s">
        <v>4672</v>
      </c>
      <c r="M187" s="87"/>
      <c r="N187" s="521"/>
      <c r="O187" s="521">
        <f>+Tabla4[[#This Row],[PAGO NO EURO]]+Tabla4[[#This Row],[CARGO NO EURO]]</f>
        <v>0</v>
      </c>
      <c r="P187" s="521"/>
      <c r="Q187" s="88"/>
      <c r="R187" s="689">
        <f>+_xlfn.XLOOKUP(Tabla4[[#This Row],[ID CLIENTE]],'RESUMEN CLIENTES'!D:D,'RESUMEN CLIENTES'!G:G)</f>
        <v>45852</v>
      </c>
      <c r="S187" s="88" t="str">
        <f>+_xlfn.XLOOKUP(Tabla4[[#This Row],[ID CLIENTE]],'RESUMEN CLIENTES'!D:D,'RESUMEN CLIENTES'!AA:AA)</f>
        <v>A1.1</v>
      </c>
      <c r="T187" s="680" t="str">
        <f>+_xlfn.XLOOKUP(Tabla4[[#This Row],[ID CLIENTE]],'RESUMEN CLIENTES'!D:D,'RESUMEN CLIENTES'!C:C)</f>
        <v>México</v>
      </c>
    </row>
    <row r="188" spans="1:20" ht="16">
      <c r="A188" s="82">
        <v>45852</v>
      </c>
      <c r="B188" s="82" t="str">
        <f>+_xlfn.XLOOKUP(Tabla4[[#This Row],[ID CLIENTE]],'RESUMEN CLIENTES'!D:D,'RESUMEN CLIENTES'!A:A)</f>
        <v>Juan Pablo Martínez Cabello</v>
      </c>
      <c r="C188" s="83" t="s">
        <v>2154</v>
      </c>
      <c r="D188" s="83" t="s">
        <v>136</v>
      </c>
      <c r="E188" s="83" t="s">
        <v>493</v>
      </c>
      <c r="F188" s="83" t="s">
        <v>494</v>
      </c>
      <c r="G188" s="84">
        <v>1500</v>
      </c>
      <c r="H188" s="85">
        <v>-49</v>
      </c>
      <c r="I188" s="86">
        <f t="shared" si="4"/>
        <v>3.2666666666666663E-2</v>
      </c>
      <c r="J188" s="87">
        <f t="shared" si="5"/>
        <v>1451</v>
      </c>
      <c r="K188" s="87"/>
      <c r="L188" s="87" t="s">
        <v>4672</v>
      </c>
      <c r="M188" s="87"/>
      <c r="N188" s="521"/>
      <c r="O188" s="521">
        <f>+Tabla4[[#This Row],[PAGO NO EURO]]+Tabla4[[#This Row],[CARGO NO EURO]]</f>
        <v>0</v>
      </c>
      <c r="P188" s="521"/>
      <c r="Q188" s="88"/>
      <c r="R188" s="689">
        <f>+_xlfn.XLOOKUP(Tabla4[[#This Row],[ID CLIENTE]],'RESUMEN CLIENTES'!D:D,'RESUMEN CLIENTES'!G:G)</f>
        <v>45743</v>
      </c>
      <c r="S188" s="88" t="str">
        <f>+_xlfn.XLOOKUP(Tabla4[[#This Row],[ID CLIENTE]],'RESUMEN CLIENTES'!D:D,'RESUMEN CLIENTES'!AA:AA)</f>
        <v>B1.1</v>
      </c>
      <c r="T188" s="680" t="str">
        <f>+_xlfn.XLOOKUP(Tabla4[[#This Row],[ID CLIENTE]],'RESUMEN CLIENTES'!D:D,'RESUMEN CLIENTES'!C:C)</f>
        <v>Chile</v>
      </c>
    </row>
    <row r="189" spans="1:20" ht="16">
      <c r="A189" s="82">
        <v>45852</v>
      </c>
      <c r="B189" s="82" t="str">
        <f>+_xlfn.XLOOKUP(Tabla4[[#This Row],[ID CLIENTE]],'RESUMEN CLIENTES'!D:D,'RESUMEN CLIENTES'!A:A)</f>
        <v>Liliana Alejandra Gruezo Pérez</v>
      </c>
      <c r="C189" s="83" t="s">
        <v>2298</v>
      </c>
      <c r="D189" s="83" t="s">
        <v>484</v>
      </c>
      <c r="E189" s="83" t="s">
        <v>485</v>
      </c>
      <c r="F189" s="83" t="s">
        <v>486</v>
      </c>
      <c r="G189" s="84">
        <v>500</v>
      </c>
      <c r="H189" s="85">
        <v>0</v>
      </c>
      <c r="I189" s="86">
        <f t="shared" si="4"/>
        <v>0</v>
      </c>
      <c r="J189" s="87">
        <f t="shared" si="5"/>
        <v>500</v>
      </c>
      <c r="K189" s="87" t="s">
        <v>2542</v>
      </c>
      <c r="L189" s="87" t="s">
        <v>4672</v>
      </c>
      <c r="M189" s="87"/>
      <c r="N189" s="521"/>
      <c r="O189" s="521">
        <f>+Tabla4[[#This Row],[PAGO NO EURO]]+Tabla4[[#This Row],[CARGO NO EURO]]</f>
        <v>0</v>
      </c>
      <c r="P189" s="521"/>
      <c r="Q189" s="88"/>
      <c r="R189" s="689">
        <f>+_xlfn.XLOOKUP(Tabla4[[#This Row],[ID CLIENTE]],'RESUMEN CLIENTES'!D:D,'RESUMEN CLIENTES'!G:G)</f>
        <v>45852</v>
      </c>
      <c r="S189" s="88" t="str">
        <f>+_xlfn.XLOOKUP(Tabla4[[#This Row],[ID CLIENTE]],'RESUMEN CLIENTES'!D:D,'RESUMEN CLIENTES'!AA:AA)</f>
        <v>A1.2</v>
      </c>
      <c r="T189" s="680" t="str">
        <f>+_xlfn.XLOOKUP(Tabla4[[#This Row],[ID CLIENTE]],'RESUMEN CLIENTES'!D:D,'RESUMEN CLIENTES'!C:C)</f>
        <v>Ecuador</v>
      </c>
    </row>
    <row r="190" spans="1:20" ht="16">
      <c r="A190" s="82">
        <v>45852</v>
      </c>
      <c r="B190" s="82" t="str">
        <f>+_xlfn.XLOOKUP(Tabla4[[#This Row],[ID CLIENTE]],'RESUMEN CLIENTES'!D:D,'RESUMEN CLIENTES'!A:A)</f>
        <v>Catalina Andrea Videla Muñoz</v>
      </c>
      <c r="C190" s="83" t="s">
        <v>2164</v>
      </c>
      <c r="D190" s="83" t="s">
        <v>156</v>
      </c>
      <c r="E190" s="83" t="s">
        <v>489</v>
      </c>
      <c r="F190" s="83" t="s">
        <v>490</v>
      </c>
      <c r="G190" s="84">
        <v>1250</v>
      </c>
      <c r="H190" s="85">
        <v>-40.880000000000003</v>
      </c>
      <c r="I190" s="86">
        <f t="shared" si="4"/>
        <v>3.2704000000000004E-2</v>
      </c>
      <c r="J190" s="87">
        <f t="shared" si="5"/>
        <v>1209.1199999999999</v>
      </c>
      <c r="K190" s="87"/>
      <c r="L190" s="87" t="s">
        <v>4672</v>
      </c>
      <c r="M190" s="87"/>
      <c r="N190" s="521"/>
      <c r="O190" s="521">
        <f>+Tabla4[[#This Row],[PAGO NO EURO]]+Tabla4[[#This Row],[CARGO NO EURO]]</f>
        <v>0</v>
      </c>
      <c r="P190" s="521"/>
      <c r="Q190" s="88"/>
      <c r="R190" s="689">
        <f>+_xlfn.XLOOKUP(Tabla4[[#This Row],[ID CLIENTE]],'RESUMEN CLIENTES'!D:D,'RESUMEN CLIENTES'!G:G)</f>
        <v>45755</v>
      </c>
      <c r="S190" s="88" t="str">
        <f>+_xlfn.XLOOKUP(Tabla4[[#This Row],[ID CLIENTE]],'RESUMEN CLIENTES'!D:D,'RESUMEN CLIENTES'!AA:AA)</f>
        <v>B1.3</v>
      </c>
      <c r="T190" s="680" t="str">
        <f>+_xlfn.XLOOKUP(Tabla4[[#This Row],[ID CLIENTE]],'RESUMEN CLIENTES'!D:D,'RESUMEN CLIENTES'!C:C)</f>
        <v>Chile</v>
      </c>
    </row>
    <row r="191" spans="1:20" ht="16">
      <c r="A191" s="82">
        <v>45853</v>
      </c>
      <c r="B191" s="82" t="str">
        <f>+_xlfn.XLOOKUP(Tabla4[[#This Row],[ID CLIENTE]],'RESUMEN CLIENTES'!D:D,'RESUMEN CLIENTES'!A:A)</f>
        <v>Alina Maria Cervantes Real</v>
      </c>
      <c r="C191" s="83" t="s">
        <v>2149</v>
      </c>
      <c r="D191" s="83" t="s">
        <v>187</v>
      </c>
      <c r="E191" s="83" t="s">
        <v>487</v>
      </c>
      <c r="F191" s="83" t="s">
        <v>488</v>
      </c>
      <c r="G191" s="84">
        <v>1500</v>
      </c>
      <c r="H191" s="85">
        <v>-49</v>
      </c>
      <c r="I191" s="86">
        <f t="shared" si="4"/>
        <v>3.2666666666666663E-2</v>
      </c>
      <c r="J191" s="87">
        <f t="shared" si="5"/>
        <v>1451</v>
      </c>
      <c r="K191" s="87"/>
      <c r="L191" s="87" t="s">
        <v>4672</v>
      </c>
      <c r="M191" s="87"/>
      <c r="N191" s="521"/>
      <c r="O191" s="521">
        <f>+Tabla4[[#This Row],[PAGO NO EURO]]+Tabla4[[#This Row],[CARGO NO EURO]]</f>
        <v>0</v>
      </c>
      <c r="P191" s="521"/>
      <c r="Q191" s="88"/>
      <c r="R191" s="689">
        <f>+_xlfn.XLOOKUP(Tabla4[[#This Row],[ID CLIENTE]],'RESUMEN CLIENTES'!D:D,'RESUMEN CLIENTES'!G:G)</f>
        <v>45741</v>
      </c>
      <c r="S191" s="88" t="str">
        <f>+_xlfn.XLOOKUP(Tabla4[[#This Row],[ID CLIENTE]],'RESUMEN CLIENTES'!D:D,'RESUMEN CLIENTES'!AA:AA)</f>
        <v>B1.1</v>
      </c>
      <c r="T191" s="680" t="str">
        <f>+_xlfn.XLOOKUP(Tabla4[[#This Row],[ID CLIENTE]],'RESUMEN CLIENTES'!D:D,'RESUMEN CLIENTES'!C:C)</f>
        <v>México</v>
      </c>
    </row>
    <row r="192" spans="1:20" ht="16">
      <c r="A192" s="82">
        <v>45853</v>
      </c>
      <c r="B192" s="82" t="str">
        <f>+_xlfn.XLOOKUP(Tabla4[[#This Row],[ID CLIENTE]],'RESUMEN CLIENTES'!D:D,'RESUMEN CLIENTES'!A:A)</f>
        <v>Daniel Donoso Arízaga</v>
      </c>
      <c r="C192" s="83" t="s">
        <v>2302</v>
      </c>
      <c r="D192" s="83" t="s">
        <v>2303</v>
      </c>
      <c r="E192" s="83" t="s">
        <v>2585</v>
      </c>
      <c r="F192" s="83" t="s">
        <v>2586</v>
      </c>
      <c r="G192" s="84">
        <v>250</v>
      </c>
      <c r="H192" s="85">
        <v>-8.3800000000000008</v>
      </c>
      <c r="I192" s="86">
        <f t="shared" si="4"/>
        <v>3.3520000000000001E-2</v>
      </c>
      <c r="J192" s="87">
        <f t="shared" si="5"/>
        <v>241.62</v>
      </c>
      <c r="K192" s="87"/>
      <c r="L192" s="87" t="s">
        <v>4672</v>
      </c>
      <c r="M192" s="87"/>
      <c r="N192" s="521"/>
      <c r="O192" s="521">
        <f>+Tabla4[[#This Row],[PAGO NO EURO]]+Tabla4[[#This Row],[CARGO NO EURO]]</f>
        <v>0</v>
      </c>
      <c r="P192" s="521"/>
      <c r="Q192" s="88"/>
      <c r="R192" s="689">
        <f>+_xlfn.XLOOKUP(Tabla4[[#This Row],[ID CLIENTE]],'RESUMEN CLIENTES'!D:D,'RESUMEN CLIENTES'!G:G)</f>
        <v>45853</v>
      </c>
      <c r="S192" s="88" t="str">
        <f>+_xlfn.XLOOKUP(Tabla4[[#This Row],[ID CLIENTE]],'RESUMEN CLIENTES'!D:D,'RESUMEN CLIENTES'!AA:AA)</f>
        <v>null</v>
      </c>
      <c r="T192" s="680" t="str">
        <f>+_xlfn.XLOOKUP(Tabla4[[#This Row],[ID CLIENTE]],'RESUMEN CLIENTES'!D:D,'RESUMEN CLIENTES'!C:C)</f>
        <v>Ecuador</v>
      </c>
    </row>
    <row r="193" spans="1:20" ht="16">
      <c r="A193" s="82">
        <v>45853</v>
      </c>
      <c r="B193" s="82" t="str">
        <f>+_xlfn.XLOOKUP(Tabla4[[#This Row],[ID CLIENTE]],'RESUMEN CLIENTES'!D:D,'RESUMEN CLIENTES'!A:A)</f>
        <v>Doménica Elisa Lazo Vivar</v>
      </c>
      <c r="C193" s="83" t="s">
        <v>2305</v>
      </c>
      <c r="D193" s="83" t="s">
        <v>2306</v>
      </c>
      <c r="E193" s="83" t="s">
        <v>2587</v>
      </c>
      <c r="F193" s="83" t="s">
        <v>2588</v>
      </c>
      <c r="G193" s="84">
        <v>250</v>
      </c>
      <c r="H193" s="85">
        <v>-8.3800000000000008</v>
      </c>
      <c r="I193" s="86">
        <f t="shared" si="4"/>
        <v>3.3520000000000001E-2</v>
      </c>
      <c r="J193" s="87">
        <f t="shared" si="5"/>
        <v>241.62</v>
      </c>
      <c r="K193" s="87"/>
      <c r="L193" s="87" t="s">
        <v>4672</v>
      </c>
      <c r="M193" s="87"/>
      <c r="N193" s="521"/>
      <c r="O193" s="521">
        <f>+Tabla4[[#This Row],[PAGO NO EURO]]+Tabla4[[#This Row],[CARGO NO EURO]]</f>
        <v>0</v>
      </c>
      <c r="P193" s="521"/>
      <c r="Q193" s="88"/>
      <c r="R193" s="689">
        <f>+_xlfn.XLOOKUP(Tabla4[[#This Row],[ID CLIENTE]],'RESUMEN CLIENTES'!D:D,'RESUMEN CLIENTES'!G:G)</f>
        <v>45853</v>
      </c>
      <c r="S193" s="88" t="str">
        <f>+_xlfn.XLOOKUP(Tabla4[[#This Row],[ID CLIENTE]],'RESUMEN CLIENTES'!D:D,'RESUMEN CLIENTES'!AA:AA)</f>
        <v>null</v>
      </c>
      <c r="T193" s="680" t="str">
        <f>+_xlfn.XLOOKUP(Tabla4[[#This Row],[ID CLIENTE]],'RESUMEN CLIENTES'!D:D,'RESUMEN CLIENTES'!C:C)</f>
        <v>Ecuador</v>
      </c>
    </row>
    <row r="194" spans="1:20" ht="16">
      <c r="A194" s="82">
        <v>45853</v>
      </c>
      <c r="B194" s="82" t="str">
        <f>+_xlfn.XLOOKUP(Tabla4[[#This Row],[ID CLIENTE]],'RESUMEN CLIENTES'!D:D,'RESUMEN CLIENTES'!A:A)</f>
        <v>Javier Andrés Saavedra Arango</v>
      </c>
      <c r="C194" s="83" t="s">
        <v>2308</v>
      </c>
      <c r="D194" s="83" t="s">
        <v>2309</v>
      </c>
      <c r="E194" s="83" t="s">
        <v>2589</v>
      </c>
      <c r="F194" s="83" t="s">
        <v>2590</v>
      </c>
      <c r="G194" s="84">
        <v>250</v>
      </c>
      <c r="H194" s="85">
        <v>-8.3800000000000008</v>
      </c>
      <c r="I194" s="86">
        <f t="shared" ref="I194:I257" si="6">+IFERROR(-(H194)/G194,"")</f>
        <v>3.3520000000000001E-2</v>
      </c>
      <c r="J194" s="87">
        <f t="shared" ref="J194:J257" si="7">+G194+H194</f>
        <v>241.62</v>
      </c>
      <c r="K194" s="87"/>
      <c r="L194" s="87" t="s">
        <v>4672</v>
      </c>
      <c r="M194" s="87"/>
      <c r="N194" s="521"/>
      <c r="O194" s="521">
        <f>+Tabla4[[#This Row],[PAGO NO EURO]]+Tabla4[[#This Row],[CARGO NO EURO]]</f>
        <v>0</v>
      </c>
      <c r="P194" s="521"/>
      <c r="Q194" s="88"/>
      <c r="R194" s="689">
        <f>+_xlfn.XLOOKUP(Tabla4[[#This Row],[ID CLIENTE]],'RESUMEN CLIENTES'!D:D,'RESUMEN CLIENTES'!G:G)</f>
        <v>45853</v>
      </c>
      <c r="S194" s="88" t="str">
        <f>+_xlfn.XLOOKUP(Tabla4[[#This Row],[ID CLIENTE]],'RESUMEN CLIENTES'!D:D,'RESUMEN CLIENTES'!AA:AA)</f>
        <v>null</v>
      </c>
      <c r="T194" s="680" t="str">
        <f>+_xlfn.XLOOKUP(Tabla4[[#This Row],[ID CLIENTE]],'RESUMEN CLIENTES'!D:D,'RESUMEN CLIENTES'!C:C)</f>
        <v>Colombia</v>
      </c>
    </row>
    <row r="195" spans="1:20" ht="16">
      <c r="A195" s="82">
        <v>45853</v>
      </c>
      <c r="B195" s="82" t="str">
        <f>+_xlfn.XLOOKUP(Tabla4[[#This Row],[ID CLIENTE]],'RESUMEN CLIENTES'!D:D,'RESUMEN CLIENTES'!A:A)</f>
        <v>Isaac Ricardo Jimenez Campos</v>
      </c>
      <c r="C195" s="83" t="s">
        <v>2131</v>
      </c>
      <c r="D195" s="83" t="s">
        <v>103</v>
      </c>
      <c r="E195" s="83" t="s">
        <v>491</v>
      </c>
      <c r="F195" s="83" t="s">
        <v>492</v>
      </c>
      <c r="G195" s="84">
        <v>654</v>
      </c>
      <c r="H195" s="85">
        <v>-21.51</v>
      </c>
      <c r="I195" s="86">
        <f t="shared" si="6"/>
        <v>3.2889908256880734E-2</v>
      </c>
      <c r="J195" s="87">
        <f t="shared" si="7"/>
        <v>632.49</v>
      </c>
      <c r="K195" s="87"/>
      <c r="L195" s="87" t="s">
        <v>4672</v>
      </c>
      <c r="M195" s="87"/>
      <c r="N195" s="521"/>
      <c r="O195" s="521">
        <f>+Tabla4[[#This Row],[PAGO NO EURO]]+Tabla4[[#This Row],[CARGO NO EURO]]</f>
        <v>0</v>
      </c>
      <c r="P195" s="521"/>
      <c r="Q195" s="88"/>
      <c r="R195" s="689">
        <f>+_xlfn.XLOOKUP(Tabla4[[#This Row],[ID CLIENTE]],'RESUMEN CLIENTES'!D:D,'RESUMEN CLIENTES'!G:G)</f>
        <v>45725</v>
      </c>
      <c r="S195" s="88" t="str">
        <f>+_xlfn.XLOOKUP(Tabla4[[#This Row],[ID CLIENTE]],'RESUMEN CLIENTES'!D:D,'RESUMEN CLIENTES'!AA:AA)</f>
        <v>null</v>
      </c>
      <c r="T195" s="680" t="str">
        <f>+_xlfn.XLOOKUP(Tabla4[[#This Row],[ID CLIENTE]],'RESUMEN CLIENTES'!D:D,'RESUMEN CLIENTES'!C:C)</f>
        <v>México</v>
      </c>
    </row>
    <row r="196" spans="1:20" ht="16">
      <c r="A196" s="82">
        <v>45854</v>
      </c>
      <c r="B196" s="82" t="str">
        <f>+_xlfn.XLOOKUP(Tabla4[[#This Row],[ID CLIENTE]],'RESUMEN CLIENTES'!D:D,'RESUMEN CLIENTES'!A:A)</f>
        <v>Rodrigo Ignacio Rodriguez Frutos</v>
      </c>
      <c r="C196" s="83" t="s">
        <v>2214</v>
      </c>
      <c r="D196" s="83" t="s">
        <v>242</v>
      </c>
      <c r="E196" s="83" t="s">
        <v>495</v>
      </c>
      <c r="F196" s="83" t="s">
        <v>496</v>
      </c>
      <c r="G196" s="84">
        <v>2000</v>
      </c>
      <c r="H196" s="85">
        <v>-5</v>
      </c>
      <c r="I196" s="86">
        <f t="shared" si="6"/>
        <v>2.5000000000000001E-3</v>
      </c>
      <c r="J196" s="87">
        <f t="shared" si="7"/>
        <v>1995</v>
      </c>
      <c r="K196" s="87" t="s">
        <v>2591</v>
      </c>
      <c r="L196" s="87" t="s">
        <v>4672</v>
      </c>
      <c r="M196" s="87"/>
      <c r="N196" s="521"/>
      <c r="O196" s="521">
        <f>+Tabla4[[#This Row],[PAGO NO EURO]]+Tabla4[[#This Row],[CARGO NO EURO]]</f>
        <v>0</v>
      </c>
      <c r="P196" s="521"/>
      <c r="Q196" s="88"/>
      <c r="R196" s="689">
        <f>+_xlfn.XLOOKUP(Tabla4[[#This Row],[ID CLIENTE]],'RESUMEN CLIENTES'!D:D,'RESUMEN CLIENTES'!G:G)</f>
        <v>45798</v>
      </c>
      <c r="S196" s="88" t="str">
        <f>+_xlfn.XLOOKUP(Tabla4[[#This Row],[ID CLIENTE]],'RESUMEN CLIENTES'!D:D,'RESUMEN CLIENTES'!AA:AA)</f>
        <v>null</v>
      </c>
      <c r="T196" s="680" t="str">
        <f>+_xlfn.XLOOKUP(Tabla4[[#This Row],[ID CLIENTE]],'RESUMEN CLIENTES'!D:D,'RESUMEN CLIENTES'!C:C)</f>
        <v>México</v>
      </c>
    </row>
    <row r="197" spans="1:20" ht="16">
      <c r="A197" s="82">
        <v>45854</v>
      </c>
      <c r="B197" s="82" t="str">
        <f>+_xlfn.XLOOKUP(Tabla4[[#This Row],[ID CLIENTE]],'RESUMEN CLIENTES'!D:D,'RESUMEN CLIENTES'!A:A)</f>
        <v>Nataly Elizabeth Elias Berrios</v>
      </c>
      <c r="C197" s="83" t="s">
        <v>2200</v>
      </c>
      <c r="D197" s="83" t="s">
        <v>816</v>
      </c>
      <c r="E197" s="83" t="s">
        <v>2592</v>
      </c>
      <c r="F197" s="83" t="s">
        <v>2593</v>
      </c>
      <c r="G197" s="84">
        <v>1000</v>
      </c>
      <c r="H197" s="85">
        <v>-32.75</v>
      </c>
      <c r="I197" s="86">
        <f t="shared" si="6"/>
        <v>3.2750000000000001E-2</v>
      </c>
      <c r="J197" s="87">
        <f t="shared" si="7"/>
        <v>967.25</v>
      </c>
      <c r="K197" s="87"/>
      <c r="L197" s="87" t="s">
        <v>4672</v>
      </c>
      <c r="M197" s="87"/>
      <c r="N197" s="521"/>
      <c r="O197" s="521">
        <f>+Tabla4[[#This Row],[PAGO NO EURO]]+Tabla4[[#This Row],[CARGO NO EURO]]</f>
        <v>0</v>
      </c>
      <c r="P197" s="521"/>
      <c r="Q197" s="88"/>
      <c r="R197" s="689">
        <f>+_xlfn.XLOOKUP(Tabla4[[#This Row],[ID CLIENTE]],'RESUMEN CLIENTES'!D:D,'RESUMEN CLIENTES'!G:G)</f>
        <v>45807</v>
      </c>
      <c r="S197" s="88" t="str">
        <f>+_xlfn.XLOOKUP(Tabla4[[#This Row],[ID CLIENTE]],'RESUMEN CLIENTES'!D:D,'RESUMEN CLIENTES'!AA:AA)</f>
        <v>null</v>
      </c>
      <c r="T197" s="680" t="str">
        <f>+_xlfn.XLOOKUP(Tabla4[[#This Row],[ID CLIENTE]],'RESUMEN CLIENTES'!D:D,'RESUMEN CLIENTES'!C:C)</f>
        <v>Bolivia</v>
      </c>
    </row>
    <row r="198" spans="1:20" ht="16">
      <c r="A198" s="82">
        <v>45856</v>
      </c>
      <c r="B198" s="82" t="str">
        <f>+_xlfn.XLOOKUP(Tabla4[[#This Row],[ID CLIENTE]],'RESUMEN CLIENTES'!D:D,'RESUMEN CLIENTES'!A:A)</f>
        <v>Andrea Cristina Estrada Morocho</v>
      </c>
      <c r="C198" s="83" t="s">
        <v>2267</v>
      </c>
      <c r="D198" s="83" t="s">
        <v>325</v>
      </c>
      <c r="E198" s="83" t="s">
        <v>477</v>
      </c>
      <c r="F198" s="83" t="s">
        <v>478</v>
      </c>
      <c r="G198" s="84">
        <v>4000</v>
      </c>
      <c r="H198" s="85">
        <v>0</v>
      </c>
      <c r="I198" s="86">
        <f t="shared" si="6"/>
        <v>0</v>
      </c>
      <c r="J198" s="87">
        <f t="shared" si="7"/>
        <v>4000</v>
      </c>
      <c r="K198" s="87"/>
      <c r="L198" s="87" t="s">
        <v>4672</v>
      </c>
      <c r="M198" s="87"/>
      <c r="N198" s="521"/>
      <c r="O198" s="521">
        <f>+Tabla4[[#This Row],[PAGO NO EURO]]+Tabla4[[#This Row],[CARGO NO EURO]]</f>
        <v>0</v>
      </c>
      <c r="P198" s="521"/>
      <c r="Q198" s="88"/>
      <c r="R198" s="689">
        <f>+_xlfn.XLOOKUP(Tabla4[[#This Row],[ID CLIENTE]],'RESUMEN CLIENTES'!D:D,'RESUMEN CLIENTES'!G:G)</f>
        <v>45831</v>
      </c>
      <c r="S198" s="88" t="str">
        <f>+_xlfn.XLOOKUP(Tabla4[[#This Row],[ID CLIENTE]],'RESUMEN CLIENTES'!D:D,'RESUMEN CLIENTES'!AA:AA)</f>
        <v>A1.1</v>
      </c>
      <c r="T198" s="680" t="str">
        <f>+_xlfn.XLOOKUP(Tabla4[[#This Row],[ID CLIENTE]],'RESUMEN CLIENTES'!D:D,'RESUMEN CLIENTES'!C:C)</f>
        <v>Ecuador</v>
      </c>
    </row>
    <row r="199" spans="1:20" ht="16">
      <c r="A199" s="82">
        <v>45856</v>
      </c>
      <c r="B199" s="82" t="str">
        <f>+_xlfn.XLOOKUP(Tabla4[[#This Row],[ID CLIENTE]],'RESUMEN CLIENTES'!D:D,'RESUMEN CLIENTES'!A:A)</f>
        <v>Nancy Gisselle Molinari Cheme</v>
      </c>
      <c r="C199" s="83" t="s">
        <v>2212</v>
      </c>
      <c r="D199" s="83" t="s">
        <v>247</v>
      </c>
      <c r="E199" s="83" t="s">
        <v>499</v>
      </c>
      <c r="F199" s="83" t="s">
        <v>500</v>
      </c>
      <c r="G199" s="84">
        <v>1000</v>
      </c>
      <c r="H199" s="85">
        <v>-32.75</v>
      </c>
      <c r="I199" s="86">
        <f t="shared" si="6"/>
        <v>3.2750000000000001E-2</v>
      </c>
      <c r="J199" s="87">
        <f t="shared" si="7"/>
        <v>967.25</v>
      </c>
      <c r="K199" s="87"/>
      <c r="L199" s="87" t="s">
        <v>4672</v>
      </c>
      <c r="M199" s="87"/>
      <c r="N199" s="521"/>
      <c r="O199" s="521">
        <f>+Tabla4[[#This Row],[PAGO NO EURO]]+Tabla4[[#This Row],[CARGO NO EURO]]</f>
        <v>0</v>
      </c>
      <c r="P199" s="521"/>
      <c r="Q199" s="88"/>
      <c r="R199" s="689">
        <f>+_xlfn.XLOOKUP(Tabla4[[#This Row],[ID CLIENTE]],'RESUMEN CLIENTES'!D:D,'RESUMEN CLIENTES'!G:G)</f>
        <v>45794</v>
      </c>
      <c r="S199" s="88" t="str">
        <f>+_xlfn.XLOOKUP(Tabla4[[#This Row],[ID CLIENTE]],'RESUMEN CLIENTES'!D:D,'RESUMEN CLIENTES'!AA:AA)</f>
        <v>B1.1</v>
      </c>
      <c r="T199" s="680" t="str">
        <f>+_xlfn.XLOOKUP(Tabla4[[#This Row],[ID CLIENTE]],'RESUMEN CLIENTES'!D:D,'RESUMEN CLIENTES'!C:C)</f>
        <v>Perú</v>
      </c>
    </row>
    <row r="200" spans="1:20" ht="16">
      <c r="A200" s="82">
        <v>45856</v>
      </c>
      <c r="B200" s="82" t="str">
        <f>+_xlfn.XLOOKUP(Tabla4[[#This Row],[ID CLIENTE]],'RESUMEN CLIENTES'!D:D,'RESUMEN CLIENTES'!A:A)</f>
        <v>Nataly Elizabeth Elias Berrios</v>
      </c>
      <c r="C200" s="83" t="s">
        <v>2200</v>
      </c>
      <c r="D200" s="83" t="s">
        <v>816</v>
      </c>
      <c r="E200" s="83" t="s">
        <v>2594</v>
      </c>
      <c r="F200" s="83" t="s">
        <v>2595</v>
      </c>
      <c r="G200" s="84">
        <v>1000</v>
      </c>
      <c r="H200" s="85">
        <v>-32.75</v>
      </c>
      <c r="I200" s="86">
        <f t="shared" si="6"/>
        <v>3.2750000000000001E-2</v>
      </c>
      <c r="J200" s="87">
        <f t="shared" si="7"/>
        <v>967.25</v>
      </c>
      <c r="K200" s="87"/>
      <c r="L200" s="87" t="s">
        <v>4672</v>
      </c>
      <c r="M200" s="87"/>
      <c r="N200" s="521"/>
      <c r="O200" s="521">
        <f>+Tabla4[[#This Row],[PAGO NO EURO]]+Tabla4[[#This Row],[CARGO NO EURO]]</f>
        <v>0</v>
      </c>
      <c r="P200" s="521"/>
      <c r="Q200" s="88"/>
      <c r="R200" s="689">
        <f>+_xlfn.XLOOKUP(Tabla4[[#This Row],[ID CLIENTE]],'RESUMEN CLIENTES'!D:D,'RESUMEN CLIENTES'!G:G)</f>
        <v>45807</v>
      </c>
      <c r="S200" s="88" t="str">
        <f>+_xlfn.XLOOKUP(Tabla4[[#This Row],[ID CLIENTE]],'RESUMEN CLIENTES'!D:D,'RESUMEN CLIENTES'!AA:AA)</f>
        <v>null</v>
      </c>
      <c r="T200" s="680" t="str">
        <f>+_xlfn.XLOOKUP(Tabla4[[#This Row],[ID CLIENTE]],'RESUMEN CLIENTES'!D:D,'RESUMEN CLIENTES'!C:C)</f>
        <v>Bolivia</v>
      </c>
    </row>
    <row r="201" spans="1:20" ht="16">
      <c r="A201" s="82">
        <v>45856</v>
      </c>
      <c r="B201" s="82" t="str">
        <f>+_xlfn.XLOOKUP(Tabla4[[#This Row],[ID CLIENTE]],'RESUMEN CLIENTES'!D:D,'RESUMEN CLIENTES'!A:A)</f>
        <v>Nataly Elizabeth Elias Berrios</v>
      </c>
      <c r="C201" s="83" t="s">
        <v>2200</v>
      </c>
      <c r="D201" s="83" t="s">
        <v>816</v>
      </c>
      <c r="E201" s="83" t="s">
        <v>2596</v>
      </c>
      <c r="F201" s="83" t="s">
        <v>2597</v>
      </c>
      <c r="G201" s="84">
        <v>1000</v>
      </c>
      <c r="H201" s="85">
        <v>-32.75</v>
      </c>
      <c r="I201" s="86">
        <f t="shared" si="6"/>
        <v>3.2750000000000001E-2</v>
      </c>
      <c r="J201" s="87">
        <f t="shared" si="7"/>
        <v>967.25</v>
      </c>
      <c r="K201" s="87"/>
      <c r="L201" s="87" t="s">
        <v>4672</v>
      </c>
      <c r="M201" s="87"/>
      <c r="N201" s="521"/>
      <c r="O201" s="521">
        <f>+Tabla4[[#This Row],[PAGO NO EURO]]+Tabla4[[#This Row],[CARGO NO EURO]]</f>
        <v>0</v>
      </c>
      <c r="P201" s="521"/>
      <c r="Q201" s="88"/>
      <c r="R201" s="689">
        <f>+_xlfn.XLOOKUP(Tabla4[[#This Row],[ID CLIENTE]],'RESUMEN CLIENTES'!D:D,'RESUMEN CLIENTES'!G:G)</f>
        <v>45807</v>
      </c>
      <c r="S201" s="88" t="str">
        <f>+_xlfn.XLOOKUP(Tabla4[[#This Row],[ID CLIENTE]],'RESUMEN CLIENTES'!D:D,'RESUMEN CLIENTES'!AA:AA)</f>
        <v>null</v>
      </c>
      <c r="T201" s="680" t="str">
        <f>+_xlfn.XLOOKUP(Tabla4[[#This Row],[ID CLIENTE]],'RESUMEN CLIENTES'!D:D,'RESUMEN CLIENTES'!C:C)</f>
        <v>Bolivia</v>
      </c>
    </row>
    <row r="202" spans="1:20" ht="16">
      <c r="A202" s="82">
        <v>45857</v>
      </c>
      <c r="B202" s="82" t="str">
        <f>+_xlfn.XLOOKUP(Tabla4[[#This Row],[ID CLIENTE]],'RESUMEN CLIENTES'!D:D,'RESUMEN CLIENTES'!A:A)</f>
        <v>Liliana Alejandra Gruezo Pérez</v>
      </c>
      <c r="C202" s="83" t="s">
        <v>2298</v>
      </c>
      <c r="D202" s="83" t="s">
        <v>484</v>
      </c>
      <c r="E202" s="83" t="s">
        <v>497</v>
      </c>
      <c r="F202" s="83" t="s">
        <v>498</v>
      </c>
      <c r="G202" s="84">
        <v>500</v>
      </c>
      <c r="H202" s="85">
        <v>-16.5</v>
      </c>
      <c r="I202" s="86">
        <f t="shared" si="6"/>
        <v>3.3000000000000002E-2</v>
      </c>
      <c r="J202" s="87">
        <f t="shared" si="7"/>
        <v>483.5</v>
      </c>
      <c r="K202" s="87"/>
      <c r="L202" s="87" t="s">
        <v>4672</v>
      </c>
      <c r="M202" s="87"/>
      <c r="N202" s="521"/>
      <c r="O202" s="521">
        <f>+Tabla4[[#This Row],[PAGO NO EURO]]+Tabla4[[#This Row],[CARGO NO EURO]]</f>
        <v>0</v>
      </c>
      <c r="P202" s="521"/>
      <c r="Q202" s="88"/>
      <c r="R202" s="689">
        <f>+_xlfn.XLOOKUP(Tabla4[[#This Row],[ID CLIENTE]],'RESUMEN CLIENTES'!D:D,'RESUMEN CLIENTES'!G:G)</f>
        <v>45852</v>
      </c>
      <c r="S202" s="88" t="str">
        <f>+_xlfn.XLOOKUP(Tabla4[[#This Row],[ID CLIENTE]],'RESUMEN CLIENTES'!D:D,'RESUMEN CLIENTES'!AA:AA)</f>
        <v>A1.2</v>
      </c>
      <c r="T202" s="680" t="str">
        <f>+_xlfn.XLOOKUP(Tabla4[[#This Row],[ID CLIENTE]],'RESUMEN CLIENTES'!D:D,'RESUMEN CLIENTES'!C:C)</f>
        <v>Ecuador</v>
      </c>
    </row>
    <row r="203" spans="1:20" ht="16">
      <c r="A203" s="82">
        <v>45858</v>
      </c>
      <c r="B203" s="82" t="str">
        <f>+_xlfn.XLOOKUP(Tabla4[[#This Row],[ID CLIENTE]],'RESUMEN CLIENTES'!D:D,'RESUMEN CLIENTES'!A:A)</f>
        <v>Kimberly Chantelle Frey Arteaga</v>
      </c>
      <c r="C203" s="83" t="s">
        <v>2311</v>
      </c>
      <c r="D203" s="83" t="s">
        <v>501</v>
      </c>
      <c r="E203" s="83" t="s">
        <v>502</v>
      </c>
      <c r="F203" s="83" t="s">
        <v>503</v>
      </c>
      <c r="G203" s="84">
        <v>250</v>
      </c>
      <c r="H203" s="85">
        <v>-8.3800000000000008</v>
      </c>
      <c r="I203" s="86">
        <f t="shared" si="6"/>
        <v>3.3520000000000001E-2</v>
      </c>
      <c r="J203" s="87">
        <f t="shared" si="7"/>
        <v>241.62</v>
      </c>
      <c r="K203" s="87"/>
      <c r="L203" s="87" t="s">
        <v>4672</v>
      </c>
      <c r="M203" s="87"/>
      <c r="N203" s="521"/>
      <c r="O203" s="521">
        <f>+Tabla4[[#This Row],[PAGO NO EURO]]+Tabla4[[#This Row],[CARGO NO EURO]]</f>
        <v>0</v>
      </c>
      <c r="P203" s="521"/>
      <c r="Q203" s="88"/>
      <c r="R203" s="689">
        <f>+_xlfn.XLOOKUP(Tabla4[[#This Row],[ID CLIENTE]],'RESUMEN CLIENTES'!D:D,'RESUMEN CLIENTES'!G:G)</f>
        <v>45858</v>
      </c>
      <c r="S203" s="88" t="str">
        <f>+_xlfn.XLOOKUP(Tabla4[[#This Row],[ID CLIENTE]],'RESUMEN CLIENTES'!D:D,'RESUMEN CLIENTES'!AA:AA)</f>
        <v>A1.1</v>
      </c>
      <c r="T203" s="680" t="str">
        <f>+_xlfn.XLOOKUP(Tabla4[[#This Row],[ID CLIENTE]],'RESUMEN CLIENTES'!D:D,'RESUMEN CLIENTES'!C:C)</f>
        <v>México</v>
      </c>
    </row>
    <row r="204" spans="1:20" ht="16">
      <c r="A204" s="82">
        <v>45859</v>
      </c>
      <c r="B204" s="82" t="str">
        <f>+_xlfn.XLOOKUP(Tabla4[[#This Row],[ID CLIENTE]],'RESUMEN CLIENTES'!D:D,'RESUMEN CLIENTES'!A:A)</f>
        <v>Carlos Mersaim Olivares Sandoval</v>
      </c>
      <c r="C204" s="83" t="s">
        <v>2300</v>
      </c>
      <c r="D204" s="83" t="s">
        <v>479</v>
      </c>
      <c r="E204" s="83" t="s">
        <v>550</v>
      </c>
      <c r="F204" s="83" t="s">
        <v>551</v>
      </c>
      <c r="G204" s="84">
        <v>3750</v>
      </c>
      <c r="H204" s="85">
        <v>-122.13</v>
      </c>
      <c r="I204" s="86">
        <f t="shared" si="6"/>
        <v>3.2568E-2</v>
      </c>
      <c r="J204" s="87">
        <f t="shared" si="7"/>
        <v>3627.87</v>
      </c>
      <c r="K204" s="87"/>
      <c r="L204" s="87" t="s">
        <v>4672</v>
      </c>
      <c r="M204" s="87"/>
      <c r="N204" s="521"/>
      <c r="O204" s="521">
        <f>+Tabla4[[#This Row],[PAGO NO EURO]]+Tabla4[[#This Row],[CARGO NO EURO]]</f>
        <v>0</v>
      </c>
      <c r="P204" s="521"/>
      <c r="Q204" s="88"/>
      <c r="R204" s="689">
        <f>+_xlfn.XLOOKUP(Tabla4[[#This Row],[ID CLIENTE]],'RESUMEN CLIENTES'!D:D,'RESUMEN CLIENTES'!G:G)</f>
        <v>45852</v>
      </c>
      <c r="S204" s="88" t="str">
        <f>+_xlfn.XLOOKUP(Tabla4[[#This Row],[ID CLIENTE]],'RESUMEN CLIENTES'!D:D,'RESUMEN CLIENTES'!AA:AA)</f>
        <v>A1.1</v>
      </c>
      <c r="T204" s="680" t="str">
        <f>+_xlfn.XLOOKUP(Tabla4[[#This Row],[ID CLIENTE]],'RESUMEN CLIENTES'!D:D,'RESUMEN CLIENTES'!C:C)</f>
        <v>México</v>
      </c>
    </row>
    <row r="205" spans="1:20" ht="16">
      <c r="A205" s="82">
        <v>45860</v>
      </c>
      <c r="B205" s="82" t="str">
        <f>+_xlfn.XLOOKUP(Tabla4[[#This Row],[ID CLIENTE]],'RESUMEN CLIENTES'!D:D,'RESUMEN CLIENTES'!A:A)</f>
        <v>Fernanda Castro</v>
      </c>
      <c r="C205" s="83" t="s">
        <v>2218</v>
      </c>
      <c r="D205" s="83" t="s">
        <v>250</v>
      </c>
      <c r="E205" s="83" t="s">
        <v>506</v>
      </c>
      <c r="F205" s="83" t="s">
        <v>507</v>
      </c>
      <c r="G205" s="84">
        <v>1000</v>
      </c>
      <c r="H205" s="85">
        <v>-32.75</v>
      </c>
      <c r="I205" s="86">
        <f t="shared" si="6"/>
        <v>3.2750000000000001E-2</v>
      </c>
      <c r="J205" s="87">
        <f t="shared" si="7"/>
        <v>967.25</v>
      </c>
      <c r="K205" s="87"/>
      <c r="L205" s="87" t="s">
        <v>4672</v>
      </c>
      <c r="M205" s="87"/>
      <c r="N205" s="521"/>
      <c r="O205" s="521">
        <f>+Tabla4[[#This Row],[PAGO NO EURO]]+Tabla4[[#This Row],[CARGO NO EURO]]</f>
        <v>0</v>
      </c>
      <c r="P205" s="521"/>
      <c r="Q205" s="88"/>
      <c r="R205" s="689">
        <f>+_xlfn.XLOOKUP(Tabla4[[#This Row],[ID CLIENTE]],'RESUMEN CLIENTES'!D:D,'RESUMEN CLIENTES'!G:G)</f>
        <v>45803</v>
      </c>
      <c r="S205" s="88" t="str">
        <f>+_xlfn.XLOOKUP(Tabla4[[#This Row],[ID CLIENTE]],'RESUMEN CLIENTES'!D:D,'RESUMEN CLIENTES'!AA:AA)</f>
        <v>A2.1</v>
      </c>
      <c r="T205" s="680" t="str">
        <f>+_xlfn.XLOOKUP(Tabla4[[#This Row],[ID CLIENTE]],'RESUMEN CLIENTES'!D:D,'RESUMEN CLIENTES'!C:C)</f>
        <v>Ecuador</v>
      </c>
    </row>
    <row r="206" spans="1:20" ht="16">
      <c r="A206" s="82">
        <v>45860</v>
      </c>
      <c r="B206" s="82" t="str">
        <f>+_xlfn.XLOOKUP(Tabla4[[#This Row],[ID CLIENTE]],'RESUMEN CLIENTES'!D:D,'RESUMEN CLIENTES'!A:A)</f>
        <v>Nataly Elizabeth Elias Berrios</v>
      </c>
      <c r="C206" s="83" t="s">
        <v>2200</v>
      </c>
      <c r="D206" s="83" t="s">
        <v>816</v>
      </c>
      <c r="E206" s="83" t="s">
        <v>2598</v>
      </c>
      <c r="F206" s="83" t="s">
        <v>2599</v>
      </c>
      <c r="G206" s="84">
        <v>17</v>
      </c>
      <c r="H206" s="85">
        <v>-0.8</v>
      </c>
      <c r="I206" s="86">
        <f t="shared" si="6"/>
        <v>4.7058823529411764E-2</v>
      </c>
      <c r="J206" s="87">
        <f t="shared" si="7"/>
        <v>16.2</v>
      </c>
      <c r="K206" s="87"/>
      <c r="L206" s="87" t="s">
        <v>4672</v>
      </c>
      <c r="M206" s="87"/>
      <c r="N206" s="521"/>
      <c r="O206" s="521">
        <f>+Tabla4[[#This Row],[PAGO NO EURO]]+Tabla4[[#This Row],[CARGO NO EURO]]</f>
        <v>0</v>
      </c>
      <c r="P206" s="521"/>
      <c r="Q206" s="88"/>
      <c r="R206" s="689">
        <f>+_xlfn.XLOOKUP(Tabla4[[#This Row],[ID CLIENTE]],'RESUMEN CLIENTES'!D:D,'RESUMEN CLIENTES'!G:G)</f>
        <v>45807</v>
      </c>
      <c r="S206" s="88" t="str">
        <f>+_xlfn.XLOOKUP(Tabla4[[#This Row],[ID CLIENTE]],'RESUMEN CLIENTES'!D:D,'RESUMEN CLIENTES'!AA:AA)</f>
        <v>null</v>
      </c>
      <c r="T206" s="680" t="str">
        <f>+_xlfn.XLOOKUP(Tabla4[[#This Row],[ID CLIENTE]],'RESUMEN CLIENTES'!D:D,'RESUMEN CLIENTES'!C:C)</f>
        <v>Bolivia</v>
      </c>
    </row>
    <row r="207" spans="1:20" ht="16">
      <c r="A207" s="82">
        <v>45861</v>
      </c>
      <c r="B207" s="82" t="str">
        <f>+_xlfn.XLOOKUP(Tabla4[[#This Row],[ID CLIENTE]],'RESUMEN CLIENTES'!D:D,'RESUMEN CLIENTES'!A:A)</f>
        <v>Paola Hitos</v>
      </c>
      <c r="C207" s="83" t="s">
        <v>2288</v>
      </c>
      <c r="D207" s="83" t="s">
        <v>455</v>
      </c>
      <c r="E207" s="83" t="s">
        <v>504</v>
      </c>
      <c r="F207" s="83" t="s">
        <v>505</v>
      </c>
      <c r="G207" s="84">
        <v>2000</v>
      </c>
      <c r="H207" s="85">
        <v>-65.25</v>
      </c>
      <c r="I207" s="86">
        <f t="shared" si="6"/>
        <v>3.2625000000000001E-2</v>
      </c>
      <c r="J207" s="87">
        <f t="shared" si="7"/>
        <v>1934.75</v>
      </c>
      <c r="K207" s="87"/>
      <c r="L207" s="87" t="s">
        <v>4672</v>
      </c>
      <c r="M207" s="87"/>
      <c r="N207" s="521"/>
      <c r="O207" s="521">
        <f>+Tabla4[[#This Row],[PAGO NO EURO]]+Tabla4[[#This Row],[CARGO NO EURO]]</f>
        <v>0</v>
      </c>
      <c r="P207" s="521"/>
      <c r="Q207" s="88"/>
      <c r="R207" s="689">
        <f>+_xlfn.XLOOKUP(Tabla4[[#This Row],[ID CLIENTE]],'RESUMEN CLIENTES'!D:D,'RESUMEN CLIENTES'!G:G)</f>
        <v>45846</v>
      </c>
      <c r="S207" s="88" t="str">
        <f>+_xlfn.XLOOKUP(Tabla4[[#This Row],[ID CLIENTE]],'RESUMEN CLIENTES'!D:D,'RESUMEN CLIENTES'!AA:AA)</f>
        <v>A1.1</v>
      </c>
      <c r="T207" s="680" t="str">
        <f>+_xlfn.XLOOKUP(Tabla4[[#This Row],[ID CLIENTE]],'RESUMEN CLIENTES'!D:D,'RESUMEN CLIENTES'!C:C)</f>
        <v>México</v>
      </c>
    </row>
    <row r="208" spans="1:20" ht="16">
      <c r="A208" s="82">
        <v>45862</v>
      </c>
      <c r="B208" s="82" t="str">
        <f>+_xlfn.XLOOKUP(Tabla4[[#This Row],[ID CLIENTE]],'RESUMEN CLIENTES'!D:D,'RESUMEN CLIENTES'!A:A)</f>
        <v>Polliyana Alvarado Alvarado</v>
      </c>
      <c r="C208" s="83" t="s">
        <v>2244</v>
      </c>
      <c r="D208" s="83" t="s">
        <v>317</v>
      </c>
      <c r="E208" s="83" t="s">
        <v>2600</v>
      </c>
      <c r="F208" s="83" t="s">
        <v>2601</v>
      </c>
      <c r="G208" s="84">
        <f>+Tabla4[[#This Row],[PAGO NO EURO]]*Tabla4[[#This Row],[CAMBIO]]</f>
        <v>4497.6567208484375</v>
      </c>
      <c r="H208" s="85">
        <f>+Tabla4[[#This Row],[CARGO NO EURO]]*Tabla4[[#This Row],[CAMBIO]]</f>
        <v>0</v>
      </c>
      <c r="I208" s="86">
        <f t="shared" si="6"/>
        <v>0</v>
      </c>
      <c r="J208" s="87">
        <f t="shared" si="7"/>
        <v>4497.6567208484375</v>
      </c>
      <c r="K208" s="87" t="s">
        <v>4682</v>
      </c>
      <c r="L208" s="87" t="s">
        <v>4675</v>
      </c>
      <c r="M208" s="87" t="s">
        <v>2543</v>
      </c>
      <c r="N208" s="522">
        <v>5000000</v>
      </c>
      <c r="O208" s="523">
        <f>+Tabla4[[#This Row],[PAGO NO EURO]]+Tabla4[[#This Row],[CARGO NO EURO]]</f>
        <v>5000000</v>
      </c>
      <c r="P208" s="524">
        <v>0</v>
      </c>
      <c r="Q208" s="89">
        <v>8.995313441696875E-4</v>
      </c>
      <c r="R208" s="689">
        <f>+_xlfn.XLOOKUP(Tabla4[[#This Row],[ID CLIENTE]],'RESUMEN CLIENTES'!D:D,'RESUMEN CLIENTES'!G:G)</f>
        <v>45847</v>
      </c>
      <c r="S208" s="89" t="str">
        <f>+_xlfn.XLOOKUP(Tabla4[[#This Row],[ID CLIENTE]],'RESUMEN CLIENTES'!D:D,'RESUMEN CLIENTES'!AA:AA)</f>
        <v>A1.2</v>
      </c>
      <c r="T208" s="680" t="str">
        <f>+_xlfn.XLOOKUP(Tabla4[[#This Row],[ID CLIENTE]],'RESUMEN CLIENTES'!D:D,'RESUMEN CLIENTES'!C:C)</f>
        <v>Chile</v>
      </c>
    </row>
    <row r="209" spans="1:20" ht="16">
      <c r="A209" s="82">
        <v>45863</v>
      </c>
      <c r="B209" s="82" t="str">
        <f>+_xlfn.XLOOKUP(Tabla4[[#This Row],[ID CLIENTE]],'RESUMEN CLIENTES'!D:D,'RESUMEN CLIENTES'!A:A)</f>
        <v>Jorge Augusto Cámbara Vargas</v>
      </c>
      <c r="C209" s="83" t="s">
        <v>2261</v>
      </c>
      <c r="D209" s="83" t="s">
        <v>333</v>
      </c>
      <c r="E209" s="83" t="s">
        <v>508</v>
      </c>
      <c r="F209" s="83" t="s">
        <v>509</v>
      </c>
      <c r="G209" s="84">
        <v>2000</v>
      </c>
      <c r="H209" s="85">
        <v>-65.25</v>
      </c>
      <c r="I209" s="86">
        <f t="shared" si="6"/>
        <v>3.2625000000000001E-2</v>
      </c>
      <c r="J209" s="87">
        <f t="shared" si="7"/>
        <v>1934.75</v>
      </c>
      <c r="K209" s="87"/>
      <c r="L209" s="87" t="s">
        <v>4672</v>
      </c>
      <c r="M209" s="87"/>
      <c r="N209" s="521"/>
      <c r="O209" s="521">
        <f>+Tabla4[[#This Row],[PAGO NO EURO]]+Tabla4[[#This Row],[CARGO NO EURO]]</f>
        <v>0</v>
      </c>
      <c r="P209" s="521"/>
      <c r="Q209" s="88"/>
      <c r="R209" s="689">
        <f>+_xlfn.XLOOKUP(Tabla4[[#This Row],[ID CLIENTE]],'RESUMEN CLIENTES'!D:D,'RESUMEN CLIENTES'!G:G)</f>
        <v>45821</v>
      </c>
      <c r="S209" s="88" t="str">
        <f>+_xlfn.XLOOKUP(Tabla4[[#This Row],[ID CLIENTE]],'RESUMEN CLIENTES'!D:D,'RESUMEN CLIENTES'!AA:AA)</f>
        <v>B1.1</v>
      </c>
      <c r="T209" s="680" t="str">
        <f>+_xlfn.XLOOKUP(Tabla4[[#This Row],[ID CLIENTE]],'RESUMEN CLIENTES'!D:D,'RESUMEN CLIENTES'!C:C)</f>
        <v>Guatemala</v>
      </c>
    </row>
    <row r="210" spans="1:20" ht="16">
      <c r="A210" s="82">
        <v>45863</v>
      </c>
      <c r="B210" s="82" t="str">
        <f>+_xlfn.XLOOKUP(Tabla4[[#This Row],[ID CLIENTE]],'RESUMEN CLIENTES'!D:D,'RESUMEN CLIENTES'!A:A)</f>
        <v>Jose Marcelo Marroquín Guzmán</v>
      </c>
      <c r="C210" s="83" t="s">
        <v>2121</v>
      </c>
      <c r="D210" s="83" t="s">
        <v>87</v>
      </c>
      <c r="E210" s="83" t="s">
        <v>510</v>
      </c>
      <c r="F210" s="83" t="s">
        <v>511</v>
      </c>
      <c r="G210" s="84">
        <v>400</v>
      </c>
      <c r="H210" s="85">
        <v>-13.25</v>
      </c>
      <c r="I210" s="86">
        <f t="shared" si="6"/>
        <v>3.3125000000000002E-2</v>
      </c>
      <c r="J210" s="87">
        <f t="shared" si="7"/>
        <v>386.75</v>
      </c>
      <c r="K210" s="87"/>
      <c r="L210" s="87" t="s">
        <v>4672</v>
      </c>
      <c r="M210" s="87"/>
      <c r="N210" s="521"/>
      <c r="O210" s="521">
        <f>+Tabla4[[#This Row],[PAGO NO EURO]]+Tabla4[[#This Row],[CARGO NO EURO]]</f>
        <v>0</v>
      </c>
      <c r="P210" s="521"/>
      <c r="Q210" s="88"/>
      <c r="R210" s="689">
        <f>+_xlfn.XLOOKUP(Tabla4[[#This Row],[ID CLIENTE]],'RESUMEN CLIENTES'!D:D,'RESUMEN CLIENTES'!G:G)</f>
        <v>45658</v>
      </c>
      <c r="S210" s="88" t="str">
        <f>+_xlfn.XLOOKUP(Tabla4[[#This Row],[ID CLIENTE]],'RESUMEN CLIENTES'!D:D,'RESUMEN CLIENTES'!AA:AA)</f>
        <v>A2.1</v>
      </c>
      <c r="T210" s="680" t="str">
        <f>+_xlfn.XLOOKUP(Tabla4[[#This Row],[ID CLIENTE]],'RESUMEN CLIENTES'!D:D,'RESUMEN CLIENTES'!C:C)</f>
        <v>El Salvador</v>
      </c>
    </row>
    <row r="211" spans="1:20" ht="16">
      <c r="A211" s="82">
        <v>45863</v>
      </c>
      <c r="B211" s="82" t="str">
        <f>+_xlfn.XLOOKUP(Tabla4[[#This Row],[ID CLIENTE]],'RESUMEN CLIENTES'!D:D,'RESUMEN CLIENTES'!A:A)</f>
        <v>Mauricio Ignacio Alcayaga Romo</v>
      </c>
      <c r="C211" s="83" t="s">
        <v>2251</v>
      </c>
      <c r="D211" s="83" t="s">
        <v>322</v>
      </c>
      <c r="E211" s="83" t="s">
        <v>514</v>
      </c>
      <c r="F211" s="83" t="s">
        <v>515</v>
      </c>
      <c r="G211" s="84">
        <v>3500</v>
      </c>
      <c r="H211" s="85">
        <v>-114</v>
      </c>
      <c r="I211" s="86">
        <f t="shared" si="6"/>
        <v>3.2571428571428571E-2</v>
      </c>
      <c r="J211" s="87">
        <f t="shared" si="7"/>
        <v>3386</v>
      </c>
      <c r="K211" s="87"/>
      <c r="L211" s="87" t="s">
        <v>4672</v>
      </c>
      <c r="M211" s="87"/>
      <c r="N211" s="521"/>
      <c r="O211" s="521">
        <f>+Tabla4[[#This Row],[PAGO NO EURO]]+Tabla4[[#This Row],[CARGO NO EURO]]</f>
        <v>0</v>
      </c>
      <c r="P211" s="521"/>
      <c r="Q211" s="88"/>
      <c r="R211" s="689">
        <f>+_xlfn.XLOOKUP(Tabla4[[#This Row],[ID CLIENTE]],'RESUMEN CLIENTES'!D:D,'RESUMEN CLIENTES'!G:G)</f>
        <v>45819</v>
      </c>
      <c r="S211" s="88" t="str">
        <f>+_xlfn.XLOOKUP(Tabla4[[#This Row],[ID CLIENTE]],'RESUMEN CLIENTES'!D:D,'RESUMEN CLIENTES'!AA:AA)</f>
        <v>B2.1</v>
      </c>
      <c r="T211" s="680" t="str">
        <f>+_xlfn.XLOOKUP(Tabla4[[#This Row],[ID CLIENTE]],'RESUMEN CLIENTES'!D:D,'RESUMEN CLIENTES'!C:C)</f>
        <v>Chile</v>
      </c>
    </row>
    <row r="212" spans="1:20" ht="16">
      <c r="A212" s="82">
        <v>45863</v>
      </c>
      <c r="B212" s="82" t="str">
        <f>+_xlfn.XLOOKUP(Tabla4[[#This Row],[ID CLIENTE]],'RESUMEN CLIENTES'!D:D,'RESUMEN CLIENTES'!A:A)</f>
        <v>Maryori Elizabeth Ramos Tapia</v>
      </c>
      <c r="C212" s="83" t="s">
        <v>2225</v>
      </c>
      <c r="D212" s="83" t="s">
        <v>261</v>
      </c>
      <c r="E212" s="83" t="s">
        <v>512</v>
      </c>
      <c r="F212" s="83" t="s">
        <v>513</v>
      </c>
      <c r="G212" s="84">
        <v>2000</v>
      </c>
      <c r="H212" s="85">
        <v>-65.25</v>
      </c>
      <c r="I212" s="86">
        <f t="shared" si="6"/>
        <v>3.2625000000000001E-2</v>
      </c>
      <c r="J212" s="87">
        <f t="shared" si="7"/>
        <v>1934.75</v>
      </c>
      <c r="K212" s="87"/>
      <c r="L212" s="87" t="s">
        <v>4672</v>
      </c>
      <c r="M212" s="87"/>
      <c r="N212" s="521"/>
      <c r="O212" s="521">
        <f>+Tabla4[[#This Row],[PAGO NO EURO]]+Tabla4[[#This Row],[CARGO NO EURO]]</f>
        <v>0</v>
      </c>
      <c r="P212" s="521"/>
      <c r="Q212" s="88"/>
      <c r="R212" s="689">
        <f>+_xlfn.XLOOKUP(Tabla4[[#This Row],[ID CLIENTE]],'RESUMEN CLIENTES'!D:D,'RESUMEN CLIENTES'!G:G)</f>
        <v>45807</v>
      </c>
      <c r="S212" s="88" t="str">
        <f>+_xlfn.XLOOKUP(Tabla4[[#This Row],[ID CLIENTE]],'RESUMEN CLIENTES'!D:D,'RESUMEN CLIENTES'!AA:AA)</f>
        <v>A1.1</v>
      </c>
      <c r="T212" s="680" t="str">
        <f>+_xlfn.XLOOKUP(Tabla4[[#This Row],[ID CLIENTE]],'RESUMEN CLIENTES'!D:D,'RESUMEN CLIENTES'!C:C)</f>
        <v>Perú</v>
      </c>
    </row>
    <row r="213" spans="1:20" ht="16">
      <c r="A213" s="82">
        <v>45863</v>
      </c>
      <c r="B213" s="82" t="str">
        <f>+_xlfn.XLOOKUP(Tabla4[[#This Row],[ID CLIENTE]],'RESUMEN CLIENTES'!D:D,'RESUMEN CLIENTES'!A:A)</f>
        <v>Nataly Elizabeth Elias Berrios</v>
      </c>
      <c r="C213" s="83" t="s">
        <v>2200</v>
      </c>
      <c r="D213" s="83" t="s">
        <v>816</v>
      </c>
      <c r="E213" s="83" t="s">
        <v>2602</v>
      </c>
      <c r="F213" s="83" t="s">
        <v>2603</v>
      </c>
      <c r="G213" s="84">
        <v>40</v>
      </c>
      <c r="H213" s="85">
        <v>-1.55</v>
      </c>
      <c r="I213" s="86">
        <f t="shared" si="6"/>
        <v>3.875E-2</v>
      </c>
      <c r="J213" s="87">
        <f t="shared" si="7"/>
        <v>38.450000000000003</v>
      </c>
      <c r="K213" s="87"/>
      <c r="L213" s="87" t="s">
        <v>4672</v>
      </c>
      <c r="M213" s="87"/>
      <c r="N213" s="521"/>
      <c r="O213" s="521">
        <f>+Tabla4[[#This Row],[PAGO NO EURO]]+Tabla4[[#This Row],[CARGO NO EURO]]</f>
        <v>0</v>
      </c>
      <c r="P213" s="521"/>
      <c r="Q213" s="88"/>
      <c r="R213" s="689">
        <f>+_xlfn.XLOOKUP(Tabla4[[#This Row],[ID CLIENTE]],'RESUMEN CLIENTES'!D:D,'RESUMEN CLIENTES'!G:G)</f>
        <v>45807</v>
      </c>
      <c r="S213" s="88" t="str">
        <f>+_xlfn.XLOOKUP(Tabla4[[#This Row],[ID CLIENTE]],'RESUMEN CLIENTES'!D:D,'RESUMEN CLIENTES'!AA:AA)</f>
        <v>null</v>
      </c>
      <c r="T213" s="680" t="str">
        <f>+_xlfn.XLOOKUP(Tabla4[[#This Row],[ID CLIENTE]],'RESUMEN CLIENTES'!D:D,'RESUMEN CLIENTES'!C:C)</f>
        <v>Bolivia</v>
      </c>
    </row>
    <row r="214" spans="1:20" ht="16">
      <c r="A214" s="82">
        <v>45863</v>
      </c>
      <c r="B214" s="82" t="str">
        <f>+_xlfn.XLOOKUP(Tabla4[[#This Row],[ID CLIENTE]],'RESUMEN CLIENTES'!D:D,'RESUMEN CLIENTES'!A:A)</f>
        <v>Nataly Elizabeth Elias Berrios</v>
      </c>
      <c r="C214" s="83" t="s">
        <v>2200</v>
      </c>
      <c r="D214" s="83" t="s">
        <v>816</v>
      </c>
      <c r="E214" s="83" t="s">
        <v>2604</v>
      </c>
      <c r="F214" s="83" t="s">
        <v>2605</v>
      </c>
      <c r="G214" s="84">
        <v>811</v>
      </c>
      <c r="H214" s="85">
        <v>-26.61</v>
      </c>
      <c r="I214" s="86">
        <f t="shared" si="6"/>
        <v>3.2811344019728732E-2</v>
      </c>
      <c r="J214" s="87">
        <f t="shared" si="7"/>
        <v>784.39</v>
      </c>
      <c r="K214" s="87"/>
      <c r="L214" s="87" t="s">
        <v>4672</v>
      </c>
      <c r="M214" s="87"/>
      <c r="N214" s="521"/>
      <c r="O214" s="521">
        <f>+Tabla4[[#This Row],[PAGO NO EURO]]+Tabla4[[#This Row],[CARGO NO EURO]]</f>
        <v>0</v>
      </c>
      <c r="P214" s="521"/>
      <c r="Q214" s="88"/>
      <c r="R214" s="689">
        <f>+_xlfn.XLOOKUP(Tabla4[[#This Row],[ID CLIENTE]],'RESUMEN CLIENTES'!D:D,'RESUMEN CLIENTES'!G:G)</f>
        <v>45807</v>
      </c>
      <c r="S214" s="88" t="str">
        <f>+_xlfn.XLOOKUP(Tabla4[[#This Row],[ID CLIENTE]],'RESUMEN CLIENTES'!D:D,'RESUMEN CLIENTES'!AA:AA)</f>
        <v>null</v>
      </c>
      <c r="T214" s="680" t="str">
        <f>+_xlfn.XLOOKUP(Tabla4[[#This Row],[ID CLIENTE]],'RESUMEN CLIENTES'!D:D,'RESUMEN CLIENTES'!C:C)</f>
        <v>Bolivia</v>
      </c>
    </row>
    <row r="215" spans="1:20" ht="16">
      <c r="A215" s="82">
        <v>45864</v>
      </c>
      <c r="B215" s="82" t="str">
        <f>+_xlfn.XLOOKUP(Tabla4[[#This Row],[ID CLIENTE]],'RESUMEN CLIENTES'!D:D,'RESUMEN CLIENTES'!A:A)</f>
        <v>Andrea Fernanda Gonzalez Ramirez</v>
      </c>
      <c r="C215" s="83" t="s">
        <v>2313</v>
      </c>
      <c r="D215" s="83" t="s">
        <v>516</v>
      </c>
      <c r="E215" s="83" t="s">
        <v>517</v>
      </c>
      <c r="F215" s="83" t="s">
        <v>518</v>
      </c>
      <c r="G215" s="84">
        <v>250</v>
      </c>
      <c r="H215" s="85">
        <v>-8.3800000000000008</v>
      </c>
      <c r="I215" s="86">
        <f t="shared" si="6"/>
        <v>3.3520000000000001E-2</v>
      </c>
      <c r="J215" s="87">
        <f t="shared" si="7"/>
        <v>241.62</v>
      </c>
      <c r="K215" s="87"/>
      <c r="L215" s="87" t="s">
        <v>4672</v>
      </c>
      <c r="M215" s="87"/>
      <c r="N215" s="521"/>
      <c r="O215" s="521">
        <f>+Tabla4[[#This Row],[PAGO NO EURO]]+Tabla4[[#This Row],[CARGO NO EURO]]</f>
        <v>0</v>
      </c>
      <c r="P215" s="521"/>
      <c r="Q215" s="88"/>
      <c r="R215" s="689">
        <f>+_xlfn.XLOOKUP(Tabla4[[#This Row],[ID CLIENTE]],'RESUMEN CLIENTES'!D:D,'RESUMEN CLIENTES'!G:G)</f>
        <v>45864</v>
      </c>
      <c r="S215" s="88" t="str">
        <f>+_xlfn.XLOOKUP(Tabla4[[#This Row],[ID CLIENTE]],'RESUMEN CLIENTES'!D:D,'RESUMEN CLIENTES'!AA:AA)</f>
        <v>null</v>
      </c>
      <c r="T215" s="680" t="str">
        <f>+_xlfn.XLOOKUP(Tabla4[[#This Row],[ID CLIENTE]],'RESUMEN CLIENTES'!D:D,'RESUMEN CLIENTES'!C:C)</f>
        <v>México</v>
      </c>
    </row>
    <row r="216" spans="1:20" ht="16">
      <c r="A216" s="82">
        <v>45864</v>
      </c>
      <c r="B216" s="82" t="str">
        <f>+_xlfn.XLOOKUP(Tabla4[[#This Row],[ID CLIENTE]],'RESUMEN CLIENTES'!D:D,'RESUMEN CLIENTES'!A:A)</f>
        <v>Elaine Acosta Cabrera</v>
      </c>
      <c r="C216" s="83" t="s">
        <v>2315</v>
      </c>
      <c r="D216" s="83" t="s">
        <v>519</v>
      </c>
      <c r="E216" s="83" t="s">
        <v>520</v>
      </c>
      <c r="F216" s="83" t="s">
        <v>521</v>
      </c>
      <c r="G216" s="84">
        <v>250</v>
      </c>
      <c r="H216" s="85">
        <v>-8.3800000000000008</v>
      </c>
      <c r="I216" s="86">
        <f t="shared" si="6"/>
        <v>3.3520000000000001E-2</v>
      </c>
      <c r="J216" s="87">
        <f t="shared" si="7"/>
        <v>241.62</v>
      </c>
      <c r="K216" s="87"/>
      <c r="L216" s="87" t="s">
        <v>4672</v>
      </c>
      <c r="M216" s="87"/>
      <c r="N216" s="521"/>
      <c r="O216" s="521">
        <f>+Tabla4[[#This Row],[PAGO NO EURO]]+Tabla4[[#This Row],[CARGO NO EURO]]</f>
        <v>0</v>
      </c>
      <c r="P216" s="521"/>
      <c r="Q216" s="88"/>
      <c r="R216" s="689">
        <f>+_xlfn.XLOOKUP(Tabla4[[#This Row],[ID CLIENTE]],'RESUMEN CLIENTES'!D:D,'RESUMEN CLIENTES'!G:G)</f>
        <v>45864</v>
      </c>
      <c r="S216" s="88" t="str">
        <f>+_xlfn.XLOOKUP(Tabla4[[#This Row],[ID CLIENTE]],'RESUMEN CLIENTES'!D:D,'RESUMEN CLIENTES'!AA:AA)</f>
        <v>A1.1</v>
      </c>
      <c r="T216" s="680" t="str">
        <f>+_xlfn.XLOOKUP(Tabla4[[#This Row],[ID CLIENTE]],'RESUMEN CLIENTES'!D:D,'RESUMEN CLIENTES'!C:C)</f>
        <v>República Dominicana</v>
      </c>
    </row>
    <row r="217" spans="1:20" ht="16">
      <c r="A217" s="82">
        <v>45865</v>
      </c>
      <c r="B217" s="82" t="str">
        <f>+_xlfn.XLOOKUP(Tabla4[[#This Row],[ID CLIENTE]],'RESUMEN CLIENTES'!D:D,'RESUMEN CLIENTES'!A:A)</f>
        <v>Mario Andrés Pazán Rojas</v>
      </c>
      <c r="C217" s="83" t="s">
        <v>2317</v>
      </c>
      <c r="D217" s="83" t="s">
        <v>524</v>
      </c>
      <c r="E217" s="83" t="s">
        <v>525</v>
      </c>
      <c r="F217" s="83" t="s">
        <v>526</v>
      </c>
      <c r="G217" s="84">
        <v>250</v>
      </c>
      <c r="H217" s="85">
        <v>-8.3800000000000008</v>
      </c>
      <c r="I217" s="86">
        <f t="shared" si="6"/>
        <v>3.3520000000000001E-2</v>
      </c>
      <c r="J217" s="87">
        <f t="shared" si="7"/>
        <v>241.62</v>
      </c>
      <c r="K217" s="87"/>
      <c r="L217" s="87" t="s">
        <v>4672</v>
      </c>
      <c r="M217" s="87"/>
      <c r="N217" s="521"/>
      <c r="O217" s="521">
        <f>+Tabla4[[#This Row],[PAGO NO EURO]]+Tabla4[[#This Row],[CARGO NO EURO]]</f>
        <v>0</v>
      </c>
      <c r="P217" s="521"/>
      <c r="Q217" s="88"/>
      <c r="R217" s="689">
        <f>+_xlfn.XLOOKUP(Tabla4[[#This Row],[ID CLIENTE]],'RESUMEN CLIENTES'!D:D,'RESUMEN CLIENTES'!G:G)</f>
        <v>45865</v>
      </c>
      <c r="S217" s="88" t="str">
        <f>+_xlfn.XLOOKUP(Tabla4[[#This Row],[ID CLIENTE]],'RESUMEN CLIENTES'!D:D,'RESUMEN CLIENTES'!AA:AA)</f>
        <v>null</v>
      </c>
      <c r="T217" s="680" t="str">
        <f>+_xlfn.XLOOKUP(Tabla4[[#This Row],[ID CLIENTE]],'RESUMEN CLIENTES'!D:D,'RESUMEN CLIENTES'!C:C)</f>
        <v>Chile</v>
      </c>
    </row>
    <row r="218" spans="1:20" ht="16">
      <c r="A218" s="82">
        <v>45866</v>
      </c>
      <c r="B218" s="82" t="str">
        <f>+_xlfn.XLOOKUP(Tabla4[[#This Row],[ID CLIENTE]],'RESUMEN CLIENTES'!D:D,'RESUMEN CLIENTES'!A:A)</f>
        <v>Jorge Andrés Barrera Vásquez</v>
      </c>
      <c r="C218" s="83" t="s">
        <v>2256</v>
      </c>
      <c r="D218" s="83" t="s">
        <v>330</v>
      </c>
      <c r="E218" s="83" t="s">
        <v>533</v>
      </c>
      <c r="F218" s="83" t="s">
        <v>534</v>
      </c>
      <c r="G218" s="84">
        <v>2000</v>
      </c>
      <c r="H218" s="85">
        <v>-65.25</v>
      </c>
      <c r="I218" s="86">
        <f t="shared" si="6"/>
        <v>3.2625000000000001E-2</v>
      </c>
      <c r="J218" s="87">
        <f t="shared" si="7"/>
        <v>1934.75</v>
      </c>
      <c r="K218" s="87"/>
      <c r="L218" s="87" t="s">
        <v>4672</v>
      </c>
      <c r="M218" s="87"/>
      <c r="N218" s="521"/>
      <c r="O218" s="521">
        <f>+Tabla4[[#This Row],[PAGO NO EURO]]+Tabla4[[#This Row],[CARGO NO EURO]]</f>
        <v>0</v>
      </c>
      <c r="P218" s="521"/>
      <c r="Q218" s="88"/>
      <c r="R218" s="689">
        <f>+_xlfn.XLOOKUP(Tabla4[[#This Row],[ID CLIENTE]],'RESUMEN CLIENTES'!D:D,'RESUMEN CLIENTES'!G:G)</f>
        <v>45820</v>
      </c>
      <c r="S218" s="88" t="str">
        <f>+_xlfn.XLOOKUP(Tabla4[[#This Row],[ID CLIENTE]],'RESUMEN CLIENTES'!D:D,'RESUMEN CLIENTES'!AA:AA)</f>
        <v>null</v>
      </c>
      <c r="T218" s="680" t="str">
        <f>+_xlfn.XLOOKUP(Tabla4[[#This Row],[ID CLIENTE]],'RESUMEN CLIENTES'!D:D,'RESUMEN CLIENTES'!C:C)</f>
        <v>Ecuador</v>
      </c>
    </row>
    <row r="219" spans="1:20" ht="16">
      <c r="A219" s="82">
        <v>45866</v>
      </c>
      <c r="B219" s="82" t="str">
        <f>+_xlfn.XLOOKUP(Tabla4[[#This Row],[ID CLIENTE]],'RESUMEN CLIENTES'!D:D,'RESUMEN CLIENTES'!A:A)</f>
        <v>Guillermo Alfonso Garvalena Gaxiola</v>
      </c>
      <c r="C219" s="83" t="s">
        <v>2176</v>
      </c>
      <c r="D219" s="83" t="s">
        <v>171</v>
      </c>
      <c r="E219" s="83" t="s">
        <v>577</v>
      </c>
      <c r="F219" s="83" t="s">
        <v>578</v>
      </c>
      <c r="G219" s="84">
        <v>700</v>
      </c>
      <c r="H219" s="85">
        <v>-23</v>
      </c>
      <c r="I219" s="86">
        <f t="shared" si="6"/>
        <v>3.2857142857142856E-2</v>
      </c>
      <c r="J219" s="87">
        <f t="shared" si="7"/>
        <v>677</v>
      </c>
      <c r="K219" s="87"/>
      <c r="L219" s="87" t="s">
        <v>4672</v>
      </c>
      <c r="M219" s="87"/>
      <c r="N219" s="521"/>
      <c r="O219" s="521">
        <f>+Tabla4[[#This Row],[PAGO NO EURO]]+Tabla4[[#This Row],[CARGO NO EURO]]</f>
        <v>0</v>
      </c>
      <c r="P219" s="521"/>
      <c r="Q219" s="88"/>
      <c r="R219" s="689">
        <f>+_xlfn.XLOOKUP(Tabla4[[#This Row],[ID CLIENTE]],'RESUMEN CLIENTES'!D:D,'RESUMEN CLIENTES'!G:G)</f>
        <v>45762</v>
      </c>
      <c r="S219" s="88" t="str">
        <f>+_xlfn.XLOOKUP(Tabla4[[#This Row],[ID CLIENTE]],'RESUMEN CLIENTES'!D:D,'RESUMEN CLIENTES'!AA:AA)</f>
        <v>A2.1</v>
      </c>
      <c r="T219" s="680" t="str">
        <f>+_xlfn.XLOOKUP(Tabla4[[#This Row],[ID CLIENTE]],'RESUMEN CLIENTES'!D:D,'RESUMEN CLIENTES'!C:C)</f>
        <v>México</v>
      </c>
    </row>
    <row r="220" spans="1:20" ht="16">
      <c r="A220" s="82">
        <v>45866</v>
      </c>
      <c r="B220" s="82" t="str">
        <f>+_xlfn.XLOOKUP(Tabla4[[#This Row],[ID CLIENTE]],'RESUMEN CLIENTES'!D:D,'RESUMEN CLIENTES'!A:A)</f>
        <v>Guillermo Alfonso Garvalena Gaxiola</v>
      </c>
      <c r="C220" s="83" t="s">
        <v>2176</v>
      </c>
      <c r="D220" s="83" t="s">
        <v>171</v>
      </c>
      <c r="E220" s="83" t="s">
        <v>579</v>
      </c>
      <c r="F220" s="83" t="s">
        <v>580</v>
      </c>
      <c r="G220" s="84">
        <v>200</v>
      </c>
      <c r="H220" s="85">
        <v>-6.75</v>
      </c>
      <c r="I220" s="86">
        <f t="shared" si="6"/>
        <v>3.3750000000000002E-2</v>
      </c>
      <c r="J220" s="87">
        <f t="shared" si="7"/>
        <v>193.25</v>
      </c>
      <c r="K220" s="87"/>
      <c r="L220" s="87" t="s">
        <v>4672</v>
      </c>
      <c r="M220" s="87"/>
      <c r="N220" s="521"/>
      <c r="O220" s="521">
        <f>+Tabla4[[#This Row],[PAGO NO EURO]]+Tabla4[[#This Row],[CARGO NO EURO]]</f>
        <v>0</v>
      </c>
      <c r="P220" s="521"/>
      <c r="Q220" s="88"/>
      <c r="R220" s="689">
        <f>+_xlfn.XLOOKUP(Tabla4[[#This Row],[ID CLIENTE]],'RESUMEN CLIENTES'!D:D,'RESUMEN CLIENTES'!G:G)</f>
        <v>45762</v>
      </c>
      <c r="S220" s="88" t="str">
        <f>+_xlfn.XLOOKUP(Tabla4[[#This Row],[ID CLIENTE]],'RESUMEN CLIENTES'!D:D,'RESUMEN CLIENTES'!AA:AA)</f>
        <v>A2.1</v>
      </c>
      <c r="T220" s="680" t="str">
        <f>+_xlfn.XLOOKUP(Tabla4[[#This Row],[ID CLIENTE]],'RESUMEN CLIENTES'!D:D,'RESUMEN CLIENTES'!C:C)</f>
        <v>México</v>
      </c>
    </row>
    <row r="221" spans="1:20" ht="16">
      <c r="A221" s="82">
        <v>45866</v>
      </c>
      <c r="B221" s="82" t="str">
        <f>+_xlfn.XLOOKUP(Tabla4[[#This Row],[ID CLIENTE]],'RESUMEN CLIENTES'!D:D,'RESUMEN CLIENTES'!A:A)</f>
        <v>Guillermo Alfonso Garvalena Gaxiola</v>
      </c>
      <c r="C221" s="83" t="s">
        <v>2176</v>
      </c>
      <c r="D221" s="83" t="s">
        <v>171</v>
      </c>
      <c r="E221" s="83" t="s">
        <v>581</v>
      </c>
      <c r="F221" s="83" t="s">
        <v>582</v>
      </c>
      <c r="G221" s="84">
        <v>100</v>
      </c>
      <c r="H221" s="85">
        <v>-3.5</v>
      </c>
      <c r="I221" s="86">
        <f t="shared" si="6"/>
        <v>3.5000000000000003E-2</v>
      </c>
      <c r="J221" s="87">
        <f t="shared" si="7"/>
        <v>96.5</v>
      </c>
      <c r="K221" s="87"/>
      <c r="L221" s="87" t="s">
        <v>4672</v>
      </c>
      <c r="M221" s="87"/>
      <c r="N221" s="521"/>
      <c r="O221" s="521">
        <f>+Tabla4[[#This Row],[PAGO NO EURO]]+Tabla4[[#This Row],[CARGO NO EURO]]</f>
        <v>0</v>
      </c>
      <c r="P221" s="521"/>
      <c r="Q221" s="88"/>
      <c r="R221" s="689">
        <f>+_xlfn.XLOOKUP(Tabla4[[#This Row],[ID CLIENTE]],'RESUMEN CLIENTES'!D:D,'RESUMEN CLIENTES'!G:G)</f>
        <v>45762</v>
      </c>
      <c r="S221" s="88" t="str">
        <f>+_xlfn.XLOOKUP(Tabla4[[#This Row],[ID CLIENTE]],'RESUMEN CLIENTES'!D:D,'RESUMEN CLIENTES'!AA:AA)</f>
        <v>A2.1</v>
      </c>
      <c r="T221" s="680" t="str">
        <f>+_xlfn.XLOOKUP(Tabla4[[#This Row],[ID CLIENTE]],'RESUMEN CLIENTES'!D:D,'RESUMEN CLIENTES'!C:C)</f>
        <v>México</v>
      </c>
    </row>
    <row r="222" spans="1:20" ht="16">
      <c r="A222" s="82">
        <v>45866</v>
      </c>
      <c r="B222" s="82" t="str">
        <f>+_xlfn.XLOOKUP(Tabla4[[#This Row],[ID CLIENTE]],'RESUMEN CLIENTES'!D:D,'RESUMEN CLIENTES'!A:A)</f>
        <v>Julio Nelson Adaros Moraga</v>
      </c>
      <c r="C222" s="83" t="s">
        <v>2271</v>
      </c>
      <c r="D222" s="83" t="s">
        <v>372</v>
      </c>
      <c r="E222" s="83" t="s">
        <v>522</v>
      </c>
      <c r="F222" s="83" t="s">
        <v>523</v>
      </c>
      <c r="G222" s="84">
        <v>1000</v>
      </c>
      <c r="H222" s="85">
        <v>-32.75</v>
      </c>
      <c r="I222" s="86">
        <f t="shared" si="6"/>
        <v>3.2750000000000001E-2</v>
      </c>
      <c r="J222" s="87">
        <f t="shared" si="7"/>
        <v>967.25</v>
      </c>
      <c r="K222" s="87"/>
      <c r="L222" s="87" t="s">
        <v>4672</v>
      </c>
      <c r="M222" s="87"/>
      <c r="N222" s="521"/>
      <c r="O222" s="521">
        <f>+Tabla4[[#This Row],[PAGO NO EURO]]+Tabla4[[#This Row],[CARGO NO EURO]]</f>
        <v>0</v>
      </c>
      <c r="P222" s="521"/>
      <c r="Q222" s="88"/>
      <c r="R222" s="689">
        <f>+_xlfn.XLOOKUP(Tabla4[[#This Row],[ID CLIENTE]],'RESUMEN CLIENTES'!D:D,'RESUMEN CLIENTES'!G:G)</f>
        <v>45836</v>
      </c>
      <c r="S222" s="88" t="str">
        <f>+_xlfn.XLOOKUP(Tabla4[[#This Row],[ID CLIENTE]],'RESUMEN CLIENTES'!D:D,'RESUMEN CLIENTES'!AA:AA)</f>
        <v>A1.1</v>
      </c>
      <c r="T222" s="680" t="str">
        <f>+_xlfn.XLOOKUP(Tabla4[[#This Row],[ID CLIENTE]],'RESUMEN CLIENTES'!D:D,'RESUMEN CLIENTES'!C:C)</f>
        <v>Chile</v>
      </c>
    </row>
    <row r="223" spans="1:20" ht="16">
      <c r="A223" s="82">
        <v>45866</v>
      </c>
      <c r="B223" s="82" t="str">
        <f>+_xlfn.XLOOKUP(Tabla4[[#This Row],[ID CLIENTE]],'RESUMEN CLIENTES'!D:D,'RESUMEN CLIENTES'!A:A)</f>
        <v>Nataly Elizabeth Elias Berrios</v>
      </c>
      <c r="C223" s="83" t="s">
        <v>2200</v>
      </c>
      <c r="D223" s="83" t="s">
        <v>816</v>
      </c>
      <c r="E223" s="83" t="s">
        <v>2606</v>
      </c>
      <c r="F223" s="83" t="s">
        <v>2607</v>
      </c>
      <c r="G223" s="84">
        <v>25</v>
      </c>
      <c r="H223" s="85">
        <v>-1.06</v>
      </c>
      <c r="I223" s="86">
        <f t="shared" si="6"/>
        <v>4.24E-2</v>
      </c>
      <c r="J223" s="87">
        <f t="shared" si="7"/>
        <v>23.94</v>
      </c>
      <c r="K223" s="87"/>
      <c r="L223" s="87" t="s">
        <v>4672</v>
      </c>
      <c r="M223" s="87"/>
      <c r="N223" s="521"/>
      <c r="O223" s="521">
        <f>+Tabla4[[#This Row],[PAGO NO EURO]]+Tabla4[[#This Row],[CARGO NO EURO]]</f>
        <v>0</v>
      </c>
      <c r="P223" s="521"/>
      <c r="Q223" s="88"/>
      <c r="R223" s="689">
        <f>+_xlfn.XLOOKUP(Tabla4[[#This Row],[ID CLIENTE]],'RESUMEN CLIENTES'!D:D,'RESUMEN CLIENTES'!G:G)</f>
        <v>45807</v>
      </c>
      <c r="S223" s="88" t="str">
        <f>+_xlfn.XLOOKUP(Tabla4[[#This Row],[ID CLIENTE]],'RESUMEN CLIENTES'!D:D,'RESUMEN CLIENTES'!AA:AA)</f>
        <v>null</v>
      </c>
      <c r="T223" s="680" t="str">
        <f>+_xlfn.XLOOKUP(Tabla4[[#This Row],[ID CLIENTE]],'RESUMEN CLIENTES'!D:D,'RESUMEN CLIENTES'!C:C)</f>
        <v>Bolivia</v>
      </c>
    </row>
    <row r="224" spans="1:20" ht="16">
      <c r="A224" s="82">
        <v>45867</v>
      </c>
      <c r="B224" s="82" t="str">
        <f>+_xlfn.XLOOKUP(Tabla4[[#This Row],[ID CLIENTE]],'RESUMEN CLIENTES'!D:D,'RESUMEN CLIENTES'!A:A)</f>
        <v>Alejandra Goretti Figueroa Romo</v>
      </c>
      <c r="C224" s="83" t="s">
        <v>2323</v>
      </c>
      <c r="D224" s="83" t="s">
        <v>541</v>
      </c>
      <c r="E224" s="83" t="s">
        <v>542</v>
      </c>
      <c r="F224" s="83" t="s">
        <v>543</v>
      </c>
      <c r="G224" s="84">
        <v>1500</v>
      </c>
      <c r="H224" s="85">
        <v>-49</v>
      </c>
      <c r="I224" s="86">
        <f t="shared" si="6"/>
        <v>3.2666666666666663E-2</v>
      </c>
      <c r="J224" s="87">
        <f t="shared" si="7"/>
        <v>1451</v>
      </c>
      <c r="K224" s="87"/>
      <c r="L224" s="87" t="s">
        <v>4672</v>
      </c>
      <c r="M224" s="87"/>
      <c r="N224" s="521"/>
      <c r="O224" s="521">
        <f>+Tabla4[[#This Row],[PAGO NO EURO]]+Tabla4[[#This Row],[CARGO NO EURO]]</f>
        <v>0</v>
      </c>
      <c r="P224" s="521"/>
      <c r="Q224" s="88"/>
      <c r="R224" s="689">
        <f>+_xlfn.XLOOKUP(Tabla4[[#This Row],[ID CLIENTE]],'RESUMEN CLIENTES'!D:D,'RESUMEN CLIENTES'!G:G)</f>
        <v>45867</v>
      </c>
      <c r="S224" s="88" t="str">
        <f>+_xlfn.XLOOKUP(Tabla4[[#This Row],[ID CLIENTE]],'RESUMEN CLIENTES'!D:D,'RESUMEN CLIENTES'!AA:AA)</f>
        <v>A2.2</v>
      </c>
      <c r="T224" s="680" t="str">
        <f>+_xlfn.XLOOKUP(Tabla4[[#This Row],[ID CLIENTE]],'RESUMEN CLIENTES'!D:D,'RESUMEN CLIENTES'!C:C)</f>
        <v>México</v>
      </c>
    </row>
    <row r="225" spans="1:20" ht="16">
      <c r="A225" s="82">
        <v>45867</v>
      </c>
      <c r="B225" s="82" t="str">
        <f>+_xlfn.XLOOKUP(Tabla4[[#This Row],[ID CLIENTE]],'RESUMEN CLIENTES'!D:D,'RESUMEN CLIENTES'!A:A)</f>
        <v>Antonio José Estrada Hoyo</v>
      </c>
      <c r="C225" s="83" t="s">
        <v>2327</v>
      </c>
      <c r="D225" s="83" t="s">
        <v>530</v>
      </c>
      <c r="E225" s="83" t="s">
        <v>531</v>
      </c>
      <c r="F225" s="83" t="s">
        <v>532</v>
      </c>
      <c r="G225" s="84">
        <v>250</v>
      </c>
      <c r="H225" s="85">
        <v>-8.3800000000000008</v>
      </c>
      <c r="I225" s="86">
        <f t="shared" si="6"/>
        <v>3.3520000000000001E-2</v>
      </c>
      <c r="J225" s="87">
        <f t="shared" si="7"/>
        <v>241.62</v>
      </c>
      <c r="K225" s="87" t="s">
        <v>4676</v>
      </c>
      <c r="L225" s="87" t="s">
        <v>4672</v>
      </c>
      <c r="M225" s="87"/>
      <c r="N225" s="521"/>
      <c r="O225" s="521">
        <f>+Tabla4[[#This Row],[PAGO NO EURO]]+Tabla4[[#This Row],[CARGO NO EURO]]</f>
        <v>0</v>
      </c>
      <c r="P225" s="521"/>
      <c r="Q225" s="88"/>
      <c r="R225" s="689">
        <f>+_xlfn.XLOOKUP(Tabla4[[#This Row],[ID CLIENTE]],'RESUMEN CLIENTES'!D:D,'RESUMEN CLIENTES'!G:G)</f>
        <v>45867</v>
      </c>
      <c r="S225" s="88" t="str">
        <f>+_xlfn.XLOOKUP(Tabla4[[#This Row],[ID CLIENTE]],'RESUMEN CLIENTES'!D:D,'RESUMEN CLIENTES'!AA:AA)</f>
        <v>A1.2</v>
      </c>
      <c r="T225" s="680" t="str">
        <f>+_xlfn.XLOOKUP(Tabla4[[#This Row],[ID CLIENTE]],'RESUMEN CLIENTES'!D:D,'RESUMEN CLIENTES'!C:C)</f>
        <v>Venezuela</v>
      </c>
    </row>
    <row r="226" spans="1:20" ht="16">
      <c r="A226" s="82">
        <v>45867</v>
      </c>
      <c r="B226" s="82" t="str">
        <f>+_xlfn.XLOOKUP(Tabla4[[#This Row],[ID CLIENTE]],'RESUMEN CLIENTES'!D:D,'RESUMEN CLIENTES'!A:A)</f>
        <v>Angie Pérez Cáceres</v>
      </c>
      <c r="C226" s="83" t="s">
        <v>2321</v>
      </c>
      <c r="D226" s="83" t="s">
        <v>527</v>
      </c>
      <c r="E226" s="83" t="s">
        <v>528</v>
      </c>
      <c r="F226" s="83" t="s">
        <v>529</v>
      </c>
      <c r="G226" s="84">
        <v>250</v>
      </c>
      <c r="H226" s="85">
        <v>-8.3800000000000008</v>
      </c>
      <c r="I226" s="86">
        <f t="shared" si="6"/>
        <v>3.3520000000000001E-2</v>
      </c>
      <c r="J226" s="87">
        <f t="shared" si="7"/>
        <v>241.62</v>
      </c>
      <c r="K226" s="87"/>
      <c r="L226" s="87" t="s">
        <v>4672</v>
      </c>
      <c r="M226" s="87"/>
      <c r="N226" s="521"/>
      <c r="O226" s="521">
        <f>+Tabla4[[#This Row],[PAGO NO EURO]]+Tabla4[[#This Row],[CARGO NO EURO]]</f>
        <v>0</v>
      </c>
      <c r="P226" s="521"/>
      <c r="Q226" s="88"/>
      <c r="R226" s="689">
        <f>+_xlfn.XLOOKUP(Tabla4[[#This Row],[ID CLIENTE]],'RESUMEN CLIENTES'!D:D,'RESUMEN CLIENTES'!G:G)</f>
        <v>45867</v>
      </c>
      <c r="S226" s="88" t="str">
        <f>+_xlfn.XLOOKUP(Tabla4[[#This Row],[ID CLIENTE]],'RESUMEN CLIENTES'!D:D,'RESUMEN CLIENTES'!AA:AA)</f>
        <v>A1.1</v>
      </c>
      <c r="T226" s="680" t="str">
        <f>+_xlfn.XLOOKUP(Tabla4[[#This Row],[ID CLIENTE]],'RESUMEN CLIENTES'!D:D,'RESUMEN CLIENTES'!C:C)</f>
        <v>Perú</v>
      </c>
    </row>
    <row r="227" spans="1:20" ht="16">
      <c r="A227" s="82">
        <v>45867</v>
      </c>
      <c r="B227" s="82" t="str">
        <f>+_xlfn.XLOOKUP(Tabla4[[#This Row],[ID CLIENTE]],'RESUMEN CLIENTES'!D:D,'RESUMEN CLIENTES'!A:A)</f>
        <v>Ellen Cristina Gerónimo Bonilla</v>
      </c>
      <c r="C227" s="83" t="s">
        <v>2273</v>
      </c>
      <c r="D227" s="83" t="s">
        <v>385</v>
      </c>
      <c r="E227" s="83" t="s">
        <v>554</v>
      </c>
      <c r="F227" s="83" t="s">
        <v>555</v>
      </c>
      <c r="G227" s="84">
        <v>600</v>
      </c>
      <c r="H227" s="85">
        <v>-19.75</v>
      </c>
      <c r="I227" s="86">
        <f t="shared" si="6"/>
        <v>3.2916666666666664E-2</v>
      </c>
      <c r="J227" s="87">
        <f t="shared" si="7"/>
        <v>580.25</v>
      </c>
      <c r="K227" s="87"/>
      <c r="L227" s="87" t="s">
        <v>4672</v>
      </c>
      <c r="M227" s="87"/>
      <c r="N227" s="521"/>
      <c r="O227" s="521">
        <f>+Tabla4[[#This Row],[PAGO NO EURO]]+Tabla4[[#This Row],[CARGO NO EURO]]</f>
        <v>0</v>
      </c>
      <c r="P227" s="521"/>
      <c r="Q227" s="88"/>
      <c r="R227" s="689">
        <f>+_xlfn.XLOOKUP(Tabla4[[#This Row],[ID CLIENTE]],'RESUMEN CLIENTES'!D:D,'RESUMEN CLIENTES'!G:G)</f>
        <v>45838</v>
      </c>
      <c r="S227" s="88" t="str">
        <f>+_xlfn.XLOOKUP(Tabla4[[#This Row],[ID CLIENTE]],'RESUMEN CLIENTES'!D:D,'RESUMEN CLIENTES'!AA:AA)</f>
        <v>A1.1</v>
      </c>
      <c r="T227" s="680" t="str">
        <f>+_xlfn.XLOOKUP(Tabla4[[#This Row],[ID CLIENTE]],'RESUMEN CLIENTES'!D:D,'RESUMEN CLIENTES'!C:C)</f>
        <v>República Dominicana</v>
      </c>
    </row>
    <row r="228" spans="1:20" ht="16">
      <c r="A228" s="82">
        <v>45867</v>
      </c>
      <c r="B228" s="82" t="str">
        <f>+_xlfn.XLOOKUP(Tabla4[[#This Row],[ID CLIENTE]],'RESUMEN CLIENTES'!D:D,'RESUMEN CLIENTES'!A:A)</f>
        <v>Manuel Francisco Sulbaran Fandiño</v>
      </c>
      <c r="C228" s="83" t="s">
        <v>2229</v>
      </c>
      <c r="D228" s="83" t="s">
        <v>271</v>
      </c>
      <c r="E228" s="83" t="s">
        <v>564</v>
      </c>
      <c r="F228" s="83" t="s">
        <v>565</v>
      </c>
      <c r="G228" s="84">
        <v>13000</v>
      </c>
      <c r="H228" s="85">
        <v>0</v>
      </c>
      <c r="I228" s="86">
        <f t="shared" si="6"/>
        <v>0</v>
      </c>
      <c r="J228" s="87">
        <f t="shared" si="7"/>
        <v>13000</v>
      </c>
      <c r="K228" s="87"/>
      <c r="L228" s="87" t="s">
        <v>4672</v>
      </c>
      <c r="M228" s="87"/>
      <c r="N228" s="521"/>
      <c r="O228" s="521">
        <f>+Tabla4[[#This Row],[PAGO NO EURO]]+Tabla4[[#This Row],[CARGO NO EURO]]</f>
        <v>0</v>
      </c>
      <c r="P228" s="521"/>
      <c r="Q228" s="88"/>
      <c r="R228" s="689">
        <f>+_xlfn.XLOOKUP(Tabla4[[#This Row],[ID CLIENTE]],'RESUMEN CLIENTES'!D:D,'RESUMEN CLIENTES'!G:G)</f>
        <v>45807</v>
      </c>
      <c r="S228" s="88" t="str">
        <f>+_xlfn.XLOOKUP(Tabla4[[#This Row],[ID CLIENTE]],'RESUMEN CLIENTES'!D:D,'RESUMEN CLIENTES'!AA:AA)</f>
        <v>B1.1</v>
      </c>
      <c r="T228" s="680" t="str">
        <f>+_xlfn.XLOOKUP(Tabla4[[#This Row],[ID CLIENTE]],'RESUMEN CLIENTES'!D:D,'RESUMEN CLIENTES'!C:C)</f>
        <v>Colombia</v>
      </c>
    </row>
    <row r="229" spans="1:20" ht="16">
      <c r="A229" s="82">
        <v>45867</v>
      </c>
      <c r="B229" s="82" t="str">
        <f>+_xlfn.XLOOKUP(Tabla4[[#This Row],[ID CLIENTE]],'RESUMEN CLIENTES'!D:D,'RESUMEN CLIENTES'!A:A)</f>
        <v>Miguel Angel Pretell Cabrera</v>
      </c>
      <c r="C229" s="83" t="s">
        <v>2325</v>
      </c>
      <c r="D229" s="83" t="s">
        <v>535</v>
      </c>
      <c r="E229" s="83" t="s">
        <v>536</v>
      </c>
      <c r="F229" s="83" t="s">
        <v>537</v>
      </c>
      <c r="G229" s="84">
        <v>3600</v>
      </c>
      <c r="H229" s="85">
        <v>-117.25</v>
      </c>
      <c r="I229" s="86">
        <f t="shared" si="6"/>
        <v>3.2569444444444443E-2</v>
      </c>
      <c r="J229" s="87">
        <f t="shared" si="7"/>
        <v>3482.75</v>
      </c>
      <c r="K229" s="87"/>
      <c r="L229" s="87" t="s">
        <v>4672</v>
      </c>
      <c r="M229" s="87"/>
      <c r="N229" s="521"/>
      <c r="O229" s="521">
        <f>+Tabla4[[#This Row],[PAGO NO EURO]]+Tabla4[[#This Row],[CARGO NO EURO]]</f>
        <v>0</v>
      </c>
      <c r="P229" s="521"/>
      <c r="Q229" s="88"/>
      <c r="R229" s="689">
        <f>+_xlfn.XLOOKUP(Tabla4[[#This Row],[ID CLIENTE]],'RESUMEN CLIENTES'!D:D,'RESUMEN CLIENTES'!G:G)</f>
        <v>45867</v>
      </c>
      <c r="S229" s="88" t="str">
        <f>+_xlfn.XLOOKUP(Tabla4[[#This Row],[ID CLIENTE]],'RESUMEN CLIENTES'!D:D,'RESUMEN CLIENTES'!AA:AA)</f>
        <v>null</v>
      </c>
      <c r="T229" s="680" t="str">
        <f>+_xlfn.XLOOKUP(Tabla4[[#This Row],[ID CLIENTE]],'RESUMEN CLIENTES'!D:D,'RESUMEN CLIENTES'!C:C)</f>
        <v>Perú</v>
      </c>
    </row>
    <row r="230" spans="1:20" ht="16">
      <c r="A230" s="82">
        <v>45867</v>
      </c>
      <c r="B230" s="82" t="str">
        <f>+_xlfn.XLOOKUP(Tabla4[[#This Row],[ID CLIENTE]],'RESUMEN CLIENTES'!D:D,'RESUMEN CLIENTES'!A:A)</f>
        <v>Yaritza Soledad Martinez Rodriguez</v>
      </c>
      <c r="C230" s="83" t="s">
        <v>2319</v>
      </c>
      <c r="D230" s="83" t="s">
        <v>538</v>
      </c>
      <c r="E230" s="83" t="s">
        <v>539</v>
      </c>
      <c r="F230" s="83" t="s">
        <v>540</v>
      </c>
      <c r="G230" s="84">
        <v>250</v>
      </c>
      <c r="H230" s="85">
        <v>-1.25</v>
      </c>
      <c r="I230" s="86">
        <f t="shared" si="6"/>
        <v>5.0000000000000001E-3</v>
      </c>
      <c r="J230" s="87">
        <f t="shared" si="7"/>
        <v>248.75</v>
      </c>
      <c r="K230" s="87"/>
      <c r="L230" s="87" t="s">
        <v>4672</v>
      </c>
      <c r="M230" s="87"/>
      <c r="N230" s="521"/>
      <c r="O230" s="521">
        <f>+Tabla4[[#This Row],[PAGO NO EURO]]+Tabla4[[#This Row],[CARGO NO EURO]]</f>
        <v>0</v>
      </c>
      <c r="P230" s="521"/>
      <c r="Q230" s="88"/>
      <c r="R230" s="689">
        <f>+_xlfn.XLOOKUP(Tabla4[[#This Row],[ID CLIENTE]],'RESUMEN CLIENTES'!D:D,'RESUMEN CLIENTES'!G:G)</f>
        <v>45867</v>
      </c>
      <c r="S230" s="88" t="str">
        <f>+_xlfn.XLOOKUP(Tabla4[[#This Row],[ID CLIENTE]],'RESUMEN CLIENTES'!D:D,'RESUMEN CLIENTES'!AA:AA)</f>
        <v>B2.1</v>
      </c>
      <c r="T230" s="680" t="str">
        <f>+_xlfn.XLOOKUP(Tabla4[[#This Row],[ID CLIENTE]],'RESUMEN CLIENTES'!D:D,'RESUMEN CLIENTES'!C:C)</f>
        <v>Argentina</v>
      </c>
    </row>
    <row r="231" spans="1:20" ht="16">
      <c r="A231" s="82">
        <v>45868</v>
      </c>
      <c r="B231" s="82" t="str">
        <f>+_xlfn.XLOOKUP(Tabla4[[#This Row],[ID CLIENTE]],'RESUMEN CLIENTES'!D:D,'RESUMEN CLIENTES'!A:A)</f>
        <v>Carlos Josue Escobar Morán</v>
      </c>
      <c r="C231" s="83" t="s">
        <v>2208</v>
      </c>
      <c r="D231" s="83" t="s">
        <v>226</v>
      </c>
      <c r="E231" s="83" t="s">
        <v>548</v>
      </c>
      <c r="F231" s="83" t="s">
        <v>549</v>
      </c>
      <c r="G231" s="84">
        <v>500</v>
      </c>
      <c r="H231" s="85">
        <v>-16.5</v>
      </c>
      <c r="I231" s="86">
        <f t="shared" si="6"/>
        <v>3.3000000000000002E-2</v>
      </c>
      <c r="J231" s="87">
        <f t="shared" si="7"/>
        <v>483.5</v>
      </c>
      <c r="K231" s="87"/>
      <c r="L231" s="87" t="s">
        <v>4672</v>
      </c>
      <c r="M231" s="87"/>
      <c r="N231" s="521"/>
      <c r="O231" s="521">
        <f>+Tabla4[[#This Row],[PAGO NO EURO]]+Tabla4[[#This Row],[CARGO NO EURO]]</f>
        <v>0</v>
      </c>
      <c r="P231" s="521"/>
      <c r="Q231" s="88"/>
      <c r="R231" s="689">
        <f>+_xlfn.XLOOKUP(Tabla4[[#This Row],[ID CLIENTE]],'RESUMEN CLIENTES'!D:D,'RESUMEN CLIENTES'!G:G)</f>
        <v>45790</v>
      </c>
      <c r="S231" s="88" t="str">
        <f>+_xlfn.XLOOKUP(Tabla4[[#This Row],[ID CLIENTE]],'RESUMEN CLIENTES'!D:D,'RESUMEN CLIENTES'!AA:AA)</f>
        <v>B1.1</v>
      </c>
      <c r="T231" s="680" t="str">
        <f>+_xlfn.XLOOKUP(Tabla4[[#This Row],[ID CLIENTE]],'RESUMEN CLIENTES'!D:D,'RESUMEN CLIENTES'!C:C)</f>
        <v>El Salvador</v>
      </c>
    </row>
    <row r="232" spans="1:20" ht="16">
      <c r="A232" s="82">
        <v>45868</v>
      </c>
      <c r="B232" s="82" t="str">
        <f>+_xlfn.XLOOKUP(Tabla4[[#This Row],[ID CLIENTE]],'RESUMEN CLIENTES'!D:D,'RESUMEN CLIENTES'!A:A)</f>
        <v>Miguel Ángel Cortez García</v>
      </c>
      <c r="C232" s="83" t="s">
        <v>2282</v>
      </c>
      <c r="D232" s="83" t="s">
        <v>444</v>
      </c>
      <c r="E232" s="83" t="s">
        <v>566</v>
      </c>
      <c r="F232" s="83" t="s">
        <v>567</v>
      </c>
      <c r="G232" s="84">
        <v>500</v>
      </c>
      <c r="H232" s="85">
        <v>-16.5</v>
      </c>
      <c r="I232" s="86">
        <f t="shared" si="6"/>
        <v>3.3000000000000002E-2</v>
      </c>
      <c r="J232" s="87">
        <f t="shared" si="7"/>
        <v>483.5</v>
      </c>
      <c r="K232" s="87"/>
      <c r="L232" s="87" t="s">
        <v>4672</v>
      </c>
      <c r="M232" s="87"/>
      <c r="N232" s="521"/>
      <c r="O232" s="521">
        <f>+Tabla4[[#This Row],[PAGO NO EURO]]+Tabla4[[#This Row],[CARGO NO EURO]]</f>
        <v>0</v>
      </c>
      <c r="P232" s="521"/>
      <c r="Q232" s="88"/>
      <c r="R232" s="689">
        <f>+_xlfn.XLOOKUP(Tabla4[[#This Row],[ID CLIENTE]],'RESUMEN CLIENTES'!D:D,'RESUMEN CLIENTES'!G:G)</f>
        <v>45845</v>
      </c>
      <c r="S232" s="88" t="str">
        <f>+_xlfn.XLOOKUP(Tabla4[[#This Row],[ID CLIENTE]],'RESUMEN CLIENTES'!D:D,'RESUMEN CLIENTES'!AA:AA)</f>
        <v>null</v>
      </c>
      <c r="T232" s="680" t="str">
        <f>+_xlfn.XLOOKUP(Tabla4[[#This Row],[ID CLIENTE]],'RESUMEN CLIENTES'!D:D,'RESUMEN CLIENTES'!C:C)</f>
        <v>México</v>
      </c>
    </row>
    <row r="233" spans="1:20" ht="16">
      <c r="A233" s="82">
        <v>45868</v>
      </c>
      <c r="B233" s="82" t="str">
        <f>+_xlfn.XLOOKUP(Tabla4[[#This Row],[ID CLIENTE]],'RESUMEN CLIENTES'!D:D,'RESUMEN CLIENTES'!A:A)</f>
        <v>Hugo Nicolás Trávez Morales</v>
      </c>
      <c r="C233" s="83" t="s">
        <v>2156</v>
      </c>
      <c r="D233" s="83" t="s">
        <v>139</v>
      </c>
      <c r="E233" s="83" t="s">
        <v>556</v>
      </c>
      <c r="F233" s="83" t="s">
        <v>557</v>
      </c>
      <c r="G233" s="84">
        <v>1000</v>
      </c>
      <c r="H233" s="85">
        <v>-32.75</v>
      </c>
      <c r="I233" s="86">
        <f t="shared" si="6"/>
        <v>3.2750000000000001E-2</v>
      </c>
      <c r="J233" s="87">
        <f t="shared" si="7"/>
        <v>967.25</v>
      </c>
      <c r="K233" s="87"/>
      <c r="L233" s="87" t="s">
        <v>4672</v>
      </c>
      <c r="M233" s="87"/>
      <c r="N233" s="521"/>
      <c r="O233" s="521">
        <f>+Tabla4[[#This Row],[PAGO NO EURO]]+Tabla4[[#This Row],[CARGO NO EURO]]</f>
        <v>0</v>
      </c>
      <c r="P233" s="521"/>
      <c r="Q233" s="88"/>
      <c r="R233" s="689">
        <f>+_xlfn.XLOOKUP(Tabla4[[#This Row],[ID CLIENTE]],'RESUMEN CLIENTES'!D:D,'RESUMEN CLIENTES'!G:G)</f>
        <v>45747</v>
      </c>
      <c r="S233" s="88" t="str">
        <f>+_xlfn.XLOOKUP(Tabla4[[#This Row],[ID CLIENTE]],'RESUMEN CLIENTES'!D:D,'RESUMEN CLIENTES'!AA:AA)</f>
        <v>null</v>
      </c>
      <c r="T233" s="680" t="str">
        <f>+_xlfn.XLOOKUP(Tabla4[[#This Row],[ID CLIENTE]],'RESUMEN CLIENTES'!D:D,'RESUMEN CLIENTES'!C:C)</f>
        <v>Ecuador</v>
      </c>
    </row>
    <row r="234" spans="1:20" ht="16">
      <c r="A234" s="82">
        <v>45868</v>
      </c>
      <c r="B234" s="82" t="str">
        <f>+_xlfn.XLOOKUP(Tabla4[[#This Row],[ID CLIENTE]],'RESUMEN CLIENTES'!D:D,'RESUMEN CLIENTES'!A:A)</f>
        <v>David Hernández Viveros</v>
      </c>
      <c r="C234" s="83" t="s">
        <v>2143</v>
      </c>
      <c r="D234" s="83" t="s">
        <v>115</v>
      </c>
      <c r="E234" s="83" t="s">
        <v>552</v>
      </c>
      <c r="F234" s="83" t="s">
        <v>553</v>
      </c>
      <c r="G234" s="84">
        <v>1300</v>
      </c>
      <c r="H234" s="85">
        <v>-42.5</v>
      </c>
      <c r="I234" s="86">
        <f t="shared" si="6"/>
        <v>3.2692307692307694E-2</v>
      </c>
      <c r="J234" s="87">
        <f t="shared" si="7"/>
        <v>1257.5</v>
      </c>
      <c r="K234" s="87"/>
      <c r="L234" s="87" t="s">
        <v>4672</v>
      </c>
      <c r="M234" s="87"/>
      <c r="N234" s="521"/>
      <c r="O234" s="521">
        <f>+Tabla4[[#This Row],[PAGO NO EURO]]+Tabla4[[#This Row],[CARGO NO EURO]]</f>
        <v>0</v>
      </c>
      <c r="P234" s="521"/>
      <c r="Q234" s="88"/>
      <c r="R234" s="689">
        <f>+_xlfn.XLOOKUP(Tabla4[[#This Row],[ID CLIENTE]],'RESUMEN CLIENTES'!D:D,'RESUMEN CLIENTES'!G:G)</f>
        <v>45737</v>
      </c>
      <c r="S234" s="88" t="str">
        <f>+_xlfn.XLOOKUP(Tabla4[[#This Row],[ID CLIENTE]],'RESUMEN CLIENTES'!D:D,'RESUMEN CLIENTES'!AA:AA)</f>
        <v>null</v>
      </c>
      <c r="T234" s="680" t="str">
        <f>+_xlfn.XLOOKUP(Tabla4[[#This Row],[ID CLIENTE]],'RESUMEN CLIENTES'!D:D,'RESUMEN CLIENTES'!C:C)</f>
        <v>México</v>
      </c>
    </row>
    <row r="235" spans="1:20" ht="16">
      <c r="A235" s="82">
        <v>45868</v>
      </c>
      <c r="B235" s="82" t="str">
        <f>+_xlfn.XLOOKUP(Tabla4[[#This Row],[ID CLIENTE]],'RESUMEN CLIENTES'!D:D,'RESUMEN CLIENTES'!A:A)</f>
        <v>Juan Carlos Ortoneda Caicedo</v>
      </c>
      <c r="C235" s="83" t="s">
        <v>2329</v>
      </c>
      <c r="D235" s="83" t="s">
        <v>2330</v>
      </c>
      <c r="E235" s="83" t="s">
        <v>2608</v>
      </c>
      <c r="F235" s="83" t="s">
        <v>2609</v>
      </c>
      <c r="G235" s="84">
        <v>250</v>
      </c>
      <c r="H235" s="85">
        <v>-8.3800000000000008</v>
      </c>
      <c r="I235" s="86">
        <f t="shared" si="6"/>
        <v>3.3520000000000001E-2</v>
      </c>
      <c r="J235" s="87">
        <f t="shared" si="7"/>
        <v>241.62</v>
      </c>
      <c r="K235" s="87"/>
      <c r="L235" s="87" t="s">
        <v>4672</v>
      </c>
      <c r="M235" s="87"/>
      <c r="N235" s="521"/>
      <c r="O235" s="521">
        <f>+Tabla4[[#This Row],[PAGO NO EURO]]+Tabla4[[#This Row],[CARGO NO EURO]]</f>
        <v>0</v>
      </c>
      <c r="P235" s="521"/>
      <c r="Q235" s="88"/>
      <c r="R235" s="689">
        <f>+_xlfn.XLOOKUP(Tabla4[[#This Row],[ID CLIENTE]],'RESUMEN CLIENTES'!D:D,'RESUMEN CLIENTES'!G:G)</f>
        <v>45868</v>
      </c>
      <c r="S235" s="88" t="str">
        <f>+_xlfn.XLOOKUP(Tabla4[[#This Row],[ID CLIENTE]],'RESUMEN CLIENTES'!D:D,'RESUMEN CLIENTES'!AA:AA)</f>
        <v>null</v>
      </c>
      <c r="T235" s="680" t="str">
        <f>+_xlfn.XLOOKUP(Tabla4[[#This Row],[ID CLIENTE]],'RESUMEN CLIENTES'!D:D,'RESUMEN CLIENTES'!C:C)</f>
        <v>Ecuador</v>
      </c>
    </row>
    <row r="236" spans="1:20" ht="16">
      <c r="A236" s="82">
        <v>45868</v>
      </c>
      <c r="B236" s="82" t="str">
        <f>+_xlfn.XLOOKUP(Tabla4[[#This Row],[ID CLIENTE]],'RESUMEN CLIENTES'!D:D,'RESUMEN CLIENTES'!A:A)</f>
        <v>Luis Manuel Villanueva Contreras</v>
      </c>
      <c r="C236" s="83" t="s">
        <v>2286</v>
      </c>
      <c r="D236" s="83" t="s">
        <v>441</v>
      </c>
      <c r="E236" s="83" t="s">
        <v>562</v>
      </c>
      <c r="F236" s="83" t="s">
        <v>563</v>
      </c>
      <c r="G236" s="84">
        <v>3750</v>
      </c>
      <c r="H236" s="85">
        <v>-122.13</v>
      </c>
      <c r="I236" s="86">
        <f t="shared" si="6"/>
        <v>3.2568E-2</v>
      </c>
      <c r="J236" s="87">
        <f t="shared" si="7"/>
        <v>3627.87</v>
      </c>
      <c r="K236" s="87"/>
      <c r="L236" s="87" t="s">
        <v>4672</v>
      </c>
      <c r="M236" s="87"/>
      <c r="N236" s="521"/>
      <c r="O236" s="521">
        <f>+Tabla4[[#This Row],[PAGO NO EURO]]+Tabla4[[#This Row],[CARGO NO EURO]]</f>
        <v>0</v>
      </c>
      <c r="P236" s="521"/>
      <c r="Q236" s="88"/>
      <c r="R236" s="689">
        <f>+_xlfn.XLOOKUP(Tabla4[[#This Row],[ID CLIENTE]],'RESUMEN CLIENTES'!D:D,'RESUMEN CLIENTES'!G:G)</f>
        <v>45845</v>
      </c>
      <c r="S236" s="88" t="str">
        <f>+_xlfn.XLOOKUP(Tabla4[[#This Row],[ID CLIENTE]],'RESUMEN CLIENTES'!D:D,'RESUMEN CLIENTES'!AA:AA)</f>
        <v>A2.1</v>
      </c>
      <c r="T236" s="680" t="str">
        <f>+_xlfn.XLOOKUP(Tabla4[[#This Row],[ID CLIENTE]],'RESUMEN CLIENTES'!D:D,'RESUMEN CLIENTES'!C:C)</f>
        <v>México</v>
      </c>
    </row>
    <row r="237" spans="1:20" ht="16">
      <c r="A237" s="82">
        <v>45868</v>
      </c>
      <c r="B237" s="82" t="str">
        <f>+_xlfn.XLOOKUP(Tabla4[[#This Row],[ID CLIENTE]],'RESUMEN CLIENTES'!D:D,'RESUMEN CLIENTES'!A:A)</f>
        <v>Nathaly Gabriela Henríquez Masín</v>
      </c>
      <c r="C237" s="83" t="s">
        <v>2210</v>
      </c>
      <c r="D237" s="83" t="s">
        <v>229</v>
      </c>
      <c r="E237" s="83" t="s">
        <v>568</v>
      </c>
      <c r="F237" s="83" t="s">
        <v>569</v>
      </c>
      <c r="G237" s="84">
        <v>500</v>
      </c>
      <c r="H237" s="85">
        <v>-16.5</v>
      </c>
      <c r="I237" s="86">
        <f t="shared" si="6"/>
        <v>3.3000000000000002E-2</v>
      </c>
      <c r="J237" s="87">
        <f t="shared" si="7"/>
        <v>483.5</v>
      </c>
      <c r="K237" s="87"/>
      <c r="L237" s="87" t="s">
        <v>4672</v>
      </c>
      <c r="M237" s="87"/>
      <c r="N237" s="521"/>
      <c r="O237" s="521">
        <f>+Tabla4[[#This Row],[PAGO NO EURO]]+Tabla4[[#This Row],[CARGO NO EURO]]</f>
        <v>0</v>
      </c>
      <c r="P237" s="521"/>
      <c r="Q237" s="88"/>
      <c r="R237" s="689">
        <f>+_xlfn.XLOOKUP(Tabla4[[#This Row],[ID CLIENTE]],'RESUMEN CLIENTES'!D:D,'RESUMEN CLIENTES'!G:G)</f>
        <v>45790</v>
      </c>
      <c r="S237" s="88" t="str">
        <f>+_xlfn.XLOOKUP(Tabla4[[#This Row],[ID CLIENTE]],'RESUMEN CLIENTES'!D:D,'RESUMEN CLIENTES'!AA:AA)</f>
        <v>null</v>
      </c>
      <c r="T237" s="680" t="str">
        <f>+_xlfn.XLOOKUP(Tabla4[[#This Row],[ID CLIENTE]],'RESUMEN CLIENTES'!D:D,'RESUMEN CLIENTES'!C:C)</f>
        <v>El Salvador</v>
      </c>
    </row>
    <row r="238" spans="1:20" ht="16">
      <c r="A238" s="82">
        <v>45869</v>
      </c>
      <c r="B238" s="82" t="str">
        <f>+_xlfn.XLOOKUP(Tabla4[[#This Row],[ID CLIENTE]],'RESUMEN CLIENTES'!D:D,'RESUMEN CLIENTES'!A:A)</f>
        <v>Andrea Corpeño López</v>
      </c>
      <c r="C238" s="83" t="s">
        <v>2117</v>
      </c>
      <c r="D238" s="83" t="s">
        <v>84</v>
      </c>
      <c r="E238" s="83" t="s">
        <v>546</v>
      </c>
      <c r="F238" s="83" t="s">
        <v>547</v>
      </c>
      <c r="G238" s="84">
        <v>400</v>
      </c>
      <c r="H238" s="85">
        <v>-13.25</v>
      </c>
      <c r="I238" s="86">
        <f t="shared" si="6"/>
        <v>3.3125000000000002E-2</v>
      </c>
      <c r="J238" s="87">
        <f t="shared" si="7"/>
        <v>386.75</v>
      </c>
      <c r="K238" s="87"/>
      <c r="L238" s="87" t="s">
        <v>4672</v>
      </c>
      <c r="M238" s="87"/>
      <c r="N238" s="521"/>
      <c r="O238" s="521">
        <f>+Tabla4[[#This Row],[PAGO NO EURO]]+Tabla4[[#This Row],[CARGO NO EURO]]</f>
        <v>0</v>
      </c>
      <c r="P238" s="521"/>
      <c r="Q238" s="88"/>
      <c r="R238" s="689">
        <f>+_xlfn.XLOOKUP(Tabla4[[#This Row],[ID CLIENTE]],'RESUMEN CLIENTES'!D:D,'RESUMEN CLIENTES'!G:G)</f>
        <v>45658</v>
      </c>
      <c r="S238" s="88" t="str">
        <f>+_xlfn.XLOOKUP(Tabla4[[#This Row],[ID CLIENTE]],'RESUMEN CLIENTES'!D:D,'RESUMEN CLIENTES'!AA:AA)</f>
        <v>-</v>
      </c>
      <c r="T238" s="680" t="str">
        <f>+_xlfn.XLOOKUP(Tabla4[[#This Row],[ID CLIENTE]],'RESUMEN CLIENTES'!D:D,'RESUMEN CLIENTES'!C:C)</f>
        <v>El Salvador</v>
      </c>
    </row>
    <row r="239" spans="1:20" ht="16">
      <c r="A239" s="82">
        <v>45869</v>
      </c>
      <c r="B239" s="82" t="str">
        <f>+_xlfn.XLOOKUP(Tabla4[[#This Row],[ID CLIENTE]],'RESUMEN CLIENTES'!D:D,'RESUMEN CLIENTES'!A:A)</f>
        <v>Astrid Mariam Enamorado Ortega</v>
      </c>
      <c r="C239" s="83" t="s">
        <v>2339</v>
      </c>
      <c r="D239" s="83" t="s">
        <v>574</v>
      </c>
      <c r="E239" s="83" t="s">
        <v>575</v>
      </c>
      <c r="F239" s="83" t="s">
        <v>576</v>
      </c>
      <c r="G239" s="84">
        <v>1875</v>
      </c>
      <c r="H239" s="85">
        <v>-61.19</v>
      </c>
      <c r="I239" s="86">
        <f t="shared" si="6"/>
        <v>3.2634666666666666E-2</v>
      </c>
      <c r="J239" s="87">
        <f t="shared" si="7"/>
        <v>1813.81</v>
      </c>
      <c r="K239" s="87"/>
      <c r="L239" s="87" t="s">
        <v>4672</v>
      </c>
      <c r="M239" s="87"/>
      <c r="N239" s="521"/>
      <c r="O239" s="521">
        <f>+Tabla4[[#This Row],[PAGO NO EURO]]+Tabla4[[#This Row],[CARGO NO EURO]]</f>
        <v>0</v>
      </c>
      <c r="P239" s="521"/>
      <c r="Q239" s="88"/>
      <c r="R239" s="689">
        <f>+_xlfn.XLOOKUP(Tabla4[[#This Row],[ID CLIENTE]],'RESUMEN CLIENTES'!D:D,'RESUMEN CLIENTES'!G:G)</f>
        <v>45869</v>
      </c>
      <c r="S239" s="88" t="str">
        <f>+_xlfn.XLOOKUP(Tabla4[[#This Row],[ID CLIENTE]],'RESUMEN CLIENTES'!D:D,'RESUMEN CLIENTES'!AA:AA)</f>
        <v>B2.1</v>
      </c>
      <c r="T239" s="680" t="str">
        <f>+_xlfn.XLOOKUP(Tabla4[[#This Row],[ID CLIENTE]],'RESUMEN CLIENTES'!D:D,'RESUMEN CLIENTES'!C:C)</f>
        <v>Honduras</v>
      </c>
    </row>
    <row r="240" spans="1:20" ht="16">
      <c r="A240" s="82">
        <v>45869</v>
      </c>
      <c r="B240" s="82" t="str">
        <f>+_xlfn.XLOOKUP(Tabla4[[#This Row],[ID CLIENTE]],'RESUMEN CLIENTES'!D:D,'RESUMEN CLIENTES'!A:A)</f>
        <v>Carlos Pertuz Noriega</v>
      </c>
      <c r="C240" s="83" t="s">
        <v>2334</v>
      </c>
      <c r="D240" s="83" t="s">
        <v>2335</v>
      </c>
      <c r="E240" s="83" t="s">
        <v>2610</v>
      </c>
      <c r="F240" s="83" t="s">
        <v>2611</v>
      </c>
      <c r="G240" s="84">
        <v>250</v>
      </c>
      <c r="H240" s="85">
        <v>-8.3800000000000008</v>
      </c>
      <c r="I240" s="86">
        <f t="shared" si="6"/>
        <v>3.3520000000000001E-2</v>
      </c>
      <c r="J240" s="87">
        <f t="shared" si="7"/>
        <v>241.62</v>
      </c>
      <c r="K240" s="87"/>
      <c r="L240" s="87" t="s">
        <v>4672</v>
      </c>
      <c r="M240" s="87"/>
      <c r="N240" s="521"/>
      <c r="O240" s="521">
        <f>+Tabla4[[#This Row],[PAGO NO EURO]]+Tabla4[[#This Row],[CARGO NO EURO]]</f>
        <v>0</v>
      </c>
      <c r="P240" s="521"/>
      <c r="Q240" s="88"/>
      <c r="R240" s="689">
        <f>+_xlfn.XLOOKUP(Tabla4[[#This Row],[ID CLIENTE]],'RESUMEN CLIENTES'!D:D,'RESUMEN CLIENTES'!G:G)</f>
        <v>45869</v>
      </c>
      <c r="S240" s="88" t="str">
        <f>+_xlfn.XLOOKUP(Tabla4[[#This Row],[ID CLIENTE]],'RESUMEN CLIENTES'!D:D,'RESUMEN CLIENTES'!AA:AA)</f>
        <v>null</v>
      </c>
      <c r="T240" s="680" t="str">
        <f>+_xlfn.XLOOKUP(Tabla4[[#This Row],[ID CLIENTE]],'RESUMEN CLIENTES'!D:D,'RESUMEN CLIENTES'!C:C)</f>
        <v>Colombia</v>
      </c>
    </row>
    <row r="241" spans="1:20" ht="16">
      <c r="A241" s="82">
        <v>45869</v>
      </c>
      <c r="B241" s="82" t="str">
        <f>+_xlfn.XLOOKUP(Tabla4[[#This Row],[ID CLIENTE]],'RESUMEN CLIENTES'!D:D,'RESUMEN CLIENTES'!A:A)</f>
        <v>Antonio José Estrada Hoyo</v>
      </c>
      <c r="C241" s="83" t="s">
        <v>2327</v>
      </c>
      <c r="D241" s="83" t="s">
        <v>530</v>
      </c>
      <c r="E241" s="83" t="s">
        <v>572</v>
      </c>
      <c r="F241" s="83" t="s">
        <v>573</v>
      </c>
      <c r="G241" s="84">
        <f>+Tabla4[[#This Row],[PAGO NO EURO]]*Tabla4[[#This Row],[CAMBIO]]</f>
        <v>3778.0316455126876</v>
      </c>
      <c r="H241" s="85">
        <f>+Tabla4[[#This Row],[CARGO NO EURO]]*Tabla4[[#This Row],[CAMBIO]]</f>
        <v>0</v>
      </c>
      <c r="I241" s="86">
        <f t="shared" si="6"/>
        <v>0</v>
      </c>
      <c r="J241" s="87">
        <f t="shared" si="7"/>
        <v>3778.0316455126876</v>
      </c>
      <c r="K241" s="87" t="s">
        <v>4682</v>
      </c>
      <c r="L241" s="87" t="s">
        <v>4675</v>
      </c>
      <c r="M241" s="87" t="s">
        <v>2543</v>
      </c>
      <c r="N241" s="522">
        <v>4200000</v>
      </c>
      <c r="O241" s="523">
        <f>+Tabla4[[#This Row],[PAGO NO EURO]]+Tabla4[[#This Row],[CARGO NO EURO]]</f>
        <v>4200000</v>
      </c>
      <c r="P241" s="524">
        <v>0</v>
      </c>
      <c r="Q241" s="89">
        <v>8.995313441696875E-4</v>
      </c>
      <c r="R241" s="689">
        <f>+_xlfn.XLOOKUP(Tabla4[[#This Row],[ID CLIENTE]],'RESUMEN CLIENTES'!D:D,'RESUMEN CLIENTES'!G:G)</f>
        <v>45867</v>
      </c>
      <c r="S241" s="89" t="str">
        <f>+_xlfn.XLOOKUP(Tabla4[[#This Row],[ID CLIENTE]],'RESUMEN CLIENTES'!D:D,'RESUMEN CLIENTES'!AA:AA)</f>
        <v>A1.2</v>
      </c>
      <c r="T241" s="680" t="str">
        <f>+_xlfn.XLOOKUP(Tabla4[[#This Row],[ID CLIENTE]],'RESUMEN CLIENTES'!D:D,'RESUMEN CLIENTES'!C:C)</f>
        <v>Venezuela</v>
      </c>
    </row>
    <row r="242" spans="1:20" ht="16">
      <c r="A242" s="82">
        <v>45869</v>
      </c>
      <c r="B242" s="82" t="str">
        <f>+_xlfn.XLOOKUP(Tabla4[[#This Row],[ID CLIENTE]],'RESUMEN CLIENTES'!D:D,'RESUMEN CLIENTES'!A:A)</f>
        <v>Juan Camilo Sanchez Ramirez</v>
      </c>
      <c r="C242" s="83" t="s">
        <v>2227</v>
      </c>
      <c r="D242" s="83" t="s">
        <v>266</v>
      </c>
      <c r="E242" s="83" t="s">
        <v>558</v>
      </c>
      <c r="F242" s="83" t="s">
        <v>559</v>
      </c>
      <c r="G242" s="84">
        <v>1000</v>
      </c>
      <c r="H242" s="85">
        <v>-32.75</v>
      </c>
      <c r="I242" s="86">
        <f t="shared" si="6"/>
        <v>3.2750000000000001E-2</v>
      </c>
      <c r="J242" s="87">
        <f t="shared" si="7"/>
        <v>967.25</v>
      </c>
      <c r="K242" s="87"/>
      <c r="L242" s="87" t="s">
        <v>4672</v>
      </c>
      <c r="M242" s="87"/>
      <c r="N242" s="521"/>
      <c r="O242" s="521">
        <f>+Tabla4[[#This Row],[PAGO NO EURO]]+Tabla4[[#This Row],[CARGO NO EURO]]</f>
        <v>0</v>
      </c>
      <c r="P242" s="521"/>
      <c r="Q242" s="88"/>
      <c r="R242" s="689">
        <f>+_xlfn.XLOOKUP(Tabla4[[#This Row],[ID CLIENTE]],'RESUMEN CLIENTES'!D:D,'RESUMEN CLIENTES'!G:G)</f>
        <v>45807</v>
      </c>
      <c r="S242" s="88" t="str">
        <f>+_xlfn.XLOOKUP(Tabla4[[#This Row],[ID CLIENTE]],'RESUMEN CLIENTES'!D:D,'RESUMEN CLIENTES'!AA:AA)</f>
        <v>A1.1</v>
      </c>
      <c r="T242" s="680" t="str">
        <f>+_xlfn.XLOOKUP(Tabla4[[#This Row],[ID CLIENTE]],'RESUMEN CLIENTES'!D:D,'RESUMEN CLIENTES'!C:C)</f>
        <v>Colombia</v>
      </c>
    </row>
    <row r="243" spans="1:20" ht="16">
      <c r="A243" s="82">
        <v>45869</v>
      </c>
      <c r="B243" s="82" t="str">
        <f>+_xlfn.XLOOKUP(Tabla4[[#This Row],[ID CLIENTE]],'RESUMEN CLIENTES'!D:D,'RESUMEN CLIENTES'!A:A)</f>
        <v>Julian Medina</v>
      </c>
      <c r="C243" s="83" t="s">
        <v>2294</v>
      </c>
      <c r="D243" s="83" t="s">
        <v>468</v>
      </c>
      <c r="E243" s="83" t="s">
        <v>585</v>
      </c>
      <c r="F243" s="83" t="s">
        <v>586</v>
      </c>
      <c r="G243" s="84">
        <v>1200</v>
      </c>
      <c r="H243" s="85">
        <v>-39.25</v>
      </c>
      <c r="I243" s="86">
        <f t="shared" si="6"/>
        <v>3.2708333333333332E-2</v>
      </c>
      <c r="J243" s="87">
        <f t="shared" si="7"/>
        <v>1160.75</v>
      </c>
      <c r="K243" s="87"/>
      <c r="L243" s="87" t="s">
        <v>4672</v>
      </c>
      <c r="M243" s="87"/>
      <c r="N243" s="521"/>
      <c r="O243" s="521">
        <f>+Tabla4[[#This Row],[PAGO NO EURO]]+Tabla4[[#This Row],[CARGO NO EURO]]</f>
        <v>0</v>
      </c>
      <c r="P243" s="521"/>
      <c r="Q243" s="88"/>
      <c r="R243" s="689">
        <f>+_xlfn.XLOOKUP(Tabla4[[#This Row],[ID CLIENTE]],'RESUMEN CLIENTES'!D:D,'RESUMEN CLIENTES'!G:G)</f>
        <v>45848</v>
      </c>
      <c r="S243" s="88" t="str">
        <f>+_xlfn.XLOOKUP(Tabla4[[#This Row],[ID CLIENTE]],'RESUMEN CLIENTES'!D:D,'RESUMEN CLIENTES'!AA:AA)</f>
        <v>B1.1</v>
      </c>
      <c r="T243" s="680" t="str">
        <f>+_xlfn.XLOOKUP(Tabla4[[#This Row],[ID CLIENTE]],'RESUMEN CLIENTES'!D:D,'RESUMEN CLIENTES'!C:C)</f>
        <v>Ecuador</v>
      </c>
    </row>
    <row r="244" spans="1:20" ht="16">
      <c r="A244" s="82">
        <v>45869</v>
      </c>
      <c r="B244" s="82" t="str">
        <f>+_xlfn.XLOOKUP(Tabla4[[#This Row],[ID CLIENTE]],'RESUMEN CLIENTES'!D:D,'RESUMEN CLIENTES'!A:A)</f>
        <v>Julian Medina</v>
      </c>
      <c r="C244" s="83" t="s">
        <v>2294</v>
      </c>
      <c r="D244" s="83" t="s">
        <v>468</v>
      </c>
      <c r="E244" s="83" t="s">
        <v>583</v>
      </c>
      <c r="F244" s="83" t="s">
        <v>584</v>
      </c>
      <c r="G244" s="84">
        <v>1800</v>
      </c>
      <c r="H244" s="85">
        <v>-58.75</v>
      </c>
      <c r="I244" s="86">
        <f t="shared" si="6"/>
        <v>3.2638888888888891E-2</v>
      </c>
      <c r="J244" s="87">
        <f t="shared" si="7"/>
        <v>1741.25</v>
      </c>
      <c r="K244" s="87"/>
      <c r="L244" s="87" t="s">
        <v>4672</v>
      </c>
      <c r="M244" s="87"/>
      <c r="N244" s="521"/>
      <c r="O244" s="521">
        <f>+Tabla4[[#This Row],[PAGO NO EURO]]+Tabla4[[#This Row],[CARGO NO EURO]]</f>
        <v>0</v>
      </c>
      <c r="P244" s="521"/>
      <c r="Q244" s="88"/>
      <c r="R244" s="689">
        <f>+_xlfn.XLOOKUP(Tabla4[[#This Row],[ID CLIENTE]],'RESUMEN CLIENTES'!D:D,'RESUMEN CLIENTES'!G:G)</f>
        <v>45848</v>
      </c>
      <c r="S244" s="88" t="str">
        <f>+_xlfn.XLOOKUP(Tabla4[[#This Row],[ID CLIENTE]],'RESUMEN CLIENTES'!D:D,'RESUMEN CLIENTES'!AA:AA)</f>
        <v>B1.1</v>
      </c>
      <c r="T244" s="680" t="str">
        <f>+_xlfn.XLOOKUP(Tabla4[[#This Row],[ID CLIENTE]],'RESUMEN CLIENTES'!D:D,'RESUMEN CLIENTES'!C:C)</f>
        <v>Ecuador</v>
      </c>
    </row>
    <row r="245" spans="1:20" ht="16">
      <c r="A245" s="82">
        <v>45869</v>
      </c>
      <c r="B245" s="82" t="str">
        <f>+_xlfn.XLOOKUP(Tabla4[[#This Row],[ID CLIENTE]],'RESUMEN CLIENTES'!D:D,'RESUMEN CLIENTES'!A:A)</f>
        <v>Keidwin Perez</v>
      </c>
      <c r="C245" s="83" t="s">
        <v>2337</v>
      </c>
      <c r="D245" s="83" t="s">
        <v>587</v>
      </c>
      <c r="E245" s="83" t="s">
        <v>588</v>
      </c>
      <c r="F245" s="83" t="s">
        <v>589</v>
      </c>
      <c r="G245" s="84">
        <v>250</v>
      </c>
      <c r="H245" s="85">
        <v>-8.3800000000000008</v>
      </c>
      <c r="I245" s="86">
        <f t="shared" si="6"/>
        <v>3.3520000000000001E-2</v>
      </c>
      <c r="J245" s="87">
        <f t="shared" si="7"/>
        <v>241.62</v>
      </c>
      <c r="K245" s="87"/>
      <c r="L245" s="87" t="s">
        <v>4672</v>
      </c>
      <c r="M245" s="87"/>
      <c r="N245" s="521"/>
      <c r="O245" s="521">
        <f>+Tabla4[[#This Row],[PAGO NO EURO]]+Tabla4[[#This Row],[CARGO NO EURO]]</f>
        <v>0</v>
      </c>
      <c r="P245" s="521"/>
      <c r="Q245" s="88"/>
      <c r="R245" s="689">
        <f>+_xlfn.XLOOKUP(Tabla4[[#This Row],[ID CLIENTE]],'RESUMEN CLIENTES'!D:D,'RESUMEN CLIENTES'!G:G)</f>
        <v>45869</v>
      </c>
      <c r="S245" s="88" t="str">
        <f>+_xlfn.XLOOKUP(Tabla4[[#This Row],[ID CLIENTE]],'RESUMEN CLIENTES'!D:D,'RESUMEN CLIENTES'!AA:AA)</f>
        <v>null</v>
      </c>
      <c r="T245" s="680" t="str">
        <f>+_xlfn.XLOOKUP(Tabla4[[#This Row],[ID CLIENTE]],'RESUMEN CLIENTES'!D:D,'RESUMEN CLIENTES'!C:C)</f>
        <v>Colombia</v>
      </c>
    </row>
    <row r="246" spans="1:20" ht="16">
      <c r="A246" s="82">
        <v>45869</v>
      </c>
      <c r="B246" s="82" t="str">
        <f>+_xlfn.XLOOKUP(Tabla4[[#This Row],[ID CLIENTE]],'RESUMEN CLIENTES'!D:D,'RESUMEN CLIENTES'!A:A)</f>
        <v>María Lucero de Jesús Barrios Sazo</v>
      </c>
      <c r="C246" s="83" t="s">
        <v>2332</v>
      </c>
      <c r="D246" s="83" t="s">
        <v>590</v>
      </c>
      <c r="E246" s="83" t="s">
        <v>591</v>
      </c>
      <c r="F246" s="83" t="s">
        <v>592</v>
      </c>
      <c r="G246" s="84">
        <v>250</v>
      </c>
      <c r="H246" s="85">
        <v>-8.3800000000000008</v>
      </c>
      <c r="I246" s="86">
        <f t="shared" si="6"/>
        <v>3.3520000000000001E-2</v>
      </c>
      <c r="J246" s="87">
        <f t="shared" si="7"/>
        <v>241.62</v>
      </c>
      <c r="K246" s="87"/>
      <c r="L246" s="87" t="s">
        <v>4672</v>
      </c>
      <c r="M246" s="87"/>
      <c r="N246" s="521"/>
      <c r="O246" s="521">
        <f>+Tabla4[[#This Row],[PAGO NO EURO]]+Tabla4[[#This Row],[CARGO NO EURO]]</f>
        <v>0</v>
      </c>
      <c r="P246" s="521"/>
      <c r="Q246" s="88"/>
      <c r="R246" s="689">
        <f>+_xlfn.XLOOKUP(Tabla4[[#This Row],[ID CLIENTE]],'RESUMEN CLIENTES'!D:D,'RESUMEN CLIENTES'!G:G)</f>
        <v>45869</v>
      </c>
      <c r="S246" s="88" t="str">
        <f>+_xlfn.XLOOKUP(Tabla4[[#This Row],[ID CLIENTE]],'RESUMEN CLIENTES'!D:D,'RESUMEN CLIENTES'!AA:AA)</f>
        <v>-</v>
      </c>
      <c r="T246" s="680" t="str">
        <f>+_xlfn.XLOOKUP(Tabla4[[#This Row],[ID CLIENTE]],'RESUMEN CLIENTES'!D:D,'RESUMEN CLIENTES'!C:C)</f>
        <v>Guatemala</v>
      </c>
    </row>
    <row r="247" spans="1:20" ht="16">
      <c r="A247" s="82">
        <v>45869</v>
      </c>
      <c r="B247" s="82" t="str">
        <f>+_xlfn.XLOOKUP(Tabla4[[#This Row],[ID CLIENTE]],'RESUMEN CLIENTES'!D:D,'RESUMEN CLIENTES'!A:A)</f>
        <v>Miguel Angel Sisalima Shiña</v>
      </c>
      <c r="C247" s="83" t="s">
        <v>2242</v>
      </c>
      <c r="D247" s="83" t="s">
        <v>314</v>
      </c>
      <c r="E247" s="83" t="s">
        <v>593</v>
      </c>
      <c r="F247" s="83" t="s">
        <v>594</v>
      </c>
      <c r="G247" s="84">
        <v>2000</v>
      </c>
      <c r="H247" s="85">
        <v>-65.25</v>
      </c>
      <c r="I247" s="86">
        <f t="shared" si="6"/>
        <v>3.2625000000000001E-2</v>
      </c>
      <c r="J247" s="87">
        <f t="shared" si="7"/>
        <v>1934.75</v>
      </c>
      <c r="K247" s="87"/>
      <c r="L247" s="87" t="s">
        <v>4672</v>
      </c>
      <c r="M247" s="87"/>
      <c r="N247" s="521"/>
      <c r="O247" s="521">
        <f>+Tabla4[[#This Row],[PAGO NO EURO]]+Tabla4[[#This Row],[CARGO NO EURO]]</f>
        <v>0</v>
      </c>
      <c r="P247" s="521"/>
      <c r="Q247" s="88"/>
      <c r="R247" s="689">
        <f>+_xlfn.XLOOKUP(Tabla4[[#This Row],[ID CLIENTE]],'RESUMEN CLIENTES'!D:D,'RESUMEN CLIENTES'!G:G)</f>
        <v>45816</v>
      </c>
      <c r="S247" s="88" t="str">
        <f>+_xlfn.XLOOKUP(Tabla4[[#This Row],[ID CLIENTE]],'RESUMEN CLIENTES'!D:D,'RESUMEN CLIENTES'!AA:AA)</f>
        <v>A1.1</v>
      </c>
      <c r="T247" s="680" t="str">
        <f>+_xlfn.XLOOKUP(Tabla4[[#This Row],[ID CLIENTE]],'RESUMEN CLIENTES'!D:D,'RESUMEN CLIENTES'!C:C)</f>
        <v>Ecuador</v>
      </c>
    </row>
    <row r="248" spans="1:20" ht="16">
      <c r="A248" s="82">
        <v>45869</v>
      </c>
      <c r="B248" s="82" t="str">
        <f>+_xlfn.XLOOKUP(Tabla4[[#This Row],[ID CLIENTE]],'RESUMEN CLIENTES'!D:D,'RESUMEN CLIENTES'!A:A)</f>
        <v>Alexandra Carolina Ordoñez Cuotto</v>
      </c>
      <c r="C248" s="83" t="s">
        <v>2296</v>
      </c>
      <c r="D248" s="83" t="s">
        <v>450</v>
      </c>
      <c r="E248" s="83" t="s">
        <v>544</v>
      </c>
      <c r="F248" s="83" t="s">
        <v>545</v>
      </c>
      <c r="G248" s="84">
        <v>3750</v>
      </c>
      <c r="H248" s="85">
        <v>0</v>
      </c>
      <c r="I248" s="86">
        <f t="shared" si="6"/>
        <v>0</v>
      </c>
      <c r="J248" s="87">
        <f t="shared" si="7"/>
        <v>3750</v>
      </c>
      <c r="K248" s="87"/>
      <c r="L248" s="87" t="s">
        <v>4672</v>
      </c>
      <c r="M248" s="87"/>
      <c r="N248" s="521"/>
      <c r="O248" s="521">
        <f>+Tabla4[[#This Row],[PAGO NO EURO]]+Tabla4[[#This Row],[CARGO NO EURO]]</f>
        <v>0</v>
      </c>
      <c r="P248" s="521"/>
      <c r="Q248" s="88"/>
      <c r="R248" s="689">
        <f>+_xlfn.XLOOKUP(Tabla4[[#This Row],[ID CLIENTE]],'RESUMEN CLIENTES'!D:D,'RESUMEN CLIENTES'!G:G)</f>
        <v>45849</v>
      </c>
      <c r="S248" s="88" t="str">
        <f>+_xlfn.XLOOKUP(Tabla4[[#This Row],[ID CLIENTE]],'RESUMEN CLIENTES'!D:D,'RESUMEN CLIENTES'!AA:AA)</f>
        <v>A1.1</v>
      </c>
      <c r="T248" s="680" t="str">
        <f>+_xlfn.XLOOKUP(Tabla4[[#This Row],[ID CLIENTE]],'RESUMEN CLIENTES'!D:D,'RESUMEN CLIENTES'!C:C)</f>
        <v>Venezuela</v>
      </c>
    </row>
    <row r="249" spans="1:20" ht="16">
      <c r="A249" s="82">
        <v>45869</v>
      </c>
      <c r="B249" s="82" t="str">
        <f>+_xlfn.XLOOKUP(Tabla4[[#This Row],[ID CLIENTE]],'RESUMEN CLIENTES'!D:D,'RESUMEN CLIENTES'!A:A)</f>
        <v>Rainier Guerrero</v>
      </c>
      <c r="C249" s="83" t="s">
        <v>2263</v>
      </c>
      <c r="D249" s="83" t="s">
        <v>350</v>
      </c>
      <c r="E249" s="83" t="s">
        <v>570</v>
      </c>
      <c r="F249" s="83" t="s">
        <v>571</v>
      </c>
      <c r="G249" s="84">
        <v>1000</v>
      </c>
      <c r="H249" s="85">
        <v>-32.75</v>
      </c>
      <c r="I249" s="86">
        <f t="shared" si="6"/>
        <v>3.2750000000000001E-2</v>
      </c>
      <c r="J249" s="87">
        <f t="shared" si="7"/>
        <v>967.25</v>
      </c>
      <c r="K249" s="87"/>
      <c r="L249" s="87" t="s">
        <v>4672</v>
      </c>
      <c r="M249" s="87"/>
      <c r="N249" s="521"/>
      <c r="O249" s="521">
        <f>+Tabla4[[#This Row],[PAGO NO EURO]]+Tabla4[[#This Row],[CARGO NO EURO]]</f>
        <v>0</v>
      </c>
      <c r="P249" s="521"/>
      <c r="Q249" s="88"/>
      <c r="R249" s="689">
        <f>+_xlfn.XLOOKUP(Tabla4[[#This Row],[ID CLIENTE]],'RESUMEN CLIENTES'!D:D,'RESUMEN CLIENTES'!G:G)</f>
        <v>45827</v>
      </c>
      <c r="S249" s="88" t="str">
        <f>+_xlfn.XLOOKUP(Tabla4[[#This Row],[ID CLIENTE]],'RESUMEN CLIENTES'!D:D,'RESUMEN CLIENTES'!AA:AA)</f>
        <v>A1.1</v>
      </c>
      <c r="T249" s="680" t="str">
        <f>+_xlfn.XLOOKUP(Tabla4[[#This Row],[ID CLIENTE]],'RESUMEN CLIENTES'!D:D,'RESUMEN CLIENTES'!C:C)</f>
        <v>México</v>
      </c>
    </row>
    <row r="250" spans="1:20" ht="16">
      <c r="A250" s="82">
        <v>45869</v>
      </c>
      <c r="B250" s="82" t="str">
        <f>+_xlfn.XLOOKUP(Tabla4[[#This Row],[ID CLIENTE]],'RESUMEN CLIENTES'!D:D,'RESUMEN CLIENTES'!A:A)</f>
        <v>Laura Margarita Cepeda Garrido</v>
      </c>
      <c r="C250" s="83" t="s">
        <v>2204</v>
      </c>
      <c r="D250" s="83" t="s">
        <v>218</v>
      </c>
      <c r="E250" s="83" t="s">
        <v>560</v>
      </c>
      <c r="F250" s="83" t="s">
        <v>561</v>
      </c>
      <c r="G250" s="84">
        <v>600</v>
      </c>
      <c r="H250" s="85">
        <v>-19.75</v>
      </c>
      <c r="I250" s="86">
        <f t="shared" si="6"/>
        <v>3.2916666666666664E-2</v>
      </c>
      <c r="J250" s="87">
        <f t="shared" si="7"/>
        <v>580.25</v>
      </c>
      <c r="K250" s="87"/>
      <c r="L250" s="87" t="s">
        <v>4672</v>
      </c>
      <c r="M250" s="87"/>
      <c r="N250" s="521"/>
      <c r="O250" s="521">
        <f>+Tabla4[[#This Row],[PAGO NO EURO]]+Tabla4[[#This Row],[CARGO NO EURO]]</f>
        <v>0</v>
      </c>
      <c r="P250" s="521"/>
      <c r="Q250" s="88"/>
      <c r="R250" s="689">
        <f>+_xlfn.XLOOKUP(Tabla4[[#This Row],[ID CLIENTE]],'RESUMEN CLIENTES'!D:D,'RESUMEN CLIENTES'!G:G)</f>
        <v>45786</v>
      </c>
      <c r="S250" s="88" t="str">
        <f>+_xlfn.XLOOKUP(Tabla4[[#This Row],[ID CLIENTE]],'RESUMEN CLIENTES'!D:D,'RESUMEN CLIENTES'!AA:AA)</f>
        <v>A1.1</v>
      </c>
      <c r="T250" s="680" t="str">
        <f>+_xlfn.XLOOKUP(Tabla4[[#This Row],[ID CLIENTE]],'RESUMEN CLIENTES'!D:D,'RESUMEN CLIENTES'!C:C)</f>
        <v>Colombia</v>
      </c>
    </row>
    <row r="251" spans="1:20" ht="16">
      <c r="A251" s="82">
        <v>45870</v>
      </c>
      <c r="B251" s="82" t="str">
        <f>+_xlfn.XLOOKUP(Tabla4[[#This Row],[ID CLIENTE]],'RESUMEN CLIENTES'!D:D,'RESUMEN CLIENTES'!A:A)</f>
        <v>Hector Armando Daza Mejia</v>
      </c>
      <c r="C251" s="83" t="s">
        <v>2133</v>
      </c>
      <c r="D251" s="83" t="s">
        <v>106</v>
      </c>
      <c r="E251" s="83" t="s">
        <v>598</v>
      </c>
      <c r="F251" s="83" t="s">
        <v>599</v>
      </c>
      <c r="G251" s="84">
        <v>2500</v>
      </c>
      <c r="H251" s="85">
        <v>-81.5</v>
      </c>
      <c r="I251" s="86">
        <f t="shared" si="6"/>
        <v>3.2599999999999997E-2</v>
      </c>
      <c r="J251" s="87">
        <f t="shared" si="7"/>
        <v>2418.5</v>
      </c>
      <c r="K251" s="87"/>
      <c r="L251" s="87" t="s">
        <v>4672</v>
      </c>
      <c r="M251" s="87"/>
      <c r="N251" s="521"/>
      <c r="O251" s="521">
        <f>+Tabla4[[#This Row],[PAGO NO EURO]]+Tabla4[[#This Row],[CARGO NO EURO]]</f>
        <v>0</v>
      </c>
      <c r="P251" s="521"/>
      <c r="Q251" s="88"/>
      <c r="R251" s="689">
        <f>+_xlfn.XLOOKUP(Tabla4[[#This Row],[ID CLIENTE]],'RESUMEN CLIENTES'!D:D,'RESUMEN CLIENTES'!G:G)</f>
        <v>45726</v>
      </c>
      <c r="S251" s="88" t="str">
        <f>+_xlfn.XLOOKUP(Tabla4[[#This Row],[ID CLIENTE]],'RESUMEN CLIENTES'!D:D,'RESUMEN CLIENTES'!AA:AA)</f>
        <v>B1.2</v>
      </c>
      <c r="T251" s="680" t="str">
        <f>+_xlfn.XLOOKUP(Tabla4[[#This Row],[ID CLIENTE]],'RESUMEN CLIENTES'!D:D,'RESUMEN CLIENTES'!C:C)</f>
        <v>Colombia</v>
      </c>
    </row>
    <row r="252" spans="1:20" ht="16">
      <c r="A252" s="82">
        <v>45870</v>
      </c>
      <c r="B252" s="82" t="str">
        <f>+_xlfn.XLOOKUP(Tabla4[[#This Row],[ID CLIENTE]],'RESUMEN CLIENTES'!D:D,'RESUMEN CLIENTES'!A:A)</f>
        <v>Erick Leonardo Chiriboga Valdiviezo</v>
      </c>
      <c r="C252" s="83" t="s">
        <v>2341</v>
      </c>
      <c r="D252" s="83" t="s">
        <v>595</v>
      </c>
      <c r="E252" s="83" t="s">
        <v>596</v>
      </c>
      <c r="F252" s="83" t="s">
        <v>597</v>
      </c>
      <c r="G252" s="84">
        <v>250</v>
      </c>
      <c r="H252" s="85">
        <v>-8.3800000000000008</v>
      </c>
      <c r="I252" s="86">
        <f t="shared" si="6"/>
        <v>3.3520000000000001E-2</v>
      </c>
      <c r="J252" s="87">
        <f t="shared" si="7"/>
        <v>241.62</v>
      </c>
      <c r="K252" s="87"/>
      <c r="L252" s="87" t="s">
        <v>4672</v>
      </c>
      <c r="M252" s="87"/>
      <c r="N252" s="521"/>
      <c r="O252" s="521">
        <f>+Tabla4[[#This Row],[PAGO NO EURO]]+Tabla4[[#This Row],[CARGO NO EURO]]</f>
        <v>0</v>
      </c>
      <c r="P252" s="521"/>
      <c r="Q252" s="88"/>
      <c r="R252" s="689">
        <f>+_xlfn.XLOOKUP(Tabla4[[#This Row],[ID CLIENTE]],'RESUMEN CLIENTES'!D:D,'RESUMEN CLIENTES'!G:G)</f>
        <v>45870</v>
      </c>
      <c r="S252" s="88" t="str">
        <f>+_xlfn.XLOOKUP(Tabla4[[#This Row],[ID CLIENTE]],'RESUMEN CLIENTES'!D:D,'RESUMEN CLIENTES'!AA:AA)</f>
        <v>A1.1</v>
      </c>
      <c r="T252" s="680" t="str">
        <f>+_xlfn.XLOOKUP(Tabla4[[#This Row],[ID CLIENTE]],'RESUMEN CLIENTES'!D:D,'RESUMEN CLIENTES'!C:C)</f>
        <v>Ecuador</v>
      </c>
    </row>
    <row r="253" spans="1:20" ht="16">
      <c r="A253" s="82">
        <v>45870</v>
      </c>
      <c r="B253" s="82" t="str">
        <f>+_xlfn.XLOOKUP(Tabla4[[#This Row],[ID CLIENTE]],'RESUMEN CLIENTES'!D:D,'RESUMEN CLIENTES'!A:A)</f>
        <v>Santiago Lorenzo Dominguez Amarilla</v>
      </c>
      <c r="C253" s="83" t="s">
        <v>2343</v>
      </c>
      <c r="D253" s="83" t="s">
        <v>2344</v>
      </c>
      <c r="E253" s="83" t="s">
        <v>2612</v>
      </c>
      <c r="F253" s="83" t="s">
        <v>2613</v>
      </c>
      <c r="G253" s="84">
        <v>250</v>
      </c>
      <c r="H253" s="85">
        <v>-8.3800000000000008</v>
      </c>
      <c r="I253" s="86">
        <f t="shared" si="6"/>
        <v>3.3520000000000001E-2</v>
      </c>
      <c r="J253" s="87">
        <f t="shared" si="7"/>
        <v>241.62</v>
      </c>
      <c r="K253" s="87"/>
      <c r="L253" s="87" t="s">
        <v>4672</v>
      </c>
      <c r="M253" s="87"/>
      <c r="N253" s="521"/>
      <c r="O253" s="521">
        <f>+Tabla4[[#This Row],[PAGO NO EURO]]+Tabla4[[#This Row],[CARGO NO EURO]]</f>
        <v>0</v>
      </c>
      <c r="P253" s="521"/>
      <c r="Q253" s="88"/>
      <c r="R253" s="689">
        <f>+_xlfn.XLOOKUP(Tabla4[[#This Row],[ID CLIENTE]],'RESUMEN CLIENTES'!D:D,'RESUMEN CLIENTES'!G:G)</f>
        <v>45870</v>
      </c>
      <c r="S253" s="88" t="str">
        <f>+_xlfn.XLOOKUP(Tabla4[[#This Row],[ID CLIENTE]],'RESUMEN CLIENTES'!D:D,'RESUMEN CLIENTES'!AA:AA)</f>
        <v>null</v>
      </c>
      <c r="T253" s="680" t="str">
        <f>+_xlfn.XLOOKUP(Tabla4[[#This Row],[ID CLIENTE]],'RESUMEN CLIENTES'!D:D,'RESUMEN CLIENTES'!C:C)</f>
        <v>Paraguay</v>
      </c>
    </row>
    <row r="254" spans="1:20" ht="16">
      <c r="A254" s="82">
        <v>45871</v>
      </c>
      <c r="B254" s="82" t="str">
        <f>+_xlfn.XLOOKUP(Tabla4[[#This Row],[ID CLIENTE]],'RESUMEN CLIENTES'!D:D,'RESUMEN CLIENTES'!A:A)</f>
        <v>Freddy Renzo Perez Villafuerte</v>
      </c>
      <c r="C254" s="83" t="s">
        <v>2292</v>
      </c>
      <c r="D254" s="83" t="s">
        <v>465</v>
      </c>
      <c r="E254" s="83" t="s">
        <v>600</v>
      </c>
      <c r="F254" s="83" t="s">
        <v>601</v>
      </c>
      <c r="G254" s="84">
        <v>3750</v>
      </c>
      <c r="H254" s="85">
        <v>-122.13</v>
      </c>
      <c r="I254" s="86">
        <f t="shared" si="6"/>
        <v>3.2568E-2</v>
      </c>
      <c r="J254" s="87">
        <f t="shared" si="7"/>
        <v>3627.87</v>
      </c>
      <c r="K254" s="87"/>
      <c r="L254" s="87" t="s">
        <v>4672</v>
      </c>
      <c r="M254" s="87"/>
      <c r="N254" s="521"/>
      <c r="O254" s="521">
        <f>+Tabla4[[#This Row],[PAGO NO EURO]]+Tabla4[[#This Row],[CARGO NO EURO]]</f>
        <v>0</v>
      </c>
      <c r="P254" s="521"/>
      <c r="Q254" s="88"/>
      <c r="R254" s="689">
        <f>+_xlfn.XLOOKUP(Tabla4[[#This Row],[ID CLIENTE]],'RESUMEN CLIENTES'!D:D,'RESUMEN CLIENTES'!G:G)</f>
        <v>45848</v>
      </c>
      <c r="S254" s="88" t="str">
        <f>+_xlfn.XLOOKUP(Tabla4[[#This Row],[ID CLIENTE]],'RESUMEN CLIENTES'!D:D,'RESUMEN CLIENTES'!AA:AA)</f>
        <v>B1.1</v>
      </c>
      <c r="T254" s="680" t="str">
        <f>+_xlfn.XLOOKUP(Tabla4[[#This Row],[ID CLIENTE]],'RESUMEN CLIENTES'!D:D,'RESUMEN CLIENTES'!C:C)</f>
        <v>Perú</v>
      </c>
    </row>
    <row r="255" spans="1:20" ht="16">
      <c r="A255" s="82">
        <v>45872</v>
      </c>
      <c r="B255" s="82" t="str">
        <f>+_xlfn.XLOOKUP(Tabla4[[#This Row],[ID CLIENTE]],'RESUMEN CLIENTES'!D:D,'RESUMEN CLIENTES'!A:A)</f>
        <v>Camila Sanchez Aravena</v>
      </c>
      <c r="C255" s="83" t="s">
        <v>2125</v>
      </c>
      <c r="D255" s="83" t="s">
        <v>118</v>
      </c>
      <c r="E255" s="83" t="s">
        <v>614</v>
      </c>
      <c r="F255" s="83" t="s">
        <v>615</v>
      </c>
      <c r="G255" s="84">
        <v>521.30999999999995</v>
      </c>
      <c r="H255" s="85">
        <v>-17.190000000000001</v>
      </c>
      <c r="I255" s="86">
        <f t="shared" si="6"/>
        <v>3.2974621626287628E-2</v>
      </c>
      <c r="J255" s="87">
        <f t="shared" si="7"/>
        <v>504.11999999999995</v>
      </c>
      <c r="K255" s="87"/>
      <c r="L255" s="87" t="s">
        <v>4672</v>
      </c>
      <c r="M255" s="87"/>
      <c r="N255" s="521"/>
      <c r="O255" s="521">
        <f>+Tabla4[[#This Row],[PAGO NO EURO]]+Tabla4[[#This Row],[CARGO NO EURO]]</f>
        <v>0</v>
      </c>
      <c r="P255" s="521"/>
      <c r="Q255" s="88"/>
      <c r="R255" s="689">
        <f>+_xlfn.XLOOKUP(Tabla4[[#This Row],[ID CLIENTE]],'RESUMEN CLIENTES'!D:D,'RESUMEN CLIENTES'!G:G)</f>
        <v>45699</v>
      </c>
      <c r="S255" s="88" t="str">
        <f>+_xlfn.XLOOKUP(Tabla4[[#This Row],[ID CLIENTE]],'RESUMEN CLIENTES'!D:D,'RESUMEN CLIENTES'!AA:AA)</f>
        <v>B2.1</v>
      </c>
      <c r="T255" s="680" t="str">
        <f>+_xlfn.XLOOKUP(Tabla4[[#This Row],[ID CLIENTE]],'RESUMEN CLIENTES'!D:D,'RESUMEN CLIENTES'!C:C)</f>
        <v>Chile</v>
      </c>
    </row>
    <row r="256" spans="1:20" ht="16">
      <c r="A256" s="82">
        <v>45872</v>
      </c>
      <c r="B256" s="82" t="str">
        <f>+_xlfn.XLOOKUP(Tabla4[[#This Row],[ID CLIENTE]],'RESUMEN CLIENTES'!D:D,'RESUMEN CLIENTES'!A:A)</f>
        <v>Guillermo Alfonso Garvalena Gaxiola</v>
      </c>
      <c r="C256" s="83" t="s">
        <v>2176</v>
      </c>
      <c r="D256" s="83" t="s">
        <v>171</v>
      </c>
      <c r="E256" s="83" t="s">
        <v>620</v>
      </c>
      <c r="F256" s="83" t="s">
        <v>621</v>
      </c>
      <c r="G256" s="84">
        <v>500</v>
      </c>
      <c r="H256" s="85">
        <v>-16.5</v>
      </c>
      <c r="I256" s="86">
        <f t="shared" si="6"/>
        <v>3.3000000000000002E-2</v>
      </c>
      <c r="J256" s="87">
        <f t="shared" si="7"/>
        <v>483.5</v>
      </c>
      <c r="K256" s="87"/>
      <c r="L256" s="87" t="s">
        <v>4672</v>
      </c>
      <c r="M256" s="87"/>
      <c r="N256" s="521"/>
      <c r="O256" s="521">
        <f>+Tabla4[[#This Row],[PAGO NO EURO]]+Tabla4[[#This Row],[CARGO NO EURO]]</f>
        <v>0</v>
      </c>
      <c r="P256" s="521"/>
      <c r="Q256" s="88"/>
      <c r="R256" s="689">
        <f>+_xlfn.XLOOKUP(Tabla4[[#This Row],[ID CLIENTE]],'RESUMEN CLIENTES'!D:D,'RESUMEN CLIENTES'!G:G)</f>
        <v>45762</v>
      </c>
      <c r="S256" s="88" t="str">
        <f>+_xlfn.XLOOKUP(Tabla4[[#This Row],[ID CLIENTE]],'RESUMEN CLIENTES'!D:D,'RESUMEN CLIENTES'!AA:AA)</f>
        <v>A2.1</v>
      </c>
      <c r="T256" s="680" t="str">
        <f>+_xlfn.XLOOKUP(Tabla4[[#This Row],[ID CLIENTE]],'RESUMEN CLIENTES'!D:D,'RESUMEN CLIENTES'!C:C)</f>
        <v>México</v>
      </c>
    </row>
    <row r="257" spans="1:20" ht="16">
      <c r="A257" s="82">
        <v>45872</v>
      </c>
      <c r="B257" s="82" t="str">
        <f>+_xlfn.XLOOKUP(Tabla4[[#This Row],[ID CLIENTE]],'RESUMEN CLIENTES'!D:D,'RESUMEN CLIENTES'!A:A)</f>
        <v>Guillermo Alfonso Garvalena Gaxiola</v>
      </c>
      <c r="C257" s="83" t="s">
        <v>2176</v>
      </c>
      <c r="D257" s="83" t="s">
        <v>171</v>
      </c>
      <c r="E257" s="83" t="s">
        <v>622</v>
      </c>
      <c r="F257" s="83" t="s">
        <v>623</v>
      </c>
      <c r="G257" s="84">
        <v>200</v>
      </c>
      <c r="H257" s="85">
        <v>-6.75</v>
      </c>
      <c r="I257" s="86">
        <f t="shared" si="6"/>
        <v>3.3750000000000002E-2</v>
      </c>
      <c r="J257" s="87">
        <f t="shared" si="7"/>
        <v>193.25</v>
      </c>
      <c r="K257" s="87"/>
      <c r="L257" s="87" t="s">
        <v>4672</v>
      </c>
      <c r="M257" s="87"/>
      <c r="N257" s="521"/>
      <c r="O257" s="521">
        <f>+Tabla4[[#This Row],[PAGO NO EURO]]+Tabla4[[#This Row],[CARGO NO EURO]]</f>
        <v>0</v>
      </c>
      <c r="P257" s="521"/>
      <c r="Q257" s="88"/>
      <c r="R257" s="689">
        <f>+_xlfn.XLOOKUP(Tabla4[[#This Row],[ID CLIENTE]],'RESUMEN CLIENTES'!D:D,'RESUMEN CLIENTES'!G:G)</f>
        <v>45762</v>
      </c>
      <c r="S257" s="88" t="str">
        <f>+_xlfn.XLOOKUP(Tabla4[[#This Row],[ID CLIENTE]],'RESUMEN CLIENTES'!D:D,'RESUMEN CLIENTES'!AA:AA)</f>
        <v>A2.1</v>
      </c>
      <c r="T257" s="680" t="str">
        <f>+_xlfn.XLOOKUP(Tabla4[[#This Row],[ID CLIENTE]],'RESUMEN CLIENTES'!D:D,'RESUMEN CLIENTES'!C:C)</f>
        <v>México</v>
      </c>
    </row>
    <row r="258" spans="1:20" ht="16">
      <c r="A258" s="82">
        <v>45872</v>
      </c>
      <c r="B258" s="82" t="str">
        <f>+_xlfn.XLOOKUP(Tabla4[[#This Row],[ID CLIENTE]],'RESUMEN CLIENTES'!D:D,'RESUMEN CLIENTES'!A:A)</f>
        <v>Maria Laura Rios Pino</v>
      </c>
      <c r="C258" s="83" t="s">
        <v>2220</v>
      </c>
      <c r="D258" s="83" t="s">
        <v>258</v>
      </c>
      <c r="E258" s="83" t="s">
        <v>602</v>
      </c>
      <c r="F258" s="83" t="s">
        <v>603</v>
      </c>
      <c r="G258" s="84">
        <f>+Tabla4[[#This Row],[PAGO NO EURO]]*Tabla4[[#This Row],[CAMBIO]]</f>
        <v>858.36909871244643</v>
      </c>
      <c r="H258" s="85">
        <f>+Tabla4[[#This Row],[CARGO NO EURO]]*Tabla4[[#This Row],[CAMBIO]]</f>
        <v>-28.154506437768237</v>
      </c>
      <c r="I258" s="86">
        <f t="shared" ref="I258:I266" si="8">+IFERROR(-(H258)/G258,"")</f>
        <v>3.2799999999999996E-2</v>
      </c>
      <c r="J258" s="87">
        <f t="shared" ref="J258:J266" si="9">+G258+H258</f>
        <v>830.21459227467824</v>
      </c>
      <c r="K258" s="87"/>
      <c r="L258" s="87" t="s">
        <v>4672</v>
      </c>
      <c r="M258" s="87" t="s">
        <v>2548</v>
      </c>
      <c r="N258" s="524">
        <v>1000</v>
      </c>
      <c r="O258" s="524">
        <f>+Tabla4[[#This Row],[PAGO NO EURO]]+Tabla4[[#This Row],[CARGO NO EURO]]</f>
        <v>967.2</v>
      </c>
      <c r="P258" s="524">
        <v>-32.799999999999997</v>
      </c>
      <c r="Q258" s="92">
        <v>0.85836909871244638</v>
      </c>
      <c r="R258" s="690">
        <f>+_xlfn.XLOOKUP(Tabla4[[#This Row],[ID CLIENTE]],'RESUMEN CLIENTES'!D:D,'RESUMEN CLIENTES'!G:G)</f>
        <v>45805</v>
      </c>
      <c r="S258" s="92" t="str">
        <f>+_xlfn.XLOOKUP(Tabla4[[#This Row],[ID CLIENTE]],'RESUMEN CLIENTES'!D:D,'RESUMEN CLIENTES'!AA:AA)</f>
        <v>B1.1</v>
      </c>
      <c r="T258" s="680" t="str">
        <f>+_xlfn.XLOOKUP(Tabla4[[#This Row],[ID CLIENTE]],'RESUMEN CLIENTES'!D:D,'RESUMEN CLIENTES'!C:C)</f>
        <v>Perú</v>
      </c>
    </row>
    <row r="259" spans="1:20" ht="16">
      <c r="A259" s="82">
        <v>45873</v>
      </c>
      <c r="B259" s="82" t="str">
        <f>+_xlfn.XLOOKUP(Tabla4[[#This Row],[ID CLIENTE]],'RESUMEN CLIENTES'!D:D,'RESUMEN CLIENTES'!A:A)</f>
        <v>Boris Andrés Silva Véliz</v>
      </c>
      <c r="C259" s="83" t="s">
        <v>2184</v>
      </c>
      <c r="D259" s="83" t="s">
        <v>184</v>
      </c>
      <c r="E259" s="83" t="s">
        <v>612</v>
      </c>
      <c r="F259" s="83" t="s">
        <v>613</v>
      </c>
      <c r="G259" s="84">
        <v>435</v>
      </c>
      <c r="H259" s="85">
        <v>-14.39</v>
      </c>
      <c r="I259" s="86">
        <f t="shared" si="8"/>
        <v>3.3080459770114944E-2</v>
      </c>
      <c r="J259" s="87">
        <f t="shared" si="9"/>
        <v>420.61</v>
      </c>
      <c r="K259" s="87"/>
      <c r="L259" s="87" t="s">
        <v>4672</v>
      </c>
      <c r="M259" s="87"/>
      <c r="N259" s="521"/>
      <c r="O259" s="521">
        <f>+Tabla4[[#This Row],[PAGO NO EURO]]+Tabla4[[#This Row],[CARGO NO EURO]]</f>
        <v>0</v>
      </c>
      <c r="P259" s="521"/>
      <c r="Q259" s="88"/>
      <c r="R259" s="689">
        <f>+_xlfn.XLOOKUP(Tabla4[[#This Row],[ID CLIENTE]],'RESUMEN CLIENTES'!D:D,'RESUMEN CLIENTES'!G:G)</f>
        <v>45771</v>
      </c>
      <c r="S259" s="88" t="str">
        <f>+_xlfn.XLOOKUP(Tabla4[[#This Row],[ID CLIENTE]],'RESUMEN CLIENTES'!D:D,'RESUMEN CLIENTES'!AA:AA)</f>
        <v>C1.1</v>
      </c>
      <c r="T259" s="680" t="str">
        <f>+_xlfn.XLOOKUP(Tabla4[[#This Row],[ID CLIENTE]],'RESUMEN CLIENTES'!D:D,'RESUMEN CLIENTES'!C:C)</f>
        <v>Chile</v>
      </c>
    </row>
    <row r="260" spans="1:20" ht="16">
      <c r="A260" s="82">
        <v>45873</v>
      </c>
      <c r="B260" s="82" t="str">
        <f>+_xlfn.XLOOKUP(Tabla4[[#This Row],[ID CLIENTE]],'RESUMEN CLIENTES'!D:D,'RESUMEN CLIENTES'!A:A)</f>
        <v>Sergio Francisco Garcia Sandoval</v>
      </c>
      <c r="C260" s="83" t="s">
        <v>2235</v>
      </c>
      <c r="D260" s="83" t="s">
        <v>281</v>
      </c>
      <c r="E260" s="83" t="s">
        <v>636</v>
      </c>
      <c r="F260" s="83" t="s">
        <v>637</v>
      </c>
      <c r="G260" s="84">
        <v>350</v>
      </c>
      <c r="H260" s="85">
        <v>-11.63</v>
      </c>
      <c r="I260" s="86">
        <f t="shared" si="8"/>
        <v>3.3228571428571434E-2</v>
      </c>
      <c r="J260" s="87">
        <f t="shared" si="9"/>
        <v>338.37</v>
      </c>
      <c r="K260" s="87"/>
      <c r="L260" s="87" t="s">
        <v>4672</v>
      </c>
      <c r="M260" s="87"/>
      <c r="N260" s="521"/>
      <c r="O260" s="521">
        <f>+Tabla4[[#This Row],[PAGO NO EURO]]+Tabla4[[#This Row],[CARGO NO EURO]]</f>
        <v>0</v>
      </c>
      <c r="P260" s="521"/>
      <c r="Q260" s="88"/>
      <c r="R260" s="689">
        <f>+_xlfn.XLOOKUP(Tabla4[[#This Row],[ID CLIENTE]],'RESUMEN CLIENTES'!D:D,'RESUMEN CLIENTES'!G:G)</f>
        <v>45812</v>
      </c>
      <c r="S260" s="88" t="str">
        <f>+_xlfn.XLOOKUP(Tabla4[[#This Row],[ID CLIENTE]],'RESUMEN CLIENTES'!D:D,'RESUMEN CLIENTES'!AA:AA)</f>
        <v>A1.1</v>
      </c>
      <c r="T260" s="680" t="str">
        <f>+_xlfn.XLOOKUP(Tabla4[[#This Row],[ID CLIENTE]],'RESUMEN CLIENTES'!D:D,'RESUMEN CLIENTES'!C:C)</f>
        <v>Perú</v>
      </c>
    </row>
    <row r="261" spans="1:20" ht="16">
      <c r="A261" s="82">
        <v>45873</v>
      </c>
      <c r="B261" s="82" t="str">
        <f>+_xlfn.XLOOKUP(Tabla4[[#This Row],[ID CLIENTE]],'RESUMEN CLIENTES'!D:D,'RESUMEN CLIENTES'!A:A)</f>
        <v>Yefry Onil Santana Marte</v>
      </c>
      <c r="C261" s="83" t="s">
        <v>2284</v>
      </c>
      <c r="D261" s="83" t="s">
        <v>447</v>
      </c>
      <c r="E261" s="83" t="s">
        <v>606</v>
      </c>
      <c r="F261" s="83" t="s">
        <v>607</v>
      </c>
      <c r="G261" s="84">
        <v>1000</v>
      </c>
      <c r="H261" s="85">
        <v>-32.75</v>
      </c>
      <c r="I261" s="86">
        <f t="shared" si="8"/>
        <v>3.2750000000000001E-2</v>
      </c>
      <c r="J261" s="87">
        <f t="shared" si="9"/>
        <v>967.25</v>
      </c>
      <c r="K261" s="87"/>
      <c r="L261" s="87" t="s">
        <v>4672</v>
      </c>
      <c r="M261" s="87"/>
      <c r="N261" s="521"/>
      <c r="O261" s="521">
        <f>+Tabla4[[#This Row],[PAGO NO EURO]]+Tabla4[[#This Row],[CARGO NO EURO]]</f>
        <v>0</v>
      </c>
      <c r="P261" s="521"/>
      <c r="Q261" s="88"/>
      <c r="R261" s="689">
        <f>+_xlfn.XLOOKUP(Tabla4[[#This Row],[ID CLIENTE]],'RESUMEN CLIENTES'!D:D,'RESUMEN CLIENTES'!G:G)</f>
        <v>45845</v>
      </c>
      <c r="S261" s="88" t="str">
        <f>+_xlfn.XLOOKUP(Tabla4[[#This Row],[ID CLIENTE]],'RESUMEN CLIENTES'!D:D,'RESUMEN CLIENTES'!AA:AA)</f>
        <v>A1.1</v>
      </c>
      <c r="T261" s="680" t="str">
        <f>+_xlfn.XLOOKUP(Tabla4[[#This Row],[ID CLIENTE]],'RESUMEN CLIENTES'!D:D,'RESUMEN CLIENTES'!C:C)</f>
        <v>República Dominicana</v>
      </c>
    </row>
    <row r="262" spans="1:20" ht="16">
      <c r="A262" s="82">
        <v>45874</v>
      </c>
      <c r="B262" s="82" t="str">
        <f>+_xlfn.XLOOKUP(Tabla4[[#This Row],[ID CLIENTE]],'RESUMEN CLIENTES'!D:D,'RESUMEN CLIENTES'!A:A)</f>
        <v>Alejandra Leva Vallejo</v>
      </c>
      <c r="C262" s="83" t="s">
        <v>2178</v>
      </c>
      <c r="D262" s="83" t="s">
        <v>165</v>
      </c>
      <c r="E262" s="83" t="s">
        <v>608</v>
      </c>
      <c r="F262" s="83" t="s">
        <v>609</v>
      </c>
      <c r="G262" s="84">
        <v>1000</v>
      </c>
      <c r="H262" s="85">
        <v>-32.75</v>
      </c>
      <c r="I262" s="86">
        <f t="shared" si="8"/>
        <v>3.2750000000000001E-2</v>
      </c>
      <c r="J262" s="87">
        <f t="shared" si="9"/>
        <v>967.25</v>
      </c>
      <c r="K262" s="87"/>
      <c r="L262" s="87" t="s">
        <v>4672</v>
      </c>
      <c r="M262" s="87"/>
      <c r="N262" s="521"/>
      <c r="O262" s="521">
        <f>+Tabla4[[#This Row],[PAGO NO EURO]]+Tabla4[[#This Row],[CARGO NO EURO]]</f>
        <v>0</v>
      </c>
      <c r="P262" s="521"/>
      <c r="Q262" s="88"/>
      <c r="R262" s="689">
        <f>+_xlfn.XLOOKUP(Tabla4[[#This Row],[ID CLIENTE]],'RESUMEN CLIENTES'!D:D,'RESUMEN CLIENTES'!G:G)</f>
        <v>45762</v>
      </c>
      <c r="S262" s="88" t="str">
        <f>+_xlfn.XLOOKUP(Tabla4[[#This Row],[ID CLIENTE]],'RESUMEN CLIENTES'!D:D,'RESUMEN CLIENTES'!AA:AA)</f>
        <v>A1.1</v>
      </c>
      <c r="T262" s="680" t="str">
        <f>+_xlfn.XLOOKUP(Tabla4[[#This Row],[ID CLIENTE]],'RESUMEN CLIENTES'!D:D,'RESUMEN CLIENTES'!C:C)</f>
        <v>México</v>
      </c>
    </row>
    <row r="263" spans="1:20" ht="16">
      <c r="A263" s="82">
        <v>45874</v>
      </c>
      <c r="B263" s="82" t="str">
        <f>+_xlfn.XLOOKUP(Tabla4[[#This Row],[ID CLIENTE]],'RESUMEN CLIENTES'!D:D,'RESUMEN CLIENTES'!A:A)</f>
        <v xml:space="preserve">Catalina Ochoa Urrutia
</v>
      </c>
      <c r="C263" s="83" t="s">
        <v>2180</v>
      </c>
      <c r="D263" s="83" t="s">
        <v>168</v>
      </c>
      <c r="E263" s="83" t="s">
        <v>616</v>
      </c>
      <c r="F263" s="83" t="s">
        <v>617</v>
      </c>
      <c r="G263" s="84">
        <v>1500</v>
      </c>
      <c r="H263" s="85">
        <v>-49</v>
      </c>
      <c r="I263" s="86">
        <f t="shared" si="8"/>
        <v>3.2666666666666663E-2</v>
      </c>
      <c r="J263" s="87">
        <f t="shared" si="9"/>
        <v>1451</v>
      </c>
      <c r="K263" s="87"/>
      <c r="L263" s="87" t="s">
        <v>4672</v>
      </c>
      <c r="M263" s="87"/>
      <c r="N263" s="521"/>
      <c r="O263" s="521">
        <f>+Tabla4[[#This Row],[PAGO NO EURO]]+Tabla4[[#This Row],[CARGO NO EURO]]</f>
        <v>0</v>
      </c>
      <c r="P263" s="521"/>
      <c r="Q263" s="88"/>
      <c r="R263" s="689">
        <f>+_xlfn.XLOOKUP(Tabla4[[#This Row],[ID CLIENTE]],'RESUMEN CLIENTES'!D:D,'RESUMEN CLIENTES'!G:G)</f>
        <v>45762</v>
      </c>
      <c r="S263" s="88" t="str">
        <f>+_xlfn.XLOOKUP(Tabla4[[#This Row],[ID CLIENTE]],'RESUMEN CLIENTES'!D:D,'RESUMEN CLIENTES'!AA:AA)</f>
        <v>B2.1</v>
      </c>
      <c r="T263" s="680" t="str">
        <f>+_xlfn.XLOOKUP(Tabla4[[#This Row],[ID CLIENTE]],'RESUMEN CLIENTES'!D:D,'RESUMEN CLIENTES'!C:C)</f>
        <v>Chile</v>
      </c>
    </row>
    <row r="264" spans="1:20" ht="16">
      <c r="A264" s="82">
        <v>45874</v>
      </c>
      <c r="B264" s="82" t="str">
        <f>+_xlfn.XLOOKUP(Tabla4[[#This Row],[ID CLIENTE]],'RESUMEN CLIENTES'!D:D,'RESUMEN CLIENTES'!A:A)</f>
        <v>Dinorah Gómez Castellanos</v>
      </c>
      <c r="C264" s="83" t="s">
        <v>2168</v>
      </c>
      <c r="D264" s="83" t="s">
        <v>194</v>
      </c>
      <c r="E264" s="83" t="s">
        <v>618</v>
      </c>
      <c r="F264" s="83" t="s">
        <v>619</v>
      </c>
      <c r="G264" s="84">
        <v>800</v>
      </c>
      <c r="H264" s="85">
        <v>-26.25</v>
      </c>
      <c r="I264" s="86">
        <f t="shared" si="8"/>
        <v>3.2812500000000001E-2</v>
      </c>
      <c r="J264" s="87">
        <f t="shared" si="9"/>
        <v>773.75</v>
      </c>
      <c r="K264" s="87"/>
      <c r="L264" s="87" t="s">
        <v>4672</v>
      </c>
      <c r="M264" s="87"/>
      <c r="N264" s="521"/>
      <c r="O264" s="521">
        <f>+Tabla4[[#This Row],[PAGO NO EURO]]+Tabla4[[#This Row],[CARGO NO EURO]]</f>
        <v>0</v>
      </c>
      <c r="P264" s="521"/>
      <c r="Q264" s="88"/>
      <c r="R264" s="689">
        <f>+_xlfn.XLOOKUP(Tabla4[[#This Row],[ID CLIENTE]],'RESUMEN CLIENTES'!D:D,'RESUMEN CLIENTES'!G:G)</f>
        <v>45757</v>
      </c>
      <c r="S264" s="88" t="str">
        <f>+_xlfn.XLOOKUP(Tabla4[[#This Row],[ID CLIENTE]],'RESUMEN CLIENTES'!D:D,'RESUMEN CLIENTES'!AA:AA)</f>
        <v>B2.1</v>
      </c>
      <c r="T264" s="680" t="str">
        <f>+_xlfn.XLOOKUP(Tabla4[[#This Row],[ID CLIENTE]],'RESUMEN CLIENTES'!D:D,'RESUMEN CLIENTES'!C:C)</f>
        <v>México</v>
      </c>
    </row>
    <row r="265" spans="1:20" ht="16">
      <c r="A265" s="82">
        <v>45874</v>
      </c>
      <c r="B265" s="82" t="str">
        <f>+_xlfn.XLOOKUP(Tabla4[[#This Row],[ID CLIENTE]],'RESUMEN CLIENTES'!D:D,'RESUMEN CLIENTES'!A:A)</f>
        <v>Marco Tulio Negrete Aceves</v>
      </c>
      <c r="C265" s="83" t="s">
        <v>2166</v>
      </c>
      <c r="D265" s="83" t="s">
        <v>188</v>
      </c>
      <c r="E265" s="83" t="s">
        <v>626</v>
      </c>
      <c r="F265" s="83" t="s">
        <v>627</v>
      </c>
      <c r="G265" s="84">
        <v>800</v>
      </c>
      <c r="H265" s="85">
        <v>-26.25</v>
      </c>
      <c r="I265" s="86">
        <f t="shared" si="8"/>
        <v>3.2812500000000001E-2</v>
      </c>
      <c r="J265" s="87">
        <f t="shared" si="9"/>
        <v>773.75</v>
      </c>
      <c r="K265" s="87"/>
      <c r="L265" s="87" t="s">
        <v>4672</v>
      </c>
      <c r="M265" s="87"/>
      <c r="N265" s="521"/>
      <c r="O265" s="521">
        <f>+Tabla4[[#This Row],[PAGO NO EURO]]+Tabla4[[#This Row],[CARGO NO EURO]]</f>
        <v>0</v>
      </c>
      <c r="P265" s="521"/>
      <c r="Q265" s="88"/>
      <c r="R265" s="689">
        <f>+_xlfn.XLOOKUP(Tabla4[[#This Row],[ID CLIENTE]],'RESUMEN CLIENTES'!D:D,'RESUMEN CLIENTES'!G:G)</f>
        <v>45757</v>
      </c>
      <c r="S265" s="88" t="str">
        <f>+_xlfn.XLOOKUP(Tabla4[[#This Row],[ID CLIENTE]],'RESUMEN CLIENTES'!D:D,'RESUMEN CLIENTES'!AA:AA)</f>
        <v>B2.1</v>
      </c>
      <c r="T265" s="680" t="str">
        <f>+_xlfn.XLOOKUP(Tabla4[[#This Row],[ID CLIENTE]],'RESUMEN CLIENTES'!D:D,'RESUMEN CLIENTES'!C:C)</f>
        <v>México</v>
      </c>
    </row>
    <row r="266" spans="1:20" ht="16">
      <c r="A266" s="82">
        <v>45874</v>
      </c>
      <c r="B266" s="82" t="str">
        <f>+_xlfn.XLOOKUP(Tabla4[[#This Row],[ID CLIENTE]],'RESUMEN CLIENTES'!D:D,'RESUMEN CLIENTES'!A:A)</f>
        <v>María Fernanda Alvar Sepúlveda</v>
      </c>
      <c r="C266" s="83" t="s">
        <v>2123</v>
      </c>
      <c r="D266" s="83" t="s">
        <v>80</v>
      </c>
      <c r="E266" s="83" t="s">
        <v>628</v>
      </c>
      <c r="F266" s="83" t="s">
        <v>629</v>
      </c>
      <c r="G266" s="84">
        <f>+Tabla4[[#This Row],[PAGO NO EURO]]*Tabla4[[#This Row],[CAMBIO]]</f>
        <v>533.16745901275158</v>
      </c>
      <c r="H266" s="85">
        <f>+Tabla4[[#This Row],[CARGO NO EURO]]*Tabla4[[#This Row],[CAMBIO]]</f>
        <v>0</v>
      </c>
      <c r="I266" s="86">
        <f t="shared" si="8"/>
        <v>0</v>
      </c>
      <c r="J266" s="87">
        <f t="shared" si="9"/>
        <v>533.16745901275158</v>
      </c>
      <c r="K266" s="87" t="s">
        <v>2542</v>
      </c>
      <c r="L266" s="87" t="s">
        <v>4675</v>
      </c>
      <c r="M266" s="87" t="s">
        <v>2543</v>
      </c>
      <c r="N266" s="522">
        <v>600000</v>
      </c>
      <c r="O266" s="523">
        <f>+Tabla4[[#This Row],[PAGO NO EURO]]+Tabla4[[#This Row],[CARGO NO EURO]]</f>
        <v>600000</v>
      </c>
      <c r="P266" s="524">
        <v>0</v>
      </c>
      <c r="Q266" s="89">
        <v>8.8861243168791935E-4</v>
      </c>
      <c r="R266" s="689">
        <f>+_xlfn.XLOOKUP(Tabla4[[#This Row],[ID CLIENTE]],'RESUMEN CLIENTES'!D:D,'RESUMEN CLIENTES'!G:G)</f>
        <v>45684</v>
      </c>
      <c r="S266" s="89" t="str">
        <f>+_xlfn.XLOOKUP(Tabla4[[#This Row],[ID CLIENTE]],'RESUMEN CLIENTES'!D:D,'RESUMEN CLIENTES'!AA:AA)</f>
        <v>A1.1</v>
      </c>
      <c r="T266" s="680" t="str">
        <f>+_xlfn.XLOOKUP(Tabla4[[#This Row],[ID CLIENTE]],'RESUMEN CLIENTES'!D:D,'RESUMEN CLIENTES'!C:C)</f>
        <v>Chile</v>
      </c>
    </row>
    <row r="267" spans="1:20" ht="16">
      <c r="A267" s="82">
        <v>45875</v>
      </c>
      <c r="B267" s="82" t="str">
        <f>+_xlfn.XLOOKUP(Tabla4[[#This Row],[ID CLIENTE]],'RESUMEN CLIENTES'!D:D,'RESUMEN CLIENTES'!A:A)</f>
        <v>Bernardita Lobo Zegers</v>
      </c>
      <c r="C267" s="83" t="s">
        <v>2202</v>
      </c>
      <c r="D267" s="83" t="s">
        <v>203</v>
      </c>
      <c r="E267" s="83" t="s">
        <v>610</v>
      </c>
      <c r="F267" s="83" t="s">
        <v>611</v>
      </c>
      <c r="G267" s="84">
        <v>1000</v>
      </c>
      <c r="H267" s="85">
        <v>-32.75</v>
      </c>
      <c r="I267" s="86">
        <v>3.2750000000000001E-2</v>
      </c>
      <c r="J267" s="87">
        <v>967.25</v>
      </c>
      <c r="K267" s="87"/>
      <c r="L267" s="87" t="s">
        <v>4672</v>
      </c>
      <c r="M267" s="87"/>
      <c r="N267" s="521"/>
      <c r="O267" s="521">
        <f>+Tabla4[[#This Row],[PAGO NO EURO]]+Tabla4[[#This Row],[CARGO NO EURO]]</f>
        <v>0</v>
      </c>
      <c r="P267" s="521"/>
      <c r="Q267" s="88"/>
      <c r="R267" s="689">
        <f>+_xlfn.XLOOKUP(Tabla4[[#This Row],[ID CLIENTE]],'RESUMEN CLIENTES'!D:D,'RESUMEN CLIENTES'!G:G)</f>
        <v>45779</v>
      </c>
      <c r="S267" s="88" t="str">
        <f>+_xlfn.XLOOKUP(Tabla4[[#This Row],[ID CLIENTE]],'RESUMEN CLIENTES'!D:D,'RESUMEN CLIENTES'!AA:AA)</f>
        <v>A1.1</v>
      </c>
      <c r="T267" s="680" t="str">
        <f>+_xlfn.XLOOKUP(Tabla4[[#This Row],[ID CLIENTE]],'RESUMEN CLIENTES'!D:D,'RESUMEN CLIENTES'!C:C)</f>
        <v>México</v>
      </c>
    </row>
    <row r="268" spans="1:20" ht="16">
      <c r="A268" s="82">
        <v>45875</v>
      </c>
      <c r="B268" s="82" t="str">
        <f>+_xlfn.XLOOKUP(Tabla4[[#This Row],[ID CLIENTE]],'RESUMEN CLIENTES'!D:D,'RESUMEN CLIENTES'!A:A)</f>
        <v>Jordan Eliecer Toledo Bravo</v>
      </c>
      <c r="C268" s="83" t="s">
        <v>2158</v>
      </c>
      <c r="D268" s="83" t="s">
        <v>142</v>
      </c>
      <c r="E268" s="83" t="s">
        <v>624</v>
      </c>
      <c r="F268" s="83" t="s">
        <v>625</v>
      </c>
      <c r="G268" s="84">
        <v>500</v>
      </c>
      <c r="H268" s="85">
        <v>-16.5</v>
      </c>
      <c r="I268" s="86">
        <v>3.3000000000000002E-2</v>
      </c>
      <c r="J268" s="87">
        <v>483.5</v>
      </c>
      <c r="K268" s="87"/>
      <c r="L268" s="87" t="s">
        <v>4672</v>
      </c>
      <c r="M268" s="87"/>
      <c r="N268" s="521"/>
      <c r="O268" s="521">
        <f>+Tabla4[[#This Row],[PAGO NO EURO]]+Tabla4[[#This Row],[CARGO NO EURO]]</f>
        <v>0</v>
      </c>
      <c r="P268" s="521"/>
      <c r="Q268" s="88"/>
      <c r="R268" s="689">
        <f>+_xlfn.XLOOKUP(Tabla4[[#This Row],[ID CLIENTE]],'RESUMEN CLIENTES'!D:D,'RESUMEN CLIENTES'!G:G)</f>
        <v>45748</v>
      </c>
      <c r="S268" s="88" t="str">
        <f>+_xlfn.XLOOKUP(Tabla4[[#This Row],[ID CLIENTE]],'RESUMEN CLIENTES'!D:D,'RESUMEN CLIENTES'!AA:AA)</f>
        <v>A1.1</v>
      </c>
      <c r="T268" s="680" t="str">
        <f>+_xlfn.XLOOKUP(Tabla4[[#This Row],[ID CLIENTE]],'RESUMEN CLIENTES'!D:D,'RESUMEN CLIENTES'!C:C)</f>
        <v>Chile</v>
      </c>
    </row>
    <row r="269" spans="1:20" ht="16">
      <c r="A269" s="82">
        <v>45875</v>
      </c>
      <c r="B269" s="82" t="str">
        <f>+_xlfn.XLOOKUP(Tabla4[[#This Row],[ID CLIENTE]],'RESUMEN CLIENTES'!D:D,'RESUMEN CLIENTES'!A:A)</f>
        <v>Liliana Alejandra Gruezo Pérez</v>
      </c>
      <c r="C269" s="83" t="s">
        <v>2298</v>
      </c>
      <c r="D269" s="83" t="s">
        <v>484</v>
      </c>
      <c r="E269" s="83" t="s">
        <v>642</v>
      </c>
      <c r="F269" s="83" t="s">
        <v>643</v>
      </c>
      <c r="G269" s="84">
        <v>500</v>
      </c>
      <c r="H269" s="85">
        <v>0</v>
      </c>
      <c r="I269" s="86">
        <f>+IFERROR(-(H269)/G269,"")</f>
        <v>0</v>
      </c>
      <c r="J269" s="87">
        <f>+G269+H269</f>
        <v>500</v>
      </c>
      <c r="K269" s="87" t="s">
        <v>2542</v>
      </c>
      <c r="L269" s="87" t="s">
        <v>4672</v>
      </c>
      <c r="M269" s="87"/>
      <c r="N269" s="521"/>
      <c r="O269" s="521">
        <f>+Tabla4[[#This Row],[PAGO NO EURO]]+Tabla4[[#This Row],[CARGO NO EURO]]</f>
        <v>0</v>
      </c>
      <c r="P269" s="521"/>
      <c r="Q269" s="88"/>
      <c r="R269" s="689">
        <f>+_xlfn.XLOOKUP(Tabla4[[#This Row],[ID CLIENTE]],'RESUMEN CLIENTES'!D:D,'RESUMEN CLIENTES'!G:G)</f>
        <v>45852</v>
      </c>
      <c r="S269" s="88" t="str">
        <f>+_xlfn.XLOOKUP(Tabla4[[#This Row],[ID CLIENTE]],'RESUMEN CLIENTES'!D:D,'RESUMEN CLIENTES'!AA:AA)</f>
        <v>A1.2</v>
      </c>
      <c r="T269" s="680" t="str">
        <f>+_xlfn.XLOOKUP(Tabla4[[#This Row],[ID CLIENTE]],'RESUMEN CLIENTES'!D:D,'RESUMEN CLIENTES'!C:C)</f>
        <v>Ecuador</v>
      </c>
    </row>
    <row r="270" spans="1:20" ht="16">
      <c r="A270" s="82">
        <v>45875</v>
      </c>
      <c r="B270" s="82" t="str">
        <f>+_xlfn.XLOOKUP(Tabla4[[#This Row],[ID CLIENTE]],'RESUMEN CLIENTES'!D:D,'RESUMEN CLIENTES'!A:A)</f>
        <v>Moira Millaray Schneider Rivera</v>
      </c>
      <c r="C270" s="83" t="s">
        <v>2147</v>
      </c>
      <c r="D270" s="83" t="s">
        <v>129</v>
      </c>
      <c r="E270" s="83" t="s">
        <v>632</v>
      </c>
      <c r="F270" s="83" t="s">
        <v>633</v>
      </c>
      <c r="G270" s="84">
        <v>1000</v>
      </c>
      <c r="H270" s="85">
        <v>-32.75</v>
      </c>
      <c r="I270" s="86">
        <f>+IFERROR(-(H270)/G270,"")</f>
        <v>3.2750000000000001E-2</v>
      </c>
      <c r="J270" s="87">
        <f>+G270+H270</f>
        <v>967.25</v>
      </c>
      <c r="K270" s="87"/>
      <c r="L270" s="87" t="s">
        <v>4672</v>
      </c>
      <c r="M270" s="87"/>
      <c r="N270" s="521"/>
      <c r="O270" s="521">
        <f>+Tabla4[[#This Row],[PAGO NO EURO]]+Tabla4[[#This Row],[CARGO NO EURO]]</f>
        <v>0</v>
      </c>
      <c r="P270" s="521"/>
      <c r="Q270" s="88"/>
      <c r="R270" s="689">
        <f>+_xlfn.XLOOKUP(Tabla4[[#This Row],[ID CLIENTE]],'RESUMEN CLIENTES'!D:D,'RESUMEN CLIENTES'!G:G)</f>
        <v>45740</v>
      </c>
      <c r="S270" s="88" t="str">
        <f>+_xlfn.XLOOKUP(Tabla4[[#This Row],[ID CLIENTE]],'RESUMEN CLIENTES'!D:D,'RESUMEN CLIENTES'!AA:AA)</f>
        <v>null</v>
      </c>
      <c r="T270" s="680" t="str">
        <f>+_xlfn.XLOOKUP(Tabla4[[#This Row],[ID CLIENTE]],'RESUMEN CLIENTES'!D:D,'RESUMEN CLIENTES'!C:C)</f>
        <v>Chile</v>
      </c>
    </row>
    <row r="271" spans="1:20" ht="16">
      <c r="A271" s="82">
        <v>45875</v>
      </c>
      <c r="B271" s="82" t="str">
        <f>+_xlfn.XLOOKUP(Tabla4[[#This Row],[ID CLIENTE]],'RESUMEN CLIENTES'!D:D,'RESUMEN CLIENTES'!A:A)</f>
        <v>Rodrigo Rivera Ruiz</v>
      </c>
      <c r="C271" s="83" t="s">
        <v>2170</v>
      </c>
      <c r="D271" s="83" t="s">
        <v>159</v>
      </c>
      <c r="E271" s="83" t="s">
        <v>634</v>
      </c>
      <c r="F271" s="83" t="s">
        <v>635</v>
      </c>
      <c r="G271" s="84">
        <v>1500</v>
      </c>
      <c r="H271" s="85">
        <v>-49</v>
      </c>
      <c r="I271" s="86">
        <f>+IFERROR(-(H271)/G271,"")</f>
        <v>3.2666666666666663E-2</v>
      </c>
      <c r="J271" s="87">
        <f>+G271+H271</f>
        <v>1451</v>
      </c>
      <c r="K271" s="87"/>
      <c r="L271" s="87" t="s">
        <v>4672</v>
      </c>
      <c r="M271" s="87"/>
      <c r="N271" s="521"/>
      <c r="O271" s="521">
        <f>+Tabla4[[#This Row],[PAGO NO EURO]]+Tabla4[[#This Row],[CARGO NO EURO]]</f>
        <v>0</v>
      </c>
      <c r="P271" s="521"/>
      <c r="Q271" s="88"/>
      <c r="R271" s="689">
        <f>+_xlfn.XLOOKUP(Tabla4[[#This Row],[ID CLIENTE]],'RESUMEN CLIENTES'!D:D,'RESUMEN CLIENTES'!G:G)</f>
        <v>45757</v>
      </c>
      <c r="S271" s="88" t="str">
        <f>+_xlfn.XLOOKUP(Tabla4[[#This Row],[ID CLIENTE]],'RESUMEN CLIENTES'!D:D,'RESUMEN CLIENTES'!AA:AA)</f>
        <v>A1.1</v>
      </c>
      <c r="T271" s="680" t="str">
        <f>+_xlfn.XLOOKUP(Tabla4[[#This Row],[ID CLIENTE]],'RESUMEN CLIENTES'!D:D,'RESUMEN CLIENTES'!C:C)</f>
        <v>Chile</v>
      </c>
    </row>
    <row r="272" spans="1:20" ht="16">
      <c r="A272" s="82">
        <v>45875</v>
      </c>
      <c r="B272" s="82" t="str">
        <f>+_xlfn.XLOOKUP(Tabla4[[#This Row],[ID CLIENTE]],'RESUMEN CLIENTES'!D:D,'RESUMEN CLIENTES'!A:A)</f>
        <v>Sven Sigurd Biedermann Aberg</v>
      </c>
      <c r="C272" s="83" t="s">
        <v>2182</v>
      </c>
      <c r="D272" s="83" t="s">
        <v>178</v>
      </c>
      <c r="E272" s="83" t="s">
        <v>638</v>
      </c>
      <c r="F272" s="83" t="s">
        <v>639</v>
      </c>
      <c r="G272" s="84">
        <v>3000</v>
      </c>
      <c r="H272" s="85">
        <v>-97.75</v>
      </c>
      <c r="I272" s="86">
        <v>3.2583333333333332E-2</v>
      </c>
      <c r="J272" s="87">
        <v>2902.25</v>
      </c>
      <c r="K272" s="87"/>
      <c r="L272" s="87" t="s">
        <v>4672</v>
      </c>
      <c r="M272" s="87"/>
      <c r="N272" s="521"/>
      <c r="O272" s="521">
        <f>+Tabla4[[#This Row],[PAGO NO EURO]]+Tabla4[[#This Row],[CARGO NO EURO]]</f>
        <v>0</v>
      </c>
      <c r="P272" s="521"/>
      <c r="Q272" s="88"/>
      <c r="R272" s="689">
        <f>+_xlfn.XLOOKUP(Tabla4[[#This Row],[ID CLIENTE]],'RESUMEN CLIENTES'!D:D,'RESUMEN CLIENTES'!G:G)</f>
        <v>45769</v>
      </c>
      <c r="S272" s="88" t="str">
        <f>+_xlfn.XLOOKUP(Tabla4[[#This Row],[ID CLIENTE]],'RESUMEN CLIENTES'!D:D,'RESUMEN CLIENTES'!AA:AA)</f>
        <v>null</v>
      </c>
      <c r="T272" s="680" t="str">
        <f>+_xlfn.XLOOKUP(Tabla4[[#This Row],[ID CLIENTE]],'RESUMEN CLIENTES'!D:D,'RESUMEN CLIENTES'!C:C)</f>
        <v>Chile</v>
      </c>
    </row>
    <row r="273" spans="1:20" ht="16">
      <c r="A273" s="82">
        <v>45875</v>
      </c>
      <c r="B273" s="82" t="str">
        <f>+_xlfn.XLOOKUP(Tabla4[[#This Row],[ID CLIENTE]],'RESUMEN CLIENTES'!D:D,'RESUMEN CLIENTES'!A:A)</f>
        <v>Victor Emanuel Hernández Ruíz</v>
      </c>
      <c r="C273" s="83" t="s">
        <v>2141</v>
      </c>
      <c r="D273" s="83" t="s">
        <v>112</v>
      </c>
      <c r="E273" s="83" t="s">
        <v>640</v>
      </c>
      <c r="F273" s="83" t="s">
        <v>641</v>
      </c>
      <c r="G273" s="84">
        <v>1000</v>
      </c>
      <c r="H273" s="85">
        <v>-32.75</v>
      </c>
      <c r="I273" s="86">
        <f>+IFERROR(-(H273)/G273,"")</f>
        <v>3.2750000000000001E-2</v>
      </c>
      <c r="J273" s="87">
        <f>+G273+H273</f>
        <v>967.25</v>
      </c>
      <c r="K273" s="87"/>
      <c r="L273" s="87" t="s">
        <v>4672</v>
      </c>
      <c r="M273" s="87"/>
      <c r="N273" s="521"/>
      <c r="O273" s="521">
        <f>+Tabla4[[#This Row],[PAGO NO EURO]]+Tabla4[[#This Row],[CARGO NO EURO]]</f>
        <v>0</v>
      </c>
      <c r="P273" s="521"/>
      <c r="Q273" s="88"/>
      <c r="R273" s="689">
        <f>+_xlfn.XLOOKUP(Tabla4[[#This Row],[ID CLIENTE]],'RESUMEN CLIENTES'!D:D,'RESUMEN CLIENTES'!G:G)</f>
        <v>45735</v>
      </c>
      <c r="S273" s="88" t="str">
        <f>+_xlfn.XLOOKUP(Tabla4[[#This Row],[ID CLIENTE]],'RESUMEN CLIENTES'!D:D,'RESUMEN CLIENTES'!AA:AA)</f>
        <v>B2.1</v>
      </c>
      <c r="T273" s="680" t="str">
        <f>+_xlfn.XLOOKUP(Tabla4[[#This Row],[ID CLIENTE]],'RESUMEN CLIENTES'!D:D,'RESUMEN CLIENTES'!C:C)</f>
        <v>México</v>
      </c>
    </row>
    <row r="274" spans="1:20" ht="16">
      <c r="A274" s="82">
        <v>45876</v>
      </c>
      <c r="B274" s="82" t="str">
        <f>+_xlfn.XLOOKUP(Tabla4[[#This Row],[ID CLIENTE]],'RESUMEN CLIENTES'!D:D,'RESUMEN CLIENTES'!A:A)</f>
        <v>Filogonio Maya Mercado</v>
      </c>
      <c r="C274" s="83" t="s">
        <v>2346</v>
      </c>
      <c r="D274" s="83" t="s">
        <v>2347</v>
      </c>
      <c r="E274" s="83" t="s">
        <v>2614</v>
      </c>
      <c r="F274" s="83" t="s">
        <v>2615</v>
      </c>
      <c r="G274" s="84">
        <v>250</v>
      </c>
      <c r="H274" s="85">
        <v>-8.3800000000000008</v>
      </c>
      <c r="I274" s="86">
        <f>+IFERROR(-(H274)/G274,"")</f>
        <v>3.3520000000000001E-2</v>
      </c>
      <c r="J274" s="87">
        <f>+G274+H274</f>
        <v>241.62</v>
      </c>
      <c r="K274" s="87"/>
      <c r="L274" s="87" t="s">
        <v>4672</v>
      </c>
      <c r="M274" s="87"/>
      <c r="N274" s="521"/>
      <c r="O274" s="521">
        <f>+Tabla4[[#This Row],[PAGO NO EURO]]+Tabla4[[#This Row],[CARGO NO EURO]]</f>
        <v>0</v>
      </c>
      <c r="P274" s="521"/>
      <c r="Q274" s="88"/>
      <c r="R274" s="689">
        <f>+_xlfn.XLOOKUP(Tabla4[[#This Row],[ID CLIENTE]],'RESUMEN CLIENTES'!D:D,'RESUMEN CLIENTES'!G:G)</f>
        <v>45876</v>
      </c>
      <c r="S274" s="88" t="str">
        <f>+_xlfn.XLOOKUP(Tabla4[[#This Row],[ID CLIENTE]],'RESUMEN CLIENTES'!D:D,'RESUMEN CLIENTES'!AA:AA)</f>
        <v>null</v>
      </c>
      <c r="T274" s="680" t="str">
        <f>+_xlfn.XLOOKUP(Tabla4[[#This Row],[ID CLIENTE]],'RESUMEN CLIENTES'!D:D,'RESUMEN CLIENTES'!C:C)</f>
        <v>México</v>
      </c>
    </row>
    <row r="275" spans="1:20" ht="16">
      <c r="A275" s="82">
        <v>45876</v>
      </c>
      <c r="B275" s="82" t="str">
        <f>+_xlfn.XLOOKUP(Tabla4[[#This Row],[ID CLIENTE]],'RESUMEN CLIENTES'!D:D,'RESUMEN CLIENTES'!A:A)</f>
        <v>Mayra Leonor Rivera Paico</v>
      </c>
      <c r="C275" s="83" t="s">
        <v>2280</v>
      </c>
      <c r="D275" s="83" t="s">
        <v>407</v>
      </c>
      <c r="E275" s="83" t="s">
        <v>604</v>
      </c>
      <c r="F275" s="83" t="s">
        <v>605</v>
      </c>
      <c r="G275" s="84">
        <v>1000</v>
      </c>
      <c r="H275" s="85">
        <v>-32.75</v>
      </c>
      <c r="I275" s="86">
        <f>+IFERROR(-(H275)/G275,"")</f>
        <v>3.2750000000000001E-2</v>
      </c>
      <c r="J275" s="87">
        <f>+G275+H275</f>
        <v>967.25</v>
      </c>
      <c r="K275" s="87"/>
      <c r="L275" s="87" t="s">
        <v>4672</v>
      </c>
      <c r="M275" s="87"/>
      <c r="N275" s="521"/>
      <c r="O275" s="521">
        <f>+Tabla4[[#This Row],[PAGO NO EURO]]+Tabla4[[#This Row],[CARGO NO EURO]]</f>
        <v>0</v>
      </c>
      <c r="P275" s="521"/>
      <c r="Q275" s="88"/>
      <c r="R275" s="689">
        <f>+_xlfn.XLOOKUP(Tabla4[[#This Row],[ID CLIENTE]],'RESUMEN CLIENTES'!D:D,'RESUMEN CLIENTES'!G:G)</f>
        <v>45842</v>
      </c>
      <c r="S275" s="88" t="str">
        <f>+_xlfn.XLOOKUP(Tabla4[[#This Row],[ID CLIENTE]],'RESUMEN CLIENTES'!D:D,'RESUMEN CLIENTES'!AA:AA)</f>
        <v>A1.1</v>
      </c>
      <c r="T275" s="680" t="str">
        <f>+_xlfn.XLOOKUP(Tabla4[[#This Row],[ID CLIENTE]],'RESUMEN CLIENTES'!D:D,'RESUMEN CLIENTES'!C:C)</f>
        <v>Perú</v>
      </c>
    </row>
    <row r="276" spans="1:20" ht="16">
      <c r="A276" s="82">
        <v>45876</v>
      </c>
      <c r="B276" s="82" t="str">
        <f>+_xlfn.XLOOKUP(Tabla4[[#This Row],[ID CLIENTE]],'RESUMEN CLIENTES'!D:D,'RESUMEN CLIENTES'!A:A)</f>
        <v>Maryori Elizabeth Ramos Tapia</v>
      </c>
      <c r="C276" s="83" t="s">
        <v>2225</v>
      </c>
      <c r="D276" s="83" t="s">
        <v>261</v>
      </c>
      <c r="E276" s="83" t="s">
        <v>630</v>
      </c>
      <c r="F276" s="83" t="s">
        <v>631</v>
      </c>
      <c r="G276" s="84">
        <v>1750</v>
      </c>
      <c r="H276" s="85">
        <v>-57.13</v>
      </c>
      <c r="I276" s="86">
        <v>3.2645714285714285E-2</v>
      </c>
      <c r="J276" s="87">
        <v>1692.87</v>
      </c>
      <c r="K276" s="87"/>
      <c r="L276" s="87" t="s">
        <v>4672</v>
      </c>
      <c r="M276" s="87"/>
      <c r="N276" s="521"/>
      <c r="O276" s="521">
        <f>+Tabla4[[#This Row],[PAGO NO EURO]]+Tabla4[[#This Row],[CARGO NO EURO]]</f>
        <v>0</v>
      </c>
      <c r="P276" s="521"/>
      <c r="Q276" s="88"/>
      <c r="R276" s="689">
        <f>+_xlfn.XLOOKUP(Tabla4[[#This Row],[ID CLIENTE]],'RESUMEN CLIENTES'!D:D,'RESUMEN CLIENTES'!G:G)</f>
        <v>45807</v>
      </c>
      <c r="S276" s="88" t="str">
        <f>+_xlfn.XLOOKUP(Tabla4[[#This Row],[ID CLIENTE]],'RESUMEN CLIENTES'!D:D,'RESUMEN CLIENTES'!AA:AA)</f>
        <v>A1.1</v>
      </c>
      <c r="T276" s="680" t="str">
        <f>+_xlfn.XLOOKUP(Tabla4[[#This Row],[ID CLIENTE]],'RESUMEN CLIENTES'!D:D,'RESUMEN CLIENTES'!C:C)</f>
        <v>Perú</v>
      </c>
    </row>
    <row r="277" spans="1:20" ht="16">
      <c r="A277" s="82">
        <v>45877</v>
      </c>
      <c r="B277" s="82" t="str">
        <f>+_xlfn.XLOOKUP(Tabla4[[#This Row],[ID CLIENTE]],'RESUMEN CLIENTES'!D:D,'RESUMEN CLIENTES'!A:A)</f>
        <v>Nataly Elizabeth Elias Berrios</v>
      </c>
      <c r="C277" s="83" t="s">
        <v>2200</v>
      </c>
      <c r="D277" s="83" t="s">
        <v>816</v>
      </c>
      <c r="E277" s="83" t="s">
        <v>2616</v>
      </c>
      <c r="F277" s="83" t="s">
        <v>2617</v>
      </c>
      <c r="G277" s="84">
        <v>1000</v>
      </c>
      <c r="H277" s="85">
        <v>-32.75</v>
      </c>
      <c r="I277" s="86">
        <f t="shared" ref="I277:I340" si="10">+IFERROR(-(H277)/G277,"")</f>
        <v>3.2750000000000001E-2</v>
      </c>
      <c r="J277" s="87">
        <f t="shared" ref="J277:J340" si="11">+G277+H277</f>
        <v>967.25</v>
      </c>
      <c r="K277" s="87"/>
      <c r="L277" s="87" t="s">
        <v>4672</v>
      </c>
      <c r="M277" s="87"/>
      <c r="N277" s="521"/>
      <c r="O277" s="521">
        <f>+Tabla4[[#This Row],[PAGO NO EURO]]+Tabla4[[#This Row],[CARGO NO EURO]]</f>
        <v>0</v>
      </c>
      <c r="P277" s="521"/>
      <c r="Q277" s="88"/>
      <c r="R277" s="689">
        <f>+_xlfn.XLOOKUP(Tabla4[[#This Row],[ID CLIENTE]],'RESUMEN CLIENTES'!D:D,'RESUMEN CLIENTES'!G:G)</f>
        <v>45807</v>
      </c>
      <c r="S277" s="88" t="str">
        <f>+_xlfn.XLOOKUP(Tabla4[[#This Row],[ID CLIENTE]],'RESUMEN CLIENTES'!D:D,'RESUMEN CLIENTES'!AA:AA)</f>
        <v>null</v>
      </c>
      <c r="T277" s="680" t="str">
        <f>+_xlfn.XLOOKUP(Tabla4[[#This Row],[ID CLIENTE]],'RESUMEN CLIENTES'!D:D,'RESUMEN CLIENTES'!C:C)</f>
        <v>Bolivia</v>
      </c>
    </row>
    <row r="278" spans="1:20" ht="16">
      <c r="A278" s="82">
        <v>45877</v>
      </c>
      <c r="B278" s="82" t="str">
        <f>+_xlfn.XLOOKUP(Tabla4[[#This Row],[ID CLIENTE]],'RESUMEN CLIENTES'!D:D,'RESUMEN CLIENTES'!A:A)</f>
        <v>Nataly Elizabeth Elias Berrios</v>
      </c>
      <c r="C278" s="83" t="s">
        <v>2200</v>
      </c>
      <c r="D278" s="83" t="s">
        <v>816</v>
      </c>
      <c r="E278" s="83" t="s">
        <v>2618</v>
      </c>
      <c r="F278" s="83" t="s">
        <v>2619</v>
      </c>
      <c r="G278" s="84">
        <v>40</v>
      </c>
      <c r="H278" s="85">
        <v>-1.55</v>
      </c>
      <c r="I278" s="86">
        <f t="shared" si="10"/>
        <v>3.875E-2</v>
      </c>
      <c r="J278" s="87">
        <f t="shared" si="11"/>
        <v>38.450000000000003</v>
      </c>
      <c r="K278" s="87"/>
      <c r="L278" s="87" t="s">
        <v>4672</v>
      </c>
      <c r="M278" s="87"/>
      <c r="N278" s="521"/>
      <c r="O278" s="521">
        <f>+Tabla4[[#This Row],[PAGO NO EURO]]+Tabla4[[#This Row],[CARGO NO EURO]]</f>
        <v>0</v>
      </c>
      <c r="P278" s="521"/>
      <c r="Q278" s="88"/>
      <c r="R278" s="689">
        <f>+_xlfn.XLOOKUP(Tabla4[[#This Row],[ID CLIENTE]],'RESUMEN CLIENTES'!D:D,'RESUMEN CLIENTES'!G:G)</f>
        <v>45807</v>
      </c>
      <c r="S278" s="88" t="str">
        <f>+_xlfn.XLOOKUP(Tabla4[[#This Row],[ID CLIENTE]],'RESUMEN CLIENTES'!D:D,'RESUMEN CLIENTES'!AA:AA)</f>
        <v>null</v>
      </c>
      <c r="T278" s="680" t="str">
        <f>+_xlfn.XLOOKUP(Tabla4[[#This Row],[ID CLIENTE]],'RESUMEN CLIENTES'!D:D,'RESUMEN CLIENTES'!C:C)</f>
        <v>Bolivia</v>
      </c>
    </row>
    <row r="279" spans="1:20" ht="16">
      <c r="A279" s="82">
        <v>45878</v>
      </c>
      <c r="B279" s="82" t="str">
        <f>+_xlfn.XLOOKUP(Tabla4[[#This Row],[ID CLIENTE]],'RESUMEN CLIENTES'!D:D,'RESUMEN CLIENTES'!A:A)</f>
        <v>Diego Alonso Salazar Palacios</v>
      </c>
      <c r="C279" s="83" t="s">
        <v>2216</v>
      </c>
      <c r="D279" s="83" t="s">
        <v>253</v>
      </c>
      <c r="E279" s="83" t="s">
        <v>647</v>
      </c>
      <c r="F279" s="83" t="s">
        <v>648</v>
      </c>
      <c r="G279" s="84">
        <v>1000</v>
      </c>
      <c r="H279" s="85">
        <v>-32.75</v>
      </c>
      <c r="I279" s="86">
        <f t="shared" si="10"/>
        <v>3.2750000000000001E-2</v>
      </c>
      <c r="J279" s="87">
        <f t="shared" si="11"/>
        <v>967.25</v>
      </c>
      <c r="K279" s="87"/>
      <c r="L279" s="87" t="s">
        <v>4672</v>
      </c>
      <c r="M279" s="87"/>
      <c r="N279" s="521"/>
      <c r="O279" s="521">
        <f>+Tabla4[[#This Row],[PAGO NO EURO]]+Tabla4[[#This Row],[CARGO NO EURO]]</f>
        <v>0</v>
      </c>
      <c r="P279" s="521"/>
      <c r="Q279" s="88"/>
      <c r="R279" s="689">
        <f>+_xlfn.XLOOKUP(Tabla4[[#This Row],[ID CLIENTE]],'RESUMEN CLIENTES'!D:D,'RESUMEN CLIENTES'!G:G)</f>
        <v>45803</v>
      </c>
      <c r="S279" s="88" t="str">
        <f>+_xlfn.XLOOKUP(Tabla4[[#This Row],[ID CLIENTE]],'RESUMEN CLIENTES'!D:D,'RESUMEN CLIENTES'!AA:AA)</f>
        <v>A1.1</v>
      </c>
      <c r="T279" s="680" t="str">
        <f>+_xlfn.XLOOKUP(Tabla4[[#This Row],[ID CLIENTE]],'RESUMEN CLIENTES'!D:D,'RESUMEN CLIENTES'!C:C)</f>
        <v>Perú</v>
      </c>
    </row>
    <row r="280" spans="1:20" ht="16">
      <c r="A280" s="82">
        <v>45878</v>
      </c>
      <c r="B280" s="82" t="str">
        <f>+_xlfn.XLOOKUP(Tabla4[[#This Row],[ID CLIENTE]],'RESUMEN CLIENTES'!D:D,'RESUMEN CLIENTES'!A:A)</f>
        <v>Virna Nathaly Montenegro Samaniego</v>
      </c>
      <c r="C280" s="83" t="s">
        <v>2349</v>
      </c>
      <c r="D280" s="83" t="s">
        <v>706</v>
      </c>
      <c r="E280" s="83" t="s">
        <v>707</v>
      </c>
      <c r="F280" s="83" t="s">
        <v>708</v>
      </c>
      <c r="G280" s="84">
        <v>250</v>
      </c>
      <c r="H280" s="85">
        <v>-8.3800000000000008</v>
      </c>
      <c r="I280" s="86">
        <f t="shared" si="10"/>
        <v>3.3520000000000001E-2</v>
      </c>
      <c r="J280" s="87">
        <f t="shared" si="11"/>
        <v>241.62</v>
      </c>
      <c r="K280" s="87"/>
      <c r="L280" s="87" t="s">
        <v>4672</v>
      </c>
      <c r="M280" s="87"/>
      <c r="N280" s="521"/>
      <c r="O280" s="521">
        <f>+Tabla4[[#This Row],[PAGO NO EURO]]+Tabla4[[#This Row],[CARGO NO EURO]]</f>
        <v>0</v>
      </c>
      <c r="P280" s="521"/>
      <c r="Q280" s="88"/>
      <c r="R280" s="689">
        <f>+_xlfn.XLOOKUP(Tabla4[[#This Row],[ID CLIENTE]],'RESUMEN CLIENTES'!D:D,'RESUMEN CLIENTES'!G:G)</f>
        <v>45878</v>
      </c>
      <c r="S280" s="88" t="str">
        <f>+_xlfn.XLOOKUP(Tabla4[[#This Row],[ID CLIENTE]],'RESUMEN CLIENTES'!D:D,'RESUMEN CLIENTES'!AA:AA)</f>
        <v>A1 komplett</v>
      </c>
      <c r="T280" s="680" t="str">
        <f>+_xlfn.XLOOKUP(Tabla4[[#This Row],[ID CLIENTE]],'RESUMEN CLIENTES'!D:D,'RESUMEN CLIENTES'!C:C)</f>
        <v>Ecuador</v>
      </c>
    </row>
    <row r="281" spans="1:20" ht="16">
      <c r="A281" s="82">
        <v>45878</v>
      </c>
      <c r="B281" s="82" t="str">
        <f>+_xlfn.XLOOKUP(Tabla4[[#This Row],[ID CLIENTE]],'RESUMEN CLIENTES'!D:D,'RESUMEN CLIENTES'!A:A)</f>
        <v>Nataly Elizabeth Elias Berrios</v>
      </c>
      <c r="C281" s="83" t="s">
        <v>2200</v>
      </c>
      <c r="D281" s="83" t="s">
        <v>816</v>
      </c>
      <c r="E281" s="83" t="s">
        <v>2620</v>
      </c>
      <c r="F281" s="83" t="s">
        <v>2621</v>
      </c>
      <c r="G281" s="84">
        <v>40</v>
      </c>
      <c r="H281" s="85">
        <v>-1.55</v>
      </c>
      <c r="I281" s="86">
        <f t="shared" si="10"/>
        <v>3.875E-2</v>
      </c>
      <c r="J281" s="87">
        <f t="shared" si="11"/>
        <v>38.450000000000003</v>
      </c>
      <c r="K281" s="87"/>
      <c r="L281" s="87" t="s">
        <v>4672</v>
      </c>
      <c r="M281" s="87"/>
      <c r="N281" s="521"/>
      <c r="O281" s="521">
        <f>+Tabla4[[#This Row],[PAGO NO EURO]]+Tabla4[[#This Row],[CARGO NO EURO]]</f>
        <v>0</v>
      </c>
      <c r="P281" s="521"/>
      <c r="Q281" s="88"/>
      <c r="R281" s="689">
        <f>+_xlfn.XLOOKUP(Tabla4[[#This Row],[ID CLIENTE]],'RESUMEN CLIENTES'!D:D,'RESUMEN CLIENTES'!G:G)</f>
        <v>45807</v>
      </c>
      <c r="S281" s="88" t="str">
        <f>+_xlfn.XLOOKUP(Tabla4[[#This Row],[ID CLIENTE]],'RESUMEN CLIENTES'!D:D,'RESUMEN CLIENTES'!AA:AA)</f>
        <v>null</v>
      </c>
      <c r="T281" s="680" t="str">
        <f>+_xlfn.XLOOKUP(Tabla4[[#This Row],[ID CLIENTE]],'RESUMEN CLIENTES'!D:D,'RESUMEN CLIENTES'!C:C)</f>
        <v>Bolivia</v>
      </c>
    </row>
    <row r="282" spans="1:20" ht="16">
      <c r="A282" s="82">
        <v>45879</v>
      </c>
      <c r="B282" s="82" t="str">
        <f>+_xlfn.XLOOKUP(Tabla4[[#This Row],[ID CLIENTE]],'RESUMEN CLIENTES'!D:D,'RESUMEN CLIENTES'!A:A)</f>
        <v>María de los Ángeles Gutiérrez Quevedo</v>
      </c>
      <c r="C282" s="83" t="s">
        <v>2233</v>
      </c>
      <c r="D282" s="83" t="s">
        <v>274</v>
      </c>
      <c r="E282" s="83" t="s">
        <v>649</v>
      </c>
      <c r="F282" s="83" t="s">
        <v>650</v>
      </c>
      <c r="G282" s="84">
        <v>1500</v>
      </c>
      <c r="H282" s="85">
        <v>-49</v>
      </c>
      <c r="I282" s="86">
        <f t="shared" si="10"/>
        <v>3.2666666666666663E-2</v>
      </c>
      <c r="J282" s="87">
        <f t="shared" si="11"/>
        <v>1451</v>
      </c>
      <c r="K282" s="87"/>
      <c r="L282" s="87" t="s">
        <v>4672</v>
      </c>
      <c r="M282" s="87"/>
      <c r="N282" s="521"/>
      <c r="O282" s="521">
        <f>+Tabla4[[#This Row],[PAGO NO EURO]]+Tabla4[[#This Row],[CARGO NO EURO]]</f>
        <v>0</v>
      </c>
      <c r="P282" s="521"/>
      <c r="Q282" s="88"/>
      <c r="R282" s="689">
        <f>+_xlfn.XLOOKUP(Tabla4[[#This Row],[ID CLIENTE]],'RESUMEN CLIENTES'!D:D,'RESUMEN CLIENTES'!G:G)</f>
        <v>45810</v>
      </c>
      <c r="S282" s="88" t="str">
        <f>+_xlfn.XLOOKUP(Tabla4[[#This Row],[ID CLIENTE]],'RESUMEN CLIENTES'!D:D,'RESUMEN CLIENTES'!AA:AA)</f>
        <v>A1.1</v>
      </c>
      <c r="T282" s="680" t="str">
        <f>+_xlfn.XLOOKUP(Tabla4[[#This Row],[ID CLIENTE]],'RESUMEN CLIENTES'!D:D,'RESUMEN CLIENTES'!C:C)</f>
        <v>Chile</v>
      </c>
    </row>
    <row r="283" spans="1:20" ht="16">
      <c r="A283" s="82">
        <v>45879</v>
      </c>
      <c r="B283" s="82" t="str">
        <f>+_xlfn.XLOOKUP(Tabla4[[#This Row],[ID CLIENTE]],'RESUMEN CLIENTES'!D:D,'RESUMEN CLIENTES'!A:A)</f>
        <v>Rodrigo Alfonso Busse Hernández</v>
      </c>
      <c r="C283" s="83" t="s">
        <v>2231</v>
      </c>
      <c r="D283" s="83" t="s">
        <v>275</v>
      </c>
      <c r="E283" s="83" t="s">
        <v>653</v>
      </c>
      <c r="F283" s="83" t="s">
        <v>654</v>
      </c>
      <c r="G283" s="84">
        <v>1111</v>
      </c>
      <c r="H283" s="85">
        <v>-36.36</v>
      </c>
      <c r="I283" s="86">
        <f t="shared" si="10"/>
        <v>3.272727272727273E-2</v>
      </c>
      <c r="J283" s="87">
        <f t="shared" si="11"/>
        <v>1074.6400000000001</v>
      </c>
      <c r="K283" s="87"/>
      <c r="L283" s="87" t="s">
        <v>4672</v>
      </c>
      <c r="M283" s="87"/>
      <c r="N283" s="521"/>
      <c r="O283" s="521">
        <f>+Tabla4[[#This Row],[PAGO NO EURO]]+Tabla4[[#This Row],[CARGO NO EURO]]</f>
        <v>0</v>
      </c>
      <c r="P283" s="521"/>
      <c r="Q283" s="88"/>
      <c r="R283" s="689">
        <f>+_xlfn.XLOOKUP(Tabla4[[#This Row],[ID CLIENTE]],'RESUMEN CLIENTES'!D:D,'RESUMEN CLIENTES'!G:G)</f>
        <v>45810</v>
      </c>
      <c r="S283" s="88" t="str">
        <f>+_xlfn.XLOOKUP(Tabla4[[#This Row],[ID CLIENTE]],'RESUMEN CLIENTES'!D:D,'RESUMEN CLIENTES'!AA:AA)</f>
        <v>null</v>
      </c>
      <c r="T283" s="680" t="str">
        <f>+_xlfn.XLOOKUP(Tabla4[[#This Row],[ID CLIENTE]],'RESUMEN CLIENTES'!D:D,'RESUMEN CLIENTES'!C:C)</f>
        <v>Chile</v>
      </c>
    </row>
    <row r="284" spans="1:20" ht="16">
      <c r="A284" s="82">
        <v>45879</v>
      </c>
      <c r="B284" s="82" t="str">
        <f>+_xlfn.XLOOKUP(Tabla4[[#This Row],[ID CLIENTE]],'RESUMEN CLIENTES'!D:D,'RESUMEN CLIENTES'!A:A)</f>
        <v>Liliana María Moreno Martinez</v>
      </c>
      <c r="C284" s="83" t="s">
        <v>2237</v>
      </c>
      <c r="D284" s="83" t="s">
        <v>278</v>
      </c>
      <c r="E284" s="83" t="s">
        <v>645</v>
      </c>
      <c r="F284" s="83" t="s">
        <v>646</v>
      </c>
      <c r="G284" s="84">
        <v>500</v>
      </c>
      <c r="H284" s="85">
        <v>-16.5</v>
      </c>
      <c r="I284" s="86">
        <f t="shared" si="10"/>
        <v>3.3000000000000002E-2</v>
      </c>
      <c r="J284" s="87">
        <f t="shared" si="11"/>
        <v>483.5</v>
      </c>
      <c r="K284" s="87"/>
      <c r="L284" s="87" t="s">
        <v>4672</v>
      </c>
      <c r="M284" s="87"/>
      <c r="N284" s="521"/>
      <c r="O284" s="521">
        <f>+Tabla4[[#This Row],[PAGO NO EURO]]+Tabla4[[#This Row],[CARGO NO EURO]]</f>
        <v>0</v>
      </c>
      <c r="P284" s="521"/>
      <c r="Q284" s="88"/>
      <c r="R284" s="689">
        <f>+_xlfn.XLOOKUP(Tabla4[[#This Row],[ID CLIENTE]],'RESUMEN CLIENTES'!D:D,'RESUMEN CLIENTES'!G:G)</f>
        <v>45812</v>
      </c>
      <c r="S284" s="88" t="str">
        <f>+_xlfn.XLOOKUP(Tabla4[[#This Row],[ID CLIENTE]],'RESUMEN CLIENTES'!D:D,'RESUMEN CLIENTES'!AA:AA)</f>
        <v>A1.1</v>
      </c>
      <c r="T284" s="680" t="str">
        <f>+_xlfn.XLOOKUP(Tabla4[[#This Row],[ID CLIENTE]],'RESUMEN CLIENTES'!D:D,'RESUMEN CLIENTES'!C:C)</f>
        <v>El Salvador</v>
      </c>
    </row>
    <row r="285" spans="1:20" ht="16">
      <c r="A285" s="82">
        <v>45880</v>
      </c>
      <c r="B285" s="82" t="str">
        <f>+_xlfn.XLOOKUP(Tabla4[[#This Row],[ID CLIENTE]],'RESUMEN CLIENTES'!D:D,'RESUMEN CLIENTES'!A:A)</f>
        <v>Yaritza Soledad Martinez Rodriguez</v>
      </c>
      <c r="C285" s="83" t="s">
        <v>2319</v>
      </c>
      <c r="D285" s="83" t="s">
        <v>538</v>
      </c>
      <c r="E285" s="83" t="s">
        <v>655</v>
      </c>
      <c r="F285" s="83" t="s">
        <v>656</v>
      </c>
      <c r="G285" s="84">
        <v>4300</v>
      </c>
      <c r="H285" s="85">
        <v>-5</v>
      </c>
      <c r="I285" s="86">
        <f t="shared" si="10"/>
        <v>1.1627906976744186E-3</v>
      </c>
      <c r="J285" s="87">
        <f t="shared" si="11"/>
        <v>4295</v>
      </c>
      <c r="K285" s="87" t="s">
        <v>2591</v>
      </c>
      <c r="L285" s="87" t="s">
        <v>4672</v>
      </c>
      <c r="M285" s="87"/>
      <c r="N285" s="521"/>
      <c r="O285" s="521">
        <f>+Tabla4[[#This Row],[PAGO NO EURO]]+Tabla4[[#This Row],[CARGO NO EURO]]</f>
        <v>0</v>
      </c>
      <c r="P285" s="521"/>
      <c r="Q285" s="88"/>
      <c r="R285" s="689">
        <f>+_xlfn.XLOOKUP(Tabla4[[#This Row],[ID CLIENTE]],'RESUMEN CLIENTES'!D:D,'RESUMEN CLIENTES'!G:G)</f>
        <v>45867</v>
      </c>
      <c r="S285" s="88" t="str">
        <f>+_xlfn.XLOOKUP(Tabla4[[#This Row],[ID CLIENTE]],'RESUMEN CLIENTES'!D:D,'RESUMEN CLIENTES'!AA:AA)</f>
        <v>B2.1</v>
      </c>
      <c r="T285" s="680" t="str">
        <f>+_xlfn.XLOOKUP(Tabla4[[#This Row],[ID CLIENTE]],'RESUMEN CLIENTES'!D:D,'RESUMEN CLIENTES'!C:C)</f>
        <v>Argentina</v>
      </c>
    </row>
    <row r="286" spans="1:20" ht="16">
      <c r="A286" s="82">
        <v>45880</v>
      </c>
      <c r="B286" s="82" t="str">
        <f>+_xlfn.XLOOKUP(Tabla4[[#This Row],[ID CLIENTE]],'RESUMEN CLIENTES'!D:D,'RESUMEN CLIENTES'!A:A)</f>
        <v>Yaritza Soledad Martinez Rodriguez</v>
      </c>
      <c r="C286" s="83" t="s">
        <v>2319</v>
      </c>
      <c r="D286" s="83" t="s">
        <v>538</v>
      </c>
      <c r="E286" s="83" t="s">
        <v>657</v>
      </c>
      <c r="F286" s="83" t="s">
        <v>658</v>
      </c>
      <c r="G286" s="84">
        <v>700</v>
      </c>
      <c r="H286" s="85">
        <v>-3.5</v>
      </c>
      <c r="I286" s="86">
        <f t="shared" si="10"/>
        <v>5.0000000000000001E-3</v>
      </c>
      <c r="J286" s="87">
        <f t="shared" si="11"/>
        <v>696.5</v>
      </c>
      <c r="K286" s="87"/>
      <c r="L286" s="87" t="s">
        <v>4672</v>
      </c>
      <c r="M286" s="87"/>
      <c r="N286" s="521"/>
      <c r="O286" s="521">
        <f>+Tabla4[[#This Row],[PAGO NO EURO]]+Tabla4[[#This Row],[CARGO NO EURO]]</f>
        <v>0</v>
      </c>
      <c r="P286" s="521"/>
      <c r="Q286" s="88"/>
      <c r="R286" s="689">
        <f>+_xlfn.XLOOKUP(Tabla4[[#This Row],[ID CLIENTE]],'RESUMEN CLIENTES'!D:D,'RESUMEN CLIENTES'!G:G)</f>
        <v>45867</v>
      </c>
      <c r="S286" s="88" t="str">
        <f>+_xlfn.XLOOKUP(Tabla4[[#This Row],[ID CLIENTE]],'RESUMEN CLIENTES'!D:D,'RESUMEN CLIENTES'!AA:AA)</f>
        <v>B2.1</v>
      </c>
      <c r="T286" s="680" t="str">
        <f>+_xlfn.XLOOKUP(Tabla4[[#This Row],[ID CLIENTE]],'RESUMEN CLIENTES'!D:D,'RESUMEN CLIENTES'!C:C)</f>
        <v>Argentina</v>
      </c>
    </row>
    <row r="287" spans="1:20" ht="16">
      <c r="A287" s="82">
        <v>45881</v>
      </c>
      <c r="B287" s="82" t="str">
        <f>+_xlfn.XLOOKUP(Tabla4[[#This Row],[ID CLIENTE]],'RESUMEN CLIENTES'!D:D,'RESUMEN CLIENTES'!A:A)</f>
        <v>Juan Pablo Martínez Cabello</v>
      </c>
      <c r="C287" s="83" t="s">
        <v>2154</v>
      </c>
      <c r="D287" s="83" t="s">
        <v>136</v>
      </c>
      <c r="E287" s="83" t="s">
        <v>687</v>
      </c>
      <c r="F287" s="83" t="s">
        <v>688</v>
      </c>
      <c r="G287" s="84">
        <v>1500</v>
      </c>
      <c r="H287" s="85">
        <v>-49</v>
      </c>
      <c r="I287" s="86">
        <f t="shared" si="10"/>
        <v>3.2666666666666663E-2</v>
      </c>
      <c r="J287" s="87">
        <f t="shared" si="11"/>
        <v>1451</v>
      </c>
      <c r="K287" s="87"/>
      <c r="L287" s="87" t="s">
        <v>4672</v>
      </c>
      <c r="M287" s="87"/>
      <c r="N287" s="521"/>
      <c r="O287" s="521">
        <f>+Tabla4[[#This Row],[PAGO NO EURO]]+Tabla4[[#This Row],[CARGO NO EURO]]</f>
        <v>0</v>
      </c>
      <c r="P287" s="521"/>
      <c r="Q287" s="88"/>
      <c r="R287" s="689">
        <f>+_xlfn.XLOOKUP(Tabla4[[#This Row],[ID CLIENTE]],'RESUMEN CLIENTES'!D:D,'RESUMEN CLIENTES'!G:G)</f>
        <v>45743</v>
      </c>
      <c r="S287" s="88" t="str">
        <f>+_xlfn.XLOOKUP(Tabla4[[#This Row],[ID CLIENTE]],'RESUMEN CLIENTES'!D:D,'RESUMEN CLIENTES'!AA:AA)</f>
        <v>B1.1</v>
      </c>
      <c r="T287" s="680" t="str">
        <f>+_xlfn.XLOOKUP(Tabla4[[#This Row],[ID CLIENTE]],'RESUMEN CLIENTES'!D:D,'RESUMEN CLIENTES'!C:C)</f>
        <v>Chile</v>
      </c>
    </row>
    <row r="288" spans="1:20" ht="16">
      <c r="A288" s="82">
        <v>45881</v>
      </c>
      <c r="B288" s="82" t="str">
        <f>+_xlfn.XLOOKUP(Tabla4[[#This Row],[ID CLIENTE]],'RESUMEN CLIENTES'!D:D,'RESUMEN CLIENTES'!A:A)</f>
        <v>Kimberly Chantelle Frey Arteaga</v>
      </c>
      <c r="C288" s="83" t="s">
        <v>2311</v>
      </c>
      <c r="D288" s="83" t="s">
        <v>501</v>
      </c>
      <c r="E288" s="83" t="s">
        <v>663</v>
      </c>
      <c r="F288" s="83" t="s">
        <v>664</v>
      </c>
      <c r="G288" s="84">
        <v>3750</v>
      </c>
      <c r="H288" s="85">
        <v>-122.13</v>
      </c>
      <c r="I288" s="86">
        <f t="shared" si="10"/>
        <v>3.2568E-2</v>
      </c>
      <c r="J288" s="87">
        <f t="shared" si="11"/>
        <v>3627.87</v>
      </c>
      <c r="K288" s="87"/>
      <c r="L288" s="87" t="s">
        <v>4672</v>
      </c>
      <c r="M288" s="87"/>
      <c r="N288" s="521"/>
      <c r="O288" s="521">
        <f>+Tabla4[[#This Row],[PAGO NO EURO]]+Tabla4[[#This Row],[CARGO NO EURO]]</f>
        <v>0</v>
      </c>
      <c r="P288" s="521"/>
      <c r="Q288" s="88"/>
      <c r="R288" s="689">
        <f>+_xlfn.XLOOKUP(Tabla4[[#This Row],[ID CLIENTE]],'RESUMEN CLIENTES'!D:D,'RESUMEN CLIENTES'!G:G)</f>
        <v>45858</v>
      </c>
      <c r="S288" s="88" t="str">
        <f>+_xlfn.XLOOKUP(Tabla4[[#This Row],[ID CLIENTE]],'RESUMEN CLIENTES'!D:D,'RESUMEN CLIENTES'!AA:AA)</f>
        <v>A1.1</v>
      </c>
      <c r="T288" s="680" t="str">
        <f>+_xlfn.XLOOKUP(Tabla4[[#This Row],[ID CLIENTE]],'RESUMEN CLIENTES'!D:D,'RESUMEN CLIENTES'!C:C)</f>
        <v>México</v>
      </c>
    </row>
    <row r="289" spans="1:20" ht="16">
      <c r="A289" s="82">
        <v>45881</v>
      </c>
      <c r="B289" s="82" t="str">
        <f>+_xlfn.XLOOKUP(Tabla4[[#This Row],[ID CLIENTE]],'RESUMEN CLIENTES'!D:D,'RESUMEN CLIENTES'!A:A)</f>
        <v>Yaritza Soledad Martinez Rodriguez</v>
      </c>
      <c r="C289" s="83" t="s">
        <v>2319</v>
      </c>
      <c r="D289" s="83" t="s">
        <v>538</v>
      </c>
      <c r="E289" s="83" t="s">
        <v>659</v>
      </c>
      <c r="F289" s="83" t="s">
        <v>660</v>
      </c>
      <c r="G289" s="84">
        <v>9950</v>
      </c>
      <c r="H289" s="85">
        <v>-5</v>
      </c>
      <c r="I289" s="86">
        <f t="shared" si="10"/>
        <v>5.025125628140704E-4</v>
      </c>
      <c r="J289" s="87">
        <f t="shared" si="11"/>
        <v>9945</v>
      </c>
      <c r="K289" s="87"/>
      <c r="L289" s="87" t="s">
        <v>4672</v>
      </c>
      <c r="M289" s="87"/>
      <c r="N289" s="521"/>
      <c r="O289" s="521">
        <f>+Tabla4[[#This Row],[PAGO NO EURO]]+Tabla4[[#This Row],[CARGO NO EURO]]</f>
        <v>0</v>
      </c>
      <c r="P289" s="521"/>
      <c r="Q289" s="88"/>
      <c r="R289" s="689">
        <f>+_xlfn.XLOOKUP(Tabla4[[#This Row],[ID CLIENTE]],'RESUMEN CLIENTES'!D:D,'RESUMEN CLIENTES'!G:G)</f>
        <v>45867</v>
      </c>
      <c r="S289" s="88" t="str">
        <f>+_xlfn.XLOOKUP(Tabla4[[#This Row],[ID CLIENTE]],'RESUMEN CLIENTES'!D:D,'RESUMEN CLIENTES'!AA:AA)</f>
        <v>B2.1</v>
      </c>
      <c r="T289" s="680" t="str">
        <f>+_xlfn.XLOOKUP(Tabla4[[#This Row],[ID CLIENTE]],'RESUMEN CLIENTES'!D:D,'RESUMEN CLIENTES'!C:C)</f>
        <v>Argentina</v>
      </c>
    </row>
    <row r="290" spans="1:20" ht="16">
      <c r="A290" s="82">
        <v>45882</v>
      </c>
      <c r="B290" s="82" t="str">
        <f>+_xlfn.XLOOKUP(Tabla4[[#This Row],[ID CLIENTE]],'RESUMEN CLIENTES'!D:D,'RESUMEN CLIENTES'!A:A)</f>
        <v>Olguer Ariel Pruna Herrera</v>
      </c>
      <c r="C290" s="83" t="s">
        <v>2353</v>
      </c>
      <c r="D290" s="83" t="s">
        <v>695</v>
      </c>
      <c r="E290" s="83" t="s">
        <v>696</v>
      </c>
      <c r="F290" s="83" t="s">
        <v>697</v>
      </c>
      <c r="G290" s="84">
        <v>250</v>
      </c>
      <c r="H290" s="85">
        <v>-8.3800000000000008</v>
      </c>
      <c r="I290" s="86">
        <f t="shared" si="10"/>
        <v>3.3520000000000001E-2</v>
      </c>
      <c r="J290" s="87">
        <f t="shared" si="11"/>
        <v>241.62</v>
      </c>
      <c r="K290" s="87"/>
      <c r="L290" s="87" t="s">
        <v>4672</v>
      </c>
      <c r="M290" s="87"/>
      <c r="N290" s="521"/>
      <c r="O290" s="521">
        <f>+Tabla4[[#This Row],[PAGO NO EURO]]+Tabla4[[#This Row],[CARGO NO EURO]]</f>
        <v>0</v>
      </c>
      <c r="P290" s="521"/>
      <c r="Q290" s="88"/>
      <c r="R290" s="689">
        <f>+_xlfn.XLOOKUP(Tabla4[[#This Row],[ID CLIENTE]],'RESUMEN CLIENTES'!D:D,'RESUMEN CLIENTES'!G:G)</f>
        <v>45882</v>
      </c>
      <c r="S290" s="88" t="str">
        <f>+_xlfn.XLOOKUP(Tabla4[[#This Row],[ID CLIENTE]],'RESUMEN CLIENTES'!D:D,'RESUMEN CLIENTES'!AA:AA)</f>
        <v>A1.1</v>
      </c>
      <c r="T290" s="680" t="str">
        <f>+_xlfn.XLOOKUP(Tabla4[[#This Row],[ID CLIENTE]],'RESUMEN CLIENTES'!D:D,'RESUMEN CLIENTES'!C:C)</f>
        <v>Ecuador</v>
      </c>
    </row>
    <row r="291" spans="1:20" ht="16">
      <c r="A291" s="82">
        <v>45882</v>
      </c>
      <c r="B291" s="82" t="str">
        <f>+_xlfn.XLOOKUP(Tabla4[[#This Row],[ID CLIENTE]],'RESUMEN CLIENTES'!D:D,'RESUMEN CLIENTES'!A:A)</f>
        <v>Jonathan Christian Cardenas Peña</v>
      </c>
      <c r="C291" s="83" t="s">
        <v>2355</v>
      </c>
      <c r="D291" s="83" t="s">
        <v>670</v>
      </c>
      <c r="E291" s="83" t="s">
        <v>671</v>
      </c>
      <c r="F291" s="83" t="s">
        <v>672</v>
      </c>
      <c r="G291" s="84">
        <v>5000</v>
      </c>
      <c r="H291" s="85">
        <v>-5</v>
      </c>
      <c r="I291" s="86">
        <f t="shared" si="10"/>
        <v>1E-3</v>
      </c>
      <c r="J291" s="87">
        <f t="shared" si="11"/>
        <v>4995</v>
      </c>
      <c r="K291" s="87"/>
      <c r="L291" s="87" t="s">
        <v>4672</v>
      </c>
      <c r="M291" s="87"/>
      <c r="N291" s="521"/>
      <c r="O291" s="521">
        <f>+Tabla4[[#This Row],[PAGO NO EURO]]+Tabla4[[#This Row],[CARGO NO EURO]]</f>
        <v>0</v>
      </c>
      <c r="P291" s="521"/>
      <c r="Q291" s="88"/>
      <c r="R291" s="689">
        <f>+_xlfn.XLOOKUP(Tabla4[[#This Row],[ID CLIENTE]],'RESUMEN CLIENTES'!D:D,'RESUMEN CLIENTES'!G:G)</f>
        <v>45882</v>
      </c>
      <c r="S291" s="88" t="str">
        <f>+_xlfn.XLOOKUP(Tabla4[[#This Row],[ID CLIENTE]],'RESUMEN CLIENTES'!D:D,'RESUMEN CLIENTES'!AA:AA)</f>
        <v>A1.2</v>
      </c>
      <c r="T291" s="680" t="str">
        <f>+_xlfn.XLOOKUP(Tabla4[[#This Row],[ID CLIENTE]],'RESUMEN CLIENTES'!D:D,'RESUMEN CLIENTES'!C:C)</f>
        <v>Ecuador</v>
      </c>
    </row>
    <row r="292" spans="1:20" ht="16">
      <c r="A292" s="82">
        <v>45882</v>
      </c>
      <c r="B292" s="82" t="str">
        <f>+_xlfn.XLOOKUP(Tabla4[[#This Row],[ID CLIENTE]],'RESUMEN CLIENTES'!D:D,'RESUMEN CLIENTES'!A:A)</f>
        <v>Daniel Alberto Hidrovo Moreno</v>
      </c>
      <c r="C292" s="83" t="s">
        <v>2351</v>
      </c>
      <c r="D292" s="83" t="s">
        <v>667</v>
      </c>
      <c r="E292" s="83" t="s">
        <v>668</v>
      </c>
      <c r="F292" s="83" t="s">
        <v>669</v>
      </c>
      <c r="G292" s="84">
        <v>250</v>
      </c>
      <c r="H292" s="85">
        <v>-8.3800000000000008</v>
      </c>
      <c r="I292" s="86">
        <f t="shared" si="10"/>
        <v>3.3520000000000001E-2</v>
      </c>
      <c r="J292" s="87">
        <f t="shared" si="11"/>
        <v>241.62</v>
      </c>
      <c r="K292" s="87"/>
      <c r="L292" s="87" t="s">
        <v>4672</v>
      </c>
      <c r="M292" s="87"/>
      <c r="N292" s="521"/>
      <c r="O292" s="521">
        <f>+Tabla4[[#This Row],[PAGO NO EURO]]+Tabla4[[#This Row],[CARGO NO EURO]]</f>
        <v>0</v>
      </c>
      <c r="P292" s="521"/>
      <c r="Q292" s="88"/>
      <c r="R292" s="689">
        <f>+_xlfn.XLOOKUP(Tabla4[[#This Row],[ID CLIENTE]],'RESUMEN CLIENTES'!D:D,'RESUMEN CLIENTES'!G:G)</f>
        <v>45882</v>
      </c>
      <c r="S292" s="88" t="str">
        <f>+_xlfn.XLOOKUP(Tabla4[[#This Row],[ID CLIENTE]],'RESUMEN CLIENTES'!D:D,'RESUMEN CLIENTES'!AA:AA)</f>
        <v>null</v>
      </c>
      <c r="T292" s="680" t="str">
        <f>+_xlfn.XLOOKUP(Tabla4[[#This Row],[ID CLIENTE]],'RESUMEN CLIENTES'!D:D,'RESUMEN CLIENTES'!C:C)</f>
        <v>Ecuador</v>
      </c>
    </row>
    <row r="293" spans="1:20" ht="16">
      <c r="A293" s="82">
        <v>45883</v>
      </c>
      <c r="B293" s="82" t="str">
        <f>+_xlfn.XLOOKUP(Tabla4[[#This Row],[ID CLIENTE]],'RESUMEN CLIENTES'!D:D,'RESUMEN CLIENTES'!A:A)</f>
        <v>Isaac Ricardo Jimenez Campos</v>
      </c>
      <c r="C293" s="83" t="s">
        <v>2131</v>
      </c>
      <c r="D293" s="83" t="s">
        <v>103</v>
      </c>
      <c r="E293" s="83" t="s">
        <v>677</v>
      </c>
      <c r="F293" s="83" t="s">
        <v>678</v>
      </c>
      <c r="G293" s="84">
        <v>654</v>
      </c>
      <c r="H293" s="85">
        <v>-21.51</v>
      </c>
      <c r="I293" s="86">
        <f t="shared" si="10"/>
        <v>3.2889908256880734E-2</v>
      </c>
      <c r="J293" s="87">
        <f t="shared" si="11"/>
        <v>632.49</v>
      </c>
      <c r="K293" s="87"/>
      <c r="L293" s="87" t="s">
        <v>4672</v>
      </c>
      <c r="M293" s="87"/>
      <c r="N293" s="521"/>
      <c r="O293" s="521">
        <f>+Tabla4[[#This Row],[PAGO NO EURO]]+Tabla4[[#This Row],[CARGO NO EURO]]</f>
        <v>0</v>
      </c>
      <c r="P293" s="521"/>
      <c r="Q293" s="88"/>
      <c r="R293" s="689">
        <f>+_xlfn.XLOOKUP(Tabla4[[#This Row],[ID CLIENTE]],'RESUMEN CLIENTES'!D:D,'RESUMEN CLIENTES'!G:G)</f>
        <v>45725</v>
      </c>
      <c r="S293" s="88" t="str">
        <f>+_xlfn.XLOOKUP(Tabla4[[#This Row],[ID CLIENTE]],'RESUMEN CLIENTES'!D:D,'RESUMEN CLIENTES'!AA:AA)</f>
        <v>null</v>
      </c>
      <c r="T293" s="680" t="str">
        <f>+_xlfn.XLOOKUP(Tabla4[[#This Row],[ID CLIENTE]],'RESUMEN CLIENTES'!D:D,'RESUMEN CLIENTES'!C:C)</f>
        <v>México</v>
      </c>
    </row>
    <row r="294" spans="1:20" ht="16">
      <c r="A294" s="82">
        <v>45884</v>
      </c>
      <c r="B294" s="82" t="str">
        <f>+_xlfn.XLOOKUP(Tabla4[[#This Row],[ID CLIENTE]],'RESUMEN CLIENTES'!D:D,'RESUMEN CLIENTES'!A:A)</f>
        <v>Alina Maria Cervantes Real</v>
      </c>
      <c r="C294" s="83" t="s">
        <v>2149</v>
      </c>
      <c r="D294" s="83" t="s">
        <v>187</v>
      </c>
      <c r="E294" s="83" t="s">
        <v>673</v>
      </c>
      <c r="F294" s="83" t="s">
        <v>674</v>
      </c>
      <c r="G294" s="84">
        <v>1500</v>
      </c>
      <c r="H294" s="85">
        <v>-49</v>
      </c>
      <c r="I294" s="86">
        <f t="shared" si="10"/>
        <v>3.2666666666666663E-2</v>
      </c>
      <c r="J294" s="87">
        <f t="shared" si="11"/>
        <v>1451</v>
      </c>
      <c r="K294" s="87"/>
      <c r="L294" s="87" t="s">
        <v>4672</v>
      </c>
      <c r="M294" s="87"/>
      <c r="N294" s="521"/>
      <c r="O294" s="521">
        <f>+Tabla4[[#This Row],[PAGO NO EURO]]+Tabla4[[#This Row],[CARGO NO EURO]]</f>
        <v>0</v>
      </c>
      <c r="P294" s="521"/>
      <c r="Q294" s="88"/>
      <c r="R294" s="689">
        <f>+_xlfn.XLOOKUP(Tabla4[[#This Row],[ID CLIENTE]],'RESUMEN CLIENTES'!D:D,'RESUMEN CLIENTES'!G:G)</f>
        <v>45741</v>
      </c>
      <c r="S294" s="88" t="str">
        <f>+_xlfn.XLOOKUP(Tabla4[[#This Row],[ID CLIENTE]],'RESUMEN CLIENTES'!D:D,'RESUMEN CLIENTES'!AA:AA)</f>
        <v>B1.1</v>
      </c>
      <c r="T294" s="680" t="str">
        <f>+_xlfn.XLOOKUP(Tabla4[[#This Row],[ID CLIENTE]],'RESUMEN CLIENTES'!D:D,'RESUMEN CLIENTES'!C:C)</f>
        <v>México</v>
      </c>
    </row>
    <row r="295" spans="1:20" ht="16">
      <c r="A295" s="82">
        <v>45884</v>
      </c>
      <c r="B295" s="82" t="str">
        <f>+_xlfn.XLOOKUP(Tabla4[[#This Row],[ID CLIENTE]],'RESUMEN CLIENTES'!D:D,'RESUMEN CLIENTES'!A:A)</f>
        <v>Rodrigo Ignacio Rodriguez Frutos</v>
      </c>
      <c r="C295" s="83" t="s">
        <v>2214</v>
      </c>
      <c r="D295" s="83" t="s">
        <v>242</v>
      </c>
      <c r="E295" s="83" t="s">
        <v>691</v>
      </c>
      <c r="F295" s="83" t="s">
        <v>692</v>
      </c>
      <c r="G295" s="84">
        <v>2000</v>
      </c>
      <c r="H295" s="85">
        <v>-5</v>
      </c>
      <c r="I295" s="86">
        <f t="shared" si="10"/>
        <v>2.5000000000000001E-3</v>
      </c>
      <c r="J295" s="87">
        <f t="shared" si="11"/>
        <v>1995</v>
      </c>
      <c r="K295" s="87"/>
      <c r="L295" s="87" t="s">
        <v>4672</v>
      </c>
      <c r="M295" s="87"/>
      <c r="N295" s="521"/>
      <c r="O295" s="521">
        <f>+Tabla4[[#This Row],[PAGO NO EURO]]+Tabla4[[#This Row],[CARGO NO EURO]]</f>
        <v>0</v>
      </c>
      <c r="P295" s="521"/>
      <c r="Q295" s="88"/>
      <c r="R295" s="689">
        <f>+_xlfn.XLOOKUP(Tabla4[[#This Row],[ID CLIENTE]],'RESUMEN CLIENTES'!D:D,'RESUMEN CLIENTES'!G:G)</f>
        <v>45798</v>
      </c>
      <c r="S295" s="88" t="str">
        <f>+_xlfn.XLOOKUP(Tabla4[[#This Row],[ID CLIENTE]],'RESUMEN CLIENTES'!D:D,'RESUMEN CLIENTES'!AA:AA)</f>
        <v>null</v>
      </c>
      <c r="T295" s="680" t="str">
        <f>+_xlfn.XLOOKUP(Tabla4[[#This Row],[ID CLIENTE]],'RESUMEN CLIENTES'!D:D,'RESUMEN CLIENTES'!C:C)</f>
        <v>México</v>
      </c>
    </row>
    <row r="296" spans="1:20" ht="16">
      <c r="A296" s="82">
        <v>45884</v>
      </c>
      <c r="B296" s="82" t="str">
        <f>+_xlfn.XLOOKUP(Tabla4[[#This Row],[ID CLIENTE]],'RESUMEN CLIENTES'!D:D,'RESUMEN CLIENTES'!A:A)</f>
        <v>Jessica Ayelén Culla Alvarez</v>
      </c>
      <c r="C296" s="83" t="s">
        <v>2265</v>
      </c>
      <c r="D296" s="83" t="s">
        <v>362</v>
      </c>
      <c r="E296" s="83" t="s">
        <v>679</v>
      </c>
      <c r="F296" s="83" t="s">
        <v>680</v>
      </c>
      <c r="G296" s="84">
        <v>500</v>
      </c>
      <c r="H296" s="85">
        <v>-2.5</v>
      </c>
      <c r="I296" s="86">
        <f t="shared" si="10"/>
        <v>5.0000000000000001E-3</v>
      </c>
      <c r="J296" s="87">
        <f t="shared" si="11"/>
        <v>497.5</v>
      </c>
      <c r="K296" s="87"/>
      <c r="L296" s="87" t="s">
        <v>4672</v>
      </c>
      <c r="M296" s="87"/>
      <c r="N296" s="521"/>
      <c r="O296" s="521">
        <f>+Tabla4[[#This Row],[PAGO NO EURO]]+Tabla4[[#This Row],[CARGO NO EURO]]</f>
        <v>0</v>
      </c>
      <c r="P296" s="521"/>
      <c r="Q296" s="88"/>
      <c r="R296" s="689">
        <f>+_xlfn.XLOOKUP(Tabla4[[#This Row],[ID CLIENTE]],'RESUMEN CLIENTES'!D:D,'RESUMEN CLIENTES'!G:G)</f>
        <v>45830</v>
      </c>
      <c r="S296" s="88" t="str">
        <f>+_xlfn.XLOOKUP(Tabla4[[#This Row],[ID CLIENTE]],'RESUMEN CLIENTES'!D:D,'RESUMEN CLIENTES'!AA:AA)</f>
        <v>B1.1</v>
      </c>
      <c r="T296" s="680" t="str">
        <f>+_xlfn.XLOOKUP(Tabla4[[#This Row],[ID CLIENTE]],'RESUMEN CLIENTES'!D:D,'RESUMEN CLIENTES'!C:C)</f>
        <v>Argentina</v>
      </c>
    </row>
    <row r="297" spans="1:20" ht="16">
      <c r="A297" s="82">
        <v>45884</v>
      </c>
      <c r="B297" s="82" t="str">
        <f>+_xlfn.XLOOKUP(Tabla4[[#This Row],[ID CLIENTE]],'RESUMEN CLIENTES'!D:D,'RESUMEN CLIENTES'!A:A)</f>
        <v>Valeria Carolina Heredia Peña</v>
      </c>
      <c r="C297" s="83" t="s">
        <v>2290</v>
      </c>
      <c r="D297" s="83" t="s">
        <v>460</v>
      </c>
      <c r="E297" s="83" t="s">
        <v>714</v>
      </c>
      <c r="F297" s="83" t="s">
        <v>715</v>
      </c>
      <c r="G297" s="84">
        <v>4000</v>
      </c>
      <c r="H297" s="85">
        <v>0</v>
      </c>
      <c r="I297" s="86">
        <f t="shared" si="10"/>
        <v>0</v>
      </c>
      <c r="J297" s="87">
        <f t="shared" si="11"/>
        <v>4000</v>
      </c>
      <c r="K297" s="87" t="s">
        <v>2643</v>
      </c>
      <c r="L297" s="87" t="s">
        <v>4672</v>
      </c>
      <c r="M297" s="87"/>
      <c r="N297" s="521"/>
      <c r="O297" s="521">
        <f>+Tabla4[[#This Row],[PAGO NO EURO]]+Tabla4[[#This Row],[CARGO NO EURO]]</f>
        <v>0</v>
      </c>
      <c r="P297" s="521"/>
      <c r="Q297" s="88"/>
      <c r="R297" s="689">
        <f>+_xlfn.XLOOKUP(Tabla4[[#This Row],[ID CLIENTE]],'RESUMEN CLIENTES'!D:D,'RESUMEN CLIENTES'!G:G)</f>
        <v>45847</v>
      </c>
      <c r="S297" s="88" t="str">
        <f>+_xlfn.XLOOKUP(Tabla4[[#This Row],[ID CLIENTE]],'RESUMEN CLIENTES'!D:D,'RESUMEN CLIENTES'!AA:AA)</f>
        <v>A1.1</v>
      </c>
      <c r="T297" s="680" t="str">
        <f>+_xlfn.XLOOKUP(Tabla4[[#This Row],[ID CLIENTE]],'RESUMEN CLIENTES'!D:D,'RESUMEN CLIENTES'!C:C)</f>
        <v>Bolivia</v>
      </c>
    </row>
    <row r="298" spans="1:20" ht="16">
      <c r="A298" s="82">
        <v>45885</v>
      </c>
      <c r="B298" s="82" t="str">
        <f>+_xlfn.XLOOKUP(Tabla4[[#This Row],[ID CLIENTE]],'RESUMEN CLIENTES'!D:D,'RESUMEN CLIENTES'!A:A)</f>
        <v>Liliana Alejandra Gruezo Pérez</v>
      </c>
      <c r="C298" s="83" t="s">
        <v>2298</v>
      </c>
      <c r="D298" s="83" t="s">
        <v>484</v>
      </c>
      <c r="E298" s="83" t="s">
        <v>665</v>
      </c>
      <c r="F298" s="83" t="s">
        <v>666</v>
      </c>
      <c r="G298" s="84">
        <v>470</v>
      </c>
      <c r="H298" s="85">
        <v>-15.53</v>
      </c>
      <c r="I298" s="86">
        <f t="shared" si="10"/>
        <v>3.3042553191489361E-2</v>
      </c>
      <c r="J298" s="87">
        <f t="shared" si="11"/>
        <v>454.47</v>
      </c>
      <c r="K298" s="87"/>
      <c r="L298" s="87" t="s">
        <v>4672</v>
      </c>
      <c r="M298" s="87"/>
      <c r="N298" s="521"/>
      <c r="O298" s="521">
        <f>+Tabla4[[#This Row],[PAGO NO EURO]]+Tabla4[[#This Row],[CARGO NO EURO]]</f>
        <v>0</v>
      </c>
      <c r="P298" s="521"/>
      <c r="Q298" s="88"/>
      <c r="R298" s="689">
        <f>+_xlfn.XLOOKUP(Tabla4[[#This Row],[ID CLIENTE]],'RESUMEN CLIENTES'!D:D,'RESUMEN CLIENTES'!G:G)</f>
        <v>45852</v>
      </c>
      <c r="S298" s="88" t="str">
        <f>+_xlfn.XLOOKUP(Tabla4[[#This Row],[ID CLIENTE]],'RESUMEN CLIENTES'!D:D,'RESUMEN CLIENTES'!AA:AA)</f>
        <v>A1.2</v>
      </c>
      <c r="T298" s="680" t="str">
        <f>+_xlfn.XLOOKUP(Tabla4[[#This Row],[ID CLIENTE]],'RESUMEN CLIENTES'!D:D,'RESUMEN CLIENTES'!C:C)</f>
        <v>Ecuador</v>
      </c>
    </row>
    <row r="299" spans="1:20" ht="16">
      <c r="A299" s="82">
        <v>45885</v>
      </c>
      <c r="B299" s="82" t="str">
        <f>+_xlfn.XLOOKUP(Tabla4[[#This Row],[ID CLIENTE]],'RESUMEN CLIENTES'!D:D,'RESUMEN CLIENTES'!A:A)</f>
        <v>Patricio Daniel De la Cruz Salazar</v>
      </c>
      <c r="C299" s="83" t="s">
        <v>2357</v>
      </c>
      <c r="D299" s="83" t="s">
        <v>2358</v>
      </c>
      <c r="E299" s="83" t="s">
        <v>2622</v>
      </c>
      <c r="F299" s="83" t="s">
        <v>2623</v>
      </c>
      <c r="G299" s="84">
        <v>250</v>
      </c>
      <c r="H299" s="85">
        <v>-8.3800000000000008</v>
      </c>
      <c r="I299" s="86">
        <f t="shared" si="10"/>
        <v>3.3520000000000001E-2</v>
      </c>
      <c r="J299" s="87">
        <f t="shared" si="11"/>
        <v>241.62</v>
      </c>
      <c r="K299" s="87"/>
      <c r="L299" s="87" t="s">
        <v>4672</v>
      </c>
      <c r="M299" s="87"/>
      <c r="N299" s="521"/>
      <c r="O299" s="521">
        <f>+Tabla4[[#This Row],[PAGO NO EURO]]+Tabla4[[#This Row],[CARGO NO EURO]]</f>
        <v>0</v>
      </c>
      <c r="P299" s="521"/>
      <c r="Q299" s="88"/>
      <c r="R299" s="689">
        <f>+_xlfn.XLOOKUP(Tabla4[[#This Row],[ID CLIENTE]],'RESUMEN CLIENTES'!D:D,'RESUMEN CLIENTES'!G:G)</f>
        <v>45885</v>
      </c>
      <c r="S299" s="88" t="str">
        <f>+_xlfn.XLOOKUP(Tabla4[[#This Row],[ID CLIENTE]],'RESUMEN CLIENTES'!D:D,'RESUMEN CLIENTES'!AA:AA)</f>
        <v>null</v>
      </c>
      <c r="T299" s="680" t="str">
        <f>+_xlfn.XLOOKUP(Tabla4[[#This Row],[ID CLIENTE]],'RESUMEN CLIENTES'!D:D,'RESUMEN CLIENTES'!C:C)</f>
        <v>Ecuador</v>
      </c>
    </row>
    <row r="300" spans="1:20" ht="16">
      <c r="A300" s="82">
        <v>45885</v>
      </c>
      <c r="B300" s="82" t="str">
        <f>+_xlfn.XLOOKUP(Tabla4[[#This Row],[ID CLIENTE]],'RESUMEN CLIENTES'!D:D,'RESUMEN CLIENTES'!A:A)</f>
        <v>Catalina Andrea Videla Muñoz</v>
      </c>
      <c r="C300" s="83" t="s">
        <v>2164</v>
      </c>
      <c r="D300" s="83" t="s">
        <v>156</v>
      </c>
      <c r="E300" s="83" t="s">
        <v>675</v>
      </c>
      <c r="F300" s="83" t="s">
        <v>676</v>
      </c>
      <c r="G300" s="84">
        <v>1250</v>
      </c>
      <c r="H300" s="85">
        <v>-40.880000000000003</v>
      </c>
      <c r="I300" s="86">
        <f t="shared" si="10"/>
        <v>3.2704000000000004E-2</v>
      </c>
      <c r="J300" s="87">
        <f t="shared" si="11"/>
        <v>1209.1199999999999</v>
      </c>
      <c r="K300" s="87"/>
      <c r="L300" s="87" t="s">
        <v>4672</v>
      </c>
      <c r="M300" s="87"/>
      <c r="N300" s="521"/>
      <c r="O300" s="521">
        <f>+Tabla4[[#This Row],[PAGO NO EURO]]+Tabla4[[#This Row],[CARGO NO EURO]]</f>
        <v>0</v>
      </c>
      <c r="P300" s="521"/>
      <c r="Q300" s="88"/>
      <c r="R300" s="689">
        <f>+_xlfn.XLOOKUP(Tabla4[[#This Row],[ID CLIENTE]],'RESUMEN CLIENTES'!D:D,'RESUMEN CLIENTES'!G:G)</f>
        <v>45755</v>
      </c>
      <c r="S300" s="88" t="str">
        <f>+_xlfn.XLOOKUP(Tabla4[[#This Row],[ID CLIENTE]],'RESUMEN CLIENTES'!D:D,'RESUMEN CLIENTES'!AA:AA)</f>
        <v>B1.3</v>
      </c>
      <c r="T300" s="680" t="str">
        <f>+_xlfn.XLOOKUP(Tabla4[[#This Row],[ID CLIENTE]],'RESUMEN CLIENTES'!D:D,'RESUMEN CLIENTES'!C:C)</f>
        <v>Chile</v>
      </c>
    </row>
    <row r="301" spans="1:20" ht="16">
      <c r="A301" s="82">
        <v>45886</v>
      </c>
      <c r="B301" s="82" t="str">
        <f>+_xlfn.XLOOKUP(Tabla4[[#This Row],[ID CLIENTE]],'RESUMEN CLIENTES'!D:D,'RESUMEN CLIENTES'!A:A)</f>
        <v>Jessica Ayelén Culla Alvarez</v>
      </c>
      <c r="C301" s="83" t="s">
        <v>2265</v>
      </c>
      <c r="D301" s="83" t="s">
        <v>362</v>
      </c>
      <c r="E301" s="83" t="s">
        <v>681</v>
      </c>
      <c r="F301" s="83" t="s">
        <v>682</v>
      </c>
      <c r="G301" s="84">
        <v>500</v>
      </c>
      <c r="H301" s="85">
        <v>-16.5</v>
      </c>
      <c r="I301" s="86">
        <f t="shared" si="10"/>
        <v>3.3000000000000002E-2</v>
      </c>
      <c r="J301" s="87">
        <f t="shared" si="11"/>
        <v>483.5</v>
      </c>
      <c r="K301" s="87"/>
      <c r="L301" s="87" t="s">
        <v>4672</v>
      </c>
      <c r="M301" s="87"/>
      <c r="N301" s="521"/>
      <c r="O301" s="521">
        <f>+Tabla4[[#This Row],[PAGO NO EURO]]+Tabla4[[#This Row],[CARGO NO EURO]]</f>
        <v>0</v>
      </c>
      <c r="P301" s="521"/>
      <c r="Q301" s="88"/>
      <c r="R301" s="689">
        <f>+_xlfn.XLOOKUP(Tabla4[[#This Row],[ID CLIENTE]],'RESUMEN CLIENTES'!D:D,'RESUMEN CLIENTES'!G:G)</f>
        <v>45830</v>
      </c>
      <c r="S301" s="88" t="str">
        <f>+_xlfn.XLOOKUP(Tabla4[[#This Row],[ID CLIENTE]],'RESUMEN CLIENTES'!D:D,'RESUMEN CLIENTES'!AA:AA)</f>
        <v>B1.1</v>
      </c>
      <c r="T301" s="680" t="str">
        <f>+_xlfn.XLOOKUP(Tabla4[[#This Row],[ID CLIENTE]],'RESUMEN CLIENTES'!D:D,'RESUMEN CLIENTES'!C:C)</f>
        <v>Argentina</v>
      </c>
    </row>
    <row r="302" spans="1:20" ht="16">
      <c r="A302" s="82">
        <v>45886</v>
      </c>
      <c r="B302" s="82" t="str">
        <f>+_xlfn.XLOOKUP(Tabla4[[#This Row],[ID CLIENTE]],'RESUMEN CLIENTES'!D:D,'RESUMEN CLIENTES'!A:A)</f>
        <v>Jessica Ayelén Culla Alvarez</v>
      </c>
      <c r="C302" s="83" t="s">
        <v>2265</v>
      </c>
      <c r="D302" s="83" t="s">
        <v>362</v>
      </c>
      <c r="E302" s="83" t="s">
        <v>683</v>
      </c>
      <c r="F302" s="83" t="s">
        <v>684</v>
      </c>
      <c r="G302" s="84">
        <v>500</v>
      </c>
      <c r="H302" s="85">
        <v>-16.5</v>
      </c>
      <c r="I302" s="86">
        <f t="shared" si="10"/>
        <v>3.3000000000000002E-2</v>
      </c>
      <c r="J302" s="87">
        <f t="shared" si="11"/>
        <v>483.5</v>
      </c>
      <c r="K302" s="87"/>
      <c r="L302" s="87" t="s">
        <v>4672</v>
      </c>
      <c r="M302" s="87"/>
      <c r="N302" s="521"/>
      <c r="O302" s="521">
        <f>+Tabla4[[#This Row],[PAGO NO EURO]]+Tabla4[[#This Row],[CARGO NO EURO]]</f>
        <v>0</v>
      </c>
      <c r="P302" s="521"/>
      <c r="Q302" s="88"/>
      <c r="R302" s="689">
        <f>+_xlfn.XLOOKUP(Tabla4[[#This Row],[ID CLIENTE]],'RESUMEN CLIENTES'!D:D,'RESUMEN CLIENTES'!G:G)</f>
        <v>45830</v>
      </c>
      <c r="S302" s="88" t="str">
        <f>+_xlfn.XLOOKUP(Tabla4[[#This Row],[ID CLIENTE]],'RESUMEN CLIENTES'!D:D,'RESUMEN CLIENTES'!AA:AA)</f>
        <v>B1.1</v>
      </c>
      <c r="T302" s="680" t="str">
        <f>+_xlfn.XLOOKUP(Tabla4[[#This Row],[ID CLIENTE]],'RESUMEN CLIENTES'!D:D,'RESUMEN CLIENTES'!C:C)</f>
        <v>Argentina</v>
      </c>
    </row>
    <row r="303" spans="1:20" ht="16">
      <c r="A303" s="82">
        <v>45887</v>
      </c>
      <c r="B303" s="82" t="str">
        <f>+_xlfn.XLOOKUP(Tabla4[[#This Row],[ID CLIENTE]],'RESUMEN CLIENTES'!D:D,'RESUMEN CLIENTES'!A:A)</f>
        <v>Andrea Cristina Estrada Morocho</v>
      </c>
      <c r="C303" s="83" t="s">
        <v>2267</v>
      </c>
      <c r="D303" s="83" t="s">
        <v>325</v>
      </c>
      <c r="E303" s="83" t="s">
        <v>661</v>
      </c>
      <c r="F303" s="83" t="s">
        <v>662</v>
      </c>
      <c r="G303" s="84">
        <v>500</v>
      </c>
      <c r="H303" s="85">
        <v>-16.5</v>
      </c>
      <c r="I303" s="86">
        <f t="shared" si="10"/>
        <v>3.3000000000000002E-2</v>
      </c>
      <c r="J303" s="87">
        <f t="shared" si="11"/>
        <v>483.5</v>
      </c>
      <c r="K303" s="87"/>
      <c r="L303" s="87" t="s">
        <v>4672</v>
      </c>
      <c r="M303" s="87"/>
      <c r="N303" s="521"/>
      <c r="O303" s="521">
        <f>+Tabla4[[#This Row],[PAGO NO EURO]]+Tabla4[[#This Row],[CARGO NO EURO]]</f>
        <v>0</v>
      </c>
      <c r="P303" s="521"/>
      <c r="Q303" s="88"/>
      <c r="R303" s="689">
        <f>+_xlfn.XLOOKUP(Tabla4[[#This Row],[ID CLIENTE]],'RESUMEN CLIENTES'!D:D,'RESUMEN CLIENTES'!G:G)</f>
        <v>45831</v>
      </c>
      <c r="S303" s="88" t="str">
        <f>+_xlfn.XLOOKUP(Tabla4[[#This Row],[ID CLIENTE]],'RESUMEN CLIENTES'!D:D,'RESUMEN CLIENTES'!AA:AA)</f>
        <v>A1.1</v>
      </c>
      <c r="T303" s="680" t="str">
        <f>+_xlfn.XLOOKUP(Tabla4[[#This Row],[ID CLIENTE]],'RESUMEN CLIENTES'!D:D,'RESUMEN CLIENTES'!C:C)</f>
        <v>Ecuador</v>
      </c>
    </row>
    <row r="304" spans="1:20" ht="16">
      <c r="A304" s="82">
        <v>45887</v>
      </c>
      <c r="B304" s="82" t="str">
        <f>+_xlfn.XLOOKUP(Tabla4[[#This Row],[ID CLIENTE]],'RESUMEN CLIENTES'!D:D,'RESUMEN CLIENTES'!A:A)</f>
        <v>Nancy Gisselle Molinari Cheme</v>
      </c>
      <c r="C304" s="83" t="s">
        <v>2212</v>
      </c>
      <c r="D304" s="83" t="s">
        <v>247</v>
      </c>
      <c r="E304" s="83" t="s">
        <v>693</v>
      </c>
      <c r="F304" s="83" t="s">
        <v>694</v>
      </c>
      <c r="G304" s="84">
        <v>1000</v>
      </c>
      <c r="H304" s="85">
        <v>-32.75</v>
      </c>
      <c r="I304" s="86">
        <f t="shared" si="10"/>
        <v>3.2750000000000001E-2</v>
      </c>
      <c r="J304" s="87">
        <f t="shared" si="11"/>
        <v>967.25</v>
      </c>
      <c r="K304" s="87"/>
      <c r="L304" s="87" t="s">
        <v>4672</v>
      </c>
      <c r="M304" s="87"/>
      <c r="N304" s="521"/>
      <c r="O304" s="521">
        <f>+Tabla4[[#This Row],[PAGO NO EURO]]+Tabla4[[#This Row],[CARGO NO EURO]]</f>
        <v>0</v>
      </c>
      <c r="P304" s="521"/>
      <c r="Q304" s="88"/>
      <c r="R304" s="689">
        <f>+_xlfn.XLOOKUP(Tabla4[[#This Row],[ID CLIENTE]],'RESUMEN CLIENTES'!D:D,'RESUMEN CLIENTES'!G:G)</f>
        <v>45794</v>
      </c>
      <c r="S304" s="88" t="str">
        <f>+_xlfn.XLOOKUP(Tabla4[[#This Row],[ID CLIENTE]],'RESUMEN CLIENTES'!D:D,'RESUMEN CLIENTES'!AA:AA)</f>
        <v>B1.1</v>
      </c>
      <c r="T304" s="680" t="str">
        <f>+_xlfn.XLOOKUP(Tabla4[[#This Row],[ID CLIENTE]],'RESUMEN CLIENTES'!D:D,'RESUMEN CLIENTES'!C:C)</f>
        <v>Perú</v>
      </c>
    </row>
    <row r="305" spans="1:20" ht="16">
      <c r="A305" s="82">
        <v>45887</v>
      </c>
      <c r="B305" s="82" t="str">
        <f>+_xlfn.XLOOKUP(Tabla4[[#This Row],[ID CLIENTE]],'RESUMEN CLIENTES'!D:D,'RESUMEN CLIENTES'!A:A)</f>
        <v>Ignacio Manuel Jesus Orellana Gutiérrez</v>
      </c>
      <c r="C305" s="83" t="s">
        <v>2360</v>
      </c>
      <c r="D305" s="83" t="s">
        <v>700</v>
      </c>
      <c r="E305" s="83" t="s">
        <v>701</v>
      </c>
      <c r="F305" s="83" t="s">
        <v>702</v>
      </c>
      <c r="G305" s="84">
        <v>250</v>
      </c>
      <c r="H305" s="85">
        <v>-8.3800000000000008</v>
      </c>
      <c r="I305" s="86">
        <f t="shared" si="10"/>
        <v>3.3520000000000001E-2</v>
      </c>
      <c r="J305" s="87">
        <f t="shared" si="11"/>
        <v>241.62</v>
      </c>
      <c r="K305" s="87"/>
      <c r="L305" s="87" t="s">
        <v>4672</v>
      </c>
      <c r="M305" s="87"/>
      <c r="N305" s="521"/>
      <c r="O305" s="521">
        <f>+Tabla4[[#This Row],[PAGO NO EURO]]+Tabla4[[#This Row],[CARGO NO EURO]]</f>
        <v>0</v>
      </c>
      <c r="P305" s="521"/>
      <c r="Q305" s="88"/>
      <c r="R305" s="689">
        <f>+_xlfn.XLOOKUP(Tabla4[[#This Row],[ID CLIENTE]],'RESUMEN CLIENTES'!D:D,'RESUMEN CLIENTES'!G:G)</f>
        <v>45887</v>
      </c>
      <c r="S305" s="88" t="str">
        <f>+_xlfn.XLOOKUP(Tabla4[[#This Row],[ID CLIENTE]],'RESUMEN CLIENTES'!D:D,'RESUMEN CLIENTES'!AA:AA)</f>
        <v>A2.1</v>
      </c>
      <c r="T305" s="680" t="str">
        <f>+_xlfn.XLOOKUP(Tabla4[[#This Row],[ID CLIENTE]],'RESUMEN CLIENTES'!D:D,'RESUMEN CLIENTES'!C:C)</f>
        <v>Chile</v>
      </c>
    </row>
    <row r="306" spans="1:20" ht="16">
      <c r="A306" s="82">
        <v>45887</v>
      </c>
      <c r="B306" s="82" t="str">
        <f>+_xlfn.XLOOKUP(Tabla4[[#This Row],[ID CLIENTE]],'RESUMEN CLIENTES'!D:D,'RESUMEN CLIENTES'!A:A)</f>
        <v>Jessica Ayelén Culla Alvarez</v>
      </c>
      <c r="C306" s="83" t="s">
        <v>2265</v>
      </c>
      <c r="D306" s="83" t="s">
        <v>362</v>
      </c>
      <c r="E306" s="83" t="s">
        <v>685</v>
      </c>
      <c r="F306" s="83" t="s">
        <v>686</v>
      </c>
      <c r="G306" s="84">
        <v>500</v>
      </c>
      <c r="H306" s="85">
        <v>-2.5</v>
      </c>
      <c r="I306" s="86">
        <f t="shared" si="10"/>
        <v>5.0000000000000001E-3</v>
      </c>
      <c r="J306" s="87">
        <f t="shared" si="11"/>
        <v>497.5</v>
      </c>
      <c r="K306" s="87"/>
      <c r="L306" s="87" t="s">
        <v>4672</v>
      </c>
      <c r="M306" s="87"/>
      <c r="N306" s="521"/>
      <c r="O306" s="521">
        <f>+Tabla4[[#This Row],[PAGO NO EURO]]+Tabla4[[#This Row],[CARGO NO EURO]]</f>
        <v>0</v>
      </c>
      <c r="P306" s="521"/>
      <c r="Q306" s="88"/>
      <c r="R306" s="689">
        <f>+_xlfn.XLOOKUP(Tabla4[[#This Row],[ID CLIENTE]],'RESUMEN CLIENTES'!D:D,'RESUMEN CLIENTES'!G:G)</f>
        <v>45830</v>
      </c>
      <c r="S306" s="88" t="str">
        <f>+_xlfn.XLOOKUP(Tabla4[[#This Row],[ID CLIENTE]],'RESUMEN CLIENTES'!D:D,'RESUMEN CLIENTES'!AA:AA)</f>
        <v>B1.1</v>
      </c>
      <c r="T306" s="680" t="str">
        <f>+_xlfn.XLOOKUP(Tabla4[[#This Row],[ID CLIENTE]],'RESUMEN CLIENTES'!D:D,'RESUMEN CLIENTES'!C:C)</f>
        <v>Argentina</v>
      </c>
    </row>
    <row r="307" spans="1:20" ht="16">
      <c r="A307" s="82">
        <v>45887</v>
      </c>
      <c r="B307" s="82" t="str">
        <f>+_xlfn.XLOOKUP(Tabla4[[#This Row],[ID CLIENTE]],'RESUMEN CLIENTES'!D:D,'RESUMEN CLIENTES'!A:A)</f>
        <v>Mateo Gabriel Martinez Dávila</v>
      </c>
      <c r="C307" s="83" t="s">
        <v>2193</v>
      </c>
      <c r="D307" s="83" t="s">
        <v>200</v>
      </c>
      <c r="E307" s="83" t="s">
        <v>698</v>
      </c>
      <c r="F307" s="83" t="s">
        <v>699</v>
      </c>
      <c r="G307" s="84">
        <v>514</v>
      </c>
      <c r="H307" s="85">
        <v>0</v>
      </c>
      <c r="I307" s="86">
        <f t="shared" si="10"/>
        <v>0</v>
      </c>
      <c r="J307" s="87">
        <f t="shared" si="11"/>
        <v>514</v>
      </c>
      <c r="K307" s="87" t="s">
        <v>4677</v>
      </c>
      <c r="L307" s="87" t="s">
        <v>4675</v>
      </c>
      <c r="M307" s="87"/>
      <c r="N307" s="521"/>
      <c r="O307" s="521">
        <f>+Tabla4[[#This Row],[PAGO NO EURO]]+Tabla4[[#This Row],[CARGO NO EURO]]</f>
        <v>0</v>
      </c>
      <c r="P307" s="521"/>
      <c r="Q307" s="88"/>
      <c r="R307" s="689">
        <f>+_xlfn.XLOOKUP(Tabla4[[#This Row],[ID CLIENTE]],'RESUMEN CLIENTES'!D:D,'RESUMEN CLIENTES'!G:G)</f>
        <v>45777</v>
      </c>
      <c r="S307" s="88" t="str">
        <f>+_xlfn.XLOOKUP(Tabla4[[#This Row],[ID CLIENTE]],'RESUMEN CLIENTES'!D:D,'RESUMEN CLIENTES'!AA:AA)</f>
        <v>A1.1</v>
      </c>
      <c r="T307" s="680" t="str">
        <f>+_xlfn.XLOOKUP(Tabla4[[#This Row],[ID CLIENTE]],'RESUMEN CLIENTES'!D:D,'RESUMEN CLIENTES'!C:C)</f>
        <v>Bolivia</v>
      </c>
    </row>
    <row r="308" spans="1:20" ht="16">
      <c r="A308" s="82">
        <v>45887</v>
      </c>
      <c r="B308" s="82" t="str">
        <f>+_xlfn.XLOOKUP(Tabla4[[#This Row],[ID CLIENTE]],'RESUMEN CLIENTES'!D:D,'RESUMEN CLIENTES'!A:A)</f>
        <v>Paola Hitos</v>
      </c>
      <c r="C308" s="83" t="s">
        <v>2288</v>
      </c>
      <c r="D308" s="83" t="s">
        <v>455</v>
      </c>
      <c r="E308" s="83" t="s">
        <v>651</v>
      </c>
      <c r="F308" s="83" t="s">
        <v>652</v>
      </c>
      <c r="G308" s="84">
        <v>1750</v>
      </c>
      <c r="H308" s="85">
        <v>-57.13</v>
      </c>
      <c r="I308" s="86">
        <f t="shared" si="10"/>
        <v>3.2645714285714285E-2</v>
      </c>
      <c r="J308" s="87">
        <f t="shared" si="11"/>
        <v>1692.87</v>
      </c>
      <c r="K308" s="87"/>
      <c r="L308" s="87" t="s">
        <v>4672</v>
      </c>
      <c r="M308" s="87"/>
      <c r="N308" s="521"/>
      <c r="O308" s="521">
        <f>+Tabla4[[#This Row],[PAGO NO EURO]]+Tabla4[[#This Row],[CARGO NO EURO]]</f>
        <v>0</v>
      </c>
      <c r="P308" s="521"/>
      <c r="Q308" s="88"/>
      <c r="R308" s="689">
        <f>+_xlfn.XLOOKUP(Tabla4[[#This Row],[ID CLIENTE]],'RESUMEN CLIENTES'!D:D,'RESUMEN CLIENTES'!G:G)</f>
        <v>45846</v>
      </c>
      <c r="S308" s="88" t="str">
        <f>+_xlfn.XLOOKUP(Tabla4[[#This Row],[ID CLIENTE]],'RESUMEN CLIENTES'!D:D,'RESUMEN CLIENTES'!AA:AA)</f>
        <v>A1.1</v>
      </c>
      <c r="T308" s="680" t="str">
        <f>+_xlfn.XLOOKUP(Tabla4[[#This Row],[ID CLIENTE]],'RESUMEN CLIENTES'!D:D,'RESUMEN CLIENTES'!C:C)</f>
        <v>México</v>
      </c>
    </row>
    <row r="309" spans="1:20" ht="16">
      <c r="A309" s="82">
        <v>45888</v>
      </c>
      <c r="B309" s="82" t="str">
        <f>+_xlfn.XLOOKUP(Tabla4[[#This Row],[ID CLIENTE]],'RESUMEN CLIENTES'!D:D,'RESUMEN CLIENTES'!A:A)</f>
        <v>Maira Paz Navas Sánchez</v>
      </c>
      <c r="C309" s="83" t="s">
        <v>2362</v>
      </c>
      <c r="D309" s="83" t="s">
        <v>703</v>
      </c>
      <c r="E309" s="83" t="s">
        <v>704</v>
      </c>
      <c r="F309" s="83" t="s">
        <v>705</v>
      </c>
      <c r="G309" s="84">
        <v>250</v>
      </c>
      <c r="H309" s="85">
        <v>-8.3800000000000008</v>
      </c>
      <c r="I309" s="86">
        <f t="shared" si="10"/>
        <v>3.3520000000000001E-2</v>
      </c>
      <c r="J309" s="87">
        <f t="shared" si="11"/>
        <v>241.62</v>
      </c>
      <c r="K309" s="87"/>
      <c r="L309" s="87" t="s">
        <v>4672</v>
      </c>
      <c r="M309" s="87"/>
      <c r="N309" s="521"/>
      <c r="O309" s="521">
        <f>+Tabla4[[#This Row],[PAGO NO EURO]]+Tabla4[[#This Row],[CARGO NO EURO]]</f>
        <v>0</v>
      </c>
      <c r="P309" s="521"/>
      <c r="Q309" s="88"/>
      <c r="R309" s="689">
        <f>+_xlfn.XLOOKUP(Tabla4[[#This Row],[ID CLIENTE]],'RESUMEN CLIENTES'!D:D,'RESUMEN CLIENTES'!G:G)</f>
        <v>45888</v>
      </c>
      <c r="S309" s="88" t="str">
        <f>+_xlfn.XLOOKUP(Tabla4[[#This Row],[ID CLIENTE]],'RESUMEN CLIENTES'!D:D,'RESUMEN CLIENTES'!AA:AA)</f>
        <v>A1.1</v>
      </c>
      <c r="T309" s="680" t="str">
        <f>+_xlfn.XLOOKUP(Tabla4[[#This Row],[ID CLIENTE]],'RESUMEN CLIENTES'!D:D,'RESUMEN CLIENTES'!C:C)</f>
        <v>Chile</v>
      </c>
    </row>
    <row r="310" spans="1:20" ht="16">
      <c r="A310" s="82">
        <v>45889</v>
      </c>
      <c r="B310" s="82" t="str">
        <f>+_xlfn.XLOOKUP(Tabla4[[#This Row],[ID CLIENTE]],'RESUMEN CLIENTES'!D:D,'RESUMEN CLIENTES'!A:A)</f>
        <v>Julian David Gutierrez Rodriguez</v>
      </c>
      <c r="C310" s="83" t="s">
        <v>2364</v>
      </c>
      <c r="D310" s="83" t="s">
        <v>711</v>
      </c>
      <c r="E310" s="83" t="s">
        <v>712</v>
      </c>
      <c r="F310" s="83" t="s">
        <v>713</v>
      </c>
      <c r="G310" s="84">
        <v>250</v>
      </c>
      <c r="H310" s="85">
        <v>-8.3800000000000008</v>
      </c>
      <c r="I310" s="86">
        <f t="shared" si="10"/>
        <v>3.3520000000000001E-2</v>
      </c>
      <c r="J310" s="87">
        <f t="shared" si="11"/>
        <v>241.62</v>
      </c>
      <c r="K310" s="87"/>
      <c r="L310" s="87" t="s">
        <v>4672</v>
      </c>
      <c r="M310" s="87"/>
      <c r="N310" s="521"/>
      <c r="O310" s="521">
        <f>+Tabla4[[#This Row],[PAGO NO EURO]]+Tabla4[[#This Row],[CARGO NO EURO]]</f>
        <v>0</v>
      </c>
      <c r="P310" s="521"/>
      <c r="Q310" s="88"/>
      <c r="R310" s="689">
        <f>+_xlfn.XLOOKUP(Tabla4[[#This Row],[ID CLIENTE]],'RESUMEN CLIENTES'!D:D,'RESUMEN CLIENTES'!G:G)</f>
        <v>45889</v>
      </c>
      <c r="S310" s="88" t="str">
        <f>+_xlfn.XLOOKUP(Tabla4[[#This Row],[ID CLIENTE]],'RESUMEN CLIENTES'!D:D,'RESUMEN CLIENTES'!AA:AA)</f>
        <v>A1.1</v>
      </c>
      <c r="T310" s="680" t="str">
        <f>+_xlfn.XLOOKUP(Tabla4[[#This Row],[ID CLIENTE]],'RESUMEN CLIENTES'!D:D,'RESUMEN CLIENTES'!C:C)</f>
        <v>Colombia</v>
      </c>
    </row>
    <row r="311" spans="1:20" ht="16">
      <c r="A311" s="82">
        <v>45890</v>
      </c>
      <c r="B311" s="82" t="str">
        <f>+_xlfn.XLOOKUP(Tabla4[[#This Row],[ID CLIENTE]],'RESUMEN CLIENTES'!D:D,'RESUMEN CLIENTES'!A:A)</f>
        <v>Astrid Mariam Enamorado Ortega</v>
      </c>
      <c r="C311" s="83" t="s">
        <v>2339</v>
      </c>
      <c r="D311" s="83" t="s">
        <v>574</v>
      </c>
      <c r="E311" s="83" t="s">
        <v>709</v>
      </c>
      <c r="F311" s="83" t="s">
        <v>710</v>
      </c>
      <c r="G311" s="84">
        <v>1875</v>
      </c>
      <c r="H311" s="85">
        <v>-61.19</v>
      </c>
      <c r="I311" s="86">
        <f t="shared" si="10"/>
        <v>3.2634666666666666E-2</v>
      </c>
      <c r="J311" s="87">
        <f t="shared" si="11"/>
        <v>1813.81</v>
      </c>
      <c r="K311" s="87"/>
      <c r="L311" s="87" t="s">
        <v>4672</v>
      </c>
      <c r="M311" s="87"/>
      <c r="N311" s="521"/>
      <c r="O311" s="521">
        <f>+Tabla4[[#This Row],[PAGO NO EURO]]+Tabla4[[#This Row],[CARGO NO EURO]]</f>
        <v>0</v>
      </c>
      <c r="P311" s="521"/>
      <c r="Q311" s="88"/>
      <c r="R311" s="689">
        <f>+_xlfn.XLOOKUP(Tabla4[[#This Row],[ID CLIENTE]],'RESUMEN CLIENTES'!D:D,'RESUMEN CLIENTES'!G:G)</f>
        <v>45869</v>
      </c>
      <c r="S311" s="88" t="str">
        <f>+_xlfn.XLOOKUP(Tabla4[[#This Row],[ID CLIENTE]],'RESUMEN CLIENTES'!D:D,'RESUMEN CLIENTES'!AA:AA)</f>
        <v>B2.1</v>
      </c>
      <c r="T311" s="680" t="str">
        <f>+_xlfn.XLOOKUP(Tabla4[[#This Row],[ID CLIENTE]],'RESUMEN CLIENTES'!D:D,'RESUMEN CLIENTES'!C:C)</f>
        <v>Honduras</v>
      </c>
    </row>
    <row r="312" spans="1:20" ht="16">
      <c r="A312" s="82">
        <v>45890</v>
      </c>
      <c r="B312" s="82" t="str">
        <f>+_xlfn.XLOOKUP(Tabla4[[#This Row],[ID CLIENTE]],'RESUMEN CLIENTES'!D:D,'RESUMEN CLIENTES'!A:A)</f>
        <v>Keidwin Perez</v>
      </c>
      <c r="C312" s="83" t="s">
        <v>2337</v>
      </c>
      <c r="D312" s="83" t="s">
        <v>587</v>
      </c>
      <c r="E312" s="83" t="s">
        <v>689</v>
      </c>
      <c r="F312" s="83" t="s">
        <v>690</v>
      </c>
      <c r="G312" s="84">
        <v>2500</v>
      </c>
      <c r="H312" s="85">
        <v>-81.5</v>
      </c>
      <c r="I312" s="86">
        <f t="shared" si="10"/>
        <v>3.2599999999999997E-2</v>
      </c>
      <c r="J312" s="87">
        <f t="shared" si="11"/>
        <v>2418.5</v>
      </c>
      <c r="K312" s="87"/>
      <c r="L312" s="87" t="s">
        <v>4672</v>
      </c>
      <c r="M312" s="87"/>
      <c r="N312" s="521"/>
      <c r="O312" s="521">
        <f>+Tabla4[[#This Row],[PAGO NO EURO]]+Tabla4[[#This Row],[CARGO NO EURO]]</f>
        <v>0</v>
      </c>
      <c r="P312" s="521"/>
      <c r="Q312" s="88"/>
      <c r="R312" s="689">
        <f>+_xlfn.XLOOKUP(Tabla4[[#This Row],[ID CLIENTE]],'RESUMEN CLIENTES'!D:D,'RESUMEN CLIENTES'!G:G)</f>
        <v>45869</v>
      </c>
      <c r="S312" s="88" t="str">
        <f>+_xlfn.XLOOKUP(Tabla4[[#This Row],[ID CLIENTE]],'RESUMEN CLIENTES'!D:D,'RESUMEN CLIENTES'!AA:AA)</f>
        <v>null</v>
      </c>
      <c r="T312" s="680" t="str">
        <f>+_xlfn.XLOOKUP(Tabla4[[#This Row],[ID CLIENTE]],'RESUMEN CLIENTES'!D:D,'RESUMEN CLIENTES'!C:C)</f>
        <v>Colombia</v>
      </c>
    </row>
    <row r="313" spans="1:20" ht="16">
      <c r="A313" s="82">
        <v>45891</v>
      </c>
      <c r="B313" s="82" t="str">
        <f>+_xlfn.XLOOKUP(Tabla4[[#This Row],[ID CLIENTE]],'RESUMEN CLIENTES'!D:D,'RESUMEN CLIENTES'!A:A)</f>
        <v>Sofia Martínez Restrepo</v>
      </c>
      <c r="C313" s="83" t="s">
        <v>2366</v>
      </c>
      <c r="D313" s="83" t="s">
        <v>716</v>
      </c>
      <c r="E313" s="83" t="s">
        <v>717</v>
      </c>
      <c r="F313" s="83" t="s">
        <v>718</v>
      </c>
      <c r="G313" s="84">
        <v>250</v>
      </c>
      <c r="H313" s="85">
        <v>-8.3800000000000008</v>
      </c>
      <c r="I313" s="86">
        <f t="shared" si="10"/>
        <v>3.3520000000000001E-2</v>
      </c>
      <c r="J313" s="87">
        <f t="shared" si="11"/>
        <v>241.62</v>
      </c>
      <c r="K313" s="87"/>
      <c r="L313" s="87" t="s">
        <v>4672</v>
      </c>
      <c r="M313" s="87"/>
      <c r="N313" s="521"/>
      <c r="O313" s="521">
        <f>+Tabla4[[#This Row],[PAGO NO EURO]]+Tabla4[[#This Row],[CARGO NO EURO]]</f>
        <v>0</v>
      </c>
      <c r="P313" s="521"/>
      <c r="Q313" s="88"/>
      <c r="R313" s="689">
        <f>+_xlfn.XLOOKUP(Tabla4[[#This Row],[ID CLIENTE]],'RESUMEN CLIENTES'!D:D,'RESUMEN CLIENTES'!G:G)</f>
        <v>45891</v>
      </c>
      <c r="S313" s="88" t="str">
        <f>+_xlfn.XLOOKUP(Tabla4[[#This Row],[ID CLIENTE]],'RESUMEN CLIENTES'!D:D,'RESUMEN CLIENTES'!AA:AA)</f>
        <v>A1.1</v>
      </c>
      <c r="T313" s="680" t="str">
        <f>+_xlfn.XLOOKUP(Tabla4[[#This Row],[ID CLIENTE]],'RESUMEN CLIENTES'!D:D,'RESUMEN CLIENTES'!C:C)</f>
        <v>Colombia</v>
      </c>
    </row>
    <row r="314" spans="1:20" ht="16">
      <c r="A314" s="82">
        <v>45892</v>
      </c>
      <c r="B314" s="82" t="str">
        <f>+_xlfn.XLOOKUP(Tabla4[[#This Row],[ID CLIENTE]],'RESUMEN CLIENTES'!D:D,'RESUMEN CLIENTES'!A:A)</f>
        <v>Fernanda Castro</v>
      </c>
      <c r="C314" s="83" t="s">
        <v>2218</v>
      </c>
      <c r="D314" s="83" t="s">
        <v>250</v>
      </c>
      <c r="E314" s="83" t="s">
        <v>719</v>
      </c>
      <c r="F314" s="83" t="s">
        <v>720</v>
      </c>
      <c r="G314" s="84">
        <v>1000</v>
      </c>
      <c r="H314" s="85">
        <v>-32.75</v>
      </c>
      <c r="I314" s="86">
        <f t="shared" si="10"/>
        <v>3.2750000000000001E-2</v>
      </c>
      <c r="J314" s="87">
        <f t="shared" si="11"/>
        <v>967.25</v>
      </c>
      <c r="K314" s="87"/>
      <c r="L314" s="87" t="s">
        <v>4672</v>
      </c>
      <c r="M314" s="87"/>
      <c r="N314" s="521"/>
      <c r="O314" s="521">
        <f>+Tabla4[[#This Row],[PAGO NO EURO]]+Tabla4[[#This Row],[CARGO NO EURO]]</f>
        <v>0</v>
      </c>
      <c r="P314" s="521"/>
      <c r="Q314" s="88"/>
      <c r="R314" s="689">
        <f>+_xlfn.XLOOKUP(Tabla4[[#This Row],[ID CLIENTE]],'RESUMEN CLIENTES'!D:D,'RESUMEN CLIENTES'!G:G)</f>
        <v>45803</v>
      </c>
      <c r="S314" s="88" t="str">
        <f>+_xlfn.XLOOKUP(Tabla4[[#This Row],[ID CLIENTE]],'RESUMEN CLIENTES'!D:D,'RESUMEN CLIENTES'!AA:AA)</f>
        <v>A2.1</v>
      </c>
      <c r="T314" s="680" t="str">
        <f>+_xlfn.XLOOKUP(Tabla4[[#This Row],[ID CLIENTE]],'RESUMEN CLIENTES'!D:D,'RESUMEN CLIENTES'!C:C)</f>
        <v>Ecuador</v>
      </c>
    </row>
    <row r="315" spans="1:20" ht="16">
      <c r="A315" s="82">
        <v>45894</v>
      </c>
      <c r="B315" s="82" t="str">
        <f>+_xlfn.XLOOKUP(Tabla4[[#This Row],[ID CLIENTE]],'RESUMEN CLIENTES'!D:D,'RESUMEN CLIENTES'!A:A)</f>
        <v>Ignacio Manuel Jesus Orellana Gutiérrez</v>
      </c>
      <c r="C315" s="83" t="s">
        <v>2360</v>
      </c>
      <c r="D315" s="83" t="s">
        <v>700</v>
      </c>
      <c r="E315" s="83" t="s">
        <v>725</v>
      </c>
      <c r="F315" s="83" t="s">
        <v>726</v>
      </c>
      <c r="G315" s="84">
        <v>1750</v>
      </c>
      <c r="H315" s="85">
        <v>-57.13</v>
      </c>
      <c r="I315" s="86">
        <f t="shared" si="10"/>
        <v>3.2645714285714285E-2</v>
      </c>
      <c r="J315" s="87">
        <f t="shared" si="11"/>
        <v>1692.87</v>
      </c>
      <c r="K315" s="87"/>
      <c r="L315" s="87" t="s">
        <v>4672</v>
      </c>
      <c r="M315" s="87"/>
      <c r="N315" s="521"/>
      <c r="O315" s="521">
        <f>+Tabla4[[#This Row],[PAGO NO EURO]]+Tabla4[[#This Row],[CARGO NO EURO]]</f>
        <v>0</v>
      </c>
      <c r="P315" s="521"/>
      <c r="Q315" s="88"/>
      <c r="R315" s="689">
        <f>+_xlfn.XLOOKUP(Tabla4[[#This Row],[ID CLIENTE]],'RESUMEN CLIENTES'!D:D,'RESUMEN CLIENTES'!G:G)</f>
        <v>45887</v>
      </c>
      <c r="S315" s="88" t="str">
        <f>+_xlfn.XLOOKUP(Tabla4[[#This Row],[ID CLIENTE]],'RESUMEN CLIENTES'!D:D,'RESUMEN CLIENTES'!AA:AA)</f>
        <v>A2.1</v>
      </c>
      <c r="T315" s="680" t="str">
        <f>+_xlfn.XLOOKUP(Tabla4[[#This Row],[ID CLIENTE]],'RESUMEN CLIENTES'!D:D,'RESUMEN CLIENTES'!C:C)</f>
        <v>Chile</v>
      </c>
    </row>
    <row r="316" spans="1:20" ht="16">
      <c r="A316" s="82">
        <v>45894</v>
      </c>
      <c r="B316" s="82" t="str">
        <f>+_xlfn.XLOOKUP(Tabla4[[#This Row],[ID CLIENTE]],'RESUMEN CLIENTES'!D:D,'RESUMEN CLIENTES'!A:A)</f>
        <v>Jorge Augusto Cámbara Vargas</v>
      </c>
      <c r="C316" s="83" t="s">
        <v>2261</v>
      </c>
      <c r="D316" s="83" t="s">
        <v>333</v>
      </c>
      <c r="E316" s="83" t="s">
        <v>721</v>
      </c>
      <c r="F316" s="83" t="s">
        <v>722</v>
      </c>
      <c r="G316" s="84">
        <v>2000</v>
      </c>
      <c r="H316" s="85">
        <v>-65.25</v>
      </c>
      <c r="I316" s="86">
        <f t="shared" si="10"/>
        <v>3.2625000000000001E-2</v>
      </c>
      <c r="J316" s="87">
        <f t="shared" si="11"/>
        <v>1934.75</v>
      </c>
      <c r="K316" s="87"/>
      <c r="L316" s="87" t="s">
        <v>4672</v>
      </c>
      <c r="M316" s="87"/>
      <c r="N316" s="521"/>
      <c r="O316" s="521">
        <f>+Tabla4[[#This Row],[PAGO NO EURO]]+Tabla4[[#This Row],[CARGO NO EURO]]</f>
        <v>0</v>
      </c>
      <c r="P316" s="521"/>
      <c r="Q316" s="88"/>
      <c r="R316" s="689">
        <f>+_xlfn.XLOOKUP(Tabla4[[#This Row],[ID CLIENTE]],'RESUMEN CLIENTES'!D:D,'RESUMEN CLIENTES'!G:G)</f>
        <v>45821</v>
      </c>
      <c r="S316" s="88" t="str">
        <f>+_xlfn.XLOOKUP(Tabla4[[#This Row],[ID CLIENTE]],'RESUMEN CLIENTES'!D:D,'RESUMEN CLIENTES'!AA:AA)</f>
        <v>B1.1</v>
      </c>
      <c r="T316" s="680" t="str">
        <f>+_xlfn.XLOOKUP(Tabla4[[#This Row],[ID CLIENTE]],'RESUMEN CLIENTES'!D:D,'RESUMEN CLIENTES'!C:C)</f>
        <v>Guatemala</v>
      </c>
    </row>
    <row r="317" spans="1:20" ht="16">
      <c r="A317" s="82">
        <v>45894</v>
      </c>
      <c r="B317" s="82" t="str">
        <f>+_xlfn.XLOOKUP(Tabla4[[#This Row],[ID CLIENTE]],'RESUMEN CLIENTES'!D:D,'RESUMEN CLIENTES'!A:A)</f>
        <v>Mauricio Ignacio Alcayaga Romo</v>
      </c>
      <c r="C317" s="83" t="s">
        <v>2251</v>
      </c>
      <c r="D317" s="83" t="s">
        <v>322</v>
      </c>
      <c r="E317" s="83" t="s">
        <v>723</v>
      </c>
      <c r="F317" s="83" t="s">
        <v>724</v>
      </c>
      <c r="G317" s="84">
        <v>1000</v>
      </c>
      <c r="H317" s="85">
        <v>-32.75</v>
      </c>
      <c r="I317" s="86">
        <f t="shared" si="10"/>
        <v>3.2750000000000001E-2</v>
      </c>
      <c r="J317" s="87">
        <f t="shared" si="11"/>
        <v>967.25</v>
      </c>
      <c r="K317" s="87"/>
      <c r="L317" s="87" t="s">
        <v>4672</v>
      </c>
      <c r="M317" s="87"/>
      <c r="N317" s="521"/>
      <c r="O317" s="521">
        <f>+Tabla4[[#This Row],[PAGO NO EURO]]+Tabla4[[#This Row],[CARGO NO EURO]]</f>
        <v>0</v>
      </c>
      <c r="P317" s="521"/>
      <c r="Q317" s="88"/>
      <c r="R317" s="689">
        <f>+_xlfn.XLOOKUP(Tabla4[[#This Row],[ID CLIENTE]],'RESUMEN CLIENTES'!D:D,'RESUMEN CLIENTES'!G:G)</f>
        <v>45819</v>
      </c>
      <c r="S317" s="88" t="str">
        <f>+_xlfn.XLOOKUP(Tabla4[[#This Row],[ID CLIENTE]],'RESUMEN CLIENTES'!D:D,'RESUMEN CLIENTES'!AA:AA)</f>
        <v>B2.1</v>
      </c>
      <c r="T317" s="680" t="str">
        <f>+_xlfn.XLOOKUP(Tabla4[[#This Row],[ID CLIENTE]],'RESUMEN CLIENTES'!D:D,'RESUMEN CLIENTES'!C:C)</f>
        <v>Chile</v>
      </c>
    </row>
    <row r="318" spans="1:20" ht="16">
      <c r="A318" s="82">
        <v>45895</v>
      </c>
      <c r="B318" s="82" t="str">
        <f>+_xlfn.XLOOKUP(Tabla4[[#This Row],[ID CLIENTE]],'RESUMEN CLIENTES'!D:D,'RESUMEN CLIENTES'!A:A)</f>
        <v>Marcia Arancibia Limachi</v>
      </c>
      <c r="C318" s="83" t="s">
        <v>2368</v>
      </c>
      <c r="D318" s="83" t="s">
        <v>727</v>
      </c>
      <c r="E318" s="83" t="s">
        <v>728</v>
      </c>
      <c r="F318" s="83" t="s">
        <v>729</v>
      </c>
      <c r="G318" s="84">
        <v>250</v>
      </c>
      <c r="H318" s="85">
        <v>-8.3800000000000008</v>
      </c>
      <c r="I318" s="86">
        <f t="shared" si="10"/>
        <v>3.3520000000000001E-2</v>
      </c>
      <c r="J318" s="87">
        <f t="shared" si="11"/>
        <v>241.62</v>
      </c>
      <c r="K318" s="87"/>
      <c r="L318" s="87" t="s">
        <v>4672</v>
      </c>
      <c r="M318" s="87"/>
      <c r="N318" s="521"/>
      <c r="O318" s="521">
        <f>+Tabla4[[#This Row],[PAGO NO EURO]]+Tabla4[[#This Row],[CARGO NO EURO]]</f>
        <v>0</v>
      </c>
      <c r="P318" s="521"/>
      <c r="Q318" s="88"/>
      <c r="R318" s="689">
        <f>+_xlfn.XLOOKUP(Tabla4[[#This Row],[ID CLIENTE]],'RESUMEN CLIENTES'!D:D,'RESUMEN CLIENTES'!G:G)</f>
        <v>45895</v>
      </c>
      <c r="S318" s="88" t="str">
        <f>+_xlfn.XLOOKUP(Tabla4[[#This Row],[ID CLIENTE]],'RESUMEN CLIENTES'!D:D,'RESUMEN CLIENTES'!AA:AA)</f>
        <v>null</v>
      </c>
      <c r="T318" s="680" t="str">
        <f>+_xlfn.XLOOKUP(Tabla4[[#This Row],[ID CLIENTE]],'RESUMEN CLIENTES'!D:D,'RESUMEN CLIENTES'!C:C)</f>
        <v>Argentina</v>
      </c>
    </row>
    <row r="319" spans="1:20" ht="16">
      <c r="A319" s="82">
        <v>45895</v>
      </c>
      <c r="B319" s="82" t="str">
        <f>+_xlfn.XLOOKUP(Tabla4[[#This Row],[ID CLIENTE]],'RESUMEN CLIENTES'!D:D,'RESUMEN CLIENTES'!A:A)</f>
        <v>Julio Nelson Adaros Moraga</v>
      </c>
      <c r="C319" s="83" t="s">
        <v>2271</v>
      </c>
      <c r="D319" s="83" t="s">
        <v>372</v>
      </c>
      <c r="E319" s="83" t="s">
        <v>734</v>
      </c>
      <c r="F319" s="83" t="s">
        <v>735</v>
      </c>
      <c r="G319" s="84">
        <v>1000</v>
      </c>
      <c r="H319" s="85">
        <v>-32.75</v>
      </c>
      <c r="I319" s="86">
        <f t="shared" si="10"/>
        <v>3.2750000000000001E-2</v>
      </c>
      <c r="J319" s="87">
        <f t="shared" si="11"/>
        <v>967.25</v>
      </c>
      <c r="K319" s="87"/>
      <c r="L319" s="87" t="s">
        <v>4672</v>
      </c>
      <c r="M319" s="87"/>
      <c r="N319" s="521"/>
      <c r="O319" s="521">
        <f>+Tabla4[[#This Row],[PAGO NO EURO]]+Tabla4[[#This Row],[CARGO NO EURO]]</f>
        <v>0</v>
      </c>
      <c r="P319" s="521"/>
      <c r="Q319" s="88"/>
      <c r="R319" s="689">
        <f>+_xlfn.XLOOKUP(Tabla4[[#This Row],[ID CLIENTE]],'RESUMEN CLIENTES'!D:D,'RESUMEN CLIENTES'!G:G)</f>
        <v>45836</v>
      </c>
      <c r="S319" s="88" t="str">
        <f>+_xlfn.XLOOKUP(Tabla4[[#This Row],[ID CLIENTE]],'RESUMEN CLIENTES'!D:D,'RESUMEN CLIENTES'!AA:AA)</f>
        <v>A1.1</v>
      </c>
      <c r="T319" s="680" t="str">
        <f>+_xlfn.XLOOKUP(Tabla4[[#This Row],[ID CLIENTE]],'RESUMEN CLIENTES'!D:D,'RESUMEN CLIENTES'!C:C)</f>
        <v>Chile</v>
      </c>
    </row>
    <row r="320" spans="1:20" ht="16">
      <c r="A320" s="82">
        <v>45895</v>
      </c>
      <c r="B320" s="82" t="str">
        <f>+_xlfn.XLOOKUP(Tabla4[[#This Row],[ID CLIENTE]],'RESUMEN CLIENTES'!D:D,'RESUMEN CLIENTES'!A:A)</f>
        <v>Sofia Martínez Restrepo</v>
      </c>
      <c r="C320" s="83" t="s">
        <v>2366</v>
      </c>
      <c r="D320" s="83" t="s">
        <v>716</v>
      </c>
      <c r="E320" s="83" t="s">
        <v>730</v>
      </c>
      <c r="F320" s="83" t="s">
        <v>731</v>
      </c>
      <c r="G320" s="84">
        <v>2000</v>
      </c>
      <c r="H320" s="85">
        <v>-65.25</v>
      </c>
      <c r="I320" s="86">
        <f t="shared" si="10"/>
        <v>3.2625000000000001E-2</v>
      </c>
      <c r="J320" s="87">
        <f t="shared" si="11"/>
        <v>1934.75</v>
      </c>
      <c r="K320" s="87"/>
      <c r="L320" s="87" t="s">
        <v>4672</v>
      </c>
      <c r="M320" s="87"/>
      <c r="N320" s="521"/>
      <c r="O320" s="521">
        <f>+Tabla4[[#This Row],[PAGO NO EURO]]+Tabla4[[#This Row],[CARGO NO EURO]]</f>
        <v>0</v>
      </c>
      <c r="P320" s="521"/>
      <c r="Q320" s="88"/>
      <c r="R320" s="689">
        <f>+_xlfn.XLOOKUP(Tabla4[[#This Row],[ID CLIENTE]],'RESUMEN CLIENTES'!D:D,'RESUMEN CLIENTES'!G:G)</f>
        <v>45891</v>
      </c>
      <c r="S320" s="88" t="str">
        <f>+_xlfn.XLOOKUP(Tabla4[[#This Row],[ID CLIENTE]],'RESUMEN CLIENTES'!D:D,'RESUMEN CLIENTES'!AA:AA)</f>
        <v>A1.1</v>
      </c>
      <c r="T320" s="680" t="str">
        <f>+_xlfn.XLOOKUP(Tabla4[[#This Row],[ID CLIENTE]],'RESUMEN CLIENTES'!D:D,'RESUMEN CLIENTES'!C:C)</f>
        <v>Colombia</v>
      </c>
    </row>
    <row r="321" spans="1:20" ht="16">
      <c r="A321" s="82">
        <v>45896</v>
      </c>
      <c r="B321" s="82" t="str">
        <f>+_xlfn.XLOOKUP(Tabla4[[#This Row],[ID CLIENTE]],'RESUMEN CLIENTES'!D:D,'RESUMEN CLIENTES'!A:A)</f>
        <v>Karen Felisa Valencia Grueso</v>
      </c>
      <c r="C321" s="83" t="s">
        <v>2373</v>
      </c>
      <c r="D321" s="83" t="s">
        <v>736</v>
      </c>
      <c r="E321" s="83" t="s">
        <v>737</v>
      </c>
      <c r="F321" s="83" t="s">
        <v>738</v>
      </c>
      <c r="G321" s="84">
        <v>250</v>
      </c>
      <c r="H321" s="85">
        <v>-8.3800000000000008</v>
      </c>
      <c r="I321" s="86">
        <f t="shared" si="10"/>
        <v>3.3520000000000001E-2</v>
      </c>
      <c r="J321" s="87">
        <f t="shared" si="11"/>
        <v>241.62</v>
      </c>
      <c r="K321" s="87"/>
      <c r="L321" s="87" t="s">
        <v>4672</v>
      </c>
      <c r="M321" s="87"/>
      <c r="N321" s="521"/>
      <c r="O321" s="521">
        <f>+Tabla4[[#This Row],[PAGO NO EURO]]+Tabla4[[#This Row],[CARGO NO EURO]]</f>
        <v>0</v>
      </c>
      <c r="P321" s="521"/>
      <c r="Q321" s="88"/>
      <c r="R321" s="689">
        <f>+_xlfn.XLOOKUP(Tabla4[[#This Row],[ID CLIENTE]],'RESUMEN CLIENTES'!D:D,'RESUMEN CLIENTES'!G:G)</f>
        <v>45896</v>
      </c>
      <c r="S321" s="88" t="str">
        <f>+_xlfn.XLOOKUP(Tabla4[[#This Row],[ID CLIENTE]],'RESUMEN CLIENTES'!D:D,'RESUMEN CLIENTES'!AA:AA)</f>
        <v>null</v>
      </c>
      <c r="T321" s="680" t="str">
        <f>+_xlfn.XLOOKUP(Tabla4[[#This Row],[ID CLIENTE]],'RESUMEN CLIENTES'!D:D,'RESUMEN CLIENTES'!C:C)</f>
        <v>Colombia</v>
      </c>
    </row>
    <row r="322" spans="1:20" ht="16">
      <c r="A322" s="82">
        <v>45896</v>
      </c>
      <c r="B322" s="82" t="str">
        <f>+_xlfn.XLOOKUP(Tabla4[[#This Row],[ID CLIENTE]],'RESUMEN CLIENTES'!D:D,'RESUMEN CLIENTES'!A:A)</f>
        <v>Tamara Rodríguez Ramírez</v>
      </c>
      <c r="C322" s="83" t="s">
        <v>2370</v>
      </c>
      <c r="D322" s="83" t="s">
        <v>2371</v>
      </c>
      <c r="E322" s="83" t="s">
        <v>2624</v>
      </c>
      <c r="F322" s="83" t="s">
        <v>2625</v>
      </c>
      <c r="G322" s="84">
        <v>250</v>
      </c>
      <c r="H322" s="85">
        <v>-8.3800000000000008</v>
      </c>
      <c r="I322" s="86">
        <f t="shared" si="10"/>
        <v>3.3520000000000001E-2</v>
      </c>
      <c r="J322" s="87">
        <f t="shared" si="11"/>
        <v>241.62</v>
      </c>
      <c r="K322" s="87"/>
      <c r="L322" s="87" t="s">
        <v>4672</v>
      </c>
      <c r="M322" s="87"/>
      <c r="N322" s="521"/>
      <c r="O322" s="521">
        <f>+Tabla4[[#This Row],[PAGO NO EURO]]+Tabla4[[#This Row],[CARGO NO EURO]]</f>
        <v>0</v>
      </c>
      <c r="P322" s="521"/>
      <c r="Q322" s="88"/>
      <c r="R322" s="689">
        <f>+_xlfn.XLOOKUP(Tabla4[[#This Row],[ID CLIENTE]],'RESUMEN CLIENTES'!D:D,'RESUMEN CLIENTES'!G:G)</f>
        <v>45896</v>
      </c>
      <c r="S322" s="88" t="str">
        <f>+_xlfn.XLOOKUP(Tabla4[[#This Row],[ID CLIENTE]],'RESUMEN CLIENTES'!D:D,'RESUMEN CLIENTES'!AA:AA)</f>
        <v>null</v>
      </c>
      <c r="T322" s="680" t="str">
        <f>+_xlfn.XLOOKUP(Tabla4[[#This Row],[ID CLIENTE]],'RESUMEN CLIENTES'!D:D,'RESUMEN CLIENTES'!C:C)</f>
        <v>México</v>
      </c>
    </row>
    <row r="323" spans="1:20" ht="16">
      <c r="A323" s="82">
        <v>45896</v>
      </c>
      <c r="B323" s="82" t="str">
        <f>+_xlfn.XLOOKUP(Tabla4[[#This Row],[ID CLIENTE]],'RESUMEN CLIENTES'!D:D,'RESUMEN CLIENTES'!A:A)</f>
        <v>Gilberto Martiñon Torres</v>
      </c>
      <c r="C323" s="83" t="s">
        <v>2375</v>
      </c>
      <c r="D323" s="83" t="s">
        <v>739</v>
      </c>
      <c r="E323" s="83" t="s">
        <v>740</v>
      </c>
      <c r="F323" s="83" t="s">
        <v>741</v>
      </c>
      <c r="G323" s="84">
        <v>250</v>
      </c>
      <c r="H323" s="85">
        <v>-8.3800000000000008</v>
      </c>
      <c r="I323" s="86">
        <f t="shared" si="10"/>
        <v>3.3520000000000001E-2</v>
      </c>
      <c r="J323" s="87">
        <f t="shared" si="11"/>
        <v>241.62</v>
      </c>
      <c r="K323" s="87"/>
      <c r="L323" s="87" t="s">
        <v>4672</v>
      </c>
      <c r="M323" s="87"/>
      <c r="N323" s="521"/>
      <c r="O323" s="521">
        <f>+Tabla4[[#This Row],[PAGO NO EURO]]+Tabla4[[#This Row],[CARGO NO EURO]]</f>
        <v>0</v>
      </c>
      <c r="P323" s="521"/>
      <c r="Q323" s="88"/>
      <c r="R323" s="689">
        <f>+_xlfn.XLOOKUP(Tabla4[[#This Row],[ID CLIENTE]],'RESUMEN CLIENTES'!D:D,'RESUMEN CLIENTES'!G:G)</f>
        <v>45896</v>
      </c>
      <c r="S323" s="88" t="str">
        <f>+_xlfn.XLOOKUP(Tabla4[[#This Row],[ID CLIENTE]],'RESUMEN CLIENTES'!D:D,'RESUMEN CLIENTES'!AA:AA)</f>
        <v>A1.1</v>
      </c>
      <c r="T323" s="680" t="str">
        <f>+_xlfn.XLOOKUP(Tabla4[[#This Row],[ID CLIENTE]],'RESUMEN CLIENTES'!D:D,'RESUMEN CLIENTES'!C:C)</f>
        <v>México</v>
      </c>
    </row>
    <row r="324" spans="1:20" ht="16">
      <c r="A324" s="82">
        <v>45897</v>
      </c>
      <c r="B324" s="82" t="str">
        <f>+_xlfn.XLOOKUP(Tabla4[[#This Row],[ID CLIENTE]],'RESUMEN CLIENTES'!D:D,'RESUMEN CLIENTES'!A:A)</f>
        <v>Alejandra Goretti Figueroa Romo</v>
      </c>
      <c r="C324" s="83" t="s">
        <v>2323</v>
      </c>
      <c r="D324" s="83" t="s">
        <v>541</v>
      </c>
      <c r="E324" s="83" t="s">
        <v>765</v>
      </c>
      <c r="F324" s="83" t="s">
        <v>766</v>
      </c>
      <c r="G324" s="84">
        <v>1500</v>
      </c>
      <c r="H324" s="85">
        <v>-49</v>
      </c>
      <c r="I324" s="86">
        <f t="shared" si="10"/>
        <v>3.2666666666666663E-2</v>
      </c>
      <c r="J324" s="87">
        <f t="shared" si="11"/>
        <v>1451</v>
      </c>
      <c r="K324" s="87"/>
      <c r="L324" s="87" t="s">
        <v>4672</v>
      </c>
      <c r="M324" s="87"/>
      <c r="N324" s="521"/>
      <c r="O324" s="521">
        <f>+Tabla4[[#This Row],[PAGO NO EURO]]+Tabla4[[#This Row],[CARGO NO EURO]]</f>
        <v>0</v>
      </c>
      <c r="P324" s="521"/>
      <c r="Q324" s="88"/>
      <c r="R324" s="689">
        <f>+_xlfn.XLOOKUP(Tabla4[[#This Row],[ID CLIENTE]],'RESUMEN CLIENTES'!D:D,'RESUMEN CLIENTES'!G:G)</f>
        <v>45867</v>
      </c>
      <c r="S324" s="88" t="str">
        <f>+_xlfn.XLOOKUP(Tabla4[[#This Row],[ID CLIENTE]],'RESUMEN CLIENTES'!D:D,'RESUMEN CLIENTES'!AA:AA)</f>
        <v>A2.2</v>
      </c>
      <c r="T324" s="680" t="str">
        <f>+_xlfn.XLOOKUP(Tabla4[[#This Row],[ID CLIENTE]],'RESUMEN CLIENTES'!D:D,'RESUMEN CLIENTES'!C:C)</f>
        <v>México</v>
      </c>
    </row>
    <row r="325" spans="1:20" ht="16">
      <c r="A325" s="82">
        <v>45897</v>
      </c>
      <c r="B325" s="82" t="str">
        <f>+_xlfn.XLOOKUP(Tabla4[[#This Row],[ID CLIENTE]],'RESUMEN CLIENTES'!D:D,'RESUMEN CLIENTES'!A:A)</f>
        <v>Carlos Josue Escobar Morán</v>
      </c>
      <c r="C325" s="83" t="s">
        <v>2208</v>
      </c>
      <c r="D325" s="83" t="s">
        <v>226</v>
      </c>
      <c r="E325" s="83" t="s">
        <v>776</v>
      </c>
      <c r="F325" s="83" t="s">
        <v>777</v>
      </c>
      <c r="G325" s="84">
        <v>500</v>
      </c>
      <c r="H325" s="85">
        <v>-16.5</v>
      </c>
      <c r="I325" s="86">
        <f t="shared" si="10"/>
        <v>3.3000000000000002E-2</v>
      </c>
      <c r="J325" s="87">
        <f t="shared" si="11"/>
        <v>483.5</v>
      </c>
      <c r="K325" s="87"/>
      <c r="L325" s="87" t="s">
        <v>4672</v>
      </c>
      <c r="M325" s="87"/>
      <c r="N325" s="521"/>
      <c r="O325" s="521">
        <f>+Tabla4[[#This Row],[PAGO NO EURO]]+Tabla4[[#This Row],[CARGO NO EURO]]</f>
        <v>0</v>
      </c>
      <c r="P325" s="521"/>
      <c r="Q325" s="88"/>
      <c r="R325" s="689">
        <f>+_xlfn.XLOOKUP(Tabla4[[#This Row],[ID CLIENTE]],'RESUMEN CLIENTES'!D:D,'RESUMEN CLIENTES'!G:G)</f>
        <v>45790</v>
      </c>
      <c r="S325" s="88" t="str">
        <f>+_xlfn.XLOOKUP(Tabla4[[#This Row],[ID CLIENTE]],'RESUMEN CLIENTES'!D:D,'RESUMEN CLIENTES'!AA:AA)</f>
        <v>B1.1</v>
      </c>
      <c r="T325" s="680" t="str">
        <f>+_xlfn.XLOOKUP(Tabla4[[#This Row],[ID CLIENTE]],'RESUMEN CLIENTES'!D:D,'RESUMEN CLIENTES'!C:C)</f>
        <v>El Salvador</v>
      </c>
    </row>
    <row r="326" spans="1:20" ht="16">
      <c r="A326" s="82">
        <v>45897</v>
      </c>
      <c r="B326" s="82" t="str">
        <f>+_xlfn.XLOOKUP(Tabla4[[#This Row],[ID CLIENTE]],'RESUMEN CLIENTES'!D:D,'RESUMEN CLIENTES'!A:A)</f>
        <v>Hugo Nicolás Trávez Morales</v>
      </c>
      <c r="C326" s="83" t="s">
        <v>2156</v>
      </c>
      <c r="D326" s="83" t="s">
        <v>139</v>
      </c>
      <c r="E326" s="83" t="s">
        <v>792</v>
      </c>
      <c r="F326" s="83" t="s">
        <v>793</v>
      </c>
      <c r="G326" s="84">
        <v>1000</v>
      </c>
      <c r="H326" s="85">
        <v>-32.75</v>
      </c>
      <c r="I326" s="86">
        <f t="shared" si="10"/>
        <v>3.2750000000000001E-2</v>
      </c>
      <c r="J326" s="87">
        <f t="shared" si="11"/>
        <v>967.25</v>
      </c>
      <c r="K326" s="87"/>
      <c r="L326" s="87" t="s">
        <v>4672</v>
      </c>
      <c r="M326" s="87"/>
      <c r="N326" s="521"/>
      <c r="O326" s="521">
        <f>+Tabla4[[#This Row],[PAGO NO EURO]]+Tabla4[[#This Row],[CARGO NO EURO]]</f>
        <v>0</v>
      </c>
      <c r="P326" s="521"/>
      <c r="Q326" s="88"/>
      <c r="R326" s="689">
        <f>+_xlfn.XLOOKUP(Tabla4[[#This Row],[ID CLIENTE]],'RESUMEN CLIENTES'!D:D,'RESUMEN CLIENTES'!G:G)</f>
        <v>45747</v>
      </c>
      <c r="S326" s="88" t="str">
        <f>+_xlfn.XLOOKUP(Tabla4[[#This Row],[ID CLIENTE]],'RESUMEN CLIENTES'!D:D,'RESUMEN CLIENTES'!AA:AA)</f>
        <v>null</v>
      </c>
      <c r="T326" s="680" t="str">
        <f>+_xlfn.XLOOKUP(Tabla4[[#This Row],[ID CLIENTE]],'RESUMEN CLIENTES'!D:D,'RESUMEN CLIENTES'!C:C)</f>
        <v>Ecuador</v>
      </c>
    </row>
    <row r="327" spans="1:20" ht="16">
      <c r="A327" s="82">
        <v>45897</v>
      </c>
      <c r="B327" s="82" t="str">
        <f>+_xlfn.XLOOKUP(Tabla4[[#This Row],[ID CLIENTE]],'RESUMEN CLIENTES'!D:D,'RESUMEN CLIENTES'!A:A)</f>
        <v>David Hernández Viveros</v>
      </c>
      <c r="C327" s="83" t="s">
        <v>2143</v>
      </c>
      <c r="D327" s="83" t="s">
        <v>115</v>
      </c>
      <c r="E327" s="83" t="s">
        <v>783</v>
      </c>
      <c r="F327" s="83" t="s">
        <v>784</v>
      </c>
      <c r="G327" s="84">
        <v>1300</v>
      </c>
      <c r="H327" s="85">
        <v>-42.5</v>
      </c>
      <c r="I327" s="86">
        <f t="shared" si="10"/>
        <v>3.2692307692307694E-2</v>
      </c>
      <c r="J327" s="87">
        <f t="shared" si="11"/>
        <v>1257.5</v>
      </c>
      <c r="K327" s="87"/>
      <c r="L327" s="87" t="s">
        <v>4672</v>
      </c>
      <c r="M327" s="87"/>
      <c r="N327" s="521"/>
      <c r="O327" s="521">
        <f>+Tabla4[[#This Row],[PAGO NO EURO]]+Tabla4[[#This Row],[CARGO NO EURO]]</f>
        <v>0</v>
      </c>
      <c r="P327" s="521"/>
      <c r="Q327" s="88"/>
      <c r="R327" s="689">
        <f>+_xlfn.XLOOKUP(Tabla4[[#This Row],[ID CLIENTE]],'RESUMEN CLIENTES'!D:D,'RESUMEN CLIENTES'!G:G)</f>
        <v>45737</v>
      </c>
      <c r="S327" s="88" t="str">
        <f>+_xlfn.XLOOKUP(Tabla4[[#This Row],[ID CLIENTE]],'RESUMEN CLIENTES'!D:D,'RESUMEN CLIENTES'!AA:AA)</f>
        <v>null</v>
      </c>
      <c r="T327" s="680" t="str">
        <f>+_xlfn.XLOOKUP(Tabla4[[#This Row],[ID CLIENTE]],'RESUMEN CLIENTES'!D:D,'RESUMEN CLIENTES'!C:C)</f>
        <v>México</v>
      </c>
    </row>
    <row r="328" spans="1:20" ht="16">
      <c r="A328" s="82">
        <v>45897</v>
      </c>
      <c r="B328" s="82" t="str">
        <f>+_xlfn.XLOOKUP(Tabla4[[#This Row],[ID CLIENTE]],'RESUMEN CLIENTES'!D:D,'RESUMEN CLIENTES'!A:A)</f>
        <v>Hector Armando Daza Mejia</v>
      </c>
      <c r="C328" s="83" t="s">
        <v>2133</v>
      </c>
      <c r="D328" s="83" t="s">
        <v>106</v>
      </c>
      <c r="E328" s="83" t="s">
        <v>790</v>
      </c>
      <c r="F328" s="83" t="s">
        <v>791</v>
      </c>
      <c r="G328" s="84">
        <v>1500</v>
      </c>
      <c r="H328" s="85">
        <v>-49</v>
      </c>
      <c r="I328" s="86">
        <f t="shared" si="10"/>
        <v>3.2666666666666663E-2</v>
      </c>
      <c r="J328" s="87">
        <f t="shared" si="11"/>
        <v>1451</v>
      </c>
      <c r="K328" s="87"/>
      <c r="L328" s="87" t="s">
        <v>4672</v>
      </c>
      <c r="M328" s="87"/>
      <c r="N328" s="521"/>
      <c r="O328" s="521">
        <f>+Tabla4[[#This Row],[PAGO NO EURO]]+Tabla4[[#This Row],[CARGO NO EURO]]</f>
        <v>0</v>
      </c>
      <c r="P328" s="521"/>
      <c r="Q328" s="88"/>
      <c r="R328" s="689">
        <f>+_xlfn.XLOOKUP(Tabla4[[#This Row],[ID CLIENTE]],'RESUMEN CLIENTES'!D:D,'RESUMEN CLIENTES'!G:G)</f>
        <v>45726</v>
      </c>
      <c r="S328" s="88" t="str">
        <f>+_xlfn.XLOOKUP(Tabla4[[#This Row],[ID CLIENTE]],'RESUMEN CLIENTES'!D:D,'RESUMEN CLIENTES'!AA:AA)</f>
        <v>B1.2</v>
      </c>
      <c r="T328" s="680" t="str">
        <f>+_xlfn.XLOOKUP(Tabla4[[#This Row],[ID CLIENTE]],'RESUMEN CLIENTES'!D:D,'RESUMEN CLIENTES'!C:C)</f>
        <v>Colombia</v>
      </c>
    </row>
    <row r="329" spans="1:20" ht="16">
      <c r="A329" s="82">
        <v>45897</v>
      </c>
      <c r="B329" s="82" t="str">
        <f>+_xlfn.XLOOKUP(Tabla4[[#This Row],[ID CLIENTE]],'RESUMEN CLIENTES'!D:D,'RESUMEN CLIENTES'!A:A)</f>
        <v>Erick Leonardo Chiriboga Valdiviezo</v>
      </c>
      <c r="C329" s="83" t="s">
        <v>2341</v>
      </c>
      <c r="D329" s="83" t="s">
        <v>595</v>
      </c>
      <c r="E329" s="83" t="s">
        <v>759</v>
      </c>
      <c r="F329" s="83" t="s">
        <v>760</v>
      </c>
      <c r="G329" s="84">
        <f>+Tabla4[[#This Row],[PAGO NO EURO]]*Tabla4[[#This Row],[CAMBIO]]</f>
        <v>4224.8927038626607</v>
      </c>
      <c r="H329" s="85">
        <f>+Tabla4[[#This Row],[CARGO NO EURO]]*Tabla4[[#This Row],[CAMBIO]]</f>
        <v>0</v>
      </c>
      <c r="I329" s="86">
        <f t="shared" si="10"/>
        <v>0</v>
      </c>
      <c r="J329" s="87">
        <f t="shared" si="11"/>
        <v>4224.8927038626607</v>
      </c>
      <c r="K329" s="87" t="s">
        <v>4678</v>
      </c>
      <c r="L329" s="87" t="s">
        <v>4675</v>
      </c>
      <c r="M329" s="87" t="s">
        <v>2548</v>
      </c>
      <c r="N329" s="524">
        <v>4922</v>
      </c>
      <c r="O329" s="524">
        <f>+Tabla4[[#This Row],[PAGO NO EURO]]+Tabla4[[#This Row],[CARGO NO EURO]]</f>
        <v>4922</v>
      </c>
      <c r="P329" s="524">
        <v>0</v>
      </c>
      <c r="Q329" s="92">
        <v>0.85836909871244638</v>
      </c>
      <c r="R329" s="690">
        <f>+_xlfn.XLOOKUP(Tabla4[[#This Row],[ID CLIENTE]],'RESUMEN CLIENTES'!D:D,'RESUMEN CLIENTES'!G:G)</f>
        <v>45870</v>
      </c>
      <c r="S329" s="92" t="str">
        <f>+_xlfn.XLOOKUP(Tabla4[[#This Row],[ID CLIENTE]],'RESUMEN CLIENTES'!D:D,'RESUMEN CLIENTES'!AA:AA)</f>
        <v>A1.1</v>
      </c>
      <c r="T329" s="680" t="str">
        <f>+_xlfn.XLOOKUP(Tabla4[[#This Row],[ID CLIENTE]],'RESUMEN CLIENTES'!D:D,'RESUMEN CLIENTES'!C:C)</f>
        <v>Ecuador</v>
      </c>
    </row>
    <row r="330" spans="1:20" ht="16">
      <c r="A330" s="82">
        <v>45897</v>
      </c>
      <c r="B330" s="82" t="str">
        <f>+_xlfn.XLOOKUP(Tabla4[[#This Row],[ID CLIENTE]],'RESUMEN CLIENTES'!D:D,'RESUMEN CLIENTES'!A:A)</f>
        <v>Maira Paz Navas Sánchez</v>
      </c>
      <c r="C330" s="83" t="s">
        <v>2362</v>
      </c>
      <c r="D330" s="83" t="s">
        <v>703</v>
      </c>
      <c r="E330" s="83" t="s">
        <v>742</v>
      </c>
      <c r="F330" s="83" t="s">
        <v>743</v>
      </c>
      <c r="G330" s="84">
        <v>1750</v>
      </c>
      <c r="H330" s="85">
        <v>-57.13</v>
      </c>
      <c r="I330" s="86">
        <f t="shared" si="10"/>
        <v>3.2645714285714285E-2</v>
      </c>
      <c r="J330" s="87">
        <f t="shared" si="11"/>
        <v>1692.87</v>
      </c>
      <c r="K330" s="87"/>
      <c r="L330" s="87" t="s">
        <v>4672</v>
      </c>
      <c r="M330" s="87"/>
      <c r="N330" s="521"/>
      <c r="O330" s="521">
        <f>+Tabla4[[#This Row],[PAGO NO EURO]]+Tabla4[[#This Row],[CARGO NO EURO]]</f>
        <v>0</v>
      </c>
      <c r="P330" s="521"/>
      <c r="Q330" s="88"/>
      <c r="R330" s="689">
        <f>+_xlfn.XLOOKUP(Tabla4[[#This Row],[ID CLIENTE]],'RESUMEN CLIENTES'!D:D,'RESUMEN CLIENTES'!G:G)</f>
        <v>45888</v>
      </c>
      <c r="S330" s="88" t="str">
        <f>+_xlfn.XLOOKUP(Tabla4[[#This Row],[ID CLIENTE]],'RESUMEN CLIENTES'!D:D,'RESUMEN CLIENTES'!AA:AA)</f>
        <v>A1.1</v>
      </c>
      <c r="T330" s="680" t="str">
        <f>+_xlfn.XLOOKUP(Tabla4[[#This Row],[ID CLIENTE]],'RESUMEN CLIENTES'!D:D,'RESUMEN CLIENTES'!C:C)</f>
        <v>Chile</v>
      </c>
    </row>
    <row r="331" spans="1:20" ht="16">
      <c r="A331" s="82">
        <v>45897</v>
      </c>
      <c r="B331" s="82" t="str">
        <f>+_xlfn.XLOOKUP(Tabla4[[#This Row],[ID CLIENTE]],'RESUMEN CLIENTES'!D:D,'RESUMEN CLIENTES'!A:A)</f>
        <v>Mario Andrés Pazán Rojas</v>
      </c>
      <c r="C331" s="83" t="s">
        <v>2317</v>
      </c>
      <c r="D331" s="83" t="s">
        <v>524</v>
      </c>
      <c r="E331" s="83" t="s">
        <v>812</v>
      </c>
      <c r="F331" s="83" t="s">
        <v>813</v>
      </c>
      <c r="G331" s="84">
        <v>1000</v>
      </c>
      <c r="H331" s="85">
        <v>-32.75</v>
      </c>
      <c r="I331" s="86">
        <f t="shared" si="10"/>
        <v>3.2750000000000001E-2</v>
      </c>
      <c r="J331" s="87">
        <f t="shared" si="11"/>
        <v>967.25</v>
      </c>
      <c r="K331" s="87"/>
      <c r="L331" s="87" t="s">
        <v>4672</v>
      </c>
      <c r="M331" s="87"/>
      <c r="N331" s="521"/>
      <c r="O331" s="521">
        <f>+Tabla4[[#This Row],[PAGO NO EURO]]+Tabla4[[#This Row],[CARGO NO EURO]]</f>
        <v>0</v>
      </c>
      <c r="P331" s="521"/>
      <c r="Q331" s="88"/>
      <c r="R331" s="689">
        <f>+_xlfn.XLOOKUP(Tabla4[[#This Row],[ID CLIENTE]],'RESUMEN CLIENTES'!D:D,'RESUMEN CLIENTES'!G:G)</f>
        <v>45865</v>
      </c>
      <c r="S331" s="88" t="str">
        <f>+_xlfn.XLOOKUP(Tabla4[[#This Row],[ID CLIENTE]],'RESUMEN CLIENTES'!D:D,'RESUMEN CLIENTES'!AA:AA)</f>
        <v>null</v>
      </c>
      <c r="T331" s="680" t="str">
        <f>+_xlfn.XLOOKUP(Tabla4[[#This Row],[ID CLIENTE]],'RESUMEN CLIENTES'!D:D,'RESUMEN CLIENTES'!C:C)</f>
        <v>Chile</v>
      </c>
    </row>
    <row r="332" spans="1:20" ht="16">
      <c r="A332" s="82">
        <v>45897</v>
      </c>
      <c r="B332" s="82" t="str">
        <f>+_xlfn.XLOOKUP(Tabla4[[#This Row],[ID CLIENTE]],'RESUMEN CLIENTES'!D:D,'RESUMEN CLIENTES'!A:A)</f>
        <v>Miguel Angel Sisalima Shiña</v>
      </c>
      <c r="C332" s="83" t="s">
        <v>2242</v>
      </c>
      <c r="D332" s="83" t="s">
        <v>314</v>
      </c>
      <c r="E332" s="83" t="s">
        <v>814</v>
      </c>
      <c r="F332" s="83" t="s">
        <v>815</v>
      </c>
      <c r="G332" s="84">
        <v>1000</v>
      </c>
      <c r="H332" s="85">
        <v>-32.75</v>
      </c>
      <c r="I332" s="86">
        <f t="shared" si="10"/>
        <v>3.2750000000000001E-2</v>
      </c>
      <c r="J332" s="87">
        <f t="shared" si="11"/>
        <v>967.25</v>
      </c>
      <c r="K332" s="87"/>
      <c r="L332" s="87" t="s">
        <v>4672</v>
      </c>
      <c r="M332" s="87"/>
      <c r="N332" s="521"/>
      <c r="O332" s="521">
        <f>+Tabla4[[#This Row],[PAGO NO EURO]]+Tabla4[[#This Row],[CARGO NO EURO]]</f>
        <v>0</v>
      </c>
      <c r="P332" s="521"/>
      <c r="Q332" s="88"/>
      <c r="R332" s="689">
        <f>+_xlfn.XLOOKUP(Tabla4[[#This Row],[ID CLIENTE]],'RESUMEN CLIENTES'!D:D,'RESUMEN CLIENTES'!G:G)</f>
        <v>45816</v>
      </c>
      <c r="S332" s="88" t="str">
        <f>+_xlfn.XLOOKUP(Tabla4[[#This Row],[ID CLIENTE]],'RESUMEN CLIENTES'!D:D,'RESUMEN CLIENTES'!AA:AA)</f>
        <v>A1.1</v>
      </c>
      <c r="T332" s="680" t="str">
        <f>+_xlfn.XLOOKUP(Tabla4[[#This Row],[ID CLIENTE]],'RESUMEN CLIENTES'!D:D,'RESUMEN CLIENTES'!C:C)</f>
        <v>Ecuador</v>
      </c>
    </row>
    <row r="333" spans="1:20" ht="16">
      <c r="A333" s="82">
        <v>45897</v>
      </c>
      <c r="B333" s="82" t="str">
        <f>+_xlfn.XLOOKUP(Tabla4[[#This Row],[ID CLIENTE]],'RESUMEN CLIENTES'!D:D,'RESUMEN CLIENTES'!A:A)</f>
        <v>Virna Nathaly Montenegro Samaniego</v>
      </c>
      <c r="C333" s="83" t="s">
        <v>2349</v>
      </c>
      <c r="D333" s="83" t="s">
        <v>706</v>
      </c>
      <c r="E333" s="83" t="s">
        <v>732</v>
      </c>
      <c r="F333" s="83" t="s">
        <v>733</v>
      </c>
      <c r="G333" s="84">
        <f>+Tabla4[[#This Row],[PAGO NO EURO]]*Tabla4[[#This Row],[CAMBIO]]</f>
        <v>3218.8841201716741</v>
      </c>
      <c r="H333" s="85">
        <f>+Tabla4[[#This Row],[CARGO NO EURO]]*Tabla4[[#This Row],[CAMBIO]]</f>
        <v>0</v>
      </c>
      <c r="I333" s="86">
        <f t="shared" si="10"/>
        <v>0</v>
      </c>
      <c r="J333" s="87">
        <f t="shared" si="11"/>
        <v>3218.8841201716741</v>
      </c>
      <c r="K333" s="87" t="s">
        <v>4678</v>
      </c>
      <c r="L333" s="87" t="s">
        <v>4675</v>
      </c>
      <c r="M333" s="87" t="s">
        <v>2548</v>
      </c>
      <c r="N333" s="524">
        <v>3750</v>
      </c>
      <c r="O333" s="524">
        <f>+Tabla4[[#This Row],[PAGO NO EURO]]+Tabla4[[#This Row],[CARGO NO EURO]]</f>
        <v>3750</v>
      </c>
      <c r="P333" s="524">
        <v>0</v>
      </c>
      <c r="Q333" s="92">
        <v>0.85836909871244638</v>
      </c>
      <c r="R333" s="690">
        <f>+_xlfn.XLOOKUP(Tabla4[[#This Row],[ID CLIENTE]],'RESUMEN CLIENTES'!D:D,'RESUMEN CLIENTES'!G:G)</f>
        <v>45878</v>
      </c>
      <c r="S333" s="92" t="str">
        <f>+_xlfn.XLOOKUP(Tabla4[[#This Row],[ID CLIENTE]],'RESUMEN CLIENTES'!D:D,'RESUMEN CLIENTES'!AA:AA)</f>
        <v>A1 komplett</v>
      </c>
      <c r="T333" s="680" t="str">
        <f>+_xlfn.XLOOKUP(Tabla4[[#This Row],[ID CLIENTE]],'RESUMEN CLIENTES'!D:D,'RESUMEN CLIENTES'!C:C)</f>
        <v>Ecuador</v>
      </c>
    </row>
    <row r="334" spans="1:20" ht="16">
      <c r="A334" s="82">
        <v>45897</v>
      </c>
      <c r="B334" s="82" t="str">
        <f>+_xlfn.XLOOKUP(Tabla4[[#This Row],[ID CLIENTE]],'RESUMEN CLIENTES'!D:D,'RESUMEN CLIENTES'!A:A)</f>
        <v>Nathaly Gabriela Henríquez Masín</v>
      </c>
      <c r="C334" s="83" t="s">
        <v>2210</v>
      </c>
      <c r="D334" s="83" t="s">
        <v>229</v>
      </c>
      <c r="E334" s="83" t="s">
        <v>829</v>
      </c>
      <c r="F334" s="83" t="s">
        <v>830</v>
      </c>
      <c r="G334" s="84">
        <v>500</v>
      </c>
      <c r="H334" s="85">
        <v>-16.5</v>
      </c>
      <c r="I334" s="86">
        <f t="shared" si="10"/>
        <v>3.3000000000000002E-2</v>
      </c>
      <c r="J334" s="87">
        <f t="shared" si="11"/>
        <v>483.5</v>
      </c>
      <c r="K334" s="87"/>
      <c r="L334" s="87" t="s">
        <v>4672</v>
      </c>
      <c r="M334" s="87"/>
      <c r="N334" s="521"/>
      <c r="O334" s="521">
        <f>+Tabla4[[#This Row],[PAGO NO EURO]]+Tabla4[[#This Row],[CARGO NO EURO]]</f>
        <v>0</v>
      </c>
      <c r="P334" s="521"/>
      <c r="Q334" s="88"/>
      <c r="R334" s="689">
        <f>+_xlfn.XLOOKUP(Tabla4[[#This Row],[ID CLIENTE]],'RESUMEN CLIENTES'!D:D,'RESUMEN CLIENTES'!G:G)</f>
        <v>45790</v>
      </c>
      <c r="S334" s="88" t="str">
        <f>+_xlfn.XLOOKUP(Tabla4[[#This Row],[ID CLIENTE]],'RESUMEN CLIENTES'!D:D,'RESUMEN CLIENTES'!AA:AA)</f>
        <v>null</v>
      </c>
      <c r="T334" s="680" t="str">
        <f>+_xlfn.XLOOKUP(Tabla4[[#This Row],[ID CLIENTE]],'RESUMEN CLIENTES'!D:D,'RESUMEN CLIENTES'!C:C)</f>
        <v>El Salvador</v>
      </c>
    </row>
    <row r="335" spans="1:20" ht="16">
      <c r="A335" s="82">
        <v>45897</v>
      </c>
      <c r="B335" s="82" t="str">
        <f>+_xlfn.XLOOKUP(Tabla4[[#This Row],[ID CLIENTE]],'RESUMEN CLIENTES'!D:D,'RESUMEN CLIENTES'!A:A)</f>
        <v>Martin Esteban Orellana Dominguez</v>
      </c>
      <c r="C335" s="83" t="s">
        <v>2377</v>
      </c>
      <c r="D335" s="83" t="s">
        <v>744</v>
      </c>
      <c r="E335" s="83" t="s">
        <v>745</v>
      </c>
      <c r="F335" s="83" t="s">
        <v>746</v>
      </c>
      <c r="G335" s="84">
        <v>250</v>
      </c>
      <c r="H335" s="85">
        <v>-8.3800000000000008</v>
      </c>
      <c r="I335" s="86">
        <f t="shared" si="10"/>
        <v>3.3520000000000001E-2</v>
      </c>
      <c r="J335" s="87">
        <f t="shared" si="11"/>
        <v>241.62</v>
      </c>
      <c r="K335" s="87"/>
      <c r="L335" s="87" t="s">
        <v>4672</v>
      </c>
      <c r="M335" s="87"/>
      <c r="N335" s="521"/>
      <c r="O335" s="521">
        <f>+Tabla4[[#This Row],[PAGO NO EURO]]+Tabla4[[#This Row],[CARGO NO EURO]]</f>
        <v>0</v>
      </c>
      <c r="P335" s="521"/>
      <c r="Q335" s="88"/>
      <c r="R335" s="689">
        <f>+_xlfn.XLOOKUP(Tabla4[[#This Row],[ID CLIENTE]],'RESUMEN CLIENTES'!D:D,'RESUMEN CLIENTES'!G:G)</f>
        <v>45897</v>
      </c>
      <c r="S335" s="88" t="str">
        <f>+_xlfn.XLOOKUP(Tabla4[[#This Row],[ID CLIENTE]],'RESUMEN CLIENTES'!D:D,'RESUMEN CLIENTES'!AA:AA)</f>
        <v>A1.1</v>
      </c>
      <c r="T335" s="680" t="str">
        <f>+_xlfn.XLOOKUP(Tabla4[[#This Row],[ID CLIENTE]],'RESUMEN CLIENTES'!D:D,'RESUMEN CLIENTES'!C:C)</f>
        <v>Ecuador</v>
      </c>
    </row>
    <row r="336" spans="1:20" ht="16">
      <c r="A336" s="82">
        <v>45897</v>
      </c>
      <c r="B336" s="82" t="str">
        <f>+_xlfn.XLOOKUP(Tabla4[[#This Row],[ID CLIENTE]],'RESUMEN CLIENTES'!D:D,'RESUMEN CLIENTES'!A:A)</f>
        <v>Rainier Guerrero</v>
      </c>
      <c r="C336" s="83" t="s">
        <v>2263</v>
      </c>
      <c r="D336" s="83" t="s">
        <v>350</v>
      </c>
      <c r="E336" s="83" t="s">
        <v>831</v>
      </c>
      <c r="F336" s="83" t="s">
        <v>832</v>
      </c>
      <c r="G336" s="84">
        <v>4000</v>
      </c>
      <c r="H336" s="85">
        <v>-130.25</v>
      </c>
      <c r="I336" s="86">
        <f t="shared" si="10"/>
        <v>3.2562500000000001E-2</v>
      </c>
      <c r="J336" s="87">
        <f t="shared" si="11"/>
        <v>3869.75</v>
      </c>
      <c r="K336" s="87"/>
      <c r="L336" s="87" t="s">
        <v>4672</v>
      </c>
      <c r="M336" s="87"/>
      <c r="N336" s="521"/>
      <c r="O336" s="521">
        <f>+Tabla4[[#This Row],[PAGO NO EURO]]+Tabla4[[#This Row],[CARGO NO EURO]]</f>
        <v>0</v>
      </c>
      <c r="P336" s="521"/>
      <c r="Q336" s="88"/>
      <c r="R336" s="689">
        <f>+_xlfn.XLOOKUP(Tabla4[[#This Row],[ID CLIENTE]],'RESUMEN CLIENTES'!D:D,'RESUMEN CLIENTES'!G:G)</f>
        <v>45827</v>
      </c>
      <c r="S336" s="88" t="str">
        <f>+_xlfn.XLOOKUP(Tabla4[[#This Row],[ID CLIENTE]],'RESUMEN CLIENTES'!D:D,'RESUMEN CLIENTES'!AA:AA)</f>
        <v>A1.1</v>
      </c>
      <c r="T336" s="680" t="str">
        <f>+_xlfn.XLOOKUP(Tabla4[[#This Row],[ID CLIENTE]],'RESUMEN CLIENTES'!D:D,'RESUMEN CLIENTES'!C:C)</f>
        <v>México</v>
      </c>
    </row>
    <row r="337" spans="1:20" ht="16">
      <c r="A337" s="82">
        <v>45897</v>
      </c>
      <c r="B337" s="82" t="str">
        <f>+_xlfn.XLOOKUP(Tabla4[[#This Row],[ID CLIENTE]],'RESUMEN CLIENTES'!D:D,'RESUMEN CLIENTES'!A:A)</f>
        <v>Sofia Martínez Restrepo</v>
      </c>
      <c r="C337" s="83" t="s">
        <v>2366</v>
      </c>
      <c r="D337" s="83" t="s">
        <v>716</v>
      </c>
      <c r="E337" s="83" t="s">
        <v>747</v>
      </c>
      <c r="F337" s="83" t="s">
        <v>748</v>
      </c>
      <c r="G337" s="84">
        <v>2000</v>
      </c>
      <c r="H337" s="85">
        <v>-65.25</v>
      </c>
      <c r="I337" s="86">
        <f t="shared" si="10"/>
        <v>3.2625000000000001E-2</v>
      </c>
      <c r="J337" s="87">
        <f t="shared" si="11"/>
        <v>1934.75</v>
      </c>
      <c r="K337" s="87"/>
      <c r="L337" s="87" t="s">
        <v>4672</v>
      </c>
      <c r="M337" s="87"/>
      <c r="N337" s="521"/>
      <c r="O337" s="521">
        <f>+Tabla4[[#This Row],[PAGO NO EURO]]+Tabla4[[#This Row],[CARGO NO EURO]]</f>
        <v>0</v>
      </c>
      <c r="P337" s="521"/>
      <c r="Q337" s="88"/>
      <c r="R337" s="689">
        <f>+_xlfn.XLOOKUP(Tabla4[[#This Row],[ID CLIENTE]],'RESUMEN CLIENTES'!D:D,'RESUMEN CLIENTES'!G:G)</f>
        <v>45891</v>
      </c>
      <c r="S337" s="88" t="str">
        <f>+_xlfn.XLOOKUP(Tabla4[[#This Row],[ID CLIENTE]],'RESUMEN CLIENTES'!D:D,'RESUMEN CLIENTES'!AA:AA)</f>
        <v>A1.1</v>
      </c>
      <c r="T337" s="680" t="str">
        <f>+_xlfn.XLOOKUP(Tabla4[[#This Row],[ID CLIENTE]],'RESUMEN CLIENTES'!D:D,'RESUMEN CLIENTES'!C:C)</f>
        <v>Colombia</v>
      </c>
    </row>
    <row r="338" spans="1:20" ht="16">
      <c r="A338" s="82">
        <v>45897</v>
      </c>
      <c r="B338" s="82" t="str">
        <f>+_xlfn.XLOOKUP(Tabla4[[#This Row],[ID CLIENTE]],'RESUMEN CLIENTES'!D:D,'RESUMEN CLIENTES'!A:A)</f>
        <v>Laura Margarita Cepeda Garrido</v>
      </c>
      <c r="C338" s="83" t="s">
        <v>2204</v>
      </c>
      <c r="D338" s="83" t="s">
        <v>218</v>
      </c>
      <c r="E338" s="83" t="s">
        <v>803</v>
      </c>
      <c r="F338" s="83" t="s">
        <v>804</v>
      </c>
      <c r="G338" s="84">
        <v>600</v>
      </c>
      <c r="H338" s="85">
        <v>-19.75</v>
      </c>
      <c r="I338" s="86">
        <f t="shared" si="10"/>
        <v>3.2916666666666664E-2</v>
      </c>
      <c r="J338" s="87">
        <f t="shared" si="11"/>
        <v>580.25</v>
      </c>
      <c r="K338" s="87"/>
      <c r="L338" s="87" t="s">
        <v>4672</v>
      </c>
      <c r="M338" s="87"/>
      <c r="N338" s="521"/>
      <c r="O338" s="521">
        <f>+Tabla4[[#This Row],[PAGO NO EURO]]+Tabla4[[#This Row],[CARGO NO EURO]]</f>
        <v>0</v>
      </c>
      <c r="P338" s="521"/>
      <c r="Q338" s="88"/>
      <c r="R338" s="689">
        <f>+_xlfn.XLOOKUP(Tabla4[[#This Row],[ID CLIENTE]],'RESUMEN CLIENTES'!D:D,'RESUMEN CLIENTES'!G:G)</f>
        <v>45786</v>
      </c>
      <c r="S338" s="88" t="str">
        <f>+_xlfn.XLOOKUP(Tabla4[[#This Row],[ID CLIENTE]],'RESUMEN CLIENTES'!D:D,'RESUMEN CLIENTES'!AA:AA)</f>
        <v>A1.1</v>
      </c>
      <c r="T338" s="680" t="str">
        <f>+_xlfn.XLOOKUP(Tabla4[[#This Row],[ID CLIENTE]],'RESUMEN CLIENTES'!D:D,'RESUMEN CLIENTES'!C:C)</f>
        <v>Colombia</v>
      </c>
    </row>
    <row r="339" spans="1:20" ht="16">
      <c r="A339" s="82">
        <v>45898</v>
      </c>
      <c r="B339" s="82" t="str">
        <f>+_xlfn.XLOOKUP(Tabla4[[#This Row],[ID CLIENTE]],'RESUMEN CLIENTES'!D:D,'RESUMEN CLIENTES'!A:A)</f>
        <v>Carlos Alberto Suarez Hernandez</v>
      </c>
      <c r="C339" s="83" t="s">
        <v>2379</v>
      </c>
      <c r="D339" s="83" t="s">
        <v>751</v>
      </c>
      <c r="E339" s="83" t="s">
        <v>754</v>
      </c>
      <c r="F339" s="83" t="s">
        <v>755</v>
      </c>
      <c r="G339" s="84">
        <v>2000</v>
      </c>
      <c r="H339" s="85">
        <v>-65.25</v>
      </c>
      <c r="I339" s="86">
        <f t="shared" si="10"/>
        <v>3.2625000000000001E-2</v>
      </c>
      <c r="J339" s="87">
        <f t="shared" si="11"/>
        <v>1934.75</v>
      </c>
      <c r="K339" s="87"/>
      <c r="L339" s="87" t="s">
        <v>4672</v>
      </c>
      <c r="M339" s="87"/>
      <c r="N339" s="521"/>
      <c r="O339" s="521">
        <f>+Tabla4[[#This Row],[PAGO NO EURO]]+Tabla4[[#This Row],[CARGO NO EURO]]</f>
        <v>0</v>
      </c>
      <c r="P339" s="521"/>
      <c r="Q339" s="88"/>
      <c r="R339" s="689">
        <f>+_xlfn.XLOOKUP(Tabla4[[#This Row],[ID CLIENTE]],'RESUMEN CLIENTES'!D:D,'RESUMEN CLIENTES'!G:G)</f>
        <v>45898</v>
      </c>
      <c r="S339" s="88" t="str">
        <f>+_xlfn.XLOOKUP(Tabla4[[#This Row],[ID CLIENTE]],'RESUMEN CLIENTES'!D:D,'RESUMEN CLIENTES'!AA:AA)</f>
        <v>A1.1</v>
      </c>
      <c r="T339" s="680" t="str">
        <f>+_xlfn.XLOOKUP(Tabla4[[#This Row],[ID CLIENTE]],'RESUMEN CLIENTES'!D:D,'RESUMEN CLIENTES'!C:C)</f>
        <v>Colombia</v>
      </c>
    </row>
    <row r="340" spans="1:20" ht="16">
      <c r="A340" s="82">
        <v>45898</v>
      </c>
      <c r="B340" s="82" t="str">
        <f>+_xlfn.XLOOKUP(Tabla4[[#This Row],[ID CLIENTE]],'RESUMEN CLIENTES'!D:D,'RESUMEN CLIENTES'!A:A)</f>
        <v>Carlos Mersaim Olivares Sandoval</v>
      </c>
      <c r="C340" s="83" t="s">
        <v>2300</v>
      </c>
      <c r="D340" s="83" t="s">
        <v>479</v>
      </c>
      <c r="E340" s="83" t="s">
        <v>778</v>
      </c>
      <c r="F340" s="83" t="s">
        <v>779</v>
      </c>
      <c r="G340" s="84">
        <v>1000</v>
      </c>
      <c r="H340" s="85">
        <v>-32.75</v>
      </c>
      <c r="I340" s="86">
        <f t="shared" si="10"/>
        <v>3.2750000000000001E-2</v>
      </c>
      <c r="J340" s="87">
        <f t="shared" si="11"/>
        <v>967.25</v>
      </c>
      <c r="K340" s="87"/>
      <c r="L340" s="87" t="s">
        <v>4672</v>
      </c>
      <c r="M340" s="87"/>
      <c r="N340" s="521"/>
      <c r="O340" s="521">
        <f>+Tabla4[[#This Row],[PAGO NO EURO]]+Tabla4[[#This Row],[CARGO NO EURO]]</f>
        <v>0</v>
      </c>
      <c r="P340" s="521"/>
      <c r="Q340" s="88"/>
      <c r="R340" s="689">
        <f>+_xlfn.XLOOKUP(Tabla4[[#This Row],[ID CLIENTE]],'RESUMEN CLIENTES'!D:D,'RESUMEN CLIENTES'!G:G)</f>
        <v>45852</v>
      </c>
      <c r="S340" s="88" t="str">
        <f>+_xlfn.XLOOKUP(Tabla4[[#This Row],[ID CLIENTE]],'RESUMEN CLIENTES'!D:D,'RESUMEN CLIENTES'!AA:AA)</f>
        <v>A1.1</v>
      </c>
      <c r="T340" s="680" t="str">
        <f>+_xlfn.XLOOKUP(Tabla4[[#This Row],[ID CLIENTE]],'RESUMEN CLIENTES'!D:D,'RESUMEN CLIENTES'!C:C)</f>
        <v>México</v>
      </c>
    </row>
    <row r="341" spans="1:20" ht="16">
      <c r="A341" s="82">
        <v>45898</v>
      </c>
      <c r="B341" s="82" t="str">
        <f>+_xlfn.XLOOKUP(Tabla4[[#This Row],[ID CLIENTE]],'RESUMEN CLIENTES'!D:D,'RESUMEN CLIENTES'!A:A)</f>
        <v>Daniela Luise Reisenegger Scheel</v>
      </c>
      <c r="C341" s="83" t="s">
        <v>2381</v>
      </c>
      <c r="D341" s="83" t="s">
        <v>756</v>
      </c>
      <c r="E341" s="83" t="s">
        <v>757</v>
      </c>
      <c r="F341" s="83" t="s">
        <v>758</v>
      </c>
      <c r="G341" s="84">
        <v>250</v>
      </c>
      <c r="H341" s="85">
        <v>-8.3800000000000008</v>
      </c>
      <c r="I341" s="86">
        <f t="shared" ref="I341:I404" si="12">+IFERROR(-(H341)/G341,"")</f>
        <v>3.3520000000000001E-2</v>
      </c>
      <c r="J341" s="87">
        <f t="shared" ref="J341:J404" si="13">+G341+H341</f>
        <v>241.62</v>
      </c>
      <c r="K341" s="87"/>
      <c r="L341" s="87" t="s">
        <v>4672</v>
      </c>
      <c r="M341" s="87"/>
      <c r="N341" s="521"/>
      <c r="O341" s="521">
        <f>+Tabla4[[#This Row],[PAGO NO EURO]]+Tabla4[[#This Row],[CARGO NO EURO]]</f>
        <v>0</v>
      </c>
      <c r="P341" s="521"/>
      <c r="Q341" s="88"/>
      <c r="R341" s="689">
        <f>+_xlfn.XLOOKUP(Tabla4[[#This Row],[ID CLIENTE]],'RESUMEN CLIENTES'!D:D,'RESUMEN CLIENTES'!G:G)</f>
        <v>45898</v>
      </c>
      <c r="S341" s="88" t="str">
        <f>+_xlfn.XLOOKUP(Tabla4[[#This Row],[ID CLIENTE]],'RESUMEN CLIENTES'!D:D,'RESUMEN CLIENTES'!AA:AA)</f>
        <v>null</v>
      </c>
      <c r="T341" s="680" t="str">
        <f>+_xlfn.XLOOKUP(Tabla4[[#This Row],[ID CLIENTE]],'RESUMEN CLIENTES'!D:D,'RESUMEN CLIENTES'!C:C)</f>
        <v>Chile</v>
      </c>
    </row>
    <row r="342" spans="1:20" ht="16">
      <c r="A342" s="82">
        <v>45898</v>
      </c>
      <c r="B342" s="82" t="str">
        <f>+_xlfn.XLOOKUP(Tabla4[[#This Row],[ID CLIENTE]],'RESUMEN CLIENTES'!D:D,'RESUMEN CLIENTES'!A:A)</f>
        <v>Angie Pérez Cáceres</v>
      </c>
      <c r="C342" s="83" t="s">
        <v>2321</v>
      </c>
      <c r="D342" s="83" t="s">
        <v>527</v>
      </c>
      <c r="E342" s="83" t="s">
        <v>749</v>
      </c>
      <c r="F342" s="83" t="s">
        <v>750</v>
      </c>
      <c r="G342" s="84">
        <v>3750</v>
      </c>
      <c r="H342" s="85">
        <v>-122.13</v>
      </c>
      <c r="I342" s="86">
        <f t="shared" si="12"/>
        <v>3.2568E-2</v>
      </c>
      <c r="J342" s="87">
        <f t="shared" si="13"/>
        <v>3627.87</v>
      </c>
      <c r="K342" s="87"/>
      <c r="L342" s="87" t="s">
        <v>4672</v>
      </c>
      <c r="M342" s="87"/>
      <c r="N342" s="521"/>
      <c r="O342" s="521">
        <f>+Tabla4[[#This Row],[PAGO NO EURO]]+Tabla4[[#This Row],[CARGO NO EURO]]</f>
        <v>0</v>
      </c>
      <c r="P342" s="521"/>
      <c r="Q342" s="88"/>
      <c r="R342" s="689">
        <f>+_xlfn.XLOOKUP(Tabla4[[#This Row],[ID CLIENTE]],'RESUMEN CLIENTES'!D:D,'RESUMEN CLIENTES'!G:G)</f>
        <v>45867</v>
      </c>
      <c r="S342" s="88" t="str">
        <f>+_xlfn.XLOOKUP(Tabla4[[#This Row],[ID CLIENTE]],'RESUMEN CLIENTES'!D:D,'RESUMEN CLIENTES'!AA:AA)</f>
        <v>A1.1</v>
      </c>
      <c r="T342" s="680" t="str">
        <f>+_xlfn.XLOOKUP(Tabla4[[#This Row],[ID CLIENTE]],'RESUMEN CLIENTES'!D:D,'RESUMEN CLIENTES'!C:C)</f>
        <v>Perú</v>
      </c>
    </row>
    <row r="343" spans="1:20" ht="16">
      <c r="A343" s="82">
        <v>45898</v>
      </c>
      <c r="B343" s="82" t="str">
        <f>+_xlfn.XLOOKUP(Tabla4[[#This Row],[ID CLIENTE]],'RESUMEN CLIENTES'!D:D,'RESUMEN CLIENTES'!A:A)</f>
        <v>Ellen Cristina Gerónimo Bonilla</v>
      </c>
      <c r="C343" s="83" t="s">
        <v>2273</v>
      </c>
      <c r="D343" s="83" t="s">
        <v>385</v>
      </c>
      <c r="E343" s="83" t="s">
        <v>785</v>
      </c>
      <c r="F343" s="83" t="s">
        <v>786</v>
      </c>
      <c r="G343" s="84">
        <v>600</v>
      </c>
      <c r="H343" s="85">
        <v>-19.75</v>
      </c>
      <c r="I343" s="86">
        <f t="shared" si="12"/>
        <v>3.2916666666666664E-2</v>
      </c>
      <c r="J343" s="87">
        <f t="shared" si="13"/>
        <v>580.25</v>
      </c>
      <c r="K343" s="87"/>
      <c r="L343" s="87" t="s">
        <v>4672</v>
      </c>
      <c r="M343" s="87"/>
      <c r="N343" s="521"/>
      <c r="O343" s="521">
        <f>+Tabla4[[#This Row],[PAGO NO EURO]]+Tabla4[[#This Row],[CARGO NO EURO]]</f>
        <v>0</v>
      </c>
      <c r="P343" s="521"/>
      <c r="Q343" s="88"/>
      <c r="R343" s="689">
        <f>+_xlfn.XLOOKUP(Tabla4[[#This Row],[ID CLIENTE]],'RESUMEN CLIENTES'!D:D,'RESUMEN CLIENTES'!G:G)</f>
        <v>45838</v>
      </c>
      <c r="S343" s="88" t="str">
        <f>+_xlfn.XLOOKUP(Tabla4[[#This Row],[ID CLIENTE]],'RESUMEN CLIENTES'!D:D,'RESUMEN CLIENTES'!AA:AA)</f>
        <v>A1.1</v>
      </c>
      <c r="T343" s="680" t="str">
        <f>+_xlfn.XLOOKUP(Tabla4[[#This Row],[ID CLIENTE]],'RESUMEN CLIENTES'!D:D,'RESUMEN CLIENTES'!C:C)</f>
        <v>República Dominicana</v>
      </c>
    </row>
    <row r="344" spans="1:20" ht="16">
      <c r="A344" s="82">
        <v>45898</v>
      </c>
      <c r="B344" s="82" t="str">
        <f>+_xlfn.XLOOKUP(Tabla4[[#This Row],[ID CLIENTE]],'RESUMEN CLIENTES'!D:D,'RESUMEN CLIENTES'!A:A)</f>
        <v>Juan Camilo Sanchez Ramirez</v>
      </c>
      <c r="C344" s="83" t="s">
        <v>2227</v>
      </c>
      <c r="D344" s="83" t="s">
        <v>266</v>
      </c>
      <c r="E344" s="83" t="s">
        <v>796</v>
      </c>
      <c r="F344" s="83" t="s">
        <v>797</v>
      </c>
      <c r="G344" s="84">
        <v>1000</v>
      </c>
      <c r="H344" s="85">
        <v>-32.75</v>
      </c>
      <c r="I344" s="86">
        <f t="shared" si="12"/>
        <v>3.2750000000000001E-2</v>
      </c>
      <c r="J344" s="87">
        <f t="shared" si="13"/>
        <v>967.25</v>
      </c>
      <c r="K344" s="87"/>
      <c r="L344" s="87" t="s">
        <v>4672</v>
      </c>
      <c r="M344" s="87"/>
      <c r="N344" s="521"/>
      <c r="O344" s="521">
        <f>+Tabla4[[#This Row],[PAGO NO EURO]]+Tabla4[[#This Row],[CARGO NO EURO]]</f>
        <v>0</v>
      </c>
      <c r="P344" s="521"/>
      <c r="Q344" s="88"/>
      <c r="R344" s="689">
        <f>+_xlfn.XLOOKUP(Tabla4[[#This Row],[ID CLIENTE]],'RESUMEN CLIENTES'!D:D,'RESUMEN CLIENTES'!G:G)</f>
        <v>45807</v>
      </c>
      <c r="S344" s="88" t="str">
        <f>+_xlfn.XLOOKUP(Tabla4[[#This Row],[ID CLIENTE]],'RESUMEN CLIENTES'!D:D,'RESUMEN CLIENTES'!AA:AA)</f>
        <v>A1.1</v>
      </c>
      <c r="T344" s="680" t="str">
        <f>+_xlfn.XLOOKUP(Tabla4[[#This Row],[ID CLIENTE]],'RESUMEN CLIENTES'!D:D,'RESUMEN CLIENTES'!C:C)</f>
        <v>Colombia</v>
      </c>
    </row>
    <row r="345" spans="1:20" ht="16">
      <c r="A345" s="82">
        <v>45898</v>
      </c>
      <c r="B345" s="82" t="str">
        <f>+_xlfn.XLOOKUP(Tabla4[[#This Row],[ID CLIENTE]],'RESUMEN CLIENTES'!D:D,'RESUMEN CLIENTES'!A:A)</f>
        <v>Luis Manuel Villanueva Contreras</v>
      </c>
      <c r="C345" s="83" t="s">
        <v>2286</v>
      </c>
      <c r="D345" s="83" t="s">
        <v>441</v>
      </c>
      <c r="E345" s="83" t="s">
        <v>805</v>
      </c>
      <c r="F345" s="83" t="s">
        <v>806</v>
      </c>
      <c r="G345" s="84">
        <v>1000</v>
      </c>
      <c r="H345" s="85">
        <v>-32.75</v>
      </c>
      <c r="I345" s="86">
        <f t="shared" si="12"/>
        <v>3.2750000000000001E-2</v>
      </c>
      <c r="J345" s="87">
        <f t="shared" si="13"/>
        <v>967.25</v>
      </c>
      <c r="K345" s="87"/>
      <c r="L345" s="87" t="s">
        <v>4672</v>
      </c>
      <c r="M345" s="87"/>
      <c r="N345" s="521"/>
      <c r="O345" s="521">
        <f>+Tabla4[[#This Row],[PAGO NO EURO]]+Tabla4[[#This Row],[CARGO NO EURO]]</f>
        <v>0</v>
      </c>
      <c r="P345" s="521"/>
      <c r="Q345" s="88"/>
      <c r="R345" s="689">
        <f>+_xlfn.XLOOKUP(Tabla4[[#This Row],[ID CLIENTE]],'RESUMEN CLIENTES'!D:D,'RESUMEN CLIENTES'!G:G)</f>
        <v>45845</v>
      </c>
      <c r="S345" s="88" t="str">
        <f>+_xlfn.XLOOKUP(Tabla4[[#This Row],[ID CLIENTE]],'RESUMEN CLIENTES'!D:D,'RESUMEN CLIENTES'!AA:AA)</f>
        <v>A2.1</v>
      </c>
      <c r="T345" s="680" t="str">
        <f>+_xlfn.XLOOKUP(Tabla4[[#This Row],[ID CLIENTE]],'RESUMEN CLIENTES'!D:D,'RESUMEN CLIENTES'!C:C)</f>
        <v>México</v>
      </c>
    </row>
    <row r="346" spans="1:20" ht="16">
      <c r="A346" s="82">
        <v>45898</v>
      </c>
      <c r="B346" s="82" t="str">
        <f>+_xlfn.XLOOKUP(Tabla4[[#This Row],[ID CLIENTE]],'RESUMEN CLIENTES'!D:D,'RESUMEN CLIENTES'!A:A)</f>
        <v>María Stefania Gelvez Olaya</v>
      </c>
      <c r="C346" s="83" t="s">
        <v>2383</v>
      </c>
      <c r="D346" s="83" t="s">
        <v>762</v>
      </c>
      <c r="E346" s="83" t="s">
        <v>763</v>
      </c>
      <c r="F346" s="83" t="s">
        <v>764</v>
      </c>
      <c r="G346" s="84">
        <v>4000</v>
      </c>
      <c r="H346" s="85">
        <v>-130.25</v>
      </c>
      <c r="I346" s="86">
        <f t="shared" si="12"/>
        <v>3.2562500000000001E-2</v>
      </c>
      <c r="J346" s="87">
        <f t="shared" si="13"/>
        <v>3869.75</v>
      </c>
      <c r="K346" s="87"/>
      <c r="L346" s="87" t="s">
        <v>4672</v>
      </c>
      <c r="M346" s="87"/>
      <c r="N346" s="521"/>
      <c r="O346" s="521">
        <f>+Tabla4[[#This Row],[PAGO NO EURO]]+Tabla4[[#This Row],[CARGO NO EURO]]</f>
        <v>0</v>
      </c>
      <c r="P346" s="521"/>
      <c r="Q346" s="88"/>
      <c r="R346" s="689">
        <f>+_xlfn.XLOOKUP(Tabla4[[#This Row],[ID CLIENTE]],'RESUMEN CLIENTES'!D:D,'RESUMEN CLIENTES'!G:G)</f>
        <v>45898</v>
      </c>
      <c r="S346" s="88" t="str">
        <f>+_xlfn.XLOOKUP(Tabla4[[#This Row],[ID CLIENTE]],'RESUMEN CLIENTES'!D:D,'RESUMEN CLIENTES'!AA:AA)</f>
        <v>A1.1</v>
      </c>
      <c r="T346" s="680" t="str">
        <f>+_xlfn.XLOOKUP(Tabla4[[#This Row],[ID CLIENTE]],'RESUMEN CLIENTES'!D:D,'RESUMEN CLIENTES'!C:C)</f>
        <v>Colombia</v>
      </c>
    </row>
    <row r="347" spans="1:20" ht="16">
      <c r="A347" s="82">
        <v>45899</v>
      </c>
      <c r="B347" s="82" t="str">
        <f>+_xlfn.XLOOKUP(Tabla4[[#This Row],[ID CLIENTE]],'RESUMEN CLIENTES'!D:D,'RESUMEN CLIENTES'!A:A)</f>
        <v>Caren Alvarez Maciel</v>
      </c>
      <c r="C347" s="83" t="s">
        <v>2385</v>
      </c>
      <c r="D347" s="83" t="s">
        <v>773</v>
      </c>
      <c r="E347" s="83" t="s">
        <v>774</v>
      </c>
      <c r="F347" s="83" t="s">
        <v>775</v>
      </c>
      <c r="G347" s="84">
        <v>250</v>
      </c>
      <c r="H347" s="85">
        <v>-8.3800000000000008</v>
      </c>
      <c r="I347" s="86">
        <f t="shared" si="12"/>
        <v>3.3520000000000001E-2</v>
      </c>
      <c r="J347" s="87">
        <f t="shared" si="13"/>
        <v>241.62</v>
      </c>
      <c r="K347" s="87"/>
      <c r="L347" s="87" t="s">
        <v>4672</v>
      </c>
      <c r="M347" s="87"/>
      <c r="N347" s="521"/>
      <c r="O347" s="521">
        <f>+Tabla4[[#This Row],[PAGO NO EURO]]+Tabla4[[#This Row],[CARGO NO EURO]]</f>
        <v>0</v>
      </c>
      <c r="P347" s="521"/>
      <c r="Q347" s="88"/>
      <c r="R347" s="689">
        <f>+_xlfn.XLOOKUP(Tabla4[[#This Row],[ID CLIENTE]],'RESUMEN CLIENTES'!D:D,'RESUMEN CLIENTES'!G:G)</f>
        <v>45899</v>
      </c>
      <c r="S347" s="88" t="str">
        <f>+_xlfn.XLOOKUP(Tabla4[[#This Row],[ID CLIENTE]],'RESUMEN CLIENTES'!D:D,'RESUMEN CLIENTES'!AA:AA)</f>
        <v>null</v>
      </c>
      <c r="T347" s="680" t="str">
        <f>+_xlfn.XLOOKUP(Tabla4[[#This Row],[ID CLIENTE]],'RESUMEN CLIENTES'!D:D,'RESUMEN CLIENTES'!C:C)</f>
        <v>Uruguay</v>
      </c>
    </row>
    <row r="348" spans="1:20" ht="16">
      <c r="A348" s="82">
        <v>45899</v>
      </c>
      <c r="B348" s="82" t="str">
        <f>+_xlfn.XLOOKUP(Tabla4[[#This Row],[ID CLIENTE]],'RESUMEN CLIENTES'!D:D,'RESUMEN CLIENTES'!A:A)</f>
        <v>Carlos Alberto Suarez Hernandez</v>
      </c>
      <c r="C348" s="83" t="s">
        <v>2379</v>
      </c>
      <c r="D348" s="83" t="s">
        <v>751</v>
      </c>
      <c r="E348" s="83" t="s">
        <v>752</v>
      </c>
      <c r="F348" s="83" t="s">
        <v>753</v>
      </c>
      <c r="G348" s="84">
        <v>2000</v>
      </c>
      <c r="H348" s="85">
        <v>-65.25</v>
      </c>
      <c r="I348" s="86">
        <f t="shared" si="12"/>
        <v>3.2625000000000001E-2</v>
      </c>
      <c r="J348" s="87">
        <f t="shared" si="13"/>
        <v>1934.75</v>
      </c>
      <c r="K348" s="87"/>
      <c r="L348" s="87" t="s">
        <v>4672</v>
      </c>
      <c r="M348" s="87"/>
      <c r="N348" s="521"/>
      <c r="O348" s="521">
        <f>+Tabla4[[#This Row],[PAGO NO EURO]]+Tabla4[[#This Row],[CARGO NO EURO]]</f>
        <v>0</v>
      </c>
      <c r="P348" s="521"/>
      <c r="Q348" s="88"/>
      <c r="R348" s="689">
        <f>+_xlfn.XLOOKUP(Tabla4[[#This Row],[ID CLIENTE]],'RESUMEN CLIENTES'!D:D,'RESUMEN CLIENTES'!G:G)</f>
        <v>45898</v>
      </c>
      <c r="S348" s="88" t="str">
        <f>+_xlfn.XLOOKUP(Tabla4[[#This Row],[ID CLIENTE]],'RESUMEN CLIENTES'!D:D,'RESUMEN CLIENTES'!AA:AA)</f>
        <v>A1.1</v>
      </c>
      <c r="T348" s="680" t="str">
        <f>+_xlfn.XLOOKUP(Tabla4[[#This Row],[ID CLIENTE]],'RESUMEN CLIENTES'!D:D,'RESUMEN CLIENTES'!C:C)</f>
        <v>Colombia</v>
      </c>
    </row>
    <row r="349" spans="1:20" ht="16">
      <c r="A349" s="82">
        <v>45899</v>
      </c>
      <c r="B349" s="82" t="str">
        <f>+_xlfn.XLOOKUP(Tabla4[[#This Row],[ID CLIENTE]],'RESUMEN CLIENTES'!D:D,'RESUMEN CLIENTES'!A:A)</f>
        <v>Daniel Mauricio Rojas Pérez</v>
      </c>
      <c r="C349" s="83" t="s">
        <v>2389</v>
      </c>
      <c r="D349" s="83" t="s">
        <v>780</v>
      </c>
      <c r="E349" s="83" t="s">
        <v>781</v>
      </c>
      <c r="F349" s="83" t="s">
        <v>782</v>
      </c>
      <c r="G349" s="84">
        <v>2250</v>
      </c>
      <c r="H349" s="85">
        <v>-73.38</v>
      </c>
      <c r="I349" s="86">
        <f t="shared" si="12"/>
        <v>3.2613333333333334E-2</v>
      </c>
      <c r="J349" s="87">
        <f t="shared" si="13"/>
        <v>2176.62</v>
      </c>
      <c r="K349" s="87"/>
      <c r="L349" s="87" t="s">
        <v>4672</v>
      </c>
      <c r="M349" s="87"/>
      <c r="N349" s="521"/>
      <c r="O349" s="521">
        <f>+Tabla4[[#This Row],[PAGO NO EURO]]+Tabla4[[#This Row],[CARGO NO EURO]]</f>
        <v>0</v>
      </c>
      <c r="P349" s="521"/>
      <c r="Q349" s="88"/>
      <c r="R349" s="689">
        <f>+_xlfn.XLOOKUP(Tabla4[[#This Row],[ID CLIENTE]],'RESUMEN CLIENTES'!D:D,'RESUMEN CLIENTES'!G:G)</f>
        <v>45899</v>
      </c>
      <c r="S349" s="88" t="str">
        <f>+_xlfn.XLOOKUP(Tabla4[[#This Row],[ID CLIENTE]],'RESUMEN CLIENTES'!D:D,'RESUMEN CLIENTES'!AA:AA)</f>
        <v>A1.1</v>
      </c>
      <c r="T349" s="680" t="str">
        <f>+_xlfn.XLOOKUP(Tabla4[[#This Row],[ID CLIENTE]],'RESUMEN CLIENTES'!D:D,'RESUMEN CLIENTES'!C:C)</f>
        <v>Colombia</v>
      </c>
    </row>
    <row r="350" spans="1:20" ht="16">
      <c r="A350" s="82">
        <v>45899</v>
      </c>
      <c r="B350" s="82" t="str">
        <f>+_xlfn.XLOOKUP(Tabla4[[#This Row],[ID CLIENTE]],'RESUMEN CLIENTES'!D:D,'RESUMEN CLIENTES'!A:A)</f>
        <v>Antonio José Estrada Hoyo</v>
      </c>
      <c r="C350" s="83" t="s">
        <v>2327</v>
      </c>
      <c r="D350" s="83" t="s">
        <v>530</v>
      </c>
      <c r="E350" s="83" t="s">
        <v>771</v>
      </c>
      <c r="F350" s="83" t="s">
        <v>772</v>
      </c>
      <c r="G350" s="84">
        <v>4000</v>
      </c>
      <c r="H350" s="85">
        <v>0</v>
      </c>
      <c r="I350" s="86">
        <f t="shared" si="12"/>
        <v>0</v>
      </c>
      <c r="J350" s="87">
        <f t="shared" si="13"/>
        <v>4000</v>
      </c>
      <c r="K350" s="87" t="s">
        <v>4677</v>
      </c>
      <c r="L350" s="87" t="s">
        <v>4675</v>
      </c>
      <c r="M350" s="87"/>
      <c r="N350" s="521"/>
      <c r="O350" s="521">
        <f>+Tabla4[[#This Row],[PAGO NO EURO]]+Tabla4[[#This Row],[CARGO NO EURO]]</f>
        <v>0</v>
      </c>
      <c r="P350" s="521"/>
      <c r="Q350" s="88"/>
      <c r="R350" s="689">
        <f>+_xlfn.XLOOKUP(Tabla4[[#This Row],[ID CLIENTE]],'RESUMEN CLIENTES'!D:D,'RESUMEN CLIENTES'!G:G)</f>
        <v>45867</v>
      </c>
      <c r="S350" s="88" t="str">
        <f>+_xlfn.XLOOKUP(Tabla4[[#This Row],[ID CLIENTE]],'RESUMEN CLIENTES'!D:D,'RESUMEN CLIENTES'!AA:AA)</f>
        <v>A1.2</v>
      </c>
      <c r="T350" s="680" t="str">
        <f>+_xlfn.XLOOKUP(Tabla4[[#This Row],[ID CLIENTE]],'RESUMEN CLIENTES'!D:D,'RESUMEN CLIENTES'!C:C)</f>
        <v>Venezuela</v>
      </c>
    </row>
    <row r="351" spans="1:20" ht="16">
      <c r="A351" s="82">
        <v>45899</v>
      </c>
      <c r="B351" s="82" t="str">
        <f>+_xlfn.XLOOKUP(Tabla4[[#This Row],[ID CLIENTE]],'RESUMEN CLIENTES'!D:D,'RESUMEN CLIENTES'!A:A)</f>
        <v xml:space="preserve">María del Mar Ordóñez Dussan
</v>
      </c>
      <c r="C351" s="83" t="s">
        <v>2387</v>
      </c>
      <c r="D351" s="83" t="s">
        <v>807</v>
      </c>
      <c r="E351" s="83" t="s">
        <v>808</v>
      </c>
      <c r="F351" s="83" t="s">
        <v>809</v>
      </c>
      <c r="G351" s="84">
        <v>2250</v>
      </c>
      <c r="H351" s="85">
        <v>-73.38</v>
      </c>
      <c r="I351" s="86">
        <f t="shared" si="12"/>
        <v>3.2613333333333334E-2</v>
      </c>
      <c r="J351" s="87">
        <f t="shared" si="13"/>
        <v>2176.62</v>
      </c>
      <c r="K351" s="87"/>
      <c r="L351" s="87" t="s">
        <v>4672</v>
      </c>
      <c r="M351" s="87"/>
      <c r="N351" s="521"/>
      <c r="O351" s="521">
        <f>+Tabla4[[#This Row],[PAGO NO EURO]]+Tabla4[[#This Row],[CARGO NO EURO]]</f>
        <v>0</v>
      </c>
      <c r="P351" s="521"/>
      <c r="Q351" s="88"/>
      <c r="R351" s="689">
        <f>+_xlfn.XLOOKUP(Tabla4[[#This Row],[ID CLIENTE]],'RESUMEN CLIENTES'!D:D,'RESUMEN CLIENTES'!G:G)</f>
        <v>45899</v>
      </c>
      <c r="S351" s="88" t="str">
        <f>+_xlfn.XLOOKUP(Tabla4[[#This Row],[ID CLIENTE]],'RESUMEN CLIENTES'!D:D,'RESUMEN CLIENTES'!AA:AA)</f>
        <v>A1.1</v>
      </c>
      <c r="T351" s="680" t="str">
        <f>+_xlfn.XLOOKUP(Tabla4[[#This Row],[ID CLIENTE]],'RESUMEN CLIENTES'!D:D,'RESUMEN CLIENTES'!C:C)</f>
        <v>Colombia</v>
      </c>
    </row>
    <row r="352" spans="1:20" ht="16">
      <c r="A352" s="82">
        <v>45899</v>
      </c>
      <c r="B352" s="82" t="str">
        <f>+_xlfn.XLOOKUP(Tabla4[[#This Row],[ID CLIENTE]],'RESUMEN CLIENTES'!D:D,'RESUMEN CLIENTES'!A:A)</f>
        <v>María Lucero de Jesús Barrios Sazo</v>
      </c>
      <c r="C352" s="83" t="s">
        <v>2332</v>
      </c>
      <c r="D352" s="83" t="s">
        <v>590</v>
      </c>
      <c r="E352" s="83" t="s">
        <v>810</v>
      </c>
      <c r="F352" s="83" t="s">
        <v>811</v>
      </c>
      <c r="G352" s="84">
        <v>700</v>
      </c>
      <c r="H352" s="85">
        <v>-23</v>
      </c>
      <c r="I352" s="86">
        <f t="shared" si="12"/>
        <v>3.2857142857142856E-2</v>
      </c>
      <c r="J352" s="87">
        <f t="shared" si="13"/>
        <v>677</v>
      </c>
      <c r="K352" s="87"/>
      <c r="L352" s="87" t="s">
        <v>4672</v>
      </c>
      <c r="M352" s="87"/>
      <c r="N352" s="521"/>
      <c r="O352" s="521">
        <f>+Tabla4[[#This Row],[PAGO NO EURO]]+Tabla4[[#This Row],[CARGO NO EURO]]</f>
        <v>0</v>
      </c>
      <c r="P352" s="521"/>
      <c r="Q352" s="88"/>
      <c r="R352" s="689">
        <f>+_xlfn.XLOOKUP(Tabla4[[#This Row],[ID CLIENTE]],'RESUMEN CLIENTES'!D:D,'RESUMEN CLIENTES'!G:G)</f>
        <v>45869</v>
      </c>
      <c r="S352" s="88" t="str">
        <f>+_xlfn.XLOOKUP(Tabla4[[#This Row],[ID CLIENTE]],'RESUMEN CLIENTES'!D:D,'RESUMEN CLIENTES'!AA:AA)</f>
        <v>-</v>
      </c>
      <c r="T352" s="680" t="str">
        <f>+_xlfn.XLOOKUP(Tabla4[[#This Row],[ID CLIENTE]],'RESUMEN CLIENTES'!D:D,'RESUMEN CLIENTES'!C:C)</f>
        <v>Guatemala</v>
      </c>
    </row>
    <row r="353" spans="1:20" ht="16">
      <c r="A353" s="82">
        <v>45899</v>
      </c>
      <c r="B353" s="82" t="str">
        <f>+_xlfn.XLOOKUP(Tabla4[[#This Row],[ID CLIENTE]],'RESUMEN CLIENTES'!D:D,'RESUMEN CLIENTES'!A:A)</f>
        <v>Jose Marcelo Marroquín Guzmán</v>
      </c>
      <c r="C353" s="83" t="s">
        <v>2121</v>
      </c>
      <c r="D353" s="83" t="s">
        <v>87</v>
      </c>
      <c r="E353" s="83" t="s">
        <v>794</v>
      </c>
      <c r="F353" s="83" t="s">
        <v>795</v>
      </c>
      <c r="G353" s="84">
        <v>513</v>
      </c>
      <c r="H353" s="85">
        <v>-16.920000000000002</v>
      </c>
      <c r="I353" s="86">
        <f t="shared" si="12"/>
        <v>3.2982456140350884E-2</v>
      </c>
      <c r="J353" s="87">
        <f t="shared" si="13"/>
        <v>496.08</v>
      </c>
      <c r="K353" s="87"/>
      <c r="L353" s="87" t="s">
        <v>4672</v>
      </c>
      <c r="M353" s="87"/>
      <c r="N353" s="521"/>
      <c r="O353" s="521">
        <f>+Tabla4[[#This Row],[PAGO NO EURO]]+Tabla4[[#This Row],[CARGO NO EURO]]</f>
        <v>0</v>
      </c>
      <c r="P353" s="521"/>
      <c r="Q353" s="88"/>
      <c r="R353" s="689">
        <f>+_xlfn.XLOOKUP(Tabla4[[#This Row],[ID CLIENTE]],'RESUMEN CLIENTES'!D:D,'RESUMEN CLIENTES'!G:G)</f>
        <v>45658</v>
      </c>
      <c r="S353" s="88" t="str">
        <f>+_xlfn.XLOOKUP(Tabla4[[#This Row],[ID CLIENTE]],'RESUMEN CLIENTES'!D:D,'RESUMEN CLIENTES'!AA:AA)</f>
        <v>A2.1</v>
      </c>
      <c r="T353" s="680" t="str">
        <f>+_xlfn.XLOOKUP(Tabla4[[#This Row],[ID CLIENTE]],'RESUMEN CLIENTES'!D:D,'RESUMEN CLIENTES'!C:C)</f>
        <v>El Salvador</v>
      </c>
    </row>
    <row r="354" spans="1:20" ht="16">
      <c r="A354" s="82">
        <v>45899</v>
      </c>
      <c r="B354" s="82" t="str">
        <f>+_xlfn.XLOOKUP(Tabla4[[#This Row],[ID CLIENTE]],'RESUMEN CLIENTES'!D:D,'RESUMEN CLIENTES'!A:A)</f>
        <v>Katherine Salomé Herráez Maldonado</v>
      </c>
      <c r="C354" s="83" t="s">
        <v>2151</v>
      </c>
      <c r="D354" s="83" t="s">
        <v>132</v>
      </c>
      <c r="E354" s="83" t="s">
        <v>801</v>
      </c>
      <c r="F354" s="83" t="s">
        <v>802</v>
      </c>
      <c r="G354" s="84">
        <v>500</v>
      </c>
      <c r="H354" s="85">
        <v>-16.5</v>
      </c>
      <c r="I354" s="86">
        <f t="shared" si="12"/>
        <v>3.3000000000000002E-2</v>
      </c>
      <c r="J354" s="87">
        <f t="shared" si="13"/>
        <v>483.5</v>
      </c>
      <c r="K354" s="87"/>
      <c r="L354" s="87" t="s">
        <v>4672</v>
      </c>
      <c r="M354" s="87"/>
      <c r="N354" s="521"/>
      <c r="O354" s="521">
        <f>+Tabla4[[#This Row],[PAGO NO EURO]]+Tabla4[[#This Row],[CARGO NO EURO]]</f>
        <v>0</v>
      </c>
      <c r="P354" s="521"/>
      <c r="Q354" s="88"/>
      <c r="R354" s="689">
        <f>+_xlfn.XLOOKUP(Tabla4[[#This Row],[ID CLIENTE]],'RESUMEN CLIENTES'!D:D,'RESUMEN CLIENTES'!G:G)</f>
        <v>45742</v>
      </c>
      <c r="S354" s="88" t="str">
        <f>+_xlfn.XLOOKUP(Tabla4[[#This Row],[ID CLIENTE]],'RESUMEN CLIENTES'!D:D,'RESUMEN CLIENTES'!AA:AA)</f>
        <v>A1.1</v>
      </c>
      <c r="T354" s="680" t="str">
        <f>+_xlfn.XLOOKUP(Tabla4[[#This Row],[ID CLIENTE]],'RESUMEN CLIENTES'!D:D,'RESUMEN CLIENTES'!C:C)</f>
        <v>Ecuador</v>
      </c>
    </row>
    <row r="355" spans="1:20" ht="16">
      <c r="A355" s="82">
        <v>45900</v>
      </c>
      <c r="B355" s="82" t="str">
        <f>+_xlfn.XLOOKUP(Tabla4[[#This Row],[ID CLIENTE]],'RESUMEN CLIENTES'!D:D,'RESUMEN CLIENTES'!A:A)</f>
        <v>Andrea Corpeño López</v>
      </c>
      <c r="C355" s="83" t="s">
        <v>2117</v>
      </c>
      <c r="D355" s="83" t="s">
        <v>84</v>
      </c>
      <c r="E355" s="83" t="s">
        <v>769</v>
      </c>
      <c r="F355" s="83" t="s">
        <v>770</v>
      </c>
      <c r="G355" s="84">
        <v>350</v>
      </c>
      <c r="H355" s="85">
        <v>-11.63</v>
      </c>
      <c r="I355" s="86">
        <f t="shared" si="12"/>
        <v>3.3228571428571434E-2</v>
      </c>
      <c r="J355" s="87">
        <f t="shared" si="13"/>
        <v>338.37</v>
      </c>
      <c r="K355" s="87"/>
      <c r="L355" s="87" t="s">
        <v>4672</v>
      </c>
      <c r="M355" s="87"/>
      <c r="N355" s="521"/>
      <c r="O355" s="521">
        <f>+Tabla4[[#This Row],[PAGO NO EURO]]+Tabla4[[#This Row],[CARGO NO EURO]]</f>
        <v>0</v>
      </c>
      <c r="P355" s="521"/>
      <c r="Q355" s="88"/>
      <c r="R355" s="689">
        <f>+_xlfn.XLOOKUP(Tabla4[[#This Row],[ID CLIENTE]],'RESUMEN CLIENTES'!D:D,'RESUMEN CLIENTES'!G:G)</f>
        <v>45658</v>
      </c>
      <c r="S355" s="88" t="str">
        <f>+_xlfn.XLOOKUP(Tabla4[[#This Row],[ID CLIENTE]],'RESUMEN CLIENTES'!D:D,'RESUMEN CLIENTES'!AA:AA)</f>
        <v>-</v>
      </c>
      <c r="T355" s="680" t="str">
        <f>+_xlfn.XLOOKUP(Tabla4[[#This Row],[ID CLIENTE]],'RESUMEN CLIENTES'!D:D,'RESUMEN CLIENTES'!C:C)</f>
        <v>El Salvador</v>
      </c>
    </row>
    <row r="356" spans="1:20" ht="16">
      <c r="A356" s="82">
        <v>45900</v>
      </c>
      <c r="B356" s="82" t="str">
        <f>+_xlfn.XLOOKUP(Tabla4[[#This Row],[ID CLIENTE]],'RESUMEN CLIENTES'!D:D,'RESUMEN CLIENTES'!A:A)</f>
        <v>Daniel Chairez Muñoz</v>
      </c>
      <c r="C356" s="83" t="s">
        <v>2395</v>
      </c>
      <c r="D356" s="83" t="s">
        <v>2396</v>
      </c>
      <c r="E356" s="83" t="s">
        <v>2626</v>
      </c>
      <c r="F356" s="83" t="s">
        <v>2627</v>
      </c>
      <c r="G356" s="84">
        <v>250</v>
      </c>
      <c r="H356" s="85">
        <v>-8.3800000000000008</v>
      </c>
      <c r="I356" s="86">
        <f t="shared" si="12"/>
        <v>3.3520000000000001E-2</v>
      </c>
      <c r="J356" s="87">
        <f t="shared" si="13"/>
        <v>241.62</v>
      </c>
      <c r="K356" s="87"/>
      <c r="L356" s="87" t="s">
        <v>4672</v>
      </c>
      <c r="M356" s="87"/>
      <c r="N356" s="521"/>
      <c r="O356" s="521">
        <f>+Tabla4[[#This Row],[PAGO NO EURO]]+Tabla4[[#This Row],[CARGO NO EURO]]</f>
        <v>0</v>
      </c>
      <c r="P356" s="521"/>
      <c r="Q356" s="88"/>
      <c r="R356" s="689">
        <f>+_xlfn.XLOOKUP(Tabla4[[#This Row],[ID CLIENTE]],'RESUMEN CLIENTES'!D:D,'RESUMEN CLIENTES'!G:G)</f>
        <v>45900</v>
      </c>
      <c r="S356" s="88" t="str">
        <f>+_xlfn.XLOOKUP(Tabla4[[#This Row],[ID CLIENTE]],'RESUMEN CLIENTES'!D:D,'RESUMEN CLIENTES'!AA:AA)</f>
        <v>null</v>
      </c>
      <c r="T356" s="680" t="str">
        <f>+_xlfn.XLOOKUP(Tabla4[[#This Row],[ID CLIENTE]],'RESUMEN CLIENTES'!D:D,'RESUMEN CLIENTES'!C:C)</f>
        <v>México</v>
      </c>
    </row>
    <row r="357" spans="1:20" ht="16">
      <c r="A357" s="82">
        <v>45900</v>
      </c>
      <c r="B357" s="82" t="str">
        <f>+_xlfn.XLOOKUP(Tabla4[[#This Row],[ID CLIENTE]],'RESUMEN CLIENTES'!D:D,'RESUMEN CLIENTES'!A:A)</f>
        <v>Florencia Luján Sapia</v>
      </c>
      <c r="C357" s="83" t="s">
        <v>2393</v>
      </c>
      <c r="D357" s="83" t="s">
        <v>787</v>
      </c>
      <c r="E357" s="83" t="s">
        <v>788</v>
      </c>
      <c r="F357" s="83" t="s">
        <v>789</v>
      </c>
      <c r="G357" s="84">
        <v>250</v>
      </c>
      <c r="H357" s="85">
        <v>-8.3800000000000008</v>
      </c>
      <c r="I357" s="86">
        <f t="shared" si="12"/>
        <v>3.3520000000000001E-2</v>
      </c>
      <c r="J357" s="87">
        <f t="shared" si="13"/>
        <v>241.62</v>
      </c>
      <c r="K357" s="87"/>
      <c r="L357" s="87" t="s">
        <v>4672</v>
      </c>
      <c r="M357" s="87"/>
      <c r="N357" s="521"/>
      <c r="O357" s="521">
        <f>+Tabla4[[#This Row],[PAGO NO EURO]]+Tabla4[[#This Row],[CARGO NO EURO]]</f>
        <v>0</v>
      </c>
      <c r="P357" s="521"/>
      <c r="Q357" s="88"/>
      <c r="R357" s="689">
        <f>+_xlfn.XLOOKUP(Tabla4[[#This Row],[ID CLIENTE]],'RESUMEN CLIENTES'!D:D,'RESUMEN CLIENTES'!G:G)</f>
        <v>45900</v>
      </c>
      <c r="S357" s="88" t="str">
        <f>+_xlfn.XLOOKUP(Tabla4[[#This Row],[ID CLIENTE]],'RESUMEN CLIENTES'!D:D,'RESUMEN CLIENTES'!AA:AA)</f>
        <v>A2.1</v>
      </c>
      <c r="T357" s="680" t="str">
        <f>+_xlfn.XLOOKUP(Tabla4[[#This Row],[ID CLIENTE]],'RESUMEN CLIENTES'!D:D,'RESUMEN CLIENTES'!C:C)</f>
        <v>Argentina</v>
      </c>
    </row>
    <row r="358" spans="1:20" ht="16">
      <c r="A358" s="82">
        <v>45900</v>
      </c>
      <c r="B358" s="82" t="str">
        <f>+_xlfn.XLOOKUP(Tabla4[[#This Row],[ID CLIENTE]],'RESUMEN CLIENTES'!D:D,'RESUMEN CLIENTES'!A:A)</f>
        <v>Juan Manuel Paranzino</v>
      </c>
      <c r="C358" s="83" t="s">
        <v>2391</v>
      </c>
      <c r="D358" s="83" t="s">
        <v>798</v>
      </c>
      <c r="E358" s="83" t="s">
        <v>799</v>
      </c>
      <c r="F358" s="83" t="s">
        <v>800</v>
      </c>
      <c r="G358" s="84">
        <v>250</v>
      </c>
      <c r="H358" s="85">
        <v>-8.3800000000000008</v>
      </c>
      <c r="I358" s="86">
        <f t="shared" si="12"/>
        <v>3.3520000000000001E-2</v>
      </c>
      <c r="J358" s="87">
        <f t="shared" si="13"/>
        <v>241.62</v>
      </c>
      <c r="K358" s="87"/>
      <c r="L358" s="87" t="s">
        <v>4672</v>
      </c>
      <c r="M358" s="87"/>
      <c r="N358" s="521"/>
      <c r="O358" s="521">
        <f>+Tabla4[[#This Row],[PAGO NO EURO]]+Tabla4[[#This Row],[CARGO NO EURO]]</f>
        <v>0</v>
      </c>
      <c r="P358" s="521"/>
      <c r="Q358" s="88"/>
      <c r="R358" s="689">
        <f>+_xlfn.XLOOKUP(Tabla4[[#This Row],[ID CLIENTE]],'RESUMEN CLIENTES'!D:D,'RESUMEN CLIENTES'!G:G)</f>
        <v>45900</v>
      </c>
      <c r="S358" s="88" t="str">
        <f>+_xlfn.XLOOKUP(Tabla4[[#This Row],[ID CLIENTE]],'RESUMEN CLIENTES'!D:D,'RESUMEN CLIENTES'!AA:AA)</f>
        <v>B1.1</v>
      </c>
      <c r="T358" s="680" t="str">
        <f>+_xlfn.XLOOKUP(Tabla4[[#This Row],[ID CLIENTE]],'RESUMEN CLIENTES'!D:D,'RESUMEN CLIENTES'!C:C)</f>
        <v>Argentina</v>
      </c>
    </row>
    <row r="359" spans="1:20" ht="16">
      <c r="A359" s="82">
        <v>45900</v>
      </c>
      <c r="B359" s="82" t="str">
        <f>+_xlfn.XLOOKUP(Tabla4[[#This Row],[ID CLIENTE]],'RESUMEN CLIENTES'!D:D,'RESUMEN CLIENTES'!A:A)</f>
        <v>Nataly Elizabeth Elias Berrios</v>
      </c>
      <c r="C359" s="83" t="s">
        <v>2200</v>
      </c>
      <c r="D359" s="83" t="s">
        <v>816</v>
      </c>
      <c r="E359" s="83" t="s">
        <v>817</v>
      </c>
      <c r="F359" s="83" t="s">
        <v>818</v>
      </c>
      <c r="G359" s="84">
        <v>675</v>
      </c>
      <c r="H359" s="85">
        <v>-22.19</v>
      </c>
      <c r="I359" s="86">
        <f t="shared" si="12"/>
        <v>3.2874074074074076E-2</v>
      </c>
      <c r="J359" s="87">
        <f t="shared" si="13"/>
        <v>652.80999999999995</v>
      </c>
      <c r="K359" s="87"/>
      <c r="L359" s="87" t="s">
        <v>4672</v>
      </c>
      <c r="M359" s="87"/>
      <c r="N359" s="521"/>
      <c r="O359" s="521">
        <f>+Tabla4[[#This Row],[PAGO NO EURO]]+Tabla4[[#This Row],[CARGO NO EURO]]</f>
        <v>0</v>
      </c>
      <c r="P359" s="521"/>
      <c r="Q359" s="88"/>
      <c r="R359" s="689">
        <f>+_xlfn.XLOOKUP(Tabla4[[#This Row],[ID CLIENTE]],'RESUMEN CLIENTES'!D:D,'RESUMEN CLIENTES'!G:G)</f>
        <v>45807</v>
      </c>
      <c r="S359" s="88" t="str">
        <f>+_xlfn.XLOOKUP(Tabla4[[#This Row],[ID CLIENTE]],'RESUMEN CLIENTES'!D:D,'RESUMEN CLIENTES'!AA:AA)</f>
        <v>null</v>
      </c>
      <c r="T359" s="680" t="str">
        <f>+_xlfn.XLOOKUP(Tabla4[[#This Row],[ID CLIENTE]],'RESUMEN CLIENTES'!D:D,'RESUMEN CLIENTES'!C:C)</f>
        <v>Bolivia</v>
      </c>
    </row>
    <row r="360" spans="1:20" ht="16">
      <c r="A360" s="82">
        <v>45900</v>
      </c>
      <c r="B360" s="82" t="str">
        <f>+_xlfn.XLOOKUP(Tabla4[[#This Row],[ID CLIENTE]],'RESUMEN CLIENTES'!D:D,'RESUMEN CLIENTES'!A:A)</f>
        <v>Nataly Elizabeth Elias Berrios</v>
      </c>
      <c r="C360" s="83" t="s">
        <v>2200</v>
      </c>
      <c r="D360" s="83" t="s">
        <v>816</v>
      </c>
      <c r="E360" s="83" t="s">
        <v>819</v>
      </c>
      <c r="F360" s="83" t="s">
        <v>820</v>
      </c>
      <c r="G360" s="84">
        <v>1000</v>
      </c>
      <c r="H360" s="85">
        <v>-32.75</v>
      </c>
      <c r="I360" s="86">
        <f t="shared" si="12"/>
        <v>3.2750000000000001E-2</v>
      </c>
      <c r="J360" s="87">
        <f t="shared" si="13"/>
        <v>967.25</v>
      </c>
      <c r="K360" s="87"/>
      <c r="L360" s="87" t="s">
        <v>4672</v>
      </c>
      <c r="M360" s="87"/>
      <c r="N360" s="521"/>
      <c r="O360" s="521">
        <f>+Tabla4[[#This Row],[PAGO NO EURO]]+Tabla4[[#This Row],[CARGO NO EURO]]</f>
        <v>0</v>
      </c>
      <c r="P360" s="521"/>
      <c r="Q360" s="88"/>
      <c r="R360" s="689">
        <f>+_xlfn.XLOOKUP(Tabla4[[#This Row],[ID CLIENTE]],'RESUMEN CLIENTES'!D:D,'RESUMEN CLIENTES'!G:G)</f>
        <v>45807</v>
      </c>
      <c r="S360" s="88" t="str">
        <f>+_xlfn.XLOOKUP(Tabla4[[#This Row],[ID CLIENTE]],'RESUMEN CLIENTES'!D:D,'RESUMEN CLIENTES'!AA:AA)</f>
        <v>null</v>
      </c>
      <c r="T360" s="680" t="str">
        <f>+_xlfn.XLOOKUP(Tabla4[[#This Row],[ID CLIENTE]],'RESUMEN CLIENTES'!D:D,'RESUMEN CLIENTES'!C:C)</f>
        <v>Bolivia</v>
      </c>
    </row>
    <row r="361" spans="1:20" ht="16">
      <c r="A361" s="82">
        <v>45900</v>
      </c>
      <c r="B361" s="82" t="str">
        <f>+_xlfn.XLOOKUP(Tabla4[[#This Row],[ID CLIENTE]],'RESUMEN CLIENTES'!D:D,'RESUMEN CLIENTES'!A:A)</f>
        <v>Nataly Elizabeth Elias Berrios</v>
      </c>
      <c r="C361" s="83" t="s">
        <v>2200</v>
      </c>
      <c r="D361" s="83" t="s">
        <v>816</v>
      </c>
      <c r="E361" s="83" t="s">
        <v>821</v>
      </c>
      <c r="F361" s="83" t="s">
        <v>822</v>
      </c>
      <c r="G361" s="84">
        <v>45</v>
      </c>
      <c r="H361" s="85">
        <v>-1.71</v>
      </c>
      <c r="I361" s="86">
        <f t="shared" si="12"/>
        <v>3.7999999999999999E-2</v>
      </c>
      <c r="J361" s="87">
        <f t="shared" si="13"/>
        <v>43.29</v>
      </c>
      <c r="K361" s="87"/>
      <c r="L361" s="87" t="s">
        <v>4672</v>
      </c>
      <c r="M361" s="87"/>
      <c r="N361" s="521"/>
      <c r="O361" s="521">
        <f>+Tabla4[[#This Row],[PAGO NO EURO]]+Tabla4[[#This Row],[CARGO NO EURO]]</f>
        <v>0</v>
      </c>
      <c r="P361" s="521"/>
      <c r="Q361" s="88"/>
      <c r="R361" s="689">
        <f>+_xlfn.XLOOKUP(Tabla4[[#This Row],[ID CLIENTE]],'RESUMEN CLIENTES'!D:D,'RESUMEN CLIENTES'!G:G)</f>
        <v>45807</v>
      </c>
      <c r="S361" s="88" t="str">
        <f>+_xlfn.XLOOKUP(Tabla4[[#This Row],[ID CLIENTE]],'RESUMEN CLIENTES'!D:D,'RESUMEN CLIENTES'!AA:AA)</f>
        <v>null</v>
      </c>
      <c r="T361" s="680" t="str">
        <f>+_xlfn.XLOOKUP(Tabla4[[#This Row],[ID CLIENTE]],'RESUMEN CLIENTES'!D:D,'RESUMEN CLIENTES'!C:C)</f>
        <v>Bolivia</v>
      </c>
    </row>
    <row r="362" spans="1:20" ht="16">
      <c r="A362" s="82">
        <v>45900</v>
      </c>
      <c r="B362" s="82" t="str">
        <f>+_xlfn.XLOOKUP(Tabla4[[#This Row],[ID CLIENTE]],'RESUMEN CLIENTES'!D:D,'RESUMEN CLIENTES'!A:A)</f>
        <v>Nataly Elizabeth Elias Berrios</v>
      </c>
      <c r="C362" s="83" t="s">
        <v>2200</v>
      </c>
      <c r="D362" s="83" t="s">
        <v>816</v>
      </c>
      <c r="E362" s="83" t="s">
        <v>823</v>
      </c>
      <c r="F362" s="83" t="s">
        <v>824</v>
      </c>
      <c r="G362" s="84">
        <v>170</v>
      </c>
      <c r="H362" s="85">
        <v>-5.78</v>
      </c>
      <c r="I362" s="86">
        <f t="shared" si="12"/>
        <v>3.4000000000000002E-2</v>
      </c>
      <c r="J362" s="87">
        <f t="shared" si="13"/>
        <v>164.22</v>
      </c>
      <c r="K362" s="87"/>
      <c r="L362" s="87" t="s">
        <v>4672</v>
      </c>
      <c r="M362" s="87"/>
      <c r="N362" s="521"/>
      <c r="O362" s="521">
        <f>+Tabla4[[#This Row],[PAGO NO EURO]]+Tabla4[[#This Row],[CARGO NO EURO]]</f>
        <v>0</v>
      </c>
      <c r="P362" s="521"/>
      <c r="Q362" s="88"/>
      <c r="R362" s="689">
        <f>+_xlfn.XLOOKUP(Tabla4[[#This Row],[ID CLIENTE]],'RESUMEN CLIENTES'!D:D,'RESUMEN CLIENTES'!G:G)</f>
        <v>45807</v>
      </c>
      <c r="S362" s="88" t="str">
        <f>+_xlfn.XLOOKUP(Tabla4[[#This Row],[ID CLIENTE]],'RESUMEN CLIENTES'!D:D,'RESUMEN CLIENTES'!AA:AA)</f>
        <v>null</v>
      </c>
      <c r="T362" s="680" t="str">
        <f>+_xlfn.XLOOKUP(Tabla4[[#This Row],[ID CLIENTE]],'RESUMEN CLIENTES'!D:D,'RESUMEN CLIENTES'!C:C)</f>
        <v>Bolivia</v>
      </c>
    </row>
    <row r="363" spans="1:20" ht="16">
      <c r="A363" s="82">
        <v>45900</v>
      </c>
      <c r="B363" s="82" t="str">
        <f>+_xlfn.XLOOKUP(Tabla4[[#This Row],[ID CLIENTE]],'RESUMEN CLIENTES'!D:D,'RESUMEN CLIENTES'!A:A)</f>
        <v>Nataly Elizabeth Elias Berrios</v>
      </c>
      <c r="C363" s="83" t="s">
        <v>2200</v>
      </c>
      <c r="D363" s="83" t="s">
        <v>816</v>
      </c>
      <c r="E363" s="83" t="s">
        <v>825</v>
      </c>
      <c r="F363" s="83" t="s">
        <v>826</v>
      </c>
      <c r="G363" s="84">
        <v>10</v>
      </c>
      <c r="H363" s="85">
        <v>-0.57999999999999996</v>
      </c>
      <c r="I363" s="86">
        <f t="shared" si="12"/>
        <v>5.7999999999999996E-2</v>
      </c>
      <c r="J363" s="87">
        <f t="shared" si="13"/>
        <v>9.42</v>
      </c>
      <c r="K363" s="87"/>
      <c r="L363" s="87" t="s">
        <v>4672</v>
      </c>
      <c r="M363" s="87"/>
      <c r="N363" s="521"/>
      <c r="O363" s="521">
        <f>+Tabla4[[#This Row],[PAGO NO EURO]]+Tabla4[[#This Row],[CARGO NO EURO]]</f>
        <v>0</v>
      </c>
      <c r="P363" s="521"/>
      <c r="Q363" s="88"/>
      <c r="R363" s="689">
        <f>+_xlfn.XLOOKUP(Tabla4[[#This Row],[ID CLIENTE]],'RESUMEN CLIENTES'!D:D,'RESUMEN CLIENTES'!G:G)</f>
        <v>45807</v>
      </c>
      <c r="S363" s="88" t="str">
        <f>+_xlfn.XLOOKUP(Tabla4[[#This Row],[ID CLIENTE]],'RESUMEN CLIENTES'!D:D,'RESUMEN CLIENTES'!AA:AA)</f>
        <v>null</v>
      </c>
      <c r="T363" s="680" t="str">
        <f>+_xlfn.XLOOKUP(Tabla4[[#This Row],[ID CLIENTE]],'RESUMEN CLIENTES'!D:D,'RESUMEN CLIENTES'!C:C)</f>
        <v>Bolivia</v>
      </c>
    </row>
    <row r="364" spans="1:20" ht="16">
      <c r="A364" s="82">
        <v>45900</v>
      </c>
      <c r="B364" s="82" t="str">
        <f>+_xlfn.XLOOKUP(Tabla4[[#This Row],[ID CLIENTE]],'RESUMEN CLIENTES'!D:D,'RESUMEN CLIENTES'!A:A)</f>
        <v>Nataly Elizabeth Elias Berrios</v>
      </c>
      <c r="C364" s="83" t="s">
        <v>2200</v>
      </c>
      <c r="D364" s="83" t="s">
        <v>816</v>
      </c>
      <c r="E364" s="83" t="s">
        <v>827</v>
      </c>
      <c r="F364" s="83" t="s">
        <v>828</v>
      </c>
      <c r="G364" s="84">
        <v>20</v>
      </c>
      <c r="H364" s="85">
        <v>-0.9</v>
      </c>
      <c r="I364" s="86">
        <f t="shared" si="12"/>
        <v>4.4999999999999998E-2</v>
      </c>
      <c r="J364" s="87">
        <f t="shared" si="13"/>
        <v>19.100000000000001</v>
      </c>
      <c r="K364" s="87"/>
      <c r="L364" s="87" t="s">
        <v>4672</v>
      </c>
      <c r="M364" s="87"/>
      <c r="N364" s="521"/>
      <c r="O364" s="521">
        <f>+Tabla4[[#This Row],[PAGO NO EURO]]+Tabla4[[#This Row],[CARGO NO EURO]]</f>
        <v>0</v>
      </c>
      <c r="P364" s="521"/>
      <c r="Q364" s="88"/>
      <c r="R364" s="689">
        <f>+_xlfn.XLOOKUP(Tabla4[[#This Row],[ID CLIENTE]],'RESUMEN CLIENTES'!D:D,'RESUMEN CLIENTES'!G:G)</f>
        <v>45807</v>
      </c>
      <c r="S364" s="88" t="str">
        <f>+_xlfn.XLOOKUP(Tabla4[[#This Row],[ID CLIENTE]],'RESUMEN CLIENTES'!D:D,'RESUMEN CLIENTES'!AA:AA)</f>
        <v>null</v>
      </c>
      <c r="T364" s="680" t="str">
        <f>+_xlfn.XLOOKUP(Tabla4[[#This Row],[ID CLIENTE]],'RESUMEN CLIENTES'!D:D,'RESUMEN CLIENTES'!C:C)</f>
        <v>Bolivia</v>
      </c>
    </row>
    <row r="365" spans="1:20" ht="16">
      <c r="A365" s="82">
        <v>45900</v>
      </c>
      <c r="B365" s="82" t="str">
        <f>+_xlfn.XLOOKUP(Tabla4[[#This Row],[ID CLIENTE]],'RESUMEN CLIENTES'!D:D,'RESUMEN CLIENTES'!A:A)</f>
        <v>Gilberto Martiñon Torres</v>
      </c>
      <c r="C365" s="83" t="s">
        <v>2375</v>
      </c>
      <c r="D365" s="83" t="s">
        <v>739</v>
      </c>
      <c r="E365" s="83" t="s">
        <v>833</v>
      </c>
      <c r="F365" s="83" t="s">
        <v>834</v>
      </c>
      <c r="G365" s="84">
        <v>1750</v>
      </c>
      <c r="H365" s="85">
        <v>-57.13</v>
      </c>
      <c r="I365" s="86">
        <f t="shared" si="12"/>
        <v>3.2645714285714285E-2</v>
      </c>
      <c r="J365" s="87">
        <f t="shared" si="13"/>
        <v>1692.87</v>
      </c>
      <c r="K365" s="87"/>
      <c r="L365" s="87" t="s">
        <v>4672</v>
      </c>
      <c r="M365" s="87"/>
      <c r="N365" s="521"/>
      <c r="O365" s="521">
        <f>+Tabla4[[#This Row],[PAGO NO EURO]]+Tabla4[[#This Row],[CARGO NO EURO]]</f>
        <v>0</v>
      </c>
      <c r="P365" s="521"/>
      <c r="Q365" s="88"/>
      <c r="R365" s="689">
        <f>+_xlfn.XLOOKUP(Tabla4[[#This Row],[ID CLIENTE]],'RESUMEN CLIENTES'!D:D,'RESUMEN CLIENTES'!G:G)</f>
        <v>45896</v>
      </c>
      <c r="S365" s="88" t="str">
        <f>+_xlfn.XLOOKUP(Tabla4[[#This Row],[ID CLIENTE]],'RESUMEN CLIENTES'!D:D,'RESUMEN CLIENTES'!AA:AA)</f>
        <v>A1.1</v>
      </c>
      <c r="T365" s="680" t="str">
        <f>+_xlfn.XLOOKUP(Tabla4[[#This Row],[ID CLIENTE]],'RESUMEN CLIENTES'!D:D,'RESUMEN CLIENTES'!C:C)</f>
        <v>México</v>
      </c>
    </row>
    <row r="366" spans="1:20" ht="16">
      <c r="A366" s="82">
        <v>45901</v>
      </c>
      <c r="B366" s="82" t="str">
        <f>+_xlfn.XLOOKUP(Tabla4[[#This Row],[ID CLIENTE]],'RESUMEN CLIENTES'!D:D,'RESUMEN CLIENTES'!A:A)</f>
        <v>Maria Laura Rios Pino</v>
      </c>
      <c r="C366" s="83" t="s">
        <v>2220</v>
      </c>
      <c r="D366" s="83" t="s">
        <v>258</v>
      </c>
      <c r="E366" s="83" t="s">
        <v>851</v>
      </c>
      <c r="F366" s="83" t="s">
        <v>852</v>
      </c>
      <c r="G366" s="84">
        <f>+Tabla4[[#This Row],[PAGO NO EURO]]*Tabla4[[#This Row],[CAMBIO]]</f>
        <v>640.36885245901635</v>
      </c>
      <c r="H366" s="85">
        <f>+Tabla4[[#This Row],[CARGO NO EURO]]*Tabla4[[#This Row],[CAMBIO]]</f>
        <v>-21.0724043715847</v>
      </c>
      <c r="I366" s="86">
        <f t="shared" si="12"/>
        <v>3.2906666666666667E-2</v>
      </c>
      <c r="J366" s="87">
        <f t="shared" si="13"/>
        <v>619.2964480874316</v>
      </c>
      <c r="K366" s="87"/>
      <c r="L366" s="87" t="s">
        <v>4672</v>
      </c>
      <c r="M366" s="87" t="s">
        <v>2548</v>
      </c>
      <c r="N366" s="524">
        <v>750</v>
      </c>
      <c r="O366" s="524">
        <f>+Tabla4[[#This Row],[PAGO NO EURO]]+Tabla4[[#This Row],[CARGO NO EURO]]</f>
        <v>725.32</v>
      </c>
      <c r="P366" s="524">
        <v>-24.68</v>
      </c>
      <c r="Q366" s="92">
        <v>0.85382513661202186</v>
      </c>
      <c r="R366" s="690">
        <f>+_xlfn.XLOOKUP(Tabla4[[#This Row],[ID CLIENTE]],'RESUMEN CLIENTES'!D:D,'RESUMEN CLIENTES'!G:G)</f>
        <v>45805</v>
      </c>
      <c r="S366" s="92" t="str">
        <f>+_xlfn.XLOOKUP(Tabla4[[#This Row],[ID CLIENTE]],'RESUMEN CLIENTES'!D:D,'RESUMEN CLIENTES'!AA:AA)</f>
        <v>B1.1</v>
      </c>
      <c r="T366" s="680" t="str">
        <f>+_xlfn.XLOOKUP(Tabla4[[#This Row],[ID CLIENTE]],'RESUMEN CLIENTES'!D:D,'RESUMEN CLIENTES'!C:C)</f>
        <v>Perú</v>
      </c>
    </row>
    <row r="367" spans="1:20" ht="16">
      <c r="A367" s="82">
        <v>45901</v>
      </c>
      <c r="B367" s="82" t="str">
        <f>+_xlfn.XLOOKUP(Tabla4[[#This Row],[ID CLIENTE]],'RESUMEN CLIENTES'!D:D,'RESUMEN CLIENTES'!A:A)</f>
        <v>Alexandra Carolina Ordoñez Cuotto</v>
      </c>
      <c r="C367" s="83" t="s">
        <v>2296</v>
      </c>
      <c r="D367" s="83" t="s">
        <v>450</v>
      </c>
      <c r="E367" s="83" t="s">
        <v>767</v>
      </c>
      <c r="F367" s="83" t="s">
        <v>768</v>
      </c>
      <c r="G367" s="84">
        <v>1000</v>
      </c>
      <c r="H367" s="85">
        <v>0</v>
      </c>
      <c r="I367" s="86">
        <f t="shared" si="12"/>
        <v>0</v>
      </c>
      <c r="J367" s="87">
        <f t="shared" si="13"/>
        <v>1000</v>
      </c>
      <c r="K367" s="87" t="s">
        <v>2542</v>
      </c>
      <c r="L367" s="87" t="s">
        <v>4672</v>
      </c>
      <c r="M367" s="87"/>
      <c r="N367" s="521"/>
      <c r="O367" s="521">
        <f>+Tabla4[[#This Row],[PAGO NO EURO]]+Tabla4[[#This Row],[CARGO NO EURO]]</f>
        <v>0</v>
      </c>
      <c r="P367" s="521"/>
      <c r="Q367" s="88"/>
      <c r="R367" s="689">
        <f>+_xlfn.XLOOKUP(Tabla4[[#This Row],[ID CLIENTE]],'RESUMEN CLIENTES'!D:D,'RESUMEN CLIENTES'!G:G)</f>
        <v>45849</v>
      </c>
      <c r="S367" s="88" t="str">
        <f>+_xlfn.XLOOKUP(Tabla4[[#This Row],[ID CLIENTE]],'RESUMEN CLIENTES'!D:D,'RESUMEN CLIENTES'!AA:AA)</f>
        <v>A1.1</v>
      </c>
      <c r="T367" s="680" t="str">
        <f>+_xlfn.XLOOKUP(Tabla4[[#This Row],[ID CLIENTE]],'RESUMEN CLIENTES'!D:D,'RESUMEN CLIENTES'!C:C)</f>
        <v>Venezuela</v>
      </c>
    </row>
    <row r="368" spans="1:20" ht="16">
      <c r="A368" s="82">
        <v>45902</v>
      </c>
      <c r="B368" s="82" t="str">
        <f>+_xlfn.XLOOKUP(Tabla4[[#This Row],[ID CLIENTE]],'RESUMEN CLIENTES'!D:D,'RESUMEN CLIENTES'!A:A)</f>
        <v>Martin Esteban Orellana Dominguez</v>
      </c>
      <c r="C368" s="83" t="s">
        <v>2377</v>
      </c>
      <c r="D368" s="83" t="s">
        <v>744</v>
      </c>
      <c r="E368" s="83" t="s">
        <v>838</v>
      </c>
      <c r="F368" s="83" t="s">
        <v>839</v>
      </c>
      <c r="G368" s="84">
        <v>500</v>
      </c>
      <c r="H368" s="85">
        <v>-16.5</v>
      </c>
      <c r="I368" s="86">
        <f t="shared" si="12"/>
        <v>3.3000000000000002E-2</v>
      </c>
      <c r="J368" s="87">
        <f t="shared" si="13"/>
        <v>483.5</v>
      </c>
      <c r="K368" s="87"/>
      <c r="L368" s="87" t="s">
        <v>4672</v>
      </c>
      <c r="M368" s="87"/>
      <c r="N368" s="521"/>
      <c r="O368" s="521">
        <f>+Tabla4[[#This Row],[PAGO NO EURO]]+Tabla4[[#This Row],[CARGO NO EURO]]</f>
        <v>0</v>
      </c>
      <c r="P368" s="521"/>
      <c r="Q368" s="88"/>
      <c r="R368" s="689">
        <f>+_xlfn.XLOOKUP(Tabla4[[#This Row],[ID CLIENTE]],'RESUMEN CLIENTES'!D:D,'RESUMEN CLIENTES'!G:G)</f>
        <v>45897</v>
      </c>
      <c r="S368" s="88" t="str">
        <f>+_xlfn.XLOOKUP(Tabla4[[#This Row],[ID CLIENTE]],'RESUMEN CLIENTES'!D:D,'RESUMEN CLIENTES'!AA:AA)</f>
        <v>A1.1</v>
      </c>
      <c r="T368" s="680" t="str">
        <f>+_xlfn.XLOOKUP(Tabla4[[#This Row],[ID CLIENTE]],'RESUMEN CLIENTES'!D:D,'RESUMEN CLIENTES'!C:C)</f>
        <v>Ecuador</v>
      </c>
    </row>
    <row r="369" spans="1:20" ht="16">
      <c r="A369" s="82">
        <v>45902</v>
      </c>
      <c r="B369" s="82" t="str">
        <f>+_xlfn.XLOOKUP(Tabla4[[#This Row],[ID CLIENTE]],'RESUMEN CLIENTES'!D:D,'RESUMEN CLIENTES'!A:A)</f>
        <v>Freddy Renzo Perez Villafuerte</v>
      </c>
      <c r="C369" s="83" t="s">
        <v>2292</v>
      </c>
      <c r="D369" s="83" t="s">
        <v>465</v>
      </c>
      <c r="E369" s="83" t="s">
        <v>842</v>
      </c>
      <c r="F369" s="83" t="s">
        <v>843</v>
      </c>
      <c r="G369" s="84">
        <v>1000</v>
      </c>
      <c r="H369" s="85">
        <v>-32.75</v>
      </c>
      <c r="I369" s="86">
        <f t="shared" si="12"/>
        <v>3.2750000000000001E-2</v>
      </c>
      <c r="J369" s="87">
        <f t="shared" si="13"/>
        <v>967.25</v>
      </c>
      <c r="K369" s="87"/>
      <c r="L369" s="87" t="s">
        <v>4672</v>
      </c>
      <c r="M369" s="87"/>
      <c r="N369" s="521"/>
      <c r="O369" s="521">
        <f>+Tabla4[[#This Row],[PAGO NO EURO]]+Tabla4[[#This Row],[CARGO NO EURO]]</f>
        <v>0</v>
      </c>
      <c r="P369" s="521"/>
      <c r="Q369" s="88"/>
      <c r="R369" s="689">
        <f>+_xlfn.XLOOKUP(Tabla4[[#This Row],[ID CLIENTE]],'RESUMEN CLIENTES'!D:D,'RESUMEN CLIENTES'!G:G)</f>
        <v>45848</v>
      </c>
      <c r="S369" s="88" t="str">
        <f>+_xlfn.XLOOKUP(Tabla4[[#This Row],[ID CLIENTE]],'RESUMEN CLIENTES'!D:D,'RESUMEN CLIENTES'!AA:AA)</f>
        <v>B1.1</v>
      </c>
      <c r="T369" s="680" t="str">
        <f>+_xlfn.XLOOKUP(Tabla4[[#This Row],[ID CLIENTE]],'RESUMEN CLIENTES'!D:D,'RESUMEN CLIENTES'!C:C)</f>
        <v>Perú</v>
      </c>
    </row>
    <row r="370" spans="1:20" ht="16">
      <c r="A370" s="82">
        <v>45903</v>
      </c>
      <c r="B370" s="82" t="str">
        <f>+_xlfn.XLOOKUP(Tabla4[[#This Row],[ID CLIENTE]],'RESUMEN CLIENTES'!D:D,'RESUMEN CLIENTES'!A:A)</f>
        <v>Olguer Ariel Pruna Herrera</v>
      </c>
      <c r="C370" s="83" t="s">
        <v>2353</v>
      </c>
      <c r="D370" s="83" t="s">
        <v>695</v>
      </c>
      <c r="E370" s="83" t="s">
        <v>2628</v>
      </c>
      <c r="F370" s="83" t="s">
        <v>2629</v>
      </c>
      <c r="G370" s="84">
        <v>1750</v>
      </c>
      <c r="H370" s="85">
        <v>-57.13</v>
      </c>
      <c r="I370" s="86">
        <f t="shared" si="12"/>
        <v>3.2645714285714285E-2</v>
      </c>
      <c r="J370" s="87">
        <f t="shared" si="13"/>
        <v>1692.87</v>
      </c>
      <c r="K370" s="87"/>
      <c r="L370" s="87" t="s">
        <v>4672</v>
      </c>
      <c r="M370" s="87"/>
      <c r="N370" s="521"/>
      <c r="O370" s="521">
        <f>+Tabla4[[#This Row],[PAGO NO EURO]]+Tabla4[[#This Row],[CARGO NO EURO]]</f>
        <v>0</v>
      </c>
      <c r="P370" s="521"/>
      <c r="Q370" s="88"/>
      <c r="R370" s="689">
        <f>+_xlfn.XLOOKUP(Tabla4[[#This Row],[ID CLIENTE]],'RESUMEN CLIENTES'!D:D,'RESUMEN CLIENTES'!G:G)</f>
        <v>45882</v>
      </c>
      <c r="S370" s="88" t="str">
        <f>+_xlfn.XLOOKUP(Tabla4[[#This Row],[ID CLIENTE]],'RESUMEN CLIENTES'!D:D,'RESUMEN CLIENTES'!AA:AA)</f>
        <v>A1.1</v>
      </c>
      <c r="T370" s="680" t="str">
        <f>+_xlfn.XLOOKUP(Tabla4[[#This Row],[ID CLIENTE]],'RESUMEN CLIENTES'!D:D,'RESUMEN CLIENTES'!C:C)</f>
        <v>Ecuador</v>
      </c>
    </row>
    <row r="371" spans="1:20" ht="16">
      <c r="A371" s="82">
        <v>45903</v>
      </c>
      <c r="B371" s="82" t="str">
        <f>+_xlfn.XLOOKUP(Tabla4[[#This Row],[ID CLIENTE]],'RESUMEN CLIENTES'!D:D,'RESUMEN CLIENTES'!A:A)</f>
        <v>Gaspar Arturo Alvarez Garcia</v>
      </c>
      <c r="C371" s="83" t="s">
        <v>2398</v>
      </c>
      <c r="D371" s="83" t="s">
        <v>846</v>
      </c>
      <c r="E371" s="83" t="s">
        <v>847</v>
      </c>
      <c r="F371" s="83" t="s">
        <v>848</v>
      </c>
      <c r="G371" s="84">
        <v>250</v>
      </c>
      <c r="H371" s="85">
        <v>-8.3800000000000008</v>
      </c>
      <c r="I371" s="86">
        <f t="shared" si="12"/>
        <v>3.3520000000000001E-2</v>
      </c>
      <c r="J371" s="87">
        <f t="shared" si="13"/>
        <v>241.62</v>
      </c>
      <c r="K371" s="87"/>
      <c r="L371" s="87" t="s">
        <v>4672</v>
      </c>
      <c r="M371" s="87"/>
      <c r="N371" s="521"/>
      <c r="O371" s="521">
        <f>+Tabla4[[#This Row],[PAGO NO EURO]]+Tabla4[[#This Row],[CARGO NO EURO]]</f>
        <v>0</v>
      </c>
      <c r="P371" s="521"/>
      <c r="Q371" s="88"/>
      <c r="R371" s="689">
        <f>+_xlfn.XLOOKUP(Tabla4[[#This Row],[ID CLIENTE]],'RESUMEN CLIENTES'!D:D,'RESUMEN CLIENTES'!G:G)</f>
        <v>45903</v>
      </c>
      <c r="S371" s="88" t="str">
        <f>+_xlfn.XLOOKUP(Tabla4[[#This Row],[ID CLIENTE]],'RESUMEN CLIENTES'!D:D,'RESUMEN CLIENTES'!AA:AA)</f>
        <v>A1.1</v>
      </c>
      <c r="T371" s="680" t="str">
        <f>+_xlfn.XLOOKUP(Tabla4[[#This Row],[ID CLIENTE]],'RESUMEN CLIENTES'!D:D,'RESUMEN CLIENTES'!C:C)</f>
        <v>Chile</v>
      </c>
    </row>
    <row r="372" spans="1:20" ht="16">
      <c r="A372" s="82">
        <v>45903</v>
      </c>
      <c r="B372" s="82" t="str">
        <f>+_xlfn.XLOOKUP(Tabla4[[#This Row],[ID CLIENTE]],'RESUMEN CLIENTES'!D:D,'RESUMEN CLIENTES'!A:A)</f>
        <v>Ian Job Lino Durán</v>
      </c>
      <c r="C372" s="83" t="s">
        <v>2135</v>
      </c>
      <c r="D372" s="83" t="s">
        <v>109</v>
      </c>
      <c r="E372" s="83" t="s">
        <v>880</v>
      </c>
      <c r="F372" s="83" t="s">
        <v>881</v>
      </c>
      <c r="G372" s="84">
        <v>1500</v>
      </c>
      <c r="H372" s="85">
        <v>-49</v>
      </c>
      <c r="I372" s="86">
        <f t="shared" si="12"/>
        <v>3.2666666666666663E-2</v>
      </c>
      <c r="J372" s="87">
        <f t="shared" si="13"/>
        <v>1451</v>
      </c>
      <c r="K372" s="87"/>
      <c r="L372" s="87" t="s">
        <v>4672</v>
      </c>
      <c r="M372" s="87"/>
      <c r="N372" s="521"/>
      <c r="O372" s="521">
        <f>+Tabla4[[#This Row],[PAGO NO EURO]]+Tabla4[[#This Row],[CARGO NO EURO]]</f>
        <v>0</v>
      </c>
      <c r="P372" s="521"/>
      <c r="Q372" s="88"/>
      <c r="R372" s="689">
        <f>+_xlfn.XLOOKUP(Tabla4[[#This Row],[ID CLIENTE]],'RESUMEN CLIENTES'!D:D,'RESUMEN CLIENTES'!G:G)</f>
        <v>45729</v>
      </c>
      <c r="S372" s="88" t="str">
        <f>+_xlfn.XLOOKUP(Tabla4[[#This Row],[ID CLIENTE]],'RESUMEN CLIENTES'!D:D,'RESUMEN CLIENTES'!AA:AA)</f>
        <v>B2.1</v>
      </c>
      <c r="T372" s="680" t="str">
        <f>+_xlfn.XLOOKUP(Tabla4[[#This Row],[ID CLIENTE]],'RESUMEN CLIENTES'!D:D,'RESUMEN CLIENTES'!C:C)</f>
        <v>México</v>
      </c>
    </row>
    <row r="373" spans="1:20" ht="16">
      <c r="A373" s="82">
        <v>45903</v>
      </c>
      <c r="B373" s="82" t="str">
        <f>+_xlfn.XLOOKUP(Tabla4[[#This Row],[ID CLIENTE]],'RESUMEN CLIENTES'!D:D,'RESUMEN CLIENTES'!A:A)</f>
        <v>Mayra Leonor Rivera Paico</v>
      </c>
      <c r="C373" s="83" t="s">
        <v>2280</v>
      </c>
      <c r="D373" s="83" t="s">
        <v>407</v>
      </c>
      <c r="E373" s="83" t="s">
        <v>853</v>
      </c>
      <c r="F373" s="83" t="s">
        <v>854</v>
      </c>
      <c r="G373" s="84">
        <v>1000</v>
      </c>
      <c r="H373" s="85">
        <v>-32.75</v>
      </c>
      <c r="I373" s="86">
        <f t="shared" si="12"/>
        <v>3.2750000000000001E-2</v>
      </c>
      <c r="J373" s="87">
        <f t="shared" si="13"/>
        <v>967.25</v>
      </c>
      <c r="K373" s="87"/>
      <c r="L373" s="87" t="s">
        <v>4672</v>
      </c>
      <c r="M373" s="87"/>
      <c r="N373" s="521"/>
      <c r="O373" s="521">
        <f>+Tabla4[[#This Row],[PAGO NO EURO]]+Tabla4[[#This Row],[CARGO NO EURO]]</f>
        <v>0</v>
      </c>
      <c r="P373" s="521"/>
      <c r="Q373" s="88"/>
      <c r="R373" s="689">
        <f>+_xlfn.XLOOKUP(Tabla4[[#This Row],[ID CLIENTE]],'RESUMEN CLIENTES'!D:D,'RESUMEN CLIENTES'!G:G)</f>
        <v>45842</v>
      </c>
      <c r="S373" s="88" t="str">
        <f>+_xlfn.XLOOKUP(Tabla4[[#This Row],[ID CLIENTE]],'RESUMEN CLIENTES'!D:D,'RESUMEN CLIENTES'!AA:AA)</f>
        <v>A1.1</v>
      </c>
      <c r="T373" s="680" t="str">
        <f>+_xlfn.XLOOKUP(Tabla4[[#This Row],[ID CLIENTE]],'RESUMEN CLIENTES'!D:D,'RESUMEN CLIENTES'!C:C)</f>
        <v>Perú</v>
      </c>
    </row>
    <row r="374" spans="1:20" ht="16">
      <c r="A374" s="82">
        <v>45904</v>
      </c>
      <c r="B374" s="82" t="str">
        <f>+_xlfn.XLOOKUP(Tabla4[[#This Row],[ID CLIENTE]],'RESUMEN CLIENTES'!D:D,'RESUMEN CLIENTES'!A:A)</f>
        <v>Boris Andrés Silva Véliz</v>
      </c>
      <c r="C374" s="83" t="s">
        <v>2184</v>
      </c>
      <c r="D374" s="83" t="s">
        <v>184</v>
      </c>
      <c r="E374" s="83" t="s">
        <v>844</v>
      </c>
      <c r="F374" s="83" t="s">
        <v>845</v>
      </c>
      <c r="G374" s="84">
        <v>695</v>
      </c>
      <c r="H374" s="85">
        <v>-22.84</v>
      </c>
      <c r="I374" s="86">
        <f t="shared" si="12"/>
        <v>3.2863309352517987E-2</v>
      </c>
      <c r="J374" s="87">
        <f t="shared" si="13"/>
        <v>672.16</v>
      </c>
      <c r="K374" s="87"/>
      <c r="L374" s="87" t="s">
        <v>4672</v>
      </c>
      <c r="M374" s="87"/>
      <c r="N374" s="521"/>
      <c r="O374" s="521">
        <f>+Tabla4[[#This Row],[PAGO NO EURO]]+Tabla4[[#This Row],[CARGO NO EURO]]</f>
        <v>0</v>
      </c>
      <c r="P374" s="521"/>
      <c r="Q374" s="88"/>
      <c r="R374" s="689">
        <f>+_xlfn.XLOOKUP(Tabla4[[#This Row],[ID CLIENTE]],'RESUMEN CLIENTES'!D:D,'RESUMEN CLIENTES'!G:G)</f>
        <v>45771</v>
      </c>
      <c r="S374" s="88" t="str">
        <f>+_xlfn.XLOOKUP(Tabla4[[#This Row],[ID CLIENTE]],'RESUMEN CLIENTES'!D:D,'RESUMEN CLIENTES'!AA:AA)</f>
        <v>C1.1</v>
      </c>
      <c r="T374" s="680" t="str">
        <f>+_xlfn.XLOOKUP(Tabla4[[#This Row],[ID CLIENTE]],'RESUMEN CLIENTES'!D:D,'RESUMEN CLIENTES'!C:C)</f>
        <v>Chile</v>
      </c>
    </row>
    <row r="375" spans="1:20" ht="16">
      <c r="A375" s="82">
        <v>45904</v>
      </c>
      <c r="B375" s="82" t="str">
        <f>+_xlfn.XLOOKUP(Tabla4[[#This Row],[ID CLIENTE]],'RESUMEN CLIENTES'!D:D,'RESUMEN CLIENTES'!A:A)</f>
        <v>Paula Ida Elisa Saris Sommer</v>
      </c>
      <c r="C375" s="83" t="s">
        <v>2400</v>
      </c>
      <c r="D375" s="83" t="s">
        <v>855</v>
      </c>
      <c r="E375" s="83" t="s">
        <v>856</v>
      </c>
      <c r="F375" s="83" t="s">
        <v>857</v>
      </c>
      <c r="G375" s="84">
        <v>500</v>
      </c>
      <c r="H375" s="85">
        <v>-16.5</v>
      </c>
      <c r="I375" s="86">
        <f t="shared" si="12"/>
        <v>3.3000000000000002E-2</v>
      </c>
      <c r="J375" s="87">
        <f t="shared" si="13"/>
        <v>483.5</v>
      </c>
      <c r="K375" s="87"/>
      <c r="L375" s="87" t="s">
        <v>4672</v>
      </c>
      <c r="M375" s="87"/>
      <c r="N375" s="521"/>
      <c r="O375" s="521">
        <f>+Tabla4[[#This Row],[PAGO NO EURO]]+Tabla4[[#This Row],[CARGO NO EURO]]</f>
        <v>0</v>
      </c>
      <c r="P375" s="521"/>
      <c r="Q375" s="88"/>
      <c r="R375" s="689">
        <f>+_xlfn.XLOOKUP(Tabla4[[#This Row],[ID CLIENTE]],'RESUMEN CLIENTES'!D:D,'RESUMEN CLIENTES'!G:G)</f>
        <v>45904</v>
      </c>
      <c r="S375" s="88" t="str">
        <f>+_xlfn.XLOOKUP(Tabla4[[#This Row],[ID CLIENTE]],'RESUMEN CLIENTES'!D:D,'RESUMEN CLIENTES'!AA:AA)</f>
        <v>A2.1</v>
      </c>
      <c r="T375" s="680" t="str">
        <f>+_xlfn.XLOOKUP(Tabla4[[#This Row],[ID CLIENTE]],'RESUMEN CLIENTES'!D:D,'RESUMEN CLIENTES'!C:C)</f>
        <v>Argentina</v>
      </c>
    </row>
    <row r="376" spans="1:20" ht="16">
      <c r="A376" s="82">
        <v>45904</v>
      </c>
      <c r="B376" s="82" t="str">
        <f>+_xlfn.XLOOKUP(Tabla4[[#This Row],[ID CLIENTE]],'RESUMEN CLIENTES'!D:D,'RESUMEN CLIENTES'!A:A)</f>
        <v>Paula Ida Elisa Saris Sommer</v>
      </c>
      <c r="C376" s="83" t="s">
        <v>2400</v>
      </c>
      <c r="D376" s="83" t="s">
        <v>855</v>
      </c>
      <c r="E376" s="83" t="s">
        <v>858</v>
      </c>
      <c r="F376" s="83" t="s">
        <v>859</v>
      </c>
      <c r="G376" s="84">
        <v>500</v>
      </c>
      <c r="H376" s="85">
        <v>-16.5</v>
      </c>
      <c r="I376" s="86">
        <f t="shared" si="12"/>
        <v>3.3000000000000002E-2</v>
      </c>
      <c r="J376" s="87">
        <f t="shared" si="13"/>
        <v>483.5</v>
      </c>
      <c r="K376" s="87"/>
      <c r="L376" s="87" t="s">
        <v>4672</v>
      </c>
      <c r="M376" s="87"/>
      <c r="N376" s="521"/>
      <c r="O376" s="521">
        <f>+Tabla4[[#This Row],[PAGO NO EURO]]+Tabla4[[#This Row],[CARGO NO EURO]]</f>
        <v>0</v>
      </c>
      <c r="P376" s="521"/>
      <c r="Q376" s="88"/>
      <c r="R376" s="689">
        <f>+_xlfn.XLOOKUP(Tabla4[[#This Row],[ID CLIENTE]],'RESUMEN CLIENTES'!D:D,'RESUMEN CLIENTES'!G:G)</f>
        <v>45904</v>
      </c>
      <c r="S376" s="88" t="str">
        <f>+_xlfn.XLOOKUP(Tabla4[[#This Row],[ID CLIENTE]],'RESUMEN CLIENTES'!D:D,'RESUMEN CLIENTES'!AA:AA)</f>
        <v>A2.1</v>
      </c>
      <c r="T376" s="680" t="str">
        <f>+_xlfn.XLOOKUP(Tabla4[[#This Row],[ID CLIENTE]],'RESUMEN CLIENTES'!D:D,'RESUMEN CLIENTES'!C:C)</f>
        <v>Argentina</v>
      </c>
    </row>
    <row r="377" spans="1:20" ht="16">
      <c r="A377" s="82">
        <v>45904</v>
      </c>
      <c r="B377" s="82" t="str">
        <f>+_xlfn.XLOOKUP(Tabla4[[#This Row],[ID CLIENTE]],'RESUMEN CLIENTES'!D:D,'RESUMEN CLIENTES'!A:A)</f>
        <v>Sergio Francisco Garcia Sandoval</v>
      </c>
      <c r="C377" s="83" t="s">
        <v>2235</v>
      </c>
      <c r="D377" s="83" t="s">
        <v>281</v>
      </c>
      <c r="E377" s="83" t="s">
        <v>897</v>
      </c>
      <c r="F377" s="83" t="s">
        <v>898</v>
      </c>
      <c r="G377" s="84">
        <v>350</v>
      </c>
      <c r="H377" s="85">
        <v>-11.63</v>
      </c>
      <c r="I377" s="86">
        <f t="shared" si="12"/>
        <v>3.3228571428571434E-2</v>
      </c>
      <c r="J377" s="87">
        <f t="shared" si="13"/>
        <v>338.37</v>
      </c>
      <c r="K377" s="87"/>
      <c r="L377" s="87" t="s">
        <v>4672</v>
      </c>
      <c r="M377" s="87"/>
      <c r="N377" s="521"/>
      <c r="O377" s="521">
        <f>+Tabla4[[#This Row],[PAGO NO EURO]]+Tabla4[[#This Row],[CARGO NO EURO]]</f>
        <v>0</v>
      </c>
      <c r="P377" s="521"/>
      <c r="Q377" s="88"/>
      <c r="R377" s="689">
        <f>+_xlfn.XLOOKUP(Tabla4[[#This Row],[ID CLIENTE]],'RESUMEN CLIENTES'!D:D,'RESUMEN CLIENTES'!G:G)</f>
        <v>45812</v>
      </c>
      <c r="S377" s="88" t="str">
        <f>+_xlfn.XLOOKUP(Tabla4[[#This Row],[ID CLIENTE]],'RESUMEN CLIENTES'!D:D,'RESUMEN CLIENTES'!AA:AA)</f>
        <v>A1.1</v>
      </c>
      <c r="T377" s="680" t="str">
        <f>+_xlfn.XLOOKUP(Tabla4[[#This Row],[ID CLIENTE]],'RESUMEN CLIENTES'!D:D,'RESUMEN CLIENTES'!C:C)</f>
        <v>Perú</v>
      </c>
    </row>
    <row r="378" spans="1:20" ht="16">
      <c r="A378" s="82">
        <v>45905</v>
      </c>
      <c r="B378" s="82" t="str">
        <f>+_xlfn.XLOOKUP(Tabla4[[#This Row],[ID CLIENTE]],'RESUMEN CLIENTES'!D:D,'RESUMEN CLIENTES'!A:A)</f>
        <v>Alejandra Leva Vallejo</v>
      </c>
      <c r="C378" s="83" t="s">
        <v>2178</v>
      </c>
      <c r="D378" s="83" t="s">
        <v>165</v>
      </c>
      <c r="E378" s="83" t="s">
        <v>862</v>
      </c>
      <c r="F378" s="83" t="s">
        <v>863</v>
      </c>
      <c r="G378" s="84">
        <v>1000</v>
      </c>
      <c r="H378" s="85">
        <v>-32.75</v>
      </c>
      <c r="I378" s="86">
        <f t="shared" si="12"/>
        <v>3.2750000000000001E-2</v>
      </c>
      <c r="J378" s="87">
        <f t="shared" si="13"/>
        <v>967.25</v>
      </c>
      <c r="K378" s="87"/>
      <c r="L378" s="87" t="s">
        <v>4672</v>
      </c>
      <c r="M378" s="87"/>
      <c r="N378" s="521"/>
      <c r="O378" s="521">
        <f>+Tabla4[[#This Row],[PAGO NO EURO]]+Tabla4[[#This Row],[CARGO NO EURO]]</f>
        <v>0</v>
      </c>
      <c r="P378" s="521"/>
      <c r="Q378" s="88"/>
      <c r="R378" s="689">
        <f>+_xlfn.XLOOKUP(Tabla4[[#This Row],[ID CLIENTE]],'RESUMEN CLIENTES'!D:D,'RESUMEN CLIENTES'!G:G)</f>
        <v>45762</v>
      </c>
      <c r="S378" s="88" t="str">
        <f>+_xlfn.XLOOKUP(Tabla4[[#This Row],[ID CLIENTE]],'RESUMEN CLIENTES'!D:D,'RESUMEN CLIENTES'!AA:AA)</f>
        <v>A1.1</v>
      </c>
      <c r="T378" s="680" t="str">
        <f>+_xlfn.XLOOKUP(Tabla4[[#This Row],[ID CLIENTE]],'RESUMEN CLIENTES'!D:D,'RESUMEN CLIENTES'!C:C)</f>
        <v>México</v>
      </c>
    </row>
    <row r="379" spans="1:20" ht="16">
      <c r="A379" s="82">
        <v>45905</v>
      </c>
      <c r="B379" s="82" t="str">
        <f>+_xlfn.XLOOKUP(Tabla4[[#This Row],[ID CLIENTE]],'RESUMEN CLIENTES'!D:D,'RESUMEN CLIENTES'!A:A)</f>
        <v>Bernardita Lobo Zegers</v>
      </c>
      <c r="C379" s="83" t="s">
        <v>2202</v>
      </c>
      <c r="D379" s="83" t="s">
        <v>203</v>
      </c>
      <c r="E379" s="83" t="s">
        <v>864</v>
      </c>
      <c r="F379" s="83" t="s">
        <v>865</v>
      </c>
      <c r="G379" s="84">
        <v>1000</v>
      </c>
      <c r="H379" s="85">
        <v>-32.75</v>
      </c>
      <c r="I379" s="86">
        <f t="shared" si="12"/>
        <v>3.2750000000000001E-2</v>
      </c>
      <c r="J379" s="87">
        <f t="shared" si="13"/>
        <v>967.25</v>
      </c>
      <c r="K379" s="87"/>
      <c r="L379" s="87" t="s">
        <v>4672</v>
      </c>
      <c r="M379" s="87"/>
      <c r="N379" s="521"/>
      <c r="O379" s="521">
        <f>+Tabla4[[#This Row],[PAGO NO EURO]]+Tabla4[[#This Row],[CARGO NO EURO]]</f>
        <v>0</v>
      </c>
      <c r="P379" s="521"/>
      <c r="Q379" s="88"/>
      <c r="R379" s="689">
        <f>+_xlfn.XLOOKUP(Tabla4[[#This Row],[ID CLIENTE]],'RESUMEN CLIENTES'!D:D,'RESUMEN CLIENTES'!G:G)</f>
        <v>45779</v>
      </c>
      <c r="S379" s="88" t="str">
        <f>+_xlfn.XLOOKUP(Tabla4[[#This Row],[ID CLIENTE]],'RESUMEN CLIENTES'!D:D,'RESUMEN CLIENTES'!AA:AA)</f>
        <v>A1.1</v>
      </c>
      <c r="T379" s="680" t="str">
        <f>+_xlfn.XLOOKUP(Tabla4[[#This Row],[ID CLIENTE]],'RESUMEN CLIENTES'!D:D,'RESUMEN CLIENTES'!C:C)</f>
        <v>México</v>
      </c>
    </row>
    <row r="380" spans="1:20" ht="16">
      <c r="A380" s="82">
        <v>45905</v>
      </c>
      <c r="B380" s="82" t="str">
        <f>+_xlfn.XLOOKUP(Tabla4[[#This Row],[ID CLIENTE]],'RESUMEN CLIENTES'!D:D,'RESUMEN CLIENTES'!A:A)</f>
        <v>Caren Alvarez Maciel</v>
      </c>
      <c r="C380" s="83" t="s">
        <v>2385</v>
      </c>
      <c r="D380" s="83" t="s">
        <v>773</v>
      </c>
      <c r="E380" s="83" t="s">
        <v>835</v>
      </c>
      <c r="F380" s="83" t="s">
        <v>836</v>
      </c>
      <c r="G380" s="84">
        <v>1735</v>
      </c>
      <c r="H380" s="85">
        <v>-5</v>
      </c>
      <c r="I380" s="86">
        <f t="shared" si="12"/>
        <v>2.881844380403458E-3</v>
      </c>
      <c r="J380" s="87">
        <f t="shared" si="13"/>
        <v>1730</v>
      </c>
      <c r="K380" s="87"/>
      <c r="L380" s="87" t="s">
        <v>4672</v>
      </c>
      <c r="M380" s="87"/>
      <c r="N380" s="521"/>
      <c r="O380" s="521">
        <f>+Tabla4[[#This Row],[PAGO NO EURO]]+Tabla4[[#This Row],[CARGO NO EURO]]</f>
        <v>0</v>
      </c>
      <c r="P380" s="521"/>
      <c r="Q380" s="88"/>
      <c r="R380" s="689">
        <f>+_xlfn.XLOOKUP(Tabla4[[#This Row],[ID CLIENTE]],'RESUMEN CLIENTES'!D:D,'RESUMEN CLIENTES'!G:G)</f>
        <v>45899</v>
      </c>
      <c r="S380" s="88" t="str">
        <f>+_xlfn.XLOOKUP(Tabla4[[#This Row],[ID CLIENTE]],'RESUMEN CLIENTES'!D:D,'RESUMEN CLIENTES'!AA:AA)</f>
        <v>null</v>
      </c>
      <c r="T380" s="680" t="str">
        <f>+_xlfn.XLOOKUP(Tabla4[[#This Row],[ID CLIENTE]],'RESUMEN CLIENTES'!D:D,'RESUMEN CLIENTES'!C:C)</f>
        <v>Uruguay</v>
      </c>
    </row>
    <row r="381" spans="1:20" ht="16">
      <c r="A381" s="82">
        <v>45905</v>
      </c>
      <c r="B381" s="82" t="str">
        <f>+_xlfn.XLOOKUP(Tabla4[[#This Row],[ID CLIENTE]],'RESUMEN CLIENTES'!D:D,'RESUMEN CLIENTES'!A:A)</f>
        <v xml:space="preserve">Catalina Ochoa Urrutia
</v>
      </c>
      <c r="C381" s="83" t="s">
        <v>2180</v>
      </c>
      <c r="D381" s="83" t="s">
        <v>168</v>
      </c>
      <c r="E381" s="83" t="s">
        <v>868</v>
      </c>
      <c r="F381" s="83" t="s">
        <v>869</v>
      </c>
      <c r="G381" s="84">
        <v>1500</v>
      </c>
      <c r="H381" s="85">
        <v>-49</v>
      </c>
      <c r="I381" s="86">
        <f t="shared" si="12"/>
        <v>3.2666666666666663E-2</v>
      </c>
      <c r="J381" s="87">
        <f t="shared" si="13"/>
        <v>1451</v>
      </c>
      <c r="K381" s="87"/>
      <c r="L381" s="87" t="s">
        <v>4672</v>
      </c>
      <c r="M381" s="87"/>
      <c r="N381" s="521"/>
      <c r="O381" s="521">
        <f>+Tabla4[[#This Row],[PAGO NO EURO]]+Tabla4[[#This Row],[CARGO NO EURO]]</f>
        <v>0</v>
      </c>
      <c r="P381" s="521"/>
      <c r="Q381" s="88"/>
      <c r="R381" s="689">
        <f>+_xlfn.XLOOKUP(Tabla4[[#This Row],[ID CLIENTE]],'RESUMEN CLIENTES'!D:D,'RESUMEN CLIENTES'!G:G)</f>
        <v>45762</v>
      </c>
      <c r="S381" s="88" t="str">
        <f>+_xlfn.XLOOKUP(Tabla4[[#This Row],[ID CLIENTE]],'RESUMEN CLIENTES'!D:D,'RESUMEN CLIENTES'!AA:AA)</f>
        <v>B2.1</v>
      </c>
      <c r="T381" s="680" t="str">
        <f>+_xlfn.XLOOKUP(Tabla4[[#This Row],[ID CLIENTE]],'RESUMEN CLIENTES'!D:D,'RESUMEN CLIENTES'!C:C)</f>
        <v>Chile</v>
      </c>
    </row>
    <row r="382" spans="1:20" ht="16">
      <c r="A382" s="82">
        <v>45905</v>
      </c>
      <c r="B382" s="82" t="str">
        <f>+_xlfn.XLOOKUP(Tabla4[[#This Row],[ID CLIENTE]],'RESUMEN CLIENTES'!D:D,'RESUMEN CLIENTES'!A:A)</f>
        <v>Dinorah Gómez Castellanos</v>
      </c>
      <c r="C382" s="83" t="s">
        <v>2168</v>
      </c>
      <c r="D382" s="83" t="s">
        <v>194</v>
      </c>
      <c r="E382" s="83" t="s">
        <v>872</v>
      </c>
      <c r="F382" s="83" t="s">
        <v>873</v>
      </c>
      <c r="G382" s="84">
        <v>800</v>
      </c>
      <c r="H382" s="85">
        <v>-26.25</v>
      </c>
      <c r="I382" s="86">
        <f t="shared" si="12"/>
        <v>3.2812500000000001E-2</v>
      </c>
      <c r="J382" s="87">
        <f t="shared" si="13"/>
        <v>773.75</v>
      </c>
      <c r="K382" s="87"/>
      <c r="L382" s="87" t="s">
        <v>4672</v>
      </c>
      <c r="M382" s="87"/>
      <c r="N382" s="521"/>
      <c r="O382" s="521">
        <f>+Tabla4[[#This Row],[PAGO NO EURO]]+Tabla4[[#This Row],[CARGO NO EURO]]</f>
        <v>0</v>
      </c>
      <c r="P382" s="521"/>
      <c r="Q382" s="88"/>
      <c r="R382" s="689">
        <f>+_xlfn.XLOOKUP(Tabla4[[#This Row],[ID CLIENTE]],'RESUMEN CLIENTES'!D:D,'RESUMEN CLIENTES'!G:G)</f>
        <v>45757</v>
      </c>
      <c r="S382" s="88" t="str">
        <f>+_xlfn.XLOOKUP(Tabla4[[#This Row],[ID CLIENTE]],'RESUMEN CLIENTES'!D:D,'RESUMEN CLIENTES'!AA:AA)</f>
        <v>B2.1</v>
      </c>
      <c r="T382" s="680" t="str">
        <f>+_xlfn.XLOOKUP(Tabla4[[#This Row],[ID CLIENTE]],'RESUMEN CLIENTES'!D:D,'RESUMEN CLIENTES'!C:C)</f>
        <v>México</v>
      </c>
    </row>
    <row r="383" spans="1:20" ht="16">
      <c r="A383" s="82">
        <v>45905</v>
      </c>
      <c r="B383" s="82" t="str">
        <f>+_xlfn.XLOOKUP(Tabla4[[#This Row],[ID CLIENTE]],'RESUMEN CLIENTES'!D:D,'RESUMEN CLIENTES'!A:A)</f>
        <v>Gaspar Arturo Alvarez Garcia</v>
      </c>
      <c r="C383" s="83" t="s">
        <v>2398</v>
      </c>
      <c r="D383" s="83" t="s">
        <v>846</v>
      </c>
      <c r="E383" s="83" t="s">
        <v>874</v>
      </c>
      <c r="F383" s="83" t="s">
        <v>875</v>
      </c>
      <c r="G383" s="84">
        <v>1750</v>
      </c>
      <c r="H383" s="85">
        <v>-57.13</v>
      </c>
      <c r="I383" s="86">
        <f t="shared" si="12"/>
        <v>3.2645714285714285E-2</v>
      </c>
      <c r="J383" s="87">
        <f t="shared" si="13"/>
        <v>1692.87</v>
      </c>
      <c r="K383" s="87"/>
      <c r="L383" s="87" t="s">
        <v>4672</v>
      </c>
      <c r="M383" s="87"/>
      <c r="N383" s="521"/>
      <c r="O383" s="521">
        <f>+Tabla4[[#This Row],[PAGO NO EURO]]+Tabla4[[#This Row],[CARGO NO EURO]]</f>
        <v>0</v>
      </c>
      <c r="P383" s="521"/>
      <c r="Q383" s="88"/>
      <c r="R383" s="689">
        <f>+_xlfn.XLOOKUP(Tabla4[[#This Row],[ID CLIENTE]],'RESUMEN CLIENTES'!D:D,'RESUMEN CLIENTES'!G:G)</f>
        <v>45903</v>
      </c>
      <c r="S383" s="88" t="str">
        <f>+_xlfn.XLOOKUP(Tabla4[[#This Row],[ID CLIENTE]],'RESUMEN CLIENTES'!D:D,'RESUMEN CLIENTES'!AA:AA)</f>
        <v>A1.1</v>
      </c>
      <c r="T383" s="680" t="str">
        <f>+_xlfn.XLOOKUP(Tabla4[[#This Row],[ID CLIENTE]],'RESUMEN CLIENTES'!D:D,'RESUMEN CLIENTES'!C:C)</f>
        <v>Chile</v>
      </c>
    </row>
    <row r="384" spans="1:20" ht="16">
      <c r="A384" s="82">
        <v>45905</v>
      </c>
      <c r="B384" s="82" t="str">
        <f>+_xlfn.XLOOKUP(Tabla4[[#This Row],[ID CLIENTE]],'RESUMEN CLIENTES'!D:D,'RESUMEN CLIENTES'!A:A)</f>
        <v>Guillermo Alfonso Garvalena Gaxiola</v>
      </c>
      <c r="C384" s="83" t="s">
        <v>2176</v>
      </c>
      <c r="D384" s="83" t="s">
        <v>171</v>
      </c>
      <c r="E384" s="83" t="s">
        <v>878</v>
      </c>
      <c r="F384" s="83" t="s">
        <v>879</v>
      </c>
      <c r="G384" s="84">
        <v>500</v>
      </c>
      <c r="H384" s="85">
        <v>-16.5</v>
      </c>
      <c r="I384" s="86">
        <f t="shared" si="12"/>
        <v>3.3000000000000002E-2</v>
      </c>
      <c r="J384" s="87">
        <f t="shared" si="13"/>
        <v>483.5</v>
      </c>
      <c r="K384" s="87"/>
      <c r="L384" s="87" t="s">
        <v>4672</v>
      </c>
      <c r="M384" s="87"/>
      <c r="N384" s="521"/>
      <c r="O384" s="521">
        <f>+Tabla4[[#This Row],[PAGO NO EURO]]+Tabla4[[#This Row],[CARGO NO EURO]]</f>
        <v>0</v>
      </c>
      <c r="P384" s="521"/>
      <c r="Q384" s="88"/>
      <c r="R384" s="689">
        <f>+_xlfn.XLOOKUP(Tabla4[[#This Row],[ID CLIENTE]],'RESUMEN CLIENTES'!D:D,'RESUMEN CLIENTES'!G:G)</f>
        <v>45762</v>
      </c>
      <c r="S384" s="88" t="str">
        <f>+_xlfn.XLOOKUP(Tabla4[[#This Row],[ID CLIENTE]],'RESUMEN CLIENTES'!D:D,'RESUMEN CLIENTES'!AA:AA)</f>
        <v>A2.1</v>
      </c>
      <c r="T384" s="680" t="str">
        <f>+_xlfn.XLOOKUP(Tabla4[[#This Row],[ID CLIENTE]],'RESUMEN CLIENTES'!D:D,'RESUMEN CLIENTES'!C:C)</f>
        <v>México</v>
      </c>
    </row>
    <row r="385" spans="1:20" ht="16">
      <c r="A385" s="82">
        <v>45905</v>
      </c>
      <c r="B385" s="82" t="str">
        <f>+_xlfn.XLOOKUP(Tabla4[[#This Row],[ID CLIENTE]],'RESUMEN CLIENTES'!D:D,'RESUMEN CLIENTES'!A:A)</f>
        <v>Guillermo Alfonso Garvalena Gaxiola</v>
      </c>
      <c r="C385" s="83" t="s">
        <v>2176</v>
      </c>
      <c r="D385" s="83" t="s">
        <v>171</v>
      </c>
      <c r="E385" s="83" t="s">
        <v>876</v>
      </c>
      <c r="F385" s="83" t="s">
        <v>877</v>
      </c>
      <c r="G385" s="84">
        <v>200</v>
      </c>
      <c r="H385" s="85">
        <v>-6.75</v>
      </c>
      <c r="I385" s="86">
        <f t="shared" si="12"/>
        <v>3.3750000000000002E-2</v>
      </c>
      <c r="J385" s="87">
        <f t="shared" si="13"/>
        <v>193.25</v>
      </c>
      <c r="K385" s="87"/>
      <c r="L385" s="87" t="s">
        <v>4672</v>
      </c>
      <c r="M385" s="87"/>
      <c r="N385" s="521"/>
      <c r="O385" s="521">
        <f>+Tabla4[[#This Row],[PAGO NO EURO]]+Tabla4[[#This Row],[CARGO NO EURO]]</f>
        <v>0</v>
      </c>
      <c r="P385" s="521"/>
      <c r="Q385" s="88"/>
      <c r="R385" s="689">
        <f>+_xlfn.XLOOKUP(Tabla4[[#This Row],[ID CLIENTE]],'RESUMEN CLIENTES'!D:D,'RESUMEN CLIENTES'!G:G)</f>
        <v>45762</v>
      </c>
      <c r="S385" s="88" t="str">
        <f>+_xlfn.XLOOKUP(Tabla4[[#This Row],[ID CLIENTE]],'RESUMEN CLIENTES'!D:D,'RESUMEN CLIENTES'!AA:AA)</f>
        <v>A2.1</v>
      </c>
      <c r="T385" s="680" t="str">
        <f>+_xlfn.XLOOKUP(Tabla4[[#This Row],[ID CLIENTE]],'RESUMEN CLIENTES'!D:D,'RESUMEN CLIENTES'!C:C)</f>
        <v>México</v>
      </c>
    </row>
    <row r="386" spans="1:20" ht="16">
      <c r="A386" s="82">
        <v>45905</v>
      </c>
      <c r="B386" s="82" t="str">
        <f>+_xlfn.XLOOKUP(Tabla4[[#This Row],[ID CLIENTE]],'RESUMEN CLIENTES'!D:D,'RESUMEN CLIENTES'!A:A)</f>
        <v>Jean Karlo Cacheux Estibuarte</v>
      </c>
      <c r="C386" s="83" t="s">
        <v>2402</v>
      </c>
      <c r="D386" s="83" t="s">
        <v>882</v>
      </c>
      <c r="E386" s="83" t="s">
        <v>883</v>
      </c>
      <c r="F386" s="83" t="s">
        <v>884</v>
      </c>
      <c r="G386" s="84">
        <v>1250</v>
      </c>
      <c r="H386" s="85">
        <v>-40.880000000000003</v>
      </c>
      <c r="I386" s="86">
        <f t="shared" si="12"/>
        <v>3.2704000000000004E-2</v>
      </c>
      <c r="J386" s="87">
        <f t="shared" si="13"/>
        <v>1209.1199999999999</v>
      </c>
      <c r="K386" s="87"/>
      <c r="L386" s="87" t="s">
        <v>4672</v>
      </c>
      <c r="M386" s="87"/>
      <c r="N386" s="521"/>
      <c r="O386" s="521">
        <f>+Tabla4[[#This Row],[PAGO NO EURO]]+Tabla4[[#This Row],[CARGO NO EURO]]</f>
        <v>0</v>
      </c>
      <c r="P386" s="521"/>
      <c r="Q386" s="88"/>
      <c r="R386" s="689">
        <f>+_xlfn.XLOOKUP(Tabla4[[#This Row],[ID CLIENTE]],'RESUMEN CLIENTES'!D:D,'RESUMEN CLIENTES'!G:G)</f>
        <v>45905</v>
      </c>
      <c r="S386" s="88" t="str">
        <f>+_xlfn.XLOOKUP(Tabla4[[#This Row],[ID CLIENTE]],'RESUMEN CLIENTES'!D:D,'RESUMEN CLIENTES'!AA:AA)</f>
        <v>null</v>
      </c>
      <c r="T386" s="680" t="str">
        <f>+_xlfn.XLOOKUP(Tabla4[[#This Row],[ID CLIENTE]],'RESUMEN CLIENTES'!D:D,'RESUMEN CLIENTES'!C:C)</f>
        <v>México</v>
      </c>
    </row>
    <row r="387" spans="1:20" ht="16">
      <c r="A387" s="82">
        <v>45905</v>
      </c>
      <c r="B387" s="82" t="str">
        <f>+_xlfn.XLOOKUP(Tabla4[[#This Row],[ID CLIENTE]],'RESUMEN CLIENTES'!D:D,'RESUMEN CLIENTES'!A:A)</f>
        <v>Jordan Eliecer Toledo Bravo</v>
      </c>
      <c r="C387" s="83" t="s">
        <v>2158</v>
      </c>
      <c r="D387" s="83" t="s">
        <v>142</v>
      </c>
      <c r="E387" s="83" t="s">
        <v>885</v>
      </c>
      <c r="F387" s="83" t="s">
        <v>886</v>
      </c>
      <c r="G387" s="84">
        <v>500</v>
      </c>
      <c r="H387" s="85">
        <v>-16.5</v>
      </c>
      <c r="I387" s="86">
        <f t="shared" si="12"/>
        <v>3.3000000000000002E-2</v>
      </c>
      <c r="J387" s="87">
        <f t="shared" si="13"/>
        <v>483.5</v>
      </c>
      <c r="K387" s="87"/>
      <c r="L387" s="87" t="s">
        <v>4672</v>
      </c>
      <c r="M387" s="87"/>
      <c r="N387" s="521"/>
      <c r="O387" s="521">
        <f>+Tabla4[[#This Row],[PAGO NO EURO]]+Tabla4[[#This Row],[CARGO NO EURO]]</f>
        <v>0</v>
      </c>
      <c r="P387" s="521"/>
      <c r="Q387" s="88"/>
      <c r="R387" s="689">
        <f>+_xlfn.XLOOKUP(Tabla4[[#This Row],[ID CLIENTE]],'RESUMEN CLIENTES'!D:D,'RESUMEN CLIENTES'!G:G)</f>
        <v>45748</v>
      </c>
      <c r="S387" s="88" t="str">
        <f>+_xlfn.XLOOKUP(Tabla4[[#This Row],[ID CLIENTE]],'RESUMEN CLIENTES'!D:D,'RESUMEN CLIENTES'!AA:AA)</f>
        <v>A1.1</v>
      </c>
      <c r="T387" s="680" t="str">
        <f>+_xlfn.XLOOKUP(Tabla4[[#This Row],[ID CLIENTE]],'RESUMEN CLIENTES'!D:D,'RESUMEN CLIENTES'!C:C)</f>
        <v>Chile</v>
      </c>
    </row>
    <row r="388" spans="1:20" ht="16">
      <c r="A388" s="82">
        <v>45905</v>
      </c>
      <c r="B388" s="82" t="str">
        <f>+_xlfn.XLOOKUP(Tabla4[[#This Row],[ID CLIENTE]],'RESUMEN CLIENTES'!D:D,'RESUMEN CLIENTES'!A:A)</f>
        <v>Marco Tulio Negrete Aceves</v>
      </c>
      <c r="C388" s="83" t="s">
        <v>2166</v>
      </c>
      <c r="D388" s="83" t="s">
        <v>188</v>
      </c>
      <c r="E388" s="83" t="s">
        <v>887</v>
      </c>
      <c r="F388" s="83" t="s">
        <v>888</v>
      </c>
      <c r="G388" s="84">
        <v>300</v>
      </c>
      <c r="H388" s="85">
        <v>-10</v>
      </c>
      <c r="I388" s="86">
        <f t="shared" si="12"/>
        <v>3.3333333333333333E-2</v>
      </c>
      <c r="J388" s="87">
        <f t="shared" si="13"/>
        <v>290</v>
      </c>
      <c r="K388" s="87"/>
      <c r="L388" s="87" t="s">
        <v>4672</v>
      </c>
      <c r="M388" s="87"/>
      <c r="N388" s="521"/>
      <c r="O388" s="521">
        <f>+Tabla4[[#This Row],[PAGO NO EURO]]+Tabla4[[#This Row],[CARGO NO EURO]]</f>
        <v>0</v>
      </c>
      <c r="P388" s="521"/>
      <c r="Q388" s="88"/>
      <c r="R388" s="689">
        <f>+_xlfn.XLOOKUP(Tabla4[[#This Row],[ID CLIENTE]],'RESUMEN CLIENTES'!D:D,'RESUMEN CLIENTES'!G:G)</f>
        <v>45757</v>
      </c>
      <c r="S388" s="88" t="str">
        <f>+_xlfn.XLOOKUP(Tabla4[[#This Row],[ID CLIENTE]],'RESUMEN CLIENTES'!D:D,'RESUMEN CLIENTES'!AA:AA)</f>
        <v>B2.1</v>
      </c>
      <c r="T388" s="680" t="str">
        <f>+_xlfn.XLOOKUP(Tabla4[[#This Row],[ID CLIENTE]],'RESUMEN CLIENTES'!D:D,'RESUMEN CLIENTES'!C:C)</f>
        <v>México</v>
      </c>
    </row>
    <row r="389" spans="1:20" ht="16">
      <c r="A389" s="82">
        <v>45905</v>
      </c>
      <c r="B389" s="82" t="str">
        <f>+_xlfn.XLOOKUP(Tabla4[[#This Row],[ID CLIENTE]],'RESUMEN CLIENTES'!D:D,'RESUMEN CLIENTES'!A:A)</f>
        <v>María Fernanda Alvar Sepúlveda</v>
      </c>
      <c r="C389" s="83" t="s">
        <v>2123</v>
      </c>
      <c r="D389" s="83" t="s">
        <v>80</v>
      </c>
      <c r="E389" s="83" t="s">
        <v>889</v>
      </c>
      <c r="F389" s="83" t="s">
        <v>890</v>
      </c>
      <c r="G389" s="84">
        <f>+Tabla4[[#This Row],[AUXILIAR]]*Tabla4[[#This Row],[CAMBIO]]</f>
        <v>527.65343722243233</v>
      </c>
      <c r="H389" s="85">
        <v>0</v>
      </c>
      <c r="I389" s="86">
        <f t="shared" si="12"/>
        <v>0</v>
      </c>
      <c r="J389" s="87">
        <f t="shared" si="13"/>
        <v>527.65343722243233</v>
      </c>
      <c r="K389" s="87" t="s">
        <v>4677</v>
      </c>
      <c r="L389" s="87" t="s">
        <v>4675</v>
      </c>
      <c r="M389" s="87" t="s">
        <v>2543</v>
      </c>
      <c r="N389" s="521">
        <v>600000</v>
      </c>
      <c r="O389" s="521">
        <f>+Tabla4[[#This Row],[PAGO NO EURO]]+Tabla4[[#This Row],[CARGO NO EURO]]</f>
        <v>600000</v>
      </c>
      <c r="P389" s="521"/>
      <c r="Q389" s="88">
        <v>8.7942239537072058E-4</v>
      </c>
      <c r="R389" s="689">
        <f>+_xlfn.XLOOKUP(Tabla4[[#This Row],[ID CLIENTE]],'RESUMEN CLIENTES'!D:D,'RESUMEN CLIENTES'!G:G)</f>
        <v>45684</v>
      </c>
      <c r="S389" s="88" t="str">
        <f>+_xlfn.XLOOKUP(Tabla4[[#This Row],[ID CLIENTE]],'RESUMEN CLIENTES'!D:D,'RESUMEN CLIENTES'!AA:AA)</f>
        <v>A1.1</v>
      </c>
      <c r="T389" s="680" t="str">
        <f>+_xlfn.XLOOKUP(Tabla4[[#This Row],[ID CLIENTE]],'RESUMEN CLIENTES'!D:D,'RESUMEN CLIENTES'!C:C)</f>
        <v>Chile</v>
      </c>
    </row>
    <row r="390" spans="1:20" ht="16">
      <c r="A390" s="82">
        <v>45905</v>
      </c>
      <c r="B390" s="82" t="str">
        <f>+_xlfn.XLOOKUP(Tabla4[[#This Row],[ID CLIENTE]],'RESUMEN CLIENTES'!D:D,'RESUMEN CLIENTES'!A:A)</f>
        <v>Moira Millaray Schneider Rivera</v>
      </c>
      <c r="C390" s="83" t="s">
        <v>2147</v>
      </c>
      <c r="D390" s="83" t="s">
        <v>129</v>
      </c>
      <c r="E390" s="83" t="s">
        <v>891</v>
      </c>
      <c r="F390" s="83" t="s">
        <v>892</v>
      </c>
      <c r="G390" s="84">
        <v>1000</v>
      </c>
      <c r="H390" s="85">
        <v>-32.75</v>
      </c>
      <c r="I390" s="86">
        <f t="shared" si="12"/>
        <v>3.2750000000000001E-2</v>
      </c>
      <c r="J390" s="87">
        <f t="shared" si="13"/>
        <v>967.25</v>
      </c>
      <c r="K390" s="87"/>
      <c r="L390" s="87" t="s">
        <v>4672</v>
      </c>
      <c r="M390" s="87"/>
      <c r="N390" s="521"/>
      <c r="O390" s="521">
        <f>+Tabla4[[#This Row],[PAGO NO EURO]]+Tabla4[[#This Row],[CARGO NO EURO]]</f>
        <v>0</v>
      </c>
      <c r="P390" s="521"/>
      <c r="Q390" s="88"/>
      <c r="R390" s="689">
        <f>+_xlfn.XLOOKUP(Tabla4[[#This Row],[ID CLIENTE]],'RESUMEN CLIENTES'!D:D,'RESUMEN CLIENTES'!G:G)</f>
        <v>45740</v>
      </c>
      <c r="S390" s="88" t="str">
        <f>+_xlfn.XLOOKUP(Tabla4[[#This Row],[ID CLIENTE]],'RESUMEN CLIENTES'!D:D,'RESUMEN CLIENTES'!AA:AA)</f>
        <v>null</v>
      </c>
      <c r="T390" s="680" t="str">
        <f>+_xlfn.XLOOKUP(Tabla4[[#This Row],[ID CLIENTE]],'RESUMEN CLIENTES'!D:D,'RESUMEN CLIENTES'!C:C)</f>
        <v>Chile</v>
      </c>
    </row>
    <row r="391" spans="1:20" ht="16">
      <c r="A391" s="82">
        <v>45905</v>
      </c>
      <c r="B391" s="82" t="str">
        <f>+_xlfn.XLOOKUP(Tabla4[[#This Row],[ID CLIENTE]],'RESUMEN CLIENTES'!D:D,'RESUMEN CLIENTES'!A:A)</f>
        <v>Paula Ida Elisa Saris Sommer</v>
      </c>
      <c r="C391" s="83" t="s">
        <v>2400</v>
      </c>
      <c r="D391" s="83" t="s">
        <v>855</v>
      </c>
      <c r="E391" s="83" t="s">
        <v>893</v>
      </c>
      <c r="F391" s="83" t="s">
        <v>894</v>
      </c>
      <c r="G391" s="84">
        <v>500</v>
      </c>
      <c r="H391" s="85">
        <v>-16.5</v>
      </c>
      <c r="I391" s="86">
        <f t="shared" si="12"/>
        <v>3.3000000000000002E-2</v>
      </c>
      <c r="J391" s="87">
        <f t="shared" si="13"/>
        <v>483.5</v>
      </c>
      <c r="K391" s="87"/>
      <c r="L391" s="87" t="s">
        <v>4672</v>
      </c>
      <c r="M391" s="87"/>
      <c r="N391" s="521"/>
      <c r="O391" s="521">
        <f>+Tabla4[[#This Row],[PAGO NO EURO]]+Tabla4[[#This Row],[CARGO NO EURO]]</f>
        <v>0</v>
      </c>
      <c r="P391" s="521"/>
      <c r="Q391" s="88"/>
      <c r="R391" s="689">
        <f>+_xlfn.XLOOKUP(Tabla4[[#This Row],[ID CLIENTE]],'RESUMEN CLIENTES'!D:D,'RESUMEN CLIENTES'!G:G)</f>
        <v>45904</v>
      </c>
      <c r="S391" s="88" t="str">
        <f>+_xlfn.XLOOKUP(Tabla4[[#This Row],[ID CLIENTE]],'RESUMEN CLIENTES'!D:D,'RESUMEN CLIENTES'!AA:AA)</f>
        <v>A2.1</v>
      </c>
      <c r="T391" s="680" t="str">
        <f>+_xlfn.XLOOKUP(Tabla4[[#This Row],[ID CLIENTE]],'RESUMEN CLIENTES'!D:D,'RESUMEN CLIENTES'!C:C)</f>
        <v>Argentina</v>
      </c>
    </row>
    <row r="392" spans="1:20" ht="16">
      <c r="A392" s="82">
        <v>45905</v>
      </c>
      <c r="B392" s="82" t="str">
        <f>+_xlfn.XLOOKUP(Tabla4[[#This Row],[ID CLIENTE]],'RESUMEN CLIENTES'!D:D,'RESUMEN CLIENTES'!A:A)</f>
        <v>Rodrigo Rivera Ruiz</v>
      </c>
      <c r="C392" s="83" t="s">
        <v>2170</v>
      </c>
      <c r="D392" s="83" t="s">
        <v>159</v>
      </c>
      <c r="E392" s="83" t="s">
        <v>895</v>
      </c>
      <c r="F392" s="83" t="s">
        <v>896</v>
      </c>
      <c r="G392" s="84">
        <v>1500</v>
      </c>
      <c r="H392" s="85">
        <v>-49</v>
      </c>
      <c r="I392" s="86">
        <f t="shared" si="12"/>
        <v>3.2666666666666663E-2</v>
      </c>
      <c r="J392" s="87">
        <f t="shared" si="13"/>
        <v>1451</v>
      </c>
      <c r="K392" s="87"/>
      <c r="L392" s="87" t="s">
        <v>4672</v>
      </c>
      <c r="M392" s="87"/>
      <c r="N392" s="521"/>
      <c r="O392" s="521">
        <f>+Tabla4[[#This Row],[PAGO NO EURO]]+Tabla4[[#This Row],[CARGO NO EURO]]</f>
        <v>0</v>
      </c>
      <c r="P392" s="521"/>
      <c r="Q392" s="88"/>
      <c r="R392" s="689">
        <f>+_xlfn.XLOOKUP(Tabla4[[#This Row],[ID CLIENTE]],'RESUMEN CLIENTES'!D:D,'RESUMEN CLIENTES'!G:G)</f>
        <v>45757</v>
      </c>
      <c r="S392" s="88" t="str">
        <f>+_xlfn.XLOOKUP(Tabla4[[#This Row],[ID CLIENTE]],'RESUMEN CLIENTES'!D:D,'RESUMEN CLIENTES'!AA:AA)</f>
        <v>A1.1</v>
      </c>
      <c r="T392" s="680" t="str">
        <f>+_xlfn.XLOOKUP(Tabla4[[#This Row],[ID CLIENTE]],'RESUMEN CLIENTES'!D:D,'RESUMEN CLIENTES'!C:C)</f>
        <v>Chile</v>
      </c>
    </row>
    <row r="393" spans="1:20" ht="16">
      <c r="A393" s="82">
        <v>45905</v>
      </c>
      <c r="B393" s="82" t="str">
        <f>+_xlfn.XLOOKUP(Tabla4[[#This Row],[ID CLIENTE]],'RESUMEN CLIENTES'!D:D,'RESUMEN CLIENTES'!A:A)</f>
        <v>Victor Emanuel Hernández Ruíz</v>
      </c>
      <c r="C393" s="83" t="s">
        <v>2141</v>
      </c>
      <c r="D393" s="83" t="s">
        <v>112</v>
      </c>
      <c r="E393" s="83" t="s">
        <v>899</v>
      </c>
      <c r="F393" s="83" t="s">
        <v>900</v>
      </c>
      <c r="G393" s="84">
        <v>800</v>
      </c>
      <c r="H393" s="85">
        <v>-26.25</v>
      </c>
      <c r="I393" s="86">
        <f t="shared" si="12"/>
        <v>3.2812500000000001E-2</v>
      </c>
      <c r="J393" s="87">
        <f t="shared" si="13"/>
        <v>773.75</v>
      </c>
      <c r="K393" s="87"/>
      <c r="L393" s="87" t="s">
        <v>4672</v>
      </c>
      <c r="M393" s="87"/>
      <c r="N393" s="521"/>
      <c r="O393" s="521">
        <f>+Tabla4[[#This Row],[PAGO NO EURO]]+Tabla4[[#This Row],[CARGO NO EURO]]</f>
        <v>0</v>
      </c>
      <c r="P393" s="521"/>
      <c r="Q393" s="88"/>
      <c r="R393" s="689">
        <f>+_xlfn.XLOOKUP(Tabla4[[#This Row],[ID CLIENTE]],'RESUMEN CLIENTES'!D:D,'RESUMEN CLIENTES'!G:G)</f>
        <v>45735</v>
      </c>
      <c r="S393" s="88" t="str">
        <f>+_xlfn.XLOOKUP(Tabla4[[#This Row],[ID CLIENTE]],'RESUMEN CLIENTES'!D:D,'RESUMEN CLIENTES'!AA:AA)</f>
        <v>B2.1</v>
      </c>
      <c r="T393" s="680" t="str">
        <f>+_xlfn.XLOOKUP(Tabla4[[#This Row],[ID CLIENTE]],'RESUMEN CLIENTES'!D:D,'RESUMEN CLIENTES'!C:C)</f>
        <v>México</v>
      </c>
    </row>
    <row r="394" spans="1:20" ht="16">
      <c r="A394" s="82">
        <v>45905</v>
      </c>
      <c r="B394" s="82" t="str">
        <f>+_xlfn.XLOOKUP(Tabla4[[#This Row],[ID CLIENTE]],'RESUMEN CLIENTES'!D:D,'RESUMEN CLIENTES'!A:A)</f>
        <v>Yefry Onil Santana Marte</v>
      </c>
      <c r="C394" s="83" t="s">
        <v>2284</v>
      </c>
      <c r="D394" s="83" t="s">
        <v>447</v>
      </c>
      <c r="E394" s="83" t="s">
        <v>860</v>
      </c>
      <c r="F394" s="83" t="s">
        <v>861</v>
      </c>
      <c r="G394" s="84">
        <v>875</v>
      </c>
      <c r="H394" s="85">
        <v>-28.69</v>
      </c>
      <c r="I394" s="86">
        <f t="shared" si="12"/>
        <v>3.2788571428571431E-2</v>
      </c>
      <c r="J394" s="87">
        <f t="shared" si="13"/>
        <v>846.31</v>
      </c>
      <c r="K394" s="87"/>
      <c r="L394" s="87" t="s">
        <v>4672</v>
      </c>
      <c r="M394" s="87"/>
      <c r="N394" s="521"/>
      <c r="O394" s="521">
        <f>+Tabla4[[#This Row],[PAGO NO EURO]]+Tabla4[[#This Row],[CARGO NO EURO]]</f>
        <v>0</v>
      </c>
      <c r="P394" s="521"/>
      <c r="Q394" s="88"/>
      <c r="R394" s="689">
        <f>+_xlfn.XLOOKUP(Tabla4[[#This Row],[ID CLIENTE]],'RESUMEN CLIENTES'!D:D,'RESUMEN CLIENTES'!G:G)</f>
        <v>45845</v>
      </c>
      <c r="S394" s="88" t="str">
        <f>+_xlfn.XLOOKUP(Tabla4[[#This Row],[ID CLIENTE]],'RESUMEN CLIENTES'!D:D,'RESUMEN CLIENTES'!AA:AA)</f>
        <v>A1.1</v>
      </c>
      <c r="T394" s="680" t="str">
        <f>+_xlfn.XLOOKUP(Tabla4[[#This Row],[ID CLIENTE]],'RESUMEN CLIENTES'!D:D,'RESUMEN CLIENTES'!C:C)</f>
        <v>República Dominicana</v>
      </c>
    </row>
    <row r="395" spans="1:20" ht="16">
      <c r="A395" s="82">
        <v>45906</v>
      </c>
      <c r="B395" s="82" t="str">
        <f>+_xlfn.XLOOKUP(Tabla4[[#This Row],[ID CLIENTE]],'RESUMEN CLIENTES'!D:D,'RESUMEN CLIENTES'!A:A)</f>
        <v>Álvaro Sebastián García Riesco</v>
      </c>
      <c r="C395" s="83" t="s">
        <v>2410</v>
      </c>
      <c r="D395" s="83" t="s">
        <v>901</v>
      </c>
      <c r="E395" s="83" t="s">
        <v>902</v>
      </c>
      <c r="F395" s="83" t="s">
        <v>903</v>
      </c>
      <c r="G395" s="84">
        <v>2000</v>
      </c>
      <c r="H395" s="85">
        <v>-65.25</v>
      </c>
      <c r="I395" s="86">
        <f t="shared" si="12"/>
        <v>3.2625000000000001E-2</v>
      </c>
      <c r="J395" s="87">
        <f t="shared" si="13"/>
        <v>1934.75</v>
      </c>
      <c r="K395" s="87"/>
      <c r="L395" s="87" t="s">
        <v>4672</v>
      </c>
      <c r="M395" s="87"/>
      <c r="N395" s="521"/>
      <c r="O395" s="521">
        <f>+Tabla4[[#This Row],[PAGO NO EURO]]+Tabla4[[#This Row],[CARGO NO EURO]]</f>
        <v>0</v>
      </c>
      <c r="P395" s="521"/>
      <c r="Q395" s="88"/>
      <c r="R395" s="689">
        <f>+_xlfn.XLOOKUP(Tabla4[[#This Row],[ID CLIENTE]],'RESUMEN CLIENTES'!D:D,'RESUMEN CLIENTES'!G:G)</f>
        <v>45906</v>
      </c>
      <c r="S395" s="88" t="str">
        <f>+_xlfn.XLOOKUP(Tabla4[[#This Row],[ID CLIENTE]],'RESUMEN CLIENTES'!D:D,'RESUMEN CLIENTES'!AA:AA)</f>
        <v>A1.1</v>
      </c>
      <c r="T395" s="680" t="str">
        <f>+_xlfn.XLOOKUP(Tabla4[[#This Row],[ID CLIENTE]],'RESUMEN CLIENTES'!D:D,'RESUMEN CLIENTES'!C:C)</f>
        <v>Chile</v>
      </c>
    </row>
    <row r="396" spans="1:20" ht="16">
      <c r="A396" s="82">
        <v>45906</v>
      </c>
      <c r="B396" s="82" t="str">
        <f>+_xlfn.XLOOKUP(Tabla4[[#This Row],[ID CLIENTE]],'RESUMEN CLIENTES'!D:D,'RESUMEN CLIENTES'!A:A)</f>
        <v>Armando Josmarx Suárez Solis</v>
      </c>
      <c r="C396" s="83" t="s">
        <v>2408</v>
      </c>
      <c r="D396" s="83" t="s">
        <v>904</v>
      </c>
      <c r="E396" s="83" t="s">
        <v>905</v>
      </c>
      <c r="F396" s="83" t="s">
        <v>906</v>
      </c>
      <c r="G396" s="84">
        <v>250</v>
      </c>
      <c r="H396" s="85">
        <v>-8.3800000000000008</v>
      </c>
      <c r="I396" s="86">
        <f t="shared" si="12"/>
        <v>3.3520000000000001E-2</v>
      </c>
      <c r="J396" s="87">
        <f t="shared" si="13"/>
        <v>241.62</v>
      </c>
      <c r="K396" s="87"/>
      <c r="L396" s="87" t="s">
        <v>4672</v>
      </c>
      <c r="M396" s="87"/>
      <c r="N396" s="521"/>
      <c r="O396" s="521">
        <f>+Tabla4[[#This Row],[PAGO NO EURO]]+Tabla4[[#This Row],[CARGO NO EURO]]</f>
        <v>0</v>
      </c>
      <c r="P396" s="521"/>
      <c r="Q396" s="88"/>
      <c r="R396" s="689">
        <f>+_xlfn.XLOOKUP(Tabla4[[#This Row],[ID CLIENTE]],'RESUMEN CLIENTES'!D:D,'RESUMEN CLIENTES'!G:G)</f>
        <v>45906</v>
      </c>
      <c r="S396" s="88" t="str">
        <f>+_xlfn.XLOOKUP(Tabla4[[#This Row],[ID CLIENTE]],'RESUMEN CLIENTES'!D:D,'RESUMEN CLIENTES'!AA:AA)</f>
        <v>A2.1</v>
      </c>
      <c r="T396" s="680" t="str">
        <f>+_xlfn.XLOOKUP(Tabla4[[#This Row],[ID CLIENTE]],'RESUMEN CLIENTES'!D:D,'RESUMEN CLIENTES'!C:C)</f>
        <v>Nicaragua</v>
      </c>
    </row>
    <row r="397" spans="1:20" ht="16">
      <c r="A397" s="82">
        <v>45906</v>
      </c>
      <c r="B397" s="82" t="str">
        <f>+_xlfn.XLOOKUP(Tabla4[[#This Row],[ID CLIENTE]],'RESUMEN CLIENTES'!D:D,'RESUMEN CLIENTES'!A:A)</f>
        <v>Liliana Alejandra Gruezo Pérez</v>
      </c>
      <c r="C397" s="83" t="s">
        <v>2298</v>
      </c>
      <c r="D397" s="83" t="s">
        <v>484</v>
      </c>
      <c r="E397" s="83" t="s">
        <v>849</v>
      </c>
      <c r="F397" s="83" t="s">
        <v>850</v>
      </c>
      <c r="G397" s="84">
        <v>470</v>
      </c>
      <c r="H397" s="85">
        <v>-15.53</v>
      </c>
      <c r="I397" s="86">
        <f t="shared" si="12"/>
        <v>3.3042553191489361E-2</v>
      </c>
      <c r="J397" s="87">
        <f t="shared" si="13"/>
        <v>454.47</v>
      </c>
      <c r="K397" s="87"/>
      <c r="L397" s="87" t="s">
        <v>4672</v>
      </c>
      <c r="M397" s="87"/>
      <c r="N397" s="521"/>
      <c r="O397" s="521">
        <f>+Tabla4[[#This Row],[PAGO NO EURO]]+Tabla4[[#This Row],[CARGO NO EURO]]</f>
        <v>0</v>
      </c>
      <c r="P397" s="521"/>
      <c r="Q397" s="88"/>
      <c r="R397" s="689">
        <f>+_xlfn.XLOOKUP(Tabla4[[#This Row],[ID CLIENTE]],'RESUMEN CLIENTES'!D:D,'RESUMEN CLIENTES'!G:G)</f>
        <v>45852</v>
      </c>
      <c r="S397" s="88" t="str">
        <f>+_xlfn.XLOOKUP(Tabla4[[#This Row],[ID CLIENTE]],'RESUMEN CLIENTES'!D:D,'RESUMEN CLIENTES'!AA:AA)</f>
        <v>A1.2</v>
      </c>
      <c r="T397" s="680" t="str">
        <f>+_xlfn.XLOOKUP(Tabla4[[#This Row],[ID CLIENTE]],'RESUMEN CLIENTES'!D:D,'RESUMEN CLIENTES'!C:C)</f>
        <v>Ecuador</v>
      </c>
    </row>
    <row r="398" spans="1:20" ht="16">
      <c r="A398" s="82">
        <v>45906</v>
      </c>
      <c r="B398" s="82" t="str">
        <f>+_xlfn.XLOOKUP(Tabla4[[#This Row],[ID CLIENTE]],'RESUMEN CLIENTES'!D:D,'RESUMEN CLIENTES'!A:A)</f>
        <v>Luis Carlos Villa Cortés</v>
      </c>
      <c r="C398" s="83" t="s">
        <v>2406</v>
      </c>
      <c r="D398" s="83" t="s">
        <v>907</v>
      </c>
      <c r="E398" s="83" t="s">
        <v>908</v>
      </c>
      <c r="F398" s="83" t="s">
        <v>909</v>
      </c>
      <c r="G398" s="84">
        <v>250</v>
      </c>
      <c r="H398" s="85">
        <v>-8.3800000000000008</v>
      </c>
      <c r="I398" s="86">
        <f t="shared" si="12"/>
        <v>3.3520000000000001E-2</v>
      </c>
      <c r="J398" s="87">
        <f t="shared" si="13"/>
        <v>241.62</v>
      </c>
      <c r="K398" s="87"/>
      <c r="L398" s="87" t="s">
        <v>4672</v>
      </c>
      <c r="M398" s="87"/>
      <c r="N398" s="521"/>
      <c r="O398" s="521">
        <f>+Tabla4[[#This Row],[PAGO NO EURO]]+Tabla4[[#This Row],[CARGO NO EURO]]</f>
        <v>0</v>
      </c>
      <c r="P398" s="521"/>
      <c r="Q398" s="88"/>
      <c r="R398" s="689">
        <f>+_xlfn.XLOOKUP(Tabla4[[#This Row],[ID CLIENTE]],'RESUMEN CLIENTES'!D:D,'RESUMEN CLIENTES'!G:G)</f>
        <v>45906</v>
      </c>
      <c r="S398" s="88" t="str">
        <f>+_xlfn.XLOOKUP(Tabla4[[#This Row],[ID CLIENTE]],'RESUMEN CLIENTES'!D:D,'RESUMEN CLIENTES'!AA:AA)</f>
        <v>A1.1</v>
      </c>
      <c r="T398" s="680" t="str">
        <f>+_xlfn.XLOOKUP(Tabla4[[#This Row],[ID CLIENTE]],'RESUMEN CLIENTES'!D:D,'RESUMEN CLIENTES'!C:C)</f>
        <v>México</v>
      </c>
    </row>
    <row r="399" spans="1:20" ht="16">
      <c r="A399" s="82">
        <v>45906</v>
      </c>
      <c r="B399" s="82" t="str">
        <f>+_xlfn.XLOOKUP(Tabla4[[#This Row],[ID CLIENTE]],'RESUMEN CLIENTES'!D:D,'RESUMEN CLIENTES'!A:A)</f>
        <v>Miguel Angel Pretell Cabrera</v>
      </c>
      <c r="C399" s="83" t="s">
        <v>2325</v>
      </c>
      <c r="D399" s="83" t="s">
        <v>535</v>
      </c>
      <c r="E399" s="83" t="s">
        <v>840</v>
      </c>
      <c r="F399" s="83" t="s">
        <v>841</v>
      </c>
      <c r="G399" s="84">
        <v>2000</v>
      </c>
      <c r="H399" s="85">
        <v>-65.25</v>
      </c>
      <c r="I399" s="86">
        <f t="shared" si="12"/>
        <v>3.2625000000000001E-2</v>
      </c>
      <c r="J399" s="87">
        <f t="shared" si="13"/>
        <v>1934.75</v>
      </c>
      <c r="K399" s="87"/>
      <c r="L399" s="87" t="s">
        <v>4672</v>
      </c>
      <c r="M399" s="87"/>
      <c r="N399" s="521"/>
      <c r="O399" s="521">
        <f>+Tabla4[[#This Row],[PAGO NO EURO]]+Tabla4[[#This Row],[CARGO NO EURO]]</f>
        <v>0</v>
      </c>
      <c r="P399" s="521"/>
      <c r="Q399" s="88"/>
      <c r="R399" s="689">
        <f>+_xlfn.XLOOKUP(Tabla4[[#This Row],[ID CLIENTE]],'RESUMEN CLIENTES'!D:D,'RESUMEN CLIENTES'!G:G)</f>
        <v>45867</v>
      </c>
      <c r="S399" s="88" t="str">
        <f>+_xlfn.XLOOKUP(Tabla4[[#This Row],[ID CLIENTE]],'RESUMEN CLIENTES'!D:D,'RESUMEN CLIENTES'!AA:AA)</f>
        <v>null</v>
      </c>
      <c r="T399" s="680" t="str">
        <f>+_xlfn.XLOOKUP(Tabla4[[#This Row],[ID CLIENTE]],'RESUMEN CLIENTES'!D:D,'RESUMEN CLIENTES'!C:C)</f>
        <v>Perú</v>
      </c>
    </row>
    <row r="400" spans="1:20" ht="16">
      <c r="A400" s="82">
        <v>45906</v>
      </c>
      <c r="B400" s="82" t="str">
        <f>+_xlfn.XLOOKUP(Tabla4[[#This Row],[ID CLIENTE]],'RESUMEN CLIENTES'!D:D,'RESUMEN CLIENTES'!A:A)</f>
        <v>Paula Ida Elisa Saris Sommer</v>
      </c>
      <c r="C400" s="83" t="s">
        <v>2400</v>
      </c>
      <c r="D400" s="83" t="s">
        <v>855</v>
      </c>
      <c r="E400" s="83" t="s">
        <v>910</v>
      </c>
      <c r="F400" s="83" t="s">
        <v>911</v>
      </c>
      <c r="G400" s="84">
        <v>500</v>
      </c>
      <c r="H400" s="85">
        <v>-16.5</v>
      </c>
      <c r="I400" s="86">
        <f t="shared" si="12"/>
        <v>3.3000000000000002E-2</v>
      </c>
      <c r="J400" s="87">
        <f t="shared" si="13"/>
        <v>483.5</v>
      </c>
      <c r="K400" s="87"/>
      <c r="L400" s="87" t="s">
        <v>4672</v>
      </c>
      <c r="M400" s="87"/>
      <c r="N400" s="521"/>
      <c r="O400" s="521">
        <f>+Tabla4[[#This Row],[PAGO NO EURO]]+Tabla4[[#This Row],[CARGO NO EURO]]</f>
        <v>0</v>
      </c>
      <c r="P400" s="521"/>
      <c r="Q400" s="88"/>
      <c r="R400" s="689">
        <f>+_xlfn.XLOOKUP(Tabla4[[#This Row],[ID CLIENTE]],'RESUMEN CLIENTES'!D:D,'RESUMEN CLIENTES'!G:G)</f>
        <v>45904</v>
      </c>
      <c r="S400" s="88" t="str">
        <f>+_xlfn.XLOOKUP(Tabla4[[#This Row],[ID CLIENTE]],'RESUMEN CLIENTES'!D:D,'RESUMEN CLIENTES'!AA:AA)</f>
        <v>A2.1</v>
      </c>
      <c r="T400" s="680" t="str">
        <f>+_xlfn.XLOOKUP(Tabla4[[#This Row],[ID CLIENTE]],'RESUMEN CLIENTES'!D:D,'RESUMEN CLIENTES'!C:C)</f>
        <v>Argentina</v>
      </c>
    </row>
    <row r="401" spans="1:20" ht="16">
      <c r="A401" s="82">
        <v>45906</v>
      </c>
      <c r="B401" s="82" t="str">
        <f>+_xlfn.XLOOKUP(Tabla4[[#This Row],[ID CLIENTE]],'RESUMEN CLIENTES'!D:D,'RESUMEN CLIENTES'!A:A)</f>
        <v>Vanessa Villarreal Villareal</v>
      </c>
      <c r="C401" s="83" t="s">
        <v>2404</v>
      </c>
      <c r="D401" s="83" t="s">
        <v>912</v>
      </c>
      <c r="E401" s="83" t="s">
        <v>913</v>
      </c>
      <c r="F401" s="83" t="s">
        <v>914</v>
      </c>
      <c r="G401" s="84">
        <v>250</v>
      </c>
      <c r="H401" s="85">
        <v>-8.3800000000000008</v>
      </c>
      <c r="I401" s="86">
        <f t="shared" si="12"/>
        <v>3.3520000000000001E-2</v>
      </c>
      <c r="J401" s="87">
        <f t="shared" si="13"/>
        <v>241.62</v>
      </c>
      <c r="K401" s="87"/>
      <c r="L401" s="87" t="s">
        <v>4672</v>
      </c>
      <c r="M401" s="87"/>
      <c r="N401" s="521"/>
      <c r="O401" s="521">
        <f>+Tabla4[[#This Row],[PAGO NO EURO]]+Tabla4[[#This Row],[CARGO NO EURO]]</f>
        <v>0</v>
      </c>
      <c r="P401" s="521"/>
      <c r="Q401" s="88"/>
      <c r="R401" s="689">
        <f>+_xlfn.XLOOKUP(Tabla4[[#This Row],[ID CLIENTE]],'RESUMEN CLIENTES'!D:D,'RESUMEN CLIENTES'!G:G)</f>
        <v>45906</v>
      </c>
      <c r="S401" s="88" t="str">
        <f>+_xlfn.XLOOKUP(Tabla4[[#This Row],[ID CLIENTE]],'RESUMEN CLIENTES'!D:D,'RESUMEN CLIENTES'!AA:AA)</f>
        <v>A1.1</v>
      </c>
      <c r="T401" s="680" t="str">
        <f>+_xlfn.XLOOKUP(Tabla4[[#This Row],[ID CLIENTE]],'RESUMEN CLIENTES'!D:D,'RESUMEN CLIENTES'!C:C)</f>
        <v>Ecuador</v>
      </c>
    </row>
    <row r="402" spans="1:20" ht="16">
      <c r="A402" s="82">
        <v>45907</v>
      </c>
      <c r="B402" s="82" t="str">
        <f>+_xlfn.XLOOKUP(Tabla4[[#This Row],[ID CLIENTE]],'RESUMEN CLIENTES'!D:D,'RESUMEN CLIENTES'!A:A)</f>
        <v>Armando Josmarx Suárez Solis</v>
      </c>
      <c r="C402" s="83" t="s">
        <v>2408</v>
      </c>
      <c r="D402" s="83" t="s">
        <v>904</v>
      </c>
      <c r="E402" s="83" t="s">
        <v>915</v>
      </c>
      <c r="F402" s="83" t="s">
        <v>916</v>
      </c>
      <c r="G402" s="84">
        <v>250</v>
      </c>
      <c r="H402" s="85">
        <v>-8.3800000000000008</v>
      </c>
      <c r="I402" s="86">
        <f t="shared" si="12"/>
        <v>3.3520000000000001E-2</v>
      </c>
      <c r="J402" s="87">
        <f t="shared" si="13"/>
        <v>241.62</v>
      </c>
      <c r="K402" s="87"/>
      <c r="L402" s="87" t="s">
        <v>4672</v>
      </c>
      <c r="M402" s="87"/>
      <c r="N402" s="521"/>
      <c r="O402" s="521">
        <f>+Tabla4[[#This Row],[PAGO NO EURO]]+Tabla4[[#This Row],[CARGO NO EURO]]</f>
        <v>0</v>
      </c>
      <c r="P402" s="521"/>
      <c r="Q402" s="88"/>
      <c r="R402" s="689">
        <f>+_xlfn.XLOOKUP(Tabla4[[#This Row],[ID CLIENTE]],'RESUMEN CLIENTES'!D:D,'RESUMEN CLIENTES'!G:G)</f>
        <v>45906</v>
      </c>
      <c r="S402" s="88" t="str">
        <f>+_xlfn.XLOOKUP(Tabla4[[#This Row],[ID CLIENTE]],'RESUMEN CLIENTES'!D:D,'RESUMEN CLIENTES'!AA:AA)</f>
        <v>A2.1</v>
      </c>
      <c r="T402" s="680" t="str">
        <f>+_xlfn.XLOOKUP(Tabla4[[#This Row],[ID CLIENTE]],'RESUMEN CLIENTES'!D:D,'RESUMEN CLIENTES'!C:C)</f>
        <v>Nicaragua</v>
      </c>
    </row>
    <row r="403" spans="1:20" ht="16">
      <c r="A403" s="82">
        <v>45907</v>
      </c>
      <c r="B403" s="82" t="str">
        <f>+_xlfn.XLOOKUP(Tabla4[[#This Row],[ID CLIENTE]],'RESUMEN CLIENTES'!D:D,'RESUMEN CLIENTES'!A:A)</f>
        <v>Luis Carlos Villa Cortés</v>
      </c>
      <c r="C403" s="83" t="s">
        <v>2406</v>
      </c>
      <c r="D403" s="83" t="s">
        <v>907</v>
      </c>
      <c r="E403" s="83" t="s">
        <v>919</v>
      </c>
      <c r="F403" s="83" t="s">
        <v>920</v>
      </c>
      <c r="G403" s="84">
        <v>2750</v>
      </c>
      <c r="H403" s="85">
        <v>-89.63</v>
      </c>
      <c r="I403" s="86">
        <f t="shared" si="12"/>
        <v>3.2592727272727273E-2</v>
      </c>
      <c r="J403" s="87">
        <f t="shared" si="13"/>
        <v>2660.37</v>
      </c>
      <c r="K403" s="87"/>
      <c r="L403" s="87" t="s">
        <v>4672</v>
      </c>
      <c r="M403" s="87"/>
      <c r="N403" s="521"/>
      <c r="O403" s="521">
        <f>+Tabla4[[#This Row],[PAGO NO EURO]]+Tabla4[[#This Row],[CARGO NO EURO]]</f>
        <v>0</v>
      </c>
      <c r="P403" s="521"/>
      <c r="Q403" s="88"/>
      <c r="R403" s="689">
        <f>+_xlfn.XLOOKUP(Tabla4[[#This Row],[ID CLIENTE]],'RESUMEN CLIENTES'!D:D,'RESUMEN CLIENTES'!G:G)</f>
        <v>45906</v>
      </c>
      <c r="S403" s="88" t="str">
        <f>+_xlfn.XLOOKUP(Tabla4[[#This Row],[ID CLIENTE]],'RESUMEN CLIENTES'!D:D,'RESUMEN CLIENTES'!AA:AA)</f>
        <v>A1.1</v>
      </c>
      <c r="T403" s="680" t="str">
        <f>+_xlfn.XLOOKUP(Tabla4[[#This Row],[ID CLIENTE]],'RESUMEN CLIENTES'!D:D,'RESUMEN CLIENTES'!C:C)</f>
        <v>México</v>
      </c>
    </row>
    <row r="404" spans="1:20" ht="16">
      <c r="A404" s="82">
        <v>45907</v>
      </c>
      <c r="B404" s="82" t="str">
        <f>+_xlfn.XLOOKUP(Tabla4[[#This Row],[ID CLIENTE]],'RESUMEN CLIENTES'!D:D,'RESUMEN CLIENTES'!A:A)</f>
        <v>Vanessa Villarreal Villareal</v>
      </c>
      <c r="C404" s="83" t="s">
        <v>2404</v>
      </c>
      <c r="D404" s="83" t="s">
        <v>912</v>
      </c>
      <c r="E404" s="83" t="s">
        <v>921</v>
      </c>
      <c r="F404" s="83" t="s">
        <v>922</v>
      </c>
      <c r="G404" s="84">
        <v>250</v>
      </c>
      <c r="H404" s="85">
        <v>-8.3800000000000008</v>
      </c>
      <c r="I404" s="86">
        <f t="shared" si="12"/>
        <v>3.3520000000000001E-2</v>
      </c>
      <c r="J404" s="87">
        <f t="shared" si="13"/>
        <v>241.62</v>
      </c>
      <c r="K404" s="87"/>
      <c r="L404" s="87" t="s">
        <v>4672</v>
      </c>
      <c r="M404" s="87"/>
      <c r="N404" s="521"/>
      <c r="O404" s="521">
        <f>+Tabla4[[#This Row],[PAGO NO EURO]]+Tabla4[[#This Row],[CARGO NO EURO]]</f>
        <v>0</v>
      </c>
      <c r="P404" s="521"/>
      <c r="Q404" s="88"/>
      <c r="R404" s="689">
        <f>+_xlfn.XLOOKUP(Tabla4[[#This Row],[ID CLIENTE]],'RESUMEN CLIENTES'!D:D,'RESUMEN CLIENTES'!G:G)</f>
        <v>45906</v>
      </c>
      <c r="S404" s="88" t="str">
        <f>+_xlfn.XLOOKUP(Tabla4[[#This Row],[ID CLIENTE]],'RESUMEN CLIENTES'!D:D,'RESUMEN CLIENTES'!AA:AA)</f>
        <v>A1.1</v>
      </c>
      <c r="T404" s="680" t="str">
        <f>+_xlfn.XLOOKUP(Tabla4[[#This Row],[ID CLIENTE]],'RESUMEN CLIENTES'!D:D,'RESUMEN CLIENTES'!C:C)</f>
        <v>Ecuador</v>
      </c>
    </row>
    <row r="405" spans="1:20" ht="16">
      <c r="A405" s="82">
        <v>45908</v>
      </c>
      <c r="B405" s="82" t="str">
        <f>+_xlfn.XLOOKUP(Tabla4[[#This Row],[ID CLIENTE]],'RESUMEN CLIENTES'!D:D,'RESUMEN CLIENTES'!A:A)</f>
        <v>Camila Sanchez Aravena</v>
      </c>
      <c r="C405" s="83" t="s">
        <v>2125</v>
      </c>
      <c r="D405" s="83" t="s">
        <v>118</v>
      </c>
      <c r="E405" s="83" t="s">
        <v>866</v>
      </c>
      <c r="F405" s="83" t="s">
        <v>867</v>
      </c>
      <c r="G405" s="84">
        <v>518.47</v>
      </c>
      <c r="H405" s="85">
        <v>-17.100000000000001</v>
      </c>
      <c r="I405" s="86">
        <f t="shared" ref="I405:I468" si="14">+IFERROR(-(H405)/G405,"")</f>
        <v>3.2981657569386848E-2</v>
      </c>
      <c r="J405" s="87">
        <f t="shared" ref="J405:J468" si="15">+G405+H405</f>
        <v>501.37</v>
      </c>
      <c r="K405" s="87"/>
      <c r="L405" s="87" t="s">
        <v>4672</v>
      </c>
      <c r="M405" s="87"/>
      <c r="N405" s="521"/>
      <c r="O405" s="521">
        <f>+Tabla4[[#This Row],[PAGO NO EURO]]+Tabla4[[#This Row],[CARGO NO EURO]]</f>
        <v>0</v>
      </c>
      <c r="P405" s="521"/>
      <c r="Q405" s="88"/>
      <c r="R405" s="689">
        <f>+_xlfn.XLOOKUP(Tabla4[[#This Row],[ID CLIENTE]],'RESUMEN CLIENTES'!D:D,'RESUMEN CLIENTES'!G:G)</f>
        <v>45699</v>
      </c>
      <c r="S405" s="88" t="str">
        <f>+_xlfn.XLOOKUP(Tabla4[[#This Row],[ID CLIENTE]],'RESUMEN CLIENTES'!D:D,'RESUMEN CLIENTES'!AA:AA)</f>
        <v>B2.1</v>
      </c>
      <c r="T405" s="680" t="str">
        <f>+_xlfn.XLOOKUP(Tabla4[[#This Row],[ID CLIENTE]],'RESUMEN CLIENTES'!D:D,'RESUMEN CLIENTES'!C:C)</f>
        <v>Chile</v>
      </c>
    </row>
    <row r="406" spans="1:20" ht="16">
      <c r="A406" s="82">
        <v>45908</v>
      </c>
      <c r="B406" s="82" t="str">
        <f>+_xlfn.XLOOKUP(Tabla4[[#This Row],[ID CLIENTE]],'RESUMEN CLIENTES'!D:D,'RESUMEN CLIENTES'!A:A)</f>
        <v>Diego Alonso Salazar Palacios</v>
      </c>
      <c r="C406" s="83" t="s">
        <v>2216</v>
      </c>
      <c r="D406" s="83" t="s">
        <v>253</v>
      </c>
      <c r="E406" s="83" t="s">
        <v>2630</v>
      </c>
      <c r="F406" s="83" t="s">
        <v>2631</v>
      </c>
      <c r="G406" s="84">
        <v>1000</v>
      </c>
      <c r="H406" s="85">
        <v>-32.75</v>
      </c>
      <c r="I406" s="86">
        <f t="shared" si="14"/>
        <v>3.2750000000000001E-2</v>
      </c>
      <c r="J406" s="87">
        <f t="shared" si="15"/>
        <v>967.25</v>
      </c>
      <c r="K406" s="87"/>
      <c r="L406" s="87" t="s">
        <v>4672</v>
      </c>
      <c r="M406" s="87"/>
      <c r="N406" s="521"/>
      <c r="O406" s="521">
        <f>+Tabla4[[#This Row],[PAGO NO EURO]]+Tabla4[[#This Row],[CARGO NO EURO]]</f>
        <v>0</v>
      </c>
      <c r="P406" s="521"/>
      <c r="Q406" s="88"/>
      <c r="R406" s="689">
        <f>+_xlfn.XLOOKUP(Tabla4[[#This Row],[ID CLIENTE]],'RESUMEN CLIENTES'!D:D,'RESUMEN CLIENTES'!G:G)</f>
        <v>45803</v>
      </c>
      <c r="S406" s="88" t="str">
        <f>+_xlfn.XLOOKUP(Tabla4[[#This Row],[ID CLIENTE]],'RESUMEN CLIENTES'!D:D,'RESUMEN CLIENTES'!AA:AA)</f>
        <v>A1.1</v>
      </c>
      <c r="T406" s="680" t="str">
        <f>+_xlfn.XLOOKUP(Tabla4[[#This Row],[ID CLIENTE]],'RESUMEN CLIENTES'!D:D,'RESUMEN CLIENTES'!C:C)</f>
        <v>Perú</v>
      </c>
    </row>
    <row r="407" spans="1:20" ht="16">
      <c r="A407" s="82">
        <v>45908</v>
      </c>
      <c r="B407" s="82" t="str">
        <f>+_xlfn.XLOOKUP(Tabla4[[#This Row],[ID CLIENTE]],'RESUMEN CLIENTES'!D:D,'RESUMEN CLIENTES'!A:A)</f>
        <v>Armando Josmarx Suárez Solis</v>
      </c>
      <c r="C407" s="83" t="s">
        <v>2408</v>
      </c>
      <c r="D407" s="83" t="s">
        <v>904</v>
      </c>
      <c r="E407" s="83" t="s">
        <v>923</v>
      </c>
      <c r="F407" s="83" t="s">
        <v>924</v>
      </c>
      <c r="G407" s="84">
        <v>500</v>
      </c>
      <c r="H407" s="85">
        <v>-16.5</v>
      </c>
      <c r="I407" s="86">
        <f t="shared" si="14"/>
        <v>3.3000000000000002E-2</v>
      </c>
      <c r="J407" s="87">
        <f t="shared" si="15"/>
        <v>483.5</v>
      </c>
      <c r="K407" s="87"/>
      <c r="L407" s="87" t="s">
        <v>4672</v>
      </c>
      <c r="M407" s="87"/>
      <c r="N407" s="521"/>
      <c r="O407" s="521">
        <f>+Tabla4[[#This Row],[PAGO NO EURO]]+Tabla4[[#This Row],[CARGO NO EURO]]</f>
        <v>0</v>
      </c>
      <c r="P407" s="521"/>
      <c r="Q407" s="88"/>
      <c r="R407" s="689">
        <f>+_xlfn.XLOOKUP(Tabla4[[#This Row],[ID CLIENTE]],'RESUMEN CLIENTES'!D:D,'RESUMEN CLIENTES'!G:G)</f>
        <v>45906</v>
      </c>
      <c r="S407" s="88" t="str">
        <f>+_xlfn.XLOOKUP(Tabla4[[#This Row],[ID CLIENTE]],'RESUMEN CLIENTES'!D:D,'RESUMEN CLIENTES'!AA:AA)</f>
        <v>A2.1</v>
      </c>
      <c r="T407" s="680" t="str">
        <f>+_xlfn.XLOOKUP(Tabla4[[#This Row],[ID CLIENTE]],'RESUMEN CLIENTES'!D:D,'RESUMEN CLIENTES'!C:C)</f>
        <v>Nicaragua</v>
      </c>
    </row>
    <row r="408" spans="1:20" ht="16">
      <c r="A408" s="82">
        <v>45908</v>
      </c>
      <c r="B408" s="82" t="str">
        <f>+_xlfn.XLOOKUP(Tabla4[[#This Row],[ID CLIENTE]],'RESUMEN CLIENTES'!D:D,'RESUMEN CLIENTES'!A:A)</f>
        <v>Armando Josmarx Suárez Solis</v>
      </c>
      <c r="C408" s="83" t="s">
        <v>2408</v>
      </c>
      <c r="D408" s="83" t="s">
        <v>904</v>
      </c>
      <c r="E408" s="83" t="s">
        <v>925</v>
      </c>
      <c r="F408" s="83" t="s">
        <v>926</v>
      </c>
      <c r="G408" s="84">
        <v>500</v>
      </c>
      <c r="H408" s="85">
        <v>-16.5</v>
      </c>
      <c r="I408" s="86">
        <f t="shared" si="14"/>
        <v>3.3000000000000002E-2</v>
      </c>
      <c r="J408" s="87">
        <f t="shared" si="15"/>
        <v>483.5</v>
      </c>
      <c r="K408" s="87"/>
      <c r="L408" s="87" t="s">
        <v>4672</v>
      </c>
      <c r="M408" s="87"/>
      <c r="N408" s="521"/>
      <c r="O408" s="521">
        <f>+Tabla4[[#This Row],[PAGO NO EURO]]+Tabla4[[#This Row],[CARGO NO EURO]]</f>
        <v>0</v>
      </c>
      <c r="P408" s="521"/>
      <c r="Q408" s="88"/>
      <c r="R408" s="689">
        <f>+_xlfn.XLOOKUP(Tabla4[[#This Row],[ID CLIENTE]],'RESUMEN CLIENTES'!D:D,'RESUMEN CLIENTES'!G:G)</f>
        <v>45906</v>
      </c>
      <c r="S408" s="88" t="str">
        <f>+_xlfn.XLOOKUP(Tabla4[[#This Row],[ID CLIENTE]],'RESUMEN CLIENTES'!D:D,'RESUMEN CLIENTES'!AA:AA)</f>
        <v>A2.1</v>
      </c>
      <c r="T408" s="680" t="str">
        <f>+_xlfn.XLOOKUP(Tabla4[[#This Row],[ID CLIENTE]],'RESUMEN CLIENTES'!D:D,'RESUMEN CLIENTES'!C:C)</f>
        <v>Nicaragua</v>
      </c>
    </row>
    <row r="409" spans="1:20" ht="16">
      <c r="A409" s="82">
        <v>45908</v>
      </c>
      <c r="B409" s="82" t="str">
        <f>+_xlfn.XLOOKUP(Tabla4[[#This Row],[ID CLIENTE]],'RESUMEN CLIENTES'!D:D,'RESUMEN CLIENTES'!A:A)</f>
        <v>Armando Josmarx Suárez Solis</v>
      </c>
      <c r="C409" s="83" t="s">
        <v>2408</v>
      </c>
      <c r="D409" s="83" t="s">
        <v>904</v>
      </c>
      <c r="E409" s="83" t="s">
        <v>927</v>
      </c>
      <c r="F409" s="83" t="s">
        <v>928</v>
      </c>
      <c r="G409" s="84">
        <v>500</v>
      </c>
      <c r="H409" s="85">
        <v>-16.5</v>
      </c>
      <c r="I409" s="86">
        <f t="shared" si="14"/>
        <v>3.3000000000000002E-2</v>
      </c>
      <c r="J409" s="87">
        <f t="shared" si="15"/>
        <v>483.5</v>
      </c>
      <c r="K409" s="87"/>
      <c r="L409" s="87" t="s">
        <v>4672</v>
      </c>
      <c r="M409" s="87"/>
      <c r="N409" s="521"/>
      <c r="O409" s="521">
        <f>+Tabla4[[#This Row],[PAGO NO EURO]]+Tabla4[[#This Row],[CARGO NO EURO]]</f>
        <v>0</v>
      </c>
      <c r="P409" s="521"/>
      <c r="Q409" s="88"/>
      <c r="R409" s="689">
        <f>+_xlfn.XLOOKUP(Tabla4[[#This Row],[ID CLIENTE]],'RESUMEN CLIENTES'!D:D,'RESUMEN CLIENTES'!G:G)</f>
        <v>45906</v>
      </c>
      <c r="S409" s="88" t="str">
        <f>+_xlfn.XLOOKUP(Tabla4[[#This Row],[ID CLIENTE]],'RESUMEN CLIENTES'!D:D,'RESUMEN CLIENTES'!AA:AA)</f>
        <v>A2.1</v>
      </c>
      <c r="T409" s="680" t="str">
        <f>+_xlfn.XLOOKUP(Tabla4[[#This Row],[ID CLIENTE]],'RESUMEN CLIENTES'!D:D,'RESUMEN CLIENTES'!C:C)</f>
        <v>Nicaragua</v>
      </c>
    </row>
    <row r="410" spans="1:20" ht="16">
      <c r="A410" s="82">
        <v>45908</v>
      </c>
      <c r="B410" s="82" t="str">
        <f>+_xlfn.XLOOKUP(Tabla4[[#This Row],[ID CLIENTE]],'RESUMEN CLIENTES'!D:D,'RESUMEN CLIENTES'!A:A)</f>
        <v>Armando Josmarx Suárez Solis</v>
      </c>
      <c r="C410" s="83" t="s">
        <v>2408</v>
      </c>
      <c r="D410" s="83" t="s">
        <v>904</v>
      </c>
      <c r="E410" s="83" t="s">
        <v>929</v>
      </c>
      <c r="F410" s="83" t="s">
        <v>930</v>
      </c>
      <c r="G410" s="84">
        <v>500</v>
      </c>
      <c r="H410" s="85">
        <v>-16.5</v>
      </c>
      <c r="I410" s="86">
        <f t="shared" si="14"/>
        <v>3.3000000000000002E-2</v>
      </c>
      <c r="J410" s="87">
        <f t="shared" si="15"/>
        <v>483.5</v>
      </c>
      <c r="K410" s="87"/>
      <c r="L410" s="87" t="s">
        <v>4672</v>
      </c>
      <c r="M410" s="87"/>
      <c r="N410" s="521"/>
      <c r="O410" s="521">
        <f>+Tabla4[[#This Row],[PAGO NO EURO]]+Tabla4[[#This Row],[CARGO NO EURO]]</f>
        <v>0</v>
      </c>
      <c r="P410" s="521"/>
      <c r="Q410" s="88"/>
      <c r="R410" s="689">
        <f>+_xlfn.XLOOKUP(Tabla4[[#This Row],[ID CLIENTE]],'RESUMEN CLIENTES'!D:D,'RESUMEN CLIENTES'!G:G)</f>
        <v>45906</v>
      </c>
      <c r="S410" s="88" t="str">
        <f>+_xlfn.XLOOKUP(Tabla4[[#This Row],[ID CLIENTE]],'RESUMEN CLIENTES'!D:D,'RESUMEN CLIENTES'!AA:AA)</f>
        <v>A2.1</v>
      </c>
      <c r="T410" s="680" t="str">
        <f>+_xlfn.XLOOKUP(Tabla4[[#This Row],[ID CLIENTE]],'RESUMEN CLIENTES'!D:D,'RESUMEN CLIENTES'!C:C)</f>
        <v>Nicaragua</v>
      </c>
    </row>
    <row r="411" spans="1:20" ht="16">
      <c r="A411" s="82">
        <v>45908</v>
      </c>
      <c r="B411" s="82" t="str">
        <f>+_xlfn.XLOOKUP(Tabla4[[#This Row],[ID CLIENTE]],'RESUMEN CLIENTES'!D:D,'RESUMEN CLIENTES'!A:A)</f>
        <v>Armando Josmarx Suárez Solis</v>
      </c>
      <c r="C411" s="83" t="s">
        <v>2408</v>
      </c>
      <c r="D411" s="83" t="s">
        <v>904</v>
      </c>
      <c r="E411" s="83" t="s">
        <v>931</v>
      </c>
      <c r="F411" s="83" t="s">
        <v>932</v>
      </c>
      <c r="G411" s="84">
        <v>500</v>
      </c>
      <c r="H411" s="85">
        <v>-16.5</v>
      </c>
      <c r="I411" s="86">
        <f t="shared" si="14"/>
        <v>3.3000000000000002E-2</v>
      </c>
      <c r="J411" s="87">
        <f t="shared" si="15"/>
        <v>483.5</v>
      </c>
      <c r="K411" s="87"/>
      <c r="L411" s="87" t="s">
        <v>4672</v>
      </c>
      <c r="M411" s="87"/>
      <c r="N411" s="521"/>
      <c r="O411" s="521">
        <f>+Tabla4[[#This Row],[PAGO NO EURO]]+Tabla4[[#This Row],[CARGO NO EURO]]</f>
        <v>0</v>
      </c>
      <c r="P411" s="521"/>
      <c r="Q411" s="88"/>
      <c r="R411" s="689">
        <f>+_xlfn.XLOOKUP(Tabla4[[#This Row],[ID CLIENTE]],'RESUMEN CLIENTES'!D:D,'RESUMEN CLIENTES'!G:G)</f>
        <v>45906</v>
      </c>
      <c r="S411" s="88" t="str">
        <f>+_xlfn.XLOOKUP(Tabla4[[#This Row],[ID CLIENTE]],'RESUMEN CLIENTES'!D:D,'RESUMEN CLIENTES'!AA:AA)</f>
        <v>A2.1</v>
      </c>
      <c r="T411" s="680" t="str">
        <f>+_xlfn.XLOOKUP(Tabla4[[#This Row],[ID CLIENTE]],'RESUMEN CLIENTES'!D:D,'RESUMEN CLIENTES'!C:C)</f>
        <v>Nicaragua</v>
      </c>
    </row>
    <row r="412" spans="1:20" ht="16">
      <c r="A412" s="82">
        <v>45908</v>
      </c>
      <c r="B412" s="82" t="str">
        <f>+_xlfn.XLOOKUP(Tabla4[[#This Row],[ID CLIENTE]],'RESUMEN CLIENTES'!D:D,'RESUMEN CLIENTES'!A:A)</f>
        <v>Paola Hitos</v>
      </c>
      <c r="C412" s="83" t="s">
        <v>2288</v>
      </c>
      <c r="D412" s="83" t="s">
        <v>455</v>
      </c>
      <c r="E412" s="83" t="s">
        <v>942</v>
      </c>
      <c r="F412" s="83" t="s">
        <v>943</v>
      </c>
      <c r="G412" s="84">
        <v>1000</v>
      </c>
      <c r="H412" s="85">
        <v>-32.75</v>
      </c>
      <c r="I412" s="86">
        <f t="shared" si="14"/>
        <v>3.2750000000000001E-2</v>
      </c>
      <c r="J412" s="87">
        <f t="shared" si="15"/>
        <v>967.25</v>
      </c>
      <c r="K412" s="87"/>
      <c r="L412" s="87" t="s">
        <v>4672</v>
      </c>
      <c r="M412" s="87"/>
      <c r="N412" s="521"/>
      <c r="O412" s="521">
        <f>+Tabla4[[#This Row],[PAGO NO EURO]]+Tabla4[[#This Row],[CARGO NO EURO]]</f>
        <v>0</v>
      </c>
      <c r="P412" s="521"/>
      <c r="Q412" s="88"/>
      <c r="R412" s="689">
        <f>+_xlfn.XLOOKUP(Tabla4[[#This Row],[ID CLIENTE]],'RESUMEN CLIENTES'!D:D,'RESUMEN CLIENTES'!G:G)</f>
        <v>45846</v>
      </c>
      <c r="S412" s="88" t="str">
        <f>+_xlfn.XLOOKUP(Tabla4[[#This Row],[ID CLIENTE]],'RESUMEN CLIENTES'!D:D,'RESUMEN CLIENTES'!AA:AA)</f>
        <v>A1.1</v>
      </c>
      <c r="T412" s="680" t="str">
        <f>+_xlfn.XLOOKUP(Tabla4[[#This Row],[ID CLIENTE]],'RESUMEN CLIENTES'!D:D,'RESUMEN CLIENTES'!C:C)</f>
        <v>México</v>
      </c>
    </row>
    <row r="413" spans="1:20" ht="16">
      <c r="A413" s="82">
        <v>45909</v>
      </c>
      <c r="B413" s="82" t="str">
        <f>+_xlfn.XLOOKUP(Tabla4[[#This Row],[ID CLIENTE]],'RESUMEN CLIENTES'!D:D,'RESUMEN CLIENTES'!A:A)</f>
        <v>María de los Ángeles Gutiérrez Quevedo</v>
      </c>
      <c r="C413" s="83" t="s">
        <v>2233</v>
      </c>
      <c r="D413" s="83" t="s">
        <v>274</v>
      </c>
      <c r="E413" s="83" t="s">
        <v>940</v>
      </c>
      <c r="F413" s="83" t="s">
        <v>941</v>
      </c>
      <c r="G413" s="84">
        <v>1500</v>
      </c>
      <c r="H413" s="85">
        <v>-49</v>
      </c>
      <c r="I413" s="86">
        <f t="shared" si="14"/>
        <v>3.2666666666666663E-2</v>
      </c>
      <c r="J413" s="87">
        <f t="shared" si="15"/>
        <v>1451</v>
      </c>
      <c r="K413" s="87"/>
      <c r="L413" s="87" t="s">
        <v>4672</v>
      </c>
      <c r="M413" s="87"/>
      <c r="N413" s="521"/>
      <c r="O413" s="521">
        <f>+Tabla4[[#This Row],[PAGO NO EURO]]+Tabla4[[#This Row],[CARGO NO EURO]]</f>
        <v>0</v>
      </c>
      <c r="P413" s="521"/>
      <c r="Q413" s="88"/>
      <c r="R413" s="689">
        <f>+_xlfn.XLOOKUP(Tabla4[[#This Row],[ID CLIENTE]],'RESUMEN CLIENTES'!D:D,'RESUMEN CLIENTES'!G:G)</f>
        <v>45810</v>
      </c>
      <c r="S413" s="88" t="str">
        <f>+_xlfn.XLOOKUP(Tabla4[[#This Row],[ID CLIENTE]],'RESUMEN CLIENTES'!D:D,'RESUMEN CLIENTES'!AA:AA)</f>
        <v>A1.1</v>
      </c>
      <c r="T413" s="680" t="str">
        <f>+_xlfn.XLOOKUP(Tabla4[[#This Row],[ID CLIENTE]],'RESUMEN CLIENTES'!D:D,'RESUMEN CLIENTES'!C:C)</f>
        <v>Chile</v>
      </c>
    </row>
    <row r="414" spans="1:20" ht="16">
      <c r="A414" s="82">
        <v>45909</v>
      </c>
      <c r="B414" s="82" t="str">
        <f>+_xlfn.XLOOKUP(Tabla4[[#This Row],[ID CLIENTE]],'RESUMEN CLIENTES'!D:D,'RESUMEN CLIENTES'!A:A)</f>
        <v>Daniela Luise Reisenegger Scheel</v>
      </c>
      <c r="C414" s="83" t="s">
        <v>2381</v>
      </c>
      <c r="D414" s="83" t="s">
        <v>756</v>
      </c>
      <c r="E414" s="83" t="s">
        <v>870</v>
      </c>
      <c r="F414" s="83" t="s">
        <v>871</v>
      </c>
      <c r="G414" s="84">
        <v>2750</v>
      </c>
      <c r="H414" s="85">
        <v>-89.63</v>
      </c>
      <c r="I414" s="86">
        <f t="shared" si="14"/>
        <v>3.2592727272727273E-2</v>
      </c>
      <c r="J414" s="87">
        <f t="shared" si="15"/>
        <v>2660.37</v>
      </c>
      <c r="K414" s="87"/>
      <c r="L414" s="87" t="s">
        <v>4672</v>
      </c>
      <c r="M414" s="87"/>
      <c r="N414" s="521"/>
      <c r="O414" s="521">
        <f>+Tabla4[[#This Row],[PAGO NO EURO]]+Tabla4[[#This Row],[CARGO NO EURO]]</f>
        <v>0</v>
      </c>
      <c r="P414" s="521"/>
      <c r="Q414" s="88"/>
      <c r="R414" s="689">
        <f>+_xlfn.XLOOKUP(Tabla4[[#This Row],[ID CLIENTE]],'RESUMEN CLIENTES'!D:D,'RESUMEN CLIENTES'!G:G)</f>
        <v>45898</v>
      </c>
      <c r="S414" s="88" t="str">
        <f>+_xlfn.XLOOKUP(Tabla4[[#This Row],[ID CLIENTE]],'RESUMEN CLIENTES'!D:D,'RESUMEN CLIENTES'!AA:AA)</f>
        <v>null</v>
      </c>
      <c r="T414" s="680" t="str">
        <f>+_xlfn.XLOOKUP(Tabla4[[#This Row],[ID CLIENTE]],'RESUMEN CLIENTES'!D:D,'RESUMEN CLIENTES'!C:C)</f>
        <v>Chile</v>
      </c>
    </row>
    <row r="415" spans="1:20" ht="16">
      <c r="A415" s="82">
        <v>45909</v>
      </c>
      <c r="B415" s="82" t="str">
        <f>+_xlfn.XLOOKUP(Tabla4[[#This Row],[ID CLIENTE]],'RESUMEN CLIENTES'!D:D,'RESUMEN CLIENTES'!A:A)</f>
        <v>Rodrigo Alfonso Busse Hernández</v>
      </c>
      <c r="C415" s="83" t="s">
        <v>2231</v>
      </c>
      <c r="D415" s="83" t="s">
        <v>275</v>
      </c>
      <c r="E415" s="83" t="s">
        <v>944</v>
      </c>
      <c r="F415" s="83" t="s">
        <v>945</v>
      </c>
      <c r="G415" s="84">
        <v>1111</v>
      </c>
      <c r="H415" s="85">
        <v>-36.36</v>
      </c>
      <c r="I415" s="86">
        <f t="shared" si="14"/>
        <v>3.272727272727273E-2</v>
      </c>
      <c r="J415" s="87">
        <f t="shared" si="15"/>
        <v>1074.6400000000001</v>
      </c>
      <c r="K415" s="87"/>
      <c r="L415" s="87" t="s">
        <v>4672</v>
      </c>
      <c r="M415" s="87"/>
      <c r="N415" s="521"/>
      <c r="O415" s="521">
        <f>+Tabla4[[#This Row],[PAGO NO EURO]]+Tabla4[[#This Row],[CARGO NO EURO]]</f>
        <v>0</v>
      </c>
      <c r="P415" s="521"/>
      <c r="Q415" s="88"/>
      <c r="R415" s="689">
        <f>+_xlfn.XLOOKUP(Tabla4[[#This Row],[ID CLIENTE]],'RESUMEN CLIENTES'!D:D,'RESUMEN CLIENTES'!G:G)</f>
        <v>45810</v>
      </c>
      <c r="S415" s="88" t="str">
        <f>+_xlfn.XLOOKUP(Tabla4[[#This Row],[ID CLIENTE]],'RESUMEN CLIENTES'!D:D,'RESUMEN CLIENTES'!AA:AA)</f>
        <v>null</v>
      </c>
      <c r="T415" s="680" t="str">
        <f>+_xlfn.XLOOKUP(Tabla4[[#This Row],[ID CLIENTE]],'RESUMEN CLIENTES'!D:D,'RESUMEN CLIENTES'!C:C)</f>
        <v>Chile</v>
      </c>
    </row>
    <row r="416" spans="1:20" ht="16">
      <c r="A416" s="82">
        <v>45909</v>
      </c>
      <c r="B416" s="82" t="str">
        <f>+_xlfn.XLOOKUP(Tabla4[[#This Row],[ID CLIENTE]],'RESUMEN CLIENTES'!D:D,'RESUMEN CLIENTES'!A:A)</f>
        <v>Edgar Vinicio Escalante Fiallos</v>
      </c>
      <c r="C416" s="83" t="s">
        <v>2412</v>
      </c>
      <c r="D416" s="83" t="s">
        <v>933</v>
      </c>
      <c r="E416" s="83" t="s">
        <v>934</v>
      </c>
      <c r="F416" s="83" t="s">
        <v>935</v>
      </c>
      <c r="G416" s="84">
        <v>2000</v>
      </c>
      <c r="H416" s="85">
        <v>-65.25</v>
      </c>
      <c r="I416" s="86">
        <f t="shared" si="14"/>
        <v>3.2625000000000001E-2</v>
      </c>
      <c r="J416" s="87">
        <f t="shared" si="15"/>
        <v>1934.75</v>
      </c>
      <c r="K416" s="87"/>
      <c r="L416" s="87" t="s">
        <v>4672</v>
      </c>
      <c r="M416" s="87"/>
      <c r="N416" s="521"/>
      <c r="O416" s="521">
        <f>+Tabla4[[#This Row],[PAGO NO EURO]]+Tabla4[[#This Row],[CARGO NO EURO]]</f>
        <v>0</v>
      </c>
      <c r="P416" s="521"/>
      <c r="Q416" s="88"/>
      <c r="R416" s="689">
        <f>+_xlfn.XLOOKUP(Tabla4[[#This Row],[ID CLIENTE]],'RESUMEN CLIENTES'!D:D,'RESUMEN CLIENTES'!G:G)</f>
        <v>45909</v>
      </c>
      <c r="S416" s="88" t="str">
        <f>+_xlfn.XLOOKUP(Tabla4[[#This Row],[ID CLIENTE]],'RESUMEN CLIENTES'!D:D,'RESUMEN CLIENTES'!AA:AA)</f>
        <v>A1.1</v>
      </c>
      <c r="T416" s="680" t="str">
        <f>+_xlfn.XLOOKUP(Tabla4[[#This Row],[ID CLIENTE]],'RESUMEN CLIENTES'!D:D,'RESUMEN CLIENTES'!C:C)</f>
        <v>Ecuador</v>
      </c>
    </row>
    <row r="417" spans="1:20" ht="16">
      <c r="A417" s="82">
        <v>45909</v>
      </c>
      <c r="B417" s="82" t="str">
        <f>+_xlfn.XLOOKUP(Tabla4[[#This Row],[ID CLIENTE]],'RESUMEN CLIENTES'!D:D,'RESUMEN CLIENTES'!A:A)</f>
        <v>Ignacio Manuel Jesus Orellana Gutiérrez</v>
      </c>
      <c r="C417" s="83" t="s">
        <v>2360</v>
      </c>
      <c r="D417" s="83" t="s">
        <v>700</v>
      </c>
      <c r="E417" s="83" t="s">
        <v>973</v>
      </c>
      <c r="F417" s="83" t="s">
        <v>974</v>
      </c>
      <c r="G417" s="84">
        <v>2500</v>
      </c>
      <c r="H417" s="85">
        <v>-81.5</v>
      </c>
      <c r="I417" s="86">
        <f t="shared" si="14"/>
        <v>3.2599999999999997E-2</v>
      </c>
      <c r="J417" s="87">
        <f t="shared" si="15"/>
        <v>2418.5</v>
      </c>
      <c r="K417" s="87"/>
      <c r="L417" s="87" t="s">
        <v>4672</v>
      </c>
      <c r="M417" s="87"/>
      <c r="N417" s="521"/>
      <c r="O417" s="521">
        <f>+Tabla4[[#This Row],[PAGO NO EURO]]+Tabla4[[#This Row],[CARGO NO EURO]]</f>
        <v>0</v>
      </c>
      <c r="P417" s="521"/>
      <c r="Q417" s="88"/>
      <c r="R417" s="689">
        <f>+_xlfn.XLOOKUP(Tabla4[[#This Row],[ID CLIENTE]],'RESUMEN CLIENTES'!D:D,'RESUMEN CLIENTES'!G:G)</f>
        <v>45887</v>
      </c>
      <c r="S417" s="88" t="str">
        <f>+_xlfn.XLOOKUP(Tabla4[[#This Row],[ID CLIENTE]],'RESUMEN CLIENTES'!D:D,'RESUMEN CLIENTES'!AA:AA)</f>
        <v>A2.1</v>
      </c>
      <c r="T417" s="680" t="str">
        <f>+_xlfn.XLOOKUP(Tabla4[[#This Row],[ID CLIENTE]],'RESUMEN CLIENTES'!D:D,'RESUMEN CLIENTES'!C:C)</f>
        <v>Chile</v>
      </c>
    </row>
    <row r="418" spans="1:20" ht="16">
      <c r="A418" s="82">
        <v>45910</v>
      </c>
      <c r="B418" s="82" t="str">
        <f>+_xlfn.XLOOKUP(Tabla4[[#This Row],[ID CLIENTE]],'RESUMEN CLIENTES'!D:D,'RESUMEN CLIENTES'!A:A)</f>
        <v>Ignacio Manuel Jesus Orellana Gutiérrez</v>
      </c>
      <c r="C418" s="83" t="s">
        <v>2360</v>
      </c>
      <c r="D418" s="83" t="s">
        <v>700</v>
      </c>
      <c r="E418" s="83" t="s">
        <v>975</v>
      </c>
      <c r="F418" s="83" t="s">
        <v>976</v>
      </c>
      <c r="G418" s="84">
        <v>2500</v>
      </c>
      <c r="H418" s="85">
        <v>-81.5</v>
      </c>
      <c r="I418" s="86">
        <f t="shared" si="14"/>
        <v>3.2599999999999997E-2</v>
      </c>
      <c r="J418" s="87">
        <f t="shared" si="15"/>
        <v>2418.5</v>
      </c>
      <c r="K418" s="87"/>
      <c r="L418" s="87" t="s">
        <v>4672</v>
      </c>
      <c r="M418" s="87"/>
      <c r="N418" s="521"/>
      <c r="O418" s="521">
        <f>+Tabla4[[#This Row],[PAGO NO EURO]]+Tabla4[[#This Row],[CARGO NO EURO]]</f>
        <v>0</v>
      </c>
      <c r="P418" s="521"/>
      <c r="Q418" s="88"/>
      <c r="R418" s="689">
        <f>+_xlfn.XLOOKUP(Tabla4[[#This Row],[ID CLIENTE]],'RESUMEN CLIENTES'!D:D,'RESUMEN CLIENTES'!G:G)</f>
        <v>45887</v>
      </c>
      <c r="S418" s="88" t="str">
        <f>+_xlfn.XLOOKUP(Tabla4[[#This Row],[ID CLIENTE]],'RESUMEN CLIENTES'!D:D,'RESUMEN CLIENTES'!AA:AA)</f>
        <v>A2.1</v>
      </c>
      <c r="T418" s="680" t="str">
        <f>+_xlfn.XLOOKUP(Tabla4[[#This Row],[ID CLIENTE]],'RESUMEN CLIENTES'!D:D,'RESUMEN CLIENTES'!C:C)</f>
        <v>Chile</v>
      </c>
    </row>
    <row r="419" spans="1:20" ht="16">
      <c r="A419" s="82">
        <v>45910</v>
      </c>
      <c r="B419" s="82" t="str">
        <f>+_xlfn.XLOOKUP(Tabla4[[#This Row],[ID CLIENTE]],'RESUMEN CLIENTES'!D:D,'RESUMEN CLIENTES'!A:A)</f>
        <v>Liliana María Moreno Martinez</v>
      </c>
      <c r="C419" s="83" t="s">
        <v>2237</v>
      </c>
      <c r="D419" s="83" t="s">
        <v>278</v>
      </c>
      <c r="E419" s="83" t="s">
        <v>917</v>
      </c>
      <c r="F419" s="83" t="s">
        <v>918</v>
      </c>
      <c r="G419" s="84">
        <v>500</v>
      </c>
      <c r="H419" s="85">
        <v>-16.5</v>
      </c>
      <c r="I419" s="86">
        <f t="shared" si="14"/>
        <v>3.3000000000000002E-2</v>
      </c>
      <c r="J419" s="87">
        <f t="shared" si="15"/>
        <v>483.5</v>
      </c>
      <c r="K419" s="87"/>
      <c r="L419" s="87" t="s">
        <v>4672</v>
      </c>
      <c r="M419" s="87"/>
      <c r="N419" s="521"/>
      <c r="O419" s="521">
        <f>+Tabla4[[#This Row],[PAGO NO EURO]]+Tabla4[[#This Row],[CARGO NO EURO]]</f>
        <v>0</v>
      </c>
      <c r="P419" s="521"/>
      <c r="Q419" s="88"/>
      <c r="R419" s="689">
        <f>+_xlfn.XLOOKUP(Tabla4[[#This Row],[ID CLIENTE]],'RESUMEN CLIENTES'!D:D,'RESUMEN CLIENTES'!G:G)</f>
        <v>45812</v>
      </c>
      <c r="S419" s="88" t="str">
        <f>+_xlfn.XLOOKUP(Tabla4[[#This Row],[ID CLIENTE]],'RESUMEN CLIENTES'!D:D,'RESUMEN CLIENTES'!AA:AA)</f>
        <v>A1.1</v>
      </c>
      <c r="T419" s="680" t="str">
        <f>+_xlfn.XLOOKUP(Tabla4[[#This Row],[ID CLIENTE]],'RESUMEN CLIENTES'!D:D,'RESUMEN CLIENTES'!C:C)</f>
        <v>El Salvador</v>
      </c>
    </row>
    <row r="420" spans="1:20" ht="16">
      <c r="A420" s="82">
        <v>45912</v>
      </c>
      <c r="B420" s="82" t="str">
        <f>+_xlfn.XLOOKUP(Tabla4[[#This Row],[ID CLIENTE]],'RESUMEN CLIENTES'!D:D,'RESUMEN CLIENTES'!A:A)</f>
        <v>Florencia Luján Sapia</v>
      </c>
      <c r="C420" s="83" t="s">
        <v>2393</v>
      </c>
      <c r="D420" s="83" t="s">
        <v>787</v>
      </c>
      <c r="E420" s="83" t="s">
        <v>936</v>
      </c>
      <c r="F420" s="83" t="s">
        <v>937</v>
      </c>
      <c r="G420" s="84">
        <v>500</v>
      </c>
      <c r="H420" s="85">
        <v>-16.5</v>
      </c>
      <c r="I420" s="86">
        <f t="shared" si="14"/>
        <v>3.3000000000000002E-2</v>
      </c>
      <c r="J420" s="87">
        <f t="shared" si="15"/>
        <v>483.5</v>
      </c>
      <c r="K420" s="87"/>
      <c r="L420" s="87" t="s">
        <v>4672</v>
      </c>
      <c r="M420" s="87"/>
      <c r="N420" s="521"/>
      <c r="O420" s="521">
        <f>+Tabla4[[#This Row],[PAGO NO EURO]]+Tabla4[[#This Row],[CARGO NO EURO]]</f>
        <v>0</v>
      </c>
      <c r="P420" s="521"/>
      <c r="Q420" s="88"/>
      <c r="R420" s="689">
        <f>+_xlfn.XLOOKUP(Tabla4[[#This Row],[ID CLIENTE]],'RESUMEN CLIENTES'!D:D,'RESUMEN CLIENTES'!G:G)</f>
        <v>45900</v>
      </c>
      <c r="S420" s="88" t="str">
        <f>+_xlfn.XLOOKUP(Tabla4[[#This Row],[ID CLIENTE]],'RESUMEN CLIENTES'!D:D,'RESUMEN CLIENTES'!AA:AA)</f>
        <v>A2.1</v>
      </c>
      <c r="T420" s="680" t="str">
        <f>+_xlfn.XLOOKUP(Tabla4[[#This Row],[ID CLIENTE]],'RESUMEN CLIENTES'!D:D,'RESUMEN CLIENTES'!C:C)</f>
        <v>Argentina</v>
      </c>
    </row>
    <row r="421" spans="1:20" ht="16">
      <c r="A421" s="82">
        <v>45912</v>
      </c>
      <c r="B421" s="82" t="str">
        <f>+_xlfn.XLOOKUP(Tabla4[[#This Row],[ID CLIENTE]],'RESUMEN CLIENTES'!D:D,'RESUMEN CLIENTES'!A:A)</f>
        <v>Juan Pablo Martínez Cabello</v>
      </c>
      <c r="C421" s="83" t="s">
        <v>2154</v>
      </c>
      <c r="D421" s="83" t="s">
        <v>136</v>
      </c>
      <c r="E421" s="83" t="s">
        <v>984</v>
      </c>
      <c r="F421" s="83" t="s">
        <v>985</v>
      </c>
      <c r="G421" s="84">
        <v>1500</v>
      </c>
      <c r="H421" s="85">
        <v>-49</v>
      </c>
      <c r="I421" s="86">
        <f t="shared" si="14"/>
        <v>3.2666666666666663E-2</v>
      </c>
      <c r="J421" s="87">
        <f t="shared" si="15"/>
        <v>1451</v>
      </c>
      <c r="K421" s="87"/>
      <c r="L421" s="87" t="s">
        <v>4672</v>
      </c>
      <c r="M421" s="87"/>
      <c r="N421" s="521"/>
      <c r="O421" s="521">
        <f>+Tabla4[[#This Row],[PAGO NO EURO]]+Tabla4[[#This Row],[CARGO NO EURO]]</f>
        <v>0</v>
      </c>
      <c r="P421" s="521"/>
      <c r="Q421" s="88"/>
      <c r="R421" s="689">
        <f>+_xlfn.XLOOKUP(Tabla4[[#This Row],[ID CLIENTE]],'RESUMEN CLIENTES'!D:D,'RESUMEN CLIENTES'!G:G)</f>
        <v>45743</v>
      </c>
      <c r="S421" s="88" t="str">
        <f>+_xlfn.XLOOKUP(Tabla4[[#This Row],[ID CLIENTE]],'RESUMEN CLIENTES'!D:D,'RESUMEN CLIENTES'!AA:AA)</f>
        <v>B1.1</v>
      </c>
      <c r="T421" s="680" t="str">
        <f>+_xlfn.XLOOKUP(Tabla4[[#This Row],[ID CLIENTE]],'RESUMEN CLIENTES'!D:D,'RESUMEN CLIENTES'!C:C)</f>
        <v>Chile</v>
      </c>
    </row>
    <row r="422" spans="1:20" ht="16">
      <c r="A422" s="82">
        <v>45912</v>
      </c>
      <c r="B422" s="82" t="str">
        <f>+_xlfn.XLOOKUP(Tabla4[[#This Row],[ID CLIENTE]],'RESUMEN CLIENTES'!D:D,'RESUMEN CLIENTES'!A:A)</f>
        <v>Juan Manuel Paranzino</v>
      </c>
      <c r="C422" s="83" t="s">
        <v>2391</v>
      </c>
      <c r="D422" s="83" t="s">
        <v>798</v>
      </c>
      <c r="E422" s="83" t="s">
        <v>938</v>
      </c>
      <c r="F422" s="83" t="s">
        <v>939</v>
      </c>
      <c r="G422" s="84">
        <v>500</v>
      </c>
      <c r="H422" s="85">
        <v>-16.5</v>
      </c>
      <c r="I422" s="86">
        <f t="shared" si="14"/>
        <v>3.3000000000000002E-2</v>
      </c>
      <c r="J422" s="87">
        <f t="shared" si="15"/>
        <v>483.5</v>
      </c>
      <c r="K422" s="87"/>
      <c r="L422" s="87" t="s">
        <v>4672</v>
      </c>
      <c r="M422" s="87"/>
      <c r="N422" s="521"/>
      <c r="O422" s="521">
        <f>+Tabla4[[#This Row],[PAGO NO EURO]]+Tabla4[[#This Row],[CARGO NO EURO]]</f>
        <v>0</v>
      </c>
      <c r="P422" s="521"/>
      <c r="Q422" s="88"/>
      <c r="R422" s="689">
        <f>+_xlfn.XLOOKUP(Tabla4[[#This Row],[ID CLIENTE]],'RESUMEN CLIENTES'!D:D,'RESUMEN CLIENTES'!G:G)</f>
        <v>45900</v>
      </c>
      <c r="S422" s="88" t="str">
        <f>+_xlfn.XLOOKUP(Tabla4[[#This Row],[ID CLIENTE]],'RESUMEN CLIENTES'!D:D,'RESUMEN CLIENTES'!AA:AA)</f>
        <v>B1.1</v>
      </c>
      <c r="T422" s="680" t="str">
        <f>+_xlfn.XLOOKUP(Tabla4[[#This Row],[ID CLIENTE]],'RESUMEN CLIENTES'!D:D,'RESUMEN CLIENTES'!C:C)</f>
        <v>Argentina</v>
      </c>
    </row>
    <row r="423" spans="1:20" ht="16">
      <c r="A423" s="82">
        <v>45913</v>
      </c>
      <c r="B423" s="82" t="str">
        <f>+_xlfn.XLOOKUP(Tabla4[[#This Row],[ID CLIENTE]],'RESUMEN CLIENTES'!D:D,'RESUMEN CLIENTES'!A:A)</f>
        <v>Fernando José Fuentes Bárcenas</v>
      </c>
      <c r="C423" s="83" t="s">
        <v>2414</v>
      </c>
      <c r="D423" s="83" t="s">
        <v>952</v>
      </c>
      <c r="E423" s="83" t="s">
        <v>953</v>
      </c>
      <c r="F423" s="83" t="s">
        <v>954</v>
      </c>
      <c r="G423" s="84">
        <v>250</v>
      </c>
      <c r="H423" s="85">
        <v>-8.3800000000000008</v>
      </c>
      <c r="I423" s="86">
        <f t="shared" si="14"/>
        <v>3.3520000000000001E-2</v>
      </c>
      <c r="J423" s="87">
        <f t="shared" si="15"/>
        <v>241.62</v>
      </c>
      <c r="K423" s="87"/>
      <c r="L423" s="87" t="s">
        <v>4672</v>
      </c>
      <c r="M423" s="87"/>
      <c r="N423" s="521"/>
      <c r="O423" s="521">
        <f>+Tabla4[[#This Row],[PAGO NO EURO]]+Tabla4[[#This Row],[CARGO NO EURO]]</f>
        <v>0</v>
      </c>
      <c r="P423" s="521"/>
      <c r="Q423" s="88"/>
      <c r="R423" s="689">
        <f>+_xlfn.XLOOKUP(Tabla4[[#This Row],[ID CLIENTE]],'RESUMEN CLIENTES'!D:D,'RESUMEN CLIENTES'!G:G)</f>
        <v>45913</v>
      </c>
      <c r="S423" s="88" t="str">
        <f>+_xlfn.XLOOKUP(Tabla4[[#This Row],[ID CLIENTE]],'RESUMEN CLIENTES'!D:D,'RESUMEN CLIENTES'!AA:AA)</f>
        <v>null</v>
      </c>
      <c r="T423" s="680" t="str">
        <f>+_xlfn.XLOOKUP(Tabla4[[#This Row],[ID CLIENTE]],'RESUMEN CLIENTES'!D:D,'RESUMEN CLIENTES'!C:C)</f>
        <v>El Salvador</v>
      </c>
    </row>
    <row r="424" spans="1:20" ht="16">
      <c r="A424" s="82">
        <v>45913</v>
      </c>
      <c r="B424" s="82" t="str">
        <f>+_xlfn.XLOOKUP(Tabla4[[#This Row],[ID CLIENTE]],'RESUMEN CLIENTES'!D:D,'RESUMEN CLIENTES'!A:A)</f>
        <v>Judith Elizabeth Lopez Sanchez</v>
      </c>
      <c r="C424" s="83" t="s">
        <v>2416</v>
      </c>
      <c r="D424" s="83" t="s">
        <v>955</v>
      </c>
      <c r="E424" s="83" t="s">
        <v>956</v>
      </c>
      <c r="F424" s="83" t="s">
        <v>957</v>
      </c>
      <c r="G424" s="84">
        <f>+Tabla4[[#This Row],[PAGO NO EURO]]*Tabla4[[#This Row],[CAMBIO]]</f>
        <v>2003.9275956284152</v>
      </c>
      <c r="H424" s="85">
        <f>+Tabla4[[#This Row],[CARGO NO EURO]]*Tabla4[[#This Row],[CAMBIO]]</f>
        <v>-65.385928961748633</v>
      </c>
      <c r="I424" s="86">
        <f t="shared" si="14"/>
        <v>3.2628887942053687E-2</v>
      </c>
      <c r="J424" s="87">
        <f t="shared" si="15"/>
        <v>1938.5416666666665</v>
      </c>
      <c r="K424" s="87"/>
      <c r="L424" s="87" t="s">
        <v>4672</v>
      </c>
      <c r="M424" s="87" t="s">
        <v>2548</v>
      </c>
      <c r="N424" s="524">
        <v>2347</v>
      </c>
      <c r="O424" s="524">
        <f>+Tabla4[[#This Row],[PAGO NO EURO]]+Tabla4[[#This Row],[CARGO NO EURO]]</f>
        <v>2270.42</v>
      </c>
      <c r="P424" s="524">
        <v>-76.58</v>
      </c>
      <c r="Q424" s="92">
        <v>0.85382513661202186</v>
      </c>
      <c r="R424" s="690">
        <f>+_xlfn.XLOOKUP(Tabla4[[#This Row],[ID CLIENTE]],'RESUMEN CLIENTES'!D:D,'RESUMEN CLIENTES'!G:G)</f>
        <v>45913</v>
      </c>
      <c r="S424" s="92" t="str">
        <f>+_xlfn.XLOOKUP(Tabla4[[#This Row],[ID CLIENTE]],'RESUMEN CLIENTES'!D:D,'RESUMEN CLIENTES'!AA:AA)</f>
        <v>A1.1</v>
      </c>
      <c r="T424" s="680" t="str">
        <f>+_xlfn.XLOOKUP(Tabla4[[#This Row],[ID CLIENTE]],'RESUMEN CLIENTES'!D:D,'RESUMEN CLIENTES'!C:C)</f>
        <v>Perú</v>
      </c>
    </row>
    <row r="425" spans="1:20" ht="16">
      <c r="A425" s="82">
        <v>45913</v>
      </c>
      <c r="B425" s="82" t="str">
        <f>+_xlfn.XLOOKUP(Tabla4[[#This Row],[ID CLIENTE]],'RESUMEN CLIENTES'!D:D,'RESUMEN CLIENTES'!A:A)</f>
        <v>Kimberly Chantelle Frey Arteaga</v>
      </c>
      <c r="C425" s="83" t="s">
        <v>2311</v>
      </c>
      <c r="D425" s="83" t="s">
        <v>501</v>
      </c>
      <c r="E425" s="83" t="s">
        <v>948</v>
      </c>
      <c r="F425" s="83" t="s">
        <v>949</v>
      </c>
      <c r="G425" s="84">
        <v>1000</v>
      </c>
      <c r="H425" s="85">
        <v>-32.75</v>
      </c>
      <c r="I425" s="86">
        <f t="shared" si="14"/>
        <v>3.2750000000000001E-2</v>
      </c>
      <c r="J425" s="87">
        <f t="shared" si="15"/>
        <v>967.25</v>
      </c>
      <c r="K425" s="87"/>
      <c r="L425" s="87" t="s">
        <v>4672</v>
      </c>
      <c r="M425" s="87"/>
      <c r="N425" s="521"/>
      <c r="O425" s="521">
        <f>+Tabla4[[#This Row],[PAGO NO EURO]]+Tabla4[[#This Row],[CARGO NO EURO]]</f>
        <v>0</v>
      </c>
      <c r="P425" s="521"/>
      <c r="Q425" s="88"/>
      <c r="R425" s="689">
        <f>+_xlfn.XLOOKUP(Tabla4[[#This Row],[ID CLIENTE]],'RESUMEN CLIENTES'!D:D,'RESUMEN CLIENTES'!G:G)</f>
        <v>45858</v>
      </c>
      <c r="S425" s="88" t="str">
        <f>+_xlfn.XLOOKUP(Tabla4[[#This Row],[ID CLIENTE]],'RESUMEN CLIENTES'!D:D,'RESUMEN CLIENTES'!AA:AA)</f>
        <v>A1.1</v>
      </c>
      <c r="T425" s="680" t="str">
        <f>+_xlfn.XLOOKUP(Tabla4[[#This Row],[ID CLIENTE]],'RESUMEN CLIENTES'!D:D,'RESUMEN CLIENTES'!C:C)</f>
        <v>México</v>
      </c>
    </row>
    <row r="426" spans="1:20" ht="16">
      <c r="A426" s="82">
        <v>45914</v>
      </c>
      <c r="B426" s="82" t="str">
        <f>+_xlfn.XLOOKUP(Tabla4[[#This Row],[ID CLIENTE]],'RESUMEN CLIENTES'!D:D,'RESUMEN CLIENTES'!A:A)</f>
        <v>Matías Enrique Aguilera Mancilla</v>
      </c>
      <c r="C426" s="83" t="s">
        <v>2418</v>
      </c>
      <c r="D426" s="83" t="s">
        <v>958</v>
      </c>
      <c r="E426" s="83" t="s">
        <v>959</v>
      </c>
      <c r="F426" s="83" t="s">
        <v>960</v>
      </c>
      <c r="G426" s="84">
        <v>500</v>
      </c>
      <c r="H426" s="85">
        <v>-16.5</v>
      </c>
      <c r="I426" s="86">
        <f t="shared" si="14"/>
        <v>3.3000000000000002E-2</v>
      </c>
      <c r="J426" s="87">
        <f t="shared" si="15"/>
        <v>483.5</v>
      </c>
      <c r="K426" s="87"/>
      <c r="L426" s="87" t="s">
        <v>4672</v>
      </c>
      <c r="M426" s="87"/>
      <c r="N426" s="521"/>
      <c r="O426" s="521">
        <f>+Tabla4[[#This Row],[PAGO NO EURO]]+Tabla4[[#This Row],[CARGO NO EURO]]</f>
        <v>0</v>
      </c>
      <c r="P426" s="521"/>
      <c r="Q426" s="88"/>
      <c r="R426" s="689">
        <f>+_xlfn.XLOOKUP(Tabla4[[#This Row],[ID CLIENTE]],'RESUMEN CLIENTES'!D:D,'RESUMEN CLIENTES'!G:G)</f>
        <v>45914</v>
      </c>
      <c r="S426" s="88" t="str">
        <f>+_xlfn.XLOOKUP(Tabla4[[#This Row],[ID CLIENTE]],'RESUMEN CLIENTES'!D:D,'RESUMEN CLIENTES'!AA:AA)</f>
        <v>null</v>
      </c>
      <c r="T426" s="680" t="str">
        <f>+_xlfn.XLOOKUP(Tabla4[[#This Row],[ID CLIENTE]],'RESUMEN CLIENTES'!D:D,'RESUMEN CLIENTES'!C:C)</f>
        <v>Chile</v>
      </c>
    </row>
    <row r="427" spans="1:20" ht="16">
      <c r="A427" s="82">
        <v>45915</v>
      </c>
      <c r="B427" s="82" t="str">
        <f>+_xlfn.XLOOKUP(Tabla4[[#This Row],[ID CLIENTE]],'RESUMEN CLIENTES'!D:D,'RESUMEN CLIENTES'!A:A)</f>
        <v>Andrea Cristina Estrada Morocho</v>
      </c>
      <c r="C427" s="83" t="s">
        <v>2267</v>
      </c>
      <c r="D427" s="83" t="s">
        <v>325</v>
      </c>
      <c r="E427" s="83" t="s">
        <v>946</v>
      </c>
      <c r="F427" s="83" t="s">
        <v>947</v>
      </c>
      <c r="G427" s="84">
        <v>500</v>
      </c>
      <c r="H427" s="85">
        <v>-16.5</v>
      </c>
      <c r="I427" s="86">
        <f t="shared" si="14"/>
        <v>3.3000000000000002E-2</v>
      </c>
      <c r="J427" s="87">
        <f t="shared" si="15"/>
        <v>483.5</v>
      </c>
      <c r="K427" s="87"/>
      <c r="L427" s="87" t="s">
        <v>4672</v>
      </c>
      <c r="M427" s="87"/>
      <c r="N427" s="521"/>
      <c r="O427" s="521">
        <f>+Tabla4[[#This Row],[PAGO NO EURO]]+Tabla4[[#This Row],[CARGO NO EURO]]</f>
        <v>0</v>
      </c>
      <c r="P427" s="521"/>
      <c r="Q427" s="88"/>
      <c r="R427" s="689">
        <f>+_xlfn.XLOOKUP(Tabla4[[#This Row],[ID CLIENTE]],'RESUMEN CLIENTES'!D:D,'RESUMEN CLIENTES'!G:G)</f>
        <v>45831</v>
      </c>
      <c r="S427" s="88" t="str">
        <f>+_xlfn.XLOOKUP(Tabla4[[#This Row],[ID CLIENTE]],'RESUMEN CLIENTES'!D:D,'RESUMEN CLIENTES'!AA:AA)</f>
        <v>A1.1</v>
      </c>
      <c r="T427" s="680" t="str">
        <f>+_xlfn.XLOOKUP(Tabla4[[#This Row],[ID CLIENTE]],'RESUMEN CLIENTES'!D:D,'RESUMEN CLIENTES'!C:C)</f>
        <v>Ecuador</v>
      </c>
    </row>
    <row r="428" spans="1:20" ht="16">
      <c r="A428" s="82">
        <v>45915</v>
      </c>
      <c r="B428" s="82" t="str">
        <f>+_xlfn.XLOOKUP(Tabla4[[#This Row],[ID CLIENTE]],'RESUMEN CLIENTES'!D:D,'RESUMEN CLIENTES'!A:A)</f>
        <v>Carlos Alberto Suarez Hernandez</v>
      </c>
      <c r="C428" s="83" t="s">
        <v>2379</v>
      </c>
      <c r="D428" s="83" t="s">
        <v>751</v>
      </c>
      <c r="E428" s="83" t="s">
        <v>963</v>
      </c>
      <c r="F428" s="83" t="s">
        <v>964</v>
      </c>
      <c r="G428" s="84">
        <v>1000</v>
      </c>
      <c r="H428" s="85">
        <v>-32.75</v>
      </c>
      <c r="I428" s="86">
        <f t="shared" si="14"/>
        <v>3.2750000000000001E-2</v>
      </c>
      <c r="J428" s="87">
        <f t="shared" si="15"/>
        <v>967.25</v>
      </c>
      <c r="K428" s="87"/>
      <c r="L428" s="87" t="s">
        <v>4672</v>
      </c>
      <c r="M428" s="87"/>
      <c r="N428" s="521"/>
      <c r="O428" s="521">
        <f>+Tabla4[[#This Row],[PAGO NO EURO]]+Tabla4[[#This Row],[CARGO NO EURO]]</f>
        <v>0</v>
      </c>
      <c r="P428" s="521"/>
      <c r="Q428" s="88"/>
      <c r="R428" s="689">
        <f>+_xlfn.XLOOKUP(Tabla4[[#This Row],[ID CLIENTE]],'RESUMEN CLIENTES'!D:D,'RESUMEN CLIENTES'!G:G)</f>
        <v>45898</v>
      </c>
      <c r="S428" s="88" t="str">
        <f>+_xlfn.XLOOKUP(Tabla4[[#This Row],[ID CLIENTE]],'RESUMEN CLIENTES'!D:D,'RESUMEN CLIENTES'!AA:AA)</f>
        <v>A1.1</v>
      </c>
      <c r="T428" s="680" t="str">
        <f>+_xlfn.XLOOKUP(Tabla4[[#This Row],[ID CLIENTE]],'RESUMEN CLIENTES'!D:D,'RESUMEN CLIENTES'!C:C)</f>
        <v>Colombia</v>
      </c>
    </row>
    <row r="429" spans="1:20" ht="16">
      <c r="A429" s="82">
        <v>45915</v>
      </c>
      <c r="B429" s="82" t="str">
        <f>+_xlfn.XLOOKUP(Tabla4[[#This Row],[ID CLIENTE]],'RESUMEN CLIENTES'!D:D,'RESUMEN CLIENTES'!A:A)</f>
        <v>David Enrique Díaz Mejía</v>
      </c>
      <c r="C429" s="83" t="s">
        <v>2189</v>
      </c>
      <c r="D429" s="83" t="s">
        <v>90</v>
      </c>
      <c r="E429" s="83" t="s">
        <v>992</v>
      </c>
      <c r="F429" s="83" t="s">
        <v>993</v>
      </c>
      <c r="G429" s="84">
        <v>1000</v>
      </c>
      <c r="H429" s="85">
        <v>0</v>
      </c>
      <c r="I429" s="86">
        <f t="shared" si="14"/>
        <v>0</v>
      </c>
      <c r="J429" s="87">
        <f t="shared" si="15"/>
        <v>1000</v>
      </c>
      <c r="K429" s="87"/>
      <c r="L429" s="87" t="s">
        <v>4672</v>
      </c>
      <c r="M429" s="87"/>
      <c r="N429" s="521"/>
      <c r="O429" s="521">
        <f>+Tabla4[[#This Row],[PAGO NO EURO]]+Tabla4[[#This Row],[CARGO NO EURO]]</f>
        <v>0</v>
      </c>
      <c r="P429" s="521"/>
      <c r="Q429" s="88"/>
      <c r="R429" s="689">
        <f>+_xlfn.XLOOKUP(Tabla4[[#This Row],[ID CLIENTE]],'RESUMEN CLIENTES'!D:D,'RESUMEN CLIENTES'!G:G)</f>
        <v>45774</v>
      </c>
      <c r="S429" s="88" t="str">
        <f>+_xlfn.XLOOKUP(Tabla4[[#This Row],[ID CLIENTE]],'RESUMEN CLIENTES'!D:D,'RESUMEN CLIENTES'!AA:AA)</f>
        <v>A1.1</v>
      </c>
      <c r="T429" s="680" t="str">
        <f>+_xlfn.XLOOKUP(Tabla4[[#This Row],[ID CLIENTE]],'RESUMEN CLIENTES'!D:D,'RESUMEN CLIENTES'!C:C)</f>
        <v>Honduras</v>
      </c>
    </row>
    <row r="430" spans="1:20" ht="16">
      <c r="A430" s="82">
        <v>45915</v>
      </c>
      <c r="B430" s="82" t="str">
        <f>+_xlfn.XLOOKUP(Tabla4[[#This Row],[ID CLIENTE]],'RESUMEN CLIENTES'!D:D,'RESUMEN CLIENTES'!A:A)</f>
        <v>Gustavo Alexander Gonzalez Muñoz</v>
      </c>
      <c r="C430" s="83" t="s">
        <v>2420</v>
      </c>
      <c r="D430" s="83" t="s">
        <v>970</v>
      </c>
      <c r="E430" s="83" t="s">
        <v>971</v>
      </c>
      <c r="F430" s="83" t="s">
        <v>972</v>
      </c>
      <c r="G430" s="84">
        <v>250</v>
      </c>
      <c r="H430" s="85">
        <v>-8.3800000000000008</v>
      </c>
      <c r="I430" s="86">
        <f t="shared" si="14"/>
        <v>3.3520000000000001E-2</v>
      </c>
      <c r="J430" s="87">
        <f t="shared" si="15"/>
        <v>241.62</v>
      </c>
      <c r="K430" s="87"/>
      <c r="L430" s="87" t="s">
        <v>4672</v>
      </c>
      <c r="M430" s="87"/>
      <c r="N430" s="521"/>
      <c r="O430" s="521">
        <f>+Tabla4[[#This Row],[PAGO NO EURO]]+Tabla4[[#This Row],[CARGO NO EURO]]</f>
        <v>0</v>
      </c>
      <c r="P430" s="521"/>
      <c r="Q430" s="88"/>
      <c r="R430" s="689">
        <f>+_xlfn.XLOOKUP(Tabla4[[#This Row],[ID CLIENTE]],'RESUMEN CLIENTES'!D:D,'RESUMEN CLIENTES'!G:G)</f>
        <v>45915</v>
      </c>
      <c r="S430" s="88" t="str">
        <f>+_xlfn.XLOOKUP(Tabla4[[#This Row],[ID CLIENTE]],'RESUMEN CLIENTES'!D:D,'RESUMEN CLIENTES'!AA:AA)</f>
        <v>null</v>
      </c>
      <c r="T430" s="680" t="str">
        <f>+_xlfn.XLOOKUP(Tabla4[[#This Row],[ID CLIENTE]],'RESUMEN CLIENTES'!D:D,'RESUMEN CLIENTES'!C:C)</f>
        <v>Colombia</v>
      </c>
    </row>
    <row r="431" spans="1:20" ht="16">
      <c r="A431" s="82">
        <v>45915</v>
      </c>
      <c r="B431" s="82" t="str">
        <f>+_xlfn.XLOOKUP(Tabla4[[#This Row],[ID CLIENTE]],'RESUMEN CLIENTES'!D:D,'RESUMEN CLIENTES'!A:A)</f>
        <v>Matías Enrique Aguilera Mancilla</v>
      </c>
      <c r="C431" s="83" t="s">
        <v>2418</v>
      </c>
      <c r="D431" s="83" t="s">
        <v>958</v>
      </c>
      <c r="E431" s="83" t="s">
        <v>988</v>
      </c>
      <c r="F431" s="83" t="s">
        <v>989</v>
      </c>
      <c r="G431" s="84">
        <v>1043.07</v>
      </c>
      <c r="H431" s="85">
        <v>-34.15</v>
      </c>
      <c r="I431" s="86">
        <f t="shared" si="14"/>
        <v>3.2739892816397748E-2</v>
      </c>
      <c r="J431" s="87">
        <f t="shared" si="15"/>
        <v>1008.92</v>
      </c>
      <c r="K431" s="87"/>
      <c r="L431" s="87" t="s">
        <v>4672</v>
      </c>
      <c r="M431" s="87"/>
      <c r="N431" s="521"/>
      <c r="O431" s="521">
        <f>+Tabla4[[#This Row],[PAGO NO EURO]]+Tabla4[[#This Row],[CARGO NO EURO]]</f>
        <v>0</v>
      </c>
      <c r="P431" s="521"/>
      <c r="Q431" s="88"/>
      <c r="R431" s="689">
        <f>+_xlfn.XLOOKUP(Tabla4[[#This Row],[ID CLIENTE]],'RESUMEN CLIENTES'!D:D,'RESUMEN CLIENTES'!G:G)</f>
        <v>45914</v>
      </c>
      <c r="S431" s="88" t="str">
        <f>+_xlfn.XLOOKUP(Tabla4[[#This Row],[ID CLIENTE]],'RESUMEN CLIENTES'!D:D,'RESUMEN CLIENTES'!AA:AA)</f>
        <v>null</v>
      </c>
      <c r="T431" s="680" t="str">
        <f>+_xlfn.XLOOKUP(Tabla4[[#This Row],[ID CLIENTE]],'RESUMEN CLIENTES'!D:D,'RESUMEN CLIENTES'!C:C)</f>
        <v>Chile</v>
      </c>
    </row>
    <row r="432" spans="1:20" ht="16">
      <c r="A432" s="82">
        <v>45915</v>
      </c>
      <c r="B432" s="82" t="str">
        <f>+_xlfn.XLOOKUP(Tabla4[[#This Row],[ID CLIENTE]],'RESUMEN CLIENTES'!D:D,'RESUMEN CLIENTES'!A:A)</f>
        <v>Isaac Ricardo Jimenez Campos</v>
      </c>
      <c r="C432" s="83" t="s">
        <v>2131</v>
      </c>
      <c r="D432" s="83" t="s">
        <v>103</v>
      </c>
      <c r="E432" s="83" t="s">
        <v>980</v>
      </c>
      <c r="F432" s="83" t="s">
        <v>981</v>
      </c>
      <c r="G432" s="84">
        <v>654</v>
      </c>
      <c r="H432" s="85">
        <v>-21.51</v>
      </c>
      <c r="I432" s="86">
        <f t="shared" si="14"/>
        <v>3.2889908256880734E-2</v>
      </c>
      <c r="J432" s="87">
        <f t="shared" si="15"/>
        <v>632.49</v>
      </c>
      <c r="K432" s="87"/>
      <c r="L432" s="87" t="s">
        <v>4672</v>
      </c>
      <c r="M432" s="87"/>
      <c r="N432" s="521"/>
      <c r="O432" s="521">
        <f>+Tabla4[[#This Row],[PAGO NO EURO]]+Tabla4[[#This Row],[CARGO NO EURO]]</f>
        <v>0</v>
      </c>
      <c r="P432" s="521"/>
      <c r="Q432" s="88"/>
      <c r="R432" s="689">
        <f>+_xlfn.XLOOKUP(Tabla4[[#This Row],[ID CLIENTE]],'RESUMEN CLIENTES'!D:D,'RESUMEN CLIENTES'!G:G)</f>
        <v>45725</v>
      </c>
      <c r="S432" s="88" t="str">
        <f>+_xlfn.XLOOKUP(Tabla4[[#This Row],[ID CLIENTE]],'RESUMEN CLIENTES'!D:D,'RESUMEN CLIENTES'!AA:AA)</f>
        <v>null</v>
      </c>
      <c r="T432" s="680" t="str">
        <f>+_xlfn.XLOOKUP(Tabla4[[#This Row],[ID CLIENTE]],'RESUMEN CLIENTES'!D:D,'RESUMEN CLIENTES'!C:C)</f>
        <v>México</v>
      </c>
    </row>
    <row r="433" spans="1:20" ht="16">
      <c r="A433" s="82">
        <v>45915</v>
      </c>
      <c r="B433" s="82" t="str">
        <f>+_xlfn.XLOOKUP(Tabla4[[#This Row],[ID CLIENTE]],'RESUMEN CLIENTES'!D:D,'RESUMEN CLIENTES'!A:A)</f>
        <v>María Stefania Gelvez Olaya</v>
      </c>
      <c r="C433" s="83" t="s">
        <v>2383</v>
      </c>
      <c r="D433" s="83" t="s">
        <v>762</v>
      </c>
      <c r="E433" s="83" t="s">
        <v>986</v>
      </c>
      <c r="F433" s="83" t="s">
        <v>987</v>
      </c>
      <c r="G433" s="84">
        <v>1000</v>
      </c>
      <c r="H433" s="85">
        <v>-32.75</v>
      </c>
      <c r="I433" s="86">
        <f t="shared" si="14"/>
        <v>3.2750000000000001E-2</v>
      </c>
      <c r="J433" s="87">
        <f t="shared" si="15"/>
        <v>967.25</v>
      </c>
      <c r="K433" s="87"/>
      <c r="L433" s="87" t="s">
        <v>4672</v>
      </c>
      <c r="M433" s="87"/>
      <c r="N433" s="521"/>
      <c r="O433" s="521">
        <f>+Tabla4[[#This Row],[PAGO NO EURO]]+Tabla4[[#This Row],[CARGO NO EURO]]</f>
        <v>0</v>
      </c>
      <c r="P433" s="521"/>
      <c r="Q433" s="88"/>
      <c r="R433" s="689">
        <f>+_xlfn.XLOOKUP(Tabla4[[#This Row],[ID CLIENTE]],'RESUMEN CLIENTES'!D:D,'RESUMEN CLIENTES'!G:G)</f>
        <v>45898</v>
      </c>
      <c r="S433" s="88" t="str">
        <f>+_xlfn.XLOOKUP(Tabla4[[#This Row],[ID CLIENTE]],'RESUMEN CLIENTES'!D:D,'RESUMEN CLIENTES'!AA:AA)</f>
        <v>A1.1</v>
      </c>
      <c r="T433" s="680" t="str">
        <f>+_xlfn.XLOOKUP(Tabla4[[#This Row],[ID CLIENTE]],'RESUMEN CLIENTES'!D:D,'RESUMEN CLIENTES'!C:C)</f>
        <v>Colombia</v>
      </c>
    </row>
    <row r="434" spans="1:20" ht="16">
      <c r="A434" s="82">
        <v>45915</v>
      </c>
      <c r="B434" s="82" t="str">
        <f>+_xlfn.XLOOKUP(Tabla4[[#This Row],[ID CLIENTE]],'RESUMEN CLIENTES'!D:D,'RESUMEN CLIENTES'!A:A)</f>
        <v>Catalina Andrea Videla Muñoz</v>
      </c>
      <c r="C434" s="83" t="s">
        <v>2164</v>
      </c>
      <c r="D434" s="83" t="s">
        <v>156</v>
      </c>
      <c r="E434" s="83" t="s">
        <v>965</v>
      </c>
      <c r="F434" s="83" t="s">
        <v>966</v>
      </c>
      <c r="G434" s="84">
        <v>1250</v>
      </c>
      <c r="H434" s="85">
        <v>-40.880000000000003</v>
      </c>
      <c r="I434" s="86">
        <f t="shared" si="14"/>
        <v>3.2704000000000004E-2</v>
      </c>
      <c r="J434" s="87">
        <f t="shared" si="15"/>
        <v>1209.1199999999999</v>
      </c>
      <c r="K434" s="87"/>
      <c r="L434" s="87" t="s">
        <v>4672</v>
      </c>
      <c r="M434" s="87"/>
      <c r="N434" s="521"/>
      <c r="O434" s="521">
        <f>+Tabla4[[#This Row],[PAGO NO EURO]]+Tabla4[[#This Row],[CARGO NO EURO]]</f>
        <v>0</v>
      </c>
      <c r="P434" s="521"/>
      <c r="Q434" s="88"/>
      <c r="R434" s="689">
        <f>+_xlfn.XLOOKUP(Tabla4[[#This Row],[ID CLIENTE]],'RESUMEN CLIENTES'!D:D,'RESUMEN CLIENTES'!G:G)</f>
        <v>45755</v>
      </c>
      <c r="S434" s="88" t="str">
        <f>+_xlfn.XLOOKUP(Tabla4[[#This Row],[ID CLIENTE]],'RESUMEN CLIENTES'!D:D,'RESUMEN CLIENTES'!AA:AA)</f>
        <v>B1.3</v>
      </c>
      <c r="T434" s="680" t="str">
        <f>+_xlfn.XLOOKUP(Tabla4[[#This Row],[ID CLIENTE]],'RESUMEN CLIENTES'!D:D,'RESUMEN CLIENTES'!C:C)</f>
        <v>Chile</v>
      </c>
    </row>
    <row r="435" spans="1:20" ht="16">
      <c r="A435" s="82">
        <v>45916</v>
      </c>
      <c r="B435" s="82" t="str">
        <f>+_xlfn.XLOOKUP(Tabla4[[#This Row],[ID CLIENTE]],'RESUMEN CLIENTES'!D:D,'RESUMEN CLIENTES'!A:A)</f>
        <v>Gabriel Alejandro Ortega Moreno</v>
      </c>
      <c r="C435" s="83" t="s">
        <v>2129</v>
      </c>
      <c r="D435" s="83" t="s">
        <v>95</v>
      </c>
      <c r="E435" s="83" t="s">
        <v>967</v>
      </c>
      <c r="F435" s="83" t="s">
        <v>968</v>
      </c>
      <c r="G435" s="84">
        <f>+Tabla4[[#This Row],[PAGO NO EURO]]*Tabla4[[#This Row],[CAMBIO]]</f>
        <v>853.82513661202188</v>
      </c>
      <c r="H435" s="85">
        <f>+Tabla4[[#This Row],[CARGO NO EURO]]*Tabla4[[#This Row],[CAMBIO]]</f>
        <v>-28.005464480874316</v>
      </c>
      <c r="I435" s="86">
        <f t="shared" si="14"/>
        <v>3.2799999999999996E-2</v>
      </c>
      <c r="J435" s="87">
        <f t="shared" si="15"/>
        <v>825.81967213114751</v>
      </c>
      <c r="K435" s="87"/>
      <c r="L435" s="87" t="s">
        <v>4672</v>
      </c>
      <c r="M435" s="87" t="s">
        <v>2548</v>
      </c>
      <c r="N435" s="524">
        <v>1000</v>
      </c>
      <c r="O435" s="524">
        <f>+Tabla4[[#This Row],[PAGO NO EURO]]+Tabla4[[#This Row],[CARGO NO EURO]]</f>
        <v>967.2</v>
      </c>
      <c r="P435" s="524">
        <v>-32.799999999999997</v>
      </c>
      <c r="Q435" s="92">
        <v>0.85382513661202186</v>
      </c>
      <c r="R435" s="690">
        <f>+_xlfn.XLOOKUP(Tabla4[[#This Row],[ID CLIENTE]],'RESUMEN CLIENTES'!D:D,'RESUMEN CLIENTES'!G:G)</f>
        <v>45721</v>
      </c>
      <c r="S435" s="92" t="str">
        <f>+_xlfn.XLOOKUP(Tabla4[[#This Row],[ID CLIENTE]],'RESUMEN CLIENTES'!D:D,'RESUMEN CLIENTES'!AA:AA)</f>
        <v>B2.1</v>
      </c>
      <c r="T435" s="680" t="str">
        <f>+_xlfn.XLOOKUP(Tabla4[[#This Row],[ID CLIENTE]],'RESUMEN CLIENTES'!D:D,'RESUMEN CLIENTES'!C:C)</f>
        <v>Ecuador</v>
      </c>
    </row>
    <row r="436" spans="1:20" ht="16">
      <c r="A436" s="82">
        <v>45916</v>
      </c>
      <c r="B436" s="82" t="str">
        <f>+_xlfn.XLOOKUP(Tabla4[[#This Row],[ID CLIENTE]],'RESUMEN CLIENTES'!D:D,'RESUMEN CLIENTES'!A:A)</f>
        <v>Ignacio Manuel Jesus Orellana Gutiérrez</v>
      </c>
      <c r="C436" s="83" t="s">
        <v>2360</v>
      </c>
      <c r="D436" s="83" t="s">
        <v>700</v>
      </c>
      <c r="E436" s="83" t="s">
        <v>977</v>
      </c>
      <c r="F436" s="83" t="s">
        <v>978</v>
      </c>
      <c r="G436" s="84">
        <v>8062.05</v>
      </c>
      <c r="H436" s="85">
        <v>-262.27</v>
      </c>
      <c r="I436" s="86">
        <f t="shared" si="14"/>
        <v>3.2531428110716257E-2</v>
      </c>
      <c r="J436" s="87">
        <f t="shared" si="15"/>
        <v>7799.7800000000007</v>
      </c>
      <c r="K436" s="87"/>
      <c r="L436" s="87" t="s">
        <v>4672</v>
      </c>
      <c r="M436" s="87"/>
      <c r="N436" s="521"/>
      <c r="O436" s="521">
        <f>+Tabla4[[#This Row],[PAGO NO EURO]]+Tabla4[[#This Row],[CARGO NO EURO]]</f>
        <v>0</v>
      </c>
      <c r="P436" s="521"/>
      <c r="Q436" s="88"/>
      <c r="R436" s="689">
        <f>+_xlfn.XLOOKUP(Tabla4[[#This Row],[ID CLIENTE]],'RESUMEN CLIENTES'!D:D,'RESUMEN CLIENTES'!G:G)</f>
        <v>45887</v>
      </c>
      <c r="S436" s="88" t="str">
        <f>+_xlfn.XLOOKUP(Tabla4[[#This Row],[ID CLIENTE]],'RESUMEN CLIENTES'!D:D,'RESUMEN CLIENTES'!AA:AA)</f>
        <v>A2.1</v>
      </c>
      <c r="T436" s="680" t="str">
        <f>+_xlfn.XLOOKUP(Tabla4[[#This Row],[ID CLIENTE]],'RESUMEN CLIENTES'!D:D,'RESUMEN CLIENTES'!C:C)</f>
        <v>Chile</v>
      </c>
    </row>
    <row r="437" spans="1:20" ht="16">
      <c r="A437" s="82">
        <v>45916</v>
      </c>
      <c r="B437" s="82" t="str">
        <f>+_xlfn.XLOOKUP(Tabla4[[#This Row],[ID CLIENTE]],'RESUMEN CLIENTES'!D:D,'RESUMEN CLIENTES'!A:A)</f>
        <v>Jessica Ayelén Culla Alvarez</v>
      </c>
      <c r="C437" s="83" t="s">
        <v>2265</v>
      </c>
      <c r="D437" s="83" t="s">
        <v>362</v>
      </c>
      <c r="E437" s="83" t="s">
        <v>982</v>
      </c>
      <c r="F437" s="83" t="s">
        <v>983</v>
      </c>
      <c r="G437" s="84">
        <v>1000</v>
      </c>
      <c r="H437" s="85">
        <v>-5</v>
      </c>
      <c r="I437" s="86">
        <f t="shared" si="14"/>
        <v>5.0000000000000001E-3</v>
      </c>
      <c r="J437" s="87">
        <f t="shared" si="15"/>
        <v>995</v>
      </c>
      <c r="K437" s="87"/>
      <c r="L437" s="87" t="s">
        <v>4672</v>
      </c>
      <c r="M437" s="87"/>
      <c r="N437" s="521"/>
      <c r="O437" s="521">
        <f>+Tabla4[[#This Row],[PAGO NO EURO]]+Tabla4[[#This Row],[CARGO NO EURO]]</f>
        <v>0</v>
      </c>
      <c r="P437" s="521"/>
      <c r="Q437" s="88"/>
      <c r="R437" s="689">
        <f>+_xlfn.XLOOKUP(Tabla4[[#This Row],[ID CLIENTE]],'RESUMEN CLIENTES'!D:D,'RESUMEN CLIENTES'!G:G)</f>
        <v>45830</v>
      </c>
      <c r="S437" s="88" t="str">
        <f>+_xlfn.XLOOKUP(Tabla4[[#This Row],[ID CLIENTE]],'RESUMEN CLIENTES'!D:D,'RESUMEN CLIENTES'!AA:AA)</f>
        <v>B1.1</v>
      </c>
      <c r="T437" s="680" t="str">
        <f>+_xlfn.XLOOKUP(Tabla4[[#This Row],[ID CLIENTE]],'RESUMEN CLIENTES'!D:D,'RESUMEN CLIENTES'!C:C)</f>
        <v>Argentina</v>
      </c>
    </row>
    <row r="438" spans="1:20" ht="16">
      <c r="A438" s="82">
        <v>45916</v>
      </c>
      <c r="B438" s="82" t="str">
        <f>+_xlfn.XLOOKUP(Tabla4[[#This Row],[ID CLIENTE]],'RESUMEN CLIENTES'!D:D,'RESUMEN CLIENTES'!A:A)</f>
        <v>Liliana Alejandra Gruezo Pérez</v>
      </c>
      <c r="C438" s="83" t="s">
        <v>2298</v>
      </c>
      <c r="D438" s="83" t="s">
        <v>484</v>
      </c>
      <c r="E438" s="83" t="s">
        <v>950</v>
      </c>
      <c r="F438" s="83" t="s">
        <v>951</v>
      </c>
      <c r="G438" s="84">
        <v>470</v>
      </c>
      <c r="H438" s="85">
        <v>0</v>
      </c>
      <c r="I438" s="86">
        <f t="shared" si="14"/>
        <v>0</v>
      </c>
      <c r="J438" s="87">
        <f t="shared" si="15"/>
        <v>470</v>
      </c>
      <c r="K438" s="87" t="s">
        <v>2542</v>
      </c>
      <c r="L438" s="87" t="s">
        <v>4672</v>
      </c>
      <c r="M438" s="87"/>
      <c r="N438" s="521"/>
      <c r="O438" s="521">
        <f>+Tabla4[[#This Row],[PAGO NO EURO]]+Tabla4[[#This Row],[CARGO NO EURO]]</f>
        <v>0</v>
      </c>
      <c r="P438" s="521"/>
      <c r="Q438" s="88"/>
      <c r="R438" s="689">
        <f>+_xlfn.XLOOKUP(Tabla4[[#This Row],[ID CLIENTE]],'RESUMEN CLIENTES'!D:D,'RESUMEN CLIENTES'!G:G)</f>
        <v>45852</v>
      </c>
      <c r="S438" s="88" t="str">
        <f>+_xlfn.XLOOKUP(Tabla4[[#This Row],[ID CLIENTE]],'RESUMEN CLIENTES'!D:D,'RESUMEN CLIENTES'!AA:AA)</f>
        <v>A1.2</v>
      </c>
      <c r="T438" s="680" t="str">
        <f>+_xlfn.XLOOKUP(Tabla4[[#This Row],[ID CLIENTE]],'RESUMEN CLIENTES'!D:D,'RESUMEN CLIENTES'!C:C)</f>
        <v>Ecuador</v>
      </c>
    </row>
    <row r="439" spans="1:20" ht="16">
      <c r="A439" s="82">
        <v>45916</v>
      </c>
      <c r="B439" s="82" t="str">
        <f>+_xlfn.XLOOKUP(Tabla4[[#This Row],[ID CLIENTE]],'RESUMEN CLIENTES'!D:D,'RESUMEN CLIENTES'!A:A)</f>
        <v>Raúl Ernesto Martínez Orantes</v>
      </c>
      <c r="C439" s="83" t="s">
        <v>2422</v>
      </c>
      <c r="D439" s="83" t="s">
        <v>994</v>
      </c>
      <c r="E439" s="83" t="s">
        <v>995</v>
      </c>
      <c r="F439" s="83" t="s">
        <v>996</v>
      </c>
      <c r="G439" s="84">
        <v>500</v>
      </c>
      <c r="H439" s="85">
        <v>-16.5</v>
      </c>
      <c r="I439" s="86">
        <f t="shared" si="14"/>
        <v>3.3000000000000002E-2</v>
      </c>
      <c r="J439" s="87">
        <f t="shared" si="15"/>
        <v>483.5</v>
      </c>
      <c r="K439" s="87"/>
      <c r="L439" s="87" t="s">
        <v>4672</v>
      </c>
      <c r="M439" s="87"/>
      <c r="N439" s="521"/>
      <c r="O439" s="521">
        <f>+Tabla4[[#This Row],[PAGO NO EURO]]+Tabla4[[#This Row],[CARGO NO EURO]]</f>
        <v>0</v>
      </c>
      <c r="P439" s="521"/>
      <c r="Q439" s="88"/>
      <c r="R439" s="689">
        <f>+_xlfn.XLOOKUP(Tabla4[[#This Row],[ID CLIENTE]],'RESUMEN CLIENTES'!D:D,'RESUMEN CLIENTES'!G:G)</f>
        <v>45916</v>
      </c>
      <c r="S439" s="88" t="str">
        <f>+_xlfn.XLOOKUP(Tabla4[[#This Row],[ID CLIENTE]],'RESUMEN CLIENTES'!D:D,'RESUMEN CLIENTES'!AA:AA)</f>
        <v>A1.1</v>
      </c>
      <c r="T439" s="680" t="str">
        <f>+_xlfn.XLOOKUP(Tabla4[[#This Row],[ID CLIENTE]],'RESUMEN CLIENTES'!D:D,'RESUMEN CLIENTES'!C:C)</f>
        <v>El Salvador</v>
      </c>
    </row>
    <row r="440" spans="1:20" ht="16">
      <c r="A440" s="82">
        <v>45917</v>
      </c>
      <c r="B440" s="82" t="str">
        <f>+_xlfn.XLOOKUP(Tabla4[[#This Row],[ID CLIENTE]],'RESUMEN CLIENTES'!D:D,'RESUMEN CLIENTES'!A:A)</f>
        <v>Alina Maria Cervantes Real</v>
      </c>
      <c r="C440" s="83" t="s">
        <v>2149</v>
      </c>
      <c r="D440" s="83" t="s">
        <v>187</v>
      </c>
      <c r="E440" s="83" t="s">
        <v>961</v>
      </c>
      <c r="F440" s="83" t="s">
        <v>962</v>
      </c>
      <c r="G440" s="84">
        <v>1500</v>
      </c>
      <c r="H440" s="85">
        <v>-49</v>
      </c>
      <c r="I440" s="86">
        <f t="shared" si="14"/>
        <v>3.2666666666666663E-2</v>
      </c>
      <c r="J440" s="87">
        <f t="shared" si="15"/>
        <v>1451</v>
      </c>
      <c r="K440" s="87"/>
      <c r="L440" s="87" t="s">
        <v>4672</v>
      </c>
      <c r="M440" s="87"/>
      <c r="N440" s="521"/>
      <c r="O440" s="521">
        <f>+Tabla4[[#This Row],[PAGO NO EURO]]+Tabla4[[#This Row],[CARGO NO EURO]]</f>
        <v>0</v>
      </c>
      <c r="P440" s="521"/>
      <c r="Q440" s="88"/>
      <c r="R440" s="689">
        <f>+_xlfn.XLOOKUP(Tabla4[[#This Row],[ID CLIENTE]],'RESUMEN CLIENTES'!D:D,'RESUMEN CLIENTES'!G:G)</f>
        <v>45741</v>
      </c>
      <c r="S440" s="88" t="str">
        <f>+_xlfn.XLOOKUP(Tabla4[[#This Row],[ID CLIENTE]],'RESUMEN CLIENTES'!D:D,'RESUMEN CLIENTES'!AA:AA)</f>
        <v>B1.1</v>
      </c>
      <c r="T440" s="680" t="str">
        <f>+_xlfn.XLOOKUP(Tabla4[[#This Row],[ID CLIENTE]],'RESUMEN CLIENTES'!D:D,'RESUMEN CLIENTES'!C:C)</f>
        <v>México</v>
      </c>
    </row>
    <row r="441" spans="1:20" ht="16">
      <c r="A441" s="82">
        <v>45917</v>
      </c>
      <c r="B441" s="82" t="str">
        <f>+_xlfn.XLOOKUP(Tabla4[[#This Row],[ID CLIENTE]],'RESUMEN CLIENTES'!D:D,'RESUMEN CLIENTES'!A:A)</f>
        <v>Raúl Ernesto Martínez Orantes</v>
      </c>
      <c r="C441" s="83" t="s">
        <v>2422</v>
      </c>
      <c r="D441" s="83" t="s">
        <v>994</v>
      </c>
      <c r="E441" s="83" t="s">
        <v>997</v>
      </c>
      <c r="F441" s="83" t="s">
        <v>998</v>
      </c>
      <c r="G441" s="84">
        <v>2500</v>
      </c>
      <c r="H441" s="85">
        <v>-81.5</v>
      </c>
      <c r="I441" s="86">
        <f t="shared" si="14"/>
        <v>3.2599999999999997E-2</v>
      </c>
      <c r="J441" s="87">
        <f t="shared" si="15"/>
        <v>2418.5</v>
      </c>
      <c r="K441" s="87"/>
      <c r="L441" s="87" t="s">
        <v>4672</v>
      </c>
      <c r="M441" s="87"/>
      <c r="N441" s="521"/>
      <c r="O441" s="521">
        <f>+Tabla4[[#This Row],[PAGO NO EURO]]+Tabla4[[#This Row],[CARGO NO EURO]]</f>
        <v>0</v>
      </c>
      <c r="P441" s="521"/>
      <c r="Q441" s="88"/>
      <c r="R441" s="689">
        <f>+_xlfn.XLOOKUP(Tabla4[[#This Row],[ID CLIENTE]],'RESUMEN CLIENTES'!D:D,'RESUMEN CLIENTES'!G:G)</f>
        <v>45916</v>
      </c>
      <c r="S441" s="88" t="str">
        <f>+_xlfn.XLOOKUP(Tabla4[[#This Row],[ID CLIENTE]],'RESUMEN CLIENTES'!D:D,'RESUMEN CLIENTES'!AA:AA)</f>
        <v>A1.1</v>
      </c>
      <c r="T441" s="680" t="str">
        <f>+_xlfn.XLOOKUP(Tabla4[[#This Row],[ID CLIENTE]],'RESUMEN CLIENTES'!D:D,'RESUMEN CLIENTES'!C:C)</f>
        <v>El Salvador</v>
      </c>
    </row>
    <row r="442" spans="1:20" ht="16">
      <c r="A442" s="82">
        <v>45918</v>
      </c>
      <c r="B442" s="82" t="str">
        <f>+_xlfn.XLOOKUP(Tabla4[[#This Row],[ID CLIENTE]],'RESUMEN CLIENTES'!D:D,'RESUMEN CLIENTES'!A:A)</f>
        <v>Nancy Gisselle Molinari Cheme</v>
      </c>
      <c r="C442" s="83" t="s">
        <v>2212</v>
      </c>
      <c r="D442" s="83" t="s">
        <v>247</v>
      </c>
      <c r="E442" s="83" t="s">
        <v>999</v>
      </c>
      <c r="F442" s="83" t="s">
        <v>1000</v>
      </c>
      <c r="G442" s="84">
        <v>1000</v>
      </c>
      <c r="H442" s="85">
        <v>-32.75</v>
      </c>
      <c r="I442" s="86">
        <f t="shared" si="14"/>
        <v>3.2750000000000001E-2</v>
      </c>
      <c r="J442" s="87">
        <f t="shared" si="15"/>
        <v>967.25</v>
      </c>
      <c r="K442" s="87"/>
      <c r="L442" s="87" t="s">
        <v>4672</v>
      </c>
      <c r="M442" s="87"/>
      <c r="N442" s="521"/>
      <c r="O442" s="521">
        <f>+Tabla4[[#This Row],[PAGO NO EURO]]+Tabla4[[#This Row],[CARGO NO EURO]]</f>
        <v>0</v>
      </c>
      <c r="P442" s="521"/>
      <c r="Q442" s="88"/>
      <c r="R442" s="689">
        <f>+_xlfn.XLOOKUP(Tabla4[[#This Row],[ID CLIENTE]],'RESUMEN CLIENTES'!D:D,'RESUMEN CLIENTES'!G:G)</f>
        <v>45794</v>
      </c>
      <c r="S442" s="88" t="str">
        <f>+_xlfn.XLOOKUP(Tabla4[[#This Row],[ID CLIENTE]],'RESUMEN CLIENTES'!D:D,'RESUMEN CLIENTES'!AA:AA)</f>
        <v>B1.1</v>
      </c>
      <c r="T442" s="680" t="str">
        <f>+_xlfn.XLOOKUP(Tabla4[[#This Row],[ID CLIENTE]],'RESUMEN CLIENTES'!D:D,'RESUMEN CLIENTES'!C:C)</f>
        <v>Perú</v>
      </c>
    </row>
    <row r="443" spans="1:20" ht="16">
      <c r="A443" s="82">
        <v>45919</v>
      </c>
      <c r="B443" s="82" t="str">
        <f>+_xlfn.XLOOKUP(Tabla4[[#This Row],[ID CLIENTE]],'RESUMEN CLIENTES'!D:D,'RESUMEN CLIENTES'!A:A)</f>
        <v>Rodrigo Ignacio Rodriguez Frutos</v>
      </c>
      <c r="C443" s="83" t="s">
        <v>2214</v>
      </c>
      <c r="D443" s="83" t="s">
        <v>242</v>
      </c>
      <c r="E443" s="83" t="s">
        <v>990</v>
      </c>
      <c r="F443" s="83" t="s">
        <v>991</v>
      </c>
      <c r="G443" s="84">
        <v>2000</v>
      </c>
      <c r="H443" s="85">
        <v>-5</v>
      </c>
      <c r="I443" s="86">
        <f t="shared" si="14"/>
        <v>2.5000000000000001E-3</v>
      </c>
      <c r="J443" s="87">
        <f t="shared" si="15"/>
        <v>1995</v>
      </c>
      <c r="K443" s="87"/>
      <c r="L443" s="87" t="s">
        <v>4672</v>
      </c>
      <c r="M443" s="87"/>
      <c r="N443" s="521"/>
      <c r="O443" s="521">
        <f>+Tabla4[[#This Row],[PAGO NO EURO]]+Tabla4[[#This Row],[CARGO NO EURO]]</f>
        <v>0</v>
      </c>
      <c r="P443" s="521"/>
      <c r="Q443" s="88"/>
      <c r="R443" s="689">
        <f>+_xlfn.XLOOKUP(Tabla4[[#This Row],[ID CLIENTE]],'RESUMEN CLIENTES'!D:D,'RESUMEN CLIENTES'!G:G)</f>
        <v>45798</v>
      </c>
      <c r="S443" s="88" t="str">
        <f>+_xlfn.XLOOKUP(Tabla4[[#This Row],[ID CLIENTE]],'RESUMEN CLIENTES'!D:D,'RESUMEN CLIENTES'!AA:AA)</f>
        <v>null</v>
      </c>
      <c r="T443" s="680" t="str">
        <f>+_xlfn.XLOOKUP(Tabla4[[#This Row],[ID CLIENTE]],'RESUMEN CLIENTES'!D:D,'RESUMEN CLIENTES'!C:C)</f>
        <v>México</v>
      </c>
    </row>
    <row r="444" spans="1:20" ht="16">
      <c r="A444" s="82">
        <v>45919</v>
      </c>
      <c r="B444" s="82" t="str">
        <f>+_xlfn.XLOOKUP(Tabla4[[#This Row],[ID CLIENTE]],'RESUMEN CLIENTES'!D:D,'RESUMEN CLIENTES'!A:A)</f>
        <v>Karenn Yadira Tavera Lara</v>
      </c>
      <c r="C444" s="83" t="s">
        <v>2424</v>
      </c>
      <c r="D444" s="83" t="s">
        <v>1001</v>
      </c>
      <c r="E444" s="83" t="s">
        <v>1002</v>
      </c>
      <c r="F444" s="83" t="s">
        <v>1003</v>
      </c>
      <c r="G444" s="84">
        <v>1000</v>
      </c>
      <c r="H444" s="85">
        <v>-32.75</v>
      </c>
      <c r="I444" s="86">
        <f t="shared" si="14"/>
        <v>3.2750000000000001E-2</v>
      </c>
      <c r="J444" s="87">
        <f t="shared" si="15"/>
        <v>967.25</v>
      </c>
      <c r="K444" s="87"/>
      <c r="L444" s="87" t="s">
        <v>4672</v>
      </c>
      <c r="M444" s="87"/>
      <c r="N444" s="521"/>
      <c r="O444" s="521">
        <f>+Tabla4[[#This Row],[PAGO NO EURO]]+Tabla4[[#This Row],[CARGO NO EURO]]</f>
        <v>0</v>
      </c>
      <c r="P444" s="521"/>
      <c r="Q444" s="88"/>
      <c r="R444" s="689">
        <f>+_xlfn.XLOOKUP(Tabla4[[#This Row],[ID CLIENTE]],'RESUMEN CLIENTES'!D:D,'RESUMEN CLIENTES'!G:G)</f>
        <v>45919</v>
      </c>
      <c r="S444" s="88" t="str">
        <f>+_xlfn.XLOOKUP(Tabla4[[#This Row],[ID CLIENTE]],'RESUMEN CLIENTES'!D:D,'RESUMEN CLIENTES'!AA:AA)</f>
        <v>A1.1</v>
      </c>
      <c r="T444" s="680" t="str">
        <f>+_xlfn.XLOOKUP(Tabla4[[#This Row],[ID CLIENTE]],'RESUMEN CLIENTES'!D:D,'RESUMEN CLIENTES'!C:C)</f>
        <v>México</v>
      </c>
    </row>
    <row r="445" spans="1:20" ht="16">
      <c r="A445" s="82">
        <v>45922</v>
      </c>
      <c r="B445" s="82" t="str">
        <f>+_xlfn.XLOOKUP(Tabla4[[#This Row],[ID CLIENTE]],'RESUMEN CLIENTES'!D:D,'RESUMEN CLIENTES'!A:A)</f>
        <v>Bastian Sofjer Peralta</v>
      </c>
      <c r="C445" s="83" t="s">
        <v>2172</v>
      </c>
      <c r="D445" s="83" t="s">
        <v>162</v>
      </c>
      <c r="E445" s="83" t="s">
        <v>1020</v>
      </c>
      <c r="F445" s="83" t="s">
        <v>1021</v>
      </c>
      <c r="G445" s="84">
        <v>900</v>
      </c>
      <c r="H445" s="85">
        <v>-29.5</v>
      </c>
      <c r="I445" s="86">
        <f t="shared" si="14"/>
        <v>3.2777777777777781E-2</v>
      </c>
      <c r="J445" s="87">
        <f t="shared" si="15"/>
        <v>870.5</v>
      </c>
      <c r="K445" s="87"/>
      <c r="L445" s="87" t="s">
        <v>4672</v>
      </c>
      <c r="M445" s="87"/>
      <c r="N445" s="521"/>
      <c r="O445" s="521">
        <f>+Tabla4[[#This Row],[PAGO NO EURO]]+Tabla4[[#This Row],[CARGO NO EURO]]</f>
        <v>0</v>
      </c>
      <c r="P445" s="521"/>
      <c r="Q445" s="88"/>
      <c r="R445" s="689">
        <f>+_xlfn.XLOOKUP(Tabla4[[#This Row],[ID CLIENTE]],'RESUMEN CLIENTES'!D:D,'RESUMEN CLIENTES'!G:G)</f>
        <v>45758</v>
      </c>
      <c r="S445" s="88" t="str">
        <f>+_xlfn.XLOOKUP(Tabla4[[#This Row],[ID CLIENTE]],'RESUMEN CLIENTES'!D:D,'RESUMEN CLIENTES'!AA:AA)</f>
        <v>A1.1</v>
      </c>
      <c r="T445" s="680" t="str">
        <f>+_xlfn.XLOOKUP(Tabla4[[#This Row],[ID CLIENTE]],'RESUMEN CLIENTES'!D:D,'RESUMEN CLIENTES'!C:C)</f>
        <v>Chile</v>
      </c>
    </row>
    <row r="446" spans="1:20" ht="16">
      <c r="A446" s="82">
        <v>45922</v>
      </c>
      <c r="B446" s="82" t="str">
        <f>+_xlfn.XLOOKUP(Tabla4[[#This Row],[ID CLIENTE]],'RESUMEN CLIENTES'!D:D,'RESUMEN CLIENTES'!A:A)</f>
        <v>Fernanda Castro</v>
      </c>
      <c r="C446" s="83" t="s">
        <v>2218</v>
      </c>
      <c r="D446" s="83" t="s">
        <v>250</v>
      </c>
      <c r="E446" s="83" t="s">
        <v>1012</v>
      </c>
      <c r="F446" s="83" t="s">
        <v>1013</v>
      </c>
      <c r="G446" s="84">
        <v>1000</v>
      </c>
      <c r="H446" s="85">
        <v>-32.75</v>
      </c>
      <c r="I446" s="86">
        <f t="shared" si="14"/>
        <v>3.2750000000000001E-2</v>
      </c>
      <c r="J446" s="87">
        <f t="shared" si="15"/>
        <v>967.25</v>
      </c>
      <c r="K446" s="87"/>
      <c r="L446" s="87" t="s">
        <v>4672</v>
      </c>
      <c r="M446" s="87"/>
      <c r="N446" s="521"/>
      <c r="O446" s="521">
        <f>+Tabla4[[#This Row],[PAGO NO EURO]]+Tabla4[[#This Row],[CARGO NO EURO]]</f>
        <v>0</v>
      </c>
      <c r="P446" s="521"/>
      <c r="Q446" s="88"/>
      <c r="R446" s="689">
        <f>+_xlfn.XLOOKUP(Tabla4[[#This Row],[ID CLIENTE]],'RESUMEN CLIENTES'!D:D,'RESUMEN CLIENTES'!G:G)</f>
        <v>45803</v>
      </c>
      <c r="S446" s="88" t="str">
        <f>+_xlfn.XLOOKUP(Tabla4[[#This Row],[ID CLIENTE]],'RESUMEN CLIENTES'!D:D,'RESUMEN CLIENTES'!AA:AA)</f>
        <v>A2.1</v>
      </c>
      <c r="T446" s="680" t="str">
        <f>+_xlfn.XLOOKUP(Tabla4[[#This Row],[ID CLIENTE]],'RESUMEN CLIENTES'!D:D,'RESUMEN CLIENTES'!C:C)</f>
        <v>Ecuador</v>
      </c>
    </row>
    <row r="447" spans="1:20" ht="16">
      <c r="A447" s="82">
        <v>45923</v>
      </c>
      <c r="B447" s="82" t="str">
        <f>+_xlfn.XLOOKUP(Tabla4[[#This Row],[ID CLIENTE]],'RESUMEN CLIENTES'!D:D,'RESUMEN CLIENTES'!A:A)</f>
        <v>Astrid Mariam Enamorado Ortega</v>
      </c>
      <c r="C447" s="83" t="s">
        <v>2339</v>
      </c>
      <c r="D447" s="83" t="s">
        <v>574</v>
      </c>
      <c r="E447" s="83" t="s">
        <v>1004</v>
      </c>
      <c r="F447" s="83" t="s">
        <v>1005</v>
      </c>
      <c r="G447" s="84">
        <v>1200</v>
      </c>
      <c r="H447" s="85">
        <v>-39.25</v>
      </c>
      <c r="I447" s="86">
        <f t="shared" si="14"/>
        <v>3.2708333333333332E-2</v>
      </c>
      <c r="J447" s="87">
        <f t="shared" si="15"/>
        <v>1160.75</v>
      </c>
      <c r="K447" s="87"/>
      <c r="L447" s="87" t="s">
        <v>4672</v>
      </c>
      <c r="M447" s="87"/>
      <c r="N447" s="521"/>
      <c r="O447" s="521">
        <f>+Tabla4[[#This Row],[PAGO NO EURO]]+Tabla4[[#This Row],[CARGO NO EURO]]</f>
        <v>0</v>
      </c>
      <c r="P447" s="521"/>
      <c r="Q447" s="88"/>
      <c r="R447" s="689">
        <f>+_xlfn.XLOOKUP(Tabla4[[#This Row],[ID CLIENTE]],'RESUMEN CLIENTES'!D:D,'RESUMEN CLIENTES'!G:G)</f>
        <v>45869</v>
      </c>
      <c r="S447" s="88" t="str">
        <f>+_xlfn.XLOOKUP(Tabla4[[#This Row],[ID CLIENTE]],'RESUMEN CLIENTES'!D:D,'RESUMEN CLIENTES'!AA:AA)</f>
        <v>B2.1</v>
      </c>
      <c r="T447" s="680" t="str">
        <f>+_xlfn.XLOOKUP(Tabla4[[#This Row],[ID CLIENTE]],'RESUMEN CLIENTES'!D:D,'RESUMEN CLIENTES'!C:C)</f>
        <v>Honduras</v>
      </c>
    </row>
    <row r="448" spans="1:20" ht="16">
      <c r="A448" s="82">
        <v>45923</v>
      </c>
      <c r="B448" s="82" t="str">
        <f>+_xlfn.XLOOKUP(Tabla4[[#This Row],[ID CLIENTE]],'RESUMEN CLIENTES'!D:D,'RESUMEN CLIENTES'!A:A)</f>
        <v>Florencia Luján Sapia</v>
      </c>
      <c r="C448" s="83" t="s">
        <v>2393</v>
      </c>
      <c r="D448" s="83" t="s">
        <v>787</v>
      </c>
      <c r="E448" s="83" t="s">
        <v>1006</v>
      </c>
      <c r="F448" s="83" t="s">
        <v>1007</v>
      </c>
      <c r="G448" s="84">
        <v>750</v>
      </c>
      <c r="H448" s="85">
        <v>-24.63</v>
      </c>
      <c r="I448" s="86">
        <f t="shared" si="14"/>
        <v>3.2840000000000001E-2</v>
      </c>
      <c r="J448" s="87">
        <f t="shared" si="15"/>
        <v>725.37</v>
      </c>
      <c r="K448" s="87"/>
      <c r="L448" s="87" t="s">
        <v>4672</v>
      </c>
      <c r="M448" s="87"/>
      <c r="N448" s="521"/>
      <c r="O448" s="521">
        <f>+Tabla4[[#This Row],[PAGO NO EURO]]+Tabla4[[#This Row],[CARGO NO EURO]]</f>
        <v>0</v>
      </c>
      <c r="P448" s="521"/>
      <c r="Q448" s="88"/>
      <c r="R448" s="689">
        <f>+_xlfn.XLOOKUP(Tabla4[[#This Row],[ID CLIENTE]],'RESUMEN CLIENTES'!D:D,'RESUMEN CLIENTES'!G:G)</f>
        <v>45900</v>
      </c>
      <c r="S448" s="88" t="str">
        <f>+_xlfn.XLOOKUP(Tabla4[[#This Row],[ID CLIENTE]],'RESUMEN CLIENTES'!D:D,'RESUMEN CLIENTES'!AA:AA)</f>
        <v>A2.1</v>
      </c>
      <c r="T448" s="680" t="str">
        <f>+_xlfn.XLOOKUP(Tabla4[[#This Row],[ID CLIENTE]],'RESUMEN CLIENTES'!D:D,'RESUMEN CLIENTES'!C:C)</f>
        <v>Argentina</v>
      </c>
    </row>
    <row r="449" spans="1:20" ht="16">
      <c r="A449" s="82">
        <v>45923</v>
      </c>
      <c r="B449" s="82" t="str">
        <f>+_xlfn.XLOOKUP(Tabla4[[#This Row],[ID CLIENTE]],'RESUMEN CLIENTES'!D:D,'RESUMEN CLIENTES'!A:A)</f>
        <v>Juan Manuel Paranzino</v>
      </c>
      <c r="C449" s="83" t="s">
        <v>2391</v>
      </c>
      <c r="D449" s="83" t="s">
        <v>798</v>
      </c>
      <c r="E449" s="83" t="s">
        <v>1008</v>
      </c>
      <c r="F449" s="83" t="s">
        <v>1009</v>
      </c>
      <c r="G449" s="84">
        <f>+Tabla4[[#This Row],[PAGO NO EURO]]*Tabla4[[#This Row],[CAMBIO]]</f>
        <v>756.48907103825138</v>
      </c>
      <c r="H449" s="85">
        <f>+Tabla4[[#This Row],[CARGO NO EURO]]*Tabla4[[#This Row],[CAMBIO]]</f>
        <v>-24.846311475409838</v>
      </c>
      <c r="I449" s="86">
        <f t="shared" si="14"/>
        <v>3.2844243792325055E-2</v>
      </c>
      <c r="J449" s="87">
        <f t="shared" si="15"/>
        <v>731.64275956284155</v>
      </c>
      <c r="K449" s="87"/>
      <c r="L449" s="87" t="s">
        <v>4672</v>
      </c>
      <c r="M449" s="87" t="s">
        <v>2548</v>
      </c>
      <c r="N449" s="524">
        <v>886</v>
      </c>
      <c r="O449" s="524">
        <f>+Tabla4[[#This Row],[PAGO NO EURO]]+Tabla4[[#This Row],[CARGO NO EURO]]</f>
        <v>856.9</v>
      </c>
      <c r="P449" s="524">
        <v>-29.1</v>
      </c>
      <c r="Q449" s="92">
        <v>0.85382513661202186</v>
      </c>
      <c r="R449" s="690">
        <f>+_xlfn.XLOOKUP(Tabla4[[#This Row],[ID CLIENTE]],'RESUMEN CLIENTES'!D:D,'RESUMEN CLIENTES'!G:G)</f>
        <v>45900</v>
      </c>
      <c r="S449" s="92" t="str">
        <f>+_xlfn.XLOOKUP(Tabla4[[#This Row],[ID CLIENTE]],'RESUMEN CLIENTES'!D:D,'RESUMEN CLIENTES'!AA:AA)</f>
        <v>B1.1</v>
      </c>
      <c r="T449" s="680" t="str">
        <f>+_xlfn.XLOOKUP(Tabla4[[#This Row],[ID CLIENTE]],'RESUMEN CLIENTES'!D:D,'RESUMEN CLIENTES'!C:C)</f>
        <v>Argentina</v>
      </c>
    </row>
    <row r="450" spans="1:20" ht="16">
      <c r="A450" s="82">
        <v>45923</v>
      </c>
      <c r="B450" s="82" t="str">
        <f>+_xlfn.XLOOKUP(Tabla4[[#This Row],[ID CLIENTE]],'RESUMEN CLIENTES'!D:D,'RESUMEN CLIENTES'!A:A)</f>
        <v>Mateo Gabriel Martinez Dávila</v>
      </c>
      <c r="C450" s="83" t="s">
        <v>2193</v>
      </c>
      <c r="D450" s="83" t="s">
        <v>200</v>
      </c>
      <c r="E450" s="83" t="s">
        <v>1014</v>
      </c>
      <c r="F450" s="83" t="s">
        <v>1015</v>
      </c>
      <c r="G450" s="84">
        <v>500</v>
      </c>
      <c r="H450" s="85">
        <v>-16.5</v>
      </c>
      <c r="I450" s="86">
        <f t="shared" si="14"/>
        <v>3.3000000000000002E-2</v>
      </c>
      <c r="J450" s="87">
        <f t="shared" si="15"/>
        <v>483.5</v>
      </c>
      <c r="K450" s="87" t="s">
        <v>4676</v>
      </c>
      <c r="L450" s="87" t="s">
        <v>4672</v>
      </c>
      <c r="M450" s="87"/>
      <c r="N450" s="521"/>
      <c r="O450" s="521">
        <f>+Tabla4[[#This Row],[PAGO NO EURO]]+Tabla4[[#This Row],[CARGO NO EURO]]</f>
        <v>0</v>
      </c>
      <c r="P450" s="521"/>
      <c r="Q450" s="88"/>
      <c r="R450" s="689">
        <f>+_xlfn.XLOOKUP(Tabla4[[#This Row],[ID CLIENTE]],'RESUMEN CLIENTES'!D:D,'RESUMEN CLIENTES'!G:G)</f>
        <v>45777</v>
      </c>
      <c r="S450" s="88" t="str">
        <f>+_xlfn.XLOOKUP(Tabla4[[#This Row],[ID CLIENTE]],'RESUMEN CLIENTES'!D:D,'RESUMEN CLIENTES'!AA:AA)</f>
        <v>A1.1</v>
      </c>
      <c r="T450" s="680" t="str">
        <f>+_xlfn.XLOOKUP(Tabla4[[#This Row],[ID CLIENTE]],'RESUMEN CLIENTES'!D:D,'RESUMEN CLIENTES'!C:C)</f>
        <v>Bolivia</v>
      </c>
    </row>
    <row r="451" spans="1:20" ht="16">
      <c r="A451" s="82">
        <v>45924</v>
      </c>
      <c r="B451" s="82" t="str">
        <f>+_xlfn.XLOOKUP(Tabla4[[#This Row],[ID CLIENTE]],'RESUMEN CLIENTES'!D:D,'RESUMEN CLIENTES'!A:A)</f>
        <v>Julian David Gutierrez Rodriguez</v>
      </c>
      <c r="C451" s="83" t="s">
        <v>2364</v>
      </c>
      <c r="D451" s="83" t="s">
        <v>711</v>
      </c>
      <c r="E451" s="83" t="s">
        <v>1033</v>
      </c>
      <c r="F451" s="83" t="s">
        <v>1034</v>
      </c>
      <c r="G451" s="84">
        <v>500</v>
      </c>
      <c r="H451" s="85">
        <v>-16.5</v>
      </c>
      <c r="I451" s="86">
        <f t="shared" si="14"/>
        <v>3.3000000000000002E-2</v>
      </c>
      <c r="J451" s="87">
        <f t="shared" si="15"/>
        <v>483.5</v>
      </c>
      <c r="K451" s="87"/>
      <c r="L451" s="87" t="s">
        <v>4672</v>
      </c>
      <c r="M451" s="87"/>
      <c r="N451" s="521"/>
      <c r="O451" s="521">
        <f>+Tabla4[[#This Row],[PAGO NO EURO]]+Tabla4[[#This Row],[CARGO NO EURO]]</f>
        <v>0</v>
      </c>
      <c r="P451" s="521"/>
      <c r="Q451" s="88"/>
      <c r="R451" s="689">
        <f>+_xlfn.XLOOKUP(Tabla4[[#This Row],[ID CLIENTE]],'RESUMEN CLIENTES'!D:D,'RESUMEN CLIENTES'!G:G)</f>
        <v>45889</v>
      </c>
      <c r="S451" s="88" t="str">
        <f>+_xlfn.XLOOKUP(Tabla4[[#This Row],[ID CLIENTE]],'RESUMEN CLIENTES'!D:D,'RESUMEN CLIENTES'!AA:AA)</f>
        <v>A1.1</v>
      </c>
      <c r="T451" s="680" t="str">
        <f>+_xlfn.XLOOKUP(Tabla4[[#This Row],[ID CLIENTE]],'RESUMEN CLIENTES'!D:D,'RESUMEN CLIENTES'!C:C)</f>
        <v>Colombia</v>
      </c>
    </row>
    <row r="452" spans="1:20" ht="16">
      <c r="A452" s="82">
        <v>45924</v>
      </c>
      <c r="B452" s="82" t="str">
        <f>+_xlfn.XLOOKUP(Tabla4[[#This Row],[ID CLIENTE]],'RESUMEN CLIENTES'!D:D,'RESUMEN CLIENTES'!A:A)</f>
        <v>Maryori Elizabeth Ramos Tapia</v>
      </c>
      <c r="C452" s="83" t="s">
        <v>2225</v>
      </c>
      <c r="D452" s="83" t="s">
        <v>261</v>
      </c>
      <c r="E452" s="83" t="s">
        <v>1018</v>
      </c>
      <c r="F452" s="83" t="s">
        <v>1019</v>
      </c>
      <c r="G452" s="84">
        <v>1000</v>
      </c>
      <c r="H452" s="85">
        <v>-32.75</v>
      </c>
      <c r="I452" s="86">
        <f t="shared" si="14"/>
        <v>3.2750000000000001E-2</v>
      </c>
      <c r="J452" s="87">
        <f t="shared" si="15"/>
        <v>967.25</v>
      </c>
      <c r="K452" s="87"/>
      <c r="L452" s="87" t="s">
        <v>4672</v>
      </c>
      <c r="M452" s="87"/>
      <c r="N452" s="521"/>
      <c r="O452" s="521">
        <f>+Tabla4[[#This Row],[PAGO NO EURO]]+Tabla4[[#This Row],[CARGO NO EURO]]</f>
        <v>0</v>
      </c>
      <c r="P452" s="521"/>
      <c r="Q452" s="88"/>
      <c r="R452" s="689">
        <f>+_xlfn.XLOOKUP(Tabla4[[#This Row],[ID CLIENTE]],'RESUMEN CLIENTES'!D:D,'RESUMEN CLIENTES'!G:G)</f>
        <v>45807</v>
      </c>
      <c r="S452" s="88" t="str">
        <f>+_xlfn.XLOOKUP(Tabla4[[#This Row],[ID CLIENTE]],'RESUMEN CLIENTES'!D:D,'RESUMEN CLIENTES'!AA:AA)</f>
        <v>A1.1</v>
      </c>
      <c r="T452" s="680" t="str">
        <f>+_xlfn.XLOOKUP(Tabla4[[#This Row],[ID CLIENTE]],'RESUMEN CLIENTES'!D:D,'RESUMEN CLIENTES'!C:C)</f>
        <v>Perú</v>
      </c>
    </row>
    <row r="453" spans="1:20" ht="16">
      <c r="A453" s="82">
        <v>45925</v>
      </c>
      <c r="B453" s="82" t="str">
        <f>+_xlfn.XLOOKUP(Tabla4[[#This Row],[ID CLIENTE]],'RESUMEN CLIENTES'!D:D,'RESUMEN CLIENTES'!A:A)</f>
        <v>Álvaro Sebastián García Riesco</v>
      </c>
      <c r="C453" s="83" t="s">
        <v>2410</v>
      </c>
      <c r="D453" s="83" t="s">
        <v>901</v>
      </c>
      <c r="E453" s="83" t="s">
        <v>1016</v>
      </c>
      <c r="F453" s="83" t="s">
        <v>1017</v>
      </c>
      <c r="G453" s="84">
        <v>10000</v>
      </c>
      <c r="H453" s="85">
        <v>-325.25</v>
      </c>
      <c r="I453" s="86">
        <f t="shared" si="14"/>
        <v>3.2524999999999998E-2</v>
      </c>
      <c r="J453" s="87">
        <f t="shared" si="15"/>
        <v>9674.75</v>
      </c>
      <c r="K453" s="87"/>
      <c r="L453" s="87" t="s">
        <v>4672</v>
      </c>
      <c r="M453" s="87"/>
      <c r="N453" s="521"/>
      <c r="O453" s="521">
        <f>+Tabla4[[#This Row],[PAGO NO EURO]]+Tabla4[[#This Row],[CARGO NO EURO]]</f>
        <v>0</v>
      </c>
      <c r="P453" s="521"/>
      <c r="Q453" s="88"/>
      <c r="R453" s="689">
        <f>+_xlfn.XLOOKUP(Tabla4[[#This Row],[ID CLIENTE]],'RESUMEN CLIENTES'!D:D,'RESUMEN CLIENTES'!G:G)</f>
        <v>45906</v>
      </c>
      <c r="S453" s="88" t="str">
        <f>+_xlfn.XLOOKUP(Tabla4[[#This Row],[ID CLIENTE]],'RESUMEN CLIENTES'!D:D,'RESUMEN CLIENTES'!AA:AA)</f>
        <v>A1.1</v>
      </c>
      <c r="T453" s="680" t="str">
        <f>+_xlfn.XLOOKUP(Tabla4[[#This Row],[ID CLIENTE]],'RESUMEN CLIENTES'!D:D,'RESUMEN CLIENTES'!C:C)</f>
        <v>Chile</v>
      </c>
    </row>
    <row r="454" spans="1:20" ht="16">
      <c r="A454" s="82">
        <v>45925</v>
      </c>
      <c r="B454" s="82" t="str">
        <f>+_xlfn.XLOOKUP(Tabla4[[#This Row],[ID CLIENTE]],'RESUMEN CLIENTES'!D:D,'RESUMEN CLIENTES'!A:A)</f>
        <v>Jorge Augusto Cámbara Vargas</v>
      </c>
      <c r="C454" s="83" t="s">
        <v>2261</v>
      </c>
      <c r="D454" s="83" t="s">
        <v>333</v>
      </c>
      <c r="E454" s="83" t="s">
        <v>1026</v>
      </c>
      <c r="F454" s="83" t="s">
        <v>1027</v>
      </c>
      <c r="G454" s="84">
        <v>1000</v>
      </c>
      <c r="H454" s="85">
        <v>-32.75</v>
      </c>
      <c r="I454" s="86">
        <f t="shared" si="14"/>
        <v>3.2750000000000001E-2</v>
      </c>
      <c r="J454" s="87">
        <f t="shared" si="15"/>
        <v>967.25</v>
      </c>
      <c r="K454" s="87"/>
      <c r="L454" s="87" t="s">
        <v>4672</v>
      </c>
      <c r="M454" s="87"/>
      <c r="N454" s="521"/>
      <c r="O454" s="521">
        <f>+Tabla4[[#This Row],[PAGO NO EURO]]+Tabla4[[#This Row],[CARGO NO EURO]]</f>
        <v>0</v>
      </c>
      <c r="P454" s="521"/>
      <c r="Q454" s="88"/>
      <c r="R454" s="689">
        <f>+_xlfn.XLOOKUP(Tabla4[[#This Row],[ID CLIENTE]],'RESUMEN CLIENTES'!D:D,'RESUMEN CLIENTES'!G:G)</f>
        <v>45821</v>
      </c>
      <c r="S454" s="88" t="str">
        <f>+_xlfn.XLOOKUP(Tabla4[[#This Row],[ID CLIENTE]],'RESUMEN CLIENTES'!D:D,'RESUMEN CLIENTES'!AA:AA)</f>
        <v>B1.1</v>
      </c>
      <c r="T454" s="680" t="str">
        <f>+_xlfn.XLOOKUP(Tabla4[[#This Row],[ID CLIENTE]],'RESUMEN CLIENTES'!D:D,'RESUMEN CLIENTES'!C:C)</f>
        <v>Guatemala</v>
      </c>
    </row>
    <row r="455" spans="1:20" ht="16">
      <c r="A455" s="82">
        <v>45925</v>
      </c>
      <c r="B455" s="82" t="str">
        <f>+_xlfn.XLOOKUP(Tabla4[[#This Row],[ID CLIENTE]],'RESUMEN CLIENTES'!D:D,'RESUMEN CLIENTES'!A:A)</f>
        <v>Keidwin Perez</v>
      </c>
      <c r="C455" s="83" t="s">
        <v>2337</v>
      </c>
      <c r="D455" s="83" t="s">
        <v>587</v>
      </c>
      <c r="E455" s="83" t="s">
        <v>1010</v>
      </c>
      <c r="F455" s="83" t="s">
        <v>1011</v>
      </c>
      <c r="G455" s="84">
        <v>750</v>
      </c>
      <c r="H455" s="85">
        <v>-24.63</v>
      </c>
      <c r="I455" s="86">
        <f t="shared" si="14"/>
        <v>3.2840000000000001E-2</v>
      </c>
      <c r="J455" s="87">
        <f t="shared" si="15"/>
        <v>725.37</v>
      </c>
      <c r="K455" s="87"/>
      <c r="L455" s="87" t="s">
        <v>4672</v>
      </c>
      <c r="M455" s="87"/>
      <c r="N455" s="521"/>
      <c r="O455" s="521">
        <f>+Tabla4[[#This Row],[PAGO NO EURO]]+Tabla4[[#This Row],[CARGO NO EURO]]</f>
        <v>0</v>
      </c>
      <c r="P455" s="521"/>
      <c r="Q455" s="88"/>
      <c r="R455" s="689">
        <f>+_xlfn.XLOOKUP(Tabla4[[#This Row],[ID CLIENTE]],'RESUMEN CLIENTES'!D:D,'RESUMEN CLIENTES'!G:G)</f>
        <v>45869</v>
      </c>
      <c r="S455" s="88" t="str">
        <f>+_xlfn.XLOOKUP(Tabla4[[#This Row],[ID CLIENTE]],'RESUMEN CLIENTES'!D:D,'RESUMEN CLIENTES'!AA:AA)</f>
        <v>null</v>
      </c>
      <c r="T455" s="680" t="str">
        <f>+_xlfn.XLOOKUP(Tabla4[[#This Row],[ID CLIENTE]],'RESUMEN CLIENTES'!D:D,'RESUMEN CLIENTES'!C:C)</f>
        <v>Colombia</v>
      </c>
    </row>
    <row r="456" spans="1:20" ht="16">
      <c r="A456" s="82">
        <v>45925</v>
      </c>
      <c r="B456" s="82" t="str">
        <f>+_xlfn.XLOOKUP(Tabla4[[#This Row],[ID CLIENTE]],'RESUMEN CLIENTES'!D:D,'RESUMEN CLIENTES'!A:A)</f>
        <v>Mauricio Ignacio Alcayaga Romo</v>
      </c>
      <c r="C456" s="83" t="s">
        <v>2251</v>
      </c>
      <c r="D456" s="83" t="s">
        <v>322</v>
      </c>
      <c r="E456" s="83" t="s">
        <v>1022</v>
      </c>
      <c r="F456" s="83" t="s">
        <v>1023</v>
      </c>
      <c r="G456" s="84">
        <v>1000</v>
      </c>
      <c r="H456" s="85">
        <v>-32.75</v>
      </c>
      <c r="I456" s="86">
        <f t="shared" si="14"/>
        <v>3.2750000000000001E-2</v>
      </c>
      <c r="J456" s="87">
        <f t="shared" si="15"/>
        <v>967.25</v>
      </c>
      <c r="K456" s="87"/>
      <c r="L456" s="87" t="s">
        <v>4672</v>
      </c>
      <c r="M456" s="87"/>
      <c r="N456" s="521"/>
      <c r="O456" s="521">
        <f>+Tabla4[[#This Row],[PAGO NO EURO]]+Tabla4[[#This Row],[CARGO NO EURO]]</f>
        <v>0</v>
      </c>
      <c r="P456" s="521"/>
      <c r="Q456" s="88"/>
      <c r="R456" s="689">
        <f>+_xlfn.XLOOKUP(Tabla4[[#This Row],[ID CLIENTE]],'RESUMEN CLIENTES'!D:D,'RESUMEN CLIENTES'!G:G)</f>
        <v>45819</v>
      </c>
      <c r="S456" s="88" t="str">
        <f>+_xlfn.XLOOKUP(Tabla4[[#This Row],[ID CLIENTE]],'RESUMEN CLIENTES'!D:D,'RESUMEN CLIENTES'!AA:AA)</f>
        <v>B2.1</v>
      </c>
      <c r="T456" s="680" t="str">
        <f>+_xlfn.XLOOKUP(Tabla4[[#This Row],[ID CLIENTE]],'RESUMEN CLIENTES'!D:D,'RESUMEN CLIENTES'!C:C)</f>
        <v>Chile</v>
      </c>
    </row>
    <row r="457" spans="1:20" ht="16">
      <c r="A457" s="82">
        <v>45926</v>
      </c>
      <c r="B457" s="82" t="str">
        <f>+_xlfn.XLOOKUP(Tabla4[[#This Row],[ID CLIENTE]],'RESUMEN CLIENTES'!D:D,'RESUMEN CLIENTES'!A:A)</f>
        <v>Virna Nathaly Montenegro Samaniego</v>
      </c>
      <c r="C457" s="83" t="s">
        <v>2349</v>
      </c>
      <c r="D457" s="83" t="s">
        <v>706</v>
      </c>
      <c r="E457" s="83" t="s">
        <v>1028</v>
      </c>
      <c r="F457" s="83" t="s">
        <v>1029</v>
      </c>
      <c r="G457" s="84">
        <v>1540</v>
      </c>
      <c r="H457" s="85">
        <v>-50.3</v>
      </c>
      <c r="I457" s="86">
        <f t="shared" si="14"/>
        <v>3.2662337662337664E-2</v>
      </c>
      <c r="J457" s="87">
        <f t="shared" si="15"/>
        <v>1489.7</v>
      </c>
      <c r="K457" s="87"/>
      <c r="L457" s="87" t="s">
        <v>4672</v>
      </c>
      <c r="M457" s="87"/>
      <c r="N457" s="521"/>
      <c r="O457" s="521">
        <f>+Tabla4[[#This Row],[PAGO NO EURO]]+Tabla4[[#This Row],[CARGO NO EURO]]</f>
        <v>0</v>
      </c>
      <c r="P457" s="521"/>
      <c r="Q457" s="88"/>
      <c r="R457" s="689">
        <f>+_xlfn.XLOOKUP(Tabla4[[#This Row],[ID CLIENTE]],'RESUMEN CLIENTES'!D:D,'RESUMEN CLIENTES'!G:G)</f>
        <v>45878</v>
      </c>
      <c r="S457" s="88" t="str">
        <f>+_xlfn.XLOOKUP(Tabla4[[#This Row],[ID CLIENTE]],'RESUMEN CLIENTES'!D:D,'RESUMEN CLIENTES'!AA:AA)</f>
        <v>A1 komplett</v>
      </c>
      <c r="T457" s="680" t="str">
        <f>+_xlfn.XLOOKUP(Tabla4[[#This Row],[ID CLIENTE]],'RESUMEN CLIENTES'!D:D,'RESUMEN CLIENTES'!C:C)</f>
        <v>Ecuador</v>
      </c>
    </row>
    <row r="458" spans="1:20" ht="16">
      <c r="A458" s="82">
        <v>45926</v>
      </c>
      <c r="B458" s="82" t="str">
        <f>+_xlfn.XLOOKUP(Tabla4[[#This Row],[ID CLIENTE]],'RESUMEN CLIENTES'!D:D,'RESUMEN CLIENTES'!A:A)</f>
        <v>Sofia Martínez Restrepo</v>
      </c>
      <c r="C458" s="83" t="s">
        <v>2366</v>
      </c>
      <c r="D458" s="83" t="s">
        <v>716</v>
      </c>
      <c r="E458" s="83" t="s">
        <v>1024</v>
      </c>
      <c r="F458" s="83" t="s">
        <v>1025</v>
      </c>
      <c r="G458" s="84">
        <v>750</v>
      </c>
      <c r="H458" s="85">
        <v>-24.63</v>
      </c>
      <c r="I458" s="86">
        <f t="shared" si="14"/>
        <v>3.2840000000000001E-2</v>
      </c>
      <c r="J458" s="87">
        <f t="shared" si="15"/>
        <v>725.37</v>
      </c>
      <c r="K458" s="87"/>
      <c r="L458" s="87" t="s">
        <v>4672</v>
      </c>
      <c r="M458" s="87"/>
      <c r="N458" s="521"/>
      <c r="O458" s="521">
        <f>+Tabla4[[#This Row],[PAGO NO EURO]]+Tabla4[[#This Row],[CARGO NO EURO]]</f>
        <v>0</v>
      </c>
      <c r="P458" s="521"/>
      <c r="Q458" s="88"/>
      <c r="R458" s="689">
        <f>+_xlfn.XLOOKUP(Tabla4[[#This Row],[ID CLIENTE]],'RESUMEN CLIENTES'!D:D,'RESUMEN CLIENTES'!G:G)</f>
        <v>45891</v>
      </c>
      <c r="S458" s="88" t="str">
        <f>+_xlfn.XLOOKUP(Tabla4[[#This Row],[ID CLIENTE]],'RESUMEN CLIENTES'!D:D,'RESUMEN CLIENTES'!AA:AA)</f>
        <v>A1.1</v>
      </c>
      <c r="T458" s="680" t="str">
        <f>+_xlfn.XLOOKUP(Tabla4[[#This Row],[ID CLIENTE]],'RESUMEN CLIENTES'!D:D,'RESUMEN CLIENTES'!C:C)</f>
        <v>Colombia</v>
      </c>
    </row>
    <row r="459" spans="1:20" ht="16">
      <c r="A459" s="82">
        <v>45927</v>
      </c>
      <c r="B459" s="82" t="str">
        <f>+_xlfn.XLOOKUP(Tabla4[[#This Row],[ID CLIENTE]],'RESUMEN CLIENTES'!D:D,'RESUMEN CLIENTES'!A:A)</f>
        <v>Julio Nelson Adaros Moraga</v>
      </c>
      <c r="C459" s="83" t="s">
        <v>2271</v>
      </c>
      <c r="D459" s="83" t="s">
        <v>372</v>
      </c>
      <c r="E459" s="83" t="s">
        <v>1035</v>
      </c>
      <c r="F459" s="83" t="s">
        <v>1036</v>
      </c>
      <c r="G459" s="84">
        <v>1000</v>
      </c>
      <c r="H459" s="85">
        <v>-32.75</v>
      </c>
      <c r="I459" s="86">
        <f t="shared" si="14"/>
        <v>3.2750000000000001E-2</v>
      </c>
      <c r="J459" s="87">
        <f t="shared" si="15"/>
        <v>967.25</v>
      </c>
      <c r="K459" s="87"/>
      <c r="L459" s="87" t="s">
        <v>4672</v>
      </c>
      <c r="M459" s="87"/>
      <c r="N459" s="521"/>
      <c r="O459" s="521">
        <f>+Tabla4[[#This Row],[PAGO NO EURO]]+Tabla4[[#This Row],[CARGO NO EURO]]</f>
        <v>0</v>
      </c>
      <c r="P459" s="521"/>
      <c r="Q459" s="88"/>
      <c r="R459" s="689">
        <f>+_xlfn.XLOOKUP(Tabla4[[#This Row],[ID CLIENTE]],'RESUMEN CLIENTES'!D:D,'RESUMEN CLIENTES'!G:G)</f>
        <v>45836</v>
      </c>
      <c r="S459" s="88" t="str">
        <f>+_xlfn.XLOOKUP(Tabla4[[#This Row],[ID CLIENTE]],'RESUMEN CLIENTES'!D:D,'RESUMEN CLIENTES'!AA:AA)</f>
        <v>A1.1</v>
      </c>
      <c r="T459" s="680" t="str">
        <f>+_xlfn.XLOOKUP(Tabla4[[#This Row],[ID CLIENTE]],'RESUMEN CLIENTES'!D:D,'RESUMEN CLIENTES'!C:C)</f>
        <v>Chile</v>
      </c>
    </row>
    <row r="460" spans="1:20" ht="16">
      <c r="A460" s="82">
        <v>45927</v>
      </c>
      <c r="B460" s="82" t="str">
        <f>+_xlfn.XLOOKUP(Tabla4[[#This Row],[ID CLIENTE]],'RESUMEN CLIENTES'!D:D,'RESUMEN CLIENTES'!A:A)</f>
        <v>Hector Armando Daza Mejia</v>
      </c>
      <c r="C460" s="83" t="s">
        <v>2133</v>
      </c>
      <c r="D460" s="83" t="s">
        <v>106</v>
      </c>
      <c r="E460" s="83" t="s">
        <v>1058</v>
      </c>
      <c r="F460" s="83" t="s">
        <v>1059</v>
      </c>
      <c r="G460" s="84">
        <v>1500</v>
      </c>
      <c r="H460" s="85">
        <v>-49</v>
      </c>
      <c r="I460" s="86">
        <f t="shared" si="14"/>
        <v>3.2666666666666663E-2</v>
      </c>
      <c r="J460" s="87">
        <f t="shared" si="15"/>
        <v>1451</v>
      </c>
      <c r="K460" s="87"/>
      <c r="L460" s="87" t="s">
        <v>4672</v>
      </c>
      <c r="M460" s="87"/>
      <c r="N460" s="521"/>
      <c r="O460" s="521">
        <f>+Tabla4[[#This Row],[PAGO NO EURO]]+Tabla4[[#This Row],[CARGO NO EURO]]</f>
        <v>0</v>
      </c>
      <c r="P460" s="521"/>
      <c r="Q460" s="88"/>
      <c r="R460" s="689">
        <f>+_xlfn.XLOOKUP(Tabla4[[#This Row],[ID CLIENTE]],'RESUMEN CLIENTES'!D:D,'RESUMEN CLIENTES'!G:G)</f>
        <v>45726</v>
      </c>
      <c r="S460" s="88" t="str">
        <f>+_xlfn.XLOOKUP(Tabla4[[#This Row],[ID CLIENTE]],'RESUMEN CLIENTES'!D:D,'RESUMEN CLIENTES'!AA:AA)</f>
        <v>B1.2</v>
      </c>
      <c r="T460" s="680" t="str">
        <f>+_xlfn.XLOOKUP(Tabla4[[#This Row],[ID CLIENTE]],'RESUMEN CLIENTES'!D:D,'RESUMEN CLIENTES'!C:C)</f>
        <v>Colombia</v>
      </c>
    </row>
    <row r="461" spans="1:20" ht="16">
      <c r="A461" s="82">
        <v>45928</v>
      </c>
      <c r="B461" s="82" t="str">
        <f>+_xlfn.XLOOKUP(Tabla4[[#This Row],[ID CLIENTE]],'RESUMEN CLIENTES'!D:D,'RESUMEN CLIENTES'!A:A)</f>
        <v>Jose Marcelo Marroquín Guzmán</v>
      </c>
      <c r="C461" s="83" t="s">
        <v>2121</v>
      </c>
      <c r="D461" s="83" t="s">
        <v>87</v>
      </c>
      <c r="E461" s="83" t="s">
        <v>1031</v>
      </c>
      <c r="F461" s="83" t="s">
        <v>1032</v>
      </c>
      <c r="G461" s="84">
        <v>513</v>
      </c>
      <c r="H461" s="85">
        <v>-16.920000000000002</v>
      </c>
      <c r="I461" s="86">
        <f t="shared" si="14"/>
        <v>3.2982456140350884E-2</v>
      </c>
      <c r="J461" s="87">
        <f t="shared" si="15"/>
        <v>496.08</v>
      </c>
      <c r="K461" s="87"/>
      <c r="L461" s="87" t="s">
        <v>4672</v>
      </c>
      <c r="M461" s="87"/>
      <c r="N461" s="521"/>
      <c r="O461" s="521">
        <f>+Tabla4[[#This Row],[PAGO NO EURO]]+Tabla4[[#This Row],[CARGO NO EURO]]</f>
        <v>0</v>
      </c>
      <c r="P461" s="521"/>
      <c r="Q461" s="88"/>
      <c r="R461" s="689">
        <f>+_xlfn.XLOOKUP(Tabla4[[#This Row],[ID CLIENTE]],'RESUMEN CLIENTES'!D:D,'RESUMEN CLIENTES'!G:G)</f>
        <v>45658</v>
      </c>
      <c r="S461" s="88" t="str">
        <f>+_xlfn.XLOOKUP(Tabla4[[#This Row],[ID CLIENTE]],'RESUMEN CLIENTES'!D:D,'RESUMEN CLIENTES'!AA:AA)</f>
        <v>A2.1</v>
      </c>
      <c r="T461" s="680" t="str">
        <f>+_xlfn.XLOOKUP(Tabla4[[#This Row],[ID CLIENTE]],'RESUMEN CLIENTES'!D:D,'RESUMEN CLIENTES'!C:C)</f>
        <v>El Salvador</v>
      </c>
    </row>
    <row r="462" spans="1:20" ht="16">
      <c r="A462" s="82">
        <v>45929</v>
      </c>
      <c r="B462" s="82" t="str">
        <f>+_xlfn.XLOOKUP(Tabla4[[#This Row],[ID CLIENTE]],'RESUMEN CLIENTES'!D:D,'RESUMEN CLIENTES'!A:A)</f>
        <v>Álvaro Sebastián García Riesco</v>
      </c>
      <c r="C462" s="83" t="s">
        <v>2410</v>
      </c>
      <c r="D462" s="83" t="s">
        <v>901</v>
      </c>
      <c r="E462" s="83" t="s">
        <v>1037</v>
      </c>
      <c r="F462" s="83" t="s">
        <v>1038</v>
      </c>
      <c r="G462" s="84">
        <v>3200</v>
      </c>
      <c r="H462" s="85">
        <v>-104.25</v>
      </c>
      <c r="I462" s="86">
        <f t="shared" si="14"/>
        <v>3.2578124999999999E-2</v>
      </c>
      <c r="J462" s="87">
        <f t="shared" si="15"/>
        <v>3095.75</v>
      </c>
      <c r="K462" s="87"/>
      <c r="L462" s="87" t="s">
        <v>4672</v>
      </c>
      <c r="M462" s="87"/>
      <c r="N462" s="521"/>
      <c r="O462" s="521">
        <f>+Tabla4[[#This Row],[PAGO NO EURO]]+Tabla4[[#This Row],[CARGO NO EURO]]</f>
        <v>0</v>
      </c>
      <c r="P462" s="521"/>
      <c r="Q462" s="88"/>
      <c r="R462" s="689">
        <f>+_xlfn.XLOOKUP(Tabla4[[#This Row],[ID CLIENTE]],'RESUMEN CLIENTES'!D:D,'RESUMEN CLIENTES'!G:G)</f>
        <v>45906</v>
      </c>
      <c r="S462" s="88" t="str">
        <f>+_xlfn.XLOOKUP(Tabla4[[#This Row],[ID CLIENTE]],'RESUMEN CLIENTES'!D:D,'RESUMEN CLIENTES'!AA:AA)</f>
        <v>A1.1</v>
      </c>
      <c r="T462" s="680" t="str">
        <f>+_xlfn.XLOOKUP(Tabla4[[#This Row],[ID CLIENTE]],'RESUMEN CLIENTES'!D:D,'RESUMEN CLIENTES'!C:C)</f>
        <v>Chile</v>
      </c>
    </row>
    <row r="463" spans="1:20" ht="16">
      <c r="A463" s="82">
        <v>45929</v>
      </c>
      <c r="B463" s="82" t="str">
        <f>+_xlfn.XLOOKUP(Tabla4[[#This Row],[ID CLIENTE]],'RESUMEN CLIENTES'!D:D,'RESUMEN CLIENTES'!A:A)</f>
        <v>Carlos Josue Escobar Morán</v>
      </c>
      <c r="C463" s="83" t="s">
        <v>2208</v>
      </c>
      <c r="D463" s="83" t="s">
        <v>226</v>
      </c>
      <c r="E463" s="83" t="s">
        <v>1048</v>
      </c>
      <c r="F463" s="83" t="s">
        <v>1049</v>
      </c>
      <c r="G463" s="84">
        <v>500</v>
      </c>
      <c r="H463" s="85">
        <v>-16.5</v>
      </c>
      <c r="I463" s="86">
        <f t="shared" si="14"/>
        <v>3.3000000000000002E-2</v>
      </c>
      <c r="J463" s="87">
        <f t="shared" si="15"/>
        <v>483.5</v>
      </c>
      <c r="K463" s="87"/>
      <c r="L463" s="87" t="s">
        <v>4672</v>
      </c>
      <c r="M463" s="87"/>
      <c r="N463" s="521"/>
      <c r="O463" s="521">
        <f>+Tabla4[[#This Row],[PAGO NO EURO]]+Tabla4[[#This Row],[CARGO NO EURO]]</f>
        <v>0</v>
      </c>
      <c r="P463" s="521"/>
      <c r="Q463" s="88"/>
      <c r="R463" s="689">
        <f>+_xlfn.XLOOKUP(Tabla4[[#This Row],[ID CLIENTE]],'RESUMEN CLIENTES'!D:D,'RESUMEN CLIENTES'!G:G)</f>
        <v>45790</v>
      </c>
      <c r="S463" s="88" t="str">
        <f>+_xlfn.XLOOKUP(Tabla4[[#This Row],[ID CLIENTE]],'RESUMEN CLIENTES'!D:D,'RESUMEN CLIENTES'!AA:AA)</f>
        <v>B1.1</v>
      </c>
      <c r="T463" s="680" t="str">
        <f>+_xlfn.XLOOKUP(Tabla4[[#This Row],[ID CLIENTE]],'RESUMEN CLIENTES'!D:D,'RESUMEN CLIENTES'!C:C)</f>
        <v>El Salvador</v>
      </c>
    </row>
    <row r="464" spans="1:20" ht="16">
      <c r="A464" s="82">
        <v>45929</v>
      </c>
      <c r="B464" s="82" t="str">
        <f>+_xlfn.XLOOKUP(Tabla4[[#This Row],[ID CLIENTE]],'RESUMEN CLIENTES'!D:D,'RESUMEN CLIENTES'!A:A)</f>
        <v>Ellen Cristina Gerónimo Bonilla</v>
      </c>
      <c r="C464" s="83" t="s">
        <v>2273</v>
      </c>
      <c r="D464" s="83" t="s">
        <v>385</v>
      </c>
      <c r="E464" s="83" t="s">
        <v>1054</v>
      </c>
      <c r="F464" s="83" t="s">
        <v>1055</v>
      </c>
      <c r="G464" s="84">
        <v>600</v>
      </c>
      <c r="H464" s="85">
        <v>-19.75</v>
      </c>
      <c r="I464" s="86">
        <f t="shared" si="14"/>
        <v>3.2916666666666664E-2</v>
      </c>
      <c r="J464" s="87">
        <f t="shared" si="15"/>
        <v>580.25</v>
      </c>
      <c r="K464" s="87"/>
      <c r="L464" s="87" t="s">
        <v>4672</v>
      </c>
      <c r="M464" s="87"/>
      <c r="N464" s="521"/>
      <c r="O464" s="521">
        <f>+Tabla4[[#This Row],[PAGO NO EURO]]+Tabla4[[#This Row],[CARGO NO EURO]]</f>
        <v>0</v>
      </c>
      <c r="P464" s="521"/>
      <c r="Q464" s="88"/>
      <c r="R464" s="689">
        <f>+_xlfn.XLOOKUP(Tabla4[[#This Row],[ID CLIENTE]],'RESUMEN CLIENTES'!D:D,'RESUMEN CLIENTES'!G:G)</f>
        <v>45838</v>
      </c>
      <c r="S464" s="88" t="str">
        <f>+_xlfn.XLOOKUP(Tabla4[[#This Row],[ID CLIENTE]],'RESUMEN CLIENTES'!D:D,'RESUMEN CLIENTES'!AA:AA)</f>
        <v>A1.1</v>
      </c>
      <c r="T464" s="680" t="str">
        <f>+_xlfn.XLOOKUP(Tabla4[[#This Row],[ID CLIENTE]],'RESUMEN CLIENTES'!D:D,'RESUMEN CLIENTES'!C:C)</f>
        <v>República Dominicana</v>
      </c>
    </row>
    <row r="465" spans="1:20" ht="16">
      <c r="A465" s="82">
        <v>45929</v>
      </c>
      <c r="B465" s="82" t="str">
        <f>+_xlfn.XLOOKUP(Tabla4[[#This Row],[ID CLIENTE]],'RESUMEN CLIENTES'!D:D,'RESUMEN CLIENTES'!A:A)</f>
        <v>Fernando José Fuentes Bárcenas</v>
      </c>
      <c r="C465" s="83" t="s">
        <v>2414</v>
      </c>
      <c r="D465" s="83" t="s">
        <v>952</v>
      </c>
      <c r="E465" s="83" t="s">
        <v>1039</v>
      </c>
      <c r="F465" s="83" t="s">
        <v>1040</v>
      </c>
      <c r="G465" s="84">
        <v>2750</v>
      </c>
      <c r="H465" s="85">
        <v>-89.63</v>
      </c>
      <c r="I465" s="86">
        <f t="shared" si="14"/>
        <v>3.2592727272727273E-2</v>
      </c>
      <c r="J465" s="87">
        <f t="shared" si="15"/>
        <v>2660.37</v>
      </c>
      <c r="K465" s="87"/>
      <c r="L465" s="87" t="s">
        <v>4672</v>
      </c>
      <c r="M465" s="87"/>
      <c r="N465" s="521"/>
      <c r="O465" s="521">
        <f>+Tabla4[[#This Row],[PAGO NO EURO]]+Tabla4[[#This Row],[CARGO NO EURO]]</f>
        <v>0</v>
      </c>
      <c r="P465" s="521"/>
      <c r="Q465" s="88"/>
      <c r="R465" s="689">
        <f>+_xlfn.XLOOKUP(Tabla4[[#This Row],[ID CLIENTE]],'RESUMEN CLIENTES'!D:D,'RESUMEN CLIENTES'!G:G)</f>
        <v>45913</v>
      </c>
      <c r="S465" s="88" t="str">
        <f>+_xlfn.XLOOKUP(Tabla4[[#This Row],[ID CLIENTE]],'RESUMEN CLIENTES'!D:D,'RESUMEN CLIENTES'!AA:AA)</f>
        <v>null</v>
      </c>
      <c r="T465" s="680" t="str">
        <f>+_xlfn.XLOOKUP(Tabla4[[#This Row],[ID CLIENTE]],'RESUMEN CLIENTES'!D:D,'RESUMEN CLIENTES'!C:C)</f>
        <v>El Salvador</v>
      </c>
    </row>
    <row r="466" spans="1:20" ht="16">
      <c r="A466" s="82">
        <v>45929</v>
      </c>
      <c r="B466" s="82" t="str">
        <f>+_xlfn.XLOOKUP(Tabla4[[#This Row],[ID CLIENTE]],'RESUMEN CLIENTES'!D:D,'RESUMEN CLIENTES'!A:A)</f>
        <v>David Hernández Viveros</v>
      </c>
      <c r="C466" s="83" t="s">
        <v>2143</v>
      </c>
      <c r="D466" s="83" t="s">
        <v>115</v>
      </c>
      <c r="E466" s="83" t="s">
        <v>1052</v>
      </c>
      <c r="F466" s="83" t="s">
        <v>1053</v>
      </c>
      <c r="G466" s="84">
        <v>1300</v>
      </c>
      <c r="H466" s="85">
        <v>-42.5</v>
      </c>
      <c r="I466" s="86">
        <f t="shared" si="14"/>
        <v>3.2692307692307694E-2</v>
      </c>
      <c r="J466" s="87">
        <f t="shared" si="15"/>
        <v>1257.5</v>
      </c>
      <c r="K466" s="87"/>
      <c r="L466" s="87" t="s">
        <v>4672</v>
      </c>
      <c r="M466" s="87"/>
      <c r="N466" s="521"/>
      <c r="O466" s="521">
        <f>+Tabla4[[#This Row],[PAGO NO EURO]]+Tabla4[[#This Row],[CARGO NO EURO]]</f>
        <v>0</v>
      </c>
      <c r="P466" s="521"/>
      <c r="Q466" s="88"/>
      <c r="R466" s="689">
        <f>+_xlfn.XLOOKUP(Tabla4[[#This Row],[ID CLIENTE]],'RESUMEN CLIENTES'!D:D,'RESUMEN CLIENTES'!G:G)</f>
        <v>45737</v>
      </c>
      <c r="S466" s="88" t="str">
        <f>+_xlfn.XLOOKUP(Tabla4[[#This Row],[ID CLIENTE]],'RESUMEN CLIENTES'!D:D,'RESUMEN CLIENTES'!AA:AA)</f>
        <v>null</v>
      </c>
      <c r="T466" s="680" t="str">
        <f>+_xlfn.XLOOKUP(Tabla4[[#This Row],[ID CLIENTE]],'RESUMEN CLIENTES'!D:D,'RESUMEN CLIENTES'!C:C)</f>
        <v>México</v>
      </c>
    </row>
    <row r="467" spans="1:20" ht="16">
      <c r="A467" s="82">
        <v>45929</v>
      </c>
      <c r="B467" s="82" t="str">
        <f>+_xlfn.XLOOKUP(Tabla4[[#This Row],[ID CLIENTE]],'RESUMEN CLIENTES'!D:D,'RESUMEN CLIENTES'!A:A)</f>
        <v>Juan Camilo Sanchez Ramirez</v>
      </c>
      <c r="C467" s="83" t="s">
        <v>2227</v>
      </c>
      <c r="D467" s="83" t="s">
        <v>266</v>
      </c>
      <c r="E467" s="83" t="s">
        <v>1060</v>
      </c>
      <c r="F467" s="83" t="s">
        <v>1061</v>
      </c>
      <c r="G467" s="84">
        <v>1000</v>
      </c>
      <c r="H467" s="85">
        <v>-32.75</v>
      </c>
      <c r="I467" s="86">
        <f t="shared" si="14"/>
        <v>3.2750000000000001E-2</v>
      </c>
      <c r="J467" s="87">
        <f t="shared" si="15"/>
        <v>967.25</v>
      </c>
      <c r="K467" s="87"/>
      <c r="L467" s="87" t="s">
        <v>4672</v>
      </c>
      <c r="M467" s="87"/>
      <c r="N467" s="521"/>
      <c r="O467" s="521">
        <f>+Tabla4[[#This Row],[PAGO NO EURO]]+Tabla4[[#This Row],[CARGO NO EURO]]</f>
        <v>0</v>
      </c>
      <c r="P467" s="521"/>
      <c r="Q467" s="88"/>
      <c r="R467" s="689">
        <f>+_xlfn.XLOOKUP(Tabla4[[#This Row],[ID CLIENTE]],'RESUMEN CLIENTES'!D:D,'RESUMEN CLIENTES'!G:G)</f>
        <v>45807</v>
      </c>
      <c r="S467" s="88" t="str">
        <f>+_xlfn.XLOOKUP(Tabla4[[#This Row],[ID CLIENTE]],'RESUMEN CLIENTES'!D:D,'RESUMEN CLIENTES'!AA:AA)</f>
        <v>A1.1</v>
      </c>
      <c r="T467" s="680" t="str">
        <f>+_xlfn.XLOOKUP(Tabla4[[#This Row],[ID CLIENTE]],'RESUMEN CLIENTES'!D:D,'RESUMEN CLIENTES'!C:C)</f>
        <v>Colombia</v>
      </c>
    </row>
    <row r="468" spans="1:20" ht="16">
      <c r="A468" s="82">
        <v>45929</v>
      </c>
      <c r="B468" s="82" t="str">
        <f>+_xlfn.XLOOKUP(Tabla4[[#This Row],[ID CLIENTE]],'RESUMEN CLIENTES'!D:D,'RESUMEN CLIENTES'!A:A)</f>
        <v>Luis Manuel Villanueva Contreras</v>
      </c>
      <c r="C468" s="83" t="s">
        <v>2286</v>
      </c>
      <c r="D468" s="83" t="s">
        <v>441</v>
      </c>
      <c r="E468" s="83" t="s">
        <v>1066</v>
      </c>
      <c r="F468" s="83" t="s">
        <v>1067</v>
      </c>
      <c r="G468" s="84">
        <v>1000</v>
      </c>
      <c r="H468" s="85">
        <v>-32.75</v>
      </c>
      <c r="I468" s="86">
        <f t="shared" si="14"/>
        <v>3.2750000000000001E-2</v>
      </c>
      <c r="J468" s="87">
        <f t="shared" si="15"/>
        <v>967.25</v>
      </c>
      <c r="K468" s="87"/>
      <c r="L468" s="87" t="s">
        <v>4672</v>
      </c>
      <c r="M468" s="87"/>
      <c r="N468" s="521"/>
      <c r="O468" s="521">
        <f>+Tabla4[[#This Row],[PAGO NO EURO]]+Tabla4[[#This Row],[CARGO NO EURO]]</f>
        <v>0</v>
      </c>
      <c r="P468" s="521"/>
      <c r="Q468" s="88"/>
      <c r="R468" s="689">
        <f>+_xlfn.XLOOKUP(Tabla4[[#This Row],[ID CLIENTE]],'RESUMEN CLIENTES'!D:D,'RESUMEN CLIENTES'!G:G)</f>
        <v>45845</v>
      </c>
      <c r="S468" s="88" t="str">
        <f>+_xlfn.XLOOKUP(Tabla4[[#This Row],[ID CLIENTE]],'RESUMEN CLIENTES'!D:D,'RESUMEN CLIENTES'!AA:AA)</f>
        <v>A2.1</v>
      </c>
      <c r="T468" s="680" t="str">
        <f>+_xlfn.XLOOKUP(Tabla4[[#This Row],[ID CLIENTE]],'RESUMEN CLIENTES'!D:D,'RESUMEN CLIENTES'!C:C)</f>
        <v>México</v>
      </c>
    </row>
    <row r="469" spans="1:20" ht="16">
      <c r="A469" s="82">
        <v>45929</v>
      </c>
      <c r="B469" s="82" t="str">
        <f>+_xlfn.XLOOKUP(Tabla4[[#This Row],[ID CLIENTE]],'RESUMEN CLIENTES'!D:D,'RESUMEN CLIENTES'!A:A)</f>
        <v>Nathaly Gabriela Henríquez Masín</v>
      </c>
      <c r="C469" s="83" t="s">
        <v>2210</v>
      </c>
      <c r="D469" s="83" t="s">
        <v>229</v>
      </c>
      <c r="E469" s="83" t="s">
        <v>1072</v>
      </c>
      <c r="F469" s="83" t="s">
        <v>1073</v>
      </c>
      <c r="G469" s="84">
        <v>500</v>
      </c>
      <c r="H469" s="85">
        <v>-16.5</v>
      </c>
      <c r="I469" s="86">
        <f t="shared" ref="I469:I532" si="16">+IFERROR(-(H469)/G469,"")</f>
        <v>3.3000000000000002E-2</v>
      </c>
      <c r="J469" s="87">
        <f t="shared" ref="J469:J532" si="17">+G469+H469</f>
        <v>483.5</v>
      </c>
      <c r="K469" s="87"/>
      <c r="L469" s="87" t="s">
        <v>4672</v>
      </c>
      <c r="M469" s="87"/>
      <c r="N469" s="521"/>
      <c r="O469" s="521">
        <f>+Tabla4[[#This Row],[PAGO NO EURO]]+Tabla4[[#This Row],[CARGO NO EURO]]</f>
        <v>0</v>
      </c>
      <c r="P469" s="521"/>
      <c r="Q469" s="88"/>
      <c r="R469" s="689">
        <f>+_xlfn.XLOOKUP(Tabla4[[#This Row],[ID CLIENTE]],'RESUMEN CLIENTES'!D:D,'RESUMEN CLIENTES'!G:G)</f>
        <v>45790</v>
      </c>
      <c r="S469" s="88" t="str">
        <f>+_xlfn.XLOOKUP(Tabla4[[#This Row],[ID CLIENTE]],'RESUMEN CLIENTES'!D:D,'RESUMEN CLIENTES'!AA:AA)</f>
        <v>null</v>
      </c>
      <c r="T469" s="680" t="str">
        <f>+_xlfn.XLOOKUP(Tabla4[[#This Row],[ID CLIENTE]],'RESUMEN CLIENTES'!D:D,'RESUMEN CLIENTES'!C:C)</f>
        <v>El Salvador</v>
      </c>
    </row>
    <row r="470" spans="1:20" ht="16">
      <c r="A470" s="82">
        <v>45930</v>
      </c>
      <c r="B470" s="82" t="str">
        <f>+_xlfn.XLOOKUP(Tabla4[[#This Row],[ID CLIENTE]],'RESUMEN CLIENTES'!D:D,'RESUMEN CLIENTES'!A:A)</f>
        <v>Andrea Corpeño López</v>
      </c>
      <c r="C470" s="83" t="s">
        <v>2117</v>
      </c>
      <c r="D470" s="83" t="s">
        <v>84</v>
      </c>
      <c r="E470" s="83" t="s">
        <v>1043</v>
      </c>
      <c r="F470" s="83" t="s">
        <v>1044</v>
      </c>
      <c r="G470" s="84">
        <v>676</v>
      </c>
      <c r="H470" s="85">
        <v>-22.22</v>
      </c>
      <c r="I470" s="86">
        <f t="shared" si="16"/>
        <v>3.2869822485207097E-2</v>
      </c>
      <c r="J470" s="87">
        <f t="shared" si="17"/>
        <v>653.78</v>
      </c>
      <c r="K470" s="87"/>
      <c r="L470" s="87" t="s">
        <v>4672</v>
      </c>
      <c r="M470" s="87"/>
      <c r="N470" s="521"/>
      <c r="O470" s="521">
        <f>+Tabla4[[#This Row],[PAGO NO EURO]]+Tabla4[[#This Row],[CARGO NO EURO]]</f>
        <v>0</v>
      </c>
      <c r="P470" s="521"/>
      <c r="Q470" s="88"/>
      <c r="R470" s="689">
        <f>+_xlfn.XLOOKUP(Tabla4[[#This Row],[ID CLIENTE]],'RESUMEN CLIENTES'!D:D,'RESUMEN CLIENTES'!G:G)</f>
        <v>45658</v>
      </c>
      <c r="S470" s="88" t="str">
        <f>+_xlfn.XLOOKUP(Tabla4[[#This Row],[ID CLIENTE]],'RESUMEN CLIENTES'!D:D,'RESUMEN CLIENTES'!AA:AA)</f>
        <v>-</v>
      </c>
      <c r="T470" s="680" t="str">
        <f>+_xlfn.XLOOKUP(Tabla4[[#This Row],[ID CLIENTE]],'RESUMEN CLIENTES'!D:D,'RESUMEN CLIENTES'!C:C)</f>
        <v>El Salvador</v>
      </c>
    </row>
    <row r="471" spans="1:20" ht="16">
      <c r="A471" s="82">
        <v>45930</v>
      </c>
      <c r="B471" s="82" t="str">
        <f>+_xlfn.XLOOKUP(Tabla4[[#This Row],[ID CLIENTE]],'RESUMEN CLIENTES'!D:D,'RESUMEN CLIENTES'!A:A)</f>
        <v>Alejandra Goretti Figueroa Romo</v>
      </c>
      <c r="C471" s="83" t="s">
        <v>2323</v>
      </c>
      <c r="D471" s="83" t="s">
        <v>541</v>
      </c>
      <c r="E471" s="83" t="s">
        <v>1041</v>
      </c>
      <c r="F471" s="83" t="s">
        <v>1042</v>
      </c>
      <c r="G471" s="84">
        <v>1000</v>
      </c>
      <c r="H471" s="85">
        <v>-32.75</v>
      </c>
      <c r="I471" s="86">
        <f t="shared" si="16"/>
        <v>3.2750000000000001E-2</v>
      </c>
      <c r="J471" s="87">
        <f t="shared" si="17"/>
        <v>967.25</v>
      </c>
      <c r="K471" s="87"/>
      <c r="L471" s="87" t="s">
        <v>4672</v>
      </c>
      <c r="M471" s="87"/>
      <c r="N471" s="521"/>
      <c r="O471" s="521">
        <f>+Tabla4[[#This Row],[PAGO NO EURO]]+Tabla4[[#This Row],[CARGO NO EURO]]</f>
        <v>0</v>
      </c>
      <c r="P471" s="521"/>
      <c r="Q471" s="88"/>
      <c r="R471" s="689">
        <f>+_xlfn.XLOOKUP(Tabla4[[#This Row],[ID CLIENTE]],'RESUMEN CLIENTES'!D:D,'RESUMEN CLIENTES'!G:G)</f>
        <v>45867</v>
      </c>
      <c r="S471" s="88" t="str">
        <f>+_xlfn.XLOOKUP(Tabla4[[#This Row],[ID CLIENTE]],'RESUMEN CLIENTES'!D:D,'RESUMEN CLIENTES'!AA:AA)</f>
        <v>A2.2</v>
      </c>
      <c r="T471" s="680" t="str">
        <f>+_xlfn.XLOOKUP(Tabla4[[#This Row],[ID CLIENTE]],'RESUMEN CLIENTES'!D:D,'RESUMEN CLIENTES'!C:C)</f>
        <v>México</v>
      </c>
    </row>
    <row r="472" spans="1:20" ht="16">
      <c r="A472" s="82">
        <v>45930</v>
      </c>
      <c r="B472" s="82" t="str">
        <f>+_xlfn.XLOOKUP(Tabla4[[#This Row],[ID CLIENTE]],'RESUMEN CLIENTES'!D:D,'RESUMEN CLIENTES'!A:A)</f>
        <v>Carlos Mersaim Olivares Sandoval</v>
      </c>
      <c r="C472" s="83" t="s">
        <v>2300</v>
      </c>
      <c r="D472" s="83" t="s">
        <v>479</v>
      </c>
      <c r="E472" s="83" t="s">
        <v>1050</v>
      </c>
      <c r="F472" s="83" t="s">
        <v>1051</v>
      </c>
      <c r="G472" s="84">
        <v>1000</v>
      </c>
      <c r="H472" s="85">
        <v>-32.75</v>
      </c>
      <c r="I472" s="86">
        <f t="shared" si="16"/>
        <v>3.2750000000000001E-2</v>
      </c>
      <c r="J472" s="87">
        <f t="shared" si="17"/>
        <v>967.25</v>
      </c>
      <c r="K472" s="87"/>
      <c r="L472" s="87" t="s">
        <v>4672</v>
      </c>
      <c r="M472" s="87"/>
      <c r="N472" s="521"/>
      <c r="O472" s="521">
        <f>+Tabla4[[#This Row],[PAGO NO EURO]]+Tabla4[[#This Row],[CARGO NO EURO]]</f>
        <v>0</v>
      </c>
      <c r="P472" s="521"/>
      <c r="Q472" s="88"/>
      <c r="R472" s="689">
        <f>+_xlfn.XLOOKUP(Tabla4[[#This Row],[ID CLIENTE]],'RESUMEN CLIENTES'!D:D,'RESUMEN CLIENTES'!G:G)</f>
        <v>45852</v>
      </c>
      <c r="S472" s="88" t="str">
        <f>+_xlfn.XLOOKUP(Tabla4[[#This Row],[ID CLIENTE]],'RESUMEN CLIENTES'!D:D,'RESUMEN CLIENTES'!AA:AA)</f>
        <v>A1.1</v>
      </c>
      <c r="T472" s="680" t="str">
        <f>+_xlfn.XLOOKUP(Tabla4[[#This Row],[ID CLIENTE]],'RESUMEN CLIENTES'!D:D,'RESUMEN CLIENTES'!C:C)</f>
        <v>México</v>
      </c>
    </row>
    <row r="473" spans="1:20" ht="16">
      <c r="A473" s="82">
        <v>45930</v>
      </c>
      <c r="B473" s="82" t="str">
        <f>+_xlfn.XLOOKUP(Tabla4[[#This Row],[ID CLIENTE]],'RESUMEN CLIENTES'!D:D,'RESUMEN CLIENTES'!A:A)</f>
        <v>Angie Pérez Cáceres</v>
      </c>
      <c r="C473" s="83" t="s">
        <v>2321</v>
      </c>
      <c r="D473" s="83" t="s">
        <v>527</v>
      </c>
      <c r="E473" s="83" t="s">
        <v>1046</v>
      </c>
      <c r="F473" s="83" t="s">
        <v>1047</v>
      </c>
      <c r="G473" s="84">
        <v>1000</v>
      </c>
      <c r="H473" s="85">
        <v>-32.75</v>
      </c>
      <c r="I473" s="86">
        <f t="shared" si="16"/>
        <v>3.2750000000000001E-2</v>
      </c>
      <c r="J473" s="87">
        <f t="shared" si="17"/>
        <v>967.25</v>
      </c>
      <c r="K473" s="87"/>
      <c r="L473" s="87" t="s">
        <v>4672</v>
      </c>
      <c r="M473" s="87"/>
      <c r="N473" s="521"/>
      <c r="O473" s="521">
        <f>+Tabla4[[#This Row],[PAGO NO EURO]]+Tabla4[[#This Row],[CARGO NO EURO]]</f>
        <v>0</v>
      </c>
      <c r="P473" s="521"/>
      <c r="Q473" s="88"/>
      <c r="R473" s="689">
        <f>+_xlfn.XLOOKUP(Tabla4[[#This Row],[ID CLIENTE]],'RESUMEN CLIENTES'!D:D,'RESUMEN CLIENTES'!G:G)</f>
        <v>45867</v>
      </c>
      <c r="S473" s="88" t="str">
        <f>+_xlfn.XLOOKUP(Tabla4[[#This Row],[ID CLIENTE]],'RESUMEN CLIENTES'!D:D,'RESUMEN CLIENTES'!AA:AA)</f>
        <v>A1.1</v>
      </c>
      <c r="T473" s="680" t="str">
        <f>+_xlfn.XLOOKUP(Tabla4[[#This Row],[ID CLIENTE]],'RESUMEN CLIENTES'!D:D,'RESUMEN CLIENTES'!C:C)</f>
        <v>Perú</v>
      </c>
    </row>
    <row r="474" spans="1:20" ht="16">
      <c r="A474" s="82">
        <v>45930</v>
      </c>
      <c r="B474" s="82" t="str">
        <f>+_xlfn.XLOOKUP(Tabla4[[#This Row],[ID CLIENTE]],'RESUMEN CLIENTES'!D:D,'RESUMEN CLIENTES'!A:A)</f>
        <v>María Lucero de Jesús Barrios Sazo</v>
      </c>
      <c r="C474" s="83" t="s">
        <v>2332</v>
      </c>
      <c r="D474" s="83" t="s">
        <v>590</v>
      </c>
      <c r="E474" s="83" t="s">
        <v>1068</v>
      </c>
      <c r="F474" s="83" t="s">
        <v>1069</v>
      </c>
      <c r="G474" s="84">
        <v>1050</v>
      </c>
      <c r="H474" s="85">
        <v>-34.380000000000003</v>
      </c>
      <c r="I474" s="86">
        <f t="shared" si="16"/>
        <v>3.2742857142857143E-2</v>
      </c>
      <c r="J474" s="87">
        <f t="shared" si="17"/>
        <v>1015.62</v>
      </c>
      <c r="K474" s="87"/>
      <c r="L474" s="87" t="s">
        <v>4672</v>
      </c>
      <c r="M474" s="87"/>
      <c r="N474" s="521"/>
      <c r="O474" s="521">
        <f>+Tabla4[[#This Row],[PAGO NO EURO]]+Tabla4[[#This Row],[CARGO NO EURO]]</f>
        <v>0</v>
      </c>
      <c r="P474" s="521"/>
      <c r="Q474" s="88"/>
      <c r="R474" s="689">
        <f>+_xlfn.XLOOKUP(Tabla4[[#This Row],[ID CLIENTE]],'RESUMEN CLIENTES'!D:D,'RESUMEN CLIENTES'!G:G)</f>
        <v>45869</v>
      </c>
      <c r="S474" s="88" t="str">
        <f>+_xlfn.XLOOKUP(Tabla4[[#This Row],[ID CLIENTE]],'RESUMEN CLIENTES'!D:D,'RESUMEN CLIENTES'!AA:AA)</f>
        <v>-</v>
      </c>
      <c r="T474" s="680" t="str">
        <f>+_xlfn.XLOOKUP(Tabla4[[#This Row],[ID CLIENTE]],'RESUMEN CLIENTES'!D:D,'RESUMEN CLIENTES'!C:C)</f>
        <v>Guatemala</v>
      </c>
    </row>
    <row r="475" spans="1:20" ht="16">
      <c r="A475" s="82">
        <v>45930</v>
      </c>
      <c r="B475" s="82" t="str">
        <f>+_xlfn.XLOOKUP(Tabla4[[#This Row],[ID CLIENTE]],'RESUMEN CLIENTES'!D:D,'RESUMEN CLIENTES'!A:A)</f>
        <v>Miguel Angel Sisalima Shiña</v>
      </c>
      <c r="C475" s="83" t="s">
        <v>2242</v>
      </c>
      <c r="D475" s="83" t="s">
        <v>314</v>
      </c>
      <c r="E475" s="83" t="s">
        <v>1070</v>
      </c>
      <c r="F475" s="83" t="s">
        <v>1071</v>
      </c>
      <c r="G475" s="84">
        <v>1000</v>
      </c>
      <c r="H475" s="85">
        <v>-32.75</v>
      </c>
      <c r="I475" s="86">
        <f t="shared" si="16"/>
        <v>3.2750000000000001E-2</v>
      </c>
      <c r="J475" s="87">
        <f t="shared" si="17"/>
        <v>967.25</v>
      </c>
      <c r="K475" s="87"/>
      <c r="L475" s="87" t="s">
        <v>4672</v>
      </c>
      <c r="M475" s="87"/>
      <c r="N475" s="521"/>
      <c r="O475" s="521">
        <f>+Tabla4[[#This Row],[PAGO NO EURO]]+Tabla4[[#This Row],[CARGO NO EURO]]</f>
        <v>0</v>
      </c>
      <c r="P475" s="521"/>
      <c r="Q475" s="88"/>
      <c r="R475" s="689">
        <f>+_xlfn.XLOOKUP(Tabla4[[#This Row],[ID CLIENTE]],'RESUMEN CLIENTES'!D:D,'RESUMEN CLIENTES'!G:G)</f>
        <v>45816</v>
      </c>
      <c r="S475" s="88" t="str">
        <f>+_xlfn.XLOOKUP(Tabla4[[#This Row],[ID CLIENTE]],'RESUMEN CLIENTES'!D:D,'RESUMEN CLIENTES'!AA:AA)</f>
        <v>A1.1</v>
      </c>
      <c r="T475" s="680" t="str">
        <f>+_xlfn.XLOOKUP(Tabla4[[#This Row],[ID CLIENTE]],'RESUMEN CLIENTES'!D:D,'RESUMEN CLIENTES'!C:C)</f>
        <v>Ecuador</v>
      </c>
    </row>
    <row r="476" spans="1:20" ht="16">
      <c r="A476" s="82">
        <v>45930</v>
      </c>
      <c r="B476" s="82" t="str">
        <f>+_xlfn.XLOOKUP(Tabla4[[#This Row],[ID CLIENTE]],'RESUMEN CLIENTES'!D:D,'RESUMEN CLIENTES'!A:A)</f>
        <v>Rainier Guerrero</v>
      </c>
      <c r="C476" s="83" t="s">
        <v>2263</v>
      </c>
      <c r="D476" s="83" t="s">
        <v>350</v>
      </c>
      <c r="E476" s="83" t="s">
        <v>1074</v>
      </c>
      <c r="F476" s="83" t="s">
        <v>1075</v>
      </c>
      <c r="G476" s="84">
        <v>1000</v>
      </c>
      <c r="H476" s="85">
        <v>-32.75</v>
      </c>
      <c r="I476" s="86">
        <f t="shared" si="16"/>
        <v>3.2750000000000001E-2</v>
      </c>
      <c r="J476" s="87">
        <f t="shared" si="17"/>
        <v>967.25</v>
      </c>
      <c r="K476" s="87"/>
      <c r="L476" s="87" t="s">
        <v>4672</v>
      </c>
      <c r="M476" s="87"/>
      <c r="N476" s="521"/>
      <c r="O476" s="521">
        <f>+Tabla4[[#This Row],[PAGO NO EURO]]+Tabla4[[#This Row],[CARGO NO EURO]]</f>
        <v>0</v>
      </c>
      <c r="P476" s="521"/>
      <c r="Q476" s="88"/>
      <c r="R476" s="689">
        <f>+_xlfn.XLOOKUP(Tabla4[[#This Row],[ID CLIENTE]],'RESUMEN CLIENTES'!D:D,'RESUMEN CLIENTES'!G:G)</f>
        <v>45827</v>
      </c>
      <c r="S476" s="88" t="str">
        <f>+_xlfn.XLOOKUP(Tabla4[[#This Row],[ID CLIENTE]],'RESUMEN CLIENTES'!D:D,'RESUMEN CLIENTES'!AA:AA)</f>
        <v>A1.1</v>
      </c>
      <c r="T476" s="680" t="str">
        <f>+_xlfn.XLOOKUP(Tabla4[[#This Row],[ID CLIENTE]],'RESUMEN CLIENTES'!D:D,'RESUMEN CLIENTES'!C:C)</f>
        <v>México</v>
      </c>
    </row>
    <row r="477" spans="1:20" ht="16">
      <c r="A477" s="82">
        <v>45930</v>
      </c>
      <c r="B477" s="82" t="str">
        <f>+_xlfn.XLOOKUP(Tabla4[[#This Row],[ID CLIENTE]],'RESUMEN CLIENTES'!D:D,'RESUMEN CLIENTES'!A:A)</f>
        <v>Katherine Salomé Herráez Maldonado</v>
      </c>
      <c r="C477" s="83" t="s">
        <v>2151</v>
      </c>
      <c r="D477" s="83" t="s">
        <v>132</v>
      </c>
      <c r="E477" s="83" t="s">
        <v>1062</v>
      </c>
      <c r="F477" s="83" t="s">
        <v>1063</v>
      </c>
      <c r="G477" s="84">
        <v>500</v>
      </c>
      <c r="H477" s="85">
        <v>-16.5</v>
      </c>
      <c r="I477" s="86">
        <f t="shared" si="16"/>
        <v>3.3000000000000002E-2</v>
      </c>
      <c r="J477" s="87">
        <f t="shared" si="17"/>
        <v>483.5</v>
      </c>
      <c r="K477" s="87"/>
      <c r="L477" s="87" t="s">
        <v>4672</v>
      </c>
      <c r="M477" s="87"/>
      <c r="N477" s="521"/>
      <c r="O477" s="521">
        <f>+Tabla4[[#This Row],[PAGO NO EURO]]+Tabla4[[#This Row],[CARGO NO EURO]]</f>
        <v>0</v>
      </c>
      <c r="P477" s="521"/>
      <c r="Q477" s="88"/>
      <c r="R477" s="689">
        <f>+_xlfn.XLOOKUP(Tabla4[[#This Row],[ID CLIENTE]],'RESUMEN CLIENTES'!D:D,'RESUMEN CLIENTES'!G:G)</f>
        <v>45742</v>
      </c>
      <c r="S477" s="88" t="str">
        <f>+_xlfn.XLOOKUP(Tabla4[[#This Row],[ID CLIENTE]],'RESUMEN CLIENTES'!D:D,'RESUMEN CLIENTES'!AA:AA)</f>
        <v>A1.1</v>
      </c>
      <c r="T477" s="680" t="str">
        <f>+_xlfn.XLOOKUP(Tabla4[[#This Row],[ID CLIENTE]],'RESUMEN CLIENTES'!D:D,'RESUMEN CLIENTES'!C:C)</f>
        <v>Ecuador</v>
      </c>
    </row>
    <row r="478" spans="1:20" ht="16">
      <c r="A478" s="82">
        <v>45930</v>
      </c>
      <c r="B478" s="82" t="str">
        <f>+_xlfn.XLOOKUP(Tabla4[[#This Row],[ID CLIENTE]],'RESUMEN CLIENTES'!D:D,'RESUMEN CLIENTES'!A:A)</f>
        <v>Gilberto Martiñon Torres</v>
      </c>
      <c r="C478" s="83" t="s">
        <v>2375</v>
      </c>
      <c r="D478" s="83" t="s">
        <v>739</v>
      </c>
      <c r="E478" s="83" t="s">
        <v>1056</v>
      </c>
      <c r="F478" s="83" t="s">
        <v>1057</v>
      </c>
      <c r="G478" s="84">
        <v>700</v>
      </c>
      <c r="H478" s="85">
        <v>-23</v>
      </c>
      <c r="I478" s="86">
        <f t="shared" si="16"/>
        <v>3.2857142857142856E-2</v>
      </c>
      <c r="J478" s="87">
        <f t="shared" si="17"/>
        <v>677</v>
      </c>
      <c r="K478" s="87"/>
      <c r="L478" s="87" t="s">
        <v>4672</v>
      </c>
      <c r="M478" s="87"/>
      <c r="N478" s="521"/>
      <c r="O478" s="521">
        <f>+Tabla4[[#This Row],[PAGO NO EURO]]+Tabla4[[#This Row],[CARGO NO EURO]]</f>
        <v>0</v>
      </c>
      <c r="P478" s="521"/>
      <c r="Q478" s="88"/>
      <c r="R478" s="689">
        <f>+_xlfn.XLOOKUP(Tabla4[[#This Row],[ID CLIENTE]],'RESUMEN CLIENTES'!D:D,'RESUMEN CLIENTES'!G:G)</f>
        <v>45896</v>
      </c>
      <c r="S478" s="88" t="str">
        <f>+_xlfn.XLOOKUP(Tabla4[[#This Row],[ID CLIENTE]],'RESUMEN CLIENTES'!D:D,'RESUMEN CLIENTES'!AA:AA)</f>
        <v>A1.1</v>
      </c>
      <c r="T478" s="680" t="str">
        <f>+_xlfn.XLOOKUP(Tabla4[[#This Row],[ID CLIENTE]],'RESUMEN CLIENTES'!D:D,'RESUMEN CLIENTES'!C:C)</f>
        <v>México</v>
      </c>
    </row>
    <row r="479" spans="1:20" ht="16">
      <c r="A479" s="82">
        <v>45931</v>
      </c>
      <c r="B479" s="82" t="str">
        <f>+_xlfn.XLOOKUP(Tabla4[[#This Row],[ID CLIENTE]],'RESUMEN CLIENTES'!D:D,'RESUMEN CLIENTES'!A:A)</f>
        <v>Maria Laura Rios Pino</v>
      </c>
      <c r="C479" s="83" t="s">
        <v>2220</v>
      </c>
      <c r="D479" s="83" t="s">
        <v>258</v>
      </c>
      <c r="E479" s="83" t="s">
        <v>1094</v>
      </c>
      <c r="F479" s="83" t="s">
        <v>1095</v>
      </c>
      <c r="G479" s="84">
        <f>+Tabla4[[#This Row],[PAGO NO EURO]]*Tabla4[[#This Row],[CAMBIO]]</f>
        <v>639.00485643690888</v>
      </c>
      <c r="H479" s="85">
        <f>+Tabla4[[#This Row],[CARGO NO EURO]]*Tabla4[[#This Row],[CAMBIO]]</f>
        <v>-21.027519809150551</v>
      </c>
      <c r="I479" s="86">
        <f t="shared" si="16"/>
        <v>3.2906666666666667E-2</v>
      </c>
      <c r="J479" s="87">
        <f t="shared" si="17"/>
        <v>617.97733662775829</v>
      </c>
      <c r="K479" s="87"/>
      <c r="L479" s="87" t="s">
        <v>4672</v>
      </c>
      <c r="M479" s="87" t="s">
        <v>2548</v>
      </c>
      <c r="N479" s="524">
        <v>750</v>
      </c>
      <c r="O479" s="524">
        <f>+Tabla4[[#This Row],[PAGO NO EURO]]+Tabla4[[#This Row],[CARGO NO EURO]]</f>
        <v>725.32</v>
      </c>
      <c r="P479" s="524">
        <v>-24.68</v>
      </c>
      <c r="Q479" s="92">
        <v>0.85200647524921191</v>
      </c>
      <c r="R479" s="690">
        <f>+_xlfn.XLOOKUP(Tabla4[[#This Row],[ID CLIENTE]],'RESUMEN CLIENTES'!D:D,'RESUMEN CLIENTES'!G:G)</f>
        <v>45805</v>
      </c>
      <c r="S479" s="92" t="str">
        <f>+_xlfn.XLOOKUP(Tabla4[[#This Row],[ID CLIENTE]],'RESUMEN CLIENTES'!D:D,'RESUMEN CLIENTES'!AA:AA)</f>
        <v>B1.1</v>
      </c>
      <c r="T479" s="680" t="str">
        <f>+_xlfn.XLOOKUP(Tabla4[[#This Row],[ID CLIENTE]],'RESUMEN CLIENTES'!D:D,'RESUMEN CLIENTES'!C:C)</f>
        <v>Perú</v>
      </c>
    </row>
    <row r="480" spans="1:20" ht="16">
      <c r="A480" s="82">
        <v>45931</v>
      </c>
      <c r="B480" s="82" t="str">
        <f>+_xlfn.XLOOKUP(Tabla4[[#This Row],[ID CLIENTE]],'RESUMEN CLIENTES'!D:D,'RESUMEN CLIENTES'!A:A)</f>
        <v>Laura Margarita Cepeda Garrido</v>
      </c>
      <c r="C480" s="83" t="s">
        <v>2204</v>
      </c>
      <c r="D480" s="83" t="s">
        <v>218</v>
      </c>
      <c r="E480" s="93" t="s">
        <v>1064</v>
      </c>
      <c r="F480" s="83" t="s">
        <v>1065</v>
      </c>
      <c r="G480" s="94">
        <v>600</v>
      </c>
      <c r="H480" s="95">
        <v>-19.75</v>
      </c>
      <c r="I480" s="96">
        <f t="shared" si="16"/>
        <v>3.2916666666666664E-2</v>
      </c>
      <c r="J480" s="97">
        <f t="shared" si="17"/>
        <v>580.25</v>
      </c>
      <c r="K480" s="97"/>
      <c r="L480" s="97" t="s">
        <v>4672</v>
      </c>
      <c r="M480" s="97"/>
      <c r="N480" s="527"/>
      <c r="O480" s="527">
        <f>+Tabla4[[#This Row],[PAGO NO EURO]]+Tabla4[[#This Row],[CARGO NO EURO]]</f>
        <v>0</v>
      </c>
      <c r="P480" s="527"/>
      <c r="Q480" s="98"/>
      <c r="R480" s="691">
        <f>+_xlfn.XLOOKUP(Tabla4[[#This Row],[ID CLIENTE]],'RESUMEN CLIENTES'!D:D,'RESUMEN CLIENTES'!G:G)</f>
        <v>45786</v>
      </c>
      <c r="S480" s="98" t="str">
        <f>+_xlfn.XLOOKUP(Tabla4[[#This Row],[ID CLIENTE]],'RESUMEN CLIENTES'!D:D,'RESUMEN CLIENTES'!AA:AA)</f>
        <v>A1.1</v>
      </c>
      <c r="T480" s="681" t="str">
        <f>+_xlfn.XLOOKUP(Tabla4[[#This Row],[ID CLIENTE]],'RESUMEN CLIENTES'!D:D,'RESUMEN CLIENTES'!C:C)</f>
        <v>Colombia</v>
      </c>
    </row>
    <row r="481" spans="1:20" ht="16">
      <c r="A481" s="82">
        <v>45932</v>
      </c>
      <c r="B481" s="82" t="str">
        <f>+_xlfn.XLOOKUP(Tabla4[[#This Row],[ID CLIENTE]],'RESUMEN CLIENTES'!D:D,'RESUMEN CLIENTES'!A:A)</f>
        <v>Boris Andrés Silva Véliz</v>
      </c>
      <c r="C481" s="83" t="s">
        <v>2184</v>
      </c>
      <c r="D481" s="83" t="s">
        <v>184</v>
      </c>
      <c r="E481" s="83" t="s">
        <v>1108</v>
      </c>
      <c r="F481" s="83" t="s">
        <v>1109</v>
      </c>
      <c r="G481" s="84">
        <v>695</v>
      </c>
      <c r="H481" s="85">
        <v>-22.84</v>
      </c>
      <c r="I481" s="86">
        <f t="shared" si="16"/>
        <v>3.2863309352517987E-2</v>
      </c>
      <c r="J481" s="87">
        <f t="shared" si="17"/>
        <v>672.16</v>
      </c>
      <c r="K481" s="87"/>
      <c r="L481" s="87" t="s">
        <v>4672</v>
      </c>
      <c r="M481" s="87"/>
      <c r="N481" s="521"/>
      <c r="O481" s="521">
        <f>+Tabla4[[#This Row],[PAGO NO EURO]]+Tabla4[[#This Row],[CARGO NO EURO]]</f>
        <v>0</v>
      </c>
      <c r="P481" s="521"/>
      <c r="Q481" s="88"/>
      <c r="R481" s="692">
        <f>+_xlfn.XLOOKUP(Tabla4[[#This Row],[ID CLIENTE]],'RESUMEN CLIENTES'!D:D,'RESUMEN CLIENTES'!G:G)</f>
        <v>45771</v>
      </c>
      <c r="S481" s="99" t="str">
        <f>+_xlfn.XLOOKUP(Tabla4[[#This Row],[ID CLIENTE]],'RESUMEN CLIENTES'!D:D,'RESUMEN CLIENTES'!AA:AA)</f>
        <v>C1.1</v>
      </c>
      <c r="T481" s="680" t="str">
        <f>+_xlfn.XLOOKUP(Tabla4[[#This Row],[ID CLIENTE]],'RESUMEN CLIENTES'!D:D,'RESUMEN CLIENTES'!C:C)</f>
        <v>Chile</v>
      </c>
    </row>
    <row r="482" spans="1:20" ht="16">
      <c r="A482" s="82">
        <v>45932</v>
      </c>
      <c r="B482" s="82" t="str">
        <f>+_xlfn.XLOOKUP(Tabla4[[#This Row],[ID CLIENTE]],'RESUMEN CLIENTES'!D:D,'RESUMEN CLIENTES'!A:A)</f>
        <v>Martin Esteban Orellana Dominguez</v>
      </c>
      <c r="C482" s="83" t="s">
        <v>2377</v>
      </c>
      <c r="D482" s="83" t="s">
        <v>744</v>
      </c>
      <c r="E482" s="83" t="s">
        <v>1076</v>
      </c>
      <c r="F482" s="83" t="s">
        <v>1077</v>
      </c>
      <c r="G482" s="84">
        <v>953</v>
      </c>
      <c r="H482" s="85">
        <v>-31.22</v>
      </c>
      <c r="I482" s="86">
        <f t="shared" si="16"/>
        <v>3.2759706190975867E-2</v>
      </c>
      <c r="J482" s="87">
        <f t="shared" si="17"/>
        <v>921.78</v>
      </c>
      <c r="K482" s="87"/>
      <c r="L482" s="87" t="s">
        <v>4672</v>
      </c>
      <c r="M482" s="87"/>
      <c r="N482" s="521"/>
      <c r="O482" s="521">
        <f>+Tabla4[[#This Row],[PAGO NO EURO]]+Tabla4[[#This Row],[CARGO NO EURO]]</f>
        <v>0</v>
      </c>
      <c r="P482" s="521"/>
      <c r="Q482" s="88"/>
      <c r="R482" s="692">
        <f>+_xlfn.XLOOKUP(Tabla4[[#This Row],[ID CLIENTE]],'RESUMEN CLIENTES'!D:D,'RESUMEN CLIENTES'!G:G)</f>
        <v>45897</v>
      </c>
      <c r="S482" s="99" t="str">
        <f>+_xlfn.XLOOKUP(Tabla4[[#This Row],[ID CLIENTE]],'RESUMEN CLIENTES'!D:D,'RESUMEN CLIENTES'!AA:AA)</f>
        <v>A1.1</v>
      </c>
      <c r="T482" s="680" t="str">
        <f>+_xlfn.XLOOKUP(Tabla4[[#This Row],[ID CLIENTE]],'RESUMEN CLIENTES'!D:D,'RESUMEN CLIENTES'!C:C)</f>
        <v>Ecuador</v>
      </c>
    </row>
    <row r="483" spans="1:20" ht="16">
      <c r="A483" s="82">
        <v>45932</v>
      </c>
      <c r="B483" s="82" t="str">
        <f>+_xlfn.XLOOKUP(Tabla4[[#This Row],[ID CLIENTE]],'RESUMEN CLIENTES'!D:D,'RESUMEN CLIENTES'!A:A)</f>
        <v>Yefry Onil Santana Marte</v>
      </c>
      <c r="C483" s="83" t="s">
        <v>2284</v>
      </c>
      <c r="D483" s="83" t="s">
        <v>447</v>
      </c>
      <c r="E483" s="83" t="s">
        <v>1102</v>
      </c>
      <c r="F483" s="83" t="s">
        <v>1103</v>
      </c>
      <c r="G483" s="84">
        <v>625</v>
      </c>
      <c r="H483" s="85">
        <v>-20.56</v>
      </c>
      <c r="I483" s="86">
        <f t="shared" si="16"/>
        <v>3.2895999999999995E-2</v>
      </c>
      <c r="J483" s="87">
        <f t="shared" si="17"/>
        <v>604.44000000000005</v>
      </c>
      <c r="K483" s="87"/>
      <c r="L483" s="87" t="s">
        <v>4672</v>
      </c>
      <c r="M483" s="87"/>
      <c r="N483" s="521"/>
      <c r="O483" s="521">
        <f>+Tabla4[[#This Row],[PAGO NO EURO]]+Tabla4[[#This Row],[CARGO NO EURO]]</f>
        <v>0</v>
      </c>
      <c r="P483" s="521"/>
      <c r="Q483" s="88"/>
      <c r="R483" s="692">
        <f>+_xlfn.XLOOKUP(Tabla4[[#This Row],[ID CLIENTE]],'RESUMEN CLIENTES'!D:D,'RESUMEN CLIENTES'!G:G)</f>
        <v>45845</v>
      </c>
      <c r="S483" s="99" t="str">
        <f>+_xlfn.XLOOKUP(Tabla4[[#This Row],[ID CLIENTE]],'RESUMEN CLIENTES'!D:D,'RESUMEN CLIENTES'!AA:AA)</f>
        <v>A1.1</v>
      </c>
      <c r="T483" s="680" t="str">
        <f>+_xlfn.XLOOKUP(Tabla4[[#This Row],[ID CLIENTE]],'RESUMEN CLIENTES'!D:D,'RESUMEN CLIENTES'!C:C)</f>
        <v>República Dominicana</v>
      </c>
    </row>
    <row r="484" spans="1:20" ht="16">
      <c r="A484" s="82">
        <v>45933</v>
      </c>
      <c r="B484" s="82" t="str">
        <f>+_xlfn.XLOOKUP(Tabla4[[#This Row],[ID CLIENTE]],'RESUMEN CLIENTES'!D:D,'RESUMEN CLIENTES'!A:A)</f>
        <v>Olguer Ariel Pruna Herrera</v>
      </c>
      <c r="C484" s="83" t="s">
        <v>2353</v>
      </c>
      <c r="D484" s="83" t="s">
        <v>695</v>
      </c>
      <c r="E484" s="83" t="s">
        <v>1080</v>
      </c>
      <c r="F484" s="83" t="s">
        <v>1081</v>
      </c>
      <c r="G484" s="84">
        <v>1000</v>
      </c>
      <c r="H484" s="85">
        <v>-32.75</v>
      </c>
      <c r="I484" s="86">
        <f t="shared" si="16"/>
        <v>3.2750000000000001E-2</v>
      </c>
      <c r="J484" s="87">
        <f t="shared" si="17"/>
        <v>967.25</v>
      </c>
      <c r="K484" s="87"/>
      <c r="L484" s="87" t="s">
        <v>4672</v>
      </c>
      <c r="M484" s="87"/>
      <c r="N484" s="521"/>
      <c r="O484" s="521">
        <f>+Tabla4[[#This Row],[PAGO NO EURO]]+Tabla4[[#This Row],[CARGO NO EURO]]</f>
        <v>0</v>
      </c>
      <c r="P484" s="521"/>
      <c r="Q484" s="88"/>
      <c r="R484" s="692">
        <f>+_xlfn.XLOOKUP(Tabla4[[#This Row],[ID CLIENTE]],'RESUMEN CLIENTES'!D:D,'RESUMEN CLIENTES'!G:G)</f>
        <v>45882</v>
      </c>
      <c r="S484" s="99" t="str">
        <f>+_xlfn.XLOOKUP(Tabla4[[#This Row],[ID CLIENTE]],'RESUMEN CLIENTES'!D:D,'RESUMEN CLIENTES'!AA:AA)</f>
        <v>A1.1</v>
      </c>
      <c r="T484" s="680" t="str">
        <f>+_xlfn.XLOOKUP(Tabla4[[#This Row],[ID CLIENTE]],'RESUMEN CLIENTES'!D:D,'RESUMEN CLIENTES'!C:C)</f>
        <v>Ecuador</v>
      </c>
    </row>
    <row r="485" spans="1:20" ht="16">
      <c r="A485" s="82">
        <v>45933</v>
      </c>
      <c r="B485" s="82" t="str">
        <f>+_xlfn.XLOOKUP(Tabla4[[#This Row],[ID CLIENTE]],'RESUMEN CLIENTES'!D:D,'RESUMEN CLIENTES'!A:A)</f>
        <v>Dinorah Gómez Castellanos</v>
      </c>
      <c r="C485" s="83" t="s">
        <v>2168</v>
      </c>
      <c r="D485" s="83" t="s">
        <v>194</v>
      </c>
      <c r="E485" s="83" t="s">
        <v>1116</v>
      </c>
      <c r="F485" s="83" t="s">
        <v>1117</v>
      </c>
      <c r="G485" s="84">
        <v>800</v>
      </c>
      <c r="H485" s="85">
        <v>-26.25</v>
      </c>
      <c r="I485" s="86">
        <f t="shared" si="16"/>
        <v>3.2812500000000001E-2</v>
      </c>
      <c r="J485" s="87">
        <f t="shared" si="17"/>
        <v>773.75</v>
      </c>
      <c r="K485" s="87"/>
      <c r="L485" s="87" t="s">
        <v>4672</v>
      </c>
      <c r="M485" s="87"/>
      <c r="N485" s="521"/>
      <c r="O485" s="521">
        <f>+Tabla4[[#This Row],[PAGO NO EURO]]+Tabla4[[#This Row],[CARGO NO EURO]]</f>
        <v>0</v>
      </c>
      <c r="P485" s="521"/>
      <c r="Q485" s="88"/>
      <c r="R485" s="692">
        <f>+_xlfn.XLOOKUP(Tabla4[[#This Row],[ID CLIENTE]],'RESUMEN CLIENTES'!D:D,'RESUMEN CLIENTES'!G:G)</f>
        <v>45757</v>
      </c>
      <c r="S485" s="99" t="str">
        <f>+_xlfn.XLOOKUP(Tabla4[[#This Row],[ID CLIENTE]],'RESUMEN CLIENTES'!D:D,'RESUMEN CLIENTES'!AA:AA)</f>
        <v>B2.1</v>
      </c>
      <c r="T485" s="680" t="str">
        <f>+_xlfn.XLOOKUP(Tabla4[[#This Row],[ID CLIENTE]],'RESUMEN CLIENTES'!D:D,'RESUMEN CLIENTES'!C:C)</f>
        <v>México</v>
      </c>
    </row>
    <row r="486" spans="1:20" ht="16">
      <c r="A486" s="82">
        <v>45933</v>
      </c>
      <c r="B486" s="82" t="str">
        <f>+_xlfn.XLOOKUP(Tabla4[[#This Row],[ID CLIENTE]],'RESUMEN CLIENTES'!D:D,'RESUMEN CLIENTES'!A:A)</f>
        <v>Antonio José Estrada Hoyo</v>
      </c>
      <c r="C486" s="83" t="s">
        <v>2327</v>
      </c>
      <c r="D486" s="83" t="s">
        <v>530</v>
      </c>
      <c r="E486" s="83" t="s">
        <v>1082</v>
      </c>
      <c r="F486" s="83" t="s">
        <v>1083</v>
      </c>
      <c r="G486" s="84">
        <f>+Tabla4[[#This Row],[PAGO NO EURO]]*Tabla4[[#This Row],[CAMBIO]]</f>
        <v>7796.7999999999993</v>
      </c>
      <c r="H486" s="85">
        <f>+Tabla4[[#This Row],[CARGO NO EURO]]*Tabla4[[#This Row],[CAMBIO]]</f>
        <v>0</v>
      </c>
      <c r="I486" s="86">
        <f t="shared" si="16"/>
        <v>0</v>
      </c>
      <c r="J486" s="87">
        <f t="shared" si="17"/>
        <v>7796.7999999999993</v>
      </c>
      <c r="K486" s="87" t="s">
        <v>4677</v>
      </c>
      <c r="L486" s="87" t="s">
        <v>4675</v>
      </c>
      <c r="M486" s="87" t="s">
        <v>2543</v>
      </c>
      <c r="N486" s="522">
        <v>8800000</v>
      </c>
      <c r="O486" s="523">
        <f>+Tabla4[[#This Row],[PAGO NO EURO]]+Tabla4[[#This Row],[CARGO NO EURO]]</f>
        <v>8800000</v>
      </c>
      <c r="P486" s="524">
        <v>0</v>
      </c>
      <c r="Q486" s="89">
        <v>8.8599999999999996E-4</v>
      </c>
      <c r="R486" s="692">
        <f>+_xlfn.XLOOKUP(Tabla4[[#This Row],[ID CLIENTE]],'RESUMEN CLIENTES'!D:D,'RESUMEN CLIENTES'!G:G)</f>
        <v>45867</v>
      </c>
      <c r="S486" s="100" t="str">
        <f>+_xlfn.XLOOKUP(Tabla4[[#This Row],[ID CLIENTE]],'RESUMEN CLIENTES'!D:D,'RESUMEN CLIENTES'!AA:AA)</f>
        <v>A1.2</v>
      </c>
      <c r="T486" s="680" t="str">
        <f>+_xlfn.XLOOKUP(Tabla4[[#This Row],[ID CLIENTE]],'RESUMEN CLIENTES'!D:D,'RESUMEN CLIENTES'!C:C)</f>
        <v>Venezuela</v>
      </c>
    </row>
    <row r="487" spans="1:20" ht="16">
      <c r="A487" s="82">
        <v>45933</v>
      </c>
      <c r="B487" s="82" t="str">
        <f>+_xlfn.XLOOKUP(Tabla4[[#This Row],[ID CLIENTE]],'RESUMEN CLIENTES'!D:D,'RESUMEN CLIENTES'!A:A)</f>
        <v>Guillermo Alfonso Garvalena Gaxiola</v>
      </c>
      <c r="C487" s="83" t="s">
        <v>2176</v>
      </c>
      <c r="D487" s="83" t="s">
        <v>171</v>
      </c>
      <c r="E487" s="83" t="s">
        <v>1120</v>
      </c>
      <c r="F487" s="83" t="s">
        <v>1121</v>
      </c>
      <c r="G487" s="84">
        <v>200</v>
      </c>
      <c r="H487" s="85">
        <v>-6.75</v>
      </c>
      <c r="I487" s="86">
        <f t="shared" si="16"/>
        <v>3.3750000000000002E-2</v>
      </c>
      <c r="J487" s="87">
        <f t="shared" si="17"/>
        <v>193.25</v>
      </c>
      <c r="K487" s="87"/>
      <c r="L487" s="87" t="s">
        <v>4672</v>
      </c>
      <c r="M487" s="87"/>
      <c r="N487" s="521"/>
      <c r="O487" s="521">
        <f>+Tabla4[[#This Row],[PAGO NO EURO]]+Tabla4[[#This Row],[CARGO NO EURO]]</f>
        <v>0</v>
      </c>
      <c r="P487" s="521"/>
      <c r="Q487" s="88"/>
      <c r="R487" s="692">
        <f>+_xlfn.XLOOKUP(Tabla4[[#This Row],[ID CLIENTE]],'RESUMEN CLIENTES'!D:D,'RESUMEN CLIENTES'!G:G)</f>
        <v>45762</v>
      </c>
      <c r="S487" s="99" t="str">
        <f>+_xlfn.XLOOKUP(Tabla4[[#This Row],[ID CLIENTE]],'RESUMEN CLIENTES'!D:D,'RESUMEN CLIENTES'!AA:AA)</f>
        <v>A2.1</v>
      </c>
      <c r="T487" s="680" t="str">
        <f>+_xlfn.XLOOKUP(Tabla4[[#This Row],[ID CLIENTE]],'RESUMEN CLIENTES'!D:D,'RESUMEN CLIENTES'!C:C)</f>
        <v>México</v>
      </c>
    </row>
    <row r="488" spans="1:20" ht="16">
      <c r="A488" s="82">
        <v>45933</v>
      </c>
      <c r="B488" s="82" t="str">
        <f>+_xlfn.XLOOKUP(Tabla4[[#This Row],[ID CLIENTE]],'RESUMEN CLIENTES'!D:D,'RESUMEN CLIENTES'!A:A)</f>
        <v>Guillermo Alfonso Garvalena Gaxiola</v>
      </c>
      <c r="C488" s="83" t="s">
        <v>2176</v>
      </c>
      <c r="D488" s="83" t="s">
        <v>171</v>
      </c>
      <c r="E488" s="83" t="s">
        <v>1122</v>
      </c>
      <c r="F488" s="83" t="s">
        <v>1123</v>
      </c>
      <c r="G488" s="84">
        <v>500</v>
      </c>
      <c r="H488" s="85">
        <v>-16.5</v>
      </c>
      <c r="I488" s="86">
        <f t="shared" si="16"/>
        <v>3.3000000000000002E-2</v>
      </c>
      <c r="J488" s="87">
        <f t="shared" si="17"/>
        <v>483.5</v>
      </c>
      <c r="K488" s="87"/>
      <c r="L488" s="87" t="s">
        <v>4672</v>
      </c>
      <c r="M488" s="87"/>
      <c r="N488" s="521"/>
      <c r="O488" s="521">
        <f>+Tabla4[[#This Row],[PAGO NO EURO]]+Tabla4[[#This Row],[CARGO NO EURO]]</f>
        <v>0</v>
      </c>
      <c r="P488" s="521"/>
      <c r="Q488" s="88"/>
      <c r="R488" s="692">
        <f>+_xlfn.XLOOKUP(Tabla4[[#This Row],[ID CLIENTE]],'RESUMEN CLIENTES'!D:D,'RESUMEN CLIENTES'!G:G)</f>
        <v>45762</v>
      </c>
      <c r="S488" s="99" t="str">
        <f>+_xlfn.XLOOKUP(Tabla4[[#This Row],[ID CLIENTE]],'RESUMEN CLIENTES'!D:D,'RESUMEN CLIENTES'!AA:AA)</f>
        <v>A2.1</v>
      </c>
      <c r="T488" s="680" t="str">
        <f>+_xlfn.XLOOKUP(Tabla4[[#This Row],[ID CLIENTE]],'RESUMEN CLIENTES'!D:D,'RESUMEN CLIENTES'!C:C)</f>
        <v>México</v>
      </c>
    </row>
    <row r="489" spans="1:20" ht="16">
      <c r="A489" s="82">
        <v>45933</v>
      </c>
      <c r="B489" s="82" t="str">
        <f>+_xlfn.XLOOKUP(Tabla4[[#This Row],[ID CLIENTE]],'RESUMEN CLIENTES'!D:D,'RESUMEN CLIENTES'!A:A)</f>
        <v>Ian Job Lino Durán</v>
      </c>
      <c r="C489" s="83" t="s">
        <v>2135</v>
      </c>
      <c r="D489" s="83" t="s">
        <v>109</v>
      </c>
      <c r="E489" s="83" t="s">
        <v>1124</v>
      </c>
      <c r="F489" s="83" t="s">
        <v>1125</v>
      </c>
      <c r="G489" s="84">
        <v>1000</v>
      </c>
      <c r="H489" s="85">
        <v>-32.75</v>
      </c>
      <c r="I489" s="86">
        <f t="shared" si="16"/>
        <v>3.2750000000000001E-2</v>
      </c>
      <c r="J489" s="87">
        <f t="shared" si="17"/>
        <v>967.25</v>
      </c>
      <c r="K489" s="87"/>
      <c r="L489" s="87" t="s">
        <v>4672</v>
      </c>
      <c r="M489" s="87"/>
      <c r="N489" s="521"/>
      <c r="O489" s="521">
        <f>+Tabla4[[#This Row],[PAGO NO EURO]]+Tabla4[[#This Row],[CARGO NO EURO]]</f>
        <v>0</v>
      </c>
      <c r="P489" s="521"/>
      <c r="Q489" s="88"/>
      <c r="R489" s="692">
        <f>+_xlfn.XLOOKUP(Tabla4[[#This Row],[ID CLIENTE]],'RESUMEN CLIENTES'!D:D,'RESUMEN CLIENTES'!G:G)</f>
        <v>45729</v>
      </c>
      <c r="S489" s="99" t="str">
        <f>+_xlfn.XLOOKUP(Tabla4[[#This Row],[ID CLIENTE]],'RESUMEN CLIENTES'!D:D,'RESUMEN CLIENTES'!AA:AA)</f>
        <v>B2.1</v>
      </c>
      <c r="T489" s="680" t="str">
        <f>+_xlfn.XLOOKUP(Tabla4[[#This Row],[ID CLIENTE]],'RESUMEN CLIENTES'!D:D,'RESUMEN CLIENTES'!C:C)</f>
        <v>México</v>
      </c>
    </row>
    <row r="490" spans="1:20" ht="16">
      <c r="A490" s="82">
        <v>45933</v>
      </c>
      <c r="B490" s="82" t="str">
        <f>+_xlfn.XLOOKUP(Tabla4[[#This Row],[ID CLIENTE]],'RESUMEN CLIENTES'!D:D,'RESUMEN CLIENTES'!A:A)</f>
        <v>Mayra Leonor Rivera Paico</v>
      </c>
      <c r="C490" s="83" t="s">
        <v>2280</v>
      </c>
      <c r="D490" s="83" t="s">
        <v>407</v>
      </c>
      <c r="E490" s="83" t="s">
        <v>1096</v>
      </c>
      <c r="F490" s="83" t="s">
        <v>1097</v>
      </c>
      <c r="G490" s="84">
        <v>1000</v>
      </c>
      <c r="H490" s="85">
        <v>-32.75</v>
      </c>
      <c r="I490" s="86">
        <f t="shared" si="16"/>
        <v>3.2750000000000001E-2</v>
      </c>
      <c r="J490" s="87">
        <f t="shared" si="17"/>
        <v>967.25</v>
      </c>
      <c r="K490" s="87"/>
      <c r="L490" s="87" t="s">
        <v>4672</v>
      </c>
      <c r="M490" s="87"/>
      <c r="N490" s="521"/>
      <c r="O490" s="521">
        <f>+Tabla4[[#This Row],[PAGO NO EURO]]+Tabla4[[#This Row],[CARGO NO EURO]]</f>
        <v>0</v>
      </c>
      <c r="P490" s="521"/>
      <c r="Q490" s="88"/>
      <c r="R490" s="692">
        <f>+_xlfn.XLOOKUP(Tabla4[[#This Row],[ID CLIENTE]],'RESUMEN CLIENTES'!D:D,'RESUMEN CLIENTES'!G:G)</f>
        <v>45842</v>
      </c>
      <c r="S490" s="99" t="str">
        <f>+_xlfn.XLOOKUP(Tabla4[[#This Row],[ID CLIENTE]],'RESUMEN CLIENTES'!D:D,'RESUMEN CLIENTES'!AA:AA)</f>
        <v>A1.1</v>
      </c>
      <c r="T490" s="680" t="str">
        <f>+_xlfn.XLOOKUP(Tabla4[[#This Row],[ID CLIENTE]],'RESUMEN CLIENTES'!D:D,'RESUMEN CLIENTES'!C:C)</f>
        <v>Perú</v>
      </c>
    </row>
    <row r="491" spans="1:20" ht="16">
      <c r="A491" s="82">
        <v>45933</v>
      </c>
      <c r="B491" s="82" t="str">
        <f>+_xlfn.XLOOKUP(Tabla4[[#This Row],[ID CLIENTE]],'RESUMEN CLIENTES'!D:D,'RESUMEN CLIENTES'!A:A)</f>
        <v>María Fernanda Alvar Sepúlveda</v>
      </c>
      <c r="C491" s="83" t="s">
        <v>2123</v>
      </c>
      <c r="D491" s="83" t="s">
        <v>80</v>
      </c>
      <c r="E491" s="83" t="s">
        <v>1134</v>
      </c>
      <c r="F491" s="83" t="s">
        <v>1135</v>
      </c>
      <c r="G491" s="84">
        <f>+Tabla4[[#This Row],[PAGO NO EURO]]*Tabla4[[#This Row],[CAMBIO]]</f>
        <v>581.21600000000001</v>
      </c>
      <c r="H491" s="85">
        <v>0</v>
      </c>
      <c r="I491" s="86">
        <f t="shared" si="16"/>
        <v>0</v>
      </c>
      <c r="J491" s="87">
        <f t="shared" si="17"/>
        <v>581.21600000000001</v>
      </c>
      <c r="K491" s="87" t="s">
        <v>4677</v>
      </c>
      <c r="L491" s="87" t="s">
        <v>4675</v>
      </c>
      <c r="M491" s="87" t="s">
        <v>2543</v>
      </c>
      <c r="N491" s="522">
        <v>656000</v>
      </c>
      <c r="O491" s="523">
        <f>+Tabla4[[#This Row],[PAGO NO EURO]]+Tabla4[[#This Row],[CARGO NO EURO]]</f>
        <v>656000</v>
      </c>
      <c r="P491" s="524">
        <v>0</v>
      </c>
      <c r="Q491" s="89">
        <v>8.8599999999999996E-4</v>
      </c>
      <c r="R491" s="692">
        <f>+_xlfn.XLOOKUP(Tabla4[[#This Row],[ID CLIENTE]],'RESUMEN CLIENTES'!D:D,'RESUMEN CLIENTES'!G:G)</f>
        <v>45684</v>
      </c>
      <c r="S491" s="100" t="str">
        <f>+_xlfn.XLOOKUP(Tabla4[[#This Row],[ID CLIENTE]],'RESUMEN CLIENTES'!D:D,'RESUMEN CLIENTES'!AA:AA)</f>
        <v>A1.1</v>
      </c>
      <c r="T491" s="680" t="str">
        <f>+_xlfn.XLOOKUP(Tabla4[[#This Row],[ID CLIENTE]],'RESUMEN CLIENTES'!D:D,'RESUMEN CLIENTES'!C:C)</f>
        <v>Chile</v>
      </c>
    </row>
    <row r="492" spans="1:20" ht="16">
      <c r="A492" s="82">
        <v>45933</v>
      </c>
      <c r="B492" s="82" t="str">
        <f>+_xlfn.XLOOKUP(Tabla4[[#This Row],[ID CLIENTE]],'RESUMEN CLIENTES'!D:D,'RESUMEN CLIENTES'!A:A)</f>
        <v>Moira Millaray Schneider Rivera</v>
      </c>
      <c r="C492" s="83" t="s">
        <v>2147</v>
      </c>
      <c r="D492" s="83" t="s">
        <v>129</v>
      </c>
      <c r="E492" s="83" t="s">
        <v>1136</v>
      </c>
      <c r="F492" s="83" t="s">
        <v>1137</v>
      </c>
      <c r="G492" s="84">
        <v>1000</v>
      </c>
      <c r="H492" s="85">
        <v>-32.75</v>
      </c>
      <c r="I492" s="86">
        <f t="shared" si="16"/>
        <v>3.2750000000000001E-2</v>
      </c>
      <c r="J492" s="87">
        <f t="shared" si="17"/>
        <v>967.25</v>
      </c>
      <c r="K492" s="87"/>
      <c r="L492" s="87" t="s">
        <v>4672</v>
      </c>
      <c r="M492" s="87"/>
      <c r="N492" s="521"/>
      <c r="O492" s="521">
        <f>+Tabla4[[#This Row],[PAGO NO EURO]]+Tabla4[[#This Row],[CARGO NO EURO]]</f>
        <v>0</v>
      </c>
      <c r="P492" s="521"/>
      <c r="Q492" s="88"/>
      <c r="R492" s="692">
        <f>+_xlfn.XLOOKUP(Tabla4[[#This Row],[ID CLIENTE]],'RESUMEN CLIENTES'!D:D,'RESUMEN CLIENTES'!G:G)</f>
        <v>45740</v>
      </c>
      <c r="S492" s="99" t="str">
        <f>+_xlfn.XLOOKUP(Tabla4[[#This Row],[ID CLIENTE]],'RESUMEN CLIENTES'!D:D,'RESUMEN CLIENTES'!AA:AA)</f>
        <v>null</v>
      </c>
      <c r="T492" s="680" t="str">
        <f>+_xlfn.XLOOKUP(Tabla4[[#This Row],[ID CLIENTE]],'RESUMEN CLIENTES'!D:D,'RESUMEN CLIENTES'!C:C)</f>
        <v>Chile</v>
      </c>
    </row>
    <row r="493" spans="1:20" ht="16">
      <c r="A493" s="82">
        <v>45933</v>
      </c>
      <c r="B493" s="82" t="str">
        <f>+_xlfn.XLOOKUP(Tabla4[[#This Row],[ID CLIENTE]],'RESUMEN CLIENTES'!D:D,'RESUMEN CLIENTES'!A:A)</f>
        <v>Freddy Renzo Perez Villafuerte</v>
      </c>
      <c r="C493" s="83" t="s">
        <v>2292</v>
      </c>
      <c r="D493" s="83" t="s">
        <v>465</v>
      </c>
      <c r="E493" s="83" t="s">
        <v>1078</v>
      </c>
      <c r="F493" s="83" t="s">
        <v>1079</v>
      </c>
      <c r="G493" s="84">
        <v>1000</v>
      </c>
      <c r="H493" s="85">
        <v>-32.75</v>
      </c>
      <c r="I493" s="86">
        <f t="shared" si="16"/>
        <v>3.2750000000000001E-2</v>
      </c>
      <c r="J493" s="87">
        <f t="shared" si="17"/>
        <v>967.25</v>
      </c>
      <c r="K493" s="87"/>
      <c r="L493" s="87" t="s">
        <v>4672</v>
      </c>
      <c r="M493" s="87"/>
      <c r="N493" s="521"/>
      <c r="O493" s="521">
        <f>+Tabla4[[#This Row],[PAGO NO EURO]]+Tabla4[[#This Row],[CARGO NO EURO]]</f>
        <v>0</v>
      </c>
      <c r="P493" s="521"/>
      <c r="Q493" s="88"/>
      <c r="R493" s="692">
        <f>+_xlfn.XLOOKUP(Tabla4[[#This Row],[ID CLIENTE]],'RESUMEN CLIENTES'!D:D,'RESUMEN CLIENTES'!G:G)</f>
        <v>45848</v>
      </c>
      <c r="S493" s="99" t="str">
        <f>+_xlfn.XLOOKUP(Tabla4[[#This Row],[ID CLIENTE]],'RESUMEN CLIENTES'!D:D,'RESUMEN CLIENTES'!AA:AA)</f>
        <v>B1.1</v>
      </c>
      <c r="T493" s="680" t="str">
        <f>+_xlfn.XLOOKUP(Tabla4[[#This Row],[ID CLIENTE]],'RESUMEN CLIENTES'!D:D,'RESUMEN CLIENTES'!C:C)</f>
        <v>Perú</v>
      </c>
    </row>
    <row r="494" spans="1:20" ht="16">
      <c r="A494" s="82">
        <v>45933</v>
      </c>
      <c r="B494" s="82" t="str">
        <f>+_xlfn.XLOOKUP(Tabla4[[#This Row],[ID CLIENTE]],'RESUMEN CLIENTES'!D:D,'RESUMEN CLIENTES'!A:A)</f>
        <v>Yefry Onil Santana Marte</v>
      </c>
      <c r="C494" s="83" t="s">
        <v>2284</v>
      </c>
      <c r="D494" s="83" t="s">
        <v>447</v>
      </c>
      <c r="E494" s="83" t="s">
        <v>1100</v>
      </c>
      <c r="F494" s="83" t="s">
        <v>1101</v>
      </c>
      <c r="G494" s="84">
        <v>625</v>
      </c>
      <c r="H494" s="85">
        <v>-20.56</v>
      </c>
      <c r="I494" s="86">
        <f t="shared" si="16"/>
        <v>3.2895999999999995E-2</v>
      </c>
      <c r="J494" s="87">
        <f t="shared" si="17"/>
        <v>604.44000000000005</v>
      </c>
      <c r="K494" s="87"/>
      <c r="L494" s="87" t="s">
        <v>4672</v>
      </c>
      <c r="M494" s="87"/>
      <c r="N494" s="521"/>
      <c r="O494" s="521">
        <f>+Tabla4[[#This Row],[PAGO NO EURO]]+Tabla4[[#This Row],[CARGO NO EURO]]</f>
        <v>0</v>
      </c>
      <c r="P494" s="521"/>
      <c r="Q494" s="88"/>
      <c r="R494" s="692">
        <f>+_xlfn.XLOOKUP(Tabla4[[#This Row],[ID CLIENTE]],'RESUMEN CLIENTES'!D:D,'RESUMEN CLIENTES'!G:G)</f>
        <v>45845</v>
      </c>
      <c r="S494" s="99" t="str">
        <f>+_xlfn.XLOOKUP(Tabla4[[#This Row],[ID CLIENTE]],'RESUMEN CLIENTES'!D:D,'RESUMEN CLIENTES'!AA:AA)</f>
        <v>A1.1</v>
      </c>
      <c r="T494" s="680" t="str">
        <f>+_xlfn.XLOOKUP(Tabla4[[#This Row],[ID CLIENTE]],'RESUMEN CLIENTES'!D:D,'RESUMEN CLIENTES'!C:C)</f>
        <v>República Dominicana</v>
      </c>
    </row>
    <row r="495" spans="1:20" ht="16">
      <c r="A495" s="82">
        <v>45934</v>
      </c>
      <c r="B495" s="82" t="str">
        <f>+_xlfn.XLOOKUP(Tabla4[[#This Row],[ID CLIENTE]],'RESUMEN CLIENTES'!D:D,'RESUMEN CLIENTES'!A:A)</f>
        <v>Camila Sanchez Aravena</v>
      </c>
      <c r="C495" s="83" t="s">
        <v>2125</v>
      </c>
      <c r="D495" s="83" t="s">
        <v>118</v>
      </c>
      <c r="E495" s="83" t="s">
        <v>1110</v>
      </c>
      <c r="F495" s="83" t="s">
        <v>1111</v>
      </c>
      <c r="G495" s="84">
        <v>516.58000000000004</v>
      </c>
      <c r="H495" s="85">
        <v>-17.04</v>
      </c>
      <c r="I495" s="86">
        <f t="shared" si="16"/>
        <v>3.298617832668705E-2</v>
      </c>
      <c r="J495" s="87">
        <f t="shared" si="17"/>
        <v>499.54</v>
      </c>
      <c r="K495" s="87"/>
      <c r="L495" s="87" t="s">
        <v>4672</v>
      </c>
      <c r="M495" s="87"/>
      <c r="N495" s="524"/>
      <c r="O495" s="524">
        <f>+Tabla4[[#This Row],[PAGO NO EURO]]+Tabla4[[#This Row],[CARGO NO EURO]]</f>
        <v>0</v>
      </c>
      <c r="P495" s="524"/>
      <c r="Q495" s="88"/>
      <c r="R495" s="692">
        <f>+_xlfn.XLOOKUP(Tabla4[[#This Row],[ID CLIENTE]],'RESUMEN CLIENTES'!D:D,'RESUMEN CLIENTES'!G:G)</f>
        <v>45699</v>
      </c>
      <c r="S495" s="99" t="str">
        <f>+_xlfn.XLOOKUP(Tabla4[[#This Row],[ID CLIENTE]],'RESUMEN CLIENTES'!D:D,'RESUMEN CLIENTES'!AA:AA)</f>
        <v>B2.1</v>
      </c>
      <c r="T495" s="680" t="str">
        <f>+_xlfn.XLOOKUP(Tabla4[[#This Row],[ID CLIENTE]],'RESUMEN CLIENTES'!D:D,'RESUMEN CLIENTES'!C:C)</f>
        <v>Chile</v>
      </c>
    </row>
    <row r="496" spans="1:20" ht="16">
      <c r="A496" s="82">
        <v>45935</v>
      </c>
      <c r="B496" s="82" t="str">
        <f>+_xlfn.XLOOKUP(Tabla4[[#This Row],[ID CLIENTE]],'RESUMEN CLIENTES'!D:D,'RESUMEN CLIENTES'!A:A)</f>
        <v>Alejandra Leva Vallejo</v>
      </c>
      <c r="C496" s="83" t="s">
        <v>2178</v>
      </c>
      <c r="D496" s="83" t="s">
        <v>165</v>
      </c>
      <c r="E496" s="83" t="s">
        <v>1104</v>
      </c>
      <c r="F496" s="83" t="s">
        <v>1105</v>
      </c>
      <c r="G496" s="84">
        <v>1000</v>
      </c>
      <c r="H496" s="85">
        <v>-32.75</v>
      </c>
      <c r="I496" s="86">
        <f t="shared" si="16"/>
        <v>3.2750000000000001E-2</v>
      </c>
      <c r="J496" s="87">
        <f t="shared" si="17"/>
        <v>967.25</v>
      </c>
      <c r="K496" s="87"/>
      <c r="L496" s="87" t="s">
        <v>4672</v>
      </c>
      <c r="M496" s="87"/>
      <c r="N496" s="521"/>
      <c r="O496" s="521">
        <f>+Tabla4[[#This Row],[PAGO NO EURO]]+Tabla4[[#This Row],[CARGO NO EURO]]</f>
        <v>0</v>
      </c>
      <c r="P496" s="521"/>
      <c r="Q496" s="88"/>
      <c r="R496" s="692">
        <f>+_xlfn.XLOOKUP(Tabla4[[#This Row],[ID CLIENTE]],'RESUMEN CLIENTES'!D:D,'RESUMEN CLIENTES'!G:G)</f>
        <v>45762</v>
      </c>
      <c r="S496" s="99" t="str">
        <f>+_xlfn.XLOOKUP(Tabla4[[#This Row],[ID CLIENTE]],'RESUMEN CLIENTES'!D:D,'RESUMEN CLIENTES'!AA:AA)</f>
        <v>A1.1</v>
      </c>
      <c r="T496" s="680" t="str">
        <f>+_xlfn.XLOOKUP(Tabla4[[#This Row],[ID CLIENTE]],'RESUMEN CLIENTES'!D:D,'RESUMEN CLIENTES'!C:C)</f>
        <v>México</v>
      </c>
    </row>
    <row r="497" spans="1:20" ht="16">
      <c r="A497" s="82">
        <v>45935</v>
      </c>
      <c r="B497" s="82" t="str">
        <f>+_xlfn.XLOOKUP(Tabla4[[#This Row],[ID CLIENTE]],'RESUMEN CLIENTES'!D:D,'RESUMEN CLIENTES'!A:A)</f>
        <v xml:space="preserve">Catalina Ochoa Urrutia
</v>
      </c>
      <c r="C497" s="83" t="s">
        <v>2180</v>
      </c>
      <c r="D497" s="83" t="s">
        <v>168</v>
      </c>
      <c r="E497" s="83" t="s">
        <v>1112</v>
      </c>
      <c r="F497" s="83" t="s">
        <v>1113</v>
      </c>
      <c r="G497" s="84">
        <v>1500</v>
      </c>
      <c r="H497" s="85">
        <v>-49</v>
      </c>
      <c r="I497" s="86">
        <f t="shared" si="16"/>
        <v>3.2666666666666663E-2</v>
      </c>
      <c r="J497" s="87">
        <f t="shared" si="17"/>
        <v>1451</v>
      </c>
      <c r="K497" s="87"/>
      <c r="L497" s="87" t="s">
        <v>4672</v>
      </c>
      <c r="M497" s="87"/>
      <c r="N497" s="521"/>
      <c r="O497" s="521">
        <f>+Tabla4[[#This Row],[PAGO NO EURO]]+Tabla4[[#This Row],[CARGO NO EURO]]</f>
        <v>0</v>
      </c>
      <c r="P497" s="521"/>
      <c r="Q497" s="88"/>
      <c r="R497" s="692">
        <f>+_xlfn.XLOOKUP(Tabla4[[#This Row],[ID CLIENTE]],'RESUMEN CLIENTES'!D:D,'RESUMEN CLIENTES'!G:G)</f>
        <v>45762</v>
      </c>
      <c r="S497" s="99" t="str">
        <f>+_xlfn.XLOOKUP(Tabla4[[#This Row],[ID CLIENTE]],'RESUMEN CLIENTES'!D:D,'RESUMEN CLIENTES'!AA:AA)</f>
        <v>B2.1</v>
      </c>
      <c r="T497" s="680" t="str">
        <f>+_xlfn.XLOOKUP(Tabla4[[#This Row],[ID CLIENTE]],'RESUMEN CLIENTES'!D:D,'RESUMEN CLIENTES'!C:C)</f>
        <v>Chile</v>
      </c>
    </row>
    <row r="498" spans="1:20" ht="16">
      <c r="A498" s="82">
        <v>45935</v>
      </c>
      <c r="B498" s="82" t="str">
        <f>+_xlfn.XLOOKUP(Tabla4[[#This Row],[ID CLIENTE]],'RESUMEN CLIENTES'!D:D,'RESUMEN CLIENTES'!A:A)</f>
        <v>Armando Josmarx Suárez Solis</v>
      </c>
      <c r="C498" s="83" t="s">
        <v>2408</v>
      </c>
      <c r="D498" s="83" t="s">
        <v>904</v>
      </c>
      <c r="E498" s="83" t="s">
        <v>1144</v>
      </c>
      <c r="F498" s="83" t="s">
        <v>1145</v>
      </c>
      <c r="G498" s="84">
        <v>3700</v>
      </c>
      <c r="H498" s="85">
        <v>-120.5</v>
      </c>
      <c r="I498" s="86">
        <f t="shared" si="16"/>
        <v>3.2567567567567568E-2</v>
      </c>
      <c r="J498" s="87">
        <f t="shared" si="17"/>
        <v>3579.5</v>
      </c>
      <c r="K498" s="87"/>
      <c r="L498" s="87" t="s">
        <v>4672</v>
      </c>
      <c r="M498" s="87"/>
      <c r="N498" s="521"/>
      <c r="O498" s="521">
        <f>+Tabla4[[#This Row],[PAGO NO EURO]]+Tabla4[[#This Row],[CARGO NO EURO]]</f>
        <v>0</v>
      </c>
      <c r="P498" s="521"/>
      <c r="Q498" s="88"/>
      <c r="R498" s="692">
        <f>+_xlfn.XLOOKUP(Tabla4[[#This Row],[ID CLIENTE]],'RESUMEN CLIENTES'!D:D,'RESUMEN CLIENTES'!G:G)</f>
        <v>45906</v>
      </c>
      <c r="S498" s="99" t="str">
        <f>+_xlfn.XLOOKUP(Tabla4[[#This Row],[ID CLIENTE]],'RESUMEN CLIENTES'!D:D,'RESUMEN CLIENTES'!AA:AA)</f>
        <v>A2.1</v>
      </c>
      <c r="T498" s="680" t="str">
        <f>+_xlfn.XLOOKUP(Tabla4[[#This Row],[ID CLIENTE]],'RESUMEN CLIENTES'!D:D,'RESUMEN CLIENTES'!C:C)</f>
        <v>Nicaragua</v>
      </c>
    </row>
    <row r="499" spans="1:20" ht="16">
      <c r="A499" s="82">
        <v>45935</v>
      </c>
      <c r="B499" s="82" t="str">
        <f>+_xlfn.XLOOKUP(Tabla4[[#This Row],[ID CLIENTE]],'RESUMEN CLIENTES'!D:D,'RESUMEN CLIENTES'!A:A)</f>
        <v>Jordan Eliecer Toledo Bravo</v>
      </c>
      <c r="C499" s="83" t="s">
        <v>2158</v>
      </c>
      <c r="D499" s="83" t="s">
        <v>142</v>
      </c>
      <c r="E499" s="83" t="s">
        <v>1126</v>
      </c>
      <c r="F499" s="83" t="s">
        <v>1127</v>
      </c>
      <c r="G499" s="84">
        <v>500</v>
      </c>
      <c r="H499" s="85">
        <v>-16.5</v>
      </c>
      <c r="I499" s="86">
        <f t="shared" si="16"/>
        <v>3.3000000000000002E-2</v>
      </c>
      <c r="J499" s="87">
        <f t="shared" si="17"/>
        <v>483.5</v>
      </c>
      <c r="K499" s="87"/>
      <c r="L499" s="87" t="s">
        <v>4672</v>
      </c>
      <c r="M499" s="87"/>
      <c r="N499" s="521"/>
      <c r="O499" s="521">
        <f>+Tabla4[[#This Row],[PAGO NO EURO]]+Tabla4[[#This Row],[CARGO NO EURO]]</f>
        <v>0</v>
      </c>
      <c r="P499" s="521"/>
      <c r="Q499" s="88"/>
      <c r="R499" s="692">
        <f>+_xlfn.XLOOKUP(Tabla4[[#This Row],[ID CLIENTE]],'RESUMEN CLIENTES'!D:D,'RESUMEN CLIENTES'!G:G)</f>
        <v>45748</v>
      </c>
      <c r="S499" s="99" t="str">
        <f>+_xlfn.XLOOKUP(Tabla4[[#This Row],[ID CLIENTE]],'RESUMEN CLIENTES'!D:D,'RESUMEN CLIENTES'!AA:AA)</f>
        <v>A1.1</v>
      </c>
      <c r="T499" s="680" t="str">
        <f>+_xlfn.XLOOKUP(Tabla4[[#This Row],[ID CLIENTE]],'RESUMEN CLIENTES'!D:D,'RESUMEN CLIENTES'!C:C)</f>
        <v>Chile</v>
      </c>
    </row>
    <row r="500" spans="1:20" ht="16">
      <c r="A500" s="82">
        <v>45935</v>
      </c>
      <c r="B500" s="82" t="str">
        <f>+_xlfn.XLOOKUP(Tabla4[[#This Row],[ID CLIENTE]],'RESUMEN CLIENTES'!D:D,'RESUMEN CLIENTES'!A:A)</f>
        <v>Liliana Alejandra Gruezo Pérez</v>
      </c>
      <c r="C500" s="83" t="s">
        <v>2298</v>
      </c>
      <c r="D500" s="83" t="s">
        <v>484</v>
      </c>
      <c r="E500" s="83" t="s">
        <v>1092</v>
      </c>
      <c r="F500" s="83" t="s">
        <v>1093</v>
      </c>
      <c r="G500" s="84">
        <v>470</v>
      </c>
      <c r="H500" s="85">
        <v>-15.53</v>
      </c>
      <c r="I500" s="86">
        <f t="shared" si="16"/>
        <v>3.3042553191489361E-2</v>
      </c>
      <c r="J500" s="87">
        <f t="shared" si="17"/>
        <v>454.47</v>
      </c>
      <c r="K500" s="87"/>
      <c r="L500" s="87" t="s">
        <v>4672</v>
      </c>
      <c r="M500" s="87"/>
      <c r="N500" s="521"/>
      <c r="O500" s="521">
        <f>+Tabla4[[#This Row],[PAGO NO EURO]]+Tabla4[[#This Row],[CARGO NO EURO]]</f>
        <v>0</v>
      </c>
      <c r="P500" s="521"/>
      <c r="Q500" s="88"/>
      <c r="R500" s="692">
        <f>+_xlfn.XLOOKUP(Tabla4[[#This Row],[ID CLIENTE]],'RESUMEN CLIENTES'!D:D,'RESUMEN CLIENTES'!G:G)</f>
        <v>45852</v>
      </c>
      <c r="S500" s="99" t="str">
        <f>+_xlfn.XLOOKUP(Tabla4[[#This Row],[ID CLIENTE]],'RESUMEN CLIENTES'!D:D,'RESUMEN CLIENTES'!AA:AA)</f>
        <v>A1.2</v>
      </c>
      <c r="T500" s="680" t="str">
        <f>+_xlfn.XLOOKUP(Tabla4[[#This Row],[ID CLIENTE]],'RESUMEN CLIENTES'!D:D,'RESUMEN CLIENTES'!C:C)</f>
        <v>Ecuador</v>
      </c>
    </row>
    <row r="501" spans="1:20" ht="16">
      <c r="A501" s="82">
        <v>45935</v>
      </c>
      <c r="B501" s="82" t="str">
        <f>+_xlfn.XLOOKUP(Tabla4[[#This Row],[ID CLIENTE]],'RESUMEN CLIENTES'!D:D,'RESUMEN CLIENTES'!A:A)</f>
        <v>Marco Tulio Negrete Aceves</v>
      </c>
      <c r="C501" s="83" t="s">
        <v>2166</v>
      </c>
      <c r="D501" s="83" t="s">
        <v>188</v>
      </c>
      <c r="E501" s="83" t="s">
        <v>1132</v>
      </c>
      <c r="F501" s="83" t="s">
        <v>1133</v>
      </c>
      <c r="G501" s="84">
        <v>300</v>
      </c>
      <c r="H501" s="85">
        <v>-10</v>
      </c>
      <c r="I501" s="86">
        <f t="shared" si="16"/>
        <v>3.3333333333333333E-2</v>
      </c>
      <c r="J501" s="87">
        <f t="shared" si="17"/>
        <v>290</v>
      </c>
      <c r="K501" s="87"/>
      <c r="L501" s="87" t="s">
        <v>4672</v>
      </c>
      <c r="M501" s="87"/>
      <c r="N501" s="521"/>
      <c r="O501" s="521">
        <f>+Tabla4[[#This Row],[PAGO NO EURO]]+Tabla4[[#This Row],[CARGO NO EURO]]</f>
        <v>0</v>
      </c>
      <c r="P501" s="521"/>
      <c r="Q501" s="88"/>
      <c r="R501" s="692">
        <f>+_xlfn.XLOOKUP(Tabla4[[#This Row],[ID CLIENTE]],'RESUMEN CLIENTES'!D:D,'RESUMEN CLIENTES'!G:G)</f>
        <v>45757</v>
      </c>
      <c r="S501" s="99" t="str">
        <f>+_xlfn.XLOOKUP(Tabla4[[#This Row],[ID CLIENTE]],'RESUMEN CLIENTES'!D:D,'RESUMEN CLIENTES'!AA:AA)</f>
        <v>B2.1</v>
      </c>
      <c r="T501" s="680" t="str">
        <f>+_xlfn.XLOOKUP(Tabla4[[#This Row],[ID CLIENTE]],'RESUMEN CLIENTES'!D:D,'RESUMEN CLIENTES'!C:C)</f>
        <v>México</v>
      </c>
    </row>
    <row r="502" spans="1:20" ht="16">
      <c r="A502" s="82">
        <v>45935</v>
      </c>
      <c r="B502" s="82" t="str">
        <f>+_xlfn.XLOOKUP(Tabla4[[#This Row],[ID CLIENTE]],'RESUMEN CLIENTES'!D:D,'RESUMEN CLIENTES'!A:A)</f>
        <v>Sergio Francisco Garcia Sandoval</v>
      </c>
      <c r="C502" s="83" t="s">
        <v>2235</v>
      </c>
      <c r="D502" s="83" t="s">
        <v>281</v>
      </c>
      <c r="E502" s="83" t="s">
        <v>1140</v>
      </c>
      <c r="F502" s="83" t="s">
        <v>1141</v>
      </c>
      <c r="G502" s="84">
        <v>350</v>
      </c>
      <c r="H502" s="85">
        <v>-11.63</v>
      </c>
      <c r="I502" s="86">
        <f t="shared" si="16"/>
        <v>3.3228571428571434E-2</v>
      </c>
      <c r="J502" s="87">
        <f t="shared" si="17"/>
        <v>338.37</v>
      </c>
      <c r="K502" s="87"/>
      <c r="L502" s="87" t="s">
        <v>4672</v>
      </c>
      <c r="M502" s="87"/>
      <c r="N502" s="521"/>
      <c r="O502" s="521">
        <f>+Tabla4[[#This Row],[PAGO NO EURO]]+Tabla4[[#This Row],[CARGO NO EURO]]</f>
        <v>0</v>
      </c>
      <c r="P502" s="521"/>
      <c r="Q502" s="88"/>
      <c r="R502" s="692">
        <f>+_xlfn.XLOOKUP(Tabla4[[#This Row],[ID CLIENTE]],'RESUMEN CLIENTES'!D:D,'RESUMEN CLIENTES'!G:G)</f>
        <v>45812</v>
      </c>
      <c r="S502" s="99" t="str">
        <f>+_xlfn.XLOOKUP(Tabla4[[#This Row],[ID CLIENTE]],'RESUMEN CLIENTES'!D:D,'RESUMEN CLIENTES'!AA:AA)</f>
        <v>A1.1</v>
      </c>
      <c r="T502" s="680" t="str">
        <f>+_xlfn.XLOOKUP(Tabla4[[#This Row],[ID CLIENTE]],'RESUMEN CLIENTES'!D:D,'RESUMEN CLIENTES'!C:C)</f>
        <v>Perú</v>
      </c>
    </row>
    <row r="503" spans="1:20" ht="16">
      <c r="A503" s="82">
        <v>45935</v>
      </c>
      <c r="B503" s="82" t="str">
        <f>+_xlfn.XLOOKUP(Tabla4[[#This Row],[ID CLIENTE]],'RESUMEN CLIENTES'!D:D,'RESUMEN CLIENTES'!A:A)</f>
        <v>Victor Emanuel Hernández Ruíz</v>
      </c>
      <c r="C503" s="83" t="s">
        <v>2141</v>
      </c>
      <c r="D503" s="83" t="s">
        <v>112</v>
      </c>
      <c r="E503" s="83" t="s">
        <v>1142</v>
      </c>
      <c r="F503" s="83" t="s">
        <v>1143</v>
      </c>
      <c r="G503" s="84">
        <v>800</v>
      </c>
      <c r="H503" s="85">
        <v>-26.25</v>
      </c>
      <c r="I503" s="86">
        <f t="shared" si="16"/>
        <v>3.2812500000000001E-2</v>
      </c>
      <c r="J503" s="87">
        <f t="shared" si="17"/>
        <v>773.75</v>
      </c>
      <c r="K503" s="87"/>
      <c r="L503" s="87" t="s">
        <v>4672</v>
      </c>
      <c r="M503" s="87"/>
      <c r="N503" s="521"/>
      <c r="O503" s="521">
        <f>+Tabla4[[#This Row],[PAGO NO EURO]]+Tabla4[[#This Row],[CARGO NO EURO]]</f>
        <v>0</v>
      </c>
      <c r="P503" s="521"/>
      <c r="Q503" s="88"/>
      <c r="R503" s="692">
        <f>+_xlfn.XLOOKUP(Tabla4[[#This Row],[ID CLIENTE]],'RESUMEN CLIENTES'!D:D,'RESUMEN CLIENTES'!G:G)</f>
        <v>45735</v>
      </c>
      <c r="S503" s="99" t="str">
        <f>+_xlfn.XLOOKUP(Tabla4[[#This Row],[ID CLIENTE]],'RESUMEN CLIENTES'!D:D,'RESUMEN CLIENTES'!AA:AA)</f>
        <v>B2.1</v>
      </c>
      <c r="T503" s="680" t="str">
        <f>+_xlfn.XLOOKUP(Tabla4[[#This Row],[ID CLIENTE]],'RESUMEN CLIENTES'!D:D,'RESUMEN CLIENTES'!C:C)</f>
        <v>México</v>
      </c>
    </row>
    <row r="504" spans="1:20" ht="16">
      <c r="A504" s="82">
        <v>45935</v>
      </c>
      <c r="B504" s="82" t="str">
        <f>+_xlfn.XLOOKUP(Tabla4[[#This Row],[ID CLIENTE]],'RESUMEN CLIENTES'!D:D,'RESUMEN CLIENTES'!A:A)</f>
        <v>Yefry Onil Santana Marte</v>
      </c>
      <c r="C504" s="83" t="s">
        <v>2284</v>
      </c>
      <c r="D504" s="83" t="s">
        <v>447</v>
      </c>
      <c r="E504" s="83" t="s">
        <v>1098</v>
      </c>
      <c r="F504" s="83" t="s">
        <v>1099</v>
      </c>
      <c r="G504" s="84">
        <v>625</v>
      </c>
      <c r="H504" s="85">
        <v>-20.56</v>
      </c>
      <c r="I504" s="86">
        <f t="shared" si="16"/>
        <v>3.2895999999999995E-2</v>
      </c>
      <c r="J504" s="87">
        <f t="shared" si="17"/>
        <v>604.44000000000005</v>
      </c>
      <c r="K504" s="87"/>
      <c r="L504" s="87" t="s">
        <v>4672</v>
      </c>
      <c r="M504" s="87"/>
      <c r="N504" s="521"/>
      <c r="O504" s="521">
        <f>+Tabla4[[#This Row],[PAGO NO EURO]]+Tabla4[[#This Row],[CARGO NO EURO]]</f>
        <v>0</v>
      </c>
      <c r="P504" s="521"/>
      <c r="Q504" s="88"/>
      <c r="R504" s="692">
        <f>+_xlfn.XLOOKUP(Tabla4[[#This Row],[ID CLIENTE]],'RESUMEN CLIENTES'!D:D,'RESUMEN CLIENTES'!G:G)</f>
        <v>45845</v>
      </c>
      <c r="S504" s="99" t="str">
        <f>+_xlfn.XLOOKUP(Tabla4[[#This Row],[ID CLIENTE]],'RESUMEN CLIENTES'!D:D,'RESUMEN CLIENTES'!AA:AA)</f>
        <v>A1.1</v>
      </c>
      <c r="T504" s="680" t="str">
        <f>+_xlfn.XLOOKUP(Tabla4[[#This Row],[ID CLIENTE]],'RESUMEN CLIENTES'!D:D,'RESUMEN CLIENTES'!C:C)</f>
        <v>República Dominicana</v>
      </c>
    </row>
    <row r="505" spans="1:20" ht="16">
      <c r="A505" s="82">
        <v>45936</v>
      </c>
      <c r="B505" s="82" t="str">
        <f>+_xlfn.XLOOKUP(Tabla4[[#This Row],[ID CLIENTE]],'RESUMEN CLIENTES'!D:D,'RESUMEN CLIENTES'!A:A)</f>
        <v>Juan Manuel Paranzino</v>
      </c>
      <c r="C505" s="83" t="s">
        <v>2391</v>
      </c>
      <c r="D505" s="83" t="s">
        <v>798</v>
      </c>
      <c r="E505" s="83" t="s">
        <v>1128</v>
      </c>
      <c r="F505" s="83" t="s">
        <v>1129</v>
      </c>
      <c r="G505" s="84">
        <v>600</v>
      </c>
      <c r="H505" s="85">
        <f>-19.75</f>
        <v>-19.75</v>
      </c>
      <c r="I505" s="86">
        <f t="shared" si="16"/>
        <v>3.2916666666666664E-2</v>
      </c>
      <c r="J505" s="87">
        <f t="shared" si="17"/>
        <v>580.25</v>
      </c>
      <c r="K505" s="87"/>
      <c r="L505" s="87" t="s">
        <v>4672</v>
      </c>
      <c r="M505" s="87"/>
      <c r="N505" s="521"/>
      <c r="O505" s="521">
        <f>+Tabla4[[#This Row],[PAGO NO EURO]]+Tabla4[[#This Row],[CARGO NO EURO]]</f>
        <v>0</v>
      </c>
      <c r="P505" s="521"/>
      <c r="Q505" s="88"/>
      <c r="R505" s="692">
        <f>+_xlfn.XLOOKUP(Tabla4[[#This Row],[ID CLIENTE]],'RESUMEN CLIENTES'!D:D,'RESUMEN CLIENTES'!G:G)</f>
        <v>45900</v>
      </c>
      <c r="S505" s="99" t="str">
        <f>+_xlfn.XLOOKUP(Tabla4[[#This Row],[ID CLIENTE]],'RESUMEN CLIENTES'!D:D,'RESUMEN CLIENTES'!AA:AA)</f>
        <v>B1.1</v>
      </c>
      <c r="T505" s="680" t="str">
        <f>+_xlfn.XLOOKUP(Tabla4[[#This Row],[ID CLIENTE]],'RESUMEN CLIENTES'!D:D,'RESUMEN CLIENTES'!C:C)</f>
        <v>Argentina</v>
      </c>
    </row>
    <row r="506" spans="1:20" ht="16">
      <c r="A506" s="82">
        <v>45936</v>
      </c>
      <c r="B506" s="82" t="str">
        <f>+_xlfn.XLOOKUP(Tabla4[[#This Row],[ID CLIENTE]],'RESUMEN CLIENTES'!D:D,'RESUMEN CLIENTES'!A:A)</f>
        <v>Luis Carlos Villa Cortés</v>
      </c>
      <c r="C506" s="83" t="s">
        <v>2406</v>
      </c>
      <c r="D506" s="83" t="s">
        <v>907</v>
      </c>
      <c r="E506" s="83" t="s">
        <v>1146</v>
      </c>
      <c r="F506" s="83" t="s">
        <v>1147</v>
      </c>
      <c r="G506" s="84">
        <v>1000</v>
      </c>
      <c r="H506" s="85">
        <v>-32.75</v>
      </c>
      <c r="I506" s="86">
        <f t="shared" si="16"/>
        <v>3.2750000000000001E-2</v>
      </c>
      <c r="J506" s="87">
        <f t="shared" si="17"/>
        <v>967.25</v>
      </c>
      <c r="K506" s="87"/>
      <c r="L506" s="87" t="s">
        <v>4672</v>
      </c>
      <c r="M506" s="87"/>
      <c r="N506" s="524"/>
      <c r="O506" s="524">
        <f>+Tabla4[[#This Row],[PAGO NO EURO]]+Tabla4[[#This Row],[CARGO NO EURO]]</f>
        <v>0</v>
      </c>
      <c r="P506" s="524"/>
      <c r="Q506" s="88"/>
      <c r="R506" s="692">
        <f>+_xlfn.XLOOKUP(Tabla4[[#This Row],[ID CLIENTE]],'RESUMEN CLIENTES'!D:D,'RESUMEN CLIENTES'!G:G)</f>
        <v>45906</v>
      </c>
      <c r="S506" s="99" t="str">
        <f>+_xlfn.XLOOKUP(Tabla4[[#This Row],[ID CLIENTE]],'RESUMEN CLIENTES'!D:D,'RESUMEN CLIENTES'!AA:AA)</f>
        <v>A1.1</v>
      </c>
      <c r="T506" s="680" t="str">
        <f>+_xlfn.XLOOKUP(Tabla4[[#This Row],[ID CLIENTE]],'RESUMEN CLIENTES'!D:D,'RESUMEN CLIENTES'!C:C)</f>
        <v>México</v>
      </c>
    </row>
    <row r="507" spans="1:20" ht="16">
      <c r="A507" s="82">
        <v>45936</v>
      </c>
      <c r="B507" s="82" t="str">
        <f>+_xlfn.XLOOKUP(Tabla4[[#This Row],[ID CLIENTE]],'RESUMEN CLIENTES'!D:D,'RESUMEN CLIENTES'!A:A)</f>
        <v>Rodrigo Rivera Ruiz</v>
      </c>
      <c r="C507" s="83" t="s">
        <v>2170</v>
      </c>
      <c r="D507" s="83" t="s">
        <v>159</v>
      </c>
      <c r="E507" s="83" t="s">
        <v>1138</v>
      </c>
      <c r="F507" s="83" t="s">
        <v>1139</v>
      </c>
      <c r="G507" s="84">
        <v>1500</v>
      </c>
      <c r="H507" s="85">
        <v>-49</v>
      </c>
      <c r="I507" s="86">
        <f t="shared" si="16"/>
        <v>3.2666666666666663E-2</v>
      </c>
      <c r="J507" s="87">
        <f t="shared" si="17"/>
        <v>1451</v>
      </c>
      <c r="K507" s="87"/>
      <c r="L507" s="87" t="s">
        <v>4672</v>
      </c>
      <c r="M507" s="87"/>
      <c r="N507" s="521"/>
      <c r="O507" s="521">
        <f>+Tabla4[[#This Row],[PAGO NO EURO]]+Tabla4[[#This Row],[CARGO NO EURO]]</f>
        <v>0</v>
      </c>
      <c r="P507" s="521"/>
      <c r="Q507" s="88"/>
      <c r="R507" s="692">
        <f>+_xlfn.XLOOKUP(Tabla4[[#This Row],[ID CLIENTE]],'RESUMEN CLIENTES'!D:D,'RESUMEN CLIENTES'!G:G)</f>
        <v>45757</v>
      </c>
      <c r="S507" s="99" t="str">
        <f>+_xlfn.XLOOKUP(Tabla4[[#This Row],[ID CLIENTE]],'RESUMEN CLIENTES'!D:D,'RESUMEN CLIENTES'!AA:AA)</f>
        <v>A1.1</v>
      </c>
      <c r="T507" s="680" t="str">
        <f>+_xlfn.XLOOKUP(Tabla4[[#This Row],[ID CLIENTE]],'RESUMEN CLIENTES'!D:D,'RESUMEN CLIENTES'!C:C)</f>
        <v>Chile</v>
      </c>
    </row>
    <row r="508" spans="1:20" ht="16">
      <c r="A508" s="82">
        <v>45937</v>
      </c>
      <c r="B508" s="82" t="str">
        <f>+_xlfn.XLOOKUP(Tabla4[[#This Row],[ID CLIENTE]],'RESUMEN CLIENTES'!D:D,'RESUMEN CLIENTES'!A:A)</f>
        <v>Florencia Luján Sapia</v>
      </c>
      <c r="C508" s="83" t="s">
        <v>2393</v>
      </c>
      <c r="D508" s="83" t="s">
        <v>787</v>
      </c>
      <c r="E508" s="83" t="s">
        <v>1118</v>
      </c>
      <c r="F508" s="83" t="s">
        <v>1119</v>
      </c>
      <c r="G508" s="84">
        <v>600</v>
      </c>
      <c r="H508" s="85">
        <v>-19.75</v>
      </c>
      <c r="I508" s="86">
        <f t="shared" si="16"/>
        <v>3.2916666666666664E-2</v>
      </c>
      <c r="J508" s="87">
        <f t="shared" si="17"/>
        <v>580.25</v>
      </c>
      <c r="K508" s="87"/>
      <c r="L508" s="87" t="s">
        <v>4672</v>
      </c>
      <c r="M508" s="87"/>
      <c r="N508" s="524"/>
      <c r="O508" s="524">
        <f>+Tabla4[[#This Row],[PAGO NO EURO]]+Tabla4[[#This Row],[CARGO NO EURO]]</f>
        <v>0</v>
      </c>
      <c r="P508" s="524"/>
      <c r="Q508" s="88"/>
      <c r="R508" s="692">
        <f>+_xlfn.XLOOKUP(Tabla4[[#This Row],[ID CLIENTE]],'RESUMEN CLIENTES'!D:D,'RESUMEN CLIENTES'!G:G)</f>
        <v>45900</v>
      </c>
      <c r="S508" s="99" t="str">
        <f>+_xlfn.XLOOKUP(Tabla4[[#This Row],[ID CLIENTE]],'RESUMEN CLIENTES'!D:D,'RESUMEN CLIENTES'!AA:AA)</f>
        <v>A2.1</v>
      </c>
      <c r="T508" s="680" t="str">
        <f>+_xlfn.XLOOKUP(Tabla4[[#This Row],[ID CLIENTE]],'RESUMEN CLIENTES'!D:D,'RESUMEN CLIENTES'!C:C)</f>
        <v>Argentina</v>
      </c>
    </row>
    <row r="509" spans="1:20" ht="16">
      <c r="A509" s="82">
        <v>45937</v>
      </c>
      <c r="B509" s="82" t="str">
        <f>+_xlfn.XLOOKUP(Tabla4[[#This Row],[ID CLIENTE]],'RESUMEN CLIENTES'!D:D,'RESUMEN CLIENTES'!A:A)</f>
        <v>Maira Paz Navas Sánchez</v>
      </c>
      <c r="C509" s="83" t="s">
        <v>2362</v>
      </c>
      <c r="D509" s="83" t="s">
        <v>703</v>
      </c>
      <c r="E509" s="83" t="s">
        <v>1130</v>
      </c>
      <c r="F509" s="83" t="s">
        <v>1131</v>
      </c>
      <c r="G509" s="84">
        <v>700</v>
      </c>
      <c r="H509" s="85">
        <v>-23</v>
      </c>
      <c r="I509" s="86">
        <f t="shared" si="16"/>
        <v>3.2857142857142856E-2</v>
      </c>
      <c r="J509" s="87">
        <f t="shared" si="17"/>
        <v>677</v>
      </c>
      <c r="K509" s="87"/>
      <c r="L509" s="87" t="s">
        <v>4672</v>
      </c>
      <c r="M509" s="87"/>
      <c r="N509" s="524"/>
      <c r="O509" s="524">
        <f>+Tabla4[[#This Row],[PAGO NO EURO]]+Tabla4[[#This Row],[CARGO NO EURO]]</f>
        <v>0</v>
      </c>
      <c r="P509" s="524"/>
      <c r="Q509" s="88"/>
      <c r="R509" s="692">
        <f>+_xlfn.XLOOKUP(Tabla4[[#This Row],[ID CLIENTE]],'RESUMEN CLIENTES'!D:D,'RESUMEN CLIENTES'!G:G)</f>
        <v>45888</v>
      </c>
      <c r="S509" s="99" t="str">
        <f>+_xlfn.XLOOKUP(Tabla4[[#This Row],[ID CLIENTE]],'RESUMEN CLIENTES'!D:D,'RESUMEN CLIENTES'!AA:AA)</f>
        <v>A1.1</v>
      </c>
      <c r="T509" s="680" t="str">
        <f>+_xlfn.XLOOKUP(Tabla4[[#This Row],[ID CLIENTE]],'RESUMEN CLIENTES'!D:D,'RESUMEN CLIENTES'!C:C)</f>
        <v>Chile</v>
      </c>
    </row>
    <row r="510" spans="1:20" ht="16">
      <c r="A510" s="82">
        <v>45938</v>
      </c>
      <c r="B510" s="82" t="str">
        <f>+_xlfn.XLOOKUP(Tabla4[[#This Row],[ID CLIENTE]],'RESUMEN CLIENTES'!D:D,'RESUMEN CLIENTES'!A:A)</f>
        <v>Bernardita Lobo Zegers</v>
      </c>
      <c r="C510" s="83" t="s">
        <v>2202</v>
      </c>
      <c r="D510" s="83" t="s">
        <v>203</v>
      </c>
      <c r="E510" s="83" t="s">
        <v>1106</v>
      </c>
      <c r="F510" s="83" t="s">
        <v>1107</v>
      </c>
      <c r="G510" s="84">
        <v>1000</v>
      </c>
      <c r="H510" s="85">
        <v>-32.75</v>
      </c>
      <c r="I510" s="86">
        <f t="shared" si="16"/>
        <v>3.2750000000000001E-2</v>
      </c>
      <c r="J510" s="87">
        <f t="shared" si="17"/>
        <v>967.25</v>
      </c>
      <c r="K510" s="87"/>
      <c r="L510" s="87" t="s">
        <v>4672</v>
      </c>
      <c r="M510" s="87"/>
      <c r="N510" s="524"/>
      <c r="O510" s="524">
        <f>+Tabla4[[#This Row],[PAGO NO EURO]]+Tabla4[[#This Row],[CARGO NO EURO]]</f>
        <v>0</v>
      </c>
      <c r="P510" s="524"/>
      <c r="Q510" s="88"/>
      <c r="R510" s="692">
        <f>+_xlfn.XLOOKUP(Tabla4[[#This Row],[ID CLIENTE]],'RESUMEN CLIENTES'!D:D,'RESUMEN CLIENTES'!G:G)</f>
        <v>45779</v>
      </c>
      <c r="S510" s="99" t="str">
        <f>+_xlfn.XLOOKUP(Tabla4[[#This Row],[ID CLIENTE]],'RESUMEN CLIENTES'!D:D,'RESUMEN CLIENTES'!AA:AA)</f>
        <v>A1.1</v>
      </c>
      <c r="T510" s="680" t="str">
        <f>+_xlfn.XLOOKUP(Tabla4[[#This Row],[ID CLIENTE]],'RESUMEN CLIENTES'!D:D,'RESUMEN CLIENTES'!C:C)</f>
        <v>México</v>
      </c>
    </row>
    <row r="511" spans="1:20" ht="16">
      <c r="A511" s="82">
        <v>45938</v>
      </c>
      <c r="B511" s="82" t="str">
        <f>+_xlfn.XLOOKUP(Tabla4[[#This Row],[ID CLIENTE]],'RESUMEN CLIENTES'!D:D,'RESUMEN CLIENTES'!A:A)</f>
        <v>Diego Alonso Salazar Palacios</v>
      </c>
      <c r="C511" s="83" t="s">
        <v>2216</v>
      </c>
      <c r="D511" s="83" t="s">
        <v>253</v>
      </c>
      <c r="E511" s="83" t="s">
        <v>1150</v>
      </c>
      <c r="F511" s="83" t="s">
        <v>1151</v>
      </c>
      <c r="G511" s="84">
        <v>1000</v>
      </c>
      <c r="H511" s="85">
        <v>-32.75</v>
      </c>
      <c r="I511" s="86">
        <f t="shared" si="16"/>
        <v>3.2750000000000001E-2</v>
      </c>
      <c r="J511" s="87">
        <f t="shared" si="17"/>
        <v>967.25</v>
      </c>
      <c r="K511" s="87"/>
      <c r="L511" s="87" t="s">
        <v>4672</v>
      </c>
      <c r="M511" s="87"/>
      <c r="N511" s="524"/>
      <c r="O511" s="524">
        <f>+Tabla4[[#This Row],[PAGO NO EURO]]+Tabla4[[#This Row],[CARGO NO EURO]]</f>
        <v>0</v>
      </c>
      <c r="P511" s="524"/>
      <c r="Q511" s="88"/>
      <c r="R511" s="692">
        <f>+_xlfn.XLOOKUP(Tabla4[[#This Row],[ID CLIENTE]],'RESUMEN CLIENTES'!D:D,'RESUMEN CLIENTES'!G:G)</f>
        <v>45803</v>
      </c>
      <c r="S511" s="99" t="str">
        <f>+_xlfn.XLOOKUP(Tabla4[[#This Row],[ID CLIENTE]],'RESUMEN CLIENTES'!D:D,'RESUMEN CLIENTES'!AA:AA)</f>
        <v>A1.1</v>
      </c>
      <c r="T511" s="680" t="str">
        <f>+_xlfn.XLOOKUP(Tabla4[[#This Row],[ID CLIENTE]],'RESUMEN CLIENTES'!D:D,'RESUMEN CLIENTES'!C:C)</f>
        <v>Perú</v>
      </c>
    </row>
    <row r="512" spans="1:20" ht="16">
      <c r="A512" s="82">
        <v>45938</v>
      </c>
      <c r="B512" s="82" t="str">
        <f>+_xlfn.XLOOKUP(Tabla4[[#This Row],[ID CLIENTE]],'RESUMEN CLIENTES'!D:D,'RESUMEN CLIENTES'!A:A)</f>
        <v>Liliana María Moreno Martinez</v>
      </c>
      <c r="C512" s="83" t="s">
        <v>2237</v>
      </c>
      <c r="D512" s="83" t="s">
        <v>278</v>
      </c>
      <c r="E512" s="83" t="s">
        <v>1148</v>
      </c>
      <c r="F512" s="83" t="s">
        <v>1149</v>
      </c>
      <c r="G512" s="84">
        <v>500</v>
      </c>
      <c r="H512" s="85">
        <v>-16.5</v>
      </c>
      <c r="I512" s="86">
        <f t="shared" si="16"/>
        <v>3.3000000000000002E-2</v>
      </c>
      <c r="J512" s="87">
        <f t="shared" si="17"/>
        <v>483.5</v>
      </c>
      <c r="K512" s="87"/>
      <c r="L512" s="87" t="s">
        <v>4672</v>
      </c>
      <c r="M512" s="87"/>
      <c r="N512" s="524"/>
      <c r="O512" s="524">
        <f>+Tabla4[[#This Row],[PAGO NO EURO]]+Tabla4[[#This Row],[CARGO NO EURO]]</f>
        <v>0</v>
      </c>
      <c r="P512" s="524"/>
      <c r="Q512" s="88"/>
      <c r="R512" s="692">
        <f>+_xlfn.XLOOKUP(Tabla4[[#This Row],[ID CLIENTE]],'RESUMEN CLIENTES'!D:D,'RESUMEN CLIENTES'!G:G)</f>
        <v>45812</v>
      </c>
      <c r="S512" s="99" t="str">
        <f>+_xlfn.XLOOKUP(Tabla4[[#This Row],[ID CLIENTE]],'RESUMEN CLIENTES'!D:D,'RESUMEN CLIENTES'!AA:AA)</f>
        <v>A1.1</v>
      </c>
      <c r="T512" s="680" t="str">
        <f>+_xlfn.XLOOKUP(Tabla4[[#This Row],[ID CLIENTE]],'RESUMEN CLIENTES'!D:D,'RESUMEN CLIENTES'!C:C)</f>
        <v>El Salvador</v>
      </c>
    </row>
    <row r="513" spans="1:20" ht="16">
      <c r="A513" s="82">
        <v>45938</v>
      </c>
      <c r="B513" s="82" t="str">
        <f>+_xlfn.XLOOKUP(Tabla4[[#This Row],[ID CLIENTE]],'RESUMEN CLIENTES'!D:D,'RESUMEN CLIENTES'!A:A)</f>
        <v>Ricardo Ernesto Miño Valencia</v>
      </c>
      <c r="C513" s="83" t="s">
        <v>2426</v>
      </c>
      <c r="D513" s="83" t="s">
        <v>1152</v>
      </c>
      <c r="E513" s="83" t="s">
        <v>1153</v>
      </c>
      <c r="F513" s="83" t="s">
        <v>1154</v>
      </c>
      <c r="G513" s="84">
        <f>+Tabla4[[#This Row],[PAGO NO EURO]]*Tabla4[[#This Row],[CAMBIO]]</f>
        <v>2045.9231490159327</v>
      </c>
      <c r="H513" s="85">
        <f>+Tabla4[[#This Row],[AUXILIAR]]*Tabla4[[#This Row],[CAMBIO]]</f>
        <v>2045.9231490159327</v>
      </c>
      <c r="I513" s="86">
        <f t="shared" si="16"/>
        <v>-1</v>
      </c>
      <c r="J513" s="87">
        <f t="shared" si="17"/>
        <v>4091.8462980318654</v>
      </c>
      <c r="K513" s="87"/>
      <c r="L513" s="87" t="s">
        <v>4672</v>
      </c>
      <c r="M513" s="87" t="s">
        <v>2548</v>
      </c>
      <c r="N513" s="524">
        <v>2401.3000000000002</v>
      </c>
      <c r="O513" s="524">
        <f>+Tabla4[[#This Row],[PAGO NO EURO]]+Tabla4[[#This Row],[CARGO NO EURO]]</f>
        <v>2401.3000000000002</v>
      </c>
      <c r="P513" s="524">
        <v>0</v>
      </c>
      <c r="Q513" s="88">
        <v>0.85200647524921191</v>
      </c>
      <c r="R513" s="689">
        <f>+_xlfn.XLOOKUP(Tabla4[[#This Row],[ID CLIENTE]],'RESUMEN CLIENTES'!D:D,'RESUMEN CLIENTES'!G:G)</f>
        <v>45938</v>
      </c>
      <c r="S513" s="88" t="str">
        <f>+_xlfn.XLOOKUP(Tabla4[[#This Row],[ID CLIENTE]],'RESUMEN CLIENTES'!D:D,'RESUMEN CLIENTES'!AA:AA)</f>
        <v>A1.1</v>
      </c>
      <c r="T513" s="680" t="str">
        <f>+_xlfn.XLOOKUP(Tabla4[[#This Row],[ID CLIENTE]],'RESUMEN CLIENTES'!D:D,'RESUMEN CLIENTES'!C:C)</f>
        <v>Ecuador</v>
      </c>
    </row>
    <row r="514" spans="1:20" ht="16">
      <c r="A514" s="82">
        <v>45938</v>
      </c>
      <c r="B514" s="82" t="str">
        <f>+_xlfn.XLOOKUP(Tabla4[[#This Row],[ID CLIENTE]],'RESUMEN CLIENTES'!D:D,'RESUMEN CLIENTES'!A:A)</f>
        <v>Paula Ida Elisa Saris Sommer</v>
      </c>
      <c r="C514" s="83" t="s">
        <v>2400</v>
      </c>
      <c r="D514" s="83" t="s">
        <v>855</v>
      </c>
      <c r="E514" s="83" t="s">
        <v>1164</v>
      </c>
      <c r="F514" s="83" t="s">
        <v>1165</v>
      </c>
      <c r="G514" s="84">
        <v>500</v>
      </c>
      <c r="H514" s="85">
        <v>-16.5</v>
      </c>
      <c r="I514" s="86">
        <f t="shared" si="16"/>
        <v>3.3000000000000002E-2</v>
      </c>
      <c r="J514" s="87">
        <f t="shared" si="17"/>
        <v>483.5</v>
      </c>
      <c r="K514" s="87"/>
      <c r="L514" s="87" t="s">
        <v>4672</v>
      </c>
      <c r="M514" s="87"/>
      <c r="N514" s="524"/>
      <c r="O514" s="524">
        <f>+Tabla4[[#This Row],[PAGO NO EURO]]+Tabla4[[#This Row],[CARGO NO EURO]]</f>
        <v>0</v>
      </c>
      <c r="P514" s="524"/>
      <c r="Q514" s="88"/>
      <c r="R514" s="689">
        <f>+_xlfn.XLOOKUP(Tabla4[[#This Row],[ID CLIENTE]],'RESUMEN CLIENTES'!D:D,'RESUMEN CLIENTES'!G:G)</f>
        <v>45904</v>
      </c>
      <c r="S514" s="88" t="str">
        <f>+_xlfn.XLOOKUP(Tabla4[[#This Row],[ID CLIENTE]],'RESUMEN CLIENTES'!D:D,'RESUMEN CLIENTES'!AA:AA)</f>
        <v>A2.1</v>
      </c>
      <c r="T514" s="680" t="str">
        <f>+_xlfn.XLOOKUP(Tabla4[[#This Row],[ID CLIENTE]],'RESUMEN CLIENTES'!D:D,'RESUMEN CLIENTES'!C:C)</f>
        <v>Argentina</v>
      </c>
    </row>
    <row r="515" spans="1:20" ht="16">
      <c r="A515" s="82">
        <v>45939</v>
      </c>
      <c r="B515" s="82" t="str">
        <f>+_xlfn.XLOOKUP(Tabla4[[#This Row],[ID CLIENTE]],'RESUMEN CLIENTES'!D:D,'RESUMEN CLIENTES'!A:A)</f>
        <v>Judith Elizabeth Lopez Sanchez</v>
      </c>
      <c r="C515" s="83" t="s">
        <v>2416</v>
      </c>
      <c r="D515" s="83" t="s">
        <v>955</v>
      </c>
      <c r="E515" s="83" t="s">
        <v>1158</v>
      </c>
      <c r="F515" s="83" t="s">
        <v>1159</v>
      </c>
      <c r="G515" s="84">
        <v>4000</v>
      </c>
      <c r="H515" s="85">
        <v>-130.25</v>
      </c>
      <c r="I515" s="86">
        <f t="shared" si="16"/>
        <v>3.2562500000000001E-2</v>
      </c>
      <c r="J515" s="87">
        <f t="shared" si="17"/>
        <v>3869.75</v>
      </c>
      <c r="K515" s="87"/>
      <c r="L515" s="87" t="s">
        <v>4672</v>
      </c>
      <c r="M515" s="87"/>
      <c r="N515" s="524"/>
      <c r="O515" s="524">
        <f>+Tabla4[[#This Row],[PAGO NO EURO]]+Tabla4[[#This Row],[CARGO NO EURO]]</f>
        <v>0</v>
      </c>
      <c r="P515" s="524"/>
      <c r="Q515" s="88"/>
      <c r="R515" s="689">
        <f>+_xlfn.XLOOKUP(Tabla4[[#This Row],[ID CLIENTE]],'RESUMEN CLIENTES'!D:D,'RESUMEN CLIENTES'!G:G)</f>
        <v>45913</v>
      </c>
      <c r="S515" s="88" t="str">
        <f>+_xlfn.XLOOKUP(Tabla4[[#This Row],[ID CLIENTE]],'RESUMEN CLIENTES'!D:D,'RESUMEN CLIENTES'!AA:AA)</f>
        <v>A1.1</v>
      </c>
      <c r="T515" s="680" t="str">
        <f>+_xlfn.XLOOKUP(Tabla4[[#This Row],[ID CLIENTE]],'RESUMEN CLIENTES'!D:D,'RESUMEN CLIENTES'!C:C)</f>
        <v>Perú</v>
      </c>
    </row>
    <row r="516" spans="1:20" ht="16">
      <c r="A516" s="82">
        <v>45939</v>
      </c>
      <c r="B516" s="82" t="str">
        <f>+_xlfn.XLOOKUP(Tabla4[[#This Row],[ID CLIENTE]],'RESUMEN CLIENTES'!D:D,'RESUMEN CLIENTES'!A:A)</f>
        <v>Mario Arciga Casián</v>
      </c>
      <c r="C516" s="83" t="s">
        <v>2428</v>
      </c>
      <c r="D516" s="83" t="s">
        <v>1155</v>
      </c>
      <c r="E516" s="83" t="s">
        <v>1156</v>
      </c>
      <c r="F516" s="83" t="s">
        <v>1157</v>
      </c>
      <c r="G516" s="84">
        <v>3000</v>
      </c>
      <c r="H516" s="85">
        <v>-97.75</v>
      </c>
      <c r="I516" s="86">
        <f t="shared" si="16"/>
        <v>3.2583333333333332E-2</v>
      </c>
      <c r="J516" s="87">
        <f t="shared" si="17"/>
        <v>2902.25</v>
      </c>
      <c r="K516" s="87"/>
      <c r="L516" s="87" t="s">
        <v>4672</v>
      </c>
      <c r="M516" s="87"/>
      <c r="N516" s="524"/>
      <c r="O516" s="524">
        <f>+Tabla4[[#This Row],[PAGO NO EURO]]+Tabla4[[#This Row],[CARGO NO EURO]]</f>
        <v>0</v>
      </c>
      <c r="P516" s="524"/>
      <c r="Q516" s="88"/>
      <c r="R516" s="689">
        <f>+_xlfn.XLOOKUP(Tabla4[[#This Row],[ID CLIENTE]],'RESUMEN CLIENTES'!D:D,'RESUMEN CLIENTES'!G:G)</f>
        <v>45939</v>
      </c>
      <c r="S516" s="88" t="str">
        <f>+_xlfn.XLOOKUP(Tabla4[[#This Row],[ID CLIENTE]],'RESUMEN CLIENTES'!D:D,'RESUMEN CLIENTES'!AA:AA)</f>
        <v>A1 komplett</v>
      </c>
      <c r="T516" s="680" t="str">
        <f>+_xlfn.XLOOKUP(Tabla4[[#This Row],[ID CLIENTE]],'RESUMEN CLIENTES'!D:D,'RESUMEN CLIENTES'!C:C)</f>
        <v>México</v>
      </c>
    </row>
    <row r="517" spans="1:20" ht="16">
      <c r="A517" s="82">
        <v>45940</v>
      </c>
      <c r="B517" s="82" t="str">
        <f>+_xlfn.XLOOKUP(Tabla4[[#This Row],[ID CLIENTE]],'RESUMEN CLIENTES'!D:D,'RESUMEN CLIENTES'!A:A)</f>
        <v>María de los Ángeles Gutiérrez Quevedo</v>
      </c>
      <c r="C517" s="83" t="s">
        <v>2233</v>
      </c>
      <c r="D517" s="83" t="s">
        <v>274</v>
      </c>
      <c r="E517" s="83" t="s">
        <v>1160</v>
      </c>
      <c r="F517" s="83" t="s">
        <v>1161</v>
      </c>
      <c r="G517" s="84">
        <v>1500</v>
      </c>
      <c r="H517" s="85">
        <v>-49</v>
      </c>
      <c r="I517" s="86">
        <f t="shared" si="16"/>
        <v>3.2666666666666663E-2</v>
      </c>
      <c r="J517" s="87">
        <f t="shared" si="17"/>
        <v>1451</v>
      </c>
      <c r="K517" s="87"/>
      <c r="L517" s="87" t="s">
        <v>4672</v>
      </c>
      <c r="M517" s="87"/>
      <c r="N517" s="524"/>
      <c r="O517" s="524">
        <f>+Tabla4[[#This Row],[PAGO NO EURO]]+Tabla4[[#This Row],[CARGO NO EURO]]</f>
        <v>0</v>
      </c>
      <c r="P517" s="524"/>
      <c r="Q517" s="88"/>
      <c r="R517" s="689">
        <f>+_xlfn.XLOOKUP(Tabla4[[#This Row],[ID CLIENTE]],'RESUMEN CLIENTES'!D:D,'RESUMEN CLIENTES'!G:G)</f>
        <v>45810</v>
      </c>
      <c r="S517" s="88" t="str">
        <f>+_xlfn.XLOOKUP(Tabla4[[#This Row],[ID CLIENTE]],'RESUMEN CLIENTES'!D:D,'RESUMEN CLIENTES'!AA:AA)</f>
        <v>A1.1</v>
      </c>
      <c r="T517" s="680" t="str">
        <f>+_xlfn.XLOOKUP(Tabla4[[#This Row],[ID CLIENTE]],'RESUMEN CLIENTES'!D:D,'RESUMEN CLIENTES'!C:C)</f>
        <v>Chile</v>
      </c>
    </row>
    <row r="518" spans="1:20" ht="16">
      <c r="A518" s="82">
        <v>45940</v>
      </c>
      <c r="B518" s="82" t="str">
        <f>+_xlfn.XLOOKUP(Tabla4[[#This Row],[ID CLIENTE]],'RESUMEN CLIENTES'!D:D,'RESUMEN CLIENTES'!A:A)</f>
        <v>Rodrigo Alfonso Busse Hernández</v>
      </c>
      <c r="C518" s="83" t="s">
        <v>2231</v>
      </c>
      <c r="D518" s="83" t="s">
        <v>275</v>
      </c>
      <c r="E518" s="83" t="s">
        <v>1166</v>
      </c>
      <c r="F518" s="83" t="s">
        <v>1167</v>
      </c>
      <c r="G518" s="84">
        <v>1111</v>
      </c>
      <c r="H518" s="85">
        <v>-36.36</v>
      </c>
      <c r="I518" s="86">
        <f t="shared" si="16"/>
        <v>3.272727272727273E-2</v>
      </c>
      <c r="J518" s="87">
        <f t="shared" si="17"/>
        <v>1074.6400000000001</v>
      </c>
      <c r="K518" s="87"/>
      <c r="L518" s="87" t="s">
        <v>4672</v>
      </c>
      <c r="M518" s="87"/>
      <c r="N518" s="524"/>
      <c r="O518" s="524">
        <f>+Tabla4[[#This Row],[PAGO NO EURO]]+Tabla4[[#This Row],[CARGO NO EURO]]</f>
        <v>0</v>
      </c>
      <c r="P518" s="524"/>
      <c r="Q518" s="88"/>
      <c r="R518" s="689">
        <f>+_xlfn.XLOOKUP(Tabla4[[#This Row],[ID CLIENTE]],'RESUMEN CLIENTES'!D:D,'RESUMEN CLIENTES'!G:G)</f>
        <v>45810</v>
      </c>
      <c r="S518" s="88" t="str">
        <f>+_xlfn.XLOOKUP(Tabla4[[#This Row],[ID CLIENTE]],'RESUMEN CLIENTES'!D:D,'RESUMEN CLIENTES'!AA:AA)</f>
        <v>null</v>
      </c>
      <c r="T518" s="680" t="str">
        <f>+_xlfn.XLOOKUP(Tabla4[[#This Row],[ID CLIENTE]],'RESUMEN CLIENTES'!D:D,'RESUMEN CLIENTES'!C:C)</f>
        <v>Chile</v>
      </c>
    </row>
    <row r="519" spans="1:20" ht="16">
      <c r="A519" s="82">
        <v>45940</v>
      </c>
      <c r="B519" s="82" t="str">
        <f>+_xlfn.XLOOKUP(Tabla4[[#This Row],[ID CLIENTE]],'RESUMEN CLIENTES'!D:D,'RESUMEN CLIENTES'!A:A)</f>
        <v>Paola Hitos</v>
      </c>
      <c r="C519" s="83" t="s">
        <v>2288</v>
      </c>
      <c r="D519" s="83" t="s">
        <v>455</v>
      </c>
      <c r="E519" s="83" t="s">
        <v>1162</v>
      </c>
      <c r="F519" s="83" t="s">
        <v>1163</v>
      </c>
      <c r="G519" s="84">
        <v>1000</v>
      </c>
      <c r="H519" s="85">
        <v>-32.75</v>
      </c>
      <c r="I519" s="86">
        <f t="shared" si="16"/>
        <v>3.2750000000000001E-2</v>
      </c>
      <c r="J519" s="87">
        <f t="shared" si="17"/>
        <v>967.25</v>
      </c>
      <c r="K519" s="87"/>
      <c r="L519" s="87" t="s">
        <v>4672</v>
      </c>
      <c r="M519" s="87"/>
      <c r="N519" s="524"/>
      <c r="O519" s="524">
        <f>+Tabla4[[#This Row],[PAGO NO EURO]]+Tabla4[[#This Row],[CARGO NO EURO]]</f>
        <v>0</v>
      </c>
      <c r="P519" s="524"/>
      <c r="Q519" s="88"/>
      <c r="R519" s="689">
        <f>+_xlfn.XLOOKUP(Tabla4[[#This Row],[ID CLIENTE]],'RESUMEN CLIENTES'!D:D,'RESUMEN CLIENTES'!G:G)</f>
        <v>45846</v>
      </c>
      <c r="S519" s="88" t="str">
        <f>+_xlfn.XLOOKUP(Tabla4[[#This Row],[ID CLIENTE]],'RESUMEN CLIENTES'!D:D,'RESUMEN CLIENTES'!AA:AA)</f>
        <v>A1.1</v>
      </c>
      <c r="T519" s="680" t="str">
        <f>+_xlfn.XLOOKUP(Tabla4[[#This Row],[ID CLIENTE]],'RESUMEN CLIENTES'!D:D,'RESUMEN CLIENTES'!C:C)</f>
        <v>México</v>
      </c>
    </row>
    <row r="520" spans="1:20" ht="16">
      <c r="A520" s="82">
        <v>45942</v>
      </c>
      <c r="B520" s="82" t="str">
        <f>+_xlfn.XLOOKUP(Tabla4[[#This Row],[ID CLIENTE]],'RESUMEN CLIENTES'!D:D,'RESUMEN CLIENTES'!A:A)</f>
        <v>Juan Pablo Martínez Cabello</v>
      </c>
      <c r="C520" s="83" t="s">
        <v>2154</v>
      </c>
      <c r="D520" s="83" t="s">
        <v>136</v>
      </c>
      <c r="E520" s="83" t="s">
        <v>1191</v>
      </c>
      <c r="F520" s="83" t="s">
        <v>1192</v>
      </c>
      <c r="G520" s="84">
        <v>1500</v>
      </c>
      <c r="H520" s="85">
        <v>-49</v>
      </c>
      <c r="I520" s="86">
        <f t="shared" si="16"/>
        <v>3.2666666666666663E-2</v>
      </c>
      <c r="J520" s="87">
        <f t="shared" si="17"/>
        <v>1451</v>
      </c>
      <c r="K520" s="87"/>
      <c r="L520" s="87" t="s">
        <v>4672</v>
      </c>
      <c r="M520" s="87"/>
      <c r="N520" s="524"/>
      <c r="O520" s="524">
        <f>+Tabla4[[#This Row],[PAGO NO EURO]]+Tabla4[[#This Row],[CARGO NO EURO]]</f>
        <v>0</v>
      </c>
      <c r="P520" s="524"/>
      <c r="Q520" s="88"/>
      <c r="R520" s="689">
        <f>+_xlfn.XLOOKUP(Tabla4[[#This Row],[ID CLIENTE]],'RESUMEN CLIENTES'!D:D,'RESUMEN CLIENTES'!G:G)</f>
        <v>45743</v>
      </c>
      <c r="S520" s="88" t="str">
        <f>+_xlfn.XLOOKUP(Tabla4[[#This Row],[ID CLIENTE]],'RESUMEN CLIENTES'!D:D,'RESUMEN CLIENTES'!AA:AA)</f>
        <v>B1.1</v>
      </c>
      <c r="T520" s="680" t="str">
        <f>+_xlfn.XLOOKUP(Tabla4[[#This Row],[ID CLIENTE]],'RESUMEN CLIENTES'!D:D,'RESUMEN CLIENTES'!C:C)</f>
        <v>Chile</v>
      </c>
    </row>
    <row r="521" spans="1:20" ht="16">
      <c r="A521" s="82">
        <v>45943</v>
      </c>
      <c r="B521" s="82" t="str">
        <f>+_xlfn.XLOOKUP(Tabla4[[#This Row],[ID CLIENTE]],'RESUMEN CLIENTES'!D:D,'RESUMEN CLIENTES'!A:A)</f>
        <v>Catalina Andrea Videla Muñoz</v>
      </c>
      <c r="C521" s="83" t="s">
        <v>2164</v>
      </c>
      <c r="D521" s="83" t="s">
        <v>156</v>
      </c>
      <c r="E521" s="83" t="s">
        <v>1176</v>
      </c>
      <c r="F521" s="83" t="s">
        <v>1177</v>
      </c>
      <c r="G521" s="84">
        <v>850</v>
      </c>
      <c r="H521" s="85">
        <v>-27.88</v>
      </c>
      <c r="I521" s="86">
        <f t="shared" si="16"/>
        <v>3.2799999999999996E-2</v>
      </c>
      <c r="J521" s="87">
        <f t="shared" si="17"/>
        <v>822.12</v>
      </c>
      <c r="K521" s="87"/>
      <c r="L521" s="87" t="s">
        <v>4672</v>
      </c>
      <c r="M521" s="87"/>
      <c r="N521" s="524"/>
      <c r="O521" s="524">
        <f>+Tabla4[[#This Row],[PAGO NO EURO]]+Tabla4[[#This Row],[CARGO NO EURO]]</f>
        <v>0</v>
      </c>
      <c r="P521" s="524"/>
      <c r="Q521" s="88"/>
      <c r="R521" s="689">
        <f>+_xlfn.XLOOKUP(Tabla4[[#This Row],[ID CLIENTE]],'RESUMEN CLIENTES'!D:D,'RESUMEN CLIENTES'!G:G)</f>
        <v>45755</v>
      </c>
      <c r="S521" s="88" t="str">
        <f>+_xlfn.XLOOKUP(Tabla4[[#This Row],[ID CLIENTE]],'RESUMEN CLIENTES'!D:D,'RESUMEN CLIENTES'!AA:AA)</f>
        <v>B1.3</v>
      </c>
      <c r="T521" s="680" t="str">
        <f>+_xlfn.XLOOKUP(Tabla4[[#This Row],[ID CLIENTE]],'RESUMEN CLIENTES'!D:D,'RESUMEN CLIENTES'!C:C)</f>
        <v>Chile</v>
      </c>
    </row>
    <row r="522" spans="1:20" ht="16">
      <c r="A522" s="82">
        <v>45944</v>
      </c>
      <c r="B522" s="82" t="str">
        <f>+_xlfn.XLOOKUP(Tabla4[[#This Row],[ID CLIENTE]],'RESUMEN CLIENTES'!D:D,'RESUMEN CLIENTES'!A:A)</f>
        <v>Daniela Luise Reisenegger Scheel</v>
      </c>
      <c r="C522" s="83" t="s">
        <v>2381</v>
      </c>
      <c r="D522" s="83" t="s">
        <v>756</v>
      </c>
      <c r="E522" s="83" t="s">
        <v>1114</v>
      </c>
      <c r="F522" s="83" t="s">
        <v>1115</v>
      </c>
      <c r="G522" s="84">
        <v>4000</v>
      </c>
      <c r="H522" s="85">
        <v>-5</v>
      </c>
      <c r="I522" s="86">
        <f t="shared" si="16"/>
        <v>1.25E-3</v>
      </c>
      <c r="J522" s="87">
        <f t="shared" si="17"/>
        <v>3995</v>
      </c>
      <c r="K522" s="87"/>
      <c r="L522" s="87" t="s">
        <v>4672</v>
      </c>
      <c r="M522" s="87"/>
      <c r="N522" s="524"/>
      <c r="O522" s="524">
        <f>+Tabla4[[#This Row],[PAGO NO EURO]]+Tabla4[[#This Row],[CARGO NO EURO]]</f>
        <v>0</v>
      </c>
      <c r="P522" s="524"/>
      <c r="Q522" s="88"/>
      <c r="R522" s="689">
        <f>+_xlfn.XLOOKUP(Tabla4[[#This Row],[ID CLIENTE]],'RESUMEN CLIENTES'!D:D,'RESUMEN CLIENTES'!G:G)</f>
        <v>45898</v>
      </c>
      <c r="S522" s="88" t="str">
        <f>+_xlfn.XLOOKUP(Tabla4[[#This Row],[ID CLIENTE]],'RESUMEN CLIENTES'!D:D,'RESUMEN CLIENTES'!AA:AA)</f>
        <v>null</v>
      </c>
      <c r="T522" s="680" t="str">
        <f>+_xlfn.XLOOKUP(Tabla4[[#This Row],[ID CLIENTE]],'RESUMEN CLIENTES'!D:D,'RESUMEN CLIENTES'!C:C)</f>
        <v>Chile</v>
      </c>
    </row>
    <row r="523" spans="1:20" ht="16">
      <c r="A523" s="82">
        <v>45944</v>
      </c>
      <c r="B523" s="82" t="str">
        <f>+_xlfn.XLOOKUP(Tabla4[[#This Row],[ID CLIENTE]],'RESUMEN CLIENTES'!D:D,'RESUMEN CLIENTES'!A:A)</f>
        <v>Kimberly Chantelle Frey Arteaga</v>
      </c>
      <c r="C523" s="83" t="s">
        <v>2311</v>
      </c>
      <c r="D523" s="83" t="s">
        <v>501</v>
      </c>
      <c r="E523" s="83" t="s">
        <v>1168</v>
      </c>
      <c r="F523" s="83" t="s">
        <v>1169</v>
      </c>
      <c r="G523" s="84">
        <v>1000</v>
      </c>
      <c r="H523" s="85">
        <v>-32.75</v>
      </c>
      <c r="I523" s="86">
        <f t="shared" si="16"/>
        <v>3.2750000000000001E-2</v>
      </c>
      <c r="J523" s="87">
        <f t="shared" si="17"/>
        <v>967.25</v>
      </c>
      <c r="K523" s="87"/>
      <c r="L523" s="87" t="s">
        <v>4672</v>
      </c>
      <c r="M523" s="87"/>
      <c r="N523" s="524"/>
      <c r="O523" s="524">
        <f>+Tabla4[[#This Row],[PAGO NO EURO]]+Tabla4[[#This Row],[CARGO NO EURO]]</f>
        <v>0</v>
      </c>
      <c r="P523" s="524"/>
      <c r="Q523" s="88"/>
      <c r="R523" s="689">
        <f>+_xlfn.XLOOKUP(Tabla4[[#This Row],[ID CLIENTE]],'RESUMEN CLIENTES'!D:D,'RESUMEN CLIENTES'!G:G)</f>
        <v>45858</v>
      </c>
      <c r="S523" s="88" t="str">
        <f>+_xlfn.XLOOKUP(Tabla4[[#This Row],[ID CLIENTE]],'RESUMEN CLIENTES'!D:D,'RESUMEN CLIENTES'!AA:AA)</f>
        <v>A1.1</v>
      </c>
      <c r="T523" s="680" t="str">
        <f>+_xlfn.XLOOKUP(Tabla4[[#This Row],[ID CLIENTE]],'RESUMEN CLIENTES'!D:D,'RESUMEN CLIENTES'!C:C)</f>
        <v>México</v>
      </c>
    </row>
    <row r="524" spans="1:20" ht="16">
      <c r="A524" s="82">
        <v>45944</v>
      </c>
      <c r="B524" s="82" t="str">
        <f>+_xlfn.XLOOKUP(Tabla4[[#This Row],[ID CLIENTE]],'RESUMEN CLIENTES'!D:D,'RESUMEN CLIENTES'!A:A)</f>
        <v>Sven Sigurd Biedermann Aberg</v>
      </c>
      <c r="C524" s="83" t="s">
        <v>2182</v>
      </c>
      <c r="D524" s="83" t="s">
        <v>178</v>
      </c>
      <c r="E524" s="83" t="s">
        <v>1199</v>
      </c>
      <c r="F524" s="83" t="s">
        <v>1200</v>
      </c>
      <c r="G524" s="84">
        <v>4000</v>
      </c>
      <c r="H524" s="85">
        <v>-130.25</v>
      </c>
      <c r="I524" s="86">
        <f t="shared" si="16"/>
        <v>3.2562500000000001E-2</v>
      </c>
      <c r="J524" s="87">
        <f t="shared" si="17"/>
        <v>3869.75</v>
      </c>
      <c r="K524" s="87"/>
      <c r="L524" s="87" t="s">
        <v>4672</v>
      </c>
      <c r="M524" s="87"/>
      <c r="N524" s="524"/>
      <c r="O524" s="524">
        <f>+Tabla4[[#This Row],[PAGO NO EURO]]+Tabla4[[#This Row],[CARGO NO EURO]]</f>
        <v>0</v>
      </c>
      <c r="P524" s="524"/>
      <c r="Q524" s="88"/>
      <c r="R524" s="689">
        <f>+_xlfn.XLOOKUP(Tabla4[[#This Row],[ID CLIENTE]],'RESUMEN CLIENTES'!D:D,'RESUMEN CLIENTES'!G:G)</f>
        <v>45769</v>
      </c>
      <c r="S524" s="88" t="str">
        <f>+_xlfn.XLOOKUP(Tabla4[[#This Row],[ID CLIENTE]],'RESUMEN CLIENTES'!D:D,'RESUMEN CLIENTES'!AA:AA)</f>
        <v>null</v>
      </c>
      <c r="T524" s="680" t="str">
        <f>+_xlfn.XLOOKUP(Tabla4[[#This Row],[ID CLIENTE]],'RESUMEN CLIENTES'!D:D,'RESUMEN CLIENTES'!C:C)</f>
        <v>Chile</v>
      </c>
    </row>
    <row r="525" spans="1:20" ht="16">
      <c r="A525" s="82">
        <v>45945</v>
      </c>
      <c r="B525" s="82" t="str">
        <f>+_xlfn.XLOOKUP(Tabla4[[#This Row],[ID CLIENTE]],'RESUMEN CLIENTES'!D:D,'RESUMEN CLIENTES'!A:A)</f>
        <v>Andrea Cristina Estrada Morocho</v>
      </c>
      <c r="C525" s="83" t="s">
        <v>2267</v>
      </c>
      <c r="D525" s="83" t="s">
        <v>325</v>
      </c>
      <c r="E525" s="83" t="s">
        <v>1172</v>
      </c>
      <c r="F525" s="83" t="s">
        <v>1173</v>
      </c>
      <c r="G525" s="84">
        <v>500</v>
      </c>
      <c r="H525" s="85">
        <v>-16.5</v>
      </c>
      <c r="I525" s="86">
        <f t="shared" si="16"/>
        <v>3.3000000000000002E-2</v>
      </c>
      <c r="J525" s="87">
        <f t="shared" si="17"/>
        <v>483.5</v>
      </c>
      <c r="K525" s="87"/>
      <c r="L525" s="87" t="s">
        <v>4672</v>
      </c>
      <c r="M525" s="87"/>
      <c r="N525" s="524"/>
      <c r="O525" s="524">
        <f>+Tabla4[[#This Row],[PAGO NO EURO]]+Tabla4[[#This Row],[CARGO NO EURO]]</f>
        <v>0</v>
      </c>
      <c r="P525" s="524"/>
      <c r="Q525" s="88"/>
      <c r="R525" s="689">
        <f>+_xlfn.XLOOKUP(Tabla4[[#This Row],[ID CLIENTE]],'RESUMEN CLIENTES'!D:D,'RESUMEN CLIENTES'!G:G)</f>
        <v>45831</v>
      </c>
      <c r="S525" s="88" t="str">
        <f>+_xlfn.XLOOKUP(Tabla4[[#This Row],[ID CLIENTE]],'RESUMEN CLIENTES'!D:D,'RESUMEN CLIENTES'!AA:AA)</f>
        <v>A1.1</v>
      </c>
      <c r="T525" s="680" t="str">
        <f>+_xlfn.XLOOKUP(Tabla4[[#This Row],[ID CLIENTE]],'RESUMEN CLIENTES'!D:D,'RESUMEN CLIENTES'!C:C)</f>
        <v>Ecuador</v>
      </c>
    </row>
    <row r="526" spans="1:20" ht="16">
      <c r="A526" s="82">
        <v>45945</v>
      </c>
      <c r="B526" s="82" t="str">
        <f>+_xlfn.XLOOKUP(Tabla4[[#This Row],[ID CLIENTE]],'RESUMEN CLIENTES'!D:D,'RESUMEN CLIENTES'!A:A)</f>
        <v>Carlos Alberto Suarez Hernandez</v>
      </c>
      <c r="C526" s="83" t="s">
        <v>2379</v>
      </c>
      <c r="D526" s="83" t="s">
        <v>751</v>
      </c>
      <c r="E526" s="83" t="s">
        <v>1174</v>
      </c>
      <c r="F526" s="83" t="s">
        <v>1175</v>
      </c>
      <c r="G526" s="84">
        <v>1000</v>
      </c>
      <c r="H526" s="85">
        <v>-32.75</v>
      </c>
      <c r="I526" s="86">
        <f t="shared" si="16"/>
        <v>3.2750000000000001E-2</v>
      </c>
      <c r="J526" s="87">
        <f t="shared" si="17"/>
        <v>967.25</v>
      </c>
      <c r="K526" s="87"/>
      <c r="L526" s="87" t="s">
        <v>4672</v>
      </c>
      <c r="M526" s="87"/>
      <c r="N526" s="524"/>
      <c r="O526" s="524">
        <f>+Tabla4[[#This Row],[PAGO NO EURO]]+Tabla4[[#This Row],[CARGO NO EURO]]</f>
        <v>0</v>
      </c>
      <c r="P526" s="524"/>
      <c r="Q526" s="88"/>
      <c r="R526" s="689">
        <f>+_xlfn.XLOOKUP(Tabla4[[#This Row],[ID CLIENTE]],'RESUMEN CLIENTES'!D:D,'RESUMEN CLIENTES'!G:G)</f>
        <v>45898</v>
      </c>
      <c r="S526" s="88" t="str">
        <f>+_xlfn.XLOOKUP(Tabla4[[#This Row],[ID CLIENTE]],'RESUMEN CLIENTES'!D:D,'RESUMEN CLIENTES'!AA:AA)</f>
        <v>A1.1</v>
      </c>
      <c r="T526" s="680" t="str">
        <f>+_xlfn.XLOOKUP(Tabla4[[#This Row],[ID CLIENTE]],'RESUMEN CLIENTES'!D:D,'RESUMEN CLIENTES'!C:C)</f>
        <v>Colombia</v>
      </c>
    </row>
    <row r="527" spans="1:20" ht="16">
      <c r="A527" s="82">
        <v>45945</v>
      </c>
      <c r="B527" s="82" t="str">
        <f>+_xlfn.XLOOKUP(Tabla4[[#This Row],[ID CLIENTE]],'RESUMEN CLIENTES'!D:D,'RESUMEN CLIENTES'!A:A)</f>
        <v>Alina Maria Cervantes Real</v>
      </c>
      <c r="C527" s="83" t="s">
        <v>2149</v>
      </c>
      <c r="D527" s="83" t="s">
        <v>187</v>
      </c>
      <c r="E527" s="83" t="s">
        <v>1170</v>
      </c>
      <c r="F527" s="83" t="s">
        <v>1171</v>
      </c>
      <c r="G527" s="84">
        <v>1500</v>
      </c>
      <c r="H527" s="85">
        <v>-49</v>
      </c>
      <c r="I527" s="86">
        <f t="shared" si="16"/>
        <v>3.2666666666666663E-2</v>
      </c>
      <c r="J527" s="87">
        <f t="shared" si="17"/>
        <v>1451</v>
      </c>
      <c r="K527" s="87"/>
      <c r="L527" s="87" t="s">
        <v>4672</v>
      </c>
      <c r="M527" s="87"/>
      <c r="N527" s="524"/>
      <c r="O527" s="524">
        <f>+Tabla4[[#This Row],[PAGO NO EURO]]+Tabla4[[#This Row],[CARGO NO EURO]]</f>
        <v>0</v>
      </c>
      <c r="P527" s="524"/>
      <c r="Q527" s="88"/>
      <c r="R527" s="689">
        <f>+_xlfn.XLOOKUP(Tabla4[[#This Row],[ID CLIENTE]],'RESUMEN CLIENTES'!D:D,'RESUMEN CLIENTES'!G:G)</f>
        <v>45741</v>
      </c>
      <c r="S527" s="88" t="str">
        <f>+_xlfn.XLOOKUP(Tabla4[[#This Row],[ID CLIENTE]],'RESUMEN CLIENTES'!D:D,'RESUMEN CLIENTES'!AA:AA)</f>
        <v>B1.1</v>
      </c>
      <c r="T527" s="680" t="str">
        <f>+_xlfn.XLOOKUP(Tabla4[[#This Row],[ID CLIENTE]],'RESUMEN CLIENTES'!D:D,'RESUMEN CLIENTES'!C:C)</f>
        <v>México</v>
      </c>
    </row>
    <row r="528" spans="1:20" ht="16">
      <c r="A528" s="82">
        <v>45945</v>
      </c>
      <c r="B528" s="82" t="str">
        <f>+_xlfn.XLOOKUP(Tabla4[[#This Row],[ID CLIENTE]],'RESUMEN CLIENTES'!D:D,'RESUMEN CLIENTES'!A:A)</f>
        <v>Daniel Flores</v>
      </c>
      <c r="C528" s="83" t="s">
        <v>2430</v>
      </c>
      <c r="D528" s="83" t="s">
        <v>1178</v>
      </c>
      <c r="E528" s="83" t="s">
        <v>1179</v>
      </c>
      <c r="F528" s="83" t="s">
        <v>1180</v>
      </c>
      <c r="G528" s="84">
        <v>500</v>
      </c>
      <c r="H528" s="85">
        <v>-16.5</v>
      </c>
      <c r="I528" s="86">
        <f t="shared" si="16"/>
        <v>3.3000000000000002E-2</v>
      </c>
      <c r="J528" s="87">
        <f t="shared" si="17"/>
        <v>483.5</v>
      </c>
      <c r="K528" s="87"/>
      <c r="L528" s="87" t="s">
        <v>4672</v>
      </c>
      <c r="M528" s="87"/>
      <c r="N528" s="524"/>
      <c r="O528" s="524">
        <f>+Tabla4[[#This Row],[PAGO NO EURO]]+Tabla4[[#This Row],[CARGO NO EURO]]</f>
        <v>0</v>
      </c>
      <c r="P528" s="524"/>
      <c r="Q528" s="88"/>
      <c r="R528" s="689">
        <f>+_xlfn.XLOOKUP(Tabla4[[#This Row],[ID CLIENTE]],'RESUMEN CLIENTES'!D:D,'RESUMEN CLIENTES'!G:G)</f>
        <v>45945</v>
      </c>
      <c r="S528" s="88" t="str">
        <f>+_xlfn.XLOOKUP(Tabla4[[#This Row],[ID CLIENTE]],'RESUMEN CLIENTES'!D:D,'RESUMEN CLIENTES'!AA:AA)</f>
        <v>A1.1</v>
      </c>
      <c r="T528" s="680" t="str">
        <f>+_xlfn.XLOOKUP(Tabla4[[#This Row],[ID CLIENTE]],'RESUMEN CLIENTES'!D:D,'RESUMEN CLIENTES'!C:C)</f>
        <v>Ecuador</v>
      </c>
    </row>
    <row r="529" spans="1:20" ht="16">
      <c r="A529" s="82">
        <v>45945</v>
      </c>
      <c r="B529" s="82" t="str">
        <f>+_xlfn.XLOOKUP(Tabla4[[#This Row],[ID CLIENTE]],'RESUMEN CLIENTES'!D:D,'RESUMEN CLIENTES'!A:A)</f>
        <v>Isaac Ricardo Jimenez Campos</v>
      </c>
      <c r="C529" s="83" t="s">
        <v>2131</v>
      </c>
      <c r="D529" s="83" t="s">
        <v>103</v>
      </c>
      <c r="E529" s="83" t="s">
        <v>1187</v>
      </c>
      <c r="F529" s="83" t="s">
        <v>1188</v>
      </c>
      <c r="G529" s="84">
        <v>654</v>
      </c>
      <c r="H529" s="85">
        <v>-21.51</v>
      </c>
      <c r="I529" s="86">
        <f t="shared" si="16"/>
        <v>3.2889908256880734E-2</v>
      </c>
      <c r="J529" s="87">
        <f t="shared" si="17"/>
        <v>632.49</v>
      </c>
      <c r="K529" s="87"/>
      <c r="L529" s="87" t="s">
        <v>4672</v>
      </c>
      <c r="M529" s="87"/>
      <c r="N529" s="524"/>
      <c r="O529" s="524">
        <f>+Tabla4[[#This Row],[PAGO NO EURO]]+Tabla4[[#This Row],[CARGO NO EURO]]</f>
        <v>0</v>
      </c>
      <c r="P529" s="524"/>
      <c r="Q529" s="88"/>
      <c r="R529" s="689">
        <f>+_xlfn.XLOOKUP(Tabla4[[#This Row],[ID CLIENTE]],'RESUMEN CLIENTES'!D:D,'RESUMEN CLIENTES'!G:G)</f>
        <v>45725</v>
      </c>
      <c r="S529" s="88" t="str">
        <f>+_xlfn.XLOOKUP(Tabla4[[#This Row],[ID CLIENTE]],'RESUMEN CLIENTES'!D:D,'RESUMEN CLIENTES'!AA:AA)</f>
        <v>null</v>
      </c>
      <c r="T529" s="680" t="str">
        <f>+_xlfn.XLOOKUP(Tabla4[[#This Row],[ID CLIENTE]],'RESUMEN CLIENTES'!D:D,'RESUMEN CLIENTES'!C:C)</f>
        <v>México</v>
      </c>
    </row>
    <row r="530" spans="1:20" ht="16">
      <c r="A530" s="82">
        <v>45945</v>
      </c>
      <c r="B530" s="82" t="str">
        <f>+_xlfn.XLOOKUP(Tabla4[[#This Row],[ID CLIENTE]],'RESUMEN CLIENTES'!D:D,'RESUMEN CLIENTES'!A:A)</f>
        <v>María Stefania Gelvez Olaya</v>
      </c>
      <c r="C530" s="83" t="s">
        <v>2383</v>
      </c>
      <c r="D530" s="83" t="s">
        <v>762</v>
      </c>
      <c r="E530" s="83" t="s">
        <v>1193</v>
      </c>
      <c r="F530" s="83" t="s">
        <v>1194</v>
      </c>
      <c r="G530" s="84">
        <v>1000</v>
      </c>
      <c r="H530" s="85">
        <v>-32.75</v>
      </c>
      <c r="I530" s="86">
        <f t="shared" si="16"/>
        <v>3.2750000000000001E-2</v>
      </c>
      <c r="J530" s="87">
        <f t="shared" si="17"/>
        <v>967.25</v>
      </c>
      <c r="K530" s="87"/>
      <c r="L530" s="87" t="s">
        <v>4672</v>
      </c>
      <c r="M530" s="87"/>
      <c r="N530" s="524"/>
      <c r="O530" s="524">
        <f>+Tabla4[[#This Row],[PAGO NO EURO]]+Tabla4[[#This Row],[CARGO NO EURO]]</f>
        <v>0</v>
      </c>
      <c r="P530" s="524"/>
      <c r="Q530" s="88"/>
      <c r="R530" s="689">
        <f>+_xlfn.XLOOKUP(Tabla4[[#This Row],[ID CLIENTE]],'RESUMEN CLIENTES'!D:D,'RESUMEN CLIENTES'!G:G)</f>
        <v>45898</v>
      </c>
      <c r="S530" s="88" t="str">
        <f>+_xlfn.XLOOKUP(Tabla4[[#This Row],[ID CLIENTE]],'RESUMEN CLIENTES'!D:D,'RESUMEN CLIENTES'!AA:AA)</f>
        <v>A1.1</v>
      </c>
      <c r="T530" s="680" t="str">
        <f>+_xlfn.XLOOKUP(Tabla4[[#This Row],[ID CLIENTE]],'RESUMEN CLIENTES'!D:D,'RESUMEN CLIENTES'!C:C)</f>
        <v>Colombia</v>
      </c>
    </row>
    <row r="531" spans="1:20" ht="16">
      <c r="A531" s="82">
        <v>45946</v>
      </c>
      <c r="B531" s="82" t="str">
        <f>+_xlfn.XLOOKUP(Tabla4[[#This Row],[ID CLIENTE]],'RESUMEN CLIENTES'!D:D,'RESUMEN CLIENTES'!A:A)</f>
        <v>Rodrigo Ignacio Rodriguez Frutos</v>
      </c>
      <c r="C531" s="83" t="s">
        <v>2214</v>
      </c>
      <c r="D531" s="83" t="s">
        <v>242</v>
      </c>
      <c r="E531" s="83" t="s">
        <v>1197</v>
      </c>
      <c r="F531" s="83" t="s">
        <v>1198</v>
      </c>
      <c r="G531" s="84">
        <v>2500</v>
      </c>
      <c r="H531" s="85">
        <v>-5</v>
      </c>
      <c r="I531" s="86">
        <f t="shared" si="16"/>
        <v>2E-3</v>
      </c>
      <c r="J531" s="87">
        <f t="shared" si="17"/>
        <v>2495</v>
      </c>
      <c r="K531" s="87"/>
      <c r="L531" s="87" t="s">
        <v>4672</v>
      </c>
      <c r="M531" s="87"/>
      <c r="N531" s="524"/>
      <c r="O531" s="524">
        <f>+Tabla4[[#This Row],[PAGO NO EURO]]+Tabla4[[#This Row],[CARGO NO EURO]]</f>
        <v>0</v>
      </c>
      <c r="P531" s="524"/>
      <c r="Q531" s="88"/>
      <c r="R531" s="689">
        <f>+_xlfn.XLOOKUP(Tabla4[[#This Row],[ID CLIENTE]],'RESUMEN CLIENTES'!D:D,'RESUMEN CLIENTES'!G:G)</f>
        <v>45798</v>
      </c>
      <c r="S531" s="88" t="str">
        <f>+_xlfn.XLOOKUP(Tabla4[[#This Row],[ID CLIENTE]],'RESUMEN CLIENTES'!D:D,'RESUMEN CLIENTES'!AA:AA)</f>
        <v>null</v>
      </c>
      <c r="T531" s="680" t="str">
        <f>+_xlfn.XLOOKUP(Tabla4[[#This Row],[ID CLIENTE]],'RESUMEN CLIENTES'!D:D,'RESUMEN CLIENTES'!C:C)</f>
        <v>México</v>
      </c>
    </row>
    <row r="532" spans="1:20" ht="16">
      <c r="A532" s="82">
        <v>45946</v>
      </c>
      <c r="B532" s="82" t="str">
        <f>+_xlfn.XLOOKUP(Tabla4[[#This Row],[ID CLIENTE]],'RESUMEN CLIENTES'!D:D,'RESUMEN CLIENTES'!A:A)</f>
        <v>Gabriela Kimberlyn Moran Caiza</v>
      </c>
      <c r="C532" s="83" t="s">
        <v>2127</v>
      </c>
      <c r="D532" s="83" t="s">
        <v>98</v>
      </c>
      <c r="E532" s="83" t="s">
        <v>1185</v>
      </c>
      <c r="F532" s="83" t="s">
        <v>1186</v>
      </c>
      <c r="G532" s="84">
        <v>100</v>
      </c>
      <c r="H532" s="85">
        <v>-3.5</v>
      </c>
      <c r="I532" s="86">
        <f t="shared" si="16"/>
        <v>3.5000000000000003E-2</v>
      </c>
      <c r="J532" s="87">
        <f t="shared" si="17"/>
        <v>96.5</v>
      </c>
      <c r="K532" s="87"/>
      <c r="L532" s="87" t="s">
        <v>4672</v>
      </c>
      <c r="M532" s="87"/>
      <c r="N532" s="524"/>
      <c r="O532" s="524">
        <f>+Tabla4[[#This Row],[PAGO NO EURO]]+Tabla4[[#This Row],[CARGO NO EURO]]</f>
        <v>0</v>
      </c>
      <c r="P532" s="524"/>
      <c r="Q532" s="88"/>
      <c r="R532" s="689">
        <f>+_xlfn.XLOOKUP(Tabla4[[#This Row],[ID CLIENTE]],'RESUMEN CLIENTES'!D:D,'RESUMEN CLIENTES'!G:G)</f>
        <v>45721</v>
      </c>
      <c r="S532" s="88" t="str">
        <f>+_xlfn.XLOOKUP(Tabla4[[#This Row],[ID CLIENTE]],'RESUMEN CLIENTES'!D:D,'RESUMEN CLIENTES'!AA:AA)</f>
        <v>B2.1</v>
      </c>
      <c r="T532" s="680" t="str">
        <f>+_xlfn.XLOOKUP(Tabla4[[#This Row],[ID CLIENTE]],'RESUMEN CLIENTES'!D:D,'RESUMEN CLIENTES'!C:C)</f>
        <v>Ecuador</v>
      </c>
    </row>
    <row r="533" spans="1:20" ht="16">
      <c r="A533" s="82">
        <v>45946</v>
      </c>
      <c r="B533" s="82" t="str">
        <f>+_xlfn.XLOOKUP(Tabla4[[#This Row],[ID CLIENTE]],'RESUMEN CLIENTES'!D:D,'RESUMEN CLIENTES'!A:A)</f>
        <v>Gabriel Alejandro Ortega Moreno</v>
      </c>
      <c r="C533" s="83" t="s">
        <v>2129</v>
      </c>
      <c r="D533" s="83" t="s">
        <v>95</v>
      </c>
      <c r="E533" s="83" t="s">
        <v>1183</v>
      </c>
      <c r="F533" s="83" t="s">
        <v>1184</v>
      </c>
      <c r="G533" s="84">
        <v>200</v>
      </c>
      <c r="H533" s="85">
        <v>-6.75</v>
      </c>
      <c r="I533" s="86">
        <f t="shared" ref="I533:I596" si="18">+IFERROR(-(H533)/G533,"")</f>
        <v>3.3750000000000002E-2</v>
      </c>
      <c r="J533" s="87">
        <f t="shared" ref="J533:J596" si="19">+G533+H533</f>
        <v>193.25</v>
      </c>
      <c r="K533" s="87"/>
      <c r="L533" s="87" t="s">
        <v>4672</v>
      </c>
      <c r="M533" s="87"/>
      <c r="N533" s="524"/>
      <c r="O533" s="524">
        <f>+Tabla4[[#This Row],[PAGO NO EURO]]+Tabla4[[#This Row],[CARGO NO EURO]]</f>
        <v>0</v>
      </c>
      <c r="P533" s="524"/>
      <c r="Q533" s="88"/>
      <c r="R533" s="689">
        <f>+_xlfn.XLOOKUP(Tabla4[[#This Row],[ID CLIENTE]],'RESUMEN CLIENTES'!D:D,'RESUMEN CLIENTES'!G:G)</f>
        <v>45721</v>
      </c>
      <c r="S533" s="88" t="str">
        <f>+_xlfn.XLOOKUP(Tabla4[[#This Row],[ID CLIENTE]],'RESUMEN CLIENTES'!D:D,'RESUMEN CLIENTES'!AA:AA)</f>
        <v>B2.1</v>
      </c>
      <c r="T533" s="680" t="str">
        <f>+_xlfn.XLOOKUP(Tabla4[[#This Row],[ID CLIENTE]],'RESUMEN CLIENTES'!D:D,'RESUMEN CLIENTES'!C:C)</f>
        <v>Ecuador</v>
      </c>
    </row>
    <row r="534" spans="1:20" ht="16">
      <c r="A534" s="82">
        <v>45946</v>
      </c>
      <c r="B534" s="82" t="str">
        <f>+_xlfn.XLOOKUP(Tabla4[[#This Row],[ID CLIENTE]],'RESUMEN CLIENTES'!D:D,'RESUMEN CLIENTES'!A:A)</f>
        <v>Jessica Ayelén Culla Alvarez</v>
      </c>
      <c r="C534" s="83" t="s">
        <v>2265</v>
      </c>
      <c r="D534" s="83" t="s">
        <v>362</v>
      </c>
      <c r="E534" s="83" t="s">
        <v>1189</v>
      </c>
      <c r="F534" s="83" t="s">
        <v>1190</v>
      </c>
      <c r="G534" s="84">
        <v>1000</v>
      </c>
      <c r="H534" s="85">
        <v>-5</v>
      </c>
      <c r="I534" s="86">
        <f t="shared" si="18"/>
        <v>5.0000000000000001E-3</v>
      </c>
      <c r="J534" s="87">
        <f t="shared" si="19"/>
        <v>995</v>
      </c>
      <c r="K534" s="87"/>
      <c r="L534" s="87" t="s">
        <v>4672</v>
      </c>
      <c r="M534" s="87"/>
      <c r="N534" s="524"/>
      <c r="O534" s="524">
        <f>+Tabla4[[#This Row],[PAGO NO EURO]]+Tabla4[[#This Row],[CARGO NO EURO]]</f>
        <v>0</v>
      </c>
      <c r="P534" s="524"/>
      <c r="Q534" s="88"/>
      <c r="R534" s="689">
        <f>+_xlfn.XLOOKUP(Tabla4[[#This Row],[ID CLIENTE]],'RESUMEN CLIENTES'!D:D,'RESUMEN CLIENTES'!G:G)</f>
        <v>45830</v>
      </c>
      <c r="S534" s="88" t="str">
        <f>+_xlfn.XLOOKUP(Tabla4[[#This Row],[ID CLIENTE]],'RESUMEN CLIENTES'!D:D,'RESUMEN CLIENTES'!AA:AA)</f>
        <v>B1.1</v>
      </c>
      <c r="T534" s="680" t="str">
        <f>+_xlfn.XLOOKUP(Tabla4[[#This Row],[ID CLIENTE]],'RESUMEN CLIENTES'!D:D,'RESUMEN CLIENTES'!C:C)</f>
        <v>Argentina</v>
      </c>
    </row>
    <row r="535" spans="1:20" ht="16">
      <c r="A535" s="82">
        <v>45946</v>
      </c>
      <c r="B535" s="82" t="str">
        <f>+_xlfn.XLOOKUP(Tabla4[[#This Row],[ID CLIENTE]],'RESUMEN CLIENTES'!D:D,'RESUMEN CLIENTES'!A:A)</f>
        <v>Matías Enrique Aguilera Mancilla</v>
      </c>
      <c r="C535" s="83" t="s">
        <v>2418</v>
      </c>
      <c r="D535" s="83" t="s">
        <v>958</v>
      </c>
      <c r="E535" s="83" t="s">
        <v>1195</v>
      </c>
      <c r="F535" s="83" t="s">
        <v>1196</v>
      </c>
      <c r="G535" s="84">
        <v>1500</v>
      </c>
      <c r="H535" s="85">
        <v>-49</v>
      </c>
      <c r="I535" s="86">
        <f t="shared" si="18"/>
        <v>3.2666666666666663E-2</v>
      </c>
      <c r="J535" s="87">
        <f t="shared" si="19"/>
        <v>1451</v>
      </c>
      <c r="K535" s="87"/>
      <c r="L535" s="87" t="s">
        <v>4672</v>
      </c>
      <c r="M535" s="87"/>
      <c r="N535" s="524"/>
      <c r="O535" s="524">
        <f>+Tabla4[[#This Row],[PAGO NO EURO]]+Tabla4[[#This Row],[CARGO NO EURO]]</f>
        <v>0</v>
      </c>
      <c r="P535" s="524"/>
      <c r="Q535" s="88"/>
      <c r="R535" s="689">
        <f>+_xlfn.XLOOKUP(Tabla4[[#This Row],[ID CLIENTE]],'RESUMEN CLIENTES'!D:D,'RESUMEN CLIENTES'!G:G)</f>
        <v>45914</v>
      </c>
      <c r="S535" s="88" t="str">
        <f>+_xlfn.XLOOKUP(Tabla4[[#This Row],[ID CLIENTE]],'RESUMEN CLIENTES'!D:D,'RESUMEN CLIENTES'!AA:AA)</f>
        <v>null</v>
      </c>
      <c r="T535" s="680" t="str">
        <f>+_xlfn.XLOOKUP(Tabla4[[#This Row],[ID CLIENTE]],'RESUMEN CLIENTES'!D:D,'RESUMEN CLIENTES'!C:C)</f>
        <v>Chile</v>
      </c>
    </row>
    <row r="536" spans="1:20" ht="16">
      <c r="A536" s="82">
        <v>45946</v>
      </c>
      <c r="B536" s="82" t="str">
        <f>+_xlfn.XLOOKUP(Tabla4[[#This Row],[ID CLIENTE]],'RESUMEN CLIENTES'!D:D,'RESUMEN CLIENTES'!A:A)</f>
        <v>María Soledad Tituana Asanza</v>
      </c>
      <c r="C536" s="83" t="s">
        <v>2432</v>
      </c>
      <c r="D536" s="83" t="s">
        <v>1201</v>
      </c>
      <c r="E536" s="83" t="s">
        <v>1202</v>
      </c>
      <c r="F536" s="83" t="s">
        <v>1203</v>
      </c>
      <c r="G536" s="84">
        <v>500</v>
      </c>
      <c r="H536" s="85">
        <v>-16.5</v>
      </c>
      <c r="I536" s="86">
        <f t="shared" si="18"/>
        <v>3.3000000000000002E-2</v>
      </c>
      <c r="J536" s="87">
        <f t="shared" si="19"/>
        <v>483.5</v>
      </c>
      <c r="K536" s="87"/>
      <c r="L536" s="87" t="s">
        <v>4672</v>
      </c>
      <c r="M536" s="87"/>
      <c r="N536" s="524"/>
      <c r="O536" s="524">
        <f>+Tabla4[[#This Row],[PAGO NO EURO]]+Tabla4[[#This Row],[CARGO NO EURO]]</f>
        <v>0</v>
      </c>
      <c r="P536" s="524"/>
      <c r="Q536" s="88"/>
      <c r="R536" s="689">
        <f>+_xlfn.XLOOKUP(Tabla4[[#This Row],[ID CLIENTE]],'RESUMEN CLIENTES'!D:D,'RESUMEN CLIENTES'!G:G)</f>
        <v>45946</v>
      </c>
      <c r="S536" s="88" t="str">
        <f>+_xlfn.XLOOKUP(Tabla4[[#This Row],[ID CLIENTE]],'RESUMEN CLIENTES'!D:D,'RESUMEN CLIENTES'!AA:AA)</f>
        <v>A1.1</v>
      </c>
      <c r="T536" s="680" t="str">
        <f>+_xlfn.XLOOKUP(Tabla4[[#This Row],[ID CLIENTE]],'RESUMEN CLIENTES'!D:D,'RESUMEN CLIENTES'!C:C)</f>
        <v>Ecuador</v>
      </c>
    </row>
    <row r="537" spans="1:20" ht="16">
      <c r="A537" s="82">
        <v>45947</v>
      </c>
      <c r="B537" s="82" t="str">
        <f>+_xlfn.XLOOKUP(Tabla4[[#This Row],[ID CLIENTE]],'RESUMEN CLIENTES'!D:D,'RESUMEN CLIENTES'!A:A)</f>
        <v>Bryan Israel Jiménez Puente</v>
      </c>
      <c r="C537" s="83" t="s">
        <v>2434</v>
      </c>
      <c r="D537" s="83" t="s">
        <v>1206</v>
      </c>
      <c r="E537" s="83" t="s">
        <v>1207</v>
      </c>
      <c r="F537" s="83" t="s">
        <v>1208</v>
      </c>
      <c r="G537" s="84">
        <v>250</v>
      </c>
      <c r="H537" s="85">
        <v>-13.44</v>
      </c>
      <c r="I537" s="86">
        <f t="shared" si="18"/>
        <v>5.3759999999999995E-2</v>
      </c>
      <c r="J537" s="87">
        <f t="shared" si="19"/>
        <v>236.56</v>
      </c>
      <c r="K537" s="87"/>
      <c r="L537" s="87" t="s">
        <v>4672</v>
      </c>
      <c r="M537" s="87"/>
      <c r="N537" s="524"/>
      <c r="O537" s="524">
        <f>+Tabla4[[#This Row],[PAGO NO EURO]]+Tabla4[[#This Row],[CARGO NO EURO]]</f>
        <v>0</v>
      </c>
      <c r="P537" s="524"/>
      <c r="Q537" s="88"/>
      <c r="R537" s="689">
        <f>+_xlfn.XLOOKUP(Tabla4[[#This Row],[ID CLIENTE]],'RESUMEN CLIENTES'!D:D,'RESUMEN CLIENTES'!G:G)</f>
        <v>45947</v>
      </c>
      <c r="S537" s="88" t="str">
        <f>+_xlfn.XLOOKUP(Tabla4[[#This Row],[ID CLIENTE]],'RESUMEN CLIENTES'!D:D,'RESUMEN CLIENTES'!AA:AA)</f>
        <v>A1.1</v>
      </c>
      <c r="T537" s="680" t="str">
        <f>+_xlfn.XLOOKUP(Tabla4[[#This Row],[ID CLIENTE]],'RESUMEN CLIENTES'!D:D,'RESUMEN CLIENTES'!C:C)</f>
        <v>Ecuador</v>
      </c>
    </row>
    <row r="538" spans="1:20" ht="16">
      <c r="A538" s="82">
        <v>45947</v>
      </c>
      <c r="B538" s="82" t="str">
        <f>+_xlfn.XLOOKUP(Tabla4[[#This Row],[ID CLIENTE]],'RESUMEN CLIENTES'!D:D,'RESUMEN CLIENTES'!A:A)</f>
        <v>Nancy Gisselle Molinari Cheme</v>
      </c>
      <c r="C538" s="83" t="s">
        <v>2212</v>
      </c>
      <c r="D538" s="83" t="s">
        <v>247</v>
      </c>
      <c r="E538" s="83" t="s">
        <v>1209</v>
      </c>
      <c r="F538" s="83" t="s">
        <v>1210</v>
      </c>
      <c r="G538" s="84">
        <v>1000</v>
      </c>
      <c r="H538" s="85">
        <v>-32.75</v>
      </c>
      <c r="I538" s="86">
        <f t="shared" si="18"/>
        <v>3.2750000000000001E-2</v>
      </c>
      <c r="J538" s="87">
        <f t="shared" si="19"/>
        <v>967.25</v>
      </c>
      <c r="K538" s="87"/>
      <c r="L538" s="87" t="s">
        <v>4672</v>
      </c>
      <c r="M538" s="87"/>
      <c r="N538" s="524"/>
      <c r="O538" s="524">
        <f>+Tabla4[[#This Row],[PAGO NO EURO]]+Tabla4[[#This Row],[CARGO NO EURO]]</f>
        <v>0</v>
      </c>
      <c r="P538" s="524"/>
      <c r="Q538" s="88"/>
      <c r="R538" s="689">
        <f>+_xlfn.XLOOKUP(Tabla4[[#This Row],[ID CLIENTE]],'RESUMEN CLIENTES'!D:D,'RESUMEN CLIENTES'!G:G)</f>
        <v>45794</v>
      </c>
      <c r="S538" s="88" t="str">
        <f>+_xlfn.XLOOKUP(Tabla4[[#This Row],[ID CLIENTE]],'RESUMEN CLIENTES'!D:D,'RESUMEN CLIENTES'!AA:AA)</f>
        <v>B1.1</v>
      </c>
      <c r="T538" s="680" t="str">
        <f>+_xlfn.XLOOKUP(Tabla4[[#This Row],[ID CLIENTE]],'RESUMEN CLIENTES'!D:D,'RESUMEN CLIENTES'!C:C)</f>
        <v>Perú</v>
      </c>
    </row>
    <row r="539" spans="1:20" ht="16">
      <c r="A539" s="82">
        <v>45947</v>
      </c>
      <c r="B539" s="82" t="str">
        <f>+_xlfn.XLOOKUP(Tabla4[[#This Row],[ID CLIENTE]],'RESUMEN CLIENTES'!D:D,'RESUMEN CLIENTES'!A:A)</f>
        <v>María Soledad Tituana Asanza</v>
      </c>
      <c r="C539" s="83" t="s">
        <v>2432</v>
      </c>
      <c r="D539" s="83" t="s">
        <v>1201</v>
      </c>
      <c r="E539" s="83" t="s">
        <v>1204</v>
      </c>
      <c r="F539" s="83" t="s">
        <v>1205</v>
      </c>
      <c r="G539" s="84">
        <v>1000</v>
      </c>
      <c r="H539" s="85">
        <v>-32.75</v>
      </c>
      <c r="I539" s="86">
        <f t="shared" si="18"/>
        <v>3.2750000000000001E-2</v>
      </c>
      <c r="J539" s="87">
        <f t="shared" si="19"/>
        <v>967.25</v>
      </c>
      <c r="K539" s="87"/>
      <c r="L539" s="87" t="s">
        <v>4672</v>
      </c>
      <c r="M539" s="87"/>
      <c r="N539" s="524"/>
      <c r="O539" s="524">
        <f>+Tabla4[[#This Row],[PAGO NO EURO]]+Tabla4[[#This Row],[CARGO NO EURO]]</f>
        <v>0</v>
      </c>
      <c r="P539" s="524"/>
      <c r="Q539" s="88"/>
      <c r="R539" s="689">
        <f>+_xlfn.XLOOKUP(Tabla4[[#This Row],[ID CLIENTE]],'RESUMEN CLIENTES'!D:D,'RESUMEN CLIENTES'!G:G)</f>
        <v>45946</v>
      </c>
      <c r="S539" s="88" t="str">
        <f>+_xlfn.XLOOKUP(Tabla4[[#This Row],[ID CLIENTE]],'RESUMEN CLIENTES'!D:D,'RESUMEN CLIENTES'!AA:AA)</f>
        <v>A1.1</v>
      </c>
      <c r="T539" s="680" t="str">
        <f>+_xlfn.XLOOKUP(Tabla4[[#This Row],[ID CLIENTE]],'RESUMEN CLIENTES'!D:D,'RESUMEN CLIENTES'!C:C)</f>
        <v>Ecuador</v>
      </c>
    </row>
    <row r="540" spans="1:20" ht="16">
      <c r="A540" s="82">
        <v>45948</v>
      </c>
      <c r="B540" s="82" t="str">
        <f>+_xlfn.XLOOKUP(Tabla4[[#This Row],[ID CLIENTE]],'RESUMEN CLIENTES'!D:D,'RESUMEN CLIENTES'!A:A)</f>
        <v>Gustavo Alexander Gonzalez Muñoz</v>
      </c>
      <c r="C540" s="83" t="s">
        <v>2420</v>
      </c>
      <c r="D540" s="83" t="s">
        <v>970</v>
      </c>
      <c r="E540" s="83" t="s">
        <v>1090</v>
      </c>
      <c r="F540" s="83" t="s">
        <v>1091</v>
      </c>
      <c r="G540" s="84">
        <v>2000</v>
      </c>
      <c r="H540" s="85">
        <v>-65.25</v>
      </c>
      <c r="I540" s="86">
        <f t="shared" si="18"/>
        <v>3.2625000000000001E-2</v>
      </c>
      <c r="J540" s="87">
        <f t="shared" si="19"/>
        <v>1934.75</v>
      </c>
      <c r="K540" s="87"/>
      <c r="L540" s="87" t="s">
        <v>4672</v>
      </c>
      <c r="M540" s="87"/>
      <c r="N540" s="524"/>
      <c r="O540" s="524">
        <f>+Tabla4[[#This Row],[PAGO NO EURO]]+Tabla4[[#This Row],[CARGO NO EURO]]</f>
        <v>0</v>
      </c>
      <c r="P540" s="524"/>
      <c r="Q540" s="88"/>
      <c r="R540" s="689">
        <f>+_xlfn.XLOOKUP(Tabla4[[#This Row],[ID CLIENTE]],'RESUMEN CLIENTES'!D:D,'RESUMEN CLIENTES'!G:G)</f>
        <v>45915</v>
      </c>
      <c r="S540" s="88" t="str">
        <f>+_xlfn.XLOOKUP(Tabla4[[#This Row],[ID CLIENTE]],'RESUMEN CLIENTES'!D:D,'RESUMEN CLIENTES'!AA:AA)</f>
        <v>null</v>
      </c>
      <c r="T540" s="680" t="str">
        <f>+_xlfn.XLOOKUP(Tabla4[[#This Row],[ID CLIENTE]],'RESUMEN CLIENTES'!D:D,'RESUMEN CLIENTES'!C:C)</f>
        <v>Colombia</v>
      </c>
    </row>
    <row r="541" spans="1:20" ht="16">
      <c r="A541" s="82">
        <v>45949</v>
      </c>
      <c r="B541" s="82" t="str">
        <f>+_xlfn.XLOOKUP(Tabla4[[#This Row],[ID CLIENTE]],'RESUMEN CLIENTES'!D:D,'RESUMEN CLIENTES'!A:A)</f>
        <v>Gustavo Alexander Gonzalez Muñoz</v>
      </c>
      <c r="C541" s="83" t="s">
        <v>2420</v>
      </c>
      <c r="D541" s="83" t="s">
        <v>970</v>
      </c>
      <c r="E541" s="83" t="s">
        <v>1088</v>
      </c>
      <c r="F541" s="83" t="s">
        <v>1089</v>
      </c>
      <c r="G541" s="84">
        <v>1000</v>
      </c>
      <c r="H541" s="85">
        <v>-32.75</v>
      </c>
      <c r="I541" s="86">
        <f t="shared" si="18"/>
        <v>3.2750000000000001E-2</v>
      </c>
      <c r="J541" s="87">
        <f t="shared" si="19"/>
        <v>967.25</v>
      </c>
      <c r="K541" s="87"/>
      <c r="L541" s="87" t="s">
        <v>4672</v>
      </c>
      <c r="M541" s="87"/>
      <c r="N541" s="524"/>
      <c r="O541" s="524">
        <f>+Tabla4[[#This Row],[PAGO NO EURO]]+Tabla4[[#This Row],[CARGO NO EURO]]</f>
        <v>0</v>
      </c>
      <c r="P541" s="524"/>
      <c r="Q541" s="88"/>
      <c r="R541" s="689">
        <f>+_xlfn.XLOOKUP(Tabla4[[#This Row],[ID CLIENTE]],'RESUMEN CLIENTES'!D:D,'RESUMEN CLIENTES'!G:G)</f>
        <v>45915</v>
      </c>
      <c r="S541" s="88" t="str">
        <f>+_xlfn.XLOOKUP(Tabla4[[#This Row],[ID CLIENTE]],'RESUMEN CLIENTES'!D:D,'RESUMEN CLIENTES'!AA:AA)</f>
        <v>null</v>
      </c>
      <c r="T541" s="680" t="str">
        <f>+_xlfn.XLOOKUP(Tabla4[[#This Row],[ID CLIENTE]],'RESUMEN CLIENTES'!D:D,'RESUMEN CLIENTES'!C:C)</f>
        <v>Colombia</v>
      </c>
    </row>
    <row r="542" spans="1:20" ht="16">
      <c r="A542" s="82">
        <v>45949</v>
      </c>
      <c r="B542" s="82" t="str">
        <f>+_xlfn.XLOOKUP(Tabla4[[#This Row],[ID CLIENTE]],'RESUMEN CLIENTES'!D:D,'RESUMEN CLIENTES'!A:A)</f>
        <v>Gustavo Alexander Gonzalez Muñoz</v>
      </c>
      <c r="C542" s="83" t="s">
        <v>2420</v>
      </c>
      <c r="D542" s="83" t="s">
        <v>970</v>
      </c>
      <c r="E542" s="83" t="s">
        <v>1086</v>
      </c>
      <c r="F542" s="83" t="s">
        <v>1087</v>
      </c>
      <c r="G542" s="84">
        <v>1000</v>
      </c>
      <c r="H542" s="85">
        <v>-32.75</v>
      </c>
      <c r="I542" s="86">
        <f t="shared" si="18"/>
        <v>3.2750000000000001E-2</v>
      </c>
      <c r="J542" s="87">
        <f t="shared" si="19"/>
        <v>967.25</v>
      </c>
      <c r="K542" s="87"/>
      <c r="L542" s="87" t="s">
        <v>4672</v>
      </c>
      <c r="M542" s="87"/>
      <c r="N542" s="524"/>
      <c r="O542" s="524">
        <f>+Tabla4[[#This Row],[PAGO NO EURO]]+Tabla4[[#This Row],[CARGO NO EURO]]</f>
        <v>0</v>
      </c>
      <c r="P542" s="524"/>
      <c r="Q542" s="88"/>
      <c r="R542" s="689">
        <f>+_xlfn.XLOOKUP(Tabla4[[#This Row],[ID CLIENTE]],'RESUMEN CLIENTES'!D:D,'RESUMEN CLIENTES'!G:G)</f>
        <v>45915</v>
      </c>
      <c r="S542" s="88" t="str">
        <f>+_xlfn.XLOOKUP(Tabla4[[#This Row],[ID CLIENTE]],'RESUMEN CLIENTES'!D:D,'RESUMEN CLIENTES'!AA:AA)</f>
        <v>null</v>
      </c>
      <c r="T542" s="680" t="str">
        <f>+_xlfn.XLOOKUP(Tabla4[[#This Row],[ID CLIENTE]],'RESUMEN CLIENTES'!D:D,'RESUMEN CLIENTES'!C:C)</f>
        <v>Colombia</v>
      </c>
    </row>
    <row r="543" spans="1:20" ht="16">
      <c r="A543" s="82">
        <v>45950</v>
      </c>
      <c r="B543" s="82" t="str">
        <f>+_xlfn.XLOOKUP(Tabla4[[#This Row],[ID CLIENTE]],'RESUMEN CLIENTES'!D:D,'RESUMEN CLIENTES'!A:A)</f>
        <v>Gustavo Alexander Gonzalez Muñoz</v>
      </c>
      <c r="C543" s="83" t="s">
        <v>2420</v>
      </c>
      <c r="D543" s="83" t="s">
        <v>970</v>
      </c>
      <c r="E543" s="83" t="s">
        <v>1084</v>
      </c>
      <c r="F543" s="83" t="s">
        <v>1085</v>
      </c>
      <c r="G543" s="84">
        <v>1000</v>
      </c>
      <c r="H543" s="85">
        <v>-32.75</v>
      </c>
      <c r="I543" s="86">
        <f t="shared" si="18"/>
        <v>3.2750000000000001E-2</v>
      </c>
      <c r="J543" s="87">
        <f t="shared" si="19"/>
        <v>967.25</v>
      </c>
      <c r="K543" s="87"/>
      <c r="L543" s="87" t="s">
        <v>4672</v>
      </c>
      <c r="M543" s="87"/>
      <c r="N543" s="524"/>
      <c r="O543" s="524">
        <f>+Tabla4[[#This Row],[PAGO NO EURO]]+Tabla4[[#This Row],[CARGO NO EURO]]</f>
        <v>0</v>
      </c>
      <c r="P543" s="524"/>
      <c r="Q543" s="88"/>
      <c r="R543" s="689">
        <f>+_xlfn.XLOOKUP(Tabla4[[#This Row],[ID CLIENTE]],'RESUMEN CLIENTES'!D:D,'RESUMEN CLIENTES'!G:G)</f>
        <v>45915</v>
      </c>
      <c r="S543" s="88" t="str">
        <f>+_xlfn.XLOOKUP(Tabla4[[#This Row],[ID CLIENTE]],'RESUMEN CLIENTES'!D:D,'RESUMEN CLIENTES'!AA:AA)</f>
        <v>null</v>
      </c>
      <c r="T543" s="680" t="str">
        <f>+_xlfn.XLOOKUP(Tabla4[[#This Row],[ID CLIENTE]],'RESUMEN CLIENTES'!D:D,'RESUMEN CLIENTES'!C:C)</f>
        <v>Colombia</v>
      </c>
    </row>
    <row r="544" spans="1:20" ht="16">
      <c r="A544" s="82">
        <v>45951</v>
      </c>
      <c r="B544" s="82" t="str">
        <f>+_xlfn.XLOOKUP(Tabla4[[#This Row],[ID CLIENTE]],'RESUMEN CLIENTES'!D:D,'RESUMEN CLIENTES'!A:A)</f>
        <v>Maria Adelaida Orozco Vasquez</v>
      </c>
      <c r="C544" s="83" t="s">
        <v>2436</v>
      </c>
      <c r="D544" s="83" t="s">
        <v>2437</v>
      </c>
      <c r="E544" s="83" t="s">
        <v>2632</v>
      </c>
      <c r="F544" s="83" t="s">
        <v>2633</v>
      </c>
      <c r="G544" s="84">
        <v>1000</v>
      </c>
      <c r="H544" s="85">
        <v>-32.75</v>
      </c>
      <c r="I544" s="86">
        <f t="shared" si="18"/>
        <v>3.2750000000000001E-2</v>
      </c>
      <c r="J544" s="87">
        <f t="shared" si="19"/>
        <v>967.25</v>
      </c>
      <c r="K544" s="87"/>
      <c r="L544" s="87" t="s">
        <v>4672</v>
      </c>
      <c r="M544" s="87"/>
      <c r="N544" s="524"/>
      <c r="O544" s="524">
        <f>+Tabla4[[#This Row],[PAGO NO EURO]]+Tabla4[[#This Row],[CARGO NO EURO]]</f>
        <v>0</v>
      </c>
      <c r="P544" s="524"/>
      <c r="Q544" s="88"/>
      <c r="R544" s="689">
        <f>+_xlfn.XLOOKUP(Tabla4[[#This Row],[ID CLIENTE]],'RESUMEN CLIENTES'!D:D,'RESUMEN CLIENTES'!G:G)</f>
        <v>45951</v>
      </c>
      <c r="S544" s="88" t="str">
        <f>+_xlfn.XLOOKUP(Tabla4[[#This Row],[ID CLIENTE]],'RESUMEN CLIENTES'!D:D,'RESUMEN CLIENTES'!AA:AA)</f>
        <v>A1.1</v>
      </c>
      <c r="T544" s="680" t="str">
        <f>+_xlfn.XLOOKUP(Tabla4[[#This Row],[ID CLIENTE]],'RESUMEN CLIENTES'!D:D,'RESUMEN CLIENTES'!C:C)</f>
        <v>Colombia</v>
      </c>
    </row>
    <row r="545" spans="1:20" ht="16">
      <c r="A545" s="82">
        <v>45951</v>
      </c>
      <c r="B545" s="82" t="str">
        <f>+_xlfn.XLOOKUP(Tabla4[[#This Row],[ID CLIENTE]],'RESUMEN CLIENTES'!D:D,'RESUMEN CLIENTES'!A:A)</f>
        <v>Maria Adelaida Orozco Vasquez</v>
      </c>
      <c r="C545" s="83" t="s">
        <v>2436</v>
      </c>
      <c r="D545" s="83" t="s">
        <v>2437</v>
      </c>
      <c r="E545" s="83" t="s">
        <v>2634</v>
      </c>
      <c r="F545" s="83" t="s">
        <v>2635</v>
      </c>
      <c r="G545" s="84">
        <v>500</v>
      </c>
      <c r="H545" s="85">
        <v>-16.5</v>
      </c>
      <c r="I545" s="86">
        <f t="shared" si="18"/>
        <v>3.3000000000000002E-2</v>
      </c>
      <c r="J545" s="87">
        <f t="shared" si="19"/>
        <v>483.5</v>
      </c>
      <c r="K545" s="87"/>
      <c r="L545" s="87" t="s">
        <v>4672</v>
      </c>
      <c r="M545" s="87"/>
      <c r="N545" s="524"/>
      <c r="O545" s="524">
        <f>+Tabla4[[#This Row],[PAGO NO EURO]]+Tabla4[[#This Row],[CARGO NO EURO]]</f>
        <v>0</v>
      </c>
      <c r="P545" s="524"/>
      <c r="Q545" s="88"/>
      <c r="R545" s="689">
        <f>+_xlfn.XLOOKUP(Tabla4[[#This Row],[ID CLIENTE]],'RESUMEN CLIENTES'!D:D,'RESUMEN CLIENTES'!G:G)</f>
        <v>45951</v>
      </c>
      <c r="S545" s="88" t="str">
        <f>+_xlfn.XLOOKUP(Tabla4[[#This Row],[ID CLIENTE]],'RESUMEN CLIENTES'!D:D,'RESUMEN CLIENTES'!AA:AA)</f>
        <v>A1.1</v>
      </c>
      <c r="T545" s="680" t="str">
        <f>+_xlfn.XLOOKUP(Tabla4[[#This Row],[ID CLIENTE]],'RESUMEN CLIENTES'!D:D,'RESUMEN CLIENTES'!C:C)</f>
        <v>Colombia</v>
      </c>
    </row>
    <row r="546" spans="1:20" ht="16">
      <c r="A546" s="82">
        <v>45952</v>
      </c>
      <c r="B546" s="82" t="str">
        <f>+_xlfn.XLOOKUP(Tabla4[[#This Row],[ID CLIENTE]],'RESUMEN CLIENTES'!D:D,'RESUMEN CLIENTES'!A:A)</f>
        <v>Astrid Mariam Enamorado Ortega</v>
      </c>
      <c r="C546" s="83" t="s">
        <v>2339</v>
      </c>
      <c r="D546" s="83" t="s">
        <v>574</v>
      </c>
      <c r="E546" s="83" t="s">
        <v>1213</v>
      </c>
      <c r="F546" s="83" t="s">
        <v>1214</v>
      </c>
      <c r="G546" s="84">
        <v>1200</v>
      </c>
      <c r="H546" s="85">
        <v>-39.25</v>
      </c>
      <c r="I546" s="86">
        <f t="shared" si="18"/>
        <v>3.2708333333333332E-2</v>
      </c>
      <c r="J546" s="87">
        <f t="shared" si="19"/>
        <v>1160.75</v>
      </c>
      <c r="K546" s="87"/>
      <c r="L546" s="87" t="s">
        <v>4672</v>
      </c>
      <c r="M546" s="87"/>
      <c r="N546" s="524"/>
      <c r="O546" s="524">
        <f>+Tabla4[[#This Row],[PAGO NO EURO]]+Tabla4[[#This Row],[CARGO NO EURO]]</f>
        <v>0</v>
      </c>
      <c r="P546" s="524"/>
      <c r="Q546" s="88"/>
      <c r="R546" s="689">
        <f>+_xlfn.XLOOKUP(Tabla4[[#This Row],[ID CLIENTE]],'RESUMEN CLIENTES'!D:D,'RESUMEN CLIENTES'!G:G)</f>
        <v>45869</v>
      </c>
      <c r="S546" s="88" t="str">
        <f>+_xlfn.XLOOKUP(Tabla4[[#This Row],[ID CLIENTE]],'RESUMEN CLIENTES'!D:D,'RESUMEN CLIENTES'!AA:AA)</f>
        <v>B2.1</v>
      </c>
      <c r="T546" s="680" t="str">
        <f>+_xlfn.XLOOKUP(Tabla4[[#This Row],[ID CLIENTE]],'RESUMEN CLIENTES'!D:D,'RESUMEN CLIENTES'!C:C)</f>
        <v>Honduras</v>
      </c>
    </row>
    <row r="547" spans="1:20" ht="16">
      <c r="A547" s="82">
        <v>45952</v>
      </c>
      <c r="B547" s="82" t="str">
        <f>+_xlfn.XLOOKUP(Tabla4[[#This Row],[ID CLIENTE]],'RESUMEN CLIENTES'!D:D,'RESUMEN CLIENTES'!A:A)</f>
        <v>Bastian Sofjer Peralta</v>
      </c>
      <c r="C547" s="83" t="s">
        <v>2172</v>
      </c>
      <c r="D547" s="83" t="s">
        <v>162</v>
      </c>
      <c r="E547" s="83" t="s">
        <v>1225</v>
      </c>
      <c r="F547" s="83" t="s">
        <v>1226</v>
      </c>
      <c r="G547" s="84">
        <v>900</v>
      </c>
      <c r="H547" s="85">
        <v>-29.5</v>
      </c>
      <c r="I547" s="86">
        <f t="shared" si="18"/>
        <v>3.2777777777777781E-2</v>
      </c>
      <c r="J547" s="87">
        <f t="shared" si="19"/>
        <v>870.5</v>
      </c>
      <c r="K547" s="87"/>
      <c r="L547" s="87" t="s">
        <v>4672</v>
      </c>
      <c r="M547" s="87"/>
      <c r="N547" s="524"/>
      <c r="O547" s="524">
        <f>+Tabla4[[#This Row],[PAGO NO EURO]]+Tabla4[[#This Row],[CARGO NO EURO]]</f>
        <v>0</v>
      </c>
      <c r="P547" s="524"/>
      <c r="Q547" s="88"/>
      <c r="R547" s="689">
        <f>+_xlfn.XLOOKUP(Tabla4[[#This Row],[ID CLIENTE]],'RESUMEN CLIENTES'!D:D,'RESUMEN CLIENTES'!G:G)</f>
        <v>45758</v>
      </c>
      <c r="S547" s="88" t="str">
        <f>+_xlfn.XLOOKUP(Tabla4[[#This Row],[ID CLIENTE]],'RESUMEN CLIENTES'!D:D,'RESUMEN CLIENTES'!AA:AA)</f>
        <v>A1.1</v>
      </c>
      <c r="T547" s="680" t="str">
        <f>+_xlfn.XLOOKUP(Tabla4[[#This Row],[ID CLIENTE]],'RESUMEN CLIENTES'!D:D,'RESUMEN CLIENTES'!C:C)</f>
        <v>Chile</v>
      </c>
    </row>
    <row r="548" spans="1:20" ht="16">
      <c r="A548" s="82">
        <v>45952</v>
      </c>
      <c r="B548" s="82" t="str">
        <f>+_xlfn.XLOOKUP(Tabla4[[#This Row],[ID CLIENTE]],'RESUMEN CLIENTES'!D:D,'RESUMEN CLIENTES'!A:A)</f>
        <v>Raúl Ernesto Martínez Orantes</v>
      </c>
      <c r="C548" s="83" t="s">
        <v>2422</v>
      </c>
      <c r="D548" s="83" t="s">
        <v>994</v>
      </c>
      <c r="E548" s="83" t="s">
        <v>1219</v>
      </c>
      <c r="F548" s="83" t="s">
        <v>1220</v>
      </c>
      <c r="G548" s="84">
        <v>850</v>
      </c>
      <c r="H548" s="85">
        <v>-27.88</v>
      </c>
      <c r="I548" s="86">
        <f t="shared" si="18"/>
        <v>3.2799999999999996E-2</v>
      </c>
      <c r="J548" s="87">
        <f t="shared" si="19"/>
        <v>822.12</v>
      </c>
      <c r="K548" s="87"/>
      <c r="L548" s="87" t="s">
        <v>4672</v>
      </c>
      <c r="M548" s="87"/>
      <c r="N548" s="524"/>
      <c r="O548" s="524">
        <f>+Tabla4[[#This Row],[PAGO NO EURO]]+Tabla4[[#This Row],[CARGO NO EURO]]</f>
        <v>0</v>
      </c>
      <c r="P548" s="524"/>
      <c r="Q548" s="88"/>
      <c r="R548" s="689">
        <f>+_xlfn.XLOOKUP(Tabla4[[#This Row],[ID CLIENTE]],'RESUMEN CLIENTES'!D:D,'RESUMEN CLIENTES'!G:G)</f>
        <v>45916</v>
      </c>
      <c r="S548" s="88" t="str">
        <f>+_xlfn.XLOOKUP(Tabla4[[#This Row],[ID CLIENTE]],'RESUMEN CLIENTES'!D:D,'RESUMEN CLIENTES'!AA:AA)</f>
        <v>A1.1</v>
      </c>
      <c r="T548" s="680" t="str">
        <f>+_xlfn.XLOOKUP(Tabla4[[#This Row],[ID CLIENTE]],'RESUMEN CLIENTES'!D:D,'RESUMEN CLIENTES'!C:C)</f>
        <v>El Salvador</v>
      </c>
    </row>
    <row r="549" spans="1:20" ht="16">
      <c r="A549" s="82">
        <v>45953</v>
      </c>
      <c r="B549" s="82" t="str">
        <f>+_xlfn.XLOOKUP(Tabla4[[#This Row],[ID CLIENTE]],'RESUMEN CLIENTES'!D:D,'RESUMEN CLIENTES'!A:A)</f>
        <v>Fernanda Castro</v>
      </c>
      <c r="C549" s="83" t="s">
        <v>2218</v>
      </c>
      <c r="D549" s="83" t="s">
        <v>250</v>
      </c>
      <c r="E549" s="83" t="s">
        <v>1217</v>
      </c>
      <c r="F549" s="83" t="s">
        <v>1218</v>
      </c>
      <c r="G549" s="84">
        <v>1000</v>
      </c>
      <c r="H549" s="85">
        <v>-32.75</v>
      </c>
      <c r="I549" s="86">
        <f t="shared" si="18"/>
        <v>3.2750000000000001E-2</v>
      </c>
      <c r="J549" s="87">
        <f t="shared" si="19"/>
        <v>967.25</v>
      </c>
      <c r="K549" s="87"/>
      <c r="L549" s="87" t="s">
        <v>4672</v>
      </c>
      <c r="M549" s="87"/>
      <c r="N549" s="524"/>
      <c r="O549" s="524">
        <f>+Tabla4[[#This Row],[PAGO NO EURO]]+Tabla4[[#This Row],[CARGO NO EURO]]</f>
        <v>0</v>
      </c>
      <c r="P549" s="524"/>
      <c r="Q549" s="88"/>
      <c r="R549" s="689">
        <f>+_xlfn.XLOOKUP(Tabla4[[#This Row],[ID CLIENTE]],'RESUMEN CLIENTES'!D:D,'RESUMEN CLIENTES'!G:G)</f>
        <v>45803</v>
      </c>
      <c r="S549" s="88" t="str">
        <f>+_xlfn.XLOOKUP(Tabla4[[#This Row],[ID CLIENTE]],'RESUMEN CLIENTES'!D:D,'RESUMEN CLIENTES'!AA:AA)</f>
        <v>A2.1</v>
      </c>
      <c r="T549" s="680" t="str">
        <f>+_xlfn.XLOOKUP(Tabla4[[#This Row],[ID CLIENTE]],'RESUMEN CLIENTES'!D:D,'RESUMEN CLIENTES'!C:C)</f>
        <v>Ecuador</v>
      </c>
    </row>
    <row r="550" spans="1:20" ht="16">
      <c r="A550" s="82">
        <v>45954</v>
      </c>
      <c r="B550" s="82" t="str">
        <f>+_xlfn.XLOOKUP(Tabla4[[#This Row],[ID CLIENTE]],'RESUMEN CLIENTES'!D:D,'RESUMEN CLIENTES'!A:A)</f>
        <v>Bryan Israel Jiménez Puente</v>
      </c>
      <c r="C550" s="83" t="s">
        <v>2434</v>
      </c>
      <c r="D550" s="83" t="s">
        <v>1206</v>
      </c>
      <c r="E550" s="83" t="s">
        <v>1221</v>
      </c>
      <c r="F550" s="83" t="s">
        <v>1222</v>
      </c>
      <c r="G550" s="84">
        <v>2750</v>
      </c>
      <c r="H550" s="85">
        <v>-142.94</v>
      </c>
      <c r="I550" s="86">
        <f t="shared" si="18"/>
        <v>5.1978181818181819E-2</v>
      </c>
      <c r="J550" s="87">
        <f t="shared" si="19"/>
        <v>2607.06</v>
      </c>
      <c r="K550" s="87"/>
      <c r="L550" s="87" t="s">
        <v>4672</v>
      </c>
      <c r="M550" s="87"/>
      <c r="N550" s="524"/>
      <c r="O550" s="524">
        <f>+Tabla4[[#This Row],[PAGO NO EURO]]+Tabla4[[#This Row],[CARGO NO EURO]]</f>
        <v>0</v>
      </c>
      <c r="P550" s="524"/>
      <c r="Q550" s="88"/>
      <c r="R550" s="689">
        <f>+_xlfn.XLOOKUP(Tabla4[[#This Row],[ID CLIENTE]],'RESUMEN CLIENTES'!D:D,'RESUMEN CLIENTES'!G:G)</f>
        <v>45947</v>
      </c>
      <c r="S550" s="88" t="str">
        <f>+_xlfn.XLOOKUP(Tabla4[[#This Row],[ID CLIENTE]],'RESUMEN CLIENTES'!D:D,'RESUMEN CLIENTES'!AA:AA)</f>
        <v>A1.1</v>
      </c>
      <c r="T550" s="680" t="str">
        <f>+_xlfn.XLOOKUP(Tabla4[[#This Row],[ID CLIENTE]],'RESUMEN CLIENTES'!D:D,'RESUMEN CLIENTES'!C:C)</f>
        <v>Ecuador</v>
      </c>
    </row>
    <row r="551" spans="1:20" ht="16">
      <c r="A551" s="82">
        <v>45954</v>
      </c>
      <c r="B551" s="82" t="str">
        <f>+_xlfn.XLOOKUP(Tabla4[[#This Row],[ID CLIENTE]],'RESUMEN CLIENTES'!D:D,'RESUMEN CLIENTES'!A:A)</f>
        <v>Julio Nelson Adaros Moraga</v>
      </c>
      <c r="C551" s="83" t="s">
        <v>2271</v>
      </c>
      <c r="D551" s="83" t="s">
        <v>372</v>
      </c>
      <c r="E551" s="83" t="s">
        <v>1256</v>
      </c>
      <c r="F551" s="83" t="s">
        <v>1257</v>
      </c>
      <c r="G551" s="84">
        <v>1000</v>
      </c>
      <c r="H551" s="85">
        <v>-32.75</v>
      </c>
      <c r="I551" s="86">
        <f t="shared" si="18"/>
        <v>3.2750000000000001E-2</v>
      </c>
      <c r="J551" s="87">
        <f t="shared" si="19"/>
        <v>967.25</v>
      </c>
      <c r="K551" s="87"/>
      <c r="L551" s="87" t="s">
        <v>4672</v>
      </c>
      <c r="M551" s="87"/>
      <c r="N551" s="524"/>
      <c r="O551" s="524">
        <f>+Tabla4[[#This Row],[PAGO NO EURO]]+Tabla4[[#This Row],[CARGO NO EURO]]</f>
        <v>0</v>
      </c>
      <c r="P551" s="524"/>
      <c r="Q551" s="88"/>
      <c r="R551" s="689">
        <f>+_xlfn.XLOOKUP(Tabla4[[#This Row],[ID CLIENTE]],'RESUMEN CLIENTES'!D:D,'RESUMEN CLIENTES'!G:G)</f>
        <v>45836</v>
      </c>
      <c r="S551" s="88" t="str">
        <f>+_xlfn.XLOOKUP(Tabla4[[#This Row],[ID CLIENTE]],'RESUMEN CLIENTES'!D:D,'RESUMEN CLIENTES'!AA:AA)</f>
        <v>A1.1</v>
      </c>
      <c r="T551" s="680" t="str">
        <f>+_xlfn.XLOOKUP(Tabla4[[#This Row],[ID CLIENTE]],'RESUMEN CLIENTES'!D:D,'RESUMEN CLIENTES'!C:C)</f>
        <v>Chile</v>
      </c>
    </row>
    <row r="552" spans="1:20" ht="16">
      <c r="A552" s="82">
        <v>45954</v>
      </c>
      <c r="B552" s="82" t="str">
        <f>+_xlfn.XLOOKUP(Tabla4[[#This Row],[ID CLIENTE]],'RESUMEN CLIENTES'!D:D,'RESUMEN CLIENTES'!A:A)</f>
        <v>Mauricio Ignacio Alcayaga Romo</v>
      </c>
      <c r="C552" s="83" t="s">
        <v>2251</v>
      </c>
      <c r="D552" s="83" t="s">
        <v>322</v>
      </c>
      <c r="E552" s="83" t="s">
        <v>1231</v>
      </c>
      <c r="F552" s="83" t="s">
        <v>1232</v>
      </c>
      <c r="G552" s="84">
        <v>490</v>
      </c>
      <c r="H552" s="85">
        <v>-16.18</v>
      </c>
      <c r="I552" s="86">
        <f t="shared" si="18"/>
        <v>3.3020408163265305E-2</v>
      </c>
      <c r="J552" s="87">
        <f t="shared" si="19"/>
        <v>473.82</v>
      </c>
      <c r="K552" s="87"/>
      <c r="L552" s="87" t="s">
        <v>4672</v>
      </c>
      <c r="M552" s="87"/>
      <c r="N552" s="524"/>
      <c r="O552" s="524">
        <f>+Tabla4[[#This Row],[PAGO NO EURO]]+Tabla4[[#This Row],[CARGO NO EURO]]</f>
        <v>0</v>
      </c>
      <c r="P552" s="524"/>
      <c r="Q552" s="88"/>
      <c r="R552" s="689">
        <f>+_xlfn.XLOOKUP(Tabla4[[#This Row],[ID CLIENTE]],'RESUMEN CLIENTES'!D:D,'RESUMEN CLIENTES'!G:G)</f>
        <v>45819</v>
      </c>
      <c r="S552" s="88" t="str">
        <f>+_xlfn.XLOOKUP(Tabla4[[#This Row],[ID CLIENTE]],'RESUMEN CLIENTES'!D:D,'RESUMEN CLIENTES'!AA:AA)</f>
        <v>B2.1</v>
      </c>
      <c r="T552" s="680" t="str">
        <f>+_xlfn.XLOOKUP(Tabla4[[#This Row],[ID CLIENTE]],'RESUMEN CLIENTES'!D:D,'RESUMEN CLIENTES'!C:C)</f>
        <v>Chile</v>
      </c>
    </row>
    <row r="553" spans="1:20" ht="16">
      <c r="A553" s="82">
        <v>45955</v>
      </c>
      <c r="B553" s="82" t="str">
        <f>+_xlfn.XLOOKUP(Tabla4[[#This Row],[ID CLIENTE]],'RESUMEN CLIENTES'!D:D,'RESUMEN CLIENTES'!A:A)</f>
        <v>Jorge Augusto Cámbara Vargas</v>
      </c>
      <c r="C553" s="83" t="s">
        <v>2261</v>
      </c>
      <c r="D553" s="83" t="s">
        <v>333</v>
      </c>
      <c r="E553" s="83" t="s">
        <v>1227</v>
      </c>
      <c r="F553" s="83" t="s">
        <v>1228</v>
      </c>
      <c r="G553" s="84">
        <v>1000</v>
      </c>
      <c r="H553" s="85">
        <v>-32.75</v>
      </c>
      <c r="I553" s="86">
        <f t="shared" si="18"/>
        <v>3.2750000000000001E-2</v>
      </c>
      <c r="J553" s="87">
        <f t="shared" si="19"/>
        <v>967.25</v>
      </c>
      <c r="K553" s="87"/>
      <c r="L553" s="87" t="s">
        <v>4672</v>
      </c>
      <c r="M553" s="87"/>
      <c r="N553" s="524"/>
      <c r="O553" s="524">
        <f>+Tabla4[[#This Row],[PAGO NO EURO]]+Tabla4[[#This Row],[CARGO NO EURO]]</f>
        <v>0</v>
      </c>
      <c r="P553" s="524"/>
      <c r="Q553" s="88"/>
      <c r="R553" s="689">
        <f>+_xlfn.XLOOKUP(Tabla4[[#This Row],[ID CLIENTE]],'RESUMEN CLIENTES'!D:D,'RESUMEN CLIENTES'!G:G)</f>
        <v>45821</v>
      </c>
      <c r="S553" s="88" t="str">
        <f>+_xlfn.XLOOKUP(Tabla4[[#This Row],[ID CLIENTE]],'RESUMEN CLIENTES'!D:D,'RESUMEN CLIENTES'!AA:AA)</f>
        <v>B1.1</v>
      </c>
      <c r="T553" s="680" t="str">
        <f>+_xlfn.XLOOKUP(Tabla4[[#This Row],[ID CLIENTE]],'RESUMEN CLIENTES'!D:D,'RESUMEN CLIENTES'!C:C)</f>
        <v>Guatemala</v>
      </c>
    </row>
    <row r="554" spans="1:20" ht="16">
      <c r="A554" s="82">
        <v>45955</v>
      </c>
      <c r="B554" s="82" t="str">
        <f>+_xlfn.XLOOKUP(Tabla4[[#This Row],[ID CLIENTE]],'RESUMEN CLIENTES'!D:D,'RESUMEN CLIENTES'!A:A)</f>
        <v>Julian David Gutierrez Rodriguez</v>
      </c>
      <c r="C554" s="83" t="s">
        <v>2364</v>
      </c>
      <c r="D554" s="83" t="s">
        <v>711</v>
      </c>
      <c r="E554" s="83" t="s">
        <v>1254</v>
      </c>
      <c r="F554" s="83" t="s">
        <v>1255</v>
      </c>
      <c r="G554" s="84">
        <v>500</v>
      </c>
      <c r="H554" s="85">
        <v>-16.5</v>
      </c>
      <c r="I554" s="86">
        <f t="shared" si="18"/>
        <v>3.3000000000000002E-2</v>
      </c>
      <c r="J554" s="87">
        <f t="shared" si="19"/>
        <v>483.5</v>
      </c>
      <c r="K554" s="87"/>
      <c r="L554" s="87" t="s">
        <v>4672</v>
      </c>
      <c r="M554" s="87"/>
      <c r="N554" s="524"/>
      <c r="O554" s="524">
        <f>+Tabla4[[#This Row],[PAGO NO EURO]]+Tabla4[[#This Row],[CARGO NO EURO]]</f>
        <v>0</v>
      </c>
      <c r="P554" s="524"/>
      <c r="Q554" s="88"/>
      <c r="R554" s="689">
        <f>+_xlfn.XLOOKUP(Tabla4[[#This Row],[ID CLIENTE]],'RESUMEN CLIENTES'!D:D,'RESUMEN CLIENTES'!G:G)</f>
        <v>45889</v>
      </c>
      <c r="S554" s="88" t="str">
        <f>+_xlfn.XLOOKUP(Tabla4[[#This Row],[ID CLIENTE]],'RESUMEN CLIENTES'!D:D,'RESUMEN CLIENTES'!AA:AA)</f>
        <v>A1.1</v>
      </c>
      <c r="T554" s="680" t="str">
        <f>+_xlfn.XLOOKUP(Tabla4[[#This Row],[ID CLIENTE]],'RESUMEN CLIENTES'!D:D,'RESUMEN CLIENTES'!C:C)</f>
        <v>Colombia</v>
      </c>
    </row>
    <row r="555" spans="1:20" ht="16">
      <c r="A555" s="82">
        <v>45957</v>
      </c>
      <c r="B555" s="82" t="str">
        <f>+_xlfn.XLOOKUP(Tabla4[[#This Row],[ID CLIENTE]],'RESUMEN CLIENTES'!D:D,'RESUMEN CLIENTES'!A:A)</f>
        <v>Abrahan Sejas Ocaña</v>
      </c>
      <c r="C555" s="83" t="s">
        <v>2439</v>
      </c>
      <c r="D555" s="83" t="s">
        <v>1242</v>
      </c>
      <c r="E555" s="83" t="s">
        <v>1243</v>
      </c>
      <c r="F555" s="83" t="s">
        <v>1244</v>
      </c>
      <c r="G555" s="84">
        <v>50</v>
      </c>
      <c r="H555" s="85">
        <v>-1</v>
      </c>
      <c r="I555" s="86">
        <f t="shared" si="18"/>
        <v>0.02</v>
      </c>
      <c r="J555" s="87">
        <f t="shared" si="19"/>
        <v>49</v>
      </c>
      <c r="K555" s="87"/>
      <c r="L555" s="87" t="s">
        <v>4672</v>
      </c>
      <c r="M555" s="87"/>
      <c r="N555" s="524"/>
      <c r="O555" s="524">
        <f>+Tabla4[[#This Row],[PAGO NO EURO]]+Tabla4[[#This Row],[CARGO NO EURO]]</f>
        <v>0</v>
      </c>
      <c r="P555" s="524"/>
      <c r="Q555" s="88"/>
      <c r="R555" s="689">
        <f>+_xlfn.XLOOKUP(Tabla4[[#This Row],[ID CLIENTE]],'RESUMEN CLIENTES'!D:D,'RESUMEN CLIENTES'!G:G)</f>
        <v>45957</v>
      </c>
      <c r="S555" s="88" t="str">
        <f>+_xlfn.XLOOKUP(Tabla4[[#This Row],[ID CLIENTE]],'RESUMEN CLIENTES'!D:D,'RESUMEN CLIENTES'!AA:AA)</f>
        <v>null</v>
      </c>
      <c r="T555" s="680" t="str">
        <f>+_xlfn.XLOOKUP(Tabla4[[#This Row],[ID CLIENTE]],'RESUMEN CLIENTES'!D:D,'RESUMEN CLIENTES'!C:C)</f>
        <v>Bolivia</v>
      </c>
    </row>
    <row r="556" spans="1:20" ht="16">
      <c r="A556" s="82">
        <v>45957</v>
      </c>
      <c r="B556" s="82" t="str">
        <f>+_xlfn.XLOOKUP(Tabla4[[#This Row],[ID CLIENTE]],'RESUMEN CLIENTES'!D:D,'RESUMEN CLIENTES'!A:A)</f>
        <v>Daniel Mauricio Rojas Pérez</v>
      </c>
      <c r="C556" s="83" t="s">
        <v>2389</v>
      </c>
      <c r="D556" s="83" t="s">
        <v>780</v>
      </c>
      <c r="E556" s="83" t="s">
        <v>1236</v>
      </c>
      <c r="F556" s="83" t="s">
        <v>1237</v>
      </c>
      <c r="G556" s="84">
        <v>1000</v>
      </c>
      <c r="H556" s="85">
        <v>-32.75</v>
      </c>
      <c r="I556" s="86">
        <f t="shared" si="18"/>
        <v>3.2750000000000001E-2</v>
      </c>
      <c r="J556" s="87">
        <f t="shared" si="19"/>
        <v>967.25</v>
      </c>
      <c r="K556" s="87"/>
      <c r="L556" s="87" t="s">
        <v>4672</v>
      </c>
      <c r="M556" s="87"/>
      <c r="N556" s="524"/>
      <c r="O556" s="524">
        <f>+Tabla4[[#This Row],[PAGO NO EURO]]+Tabla4[[#This Row],[CARGO NO EURO]]</f>
        <v>0</v>
      </c>
      <c r="P556" s="524"/>
      <c r="Q556" s="88"/>
      <c r="R556" s="689">
        <f>+_xlfn.XLOOKUP(Tabla4[[#This Row],[ID CLIENTE]],'RESUMEN CLIENTES'!D:D,'RESUMEN CLIENTES'!G:G)</f>
        <v>45899</v>
      </c>
      <c r="S556" s="88" t="str">
        <f>+_xlfn.XLOOKUP(Tabla4[[#This Row],[ID CLIENTE]],'RESUMEN CLIENTES'!D:D,'RESUMEN CLIENTES'!AA:AA)</f>
        <v>A1.1</v>
      </c>
      <c r="T556" s="680" t="str">
        <f>+_xlfn.XLOOKUP(Tabla4[[#This Row],[ID CLIENTE]],'RESUMEN CLIENTES'!D:D,'RESUMEN CLIENTES'!C:C)</f>
        <v>Colombia</v>
      </c>
    </row>
    <row r="557" spans="1:20" ht="16">
      <c r="A557" s="82">
        <v>45957</v>
      </c>
      <c r="B557" s="82" t="str">
        <f>+_xlfn.XLOOKUP(Tabla4[[#This Row],[ID CLIENTE]],'RESUMEN CLIENTES'!D:D,'RESUMEN CLIENTES'!A:A)</f>
        <v>Constanza Andrea Águila Vergara</v>
      </c>
      <c r="C557" s="83" t="s">
        <v>2441</v>
      </c>
      <c r="D557" s="83" t="s">
        <v>1245</v>
      </c>
      <c r="E557" s="83" t="s">
        <v>1246</v>
      </c>
      <c r="F557" s="83" t="s">
        <v>1247</v>
      </c>
      <c r="G557" s="84">
        <v>3000</v>
      </c>
      <c r="H557" s="85">
        <v>-97.75</v>
      </c>
      <c r="I557" s="86">
        <f t="shared" si="18"/>
        <v>3.2583333333333332E-2</v>
      </c>
      <c r="J557" s="87">
        <f t="shared" si="19"/>
        <v>2902.25</v>
      </c>
      <c r="K557" s="87"/>
      <c r="L557" s="87" t="s">
        <v>4672</v>
      </c>
      <c r="M557" s="87"/>
      <c r="N557" s="524"/>
      <c r="O557" s="524">
        <f>+Tabla4[[#This Row],[PAGO NO EURO]]+Tabla4[[#This Row],[CARGO NO EURO]]</f>
        <v>0</v>
      </c>
      <c r="P557" s="524"/>
      <c r="Q557" s="88"/>
      <c r="R557" s="689">
        <f>+_xlfn.XLOOKUP(Tabla4[[#This Row],[ID CLIENTE]],'RESUMEN CLIENTES'!D:D,'RESUMEN CLIENTES'!G:G)</f>
        <v>45957</v>
      </c>
      <c r="S557" s="88" t="str">
        <f>+_xlfn.XLOOKUP(Tabla4[[#This Row],[ID CLIENTE]],'RESUMEN CLIENTES'!D:D,'RESUMEN CLIENTES'!AA:AA)</f>
        <v>A1.2</v>
      </c>
      <c r="T557" s="680" t="str">
        <f>+_xlfn.XLOOKUP(Tabla4[[#This Row],[ID CLIENTE]],'RESUMEN CLIENTES'!D:D,'RESUMEN CLIENTES'!C:C)</f>
        <v>Chile</v>
      </c>
    </row>
    <row r="558" spans="1:20" ht="16">
      <c r="A558" s="82">
        <v>45957</v>
      </c>
      <c r="B558" s="82" t="str">
        <f>+_xlfn.XLOOKUP(Tabla4[[#This Row],[ID CLIENTE]],'RESUMEN CLIENTES'!D:D,'RESUMEN CLIENTES'!A:A)</f>
        <v xml:space="preserve">María del Mar Ordóñez Dussan
</v>
      </c>
      <c r="C558" s="83" t="s">
        <v>2387</v>
      </c>
      <c r="D558" s="83" t="s">
        <v>807</v>
      </c>
      <c r="E558" s="83" t="s">
        <v>1238</v>
      </c>
      <c r="F558" s="83" t="s">
        <v>1239</v>
      </c>
      <c r="G558" s="84">
        <v>1000</v>
      </c>
      <c r="H558" s="85">
        <v>-32.75</v>
      </c>
      <c r="I558" s="86">
        <f t="shared" si="18"/>
        <v>3.2750000000000001E-2</v>
      </c>
      <c r="J558" s="87">
        <f t="shared" si="19"/>
        <v>967.25</v>
      </c>
      <c r="K558" s="87"/>
      <c r="L558" s="87" t="s">
        <v>4672</v>
      </c>
      <c r="M558" s="87"/>
      <c r="N558" s="524"/>
      <c r="O558" s="524">
        <f>+Tabla4[[#This Row],[PAGO NO EURO]]+Tabla4[[#This Row],[CARGO NO EURO]]</f>
        <v>0</v>
      </c>
      <c r="P558" s="524"/>
      <c r="Q558" s="88"/>
      <c r="R558" s="689">
        <f>+_xlfn.XLOOKUP(Tabla4[[#This Row],[ID CLIENTE]],'RESUMEN CLIENTES'!D:D,'RESUMEN CLIENTES'!G:G)</f>
        <v>45899</v>
      </c>
      <c r="S558" s="88" t="str">
        <f>+_xlfn.XLOOKUP(Tabla4[[#This Row],[ID CLIENTE]],'RESUMEN CLIENTES'!D:D,'RESUMEN CLIENTES'!AA:AA)</f>
        <v>A1.1</v>
      </c>
      <c r="T558" s="680" t="str">
        <f>+_xlfn.XLOOKUP(Tabla4[[#This Row],[ID CLIENTE]],'RESUMEN CLIENTES'!D:D,'RESUMEN CLIENTES'!C:C)</f>
        <v>Colombia</v>
      </c>
    </row>
    <row r="559" spans="1:20" ht="16">
      <c r="A559" s="82">
        <v>45957</v>
      </c>
      <c r="B559" s="82" t="str">
        <f>+_xlfn.XLOOKUP(Tabla4[[#This Row],[ID CLIENTE]],'RESUMEN CLIENTES'!D:D,'RESUMEN CLIENTES'!A:A)</f>
        <v>Keidwin Perez</v>
      </c>
      <c r="C559" s="83" t="s">
        <v>2337</v>
      </c>
      <c r="D559" s="83" t="s">
        <v>587</v>
      </c>
      <c r="E559" s="83" t="s">
        <v>1215</v>
      </c>
      <c r="F559" s="83" t="s">
        <v>1216</v>
      </c>
      <c r="G559" s="84">
        <v>750</v>
      </c>
      <c r="H559" s="85">
        <v>-24.63</v>
      </c>
      <c r="I559" s="86">
        <f t="shared" si="18"/>
        <v>3.2840000000000001E-2</v>
      </c>
      <c r="J559" s="87">
        <f t="shared" si="19"/>
        <v>725.37</v>
      </c>
      <c r="K559" s="87"/>
      <c r="L559" s="87" t="s">
        <v>4672</v>
      </c>
      <c r="M559" s="87"/>
      <c r="N559" s="524"/>
      <c r="O559" s="524">
        <f>+Tabla4[[#This Row],[PAGO NO EURO]]+Tabla4[[#This Row],[CARGO NO EURO]]</f>
        <v>0</v>
      </c>
      <c r="P559" s="524"/>
      <c r="Q559" s="88"/>
      <c r="R559" s="689">
        <f>+_xlfn.XLOOKUP(Tabla4[[#This Row],[ID CLIENTE]],'RESUMEN CLIENTES'!D:D,'RESUMEN CLIENTES'!G:G)</f>
        <v>45869</v>
      </c>
      <c r="S559" s="88" t="str">
        <f>+_xlfn.XLOOKUP(Tabla4[[#This Row],[ID CLIENTE]],'RESUMEN CLIENTES'!D:D,'RESUMEN CLIENTES'!AA:AA)</f>
        <v>null</v>
      </c>
      <c r="T559" s="680" t="str">
        <f>+_xlfn.XLOOKUP(Tabla4[[#This Row],[ID CLIENTE]],'RESUMEN CLIENTES'!D:D,'RESUMEN CLIENTES'!C:C)</f>
        <v>Colombia</v>
      </c>
    </row>
    <row r="560" spans="1:20" ht="16">
      <c r="A560" s="82">
        <v>45957</v>
      </c>
      <c r="B560" s="82" t="str">
        <f>+_xlfn.XLOOKUP(Tabla4[[#This Row],[ID CLIENTE]],'RESUMEN CLIENTES'!D:D,'RESUMEN CLIENTES'!A:A)</f>
        <v>Jose Marcelo Marroquín Guzmán</v>
      </c>
      <c r="C560" s="83" t="s">
        <v>2121</v>
      </c>
      <c r="D560" s="83" t="s">
        <v>87</v>
      </c>
      <c r="E560" s="83" t="s">
        <v>1229</v>
      </c>
      <c r="F560" s="83" t="s">
        <v>1230</v>
      </c>
      <c r="G560" s="84">
        <v>400</v>
      </c>
      <c r="H560" s="85">
        <v>-13.25</v>
      </c>
      <c r="I560" s="86">
        <f t="shared" si="18"/>
        <v>3.3125000000000002E-2</v>
      </c>
      <c r="J560" s="87">
        <f t="shared" si="19"/>
        <v>386.75</v>
      </c>
      <c r="K560" s="87"/>
      <c r="L560" s="87" t="s">
        <v>4672</v>
      </c>
      <c r="M560" s="87"/>
      <c r="N560" s="524"/>
      <c r="O560" s="524">
        <f>+Tabla4[[#This Row],[PAGO NO EURO]]+Tabla4[[#This Row],[CARGO NO EURO]]</f>
        <v>0</v>
      </c>
      <c r="P560" s="524"/>
      <c r="Q560" s="88"/>
      <c r="R560" s="689">
        <f>+_xlfn.XLOOKUP(Tabla4[[#This Row],[ID CLIENTE]],'RESUMEN CLIENTES'!D:D,'RESUMEN CLIENTES'!G:G)</f>
        <v>45658</v>
      </c>
      <c r="S560" s="88" t="str">
        <f>+_xlfn.XLOOKUP(Tabla4[[#This Row],[ID CLIENTE]],'RESUMEN CLIENTES'!D:D,'RESUMEN CLIENTES'!AA:AA)</f>
        <v>A2.1</v>
      </c>
      <c r="T560" s="680" t="str">
        <f>+_xlfn.XLOOKUP(Tabla4[[#This Row],[ID CLIENTE]],'RESUMEN CLIENTES'!D:D,'RESUMEN CLIENTES'!C:C)</f>
        <v>El Salvador</v>
      </c>
    </row>
    <row r="561" spans="1:20" ht="16">
      <c r="A561" s="82">
        <v>45957</v>
      </c>
      <c r="B561" s="82" t="str">
        <f>+_xlfn.XLOOKUP(Tabla4[[#This Row],[ID CLIENTE]],'RESUMEN CLIENTES'!D:D,'RESUMEN CLIENTES'!A:A)</f>
        <v>Virna Nathaly Montenegro Samaniego</v>
      </c>
      <c r="C561" s="83" t="s">
        <v>2349</v>
      </c>
      <c r="D561" s="83" t="s">
        <v>706</v>
      </c>
      <c r="E561" s="83" t="s">
        <v>1240</v>
      </c>
      <c r="F561" s="83" t="s">
        <v>1241</v>
      </c>
      <c r="G561" s="84">
        <v>1000</v>
      </c>
      <c r="H561" s="85">
        <v>-32.75</v>
      </c>
      <c r="I561" s="86">
        <f t="shared" si="18"/>
        <v>3.2750000000000001E-2</v>
      </c>
      <c r="J561" s="87">
        <f t="shared" si="19"/>
        <v>967.25</v>
      </c>
      <c r="K561" s="87" t="s">
        <v>2636</v>
      </c>
      <c r="L561" s="87" t="s">
        <v>4672</v>
      </c>
      <c r="M561" s="87"/>
      <c r="N561" s="524"/>
      <c r="O561" s="524">
        <f>+Tabla4[[#This Row],[PAGO NO EURO]]+Tabla4[[#This Row],[CARGO NO EURO]]</f>
        <v>0</v>
      </c>
      <c r="P561" s="524"/>
      <c r="Q561" s="88"/>
      <c r="R561" s="689">
        <f>+_xlfn.XLOOKUP(Tabla4[[#This Row],[ID CLIENTE]],'RESUMEN CLIENTES'!D:D,'RESUMEN CLIENTES'!G:G)</f>
        <v>45878</v>
      </c>
      <c r="S561" s="88" t="str">
        <f>+_xlfn.XLOOKUP(Tabla4[[#This Row],[ID CLIENTE]],'RESUMEN CLIENTES'!D:D,'RESUMEN CLIENTES'!AA:AA)</f>
        <v>A1 komplett</v>
      </c>
      <c r="T561" s="680" t="str">
        <f>+_xlfn.XLOOKUP(Tabla4[[#This Row],[ID CLIENTE]],'RESUMEN CLIENTES'!D:D,'RESUMEN CLIENTES'!C:C)</f>
        <v>Ecuador</v>
      </c>
    </row>
    <row r="562" spans="1:20" ht="16">
      <c r="A562" s="82">
        <v>45957</v>
      </c>
      <c r="B562" s="82" t="str">
        <f>+_xlfn.XLOOKUP(Tabla4[[#This Row],[ID CLIENTE]],'RESUMEN CLIENTES'!D:D,'RESUMEN CLIENTES'!A:A)</f>
        <v>Maryori Elizabeth Ramos Tapia</v>
      </c>
      <c r="C562" s="83" t="s">
        <v>2225</v>
      </c>
      <c r="D562" s="83" t="s">
        <v>261</v>
      </c>
      <c r="E562" s="83" t="s">
        <v>1223</v>
      </c>
      <c r="F562" s="83" t="s">
        <v>1224</v>
      </c>
      <c r="G562" s="84">
        <v>1000</v>
      </c>
      <c r="H562" s="85">
        <v>-32.75</v>
      </c>
      <c r="I562" s="86">
        <f t="shared" si="18"/>
        <v>3.2750000000000001E-2</v>
      </c>
      <c r="J562" s="87">
        <f t="shared" si="19"/>
        <v>967.25</v>
      </c>
      <c r="K562" s="87"/>
      <c r="L562" s="87" t="s">
        <v>4672</v>
      </c>
      <c r="M562" s="87"/>
      <c r="N562" s="524"/>
      <c r="O562" s="524">
        <f>+Tabla4[[#This Row],[PAGO NO EURO]]+Tabla4[[#This Row],[CARGO NO EURO]]</f>
        <v>0</v>
      </c>
      <c r="P562" s="524"/>
      <c r="Q562" s="88"/>
      <c r="R562" s="689">
        <f>+_xlfn.XLOOKUP(Tabla4[[#This Row],[ID CLIENTE]],'RESUMEN CLIENTES'!D:D,'RESUMEN CLIENTES'!G:G)</f>
        <v>45807</v>
      </c>
      <c r="S562" s="88" t="str">
        <f>+_xlfn.XLOOKUP(Tabla4[[#This Row],[ID CLIENTE]],'RESUMEN CLIENTES'!D:D,'RESUMEN CLIENTES'!AA:AA)</f>
        <v>A1.1</v>
      </c>
      <c r="T562" s="680" t="str">
        <f>+_xlfn.XLOOKUP(Tabla4[[#This Row],[ID CLIENTE]],'RESUMEN CLIENTES'!D:D,'RESUMEN CLIENTES'!C:C)</f>
        <v>Perú</v>
      </c>
    </row>
    <row r="563" spans="1:20" ht="16">
      <c r="A563" s="82">
        <v>45957</v>
      </c>
      <c r="B563" s="82" t="str">
        <f>+_xlfn.XLOOKUP(Tabla4[[#This Row],[ID CLIENTE]],'RESUMEN CLIENTES'!D:D,'RESUMEN CLIENTES'!A:A)</f>
        <v>Sofia Martínez Restrepo</v>
      </c>
      <c r="C563" s="83" t="s">
        <v>2366</v>
      </c>
      <c r="D563" s="83" t="s">
        <v>716</v>
      </c>
      <c r="E563" s="83" t="s">
        <v>1234</v>
      </c>
      <c r="F563" s="83" t="s">
        <v>1235</v>
      </c>
      <c r="G563" s="84">
        <v>1000</v>
      </c>
      <c r="H563" s="85">
        <v>-32.75</v>
      </c>
      <c r="I563" s="86">
        <f t="shared" si="18"/>
        <v>3.2750000000000001E-2</v>
      </c>
      <c r="J563" s="87">
        <f t="shared" si="19"/>
        <v>967.25</v>
      </c>
      <c r="K563" s="87"/>
      <c r="L563" s="87" t="s">
        <v>4672</v>
      </c>
      <c r="M563" s="87"/>
      <c r="N563" s="524"/>
      <c r="O563" s="524">
        <f>+Tabla4[[#This Row],[PAGO NO EURO]]+Tabla4[[#This Row],[CARGO NO EURO]]</f>
        <v>0</v>
      </c>
      <c r="P563" s="524"/>
      <c r="Q563" s="88"/>
      <c r="R563" s="689">
        <f>+_xlfn.XLOOKUP(Tabla4[[#This Row],[ID CLIENTE]],'RESUMEN CLIENTES'!D:D,'RESUMEN CLIENTES'!G:G)</f>
        <v>45891</v>
      </c>
      <c r="S563" s="88" t="str">
        <f>+_xlfn.XLOOKUP(Tabla4[[#This Row],[ID CLIENTE]],'RESUMEN CLIENTES'!D:D,'RESUMEN CLIENTES'!AA:AA)</f>
        <v>A1.1</v>
      </c>
      <c r="T563" s="680" t="str">
        <f>+_xlfn.XLOOKUP(Tabla4[[#This Row],[ID CLIENTE]],'RESUMEN CLIENTES'!D:D,'RESUMEN CLIENTES'!C:C)</f>
        <v>Colombia</v>
      </c>
    </row>
    <row r="564" spans="1:20" ht="16">
      <c r="A564" s="82">
        <v>45958</v>
      </c>
      <c r="B564" s="82" t="str">
        <f>+_xlfn.XLOOKUP(Tabla4[[#This Row],[ID CLIENTE]],'RESUMEN CLIENTES'!D:D,'RESUMEN CLIENTES'!A:A)</f>
        <v>Carlos Josue Escobar Morán</v>
      </c>
      <c r="C564" s="83" t="s">
        <v>2208</v>
      </c>
      <c r="D564" s="83" t="s">
        <v>226</v>
      </c>
      <c r="E564" s="83" t="s">
        <v>1262</v>
      </c>
      <c r="F564" s="83" t="s">
        <v>1263</v>
      </c>
      <c r="G564" s="84">
        <v>500</v>
      </c>
      <c r="H564" s="85">
        <v>-16.5</v>
      </c>
      <c r="I564" s="86">
        <f t="shared" si="18"/>
        <v>3.3000000000000002E-2</v>
      </c>
      <c r="J564" s="87">
        <f t="shared" si="19"/>
        <v>483.5</v>
      </c>
      <c r="K564" s="87"/>
      <c r="L564" s="87" t="s">
        <v>4672</v>
      </c>
      <c r="M564" s="87"/>
      <c r="N564" s="524"/>
      <c r="O564" s="524">
        <f>+Tabla4[[#This Row],[PAGO NO EURO]]+Tabla4[[#This Row],[CARGO NO EURO]]</f>
        <v>0</v>
      </c>
      <c r="P564" s="524"/>
      <c r="Q564" s="88"/>
      <c r="R564" s="689">
        <f>+_xlfn.XLOOKUP(Tabla4[[#This Row],[ID CLIENTE]],'RESUMEN CLIENTES'!D:D,'RESUMEN CLIENTES'!G:G)</f>
        <v>45790</v>
      </c>
      <c r="S564" s="88" t="str">
        <f>+_xlfn.XLOOKUP(Tabla4[[#This Row],[ID CLIENTE]],'RESUMEN CLIENTES'!D:D,'RESUMEN CLIENTES'!AA:AA)</f>
        <v>B1.1</v>
      </c>
      <c r="T564" s="680" t="str">
        <f>+_xlfn.XLOOKUP(Tabla4[[#This Row],[ID CLIENTE]],'RESUMEN CLIENTES'!D:D,'RESUMEN CLIENTES'!C:C)</f>
        <v>El Salvador</v>
      </c>
    </row>
    <row r="565" spans="1:20" ht="16">
      <c r="A565" s="82">
        <v>45958</v>
      </c>
      <c r="B565" s="82" t="str">
        <f>+_xlfn.XLOOKUP(Tabla4[[#This Row],[ID CLIENTE]],'RESUMEN CLIENTES'!D:D,'RESUMEN CLIENTES'!A:A)</f>
        <v>Emily Vanessa Tapia Villalobos</v>
      </c>
      <c r="C565" s="83" t="s">
        <v>2445</v>
      </c>
      <c r="D565" s="83" t="s">
        <v>1248</v>
      </c>
      <c r="E565" s="83" t="s">
        <v>1249</v>
      </c>
      <c r="F565" s="83" t="s">
        <v>1250</v>
      </c>
      <c r="G565" s="84">
        <v>100</v>
      </c>
      <c r="H565" s="85">
        <v>-3.5</v>
      </c>
      <c r="I565" s="86">
        <f t="shared" si="18"/>
        <v>3.5000000000000003E-2</v>
      </c>
      <c r="J565" s="87">
        <f t="shared" si="19"/>
        <v>96.5</v>
      </c>
      <c r="K565" s="87"/>
      <c r="L565" s="87" t="s">
        <v>4672</v>
      </c>
      <c r="M565" s="87"/>
      <c r="N565" s="524"/>
      <c r="O565" s="524">
        <f>+Tabla4[[#This Row],[PAGO NO EURO]]+Tabla4[[#This Row],[CARGO NO EURO]]</f>
        <v>0</v>
      </c>
      <c r="P565" s="524"/>
      <c r="Q565" s="88"/>
      <c r="R565" s="689">
        <f>+_xlfn.XLOOKUP(Tabla4[[#This Row],[ID CLIENTE]],'RESUMEN CLIENTES'!D:D,'RESUMEN CLIENTES'!G:G)</f>
        <v>45958</v>
      </c>
      <c r="S565" s="88" t="str">
        <f>+_xlfn.XLOOKUP(Tabla4[[#This Row],[ID CLIENTE]],'RESUMEN CLIENTES'!D:D,'RESUMEN CLIENTES'!AA:AA)</f>
        <v>A1.1</v>
      </c>
      <c r="T565" s="680" t="str">
        <f>+_xlfn.XLOOKUP(Tabla4[[#This Row],[ID CLIENTE]],'RESUMEN CLIENTES'!D:D,'RESUMEN CLIENTES'!C:C)</f>
        <v>Chile</v>
      </c>
    </row>
    <row r="566" spans="1:20" ht="16">
      <c r="A566" s="82">
        <v>45958</v>
      </c>
      <c r="B566" s="82" t="str">
        <f>+_xlfn.XLOOKUP(Tabla4[[#This Row],[ID CLIENTE]],'RESUMEN CLIENTES'!D:D,'RESUMEN CLIENTES'!A:A)</f>
        <v>Erick Ernesto Angulo Campos</v>
      </c>
      <c r="C566" s="83" t="s">
        <v>2443</v>
      </c>
      <c r="D566" s="83" t="s">
        <v>1251</v>
      </c>
      <c r="E566" s="83" t="s">
        <v>1252</v>
      </c>
      <c r="F566" s="83" t="s">
        <v>1253</v>
      </c>
      <c r="G566" s="84">
        <v>100</v>
      </c>
      <c r="H566" s="85">
        <v>-3.5</v>
      </c>
      <c r="I566" s="86">
        <f t="shared" si="18"/>
        <v>3.5000000000000003E-2</v>
      </c>
      <c r="J566" s="87">
        <f t="shared" si="19"/>
        <v>96.5</v>
      </c>
      <c r="K566" s="87"/>
      <c r="L566" s="87" t="s">
        <v>4672</v>
      </c>
      <c r="M566" s="87"/>
      <c r="N566" s="524"/>
      <c r="O566" s="524">
        <f>+Tabla4[[#This Row],[PAGO NO EURO]]+Tabla4[[#This Row],[CARGO NO EURO]]</f>
        <v>0</v>
      </c>
      <c r="P566" s="524"/>
      <c r="Q566" s="88"/>
      <c r="R566" s="689">
        <f>+_xlfn.XLOOKUP(Tabla4[[#This Row],[ID CLIENTE]],'RESUMEN CLIENTES'!D:D,'RESUMEN CLIENTES'!G:G)</f>
        <v>45958</v>
      </c>
      <c r="S566" s="88" t="str">
        <f>+_xlfn.XLOOKUP(Tabla4[[#This Row],[ID CLIENTE]],'RESUMEN CLIENTES'!D:D,'RESUMEN CLIENTES'!AA:AA)</f>
        <v>A1.1</v>
      </c>
      <c r="T566" s="680" t="str">
        <f>+_xlfn.XLOOKUP(Tabla4[[#This Row],[ID CLIENTE]],'RESUMEN CLIENTES'!D:D,'RESUMEN CLIENTES'!C:C)</f>
        <v>Chile</v>
      </c>
    </row>
    <row r="567" spans="1:20" ht="16">
      <c r="A567" s="82">
        <v>45958</v>
      </c>
      <c r="B567" s="82" t="str">
        <f>+_xlfn.XLOOKUP(Tabla4[[#This Row],[ID CLIENTE]],'RESUMEN CLIENTES'!D:D,'RESUMEN CLIENTES'!A:A)</f>
        <v>Nathaly Gabriela Henríquez Masín</v>
      </c>
      <c r="C567" s="83" t="s">
        <v>2210</v>
      </c>
      <c r="D567" s="83" t="s">
        <v>229</v>
      </c>
      <c r="E567" s="83" t="s">
        <v>1282</v>
      </c>
      <c r="F567" s="83" t="s">
        <v>1283</v>
      </c>
      <c r="G567" s="84">
        <v>500</v>
      </c>
      <c r="H567" s="85">
        <v>-16.5</v>
      </c>
      <c r="I567" s="86">
        <f t="shared" si="18"/>
        <v>3.3000000000000002E-2</v>
      </c>
      <c r="J567" s="87">
        <f t="shared" si="19"/>
        <v>483.5</v>
      </c>
      <c r="K567" s="87"/>
      <c r="L567" s="87" t="s">
        <v>4672</v>
      </c>
      <c r="M567" s="87"/>
      <c r="N567" s="524"/>
      <c r="O567" s="524">
        <f>+Tabla4[[#This Row],[PAGO NO EURO]]+Tabla4[[#This Row],[CARGO NO EURO]]</f>
        <v>0</v>
      </c>
      <c r="P567" s="524"/>
      <c r="Q567" s="88"/>
      <c r="R567" s="689">
        <f>+_xlfn.XLOOKUP(Tabla4[[#This Row],[ID CLIENTE]],'RESUMEN CLIENTES'!D:D,'RESUMEN CLIENTES'!G:G)</f>
        <v>45790</v>
      </c>
      <c r="S567" s="88" t="str">
        <f>+_xlfn.XLOOKUP(Tabla4[[#This Row],[ID CLIENTE]],'RESUMEN CLIENTES'!D:D,'RESUMEN CLIENTES'!AA:AA)</f>
        <v>null</v>
      </c>
      <c r="T567" s="680" t="str">
        <f>+_xlfn.XLOOKUP(Tabla4[[#This Row],[ID CLIENTE]],'RESUMEN CLIENTES'!D:D,'RESUMEN CLIENTES'!C:C)</f>
        <v>El Salvador</v>
      </c>
    </row>
    <row r="568" spans="1:20" ht="16">
      <c r="A568" s="82">
        <v>45959</v>
      </c>
      <c r="B568" s="82" t="str">
        <f>+_xlfn.XLOOKUP(Tabla4[[#This Row],[ID CLIENTE]],'RESUMEN CLIENTES'!D:D,'RESUMEN CLIENTES'!A:A)</f>
        <v>Ellen Cristina Gerónimo Bonilla</v>
      </c>
      <c r="C568" s="83" t="s">
        <v>2273</v>
      </c>
      <c r="D568" s="83" t="s">
        <v>385</v>
      </c>
      <c r="E568" s="83" t="s">
        <v>1268</v>
      </c>
      <c r="F568" s="83" t="s">
        <v>1269</v>
      </c>
      <c r="G568" s="84">
        <v>600</v>
      </c>
      <c r="H568" s="85">
        <v>-19.75</v>
      </c>
      <c r="I568" s="86">
        <f t="shared" si="18"/>
        <v>3.2916666666666664E-2</v>
      </c>
      <c r="J568" s="87">
        <f t="shared" si="19"/>
        <v>580.25</v>
      </c>
      <c r="K568" s="87"/>
      <c r="L568" s="87" t="s">
        <v>4672</v>
      </c>
      <c r="M568" s="87"/>
      <c r="N568" s="524"/>
      <c r="O568" s="524">
        <f>+Tabla4[[#This Row],[PAGO NO EURO]]+Tabla4[[#This Row],[CARGO NO EURO]]</f>
        <v>0</v>
      </c>
      <c r="P568" s="524"/>
      <c r="Q568" s="88"/>
      <c r="R568" s="689">
        <f>+_xlfn.XLOOKUP(Tabla4[[#This Row],[ID CLIENTE]],'RESUMEN CLIENTES'!D:D,'RESUMEN CLIENTES'!G:G)</f>
        <v>45838</v>
      </c>
      <c r="S568" s="88" t="str">
        <f>+_xlfn.XLOOKUP(Tabla4[[#This Row],[ID CLIENTE]],'RESUMEN CLIENTES'!D:D,'RESUMEN CLIENTES'!AA:AA)</f>
        <v>A1.1</v>
      </c>
      <c r="T568" s="680" t="str">
        <f>+_xlfn.XLOOKUP(Tabla4[[#This Row],[ID CLIENTE]],'RESUMEN CLIENTES'!D:D,'RESUMEN CLIENTES'!C:C)</f>
        <v>República Dominicana</v>
      </c>
    </row>
    <row r="569" spans="1:20" ht="16">
      <c r="A569" s="82">
        <v>45959</v>
      </c>
      <c r="B569" s="82" t="str">
        <f>+_xlfn.XLOOKUP(Tabla4[[#This Row],[ID CLIENTE]],'RESUMEN CLIENTES'!D:D,'RESUMEN CLIENTES'!A:A)</f>
        <v>David Hernández Viveros</v>
      </c>
      <c r="C569" s="83" t="s">
        <v>2143</v>
      </c>
      <c r="D569" s="83" t="s">
        <v>115</v>
      </c>
      <c r="E569" s="83" t="s">
        <v>1266</v>
      </c>
      <c r="F569" s="83" t="s">
        <v>1267</v>
      </c>
      <c r="G569" s="84">
        <v>1300</v>
      </c>
      <c r="H569" s="85">
        <v>-42.5</v>
      </c>
      <c r="I569" s="86">
        <f t="shared" si="18"/>
        <v>3.2692307692307694E-2</v>
      </c>
      <c r="J569" s="87">
        <f t="shared" si="19"/>
        <v>1257.5</v>
      </c>
      <c r="K569" s="87"/>
      <c r="L569" s="87" t="s">
        <v>4672</v>
      </c>
      <c r="M569" s="87"/>
      <c r="N569" s="524"/>
      <c r="O569" s="524">
        <f>+Tabla4[[#This Row],[PAGO NO EURO]]+Tabla4[[#This Row],[CARGO NO EURO]]</f>
        <v>0</v>
      </c>
      <c r="P569" s="524"/>
      <c r="Q569" s="88"/>
      <c r="R569" s="689">
        <f>+_xlfn.XLOOKUP(Tabla4[[#This Row],[ID CLIENTE]],'RESUMEN CLIENTES'!D:D,'RESUMEN CLIENTES'!G:G)</f>
        <v>45737</v>
      </c>
      <c r="S569" s="88" t="str">
        <f>+_xlfn.XLOOKUP(Tabla4[[#This Row],[ID CLIENTE]],'RESUMEN CLIENTES'!D:D,'RESUMEN CLIENTES'!AA:AA)</f>
        <v>null</v>
      </c>
      <c r="T569" s="680" t="str">
        <f>+_xlfn.XLOOKUP(Tabla4[[#This Row],[ID CLIENTE]],'RESUMEN CLIENTES'!D:D,'RESUMEN CLIENTES'!C:C)</f>
        <v>México</v>
      </c>
    </row>
    <row r="570" spans="1:20" ht="16">
      <c r="A570" s="82">
        <v>45959</v>
      </c>
      <c r="B570" s="82" t="str">
        <f>+_xlfn.XLOOKUP(Tabla4[[#This Row],[ID CLIENTE]],'RESUMEN CLIENTES'!D:D,'RESUMEN CLIENTES'!A:A)</f>
        <v>Juan Camilo Sanchez Ramirez</v>
      </c>
      <c r="C570" s="83" t="s">
        <v>2227</v>
      </c>
      <c r="D570" s="83" t="s">
        <v>266</v>
      </c>
      <c r="E570" s="83" t="s">
        <v>1274</v>
      </c>
      <c r="F570" s="83" t="s">
        <v>1275</v>
      </c>
      <c r="G570" s="84">
        <v>1000</v>
      </c>
      <c r="H570" s="85">
        <v>-32.75</v>
      </c>
      <c r="I570" s="86">
        <f t="shared" si="18"/>
        <v>3.2750000000000001E-2</v>
      </c>
      <c r="J570" s="87">
        <f t="shared" si="19"/>
        <v>967.25</v>
      </c>
      <c r="K570" s="87"/>
      <c r="L570" s="87" t="s">
        <v>4672</v>
      </c>
      <c r="M570" s="87"/>
      <c r="N570" s="524"/>
      <c r="O570" s="524">
        <f>+Tabla4[[#This Row],[PAGO NO EURO]]+Tabla4[[#This Row],[CARGO NO EURO]]</f>
        <v>0</v>
      </c>
      <c r="P570" s="524"/>
      <c r="Q570" s="88"/>
      <c r="R570" s="689">
        <f>+_xlfn.XLOOKUP(Tabla4[[#This Row],[ID CLIENTE]],'RESUMEN CLIENTES'!D:D,'RESUMEN CLIENTES'!G:G)</f>
        <v>45807</v>
      </c>
      <c r="S570" s="88" t="str">
        <f>+_xlfn.XLOOKUP(Tabla4[[#This Row],[ID CLIENTE]],'RESUMEN CLIENTES'!D:D,'RESUMEN CLIENTES'!AA:AA)</f>
        <v>A1.1</v>
      </c>
      <c r="T570" s="680" t="str">
        <f>+_xlfn.XLOOKUP(Tabla4[[#This Row],[ID CLIENTE]],'RESUMEN CLIENTES'!D:D,'RESUMEN CLIENTES'!C:C)</f>
        <v>Colombia</v>
      </c>
    </row>
    <row r="571" spans="1:20" ht="16">
      <c r="A571" s="82">
        <v>45960</v>
      </c>
      <c r="B571" s="82" t="str">
        <f>+_xlfn.XLOOKUP(Tabla4[[#This Row],[ID CLIENTE]],'RESUMEN CLIENTES'!D:D,'RESUMEN CLIENTES'!A:A)</f>
        <v>Andrea Corpeño López</v>
      </c>
      <c r="C571" s="83" t="s">
        <v>2117</v>
      </c>
      <c r="D571" s="83" t="s">
        <v>84</v>
      </c>
      <c r="E571" s="83" t="s">
        <v>1260</v>
      </c>
      <c r="F571" s="83" t="s">
        <v>1261</v>
      </c>
      <c r="G571" s="84">
        <v>400</v>
      </c>
      <c r="H571" s="85">
        <v>-13.25</v>
      </c>
      <c r="I571" s="86">
        <f t="shared" si="18"/>
        <v>3.3125000000000002E-2</v>
      </c>
      <c r="J571" s="87">
        <f t="shared" si="19"/>
        <v>386.75</v>
      </c>
      <c r="K571" s="87"/>
      <c r="L571" s="87" t="s">
        <v>4672</v>
      </c>
      <c r="M571" s="87"/>
      <c r="N571" s="524"/>
      <c r="O571" s="524">
        <f>+Tabla4[[#This Row],[PAGO NO EURO]]+Tabla4[[#This Row],[CARGO NO EURO]]</f>
        <v>0</v>
      </c>
      <c r="P571" s="524"/>
      <c r="Q571" s="88"/>
      <c r="R571" s="689">
        <f>+_xlfn.XLOOKUP(Tabla4[[#This Row],[ID CLIENTE]],'RESUMEN CLIENTES'!D:D,'RESUMEN CLIENTES'!G:G)</f>
        <v>45658</v>
      </c>
      <c r="S571" s="88" t="str">
        <f>+_xlfn.XLOOKUP(Tabla4[[#This Row],[ID CLIENTE]],'RESUMEN CLIENTES'!D:D,'RESUMEN CLIENTES'!AA:AA)</f>
        <v>-</v>
      </c>
      <c r="T571" s="680" t="str">
        <f>+_xlfn.XLOOKUP(Tabla4[[#This Row],[ID CLIENTE]],'RESUMEN CLIENTES'!D:D,'RESUMEN CLIENTES'!C:C)</f>
        <v>El Salvador</v>
      </c>
    </row>
    <row r="572" spans="1:20" ht="16">
      <c r="A572" s="82">
        <v>45960</v>
      </c>
      <c r="B572" s="82" t="str">
        <f>+_xlfn.XLOOKUP(Tabla4[[#This Row],[ID CLIENTE]],'RESUMEN CLIENTES'!D:D,'RESUMEN CLIENTES'!A:A)</f>
        <v>Alejandra Goretti Figueroa Romo</v>
      </c>
      <c r="C572" s="83" t="s">
        <v>2323</v>
      </c>
      <c r="D572" s="83" t="s">
        <v>541</v>
      </c>
      <c r="E572" s="83" t="s">
        <v>1258</v>
      </c>
      <c r="F572" s="83" t="s">
        <v>1259</v>
      </c>
      <c r="G572" s="84">
        <v>1000</v>
      </c>
      <c r="H572" s="85">
        <v>-32.75</v>
      </c>
      <c r="I572" s="86">
        <f t="shared" si="18"/>
        <v>3.2750000000000001E-2</v>
      </c>
      <c r="J572" s="87">
        <f t="shared" si="19"/>
        <v>967.25</v>
      </c>
      <c r="K572" s="87"/>
      <c r="L572" s="87" t="s">
        <v>4672</v>
      </c>
      <c r="M572" s="87"/>
      <c r="N572" s="524"/>
      <c r="O572" s="524">
        <f>+Tabla4[[#This Row],[PAGO NO EURO]]+Tabla4[[#This Row],[CARGO NO EURO]]</f>
        <v>0</v>
      </c>
      <c r="P572" s="524"/>
      <c r="Q572" s="88"/>
      <c r="R572" s="689">
        <f>+_xlfn.XLOOKUP(Tabla4[[#This Row],[ID CLIENTE]],'RESUMEN CLIENTES'!D:D,'RESUMEN CLIENTES'!G:G)</f>
        <v>45867</v>
      </c>
      <c r="S572" s="88" t="str">
        <f>+_xlfn.XLOOKUP(Tabla4[[#This Row],[ID CLIENTE]],'RESUMEN CLIENTES'!D:D,'RESUMEN CLIENTES'!AA:AA)</f>
        <v>A2.2</v>
      </c>
      <c r="T572" s="680" t="str">
        <f>+_xlfn.XLOOKUP(Tabla4[[#This Row],[ID CLIENTE]],'RESUMEN CLIENTES'!D:D,'RESUMEN CLIENTES'!C:C)</f>
        <v>México</v>
      </c>
    </row>
    <row r="573" spans="1:20" ht="16">
      <c r="A573" s="82">
        <v>45960</v>
      </c>
      <c r="B573" s="82" t="str">
        <f>+_xlfn.XLOOKUP(Tabla4[[#This Row],[ID CLIENTE]],'RESUMEN CLIENTES'!D:D,'RESUMEN CLIENTES'!A:A)</f>
        <v>Carlos Mersaim Olivares Sandoval</v>
      </c>
      <c r="C573" s="83" t="s">
        <v>2300</v>
      </c>
      <c r="D573" s="83" t="s">
        <v>479</v>
      </c>
      <c r="E573" s="83" t="s">
        <v>1264</v>
      </c>
      <c r="F573" s="83" t="s">
        <v>1265</v>
      </c>
      <c r="G573" s="84">
        <v>700</v>
      </c>
      <c r="H573" s="85">
        <v>-23</v>
      </c>
      <c r="I573" s="86">
        <f t="shared" si="18"/>
        <v>3.2857142857142856E-2</v>
      </c>
      <c r="J573" s="87">
        <f t="shared" si="19"/>
        <v>677</v>
      </c>
      <c r="K573" s="87"/>
      <c r="L573" s="87" t="s">
        <v>4672</v>
      </c>
      <c r="M573" s="87"/>
      <c r="N573" s="524"/>
      <c r="O573" s="524">
        <f>+Tabla4[[#This Row],[PAGO NO EURO]]+Tabla4[[#This Row],[CARGO NO EURO]]</f>
        <v>0</v>
      </c>
      <c r="P573" s="524"/>
      <c r="Q573" s="88"/>
      <c r="R573" s="689">
        <f>+_xlfn.XLOOKUP(Tabla4[[#This Row],[ID CLIENTE]],'RESUMEN CLIENTES'!D:D,'RESUMEN CLIENTES'!G:G)</f>
        <v>45852</v>
      </c>
      <c r="S573" s="88" t="str">
        <f>+_xlfn.XLOOKUP(Tabla4[[#This Row],[ID CLIENTE]],'RESUMEN CLIENTES'!D:D,'RESUMEN CLIENTES'!AA:AA)</f>
        <v>A1.1</v>
      </c>
      <c r="T573" s="680" t="str">
        <f>+_xlfn.XLOOKUP(Tabla4[[#This Row],[ID CLIENTE]],'RESUMEN CLIENTES'!D:D,'RESUMEN CLIENTES'!C:C)</f>
        <v>México</v>
      </c>
    </row>
    <row r="574" spans="1:20" ht="16">
      <c r="A574" s="82">
        <v>45960</v>
      </c>
      <c r="B574" s="82" t="str">
        <f>+_xlfn.XLOOKUP(Tabla4[[#This Row],[ID CLIENTE]],'RESUMEN CLIENTES'!D:D,'RESUMEN CLIENTES'!A:A)</f>
        <v>Angie Pérez Cáceres</v>
      </c>
      <c r="C574" s="83" t="s">
        <v>2321</v>
      </c>
      <c r="D574" s="83" t="s">
        <v>527</v>
      </c>
      <c r="E574" s="83" t="s">
        <v>1286</v>
      </c>
      <c r="F574" s="83" t="s">
        <v>1287</v>
      </c>
      <c r="G574" s="84">
        <v>1000</v>
      </c>
      <c r="H574" s="85">
        <v>-32.75</v>
      </c>
      <c r="I574" s="86">
        <f t="shared" si="18"/>
        <v>3.2750000000000001E-2</v>
      </c>
      <c r="J574" s="87">
        <f t="shared" si="19"/>
        <v>967.25</v>
      </c>
      <c r="K574" s="87"/>
      <c r="L574" s="87" t="s">
        <v>4672</v>
      </c>
      <c r="M574" s="87"/>
      <c r="N574" s="524"/>
      <c r="O574" s="524">
        <f>+Tabla4[[#This Row],[PAGO NO EURO]]+Tabla4[[#This Row],[CARGO NO EURO]]</f>
        <v>0</v>
      </c>
      <c r="P574" s="524"/>
      <c r="Q574" s="88"/>
      <c r="R574" s="689">
        <f>+_xlfn.XLOOKUP(Tabla4[[#This Row],[ID CLIENTE]],'RESUMEN CLIENTES'!D:D,'RESUMEN CLIENTES'!G:G)</f>
        <v>45867</v>
      </c>
      <c r="S574" s="88" t="str">
        <f>+_xlfn.XLOOKUP(Tabla4[[#This Row],[ID CLIENTE]],'RESUMEN CLIENTES'!D:D,'RESUMEN CLIENTES'!AA:AA)</f>
        <v>A1.1</v>
      </c>
      <c r="T574" s="680" t="str">
        <f>+_xlfn.XLOOKUP(Tabla4[[#This Row],[ID CLIENTE]],'RESUMEN CLIENTES'!D:D,'RESUMEN CLIENTES'!C:C)</f>
        <v>Perú</v>
      </c>
    </row>
    <row r="575" spans="1:20" ht="16">
      <c r="A575" s="82">
        <v>45960</v>
      </c>
      <c r="B575" s="82" t="str">
        <f>+_xlfn.XLOOKUP(Tabla4[[#This Row],[ID CLIENTE]],'RESUMEN CLIENTES'!D:D,'RESUMEN CLIENTES'!A:A)</f>
        <v>Karenn Yadira Tavera Lara</v>
      </c>
      <c r="C575" s="83" t="s">
        <v>2424</v>
      </c>
      <c r="D575" s="83" t="s">
        <v>1001</v>
      </c>
      <c r="E575" s="83" t="s">
        <v>1211</v>
      </c>
      <c r="F575" s="83" t="s">
        <v>1212</v>
      </c>
      <c r="G575" s="84">
        <v>1000</v>
      </c>
      <c r="H575" s="85">
        <v>-32.75</v>
      </c>
      <c r="I575" s="86">
        <f t="shared" si="18"/>
        <v>3.2750000000000001E-2</v>
      </c>
      <c r="J575" s="87">
        <f t="shared" si="19"/>
        <v>967.25</v>
      </c>
      <c r="K575" s="87"/>
      <c r="L575" s="87" t="s">
        <v>4672</v>
      </c>
      <c r="M575" s="87"/>
      <c r="N575" s="524"/>
      <c r="O575" s="524">
        <f>+Tabla4[[#This Row],[PAGO NO EURO]]+Tabla4[[#This Row],[CARGO NO EURO]]</f>
        <v>0</v>
      </c>
      <c r="P575" s="524"/>
      <c r="Q575" s="88"/>
      <c r="R575" s="689">
        <f>+_xlfn.XLOOKUP(Tabla4[[#This Row],[ID CLIENTE]],'RESUMEN CLIENTES'!D:D,'RESUMEN CLIENTES'!G:G)</f>
        <v>45919</v>
      </c>
      <c r="S575" s="88" t="str">
        <f>+_xlfn.XLOOKUP(Tabla4[[#This Row],[ID CLIENTE]],'RESUMEN CLIENTES'!D:D,'RESUMEN CLIENTES'!AA:AA)</f>
        <v>A1.1</v>
      </c>
      <c r="T575" s="680" t="str">
        <f>+_xlfn.XLOOKUP(Tabla4[[#This Row],[ID CLIENTE]],'RESUMEN CLIENTES'!D:D,'RESUMEN CLIENTES'!C:C)</f>
        <v>México</v>
      </c>
    </row>
    <row r="576" spans="1:20" ht="16">
      <c r="A576" s="82">
        <v>45960</v>
      </c>
      <c r="B576" s="82" t="str">
        <f>+_xlfn.XLOOKUP(Tabla4[[#This Row],[ID CLIENTE]],'RESUMEN CLIENTES'!D:D,'RESUMEN CLIENTES'!A:A)</f>
        <v>Hector Armando Daza Mejia</v>
      </c>
      <c r="C576" s="83" t="s">
        <v>2133</v>
      </c>
      <c r="D576" s="83" t="s">
        <v>106</v>
      </c>
      <c r="E576" s="83" t="s">
        <v>1272</v>
      </c>
      <c r="F576" s="83" t="s">
        <v>1273</v>
      </c>
      <c r="G576" s="84">
        <v>1500</v>
      </c>
      <c r="H576" s="85">
        <v>-49</v>
      </c>
      <c r="I576" s="86">
        <f t="shared" si="18"/>
        <v>3.2666666666666663E-2</v>
      </c>
      <c r="J576" s="87">
        <f t="shared" si="19"/>
        <v>1451</v>
      </c>
      <c r="K576" s="87"/>
      <c r="L576" s="87" t="s">
        <v>4672</v>
      </c>
      <c r="M576" s="87"/>
      <c r="N576" s="524"/>
      <c r="O576" s="524">
        <f>+Tabla4[[#This Row],[PAGO NO EURO]]+Tabla4[[#This Row],[CARGO NO EURO]]</f>
        <v>0</v>
      </c>
      <c r="P576" s="524"/>
      <c r="Q576" s="88"/>
      <c r="R576" s="689">
        <f>+_xlfn.XLOOKUP(Tabla4[[#This Row],[ID CLIENTE]],'RESUMEN CLIENTES'!D:D,'RESUMEN CLIENTES'!G:G)</f>
        <v>45726</v>
      </c>
      <c r="S576" s="88" t="str">
        <f>+_xlfn.XLOOKUP(Tabla4[[#This Row],[ID CLIENTE]],'RESUMEN CLIENTES'!D:D,'RESUMEN CLIENTES'!AA:AA)</f>
        <v>B1.2</v>
      </c>
      <c r="T576" s="680" t="str">
        <f>+_xlfn.XLOOKUP(Tabla4[[#This Row],[ID CLIENTE]],'RESUMEN CLIENTES'!D:D,'RESUMEN CLIENTES'!C:C)</f>
        <v>Colombia</v>
      </c>
    </row>
    <row r="577" spans="1:20" ht="16">
      <c r="A577" s="82">
        <v>45960</v>
      </c>
      <c r="B577" s="82" t="str">
        <f>+_xlfn.XLOOKUP(Tabla4[[#This Row],[ID CLIENTE]],'RESUMEN CLIENTES'!D:D,'RESUMEN CLIENTES'!A:A)</f>
        <v>María Lucero de Jesús Barrios Sazo</v>
      </c>
      <c r="C577" s="83" t="s">
        <v>2332</v>
      </c>
      <c r="D577" s="83" t="s">
        <v>590</v>
      </c>
      <c r="E577" s="83" t="s">
        <v>1278</v>
      </c>
      <c r="F577" s="83" t="s">
        <v>1279</v>
      </c>
      <c r="G577" s="84">
        <v>700</v>
      </c>
      <c r="H577" s="85">
        <v>-23</v>
      </c>
      <c r="I577" s="86">
        <f t="shared" si="18"/>
        <v>3.2857142857142856E-2</v>
      </c>
      <c r="J577" s="87">
        <f t="shared" si="19"/>
        <v>677</v>
      </c>
      <c r="K577" s="87"/>
      <c r="L577" s="87" t="s">
        <v>4672</v>
      </c>
      <c r="M577" s="87"/>
      <c r="N577" s="524"/>
      <c r="O577" s="524">
        <f>+Tabla4[[#This Row],[PAGO NO EURO]]+Tabla4[[#This Row],[CARGO NO EURO]]</f>
        <v>0</v>
      </c>
      <c r="P577" s="524"/>
      <c r="Q577" s="88"/>
      <c r="R577" s="689">
        <f>+_xlfn.XLOOKUP(Tabla4[[#This Row],[ID CLIENTE]],'RESUMEN CLIENTES'!D:D,'RESUMEN CLIENTES'!G:G)</f>
        <v>45869</v>
      </c>
      <c r="S577" s="88" t="str">
        <f>+_xlfn.XLOOKUP(Tabla4[[#This Row],[ID CLIENTE]],'RESUMEN CLIENTES'!D:D,'RESUMEN CLIENTES'!AA:AA)</f>
        <v>-</v>
      </c>
      <c r="T577" s="680" t="str">
        <f>+_xlfn.XLOOKUP(Tabla4[[#This Row],[ID CLIENTE]],'RESUMEN CLIENTES'!D:D,'RESUMEN CLIENTES'!C:C)</f>
        <v>Guatemala</v>
      </c>
    </row>
    <row r="578" spans="1:20" ht="16">
      <c r="A578" s="82">
        <v>45960</v>
      </c>
      <c r="B578" s="82" t="str">
        <f>+_xlfn.XLOOKUP(Tabla4[[#This Row],[ID CLIENTE]],'RESUMEN CLIENTES'!D:D,'RESUMEN CLIENTES'!A:A)</f>
        <v>Luis Manuel Villanueva Contreras</v>
      </c>
      <c r="C578" s="83" t="s">
        <v>2286</v>
      </c>
      <c r="D578" s="83" t="s">
        <v>441</v>
      </c>
      <c r="E578" s="83" t="s">
        <v>1276</v>
      </c>
      <c r="F578" s="83" t="s">
        <v>1277</v>
      </c>
      <c r="G578" s="84">
        <v>1000</v>
      </c>
      <c r="H578" s="85">
        <v>-32.75</v>
      </c>
      <c r="I578" s="86">
        <f t="shared" si="18"/>
        <v>3.2750000000000001E-2</v>
      </c>
      <c r="J578" s="87">
        <f t="shared" si="19"/>
        <v>967.25</v>
      </c>
      <c r="K578" s="87"/>
      <c r="L578" s="87" t="s">
        <v>4672</v>
      </c>
      <c r="M578" s="87"/>
      <c r="N578" s="524"/>
      <c r="O578" s="524">
        <f>+Tabla4[[#This Row],[PAGO NO EURO]]+Tabla4[[#This Row],[CARGO NO EURO]]</f>
        <v>0</v>
      </c>
      <c r="P578" s="524"/>
      <c r="Q578" s="88"/>
      <c r="R578" s="689">
        <f>+_xlfn.XLOOKUP(Tabla4[[#This Row],[ID CLIENTE]],'RESUMEN CLIENTES'!D:D,'RESUMEN CLIENTES'!G:G)</f>
        <v>45845</v>
      </c>
      <c r="S578" s="88" t="str">
        <f>+_xlfn.XLOOKUP(Tabla4[[#This Row],[ID CLIENTE]],'RESUMEN CLIENTES'!D:D,'RESUMEN CLIENTES'!AA:AA)</f>
        <v>A2.1</v>
      </c>
      <c r="T578" s="680" t="str">
        <f>+_xlfn.XLOOKUP(Tabla4[[#This Row],[ID CLIENTE]],'RESUMEN CLIENTES'!D:D,'RESUMEN CLIENTES'!C:C)</f>
        <v>México</v>
      </c>
    </row>
    <row r="579" spans="1:20" ht="16">
      <c r="A579" s="82">
        <v>45960</v>
      </c>
      <c r="B579" s="82" t="str">
        <f>+_xlfn.XLOOKUP(Tabla4[[#This Row],[ID CLIENTE]],'RESUMEN CLIENTES'!D:D,'RESUMEN CLIENTES'!A:A)</f>
        <v>Miguel Angel Sisalima Shiña</v>
      </c>
      <c r="C579" s="83" t="s">
        <v>2242</v>
      </c>
      <c r="D579" s="83" t="s">
        <v>314</v>
      </c>
      <c r="E579" s="83" t="s">
        <v>1280</v>
      </c>
      <c r="F579" s="83" t="s">
        <v>1281</v>
      </c>
      <c r="G579" s="84">
        <v>1000</v>
      </c>
      <c r="H579" s="85">
        <v>-32.75</v>
      </c>
      <c r="I579" s="86">
        <f t="shared" si="18"/>
        <v>3.2750000000000001E-2</v>
      </c>
      <c r="J579" s="87">
        <f t="shared" si="19"/>
        <v>967.25</v>
      </c>
      <c r="K579" s="87"/>
      <c r="L579" s="87" t="s">
        <v>4672</v>
      </c>
      <c r="M579" s="87"/>
      <c r="N579" s="524"/>
      <c r="O579" s="524">
        <f>+Tabla4[[#This Row],[PAGO NO EURO]]+Tabla4[[#This Row],[CARGO NO EURO]]</f>
        <v>0</v>
      </c>
      <c r="P579" s="524"/>
      <c r="Q579" s="88"/>
      <c r="R579" s="689">
        <f>+_xlfn.XLOOKUP(Tabla4[[#This Row],[ID CLIENTE]],'RESUMEN CLIENTES'!D:D,'RESUMEN CLIENTES'!G:G)</f>
        <v>45816</v>
      </c>
      <c r="S579" s="88" t="str">
        <f>+_xlfn.XLOOKUP(Tabla4[[#This Row],[ID CLIENTE]],'RESUMEN CLIENTES'!D:D,'RESUMEN CLIENTES'!AA:AA)</f>
        <v>A1.1</v>
      </c>
      <c r="T579" s="680" t="str">
        <f>+_xlfn.XLOOKUP(Tabla4[[#This Row],[ID CLIENTE]],'RESUMEN CLIENTES'!D:D,'RESUMEN CLIENTES'!C:C)</f>
        <v>Ecuador</v>
      </c>
    </row>
    <row r="580" spans="1:20" ht="16">
      <c r="A580" s="82">
        <v>45960</v>
      </c>
      <c r="B580" s="82" t="str">
        <f>+_xlfn.XLOOKUP(Tabla4[[#This Row],[ID CLIENTE]],'RESUMEN CLIENTES'!D:D,'RESUMEN CLIENTES'!A:A)</f>
        <v>Rainier Guerrero</v>
      </c>
      <c r="C580" s="83" t="s">
        <v>2263</v>
      </c>
      <c r="D580" s="83" t="s">
        <v>350</v>
      </c>
      <c r="E580" s="83" t="s">
        <v>1284</v>
      </c>
      <c r="F580" s="83" t="s">
        <v>1285</v>
      </c>
      <c r="G580" s="84">
        <v>1000</v>
      </c>
      <c r="H580" s="85">
        <v>-32.75</v>
      </c>
      <c r="I580" s="86">
        <f t="shared" si="18"/>
        <v>3.2750000000000001E-2</v>
      </c>
      <c r="J580" s="87">
        <f t="shared" si="19"/>
        <v>967.25</v>
      </c>
      <c r="K580" s="87"/>
      <c r="L580" s="87" t="s">
        <v>4672</v>
      </c>
      <c r="M580" s="87"/>
      <c r="N580" s="524"/>
      <c r="O580" s="524">
        <f>+Tabla4[[#This Row],[PAGO NO EURO]]+Tabla4[[#This Row],[CARGO NO EURO]]</f>
        <v>0</v>
      </c>
      <c r="P580" s="524"/>
      <c r="Q580" s="88"/>
      <c r="R580" s="689">
        <f>+_xlfn.XLOOKUP(Tabla4[[#This Row],[ID CLIENTE]],'RESUMEN CLIENTES'!D:D,'RESUMEN CLIENTES'!G:G)</f>
        <v>45827</v>
      </c>
      <c r="S580" s="88" t="str">
        <f>+_xlfn.XLOOKUP(Tabla4[[#This Row],[ID CLIENTE]],'RESUMEN CLIENTES'!D:D,'RESUMEN CLIENTES'!AA:AA)</f>
        <v>A1.1</v>
      </c>
      <c r="T580" s="680" t="str">
        <f>+_xlfn.XLOOKUP(Tabla4[[#This Row],[ID CLIENTE]],'RESUMEN CLIENTES'!D:D,'RESUMEN CLIENTES'!C:C)</f>
        <v>México</v>
      </c>
    </row>
    <row r="581" spans="1:20" ht="16">
      <c r="A581" s="82">
        <v>45961</v>
      </c>
      <c r="B581" s="82" t="str">
        <f>+_xlfn.XLOOKUP(Tabla4[[#This Row],[ID CLIENTE]],'RESUMEN CLIENTES'!D:D,'RESUMEN CLIENTES'!A:A)</f>
        <v>Fernando José Fuentes Bárcenas</v>
      </c>
      <c r="C581" s="83" t="s">
        <v>2414</v>
      </c>
      <c r="D581" s="83" t="s">
        <v>952</v>
      </c>
      <c r="E581" s="83" t="s">
        <v>1294</v>
      </c>
      <c r="F581" s="83" t="s">
        <v>1295</v>
      </c>
      <c r="G581" s="84">
        <v>1000</v>
      </c>
      <c r="H581" s="85">
        <v>-32.75</v>
      </c>
      <c r="I581" s="86">
        <f t="shared" si="18"/>
        <v>3.2750000000000001E-2</v>
      </c>
      <c r="J581" s="87">
        <f t="shared" si="19"/>
        <v>967.25</v>
      </c>
      <c r="K581" s="87"/>
      <c r="L581" s="87" t="s">
        <v>4672</v>
      </c>
      <c r="M581" s="87"/>
      <c r="N581" s="524"/>
      <c r="O581" s="524">
        <f>+Tabla4[[#This Row],[PAGO NO EURO]]+Tabla4[[#This Row],[CARGO NO EURO]]</f>
        <v>0</v>
      </c>
      <c r="P581" s="524"/>
      <c r="Q581" s="88"/>
      <c r="R581" s="689">
        <f>+_xlfn.XLOOKUP(Tabla4[[#This Row],[ID CLIENTE]],'RESUMEN CLIENTES'!D:D,'RESUMEN CLIENTES'!G:G)</f>
        <v>45913</v>
      </c>
      <c r="S581" s="88" t="str">
        <f>+_xlfn.XLOOKUP(Tabla4[[#This Row],[ID CLIENTE]],'RESUMEN CLIENTES'!D:D,'RESUMEN CLIENTES'!AA:AA)</f>
        <v>null</v>
      </c>
      <c r="T581" s="680" t="str">
        <f>+_xlfn.XLOOKUP(Tabla4[[#This Row],[ID CLIENTE]],'RESUMEN CLIENTES'!D:D,'RESUMEN CLIENTES'!C:C)</f>
        <v>El Salvador</v>
      </c>
    </row>
    <row r="582" spans="1:20" ht="16">
      <c r="A582" s="82">
        <v>45961</v>
      </c>
      <c r="B582" s="82" t="str">
        <f>+_xlfn.XLOOKUP(Tabla4[[#This Row],[ID CLIENTE]],'RESUMEN CLIENTES'!D:D,'RESUMEN CLIENTES'!A:A)</f>
        <v>Karenn Yadira Tavera Lara</v>
      </c>
      <c r="C582" s="83" t="s">
        <v>2424</v>
      </c>
      <c r="D582" s="83" t="s">
        <v>1001</v>
      </c>
      <c r="E582" s="83" t="s">
        <v>1424</v>
      </c>
      <c r="F582" s="83" t="s">
        <v>1425</v>
      </c>
      <c r="G582" s="84">
        <v>1000</v>
      </c>
      <c r="H582" s="85">
        <v>-32.75</v>
      </c>
      <c r="I582" s="86">
        <f t="shared" si="18"/>
        <v>3.2750000000000001E-2</v>
      </c>
      <c r="J582" s="87">
        <f t="shared" si="19"/>
        <v>967.25</v>
      </c>
      <c r="K582" s="87"/>
      <c r="L582" s="87" t="s">
        <v>4672</v>
      </c>
      <c r="M582" s="87"/>
      <c r="N582" s="524"/>
      <c r="O582" s="524">
        <f>+Tabla4[[#This Row],[PAGO NO EURO]]+Tabla4[[#This Row],[CARGO NO EURO]]</f>
        <v>0</v>
      </c>
      <c r="P582" s="524"/>
      <c r="Q582" s="88"/>
      <c r="R582" s="689">
        <f>+_xlfn.XLOOKUP(Tabla4[[#This Row],[ID CLIENTE]],'RESUMEN CLIENTES'!D:D,'RESUMEN CLIENTES'!G:G)</f>
        <v>45919</v>
      </c>
      <c r="S582" s="88" t="str">
        <f>+_xlfn.XLOOKUP(Tabla4[[#This Row],[ID CLIENTE]],'RESUMEN CLIENTES'!D:D,'RESUMEN CLIENTES'!AA:AA)</f>
        <v>A1.1</v>
      </c>
      <c r="T582" s="680" t="str">
        <f>+_xlfn.XLOOKUP(Tabla4[[#This Row],[ID CLIENTE]],'RESUMEN CLIENTES'!D:D,'RESUMEN CLIENTES'!C:C)</f>
        <v>México</v>
      </c>
    </row>
    <row r="583" spans="1:20" ht="16">
      <c r="A583" s="82">
        <v>45961</v>
      </c>
      <c r="B583" s="82" t="str">
        <f>+_xlfn.XLOOKUP(Tabla4[[#This Row],[ID CLIENTE]],'RESUMEN CLIENTES'!D:D,'RESUMEN CLIENTES'!A:A)</f>
        <v>Maria Laura Rios Pino</v>
      </c>
      <c r="C583" s="83" t="s">
        <v>2220</v>
      </c>
      <c r="D583" s="83" t="s">
        <v>258</v>
      </c>
      <c r="E583" s="83" t="s">
        <v>1302</v>
      </c>
      <c r="F583" s="83" t="s">
        <v>1303</v>
      </c>
      <c r="G583" s="84">
        <f>+Tabla4[[#This Row],[PAGO NO EURO]]*Tabla4[[#This Row],[CAMBIO]]</f>
        <v>639.00485643690888</v>
      </c>
      <c r="H583" s="85">
        <f>+Tabla4[[#This Row],[CARGO NO EURO]]*Tabla4[[#This Row],[CAMBIO]]</f>
        <v>-21.027519809150551</v>
      </c>
      <c r="I583" s="86">
        <f t="shared" si="18"/>
        <v>3.2906666666666667E-2</v>
      </c>
      <c r="J583" s="87">
        <f t="shared" si="19"/>
        <v>617.97733662775829</v>
      </c>
      <c r="K583" s="87"/>
      <c r="L583" s="87" t="s">
        <v>4672</v>
      </c>
      <c r="M583" s="87" t="s">
        <v>2548</v>
      </c>
      <c r="N583" s="524">
        <v>750</v>
      </c>
      <c r="O583" s="524">
        <f>+Tabla4[[#This Row],[PAGO NO EURO]]+Tabla4[[#This Row],[CARGO NO EURO]]</f>
        <v>725.32</v>
      </c>
      <c r="P583" s="524">
        <v>-24.68</v>
      </c>
      <c r="Q583" s="88">
        <v>0.85200647524921191</v>
      </c>
      <c r="R583" s="689">
        <f>+_xlfn.XLOOKUP(Tabla4[[#This Row],[ID CLIENTE]],'RESUMEN CLIENTES'!D:D,'RESUMEN CLIENTES'!G:G)</f>
        <v>45805</v>
      </c>
      <c r="S583" s="88" t="str">
        <f>+_xlfn.XLOOKUP(Tabla4[[#This Row],[ID CLIENTE]],'RESUMEN CLIENTES'!D:D,'RESUMEN CLIENTES'!AA:AA)</f>
        <v>B1.1</v>
      </c>
      <c r="T583" s="680" t="str">
        <f>+_xlfn.XLOOKUP(Tabla4[[#This Row],[ID CLIENTE]],'RESUMEN CLIENTES'!D:D,'RESUMEN CLIENTES'!C:C)</f>
        <v>Perú</v>
      </c>
    </row>
    <row r="584" spans="1:20" ht="16">
      <c r="A584" s="82">
        <v>45961</v>
      </c>
      <c r="B584" s="82" t="str">
        <f>+_xlfn.XLOOKUP(Tabla4[[#This Row],[ID CLIENTE]],'RESUMEN CLIENTES'!D:D,'RESUMEN CLIENTES'!A:A)</f>
        <v>Virna Nathaly Montenegro Samaniego</v>
      </c>
      <c r="C584" s="83" t="s">
        <v>2349</v>
      </c>
      <c r="D584" s="83" t="s">
        <v>706</v>
      </c>
      <c r="E584" s="83" t="s">
        <v>1472</v>
      </c>
      <c r="F584" s="83" t="s">
        <v>1473</v>
      </c>
      <c r="G584" s="84">
        <v>1000</v>
      </c>
      <c r="H584" s="85">
        <v>-5</v>
      </c>
      <c r="I584" s="86">
        <f t="shared" si="18"/>
        <v>5.0000000000000001E-3</v>
      </c>
      <c r="J584" s="87">
        <f t="shared" si="19"/>
        <v>995</v>
      </c>
      <c r="K584" s="87"/>
      <c r="L584" s="87" t="s">
        <v>4672</v>
      </c>
      <c r="M584" s="87"/>
      <c r="N584" s="90"/>
      <c r="O584" s="90"/>
      <c r="P584" s="90"/>
      <c r="Q584" s="155"/>
      <c r="R584" s="693">
        <f>+_xlfn.XLOOKUP(Tabla4[[#This Row],[ID CLIENTE]],'RESUMEN CLIENTES'!D:D,'RESUMEN CLIENTES'!G:G)</f>
        <v>45878</v>
      </c>
      <c r="S584" s="155" t="str">
        <f>+_xlfn.XLOOKUP(Tabla4[[#This Row],[ID CLIENTE]],'RESUMEN CLIENTES'!D:D,'RESUMEN CLIENTES'!AA:AA)</f>
        <v>A1 komplett</v>
      </c>
      <c r="T584" s="682" t="str">
        <f>+_xlfn.XLOOKUP(Tabla4[[#This Row],[ID CLIENTE]],'RESUMEN CLIENTES'!D:D,'RESUMEN CLIENTES'!C:C)</f>
        <v>Ecuador</v>
      </c>
    </row>
    <row r="585" spans="1:20" ht="16">
      <c r="A585" s="82">
        <v>45961</v>
      </c>
      <c r="B585" s="82" t="str">
        <f>+_xlfn.XLOOKUP(Tabla4[[#This Row],[ID CLIENTE]],'RESUMEN CLIENTES'!D:D,'RESUMEN CLIENTES'!A:A)</f>
        <v>Gilberto Martiñon Torres</v>
      </c>
      <c r="C585" s="83" t="s">
        <v>2375</v>
      </c>
      <c r="D585" s="83" t="s">
        <v>739</v>
      </c>
      <c r="E585" s="83" t="s">
        <v>1270</v>
      </c>
      <c r="F585" s="83" t="s">
        <v>1271</v>
      </c>
      <c r="G585" s="84">
        <v>700</v>
      </c>
      <c r="H585" s="85">
        <v>-23</v>
      </c>
      <c r="I585" s="86">
        <f t="shared" si="18"/>
        <v>3.2857142857142856E-2</v>
      </c>
      <c r="J585" s="87">
        <f t="shared" si="19"/>
        <v>677</v>
      </c>
      <c r="K585" s="87"/>
      <c r="L585" s="87" t="s">
        <v>4672</v>
      </c>
      <c r="M585" s="87"/>
      <c r="N585" s="524"/>
      <c r="O585" s="524">
        <f>+Tabla4[[#This Row],[PAGO NO EURO]]+Tabla4[[#This Row],[CARGO NO EURO]]</f>
        <v>0</v>
      </c>
      <c r="P585" s="524"/>
      <c r="Q585" s="88"/>
      <c r="R585" s="689">
        <f>+_xlfn.XLOOKUP(Tabla4[[#This Row],[ID CLIENTE]],'RESUMEN CLIENTES'!D:D,'RESUMEN CLIENTES'!G:G)</f>
        <v>45896</v>
      </c>
      <c r="S585" s="88" t="str">
        <f>+_xlfn.XLOOKUP(Tabla4[[#This Row],[ID CLIENTE]],'RESUMEN CLIENTES'!D:D,'RESUMEN CLIENTES'!AA:AA)</f>
        <v>A1.1</v>
      </c>
      <c r="T585" s="680" t="str">
        <f>+_xlfn.XLOOKUP(Tabla4[[#This Row],[ID CLIENTE]],'RESUMEN CLIENTES'!D:D,'RESUMEN CLIENTES'!C:C)</f>
        <v>México</v>
      </c>
    </row>
    <row r="586" spans="1:20" ht="16">
      <c r="A586" s="82">
        <v>45961</v>
      </c>
      <c r="B586" s="82" t="str">
        <f>+_xlfn.XLOOKUP(Tabla4[[#This Row],[ID CLIENTE]],'RESUMEN CLIENTES'!D:D,'RESUMEN CLIENTES'!A:A)</f>
        <v>Maria Antonieta Xochitl Padua Garcia</v>
      </c>
      <c r="C586" s="83" t="s">
        <v>2447</v>
      </c>
      <c r="D586" s="83" t="s">
        <v>2448</v>
      </c>
      <c r="E586" s="83" t="s">
        <v>2637</v>
      </c>
      <c r="F586" s="83" t="s">
        <v>2638</v>
      </c>
      <c r="G586" s="84">
        <v>50</v>
      </c>
      <c r="H586" s="85">
        <v>-1.88</v>
      </c>
      <c r="I586" s="86">
        <f t="shared" si="18"/>
        <v>3.7599999999999995E-2</v>
      </c>
      <c r="J586" s="87">
        <f t="shared" si="19"/>
        <v>48.12</v>
      </c>
      <c r="K586" s="87"/>
      <c r="L586" s="87" t="s">
        <v>4672</v>
      </c>
      <c r="M586" s="87"/>
      <c r="N586" s="524"/>
      <c r="O586" s="524">
        <f>+Tabla4[[#This Row],[PAGO NO EURO]]+Tabla4[[#This Row],[CARGO NO EURO]]</f>
        <v>0</v>
      </c>
      <c r="P586" s="524"/>
      <c r="Q586" s="88"/>
      <c r="R586" s="689">
        <f>+_xlfn.XLOOKUP(Tabla4[[#This Row],[ID CLIENTE]],'RESUMEN CLIENTES'!D:D,'RESUMEN CLIENTES'!G:G)</f>
        <v>45961</v>
      </c>
      <c r="S586" s="88" t="str">
        <f>+_xlfn.XLOOKUP(Tabla4[[#This Row],[ID CLIENTE]],'RESUMEN CLIENTES'!D:D,'RESUMEN CLIENTES'!AA:AA)</f>
        <v>null</v>
      </c>
      <c r="T586" s="680" t="str">
        <f>+_xlfn.XLOOKUP(Tabla4[[#This Row],[ID CLIENTE]],'RESUMEN CLIENTES'!D:D,'RESUMEN CLIENTES'!C:C)</f>
        <v>México</v>
      </c>
    </row>
    <row r="587" spans="1:20" ht="16">
      <c r="A587" s="82">
        <v>45962</v>
      </c>
      <c r="B587" s="82" t="str">
        <f>+_xlfn.XLOOKUP(Tabla4[[#This Row],[ID CLIENTE]],'RESUMEN CLIENTES'!D:D,'RESUMEN CLIENTES'!A:A)</f>
        <v>Edgar Vinicio Escalante Fiallos</v>
      </c>
      <c r="C587" s="83" t="s">
        <v>2412</v>
      </c>
      <c r="D587" s="83" t="s">
        <v>933</v>
      </c>
      <c r="E587" s="83" t="s">
        <v>1181</v>
      </c>
      <c r="F587" s="83" t="s">
        <v>1182</v>
      </c>
      <c r="G587" s="84">
        <v>4400</v>
      </c>
      <c r="H587" s="85">
        <v>-143.25</v>
      </c>
      <c r="I587" s="86">
        <f t="shared" si="18"/>
        <v>3.255681818181818E-2</v>
      </c>
      <c r="J587" s="87">
        <f t="shared" si="19"/>
        <v>4256.75</v>
      </c>
      <c r="K587" s="87"/>
      <c r="L587" s="87" t="s">
        <v>4672</v>
      </c>
      <c r="M587" s="87"/>
      <c r="N587" s="524"/>
      <c r="O587" s="524">
        <f>+Tabla4[[#This Row],[PAGO NO EURO]]+Tabla4[[#This Row],[CARGO NO EURO]]</f>
        <v>0</v>
      </c>
      <c r="P587" s="524"/>
      <c r="Q587" s="88"/>
      <c r="R587" s="689">
        <f>+_xlfn.XLOOKUP(Tabla4[[#This Row],[ID CLIENTE]],'RESUMEN CLIENTES'!D:D,'RESUMEN CLIENTES'!G:G)</f>
        <v>45909</v>
      </c>
      <c r="S587" s="88" t="str">
        <f>+_xlfn.XLOOKUP(Tabla4[[#This Row],[ID CLIENTE]],'RESUMEN CLIENTES'!D:D,'RESUMEN CLIENTES'!AA:AA)</f>
        <v>A1.1</v>
      </c>
      <c r="T587" s="680" t="str">
        <f>+_xlfn.XLOOKUP(Tabla4[[#This Row],[ID CLIENTE]],'RESUMEN CLIENTES'!D:D,'RESUMEN CLIENTES'!C:C)</f>
        <v>Ecuador</v>
      </c>
    </row>
    <row r="588" spans="1:20" ht="16">
      <c r="A588" s="82">
        <v>45962</v>
      </c>
      <c r="B588" s="82" t="str">
        <f>+_xlfn.XLOOKUP(Tabla4[[#This Row],[ID CLIENTE]],'RESUMEN CLIENTES'!D:D,'RESUMEN CLIENTES'!A:A)</f>
        <v>Julian Medina</v>
      </c>
      <c r="C588" s="83" t="s">
        <v>2294</v>
      </c>
      <c r="D588" s="83" t="s">
        <v>468</v>
      </c>
      <c r="E588" s="83" t="s">
        <v>1288</v>
      </c>
      <c r="F588" s="83" t="s">
        <v>1289</v>
      </c>
      <c r="G588" s="84">
        <v>3750</v>
      </c>
      <c r="H588" s="85">
        <v>-122.13</v>
      </c>
      <c r="I588" s="86">
        <f t="shared" si="18"/>
        <v>3.2568E-2</v>
      </c>
      <c r="J588" s="87">
        <f t="shared" si="19"/>
        <v>3627.87</v>
      </c>
      <c r="K588" s="87"/>
      <c r="L588" s="87" t="s">
        <v>4672</v>
      </c>
      <c r="M588" s="87"/>
      <c r="N588" s="524"/>
      <c r="O588" s="524">
        <f>+Tabla4[[#This Row],[PAGO NO EURO]]+Tabla4[[#This Row],[CARGO NO EURO]]</f>
        <v>0</v>
      </c>
      <c r="P588" s="524"/>
      <c r="Q588" s="88"/>
      <c r="R588" s="689">
        <f>+_xlfn.XLOOKUP(Tabla4[[#This Row],[ID CLIENTE]],'RESUMEN CLIENTES'!D:D,'RESUMEN CLIENTES'!G:G)</f>
        <v>45848</v>
      </c>
      <c r="S588" s="88" t="str">
        <f>+_xlfn.XLOOKUP(Tabla4[[#This Row],[ID CLIENTE]],'RESUMEN CLIENTES'!D:D,'RESUMEN CLIENTES'!AA:AA)</f>
        <v>B1.1</v>
      </c>
      <c r="T588" s="680" t="str">
        <f>+_xlfn.XLOOKUP(Tabla4[[#This Row],[ID CLIENTE]],'RESUMEN CLIENTES'!D:D,'RESUMEN CLIENTES'!C:C)</f>
        <v>Ecuador</v>
      </c>
    </row>
    <row r="589" spans="1:20" ht="16">
      <c r="A589" s="82">
        <v>45962</v>
      </c>
      <c r="B589" s="82" t="str">
        <f>+_xlfn.XLOOKUP(Tabla4[[#This Row],[ID CLIENTE]],'RESUMEN CLIENTES'!D:D,'RESUMEN CLIENTES'!A:A)</f>
        <v>Maria Paula Pereira cardenas</v>
      </c>
      <c r="C589" s="83" t="s">
        <v>2450</v>
      </c>
      <c r="D589" s="83" t="s">
        <v>2451</v>
      </c>
      <c r="E589" s="83" t="s">
        <v>2639</v>
      </c>
      <c r="F589" s="83" t="s">
        <v>2640</v>
      </c>
      <c r="G589" s="84">
        <v>5</v>
      </c>
      <c r="H589" s="85">
        <v>-0.41</v>
      </c>
      <c r="I589" s="86">
        <f t="shared" si="18"/>
        <v>8.199999999999999E-2</v>
      </c>
      <c r="J589" s="87">
        <f t="shared" si="19"/>
        <v>4.59</v>
      </c>
      <c r="K589" s="87"/>
      <c r="L589" s="87" t="s">
        <v>4672</v>
      </c>
      <c r="M589" s="87"/>
      <c r="N589" s="524"/>
      <c r="O589" s="524">
        <f>+Tabla4[[#This Row],[PAGO NO EURO]]+Tabla4[[#This Row],[CARGO NO EURO]]</f>
        <v>0</v>
      </c>
      <c r="P589" s="524"/>
      <c r="Q589" s="88"/>
      <c r="R589" s="689">
        <f>+_xlfn.XLOOKUP(Tabla4[[#This Row],[ID CLIENTE]],'RESUMEN CLIENTES'!D:D,'RESUMEN CLIENTES'!G:G)</f>
        <v>45962</v>
      </c>
      <c r="S589" s="88" t="str">
        <f>+_xlfn.XLOOKUP(Tabla4[[#This Row],[ID CLIENTE]],'RESUMEN CLIENTES'!D:D,'RESUMEN CLIENTES'!AA:AA)</f>
        <v>null</v>
      </c>
      <c r="T589" s="680" t="str">
        <f>+_xlfn.XLOOKUP(Tabla4[[#This Row],[ID CLIENTE]],'RESUMEN CLIENTES'!D:D,'RESUMEN CLIENTES'!C:C)</f>
        <v>Colombia</v>
      </c>
    </row>
    <row r="590" spans="1:20" ht="16">
      <c r="A590" s="82">
        <v>45963</v>
      </c>
      <c r="B590" s="82" t="str">
        <f>+_xlfn.XLOOKUP(Tabla4[[#This Row],[ID CLIENTE]],'RESUMEN CLIENTES'!D:D,'RESUMEN CLIENTES'!A:A)</f>
        <v>Olguer Ariel Pruna Herrera</v>
      </c>
      <c r="C590" s="83" t="s">
        <v>2353</v>
      </c>
      <c r="D590" s="83" t="s">
        <v>695</v>
      </c>
      <c r="E590" s="83" t="s">
        <v>1296</v>
      </c>
      <c r="F590" s="83" t="s">
        <v>1297</v>
      </c>
      <c r="G590" s="84">
        <v>1000</v>
      </c>
      <c r="H590" s="85">
        <v>-32.75</v>
      </c>
      <c r="I590" s="86">
        <f t="shared" si="18"/>
        <v>3.2750000000000001E-2</v>
      </c>
      <c r="J590" s="87">
        <f t="shared" si="19"/>
        <v>967.25</v>
      </c>
      <c r="K590" s="87"/>
      <c r="L590" s="87" t="s">
        <v>4672</v>
      </c>
      <c r="M590" s="87"/>
      <c r="N590" s="524"/>
      <c r="O590" s="524">
        <f>+Tabla4[[#This Row],[PAGO NO EURO]]+Tabla4[[#This Row],[CARGO NO EURO]]</f>
        <v>0</v>
      </c>
      <c r="P590" s="524"/>
      <c r="Q590" s="88"/>
      <c r="R590" s="689">
        <f>+_xlfn.XLOOKUP(Tabla4[[#This Row],[ID CLIENTE]],'RESUMEN CLIENTES'!D:D,'RESUMEN CLIENTES'!G:G)</f>
        <v>45882</v>
      </c>
      <c r="S590" s="88" t="str">
        <f>+_xlfn.XLOOKUP(Tabla4[[#This Row],[ID CLIENTE]],'RESUMEN CLIENTES'!D:D,'RESUMEN CLIENTES'!AA:AA)</f>
        <v>A1.1</v>
      </c>
      <c r="T590" s="680" t="str">
        <f>+_xlfn.XLOOKUP(Tabla4[[#This Row],[ID CLIENTE]],'RESUMEN CLIENTES'!D:D,'RESUMEN CLIENTES'!C:C)</f>
        <v>Ecuador</v>
      </c>
    </row>
    <row r="591" spans="1:20" ht="16">
      <c r="A591" s="82">
        <v>45963</v>
      </c>
      <c r="B591" s="82" t="str">
        <f>+_xlfn.XLOOKUP(Tabla4[[#This Row],[ID CLIENTE]],'RESUMEN CLIENTES'!D:D,'RESUMEN CLIENTES'!A:A)</f>
        <v>Rodrigo Rivera Ruiz</v>
      </c>
      <c r="C591" s="83" t="s">
        <v>2170</v>
      </c>
      <c r="D591" s="83" t="s">
        <v>159</v>
      </c>
      <c r="E591" s="83" t="s">
        <v>1351</v>
      </c>
      <c r="F591" s="83" t="s">
        <v>1352</v>
      </c>
      <c r="G591" s="84">
        <v>1000</v>
      </c>
      <c r="H591" s="85">
        <v>-32.75</v>
      </c>
      <c r="I591" s="86">
        <f t="shared" si="18"/>
        <v>3.2750000000000001E-2</v>
      </c>
      <c r="J591" s="87">
        <f t="shared" si="19"/>
        <v>967.25</v>
      </c>
      <c r="K591" s="87"/>
      <c r="L591" s="87" t="s">
        <v>4672</v>
      </c>
      <c r="M591" s="87"/>
      <c r="N591" s="524"/>
      <c r="O591" s="524">
        <f>+Tabla4[[#This Row],[PAGO NO EURO]]+Tabla4[[#This Row],[CARGO NO EURO]]</f>
        <v>0</v>
      </c>
      <c r="P591" s="524"/>
      <c r="Q591" s="88"/>
      <c r="R591" s="689">
        <f>+_xlfn.XLOOKUP(Tabla4[[#This Row],[ID CLIENTE]],'RESUMEN CLIENTES'!D:D,'RESUMEN CLIENTES'!G:G)</f>
        <v>45757</v>
      </c>
      <c r="S591" s="88" t="str">
        <f>+_xlfn.XLOOKUP(Tabla4[[#This Row],[ID CLIENTE]],'RESUMEN CLIENTES'!D:D,'RESUMEN CLIENTES'!AA:AA)</f>
        <v>A1.1</v>
      </c>
      <c r="T591" s="680" t="str">
        <f>+_xlfn.XLOOKUP(Tabla4[[#This Row],[ID CLIENTE]],'RESUMEN CLIENTES'!D:D,'RESUMEN CLIENTES'!C:C)</f>
        <v>Chile</v>
      </c>
    </row>
    <row r="592" spans="1:20" ht="16">
      <c r="A592" s="82">
        <v>45964</v>
      </c>
      <c r="B592" s="82" t="str">
        <f>+_xlfn.XLOOKUP(Tabla4[[#This Row],[ID CLIENTE]],'RESUMEN CLIENTES'!D:D,'RESUMEN CLIENTES'!A:A)</f>
        <v>Boris Andrés Silva Véliz</v>
      </c>
      <c r="C592" s="83" t="s">
        <v>2184</v>
      </c>
      <c r="D592" s="83" t="s">
        <v>184</v>
      </c>
      <c r="E592" s="83" t="s">
        <v>1316</v>
      </c>
      <c r="F592" s="83" t="s">
        <v>1317</v>
      </c>
      <c r="G592" s="84">
        <v>619</v>
      </c>
      <c r="H592" s="85">
        <v>-20.37</v>
      </c>
      <c r="I592" s="86">
        <f t="shared" si="18"/>
        <v>3.2907915993537963E-2</v>
      </c>
      <c r="J592" s="87">
        <f t="shared" si="19"/>
        <v>598.63</v>
      </c>
      <c r="K592" s="87"/>
      <c r="L592" s="87" t="s">
        <v>4672</v>
      </c>
      <c r="M592" s="87"/>
      <c r="N592" s="524"/>
      <c r="O592" s="524">
        <f>+Tabla4[[#This Row],[PAGO NO EURO]]+Tabla4[[#This Row],[CARGO NO EURO]]</f>
        <v>0</v>
      </c>
      <c r="P592" s="524"/>
      <c r="Q592" s="88"/>
      <c r="R592" s="689">
        <f>+_xlfn.XLOOKUP(Tabla4[[#This Row],[ID CLIENTE]],'RESUMEN CLIENTES'!D:D,'RESUMEN CLIENTES'!G:G)</f>
        <v>45771</v>
      </c>
      <c r="S592" s="88" t="str">
        <f>+_xlfn.XLOOKUP(Tabla4[[#This Row],[ID CLIENTE]],'RESUMEN CLIENTES'!D:D,'RESUMEN CLIENTES'!AA:AA)</f>
        <v>C1.1</v>
      </c>
      <c r="T592" s="680" t="str">
        <f>+_xlfn.XLOOKUP(Tabla4[[#This Row],[ID CLIENTE]],'RESUMEN CLIENTES'!D:D,'RESUMEN CLIENTES'!C:C)</f>
        <v>Chile</v>
      </c>
    </row>
    <row r="593" spans="1:20" ht="16">
      <c r="A593" s="82">
        <v>45964</v>
      </c>
      <c r="B593" s="82" t="str">
        <f>+_xlfn.XLOOKUP(Tabla4[[#This Row],[ID CLIENTE]],'RESUMEN CLIENTES'!D:D,'RESUMEN CLIENTES'!A:A)</f>
        <v>Camila Sanchez Aravena</v>
      </c>
      <c r="C593" s="83" t="s">
        <v>2125</v>
      </c>
      <c r="D593" s="83" t="s">
        <v>118</v>
      </c>
      <c r="E593" s="83" t="s">
        <v>1320</v>
      </c>
      <c r="F593" s="83" t="s">
        <v>1321</v>
      </c>
      <c r="G593" s="84">
        <v>551.99</v>
      </c>
      <c r="H593" s="85">
        <v>-29.23</v>
      </c>
      <c r="I593" s="86">
        <f t="shared" si="18"/>
        <v>5.2953857859743839E-2</v>
      </c>
      <c r="J593" s="87">
        <f t="shared" si="19"/>
        <v>522.76</v>
      </c>
      <c r="K593" s="87"/>
      <c r="L593" s="87" t="s">
        <v>4672</v>
      </c>
      <c r="M593" s="87"/>
      <c r="N593" s="524"/>
      <c r="O593" s="524">
        <f>+Tabla4[[#This Row],[PAGO NO EURO]]+Tabla4[[#This Row],[CARGO NO EURO]]</f>
        <v>0</v>
      </c>
      <c r="P593" s="524"/>
      <c r="Q593" s="88"/>
      <c r="R593" s="689">
        <f>+_xlfn.XLOOKUP(Tabla4[[#This Row],[ID CLIENTE]],'RESUMEN CLIENTES'!D:D,'RESUMEN CLIENTES'!G:G)</f>
        <v>45699</v>
      </c>
      <c r="S593" s="88" t="str">
        <f>+_xlfn.XLOOKUP(Tabla4[[#This Row],[ID CLIENTE]],'RESUMEN CLIENTES'!D:D,'RESUMEN CLIENTES'!AA:AA)</f>
        <v>B2.1</v>
      </c>
      <c r="T593" s="680" t="str">
        <f>+_xlfn.XLOOKUP(Tabla4[[#This Row],[ID CLIENTE]],'RESUMEN CLIENTES'!D:D,'RESUMEN CLIENTES'!C:C)</f>
        <v>Chile</v>
      </c>
    </row>
    <row r="594" spans="1:20" ht="16">
      <c r="A594" s="82">
        <v>45964</v>
      </c>
      <c r="B594" s="82" t="str">
        <f>+_xlfn.XLOOKUP(Tabla4[[#This Row],[ID CLIENTE]],'RESUMEN CLIENTES'!D:D,'RESUMEN CLIENTES'!A:A)</f>
        <v xml:space="preserve">Catalina Ochoa Urrutia
</v>
      </c>
      <c r="C594" s="83" t="s">
        <v>2180</v>
      </c>
      <c r="D594" s="83" t="s">
        <v>168</v>
      </c>
      <c r="E594" s="83" t="s">
        <v>1322</v>
      </c>
      <c r="F594" s="83" t="s">
        <v>1323</v>
      </c>
      <c r="G594" s="84">
        <v>1500</v>
      </c>
      <c r="H594" s="85">
        <v>-49</v>
      </c>
      <c r="I594" s="86">
        <f t="shared" si="18"/>
        <v>3.2666666666666663E-2</v>
      </c>
      <c r="J594" s="87">
        <f t="shared" si="19"/>
        <v>1451</v>
      </c>
      <c r="K594" s="87"/>
      <c r="L594" s="87" t="s">
        <v>4672</v>
      </c>
      <c r="M594" s="87"/>
      <c r="N594" s="524"/>
      <c r="O594" s="524">
        <f>+Tabla4[[#This Row],[PAGO NO EURO]]+Tabla4[[#This Row],[CARGO NO EURO]]</f>
        <v>0</v>
      </c>
      <c r="P594" s="524"/>
      <c r="Q594" s="88"/>
      <c r="R594" s="689">
        <f>+_xlfn.XLOOKUP(Tabla4[[#This Row],[ID CLIENTE]],'RESUMEN CLIENTES'!D:D,'RESUMEN CLIENTES'!G:G)</f>
        <v>45762</v>
      </c>
      <c r="S594" s="88" t="str">
        <f>+_xlfn.XLOOKUP(Tabla4[[#This Row],[ID CLIENTE]],'RESUMEN CLIENTES'!D:D,'RESUMEN CLIENTES'!AA:AA)</f>
        <v>B2.1</v>
      </c>
      <c r="T594" s="680" t="str">
        <f>+_xlfn.XLOOKUP(Tabla4[[#This Row],[ID CLIENTE]],'RESUMEN CLIENTES'!D:D,'RESUMEN CLIENTES'!C:C)</f>
        <v>Chile</v>
      </c>
    </row>
    <row r="595" spans="1:20" ht="16">
      <c r="A595" s="82">
        <v>45964</v>
      </c>
      <c r="B595" s="82" t="str">
        <f>+_xlfn.XLOOKUP(Tabla4[[#This Row],[ID CLIENTE]],'RESUMEN CLIENTES'!D:D,'RESUMEN CLIENTES'!A:A)</f>
        <v>Dinorah Gómez Castellanos</v>
      </c>
      <c r="C595" s="83" t="s">
        <v>2168</v>
      </c>
      <c r="D595" s="83" t="s">
        <v>194</v>
      </c>
      <c r="E595" s="83" t="s">
        <v>1324</v>
      </c>
      <c r="F595" s="83" t="s">
        <v>1325</v>
      </c>
      <c r="G595" s="84">
        <v>126</v>
      </c>
      <c r="H595" s="85">
        <v>-4.3499999999999996</v>
      </c>
      <c r="I595" s="86">
        <f t="shared" si="18"/>
        <v>3.4523809523809519E-2</v>
      </c>
      <c r="J595" s="87">
        <f t="shared" si="19"/>
        <v>121.65</v>
      </c>
      <c r="K595" s="87"/>
      <c r="L595" s="87" t="s">
        <v>4672</v>
      </c>
      <c r="M595" s="87"/>
      <c r="N595" s="524"/>
      <c r="O595" s="524">
        <f>+Tabla4[[#This Row],[PAGO NO EURO]]+Tabla4[[#This Row],[CARGO NO EURO]]</f>
        <v>0</v>
      </c>
      <c r="P595" s="524"/>
      <c r="Q595" s="88"/>
      <c r="R595" s="689">
        <f>+_xlfn.XLOOKUP(Tabla4[[#This Row],[ID CLIENTE]],'RESUMEN CLIENTES'!D:D,'RESUMEN CLIENTES'!G:G)</f>
        <v>45757</v>
      </c>
      <c r="S595" s="88" t="str">
        <f>+_xlfn.XLOOKUP(Tabla4[[#This Row],[ID CLIENTE]],'RESUMEN CLIENTES'!D:D,'RESUMEN CLIENTES'!AA:AA)</f>
        <v>B2.1</v>
      </c>
      <c r="T595" s="680" t="str">
        <f>+_xlfn.XLOOKUP(Tabla4[[#This Row],[ID CLIENTE]],'RESUMEN CLIENTES'!D:D,'RESUMEN CLIENTES'!C:C)</f>
        <v>México</v>
      </c>
    </row>
    <row r="596" spans="1:20" ht="16">
      <c r="A596" s="82">
        <v>45964</v>
      </c>
      <c r="B596" s="82" t="str">
        <f>+_xlfn.XLOOKUP(Tabla4[[#This Row],[ID CLIENTE]],'RESUMEN CLIENTES'!D:D,'RESUMEN CLIENTES'!A:A)</f>
        <v>Emily Vanessa Tapia Villalobos</v>
      </c>
      <c r="C596" s="83" t="s">
        <v>2445</v>
      </c>
      <c r="D596" s="83" t="s">
        <v>1248</v>
      </c>
      <c r="E596" s="83" t="s">
        <v>1298</v>
      </c>
      <c r="F596" s="83" t="s">
        <v>1299</v>
      </c>
      <c r="G596" s="84">
        <v>900</v>
      </c>
      <c r="H596" s="85">
        <v>-29.5</v>
      </c>
      <c r="I596" s="86">
        <f t="shared" si="18"/>
        <v>3.2777777777777781E-2</v>
      </c>
      <c r="J596" s="87">
        <f t="shared" si="19"/>
        <v>870.5</v>
      </c>
      <c r="K596" s="87"/>
      <c r="L596" s="87" t="s">
        <v>4672</v>
      </c>
      <c r="M596" s="87"/>
      <c r="N596" s="524"/>
      <c r="O596" s="524">
        <f>+Tabla4[[#This Row],[PAGO NO EURO]]+Tabla4[[#This Row],[CARGO NO EURO]]</f>
        <v>0</v>
      </c>
      <c r="P596" s="524"/>
      <c r="Q596" s="88"/>
      <c r="R596" s="689">
        <f>+_xlfn.XLOOKUP(Tabla4[[#This Row],[ID CLIENTE]],'RESUMEN CLIENTES'!D:D,'RESUMEN CLIENTES'!G:G)</f>
        <v>45958</v>
      </c>
      <c r="S596" s="88" t="str">
        <f>+_xlfn.XLOOKUP(Tabla4[[#This Row],[ID CLIENTE]],'RESUMEN CLIENTES'!D:D,'RESUMEN CLIENTES'!AA:AA)</f>
        <v>A1.1</v>
      </c>
      <c r="T596" s="680" t="str">
        <f>+_xlfn.XLOOKUP(Tabla4[[#This Row],[ID CLIENTE]],'RESUMEN CLIENTES'!D:D,'RESUMEN CLIENTES'!C:C)</f>
        <v>Chile</v>
      </c>
    </row>
    <row r="597" spans="1:20" ht="16">
      <c r="A597" s="82">
        <v>45964</v>
      </c>
      <c r="B597" s="82" t="str">
        <f>+_xlfn.XLOOKUP(Tabla4[[#This Row],[ID CLIENTE]],'RESUMEN CLIENTES'!D:D,'RESUMEN CLIENTES'!A:A)</f>
        <v>Erick Ernesto Angulo Campos</v>
      </c>
      <c r="C597" s="83" t="s">
        <v>2443</v>
      </c>
      <c r="D597" s="83" t="s">
        <v>1251</v>
      </c>
      <c r="E597" s="83" t="s">
        <v>1300</v>
      </c>
      <c r="F597" s="83" t="s">
        <v>1301</v>
      </c>
      <c r="G597" s="84">
        <v>900</v>
      </c>
      <c r="H597" s="85">
        <v>-29</v>
      </c>
      <c r="I597" s="86">
        <f t="shared" ref="I597:I660" si="20">+IFERROR(-(H597)/G597,"")</f>
        <v>3.2222222222222222E-2</v>
      </c>
      <c r="J597" s="87">
        <f t="shared" ref="J597:J660" si="21">+G597+H597</f>
        <v>871</v>
      </c>
      <c r="K597" s="87"/>
      <c r="L597" s="87" t="s">
        <v>4672</v>
      </c>
      <c r="M597" s="87"/>
      <c r="N597" s="524"/>
      <c r="O597" s="524">
        <f>+Tabla4[[#This Row],[PAGO NO EURO]]+Tabla4[[#This Row],[CARGO NO EURO]]</f>
        <v>0</v>
      </c>
      <c r="P597" s="524"/>
      <c r="Q597" s="88"/>
      <c r="R597" s="689">
        <f>+_xlfn.XLOOKUP(Tabla4[[#This Row],[ID CLIENTE]],'RESUMEN CLIENTES'!D:D,'RESUMEN CLIENTES'!G:G)</f>
        <v>45958</v>
      </c>
      <c r="S597" s="88" t="str">
        <f>+_xlfn.XLOOKUP(Tabla4[[#This Row],[ID CLIENTE]],'RESUMEN CLIENTES'!D:D,'RESUMEN CLIENTES'!AA:AA)</f>
        <v>A1.1</v>
      </c>
      <c r="T597" s="680" t="str">
        <f>+_xlfn.XLOOKUP(Tabla4[[#This Row],[ID CLIENTE]],'RESUMEN CLIENTES'!D:D,'RESUMEN CLIENTES'!C:C)</f>
        <v>Chile</v>
      </c>
    </row>
    <row r="598" spans="1:20" ht="16">
      <c r="A598" s="82">
        <v>45964</v>
      </c>
      <c r="B598" s="82" t="str">
        <f>+_xlfn.XLOOKUP(Tabla4[[#This Row],[ID CLIENTE]],'RESUMEN CLIENTES'!D:D,'RESUMEN CLIENTES'!A:A)</f>
        <v>Guillermo Alfonso Garvalena Gaxiola</v>
      </c>
      <c r="C598" s="83" t="s">
        <v>2176</v>
      </c>
      <c r="D598" s="83" t="s">
        <v>171</v>
      </c>
      <c r="E598" s="83" t="s">
        <v>1330</v>
      </c>
      <c r="F598" s="83" t="s">
        <v>1331</v>
      </c>
      <c r="G598" s="84">
        <v>500</v>
      </c>
      <c r="H598" s="85">
        <v>-16.5</v>
      </c>
      <c r="I598" s="86">
        <f t="shared" si="20"/>
        <v>3.3000000000000002E-2</v>
      </c>
      <c r="J598" s="87">
        <f t="shared" si="21"/>
        <v>483.5</v>
      </c>
      <c r="K598" s="87"/>
      <c r="L598" s="87" t="s">
        <v>4672</v>
      </c>
      <c r="M598" s="87"/>
      <c r="N598" s="524"/>
      <c r="O598" s="524">
        <f>+Tabla4[[#This Row],[PAGO NO EURO]]+Tabla4[[#This Row],[CARGO NO EURO]]</f>
        <v>0</v>
      </c>
      <c r="P598" s="524"/>
      <c r="Q598" s="88"/>
      <c r="R598" s="689">
        <f>+_xlfn.XLOOKUP(Tabla4[[#This Row],[ID CLIENTE]],'RESUMEN CLIENTES'!D:D,'RESUMEN CLIENTES'!G:G)</f>
        <v>45762</v>
      </c>
      <c r="S598" s="88" t="str">
        <f>+_xlfn.XLOOKUP(Tabla4[[#This Row],[ID CLIENTE]],'RESUMEN CLIENTES'!D:D,'RESUMEN CLIENTES'!AA:AA)</f>
        <v>A2.1</v>
      </c>
      <c r="T598" s="680" t="str">
        <f>+_xlfn.XLOOKUP(Tabla4[[#This Row],[ID CLIENTE]],'RESUMEN CLIENTES'!D:D,'RESUMEN CLIENTES'!C:C)</f>
        <v>México</v>
      </c>
    </row>
    <row r="599" spans="1:20" ht="16">
      <c r="A599" s="82">
        <v>45964</v>
      </c>
      <c r="B599" s="82" t="str">
        <f>+_xlfn.XLOOKUP(Tabla4[[#This Row],[ID CLIENTE]],'RESUMEN CLIENTES'!D:D,'RESUMEN CLIENTES'!A:A)</f>
        <v>Guillermo Alfonso Garvalena Gaxiola</v>
      </c>
      <c r="C599" s="83" t="s">
        <v>2176</v>
      </c>
      <c r="D599" s="83" t="s">
        <v>171</v>
      </c>
      <c r="E599" s="83" t="s">
        <v>1328</v>
      </c>
      <c r="F599" s="83" t="s">
        <v>1329</v>
      </c>
      <c r="G599" s="84">
        <v>200</v>
      </c>
      <c r="H599" s="85">
        <v>-6.75</v>
      </c>
      <c r="I599" s="86">
        <f t="shared" si="20"/>
        <v>3.3750000000000002E-2</v>
      </c>
      <c r="J599" s="87">
        <f t="shared" si="21"/>
        <v>193.25</v>
      </c>
      <c r="K599" s="87"/>
      <c r="L599" s="87" t="s">
        <v>4672</v>
      </c>
      <c r="M599" s="87"/>
      <c r="N599" s="524"/>
      <c r="O599" s="524">
        <f>+Tabla4[[#This Row],[PAGO NO EURO]]+Tabla4[[#This Row],[CARGO NO EURO]]</f>
        <v>0</v>
      </c>
      <c r="P599" s="524"/>
      <c r="Q599" s="88"/>
      <c r="R599" s="689">
        <f>+_xlfn.XLOOKUP(Tabla4[[#This Row],[ID CLIENTE]],'RESUMEN CLIENTES'!D:D,'RESUMEN CLIENTES'!G:G)</f>
        <v>45762</v>
      </c>
      <c r="S599" s="88" t="str">
        <f>+_xlfn.XLOOKUP(Tabla4[[#This Row],[ID CLIENTE]],'RESUMEN CLIENTES'!D:D,'RESUMEN CLIENTES'!AA:AA)</f>
        <v>A2.1</v>
      </c>
      <c r="T599" s="680" t="str">
        <f>+_xlfn.XLOOKUP(Tabla4[[#This Row],[ID CLIENTE]],'RESUMEN CLIENTES'!D:D,'RESUMEN CLIENTES'!C:C)</f>
        <v>México</v>
      </c>
    </row>
    <row r="600" spans="1:20" ht="16">
      <c r="A600" s="82">
        <v>45965</v>
      </c>
      <c r="B600" s="82" t="str">
        <f>+_xlfn.XLOOKUP(Tabla4[[#This Row],[ID CLIENTE]],'RESUMEN CLIENTES'!D:D,'RESUMEN CLIENTES'!A:A)</f>
        <v>Mayra Leonor Rivera Paico</v>
      </c>
      <c r="C600" s="83" t="s">
        <v>2280</v>
      </c>
      <c r="D600" s="83" t="s">
        <v>407</v>
      </c>
      <c r="E600" s="83" t="s">
        <v>1304</v>
      </c>
      <c r="F600" s="83" t="s">
        <v>1305</v>
      </c>
      <c r="G600" s="84">
        <v>1000</v>
      </c>
      <c r="H600" s="85">
        <v>-32.75</v>
      </c>
      <c r="I600" s="86">
        <f t="shared" si="20"/>
        <v>3.2750000000000001E-2</v>
      </c>
      <c r="J600" s="87">
        <f t="shared" si="21"/>
        <v>967.25</v>
      </c>
      <c r="K600" s="87"/>
      <c r="L600" s="87" t="s">
        <v>4672</v>
      </c>
      <c r="M600" s="87"/>
      <c r="N600" s="524"/>
      <c r="O600" s="524">
        <f>+Tabla4[[#This Row],[PAGO NO EURO]]+Tabla4[[#This Row],[CARGO NO EURO]]</f>
        <v>0</v>
      </c>
      <c r="P600" s="524"/>
      <c r="Q600" s="88"/>
      <c r="R600" s="689">
        <f>+_xlfn.XLOOKUP(Tabla4[[#This Row],[ID CLIENTE]],'RESUMEN CLIENTES'!D:D,'RESUMEN CLIENTES'!G:G)</f>
        <v>45842</v>
      </c>
      <c r="S600" s="88" t="str">
        <f>+_xlfn.XLOOKUP(Tabla4[[#This Row],[ID CLIENTE]],'RESUMEN CLIENTES'!D:D,'RESUMEN CLIENTES'!AA:AA)</f>
        <v>A1.1</v>
      </c>
      <c r="T600" s="680" t="str">
        <f>+_xlfn.XLOOKUP(Tabla4[[#This Row],[ID CLIENTE]],'RESUMEN CLIENTES'!D:D,'RESUMEN CLIENTES'!C:C)</f>
        <v>Perú</v>
      </c>
    </row>
    <row r="601" spans="1:20" ht="16">
      <c r="A601" s="82">
        <v>45965</v>
      </c>
      <c r="B601" s="82" t="str">
        <f>+_xlfn.XLOOKUP(Tabla4[[#This Row],[ID CLIENTE]],'RESUMEN CLIENTES'!D:D,'RESUMEN CLIENTES'!A:A)</f>
        <v>María Fernanda Alvar Sepúlveda</v>
      </c>
      <c r="C601" s="83" t="s">
        <v>2123</v>
      </c>
      <c r="D601" s="83" t="s">
        <v>80</v>
      </c>
      <c r="E601" s="83" t="s">
        <v>1343</v>
      </c>
      <c r="F601" s="83" t="s">
        <v>1344</v>
      </c>
      <c r="G601" s="84">
        <v>800</v>
      </c>
      <c r="H601" s="85">
        <v>-26.25</v>
      </c>
      <c r="I601" s="86">
        <f t="shared" si="20"/>
        <v>3.2812500000000001E-2</v>
      </c>
      <c r="J601" s="87">
        <f t="shared" si="21"/>
        <v>773.75</v>
      </c>
      <c r="K601" s="87"/>
      <c r="L601" s="87" t="s">
        <v>4672</v>
      </c>
      <c r="M601" s="87"/>
      <c r="N601" s="524"/>
      <c r="O601" s="524">
        <f>+Tabla4[[#This Row],[PAGO NO EURO]]+Tabla4[[#This Row],[CARGO NO EURO]]</f>
        <v>0</v>
      </c>
      <c r="P601" s="524"/>
      <c r="Q601" s="88"/>
      <c r="R601" s="689">
        <f>+_xlfn.XLOOKUP(Tabla4[[#This Row],[ID CLIENTE]],'RESUMEN CLIENTES'!D:D,'RESUMEN CLIENTES'!G:G)</f>
        <v>45684</v>
      </c>
      <c r="S601" s="88" t="str">
        <f>+_xlfn.XLOOKUP(Tabla4[[#This Row],[ID CLIENTE]],'RESUMEN CLIENTES'!D:D,'RESUMEN CLIENTES'!AA:AA)</f>
        <v>A1.1</v>
      </c>
      <c r="T601" s="680" t="str">
        <f>+_xlfn.XLOOKUP(Tabla4[[#This Row],[ID CLIENTE]],'RESUMEN CLIENTES'!D:D,'RESUMEN CLIENTES'!C:C)</f>
        <v>Chile</v>
      </c>
    </row>
    <row r="602" spans="1:20" ht="16">
      <c r="A602" s="82">
        <v>45965</v>
      </c>
      <c r="B602" s="82" t="str">
        <f>+_xlfn.XLOOKUP(Tabla4[[#This Row],[ID CLIENTE]],'RESUMEN CLIENTES'!D:D,'RESUMEN CLIENTES'!A:A)</f>
        <v>Martin Esteban Orellana Dominguez</v>
      </c>
      <c r="C602" s="83" t="s">
        <v>2377</v>
      </c>
      <c r="D602" s="83" t="s">
        <v>744</v>
      </c>
      <c r="E602" s="83" t="s">
        <v>1292</v>
      </c>
      <c r="F602" s="83" t="s">
        <v>1293</v>
      </c>
      <c r="G602" s="84">
        <v>1453</v>
      </c>
      <c r="H602" s="85">
        <v>-47.47</v>
      </c>
      <c r="I602" s="86">
        <f t="shared" si="20"/>
        <v>3.2670337233310393E-2</v>
      </c>
      <c r="J602" s="87">
        <f t="shared" si="21"/>
        <v>1405.53</v>
      </c>
      <c r="K602" s="87"/>
      <c r="L602" s="87" t="s">
        <v>4672</v>
      </c>
      <c r="M602" s="87"/>
      <c r="N602" s="524"/>
      <c r="O602" s="524">
        <f>+Tabla4[[#This Row],[PAGO NO EURO]]+Tabla4[[#This Row],[CARGO NO EURO]]</f>
        <v>0</v>
      </c>
      <c r="P602" s="524"/>
      <c r="Q602" s="88"/>
      <c r="R602" s="689">
        <f>+_xlfn.XLOOKUP(Tabla4[[#This Row],[ID CLIENTE]],'RESUMEN CLIENTES'!D:D,'RESUMEN CLIENTES'!G:G)</f>
        <v>45897</v>
      </c>
      <c r="S602" s="88" t="str">
        <f>+_xlfn.XLOOKUP(Tabla4[[#This Row],[ID CLIENTE]],'RESUMEN CLIENTES'!D:D,'RESUMEN CLIENTES'!AA:AA)</f>
        <v>A1.1</v>
      </c>
      <c r="T602" s="680" t="str">
        <f>+_xlfn.XLOOKUP(Tabla4[[#This Row],[ID CLIENTE]],'RESUMEN CLIENTES'!D:D,'RESUMEN CLIENTES'!C:C)</f>
        <v>Ecuador</v>
      </c>
    </row>
    <row r="603" spans="1:20" ht="16">
      <c r="A603" s="82">
        <v>45965</v>
      </c>
      <c r="B603" s="82" t="str">
        <f>+_xlfn.XLOOKUP(Tabla4[[#This Row],[ID CLIENTE]],'RESUMEN CLIENTES'!D:D,'RESUMEN CLIENTES'!A:A)</f>
        <v>Sergio Francisco Garcia Sandoval</v>
      </c>
      <c r="C603" s="83" t="s">
        <v>2235</v>
      </c>
      <c r="D603" s="83" t="s">
        <v>281</v>
      </c>
      <c r="E603" s="83" t="s">
        <v>1353</v>
      </c>
      <c r="F603" s="83" t="s">
        <v>1354</v>
      </c>
      <c r="G603" s="114">
        <v>350</v>
      </c>
      <c r="H603" s="85">
        <v>-1.75</v>
      </c>
      <c r="I603" s="115">
        <f t="shared" si="20"/>
        <v>5.0000000000000001E-3</v>
      </c>
      <c r="J603" s="87">
        <f t="shared" si="21"/>
        <v>348.25</v>
      </c>
      <c r="K603" s="87"/>
      <c r="L603" s="87" t="s">
        <v>4672</v>
      </c>
      <c r="M603" s="87"/>
      <c r="N603" s="524"/>
      <c r="O603" s="524">
        <f>+Tabla4[[#This Row],[PAGO NO EURO]]+Tabla4[[#This Row],[CARGO NO EURO]]</f>
        <v>0</v>
      </c>
      <c r="P603" s="524"/>
      <c r="Q603" s="88"/>
      <c r="R603" s="689">
        <f>+_xlfn.XLOOKUP(Tabla4[[#This Row],[ID CLIENTE]],'RESUMEN CLIENTES'!D:D,'RESUMEN CLIENTES'!G:G)</f>
        <v>45812</v>
      </c>
      <c r="S603" s="88" t="str">
        <f>+_xlfn.XLOOKUP(Tabla4[[#This Row],[ID CLIENTE]],'RESUMEN CLIENTES'!D:D,'RESUMEN CLIENTES'!AA:AA)</f>
        <v>A1.1</v>
      </c>
      <c r="T603" s="680" t="str">
        <f>+_xlfn.XLOOKUP(Tabla4[[#This Row],[ID CLIENTE]],'RESUMEN CLIENTES'!D:D,'RESUMEN CLIENTES'!C:C)</f>
        <v>Perú</v>
      </c>
    </row>
    <row r="604" spans="1:20" ht="16">
      <c r="A604" s="82">
        <v>45966</v>
      </c>
      <c r="B604" s="82" t="str">
        <f>+_xlfn.XLOOKUP(Tabla4[[#This Row],[ID CLIENTE]],'RESUMEN CLIENTES'!D:D,'RESUMEN CLIENTES'!A:A)</f>
        <v>Bryan Israel Jiménez Puente</v>
      </c>
      <c r="C604" s="83" t="s">
        <v>2434</v>
      </c>
      <c r="D604" s="83" t="s">
        <v>1206</v>
      </c>
      <c r="E604" s="83" t="s">
        <v>1318</v>
      </c>
      <c r="F604" s="83" t="s">
        <v>1319</v>
      </c>
      <c r="G604" s="114">
        <v>1000</v>
      </c>
      <c r="H604" s="85">
        <v>-52.29</v>
      </c>
      <c r="I604" s="115">
        <f t="shared" si="20"/>
        <v>5.2289999999999996E-2</v>
      </c>
      <c r="J604" s="87">
        <f t="shared" si="21"/>
        <v>947.71</v>
      </c>
      <c r="K604" s="87"/>
      <c r="L604" s="87" t="s">
        <v>4672</v>
      </c>
      <c r="M604" s="87"/>
      <c r="N604" s="524"/>
      <c r="O604" s="524">
        <f>+Tabla4[[#This Row],[PAGO NO EURO]]+Tabla4[[#This Row],[CARGO NO EURO]]</f>
        <v>0</v>
      </c>
      <c r="P604" s="524"/>
      <c r="Q604" s="88"/>
      <c r="R604" s="689">
        <f>+_xlfn.XLOOKUP(Tabla4[[#This Row],[ID CLIENTE]],'RESUMEN CLIENTES'!D:D,'RESUMEN CLIENTES'!G:G)</f>
        <v>45947</v>
      </c>
      <c r="S604" s="88" t="str">
        <f>+_xlfn.XLOOKUP(Tabla4[[#This Row],[ID CLIENTE]],'RESUMEN CLIENTES'!D:D,'RESUMEN CLIENTES'!AA:AA)</f>
        <v>A1.1</v>
      </c>
      <c r="T604" s="680" t="str">
        <f>+_xlfn.XLOOKUP(Tabla4[[#This Row],[ID CLIENTE]],'RESUMEN CLIENTES'!D:D,'RESUMEN CLIENTES'!C:C)</f>
        <v>Ecuador</v>
      </c>
    </row>
    <row r="605" spans="1:20" ht="16">
      <c r="A605" s="82">
        <v>45966</v>
      </c>
      <c r="B605" s="82" t="str">
        <f>+_xlfn.XLOOKUP(Tabla4[[#This Row],[ID CLIENTE]],'RESUMEN CLIENTES'!D:D,'RESUMEN CLIENTES'!A:A)</f>
        <v>Daniel Flores</v>
      </c>
      <c r="C605" s="83" t="s">
        <v>2430</v>
      </c>
      <c r="D605" s="83" t="s">
        <v>1178</v>
      </c>
      <c r="E605" s="83" t="s">
        <v>1290</v>
      </c>
      <c r="F605" s="83" t="s">
        <v>1291</v>
      </c>
      <c r="G605" s="114">
        <v>2500</v>
      </c>
      <c r="H605" s="85">
        <v>-81.5</v>
      </c>
      <c r="I605" s="115">
        <f t="shared" si="20"/>
        <v>3.2599999999999997E-2</v>
      </c>
      <c r="J605" s="87">
        <f t="shared" si="21"/>
        <v>2418.5</v>
      </c>
      <c r="K605" s="87"/>
      <c r="L605" s="87" t="s">
        <v>4672</v>
      </c>
      <c r="M605" s="87"/>
      <c r="N605" s="524"/>
      <c r="O605" s="524">
        <f>+Tabla4[[#This Row],[PAGO NO EURO]]+Tabla4[[#This Row],[CARGO NO EURO]]</f>
        <v>0</v>
      </c>
      <c r="P605" s="524"/>
      <c r="Q605" s="88"/>
      <c r="R605" s="689">
        <f>+_xlfn.XLOOKUP(Tabla4[[#This Row],[ID CLIENTE]],'RESUMEN CLIENTES'!D:D,'RESUMEN CLIENTES'!G:G)</f>
        <v>45945</v>
      </c>
      <c r="S605" s="88" t="str">
        <f>+_xlfn.XLOOKUP(Tabla4[[#This Row],[ID CLIENTE]],'RESUMEN CLIENTES'!D:D,'RESUMEN CLIENTES'!AA:AA)</f>
        <v>A1.1</v>
      </c>
      <c r="T605" s="680" t="str">
        <f>+_xlfn.XLOOKUP(Tabla4[[#This Row],[ID CLIENTE]],'RESUMEN CLIENTES'!D:D,'RESUMEN CLIENTES'!C:C)</f>
        <v>Ecuador</v>
      </c>
    </row>
    <row r="606" spans="1:20" ht="16">
      <c r="A606" s="82">
        <v>45966</v>
      </c>
      <c r="B606" s="82" t="str">
        <f>+_xlfn.XLOOKUP(Tabla4[[#This Row],[ID CLIENTE]],'RESUMEN CLIENTES'!D:D,'RESUMEN CLIENTES'!A:A)</f>
        <v>Judith Elizabeth Lopez Sanchez</v>
      </c>
      <c r="C606" s="83" t="s">
        <v>2416</v>
      </c>
      <c r="D606" s="83" t="s">
        <v>955</v>
      </c>
      <c r="E606" s="83" t="s">
        <v>1338</v>
      </c>
      <c r="F606" s="83" t="s">
        <v>1339</v>
      </c>
      <c r="G606" s="114">
        <v>1000</v>
      </c>
      <c r="H606" s="85">
        <v>-32.75</v>
      </c>
      <c r="I606" s="115">
        <f t="shared" si="20"/>
        <v>3.2750000000000001E-2</v>
      </c>
      <c r="J606" s="87">
        <f t="shared" si="21"/>
        <v>967.25</v>
      </c>
      <c r="K606" s="87"/>
      <c r="L606" s="87" t="s">
        <v>4672</v>
      </c>
      <c r="M606" s="87"/>
      <c r="N606" s="524"/>
      <c r="O606" s="524">
        <f>+Tabla4[[#This Row],[PAGO NO EURO]]+Tabla4[[#This Row],[CARGO NO EURO]]</f>
        <v>0</v>
      </c>
      <c r="P606" s="524"/>
      <c r="Q606" s="88"/>
      <c r="R606" s="689">
        <f>+_xlfn.XLOOKUP(Tabla4[[#This Row],[ID CLIENTE]],'RESUMEN CLIENTES'!D:D,'RESUMEN CLIENTES'!G:G)</f>
        <v>45913</v>
      </c>
      <c r="S606" s="88" t="str">
        <f>+_xlfn.XLOOKUP(Tabla4[[#This Row],[ID CLIENTE]],'RESUMEN CLIENTES'!D:D,'RESUMEN CLIENTES'!AA:AA)</f>
        <v>A1.1</v>
      </c>
      <c r="T606" s="680" t="str">
        <f>+_xlfn.XLOOKUP(Tabla4[[#This Row],[ID CLIENTE]],'RESUMEN CLIENTES'!D:D,'RESUMEN CLIENTES'!C:C)</f>
        <v>Perú</v>
      </c>
    </row>
    <row r="607" spans="1:20" ht="16">
      <c r="A607" s="82">
        <v>45966</v>
      </c>
      <c r="B607" s="82" t="str">
        <f>+_xlfn.XLOOKUP(Tabla4[[#This Row],[ID CLIENTE]],'RESUMEN CLIENTES'!D:D,'RESUMEN CLIENTES'!A:A)</f>
        <v>Mario Arciga Casián</v>
      </c>
      <c r="C607" s="83" t="s">
        <v>2428</v>
      </c>
      <c r="D607" s="83" t="s">
        <v>1155</v>
      </c>
      <c r="E607" s="83" t="s">
        <v>1345</v>
      </c>
      <c r="F607" s="83" t="s">
        <v>1346</v>
      </c>
      <c r="G607" s="114">
        <v>1000</v>
      </c>
      <c r="H607" s="85">
        <v>-32.75</v>
      </c>
      <c r="I607" s="115">
        <f t="shared" si="20"/>
        <v>3.2750000000000001E-2</v>
      </c>
      <c r="J607" s="87">
        <f t="shared" si="21"/>
        <v>967.25</v>
      </c>
      <c r="K607" s="87"/>
      <c r="L607" s="87" t="s">
        <v>4672</v>
      </c>
      <c r="M607" s="87"/>
      <c r="N607" s="524"/>
      <c r="O607" s="524">
        <f>+Tabla4[[#This Row],[PAGO NO EURO]]+Tabla4[[#This Row],[CARGO NO EURO]]</f>
        <v>0</v>
      </c>
      <c r="P607" s="524"/>
      <c r="Q607" s="88"/>
      <c r="R607" s="689">
        <f>+_xlfn.XLOOKUP(Tabla4[[#This Row],[ID CLIENTE]],'RESUMEN CLIENTES'!D:D,'RESUMEN CLIENTES'!G:G)</f>
        <v>45939</v>
      </c>
      <c r="S607" s="88" t="str">
        <f>+_xlfn.XLOOKUP(Tabla4[[#This Row],[ID CLIENTE]],'RESUMEN CLIENTES'!D:D,'RESUMEN CLIENTES'!AA:AA)</f>
        <v>A1 komplett</v>
      </c>
      <c r="T607" s="680" t="str">
        <f>+_xlfn.XLOOKUP(Tabla4[[#This Row],[ID CLIENTE]],'RESUMEN CLIENTES'!D:D,'RESUMEN CLIENTES'!C:C)</f>
        <v>México</v>
      </c>
    </row>
    <row r="608" spans="1:20" ht="16">
      <c r="A608" s="82">
        <v>45966</v>
      </c>
      <c r="B608" s="82" t="str">
        <f>+_xlfn.XLOOKUP(Tabla4[[#This Row],[ID CLIENTE]],'RESUMEN CLIENTES'!D:D,'RESUMEN CLIENTES'!A:A)</f>
        <v>Moira Millaray Schneider Rivera</v>
      </c>
      <c r="C608" s="83" t="s">
        <v>2147</v>
      </c>
      <c r="D608" s="83" t="s">
        <v>129</v>
      </c>
      <c r="E608" s="83" t="s">
        <v>1349</v>
      </c>
      <c r="F608" s="83" t="s">
        <v>1350</v>
      </c>
      <c r="G608" s="114">
        <v>1000</v>
      </c>
      <c r="H608" s="85">
        <v>-32.75</v>
      </c>
      <c r="I608" s="115">
        <f t="shared" si="20"/>
        <v>3.2750000000000001E-2</v>
      </c>
      <c r="J608" s="87">
        <f t="shared" si="21"/>
        <v>967.25</v>
      </c>
      <c r="K608" s="87"/>
      <c r="L608" s="87" t="s">
        <v>4672</v>
      </c>
      <c r="M608" s="87"/>
      <c r="N608" s="524"/>
      <c r="O608" s="524">
        <f>+Tabla4[[#This Row],[PAGO NO EURO]]+Tabla4[[#This Row],[CARGO NO EURO]]</f>
        <v>0</v>
      </c>
      <c r="P608" s="524"/>
      <c r="Q608" s="88"/>
      <c r="R608" s="689">
        <f>+_xlfn.XLOOKUP(Tabla4[[#This Row],[ID CLIENTE]],'RESUMEN CLIENTES'!D:D,'RESUMEN CLIENTES'!G:G)</f>
        <v>45740</v>
      </c>
      <c r="S608" s="88" t="str">
        <f>+_xlfn.XLOOKUP(Tabla4[[#This Row],[ID CLIENTE]],'RESUMEN CLIENTES'!D:D,'RESUMEN CLIENTES'!AA:AA)</f>
        <v>null</v>
      </c>
      <c r="T608" s="680" t="str">
        <f>+_xlfn.XLOOKUP(Tabla4[[#This Row],[ID CLIENTE]],'RESUMEN CLIENTES'!D:D,'RESUMEN CLIENTES'!C:C)</f>
        <v>Chile</v>
      </c>
    </row>
    <row r="609" spans="1:20" ht="16">
      <c r="A609" s="82">
        <v>45966</v>
      </c>
      <c r="B609" s="82" t="str">
        <f>+_xlfn.XLOOKUP(Tabla4[[#This Row],[ID CLIENTE]],'RESUMEN CLIENTES'!D:D,'RESUMEN CLIENTES'!A:A)</f>
        <v>Yefry Onil Santana Marte</v>
      </c>
      <c r="C609" s="83" t="s">
        <v>2284</v>
      </c>
      <c r="D609" s="83" t="s">
        <v>447</v>
      </c>
      <c r="E609" s="83" t="s">
        <v>1306</v>
      </c>
      <c r="F609" s="83" t="s">
        <v>1307</v>
      </c>
      <c r="G609" s="114">
        <v>625</v>
      </c>
      <c r="H609" s="85">
        <v>-20.56</v>
      </c>
      <c r="I609" s="115">
        <f t="shared" si="20"/>
        <v>3.2895999999999995E-2</v>
      </c>
      <c r="J609" s="87">
        <f t="shared" si="21"/>
        <v>604.44000000000005</v>
      </c>
      <c r="K609" s="87"/>
      <c r="L609" s="87" t="s">
        <v>4672</v>
      </c>
      <c r="M609" s="87"/>
      <c r="N609" s="524"/>
      <c r="O609" s="524">
        <f>+Tabla4[[#This Row],[PAGO NO EURO]]+Tabla4[[#This Row],[CARGO NO EURO]]</f>
        <v>0</v>
      </c>
      <c r="P609" s="524"/>
      <c r="Q609" s="88"/>
      <c r="R609" s="689">
        <f>+_xlfn.XLOOKUP(Tabla4[[#This Row],[ID CLIENTE]],'RESUMEN CLIENTES'!D:D,'RESUMEN CLIENTES'!G:G)</f>
        <v>45845</v>
      </c>
      <c r="S609" s="88" t="str">
        <f>+_xlfn.XLOOKUP(Tabla4[[#This Row],[ID CLIENTE]],'RESUMEN CLIENTES'!D:D,'RESUMEN CLIENTES'!AA:AA)</f>
        <v>A1.1</v>
      </c>
      <c r="T609" s="680" t="str">
        <f>+_xlfn.XLOOKUP(Tabla4[[#This Row],[ID CLIENTE]],'RESUMEN CLIENTES'!D:D,'RESUMEN CLIENTES'!C:C)</f>
        <v>República Dominicana</v>
      </c>
    </row>
    <row r="610" spans="1:20" ht="16">
      <c r="A610" s="82">
        <v>45966</v>
      </c>
      <c r="B610" s="82" t="str">
        <f>+_xlfn.XLOOKUP(Tabla4[[#This Row],[ID CLIENTE]],'RESUMEN CLIENTES'!D:D,'RESUMEN CLIENTES'!A:A)</f>
        <v>Yefry Onil Santana Marte</v>
      </c>
      <c r="C610" s="83" t="s">
        <v>2284</v>
      </c>
      <c r="D610" s="83" t="s">
        <v>447</v>
      </c>
      <c r="E610" s="83" t="s">
        <v>1308</v>
      </c>
      <c r="F610" s="83" t="s">
        <v>1309</v>
      </c>
      <c r="G610" s="114">
        <v>625</v>
      </c>
      <c r="H610" s="85">
        <v>-20.56</v>
      </c>
      <c r="I610" s="115">
        <f t="shared" si="20"/>
        <v>3.2895999999999995E-2</v>
      </c>
      <c r="J610" s="87">
        <f t="shared" si="21"/>
        <v>604.44000000000005</v>
      </c>
      <c r="K610" s="87"/>
      <c r="L610" s="87" t="s">
        <v>4672</v>
      </c>
      <c r="M610" s="87"/>
      <c r="N610" s="524"/>
      <c r="O610" s="524">
        <f>+Tabla4[[#This Row],[PAGO NO EURO]]+Tabla4[[#This Row],[CARGO NO EURO]]</f>
        <v>0</v>
      </c>
      <c r="P610" s="524"/>
      <c r="Q610" s="88"/>
      <c r="R610" s="689">
        <f>+_xlfn.XLOOKUP(Tabla4[[#This Row],[ID CLIENTE]],'RESUMEN CLIENTES'!D:D,'RESUMEN CLIENTES'!G:G)</f>
        <v>45845</v>
      </c>
      <c r="S610" s="88" t="str">
        <f>+_xlfn.XLOOKUP(Tabla4[[#This Row],[ID CLIENTE]],'RESUMEN CLIENTES'!D:D,'RESUMEN CLIENTES'!AA:AA)</f>
        <v>A1.1</v>
      </c>
      <c r="T610" s="680" t="str">
        <f>+_xlfn.XLOOKUP(Tabla4[[#This Row],[ID CLIENTE]],'RESUMEN CLIENTES'!D:D,'RESUMEN CLIENTES'!C:C)</f>
        <v>República Dominicana</v>
      </c>
    </row>
    <row r="611" spans="1:20" ht="16">
      <c r="A611" s="82">
        <v>45966</v>
      </c>
      <c r="B611" s="82" t="str">
        <f>+_xlfn.XLOOKUP(Tabla4[[#This Row],[ID CLIENTE]],'RESUMEN CLIENTES'!D:D,'RESUMEN CLIENTES'!A:A)</f>
        <v>Yefry Onil Santana Marte</v>
      </c>
      <c r="C611" s="83" t="s">
        <v>2284</v>
      </c>
      <c r="D611" s="83" t="s">
        <v>447</v>
      </c>
      <c r="E611" s="83" t="s">
        <v>1310</v>
      </c>
      <c r="F611" s="83" t="s">
        <v>1311</v>
      </c>
      <c r="G611" s="114">
        <v>625</v>
      </c>
      <c r="H611" s="85">
        <v>-20.56</v>
      </c>
      <c r="I611" s="115">
        <f t="shared" si="20"/>
        <v>3.2895999999999995E-2</v>
      </c>
      <c r="J611" s="87">
        <f t="shared" si="21"/>
        <v>604.44000000000005</v>
      </c>
      <c r="K611" s="87"/>
      <c r="L611" s="87" t="s">
        <v>4672</v>
      </c>
      <c r="M611" s="87"/>
      <c r="N611" s="524"/>
      <c r="O611" s="524">
        <f>+Tabla4[[#This Row],[PAGO NO EURO]]+Tabla4[[#This Row],[CARGO NO EURO]]</f>
        <v>0</v>
      </c>
      <c r="P611" s="524"/>
      <c r="Q611" s="88"/>
      <c r="R611" s="689">
        <f>+_xlfn.XLOOKUP(Tabla4[[#This Row],[ID CLIENTE]],'RESUMEN CLIENTES'!D:D,'RESUMEN CLIENTES'!G:G)</f>
        <v>45845</v>
      </c>
      <c r="S611" s="88" t="str">
        <f>+_xlfn.XLOOKUP(Tabla4[[#This Row],[ID CLIENTE]],'RESUMEN CLIENTES'!D:D,'RESUMEN CLIENTES'!AA:AA)</f>
        <v>A1.1</v>
      </c>
      <c r="T611" s="680" t="str">
        <f>+_xlfn.XLOOKUP(Tabla4[[#This Row],[ID CLIENTE]],'RESUMEN CLIENTES'!D:D,'RESUMEN CLIENTES'!C:C)</f>
        <v>República Dominicana</v>
      </c>
    </row>
    <row r="612" spans="1:20" ht="16">
      <c r="A612" s="82">
        <v>45967</v>
      </c>
      <c r="B612" s="82" t="str">
        <f>+_xlfn.XLOOKUP(Tabla4[[#This Row],[ID CLIENTE]],'RESUMEN CLIENTES'!D:D,'RESUMEN CLIENTES'!A:A)</f>
        <v>Alejandra Leva Vallejo</v>
      </c>
      <c r="C612" s="83" t="s">
        <v>2178</v>
      </c>
      <c r="D612" s="83" t="s">
        <v>165</v>
      </c>
      <c r="E612" s="83" t="s">
        <v>1312</v>
      </c>
      <c r="F612" s="83" t="s">
        <v>1313</v>
      </c>
      <c r="G612" s="114">
        <v>1000</v>
      </c>
      <c r="H612" s="85">
        <v>-32.75</v>
      </c>
      <c r="I612" s="115">
        <f t="shared" si="20"/>
        <v>3.2750000000000001E-2</v>
      </c>
      <c r="J612" s="87">
        <f t="shared" si="21"/>
        <v>967.25</v>
      </c>
      <c r="K612" s="87"/>
      <c r="L612" s="87" t="s">
        <v>4672</v>
      </c>
      <c r="M612" s="87"/>
      <c r="N612" s="524"/>
      <c r="O612" s="524">
        <f>+Tabla4[[#This Row],[PAGO NO EURO]]+Tabla4[[#This Row],[CARGO NO EURO]]</f>
        <v>0</v>
      </c>
      <c r="P612" s="524"/>
      <c r="Q612" s="88"/>
      <c r="R612" s="689">
        <f>+_xlfn.XLOOKUP(Tabla4[[#This Row],[ID CLIENTE]],'RESUMEN CLIENTES'!D:D,'RESUMEN CLIENTES'!G:G)</f>
        <v>45762</v>
      </c>
      <c r="S612" s="88" t="str">
        <f>+_xlfn.XLOOKUP(Tabla4[[#This Row],[ID CLIENTE]],'RESUMEN CLIENTES'!D:D,'RESUMEN CLIENTES'!AA:AA)</f>
        <v>A1.1</v>
      </c>
      <c r="T612" s="680" t="str">
        <f>+_xlfn.XLOOKUP(Tabla4[[#This Row],[ID CLIENTE]],'RESUMEN CLIENTES'!D:D,'RESUMEN CLIENTES'!C:C)</f>
        <v>México</v>
      </c>
    </row>
    <row r="613" spans="1:20" ht="16">
      <c r="A613" s="82">
        <v>45967</v>
      </c>
      <c r="B613" s="82" t="str">
        <f>+_xlfn.XLOOKUP(Tabla4[[#This Row],[ID CLIENTE]],'RESUMEN CLIENTES'!D:D,'RESUMEN CLIENTES'!A:A)</f>
        <v>Angel Andres Velastegui Huebla</v>
      </c>
      <c r="C613" s="83" t="s">
        <v>2453</v>
      </c>
      <c r="D613" s="83" t="s">
        <v>1357</v>
      </c>
      <c r="E613" s="83" t="s">
        <v>1358</v>
      </c>
      <c r="F613" s="83" t="s">
        <v>1359</v>
      </c>
      <c r="G613" s="114">
        <v>250</v>
      </c>
      <c r="H613" s="85">
        <v>-8.3800000000000008</v>
      </c>
      <c r="I613" s="115">
        <f t="shared" si="20"/>
        <v>3.3520000000000001E-2</v>
      </c>
      <c r="J613" s="87">
        <f t="shared" si="21"/>
        <v>241.62</v>
      </c>
      <c r="K613" s="87"/>
      <c r="L613" s="87" t="s">
        <v>4672</v>
      </c>
      <c r="M613" s="87"/>
      <c r="N613" s="524"/>
      <c r="O613" s="524">
        <f>+Tabla4[[#This Row],[PAGO NO EURO]]+Tabla4[[#This Row],[CARGO NO EURO]]</f>
        <v>0</v>
      </c>
      <c r="P613" s="524"/>
      <c r="Q613" s="88"/>
      <c r="R613" s="689">
        <f>+_xlfn.XLOOKUP(Tabla4[[#This Row],[ID CLIENTE]],'RESUMEN CLIENTES'!D:D,'RESUMEN CLIENTES'!G:G)</f>
        <v>45967</v>
      </c>
      <c r="S613" s="88" t="str">
        <f>+_xlfn.XLOOKUP(Tabla4[[#This Row],[ID CLIENTE]],'RESUMEN CLIENTES'!D:D,'RESUMEN CLIENTES'!AA:AA)</f>
        <v>A1.1</v>
      </c>
      <c r="T613" s="680" t="str">
        <f>+_xlfn.XLOOKUP(Tabla4[[#This Row],[ID CLIENTE]],'RESUMEN CLIENTES'!D:D,'RESUMEN CLIENTES'!C:C)</f>
        <v>Ecuador</v>
      </c>
    </row>
    <row r="614" spans="1:20" ht="16">
      <c r="A614" s="82">
        <v>45967</v>
      </c>
      <c r="B614" s="82" t="str">
        <f>+_xlfn.XLOOKUP(Tabla4[[#This Row],[ID CLIENTE]],'RESUMEN CLIENTES'!D:D,'RESUMEN CLIENTES'!A:A)</f>
        <v>Armando Josmarx Suárez Solis</v>
      </c>
      <c r="C614" s="83" t="s">
        <v>2408</v>
      </c>
      <c r="D614" s="83" t="s">
        <v>904</v>
      </c>
      <c r="E614" s="83" t="s">
        <v>1360</v>
      </c>
      <c r="F614" s="83" t="s">
        <v>1361</v>
      </c>
      <c r="G614" s="114">
        <v>925</v>
      </c>
      <c r="H614" s="85">
        <v>-30.31</v>
      </c>
      <c r="I614" s="115">
        <f t="shared" si="20"/>
        <v>3.2767567567567567E-2</v>
      </c>
      <c r="J614" s="87">
        <f t="shared" si="21"/>
        <v>894.69</v>
      </c>
      <c r="K614" s="87"/>
      <c r="L614" s="87" t="s">
        <v>4672</v>
      </c>
      <c r="M614" s="87"/>
      <c r="N614" s="524"/>
      <c r="O614" s="524">
        <f>+Tabla4[[#This Row],[PAGO NO EURO]]+Tabla4[[#This Row],[CARGO NO EURO]]</f>
        <v>0</v>
      </c>
      <c r="P614" s="524"/>
      <c r="Q614" s="88"/>
      <c r="R614" s="689">
        <f>+_xlfn.XLOOKUP(Tabla4[[#This Row],[ID CLIENTE]],'RESUMEN CLIENTES'!D:D,'RESUMEN CLIENTES'!G:G)</f>
        <v>45906</v>
      </c>
      <c r="S614" s="88" t="str">
        <f>+_xlfn.XLOOKUP(Tabla4[[#This Row],[ID CLIENTE]],'RESUMEN CLIENTES'!D:D,'RESUMEN CLIENTES'!AA:AA)</f>
        <v>A2.1</v>
      </c>
      <c r="T614" s="680" t="str">
        <f>+_xlfn.XLOOKUP(Tabla4[[#This Row],[ID CLIENTE]],'RESUMEN CLIENTES'!D:D,'RESUMEN CLIENTES'!C:C)</f>
        <v>Nicaragua</v>
      </c>
    </row>
    <row r="615" spans="1:20" ht="16">
      <c r="A615" s="82">
        <v>45967</v>
      </c>
      <c r="B615" s="82" t="str">
        <f>+_xlfn.XLOOKUP(Tabla4[[#This Row],[ID CLIENTE]],'RESUMEN CLIENTES'!D:D,'RESUMEN CLIENTES'!A:A)</f>
        <v>Armando Josmarx Suárez Solis</v>
      </c>
      <c r="C615" s="83" t="s">
        <v>2408</v>
      </c>
      <c r="D615" s="83" t="s">
        <v>904</v>
      </c>
      <c r="E615" s="83" t="s">
        <v>1366</v>
      </c>
      <c r="F615" s="83" t="s">
        <v>1367</v>
      </c>
      <c r="G615" s="114">
        <v>925</v>
      </c>
      <c r="H615" s="85">
        <v>-30.31</v>
      </c>
      <c r="I615" s="115">
        <f t="shared" si="20"/>
        <v>3.2767567567567567E-2</v>
      </c>
      <c r="J615" s="87">
        <f t="shared" si="21"/>
        <v>894.69</v>
      </c>
      <c r="K615" s="87"/>
      <c r="L615" s="87" t="s">
        <v>4672</v>
      </c>
      <c r="M615" s="87"/>
      <c r="N615" s="524"/>
      <c r="O615" s="524">
        <f>+Tabla4[[#This Row],[PAGO NO EURO]]+Tabla4[[#This Row],[CARGO NO EURO]]</f>
        <v>0</v>
      </c>
      <c r="P615" s="524"/>
      <c r="Q615" s="88"/>
      <c r="R615" s="689">
        <f>+_xlfn.XLOOKUP(Tabla4[[#This Row],[ID CLIENTE]],'RESUMEN CLIENTES'!D:D,'RESUMEN CLIENTES'!G:G)</f>
        <v>45906</v>
      </c>
      <c r="S615" s="88" t="str">
        <f>+_xlfn.XLOOKUP(Tabla4[[#This Row],[ID CLIENTE]],'RESUMEN CLIENTES'!D:D,'RESUMEN CLIENTES'!AA:AA)</f>
        <v>A2.1</v>
      </c>
      <c r="T615" s="680" t="str">
        <f>+_xlfn.XLOOKUP(Tabla4[[#This Row],[ID CLIENTE]],'RESUMEN CLIENTES'!D:D,'RESUMEN CLIENTES'!C:C)</f>
        <v>Nicaragua</v>
      </c>
    </row>
    <row r="616" spans="1:20" ht="16">
      <c r="A616" s="82">
        <v>45967</v>
      </c>
      <c r="B616" s="82" t="str">
        <f>+_xlfn.XLOOKUP(Tabla4[[#This Row],[ID CLIENTE]],'RESUMEN CLIENTES'!D:D,'RESUMEN CLIENTES'!A:A)</f>
        <v>Armando Josmarx Suárez Solis</v>
      </c>
      <c r="C616" s="83" t="s">
        <v>2408</v>
      </c>
      <c r="D616" s="83" t="s">
        <v>904</v>
      </c>
      <c r="E616" s="83" t="s">
        <v>1362</v>
      </c>
      <c r="F616" s="83" t="s">
        <v>1363</v>
      </c>
      <c r="G616" s="114">
        <v>925</v>
      </c>
      <c r="H616" s="85">
        <v>-30.31</v>
      </c>
      <c r="I616" s="115">
        <f t="shared" si="20"/>
        <v>3.2767567567567567E-2</v>
      </c>
      <c r="J616" s="87">
        <f t="shared" si="21"/>
        <v>894.69</v>
      </c>
      <c r="K616" s="87"/>
      <c r="L616" s="87" t="s">
        <v>4672</v>
      </c>
      <c r="M616" s="87"/>
      <c r="N616" s="524"/>
      <c r="O616" s="524">
        <f>+Tabla4[[#This Row],[PAGO NO EURO]]+Tabla4[[#This Row],[CARGO NO EURO]]</f>
        <v>0</v>
      </c>
      <c r="P616" s="524"/>
      <c r="Q616" s="88"/>
      <c r="R616" s="689">
        <f>+_xlfn.XLOOKUP(Tabla4[[#This Row],[ID CLIENTE]],'RESUMEN CLIENTES'!D:D,'RESUMEN CLIENTES'!G:G)</f>
        <v>45906</v>
      </c>
      <c r="S616" s="88" t="str">
        <f>+_xlfn.XLOOKUP(Tabla4[[#This Row],[ID CLIENTE]],'RESUMEN CLIENTES'!D:D,'RESUMEN CLIENTES'!AA:AA)</f>
        <v>A2.1</v>
      </c>
      <c r="T616" s="680" t="str">
        <f>+_xlfn.XLOOKUP(Tabla4[[#This Row],[ID CLIENTE]],'RESUMEN CLIENTES'!D:D,'RESUMEN CLIENTES'!C:C)</f>
        <v>Nicaragua</v>
      </c>
    </row>
    <row r="617" spans="1:20" ht="16">
      <c r="A617" s="82">
        <v>45967</v>
      </c>
      <c r="B617" s="82" t="str">
        <f>+_xlfn.XLOOKUP(Tabla4[[#This Row],[ID CLIENTE]],'RESUMEN CLIENTES'!D:D,'RESUMEN CLIENTES'!A:A)</f>
        <v>Armando Josmarx Suárez Solis</v>
      </c>
      <c r="C617" s="83" t="s">
        <v>2408</v>
      </c>
      <c r="D617" s="83" t="s">
        <v>904</v>
      </c>
      <c r="E617" s="83" t="s">
        <v>1364</v>
      </c>
      <c r="F617" s="83" t="s">
        <v>1365</v>
      </c>
      <c r="G617" s="114">
        <v>925</v>
      </c>
      <c r="H617" s="85">
        <v>-30.31</v>
      </c>
      <c r="I617" s="115">
        <f t="shared" si="20"/>
        <v>3.2767567567567567E-2</v>
      </c>
      <c r="J617" s="87">
        <f t="shared" si="21"/>
        <v>894.69</v>
      </c>
      <c r="K617" s="87"/>
      <c r="L617" s="87" t="s">
        <v>4672</v>
      </c>
      <c r="M617" s="87"/>
      <c r="N617" s="524"/>
      <c r="O617" s="524">
        <f>+Tabla4[[#This Row],[PAGO NO EURO]]+Tabla4[[#This Row],[CARGO NO EURO]]</f>
        <v>0</v>
      </c>
      <c r="P617" s="524"/>
      <c r="Q617" s="88"/>
      <c r="R617" s="689">
        <f>+_xlfn.XLOOKUP(Tabla4[[#This Row],[ID CLIENTE]],'RESUMEN CLIENTES'!D:D,'RESUMEN CLIENTES'!G:G)</f>
        <v>45906</v>
      </c>
      <c r="S617" s="88" t="str">
        <f>+_xlfn.XLOOKUP(Tabla4[[#This Row],[ID CLIENTE]],'RESUMEN CLIENTES'!D:D,'RESUMEN CLIENTES'!AA:AA)</f>
        <v>A2.1</v>
      </c>
      <c r="T617" s="680" t="str">
        <f>+_xlfn.XLOOKUP(Tabla4[[#This Row],[ID CLIENTE]],'RESUMEN CLIENTES'!D:D,'RESUMEN CLIENTES'!C:C)</f>
        <v>Nicaragua</v>
      </c>
    </row>
    <row r="618" spans="1:20" ht="16">
      <c r="A618" s="82">
        <v>45967</v>
      </c>
      <c r="B618" s="82" t="str">
        <f>+_xlfn.XLOOKUP(Tabla4[[#This Row],[ID CLIENTE]],'RESUMEN CLIENTES'!D:D,'RESUMEN CLIENTES'!A:A)</f>
        <v>Florencia Luján Sapia</v>
      </c>
      <c r="C618" s="83" t="s">
        <v>2393</v>
      </c>
      <c r="D618" s="83" t="s">
        <v>787</v>
      </c>
      <c r="E618" s="83" t="s">
        <v>1326</v>
      </c>
      <c r="F618" s="83" t="s">
        <v>1327</v>
      </c>
      <c r="G618" s="114">
        <v>600</v>
      </c>
      <c r="H618" s="85">
        <v>-19.75</v>
      </c>
      <c r="I618" s="115">
        <f t="shared" si="20"/>
        <v>3.2916666666666664E-2</v>
      </c>
      <c r="J618" s="87">
        <f t="shared" si="21"/>
        <v>580.25</v>
      </c>
      <c r="K618" s="87"/>
      <c r="L618" s="87" t="s">
        <v>4672</v>
      </c>
      <c r="M618" s="87"/>
      <c r="N618" s="524"/>
      <c r="O618" s="524">
        <f>+Tabla4[[#This Row],[PAGO NO EURO]]+Tabla4[[#This Row],[CARGO NO EURO]]</f>
        <v>0</v>
      </c>
      <c r="P618" s="524"/>
      <c r="Q618" s="88"/>
      <c r="R618" s="689">
        <f>+_xlfn.XLOOKUP(Tabla4[[#This Row],[ID CLIENTE]],'RESUMEN CLIENTES'!D:D,'RESUMEN CLIENTES'!G:G)</f>
        <v>45900</v>
      </c>
      <c r="S618" s="88" t="str">
        <f>+_xlfn.XLOOKUP(Tabla4[[#This Row],[ID CLIENTE]],'RESUMEN CLIENTES'!D:D,'RESUMEN CLIENTES'!AA:AA)</f>
        <v>A2.1</v>
      </c>
      <c r="T618" s="680" t="str">
        <f>+_xlfn.XLOOKUP(Tabla4[[#This Row],[ID CLIENTE]],'RESUMEN CLIENTES'!D:D,'RESUMEN CLIENTES'!C:C)</f>
        <v>Argentina</v>
      </c>
    </row>
    <row r="619" spans="1:20" ht="16">
      <c r="A619" s="82">
        <v>45967</v>
      </c>
      <c r="B619" s="82" t="str">
        <f>+_xlfn.XLOOKUP(Tabla4[[#This Row],[ID CLIENTE]],'RESUMEN CLIENTES'!D:D,'RESUMEN CLIENTES'!A:A)</f>
        <v>Luis Carlos Villa Cortés</v>
      </c>
      <c r="C619" s="83" t="s">
        <v>2406</v>
      </c>
      <c r="D619" s="83" t="s">
        <v>907</v>
      </c>
      <c r="E619" s="83" t="s">
        <v>1368</v>
      </c>
      <c r="F619" s="83" t="s">
        <v>1369</v>
      </c>
      <c r="G619" s="114">
        <v>1000</v>
      </c>
      <c r="H619" s="85">
        <v>-32.75</v>
      </c>
      <c r="I619" s="115">
        <f t="shared" si="20"/>
        <v>3.2750000000000001E-2</v>
      </c>
      <c r="J619" s="87">
        <f t="shared" si="21"/>
        <v>967.25</v>
      </c>
      <c r="K619" s="87"/>
      <c r="L619" s="87" t="s">
        <v>4672</v>
      </c>
      <c r="M619" s="87"/>
      <c r="N619" s="524"/>
      <c r="O619" s="524">
        <f>+Tabla4[[#This Row],[PAGO NO EURO]]+Tabla4[[#This Row],[CARGO NO EURO]]</f>
        <v>0</v>
      </c>
      <c r="P619" s="524"/>
      <c r="Q619" s="88"/>
      <c r="R619" s="689">
        <f>+_xlfn.XLOOKUP(Tabla4[[#This Row],[ID CLIENTE]],'RESUMEN CLIENTES'!D:D,'RESUMEN CLIENTES'!G:G)</f>
        <v>45906</v>
      </c>
      <c r="S619" s="88" t="str">
        <f>+_xlfn.XLOOKUP(Tabla4[[#This Row],[ID CLIENTE]],'RESUMEN CLIENTES'!D:D,'RESUMEN CLIENTES'!AA:AA)</f>
        <v>A1.1</v>
      </c>
      <c r="T619" s="680" t="str">
        <f>+_xlfn.XLOOKUP(Tabla4[[#This Row],[ID CLIENTE]],'RESUMEN CLIENTES'!D:D,'RESUMEN CLIENTES'!C:C)</f>
        <v>México</v>
      </c>
    </row>
    <row r="620" spans="1:20" ht="16">
      <c r="A620" s="82">
        <v>45968</v>
      </c>
      <c r="B620" s="82" t="str">
        <f>+_xlfn.XLOOKUP(Tabla4[[#This Row],[ID CLIENTE]],'RESUMEN CLIENTES'!D:D,'RESUMEN CLIENTES'!A:A)</f>
        <v>Angel Andres Velastegui Huebla</v>
      </c>
      <c r="C620" s="83" t="s">
        <v>2453</v>
      </c>
      <c r="D620" s="83" t="s">
        <v>1357</v>
      </c>
      <c r="E620" s="83" t="s">
        <v>1377</v>
      </c>
      <c r="F620" s="83" t="s">
        <v>1378</v>
      </c>
      <c r="G620" s="114">
        <v>2750</v>
      </c>
      <c r="H620" s="85">
        <v>-89.63</v>
      </c>
      <c r="I620" s="115">
        <f t="shared" si="20"/>
        <v>3.2592727272727273E-2</v>
      </c>
      <c r="J620" s="87">
        <f t="shared" si="21"/>
        <v>2660.37</v>
      </c>
      <c r="K620" s="87"/>
      <c r="L620" s="87" t="s">
        <v>4672</v>
      </c>
      <c r="M620" s="87"/>
      <c r="N620" s="524"/>
      <c r="O620" s="524">
        <f>+Tabla4[[#This Row],[PAGO NO EURO]]+Tabla4[[#This Row],[CARGO NO EURO]]</f>
        <v>0</v>
      </c>
      <c r="P620" s="524"/>
      <c r="Q620" s="153"/>
      <c r="R620" s="694">
        <f>+_xlfn.XLOOKUP(Tabla4[[#This Row],[ID CLIENTE]],'RESUMEN CLIENTES'!D:D,'RESUMEN CLIENTES'!G:G)</f>
        <v>45967</v>
      </c>
      <c r="S620" s="153" t="str">
        <f>+_xlfn.XLOOKUP(Tabla4[[#This Row],[ID CLIENTE]],'RESUMEN CLIENTES'!D:D,'RESUMEN CLIENTES'!AA:AA)</f>
        <v>A1.1</v>
      </c>
      <c r="T620" s="683" t="str">
        <f>+_xlfn.XLOOKUP(Tabla4[[#This Row],[ID CLIENTE]],'RESUMEN CLIENTES'!D:D,'RESUMEN CLIENTES'!C:C)</f>
        <v>Ecuador</v>
      </c>
    </row>
    <row r="621" spans="1:20" ht="16">
      <c r="A621" s="82">
        <v>45968</v>
      </c>
      <c r="B621" s="82" t="str">
        <f>+_xlfn.XLOOKUP(Tabla4[[#This Row],[ID CLIENTE]],'RESUMEN CLIENTES'!D:D,'RESUMEN CLIENTES'!A:A)</f>
        <v>Bernardita Lobo Zegers</v>
      </c>
      <c r="C621" s="83" t="s">
        <v>2202</v>
      </c>
      <c r="D621" s="83" t="s">
        <v>203</v>
      </c>
      <c r="E621" s="83" t="s">
        <v>1314</v>
      </c>
      <c r="F621" s="83" t="s">
        <v>1315</v>
      </c>
      <c r="G621" s="114">
        <v>800</v>
      </c>
      <c r="H621" s="85">
        <v>-26.25</v>
      </c>
      <c r="I621" s="115">
        <f t="shared" si="20"/>
        <v>3.2812500000000001E-2</v>
      </c>
      <c r="J621" s="87">
        <f t="shared" si="21"/>
        <v>773.75</v>
      </c>
      <c r="K621" s="87"/>
      <c r="L621" s="87" t="s">
        <v>4672</v>
      </c>
      <c r="M621" s="87"/>
      <c r="N621" s="524"/>
      <c r="O621" s="524">
        <f>+Tabla4[[#This Row],[PAGO NO EURO]]+Tabla4[[#This Row],[CARGO NO EURO]]</f>
        <v>0</v>
      </c>
      <c r="P621" s="524"/>
      <c r="Q621" s="88"/>
      <c r="R621" s="689">
        <f>+_xlfn.XLOOKUP(Tabla4[[#This Row],[ID CLIENTE]],'RESUMEN CLIENTES'!D:D,'RESUMEN CLIENTES'!G:G)</f>
        <v>45779</v>
      </c>
      <c r="S621" s="88" t="str">
        <f>+_xlfn.XLOOKUP(Tabla4[[#This Row],[ID CLIENTE]],'RESUMEN CLIENTES'!D:D,'RESUMEN CLIENTES'!AA:AA)</f>
        <v>A1.1</v>
      </c>
      <c r="T621" s="680" t="str">
        <f>+_xlfn.XLOOKUP(Tabla4[[#This Row],[ID CLIENTE]],'RESUMEN CLIENTES'!D:D,'RESUMEN CLIENTES'!C:C)</f>
        <v>México</v>
      </c>
    </row>
    <row r="622" spans="1:20" ht="16">
      <c r="A622" s="82">
        <v>45968</v>
      </c>
      <c r="B622" s="82" t="str">
        <f>+_xlfn.XLOOKUP(Tabla4[[#This Row],[ID CLIENTE]],'RESUMEN CLIENTES'!D:D,'RESUMEN CLIENTES'!A:A)</f>
        <v>Juan Manuel Paranzino</v>
      </c>
      <c r="C622" s="83" t="s">
        <v>2391</v>
      </c>
      <c r="D622" s="83" t="s">
        <v>798</v>
      </c>
      <c r="E622" s="83" t="s">
        <v>1336</v>
      </c>
      <c r="F622" s="83" t="s">
        <v>1337</v>
      </c>
      <c r="G622" s="114">
        <f>+Tabla4[[#This Row],[PAGO NO EURO]]*Tabla4[[#This Row],[CAMBIO]]</f>
        <v>594.01672557979134</v>
      </c>
      <c r="H622" s="85">
        <f>+Tabla4[[#This Row],[CARGO NO EURO]]*Tabla4[[#This Row],[CAMBIO]]</f>
        <v>-19.562031209587033</v>
      </c>
      <c r="I622" s="115">
        <f t="shared" si="20"/>
        <v>3.293178519593614E-2</v>
      </c>
      <c r="J622" s="87">
        <f t="shared" si="21"/>
        <v>574.45469437020427</v>
      </c>
      <c r="K622" s="87"/>
      <c r="L622" s="87" t="s">
        <v>4672</v>
      </c>
      <c r="M622" s="87" t="s">
        <v>2548</v>
      </c>
      <c r="N622" s="524">
        <v>689</v>
      </c>
      <c r="O622" s="524">
        <f>+Tabla4[[#This Row],[PAGO NO EURO]]+Tabla4[[#This Row],[CARGO NO EURO]]</f>
        <v>666.31</v>
      </c>
      <c r="P622" s="524">
        <v>-22.69</v>
      </c>
      <c r="Q622" s="155">
        <v>0.86214328821450126</v>
      </c>
      <c r="R622" s="693">
        <f>+_xlfn.XLOOKUP(Tabla4[[#This Row],[ID CLIENTE]],'RESUMEN CLIENTES'!D:D,'RESUMEN CLIENTES'!G:G)</f>
        <v>45900</v>
      </c>
      <c r="S622" s="155" t="str">
        <f>+_xlfn.XLOOKUP(Tabla4[[#This Row],[ID CLIENTE]],'RESUMEN CLIENTES'!D:D,'RESUMEN CLIENTES'!AA:AA)</f>
        <v>B1.1</v>
      </c>
      <c r="T622" s="680" t="str">
        <f>+_xlfn.XLOOKUP(Tabla4[[#This Row],[ID CLIENTE]],'RESUMEN CLIENTES'!D:D,'RESUMEN CLIENTES'!C:C)</f>
        <v>Argentina</v>
      </c>
    </row>
    <row r="623" spans="1:20" ht="16">
      <c r="A623" s="82">
        <v>45968</v>
      </c>
      <c r="B623" s="82" t="str">
        <f>+_xlfn.XLOOKUP(Tabla4[[#This Row],[ID CLIENTE]],'RESUMEN CLIENTES'!D:D,'RESUMEN CLIENTES'!A:A)</f>
        <v>Matías Enrique Aguilera Mancilla</v>
      </c>
      <c r="C623" s="83" t="s">
        <v>2418</v>
      </c>
      <c r="D623" s="83" t="s">
        <v>958</v>
      </c>
      <c r="E623" s="83" t="s">
        <v>1347</v>
      </c>
      <c r="F623" s="83" t="s">
        <v>1348</v>
      </c>
      <c r="G623" s="114">
        <v>1000</v>
      </c>
      <c r="H623" s="85">
        <v>-32.75</v>
      </c>
      <c r="I623" s="115">
        <f t="shared" si="20"/>
        <v>3.2750000000000001E-2</v>
      </c>
      <c r="J623" s="87">
        <f t="shared" si="21"/>
        <v>967.25</v>
      </c>
      <c r="K623" s="87"/>
      <c r="L623" s="87" t="s">
        <v>4672</v>
      </c>
      <c r="M623" s="87"/>
      <c r="N623" s="524"/>
      <c r="O623" s="524">
        <f>+Tabla4[[#This Row],[PAGO NO EURO]]+Tabla4[[#This Row],[CARGO NO EURO]]</f>
        <v>0</v>
      </c>
      <c r="P623" s="524"/>
      <c r="Q623" s="88"/>
      <c r="R623" s="689">
        <f>+_xlfn.XLOOKUP(Tabla4[[#This Row],[ID CLIENTE]],'RESUMEN CLIENTES'!D:D,'RESUMEN CLIENTES'!G:G)</f>
        <v>45914</v>
      </c>
      <c r="S623" s="88" t="str">
        <f>+_xlfn.XLOOKUP(Tabla4[[#This Row],[ID CLIENTE]],'RESUMEN CLIENTES'!D:D,'RESUMEN CLIENTES'!AA:AA)</f>
        <v>null</v>
      </c>
      <c r="T623" s="680" t="str">
        <f>+_xlfn.XLOOKUP(Tabla4[[#This Row],[ID CLIENTE]],'RESUMEN CLIENTES'!D:D,'RESUMEN CLIENTES'!C:C)</f>
        <v>Chile</v>
      </c>
    </row>
    <row r="624" spans="1:20" ht="16">
      <c r="A624" s="82">
        <v>45968</v>
      </c>
      <c r="B624" s="82" t="str">
        <f>+_xlfn.XLOOKUP(Tabla4[[#This Row],[ID CLIENTE]],'RESUMEN CLIENTES'!D:D,'RESUMEN CLIENTES'!A:A)</f>
        <v>Victor Emanuel Hernández Ruíz</v>
      </c>
      <c r="C624" s="83" t="s">
        <v>2141</v>
      </c>
      <c r="D624" s="83" t="s">
        <v>112</v>
      </c>
      <c r="E624" s="83" t="s">
        <v>1355</v>
      </c>
      <c r="F624" s="83" t="s">
        <v>1356</v>
      </c>
      <c r="G624" s="114">
        <v>601</v>
      </c>
      <c r="H624" s="85">
        <v>-19.78</v>
      </c>
      <c r="I624" s="115">
        <f t="shared" si="20"/>
        <v>3.2911813643926792E-2</v>
      </c>
      <c r="J624" s="87">
        <f t="shared" si="21"/>
        <v>581.22</v>
      </c>
      <c r="K624" s="87"/>
      <c r="L624" s="87" t="s">
        <v>4672</v>
      </c>
      <c r="M624" s="87"/>
      <c r="N624" s="524"/>
      <c r="O624" s="524">
        <f>+Tabla4[[#This Row],[PAGO NO EURO]]+Tabla4[[#This Row],[CARGO NO EURO]]</f>
        <v>0</v>
      </c>
      <c r="P624" s="524"/>
      <c r="Q624" s="395"/>
      <c r="R624" s="695">
        <f>+_xlfn.XLOOKUP(Tabla4[[#This Row],[ID CLIENTE]],'RESUMEN CLIENTES'!D:D,'RESUMEN CLIENTES'!G:G)</f>
        <v>45735</v>
      </c>
      <c r="S624" s="395" t="str">
        <f>+_xlfn.XLOOKUP(Tabla4[[#This Row],[ID CLIENTE]],'RESUMEN CLIENTES'!D:D,'RESUMEN CLIENTES'!AA:AA)</f>
        <v>B2.1</v>
      </c>
      <c r="T624" s="684" t="str">
        <f>+_xlfn.XLOOKUP(Tabla4[[#This Row],[ID CLIENTE]],'RESUMEN CLIENTES'!D:D,'RESUMEN CLIENTES'!C:C)</f>
        <v>México</v>
      </c>
    </row>
    <row r="625" spans="1:20" ht="16">
      <c r="A625" s="82">
        <v>45969</v>
      </c>
      <c r="B625" s="82" t="str">
        <f>+_xlfn.XLOOKUP(Tabla4[[#This Row],[ID CLIENTE]],'RESUMEN CLIENTES'!D:D,'RESUMEN CLIENTES'!A:A)</f>
        <v>Diego Alonso Salazar Palacios</v>
      </c>
      <c r="C625" s="83" t="s">
        <v>2216</v>
      </c>
      <c r="D625" s="83" t="s">
        <v>253</v>
      </c>
      <c r="E625" s="83" t="s">
        <v>1379</v>
      </c>
      <c r="F625" s="83" t="s">
        <v>1380</v>
      </c>
      <c r="G625" s="114">
        <v>1000</v>
      </c>
      <c r="H625" s="85">
        <v>-32.75</v>
      </c>
      <c r="I625" s="115">
        <f t="shared" si="20"/>
        <v>3.2750000000000001E-2</v>
      </c>
      <c r="J625" s="87">
        <f t="shared" si="21"/>
        <v>967.25</v>
      </c>
      <c r="K625" s="87"/>
      <c r="L625" s="87" t="s">
        <v>4672</v>
      </c>
      <c r="M625" s="87"/>
      <c r="N625" s="524"/>
      <c r="O625" s="524">
        <f>+Tabla4[[#This Row],[PAGO NO EURO]]+Tabla4[[#This Row],[CARGO NO EURO]]</f>
        <v>0</v>
      </c>
      <c r="P625" s="524"/>
      <c r="Q625" s="153"/>
      <c r="R625" s="694">
        <f>+_xlfn.XLOOKUP(Tabla4[[#This Row],[ID CLIENTE]],'RESUMEN CLIENTES'!D:D,'RESUMEN CLIENTES'!G:G)</f>
        <v>45803</v>
      </c>
      <c r="S625" s="153" t="str">
        <f>+_xlfn.XLOOKUP(Tabla4[[#This Row],[ID CLIENTE]],'RESUMEN CLIENTES'!D:D,'RESUMEN CLIENTES'!AA:AA)</f>
        <v>A1.1</v>
      </c>
      <c r="T625" s="683" t="str">
        <f>+_xlfn.XLOOKUP(Tabla4[[#This Row],[ID CLIENTE]],'RESUMEN CLIENTES'!D:D,'RESUMEN CLIENTES'!C:C)</f>
        <v>Perú</v>
      </c>
    </row>
    <row r="626" spans="1:20" ht="16">
      <c r="A626" s="82">
        <v>45969</v>
      </c>
      <c r="B626" s="82" t="str">
        <f>+_xlfn.XLOOKUP(Tabla4[[#This Row],[ID CLIENTE]],'RESUMEN CLIENTES'!D:D,'RESUMEN CLIENTES'!A:A)</f>
        <v>Ian Job Lino Durán</v>
      </c>
      <c r="C626" s="83" t="s">
        <v>2135</v>
      </c>
      <c r="D626" s="83" t="s">
        <v>109</v>
      </c>
      <c r="E626" s="83" t="s">
        <v>1332</v>
      </c>
      <c r="F626" s="83" t="s">
        <v>1333</v>
      </c>
      <c r="G626" s="114">
        <v>700</v>
      </c>
      <c r="H626" s="85">
        <v>-23</v>
      </c>
      <c r="I626" s="115">
        <f t="shared" si="20"/>
        <v>3.2857142857142856E-2</v>
      </c>
      <c r="J626" s="87">
        <f t="shared" si="21"/>
        <v>677</v>
      </c>
      <c r="K626" s="87"/>
      <c r="L626" s="87" t="s">
        <v>4672</v>
      </c>
      <c r="M626" s="87"/>
      <c r="N626" s="524"/>
      <c r="O626" s="524">
        <f>+Tabla4[[#This Row],[PAGO NO EURO]]+Tabla4[[#This Row],[CARGO NO EURO]]</f>
        <v>0</v>
      </c>
      <c r="P626" s="524"/>
      <c r="Q626" s="153"/>
      <c r="R626" s="694">
        <f>+_xlfn.XLOOKUP(Tabla4[[#This Row],[ID CLIENTE]],'RESUMEN CLIENTES'!D:D,'RESUMEN CLIENTES'!G:G)</f>
        <v>45729</v>
      </c>
      <c r="S626" s="153" t="str">
        <f>+_xlfn.XLOOKUP(Tabla4[[#This Row],[ID CLIENTE]],'RESUMEN CLIENTES'!D:D,'RESUMEN CLIENTES'!AA:AA)</f>
        <v>B2.1</v>
      </c>
      <c r="T626" s="683" t="str">
        <f>+_xlfn.XLOOKUP(Tabla4[[#This Row],[ID CLIENTE]],'RESUMEN CLIENTES'!D:D,'RESUMEN CLIENTES'!C:C)</f>
        <v>México</v>
      </c>
    </row>
    <row r="627" spans="1:20" ht="16">
      <c r="A627" s="82">
        <v>45970</v>
      </c>
      <c r="B627" s="82" t="str">
        <f>+_xlfn.XLOOKUP(Tabla4[[#This Row],[ID CLIENTE]],'RESUMEN CLIENTES'!D:D,'RESUMEN CLIENTES'!A:A)</f>
        <v>Rodrigo Alfonso Busse Hernández</v>
      </c>
      <c r="C627" s="83" t="s">
        <v>2231</v>
      </c>
      <c r="D627" s="83" t="s">
        <v>275</v>
      </c>
      <c r="E627" s="83" t="s">
        <v>1387</v>
      </c>
      <c r="F627" s="83" t="s">
        <v>1388</v>
      </c>
      <c r="G627" s="114">
        <v>1111</v>
      </c>
      <c r="H627" s="85">
        <v>-36.36</v>
      </c>
      <c r="I627" s="115">
        <f t="shared" si="20"/>
        <v>3.272727272727273E-2</v>
      </c>
      <c r="J627" s="87">
        <f t="shared" si="21"/>
        <v>1074.6400000000001</v>
      </c>
      <c r="K627" s="87"/>
      <c r="L627" s="87" t="s">
        <v>4672</v>
      </c>
      <c r="M627" s="87"/>
      <c r="N627" s="524"/>
      <c r="O627" s="524">
        <f>+Tabla4[[#This Row],[PAGO NO EURO]]+Tabla4[[#This Row],[CARGO NO EURO]]</f>
        <v>0</v>
      </c>
      <c r="P627" s="524"/>
      <c r="Q627" s="153"/>
      <c r="R627" s="694">
        <f>+_xlfn.XLOOKUP(Tabla4[[#This Row],[ID CLIENTE]],'RESUMEN CLIENTES'!D:D,'RESUMEN CLIENTES'!G:G)</f>
        <v>45810</v>
      </c>
      <c r="S627" s="153" t="str">
        <f>+_xlfn.XLOOKUP(Tabla4[[#This Row],[ID CLIENTE]],'RESUMEN CLIENTES'!D:D,'RESUMEN CLIENTES'!AA:AA)</f>
        <v>null</v>
      </c>
      <c r="T627" s="683" t="str">
        <f>+_xlfn.XLOOKUP(Tabla4[[#This Row],[ID CLIENTE]],'RESUMEN CLIENTES'!D:D,'RESUMEN CLIENTES'!C:C)</f>
        <v>Chile</v>
      </c>
    </row>
    <row r="628" spans="1:20" ht="16">
      <c r="A628" s="82">
        <v>45970</v>
      </c>
      <c r="B628" s="82" t="str">
        <f>+_xlfn.XLOOKUP(Tabla4[[#This Row],[ID CLIENTE]],'RESUMEN CLIENTES'!D:D,'RESUMEN CLIENTES'!A:A)</f>
        <v>Samuel Sebastián Marmolejo Saldarriaga</v>
      </c>
      <c r="C628" s="83" t="s">
        <v>2455</v>
      </c>
      <c r="D628" s="83" t="s">
        <v>1374</v>
      </c>
      <c r="E628" s="83" t="s">
        <v>1375</v>
      </c>
      <c r="F628" s="83" t="s">
        <v>1376</v>
      </c>
      <c r="G628" s="114">
        <v>500</v>
      </c>
      <c r="H628" s="85">
        <v>-16.5</v>
      </c>
      <c r="I628" s="115">
        <f t="shared" si="20"/>
        <v>3.3000000000000002E-2</v>
      </c>
      <c r="J628" s="87">
        <f t="shared" si="21"/>
        <v>483.5</v>
      </c>
      <c r="K628" s="87"/>
      <c r="L628" s="87" t="s">
        <v>4672</v>
      </c>
      <c r="M628" s="87"/>
      <c r="N628" s="524"/>
      <c r="O628" s="524">
        <f>+Tabla4[[#This Row],[PAGO NO EURO]]+Tabla4[[#This Row],[CARGO NO EURO]]</f>
        <v>0</v>
      </c>
      <c r="P628" s="524"/>
      <c r="Q628" s="153"/>
      <c r="R628" s="694">
        <f>+_xlfn.XLOOKUP(Tabla4[[#This Row],[ID CLIENTE]],'RESUMEN CLIENTES'!D:D,'RESUMEN CLIENTES'!G:G)</f>
        <v>45970</v>
      </c>
      <c r="S628" s="153" t="str">
        <f>+_xlfn.XLOOKUP(Tabla4[[#This Row],[ID CLIENTE]],'RESUMEN CLIENTES'!D:D,'RESUMEN CLIENTES'!AA:AA)</f>
        <v>A1.1</v>
      </c>
      <c r="T628" s="683" t="str">
        <f>+_xlfn.XLOOKUP(Tabla4[[#This Row],[ID CLIENTE]],'RESUMEN CLIENTES'!D:D,'RESUMEN CLIENTES'!C:C)</f>
        <v>Perú</v>
      </c>
    </row>
    <row r="629" spans="1:20" ht="16">
      <c r="A629" s="82">
        <v>45971</v>
      </c>
      <c r="B629" s="82" t="str">
        <f>+_xlfn.XLOOKUP(Tabla4[[#This Row],[ID CLIENTE]],'RESUMEN CLIENTES'!D:D,'RESUMEN CLIENTES'!A:A)</f>
        <v>María de los Ángeles Gutiérrez Quevedo</v>
      </c>
      <c r="C629" s="83" t="s">
        <v>2233</v>
      </c>
      <c r="D629" s="83" t="s">
        <v>274</v>
      </c>
      <c r="E629" s="83" t="s">
        <v>1381</v>
      </c>
      <c r="F629" s="83" t="s">
        <v>1382</v>
      </c>
      <c r="G629" s="114">
        <v>1500</v>
      </c>
      <c r="H629" s="85">
        <v>-49</v>
      </c>
      <c r="I629" s="115">
        <f t="shared" si="20"/>
        <v>3.2666666666666663E-2</v>
      </c>
      <c r="J629" s="87">
        <f t="shared" si="21"/>
        <v>1451</v>
      </c>
      <c r="K629" s="87"/>
      <c r="L629" s="87" t="s">
        <v>4672</v>
      </c>
      <c r="M629" s="87"/>
      <c r="N629" s="524"/>
      <c r="O629" s="524">
        <f>+Tabla4[[#This Row],[PAGO NO EURO]]+Tabla4[[#This Row],[CARGO NO EURO]]</f>
        <v>0</v>
      </c>
      <c r="P629" s="524"/>
      <c r="Q629" s="153"/>
      <c r="R629" s="694">
        <f>+_xlfn.XLOOKUP(Tabla4[[#This Row],[ID CLIENTE]],'RESUMEN CLIENTES'!D:D,'RESUMEN CLIENTES'!G:G)</f>
        <v>45810</v>
      </c>
      <c r="S629" s="153" t="str">
        <f>+_xlfn.XLOOKUP(Tabla4[[#This Row],[ID CLIENTE]],'RESUMEN CLIENTES'!D:D,'RESUMEN CLIENTES'!AA:AA)</f>
        <v>A1.1</v>
      </c>
      <c r="T629" s="683" t="str">
        <f>+_xlfn.XLOOKUP(Tabla4[[#This Row],[ID CLIENTE]],'RESUMEN CLIENTES'!D:D,'RESUMEN CLIENTES'!C:C)</f>
        <v>Chile</v>
      </c>
    </row>
    <row r="630" spans="1:20" ht="16">
      <c r="A630" s="82">
        <v>45971</v>
      </c>
      <c r="B630" s="82" t="str">
        <f>+_xlfn.XLOOKUP(Tabla4[[#This Row],[ID CLIENTE]],'RESUMEN CLIENTES'!D:D,'RESUMEN CLIENTES'!A:A)</f>
        <v>Jordan Eliecer Toledo Bravo</v>
      </c>
      <c r="C630" s="83" t="s">
        <v>2158</v>
      </c>
      <c r="D630" s="83" t="s">
        <v>142</v>
      </c>
      <c r="E630" s="83" t="s">
        <v>1334</v>
      </c>
      <c r="F630" s="83" t="s">
        <v>1335</v>
      </c>
      <c r="G630" s="114">
        <v>500</v>
      </c>
      <c r="H630" s="85">
        <v>-16.5</v>
      </c>
      <c r="I630" s="115">
        <f t="shared" si="20"/>
        <v>3.3000000000000002E-2</v>
      </c>
      <c r="J630" s="87">
        <f t="shared" si="21"/>
        <v>483.5</v>
      </c>
      <c r="K630" s="87"/>
      <c r="L630" s="87" t="s">
        <v>4672</v>
      </c>
      <c r="M630" s="87"/>
      <c r="N630" s="524"/>
      <c r="O630" s="524">
        <f>+Tabla4[[#This Row],[PAGO NO EURO]]+Tabla4[[#This Row],[CARGO NO EURO]]</f>
        <v>0</v>
      </c>
      <c r="P630" s="524"/>
      <c r="Q630" s="153"/>
      <c r="R630" s="694">
        <f>+_xlfn.XLOOKUP(Tabla4[[#This Row],[ID CLIENTE]],'RESUMEN CLIENTES'!D:D,'RESUMEN CLIENTES'!G:G)</f>
        <v>45748</v>
      </c>
      <c r="S630" s="153" t="str">
        <f>+_xlfn.XLOOKUP(Tabla4[[#This Row],[ID CLIENTE]],'RESUMEN CLIENTES'!D:D,'RESUMEN CLIENTES'!AA:AA)</f>
        <v>A1.1</v>
      </c>
      <c r="T630" s="683" t="str">
        <f>+_xlfn.XLOOKUP(Tabla4[[#This Row],[ID CLIENTE]],'RESUMEN CLIENTES'!D:D,'RESUMEN CLIENTES'!C:C)</f>
        <v>Chile</v>
      </c>
    </row>
    <row r="631" spans="1:20" ht="16">
      <c r="A631" s="82">
        <v>45971</v>
      </c>
      <c r="B631" s="82" t="str">
        <f>+_xlfn.XLOOKUP(Tabla4[[#This Row],[ID CLIENTE]],'RESUMEN CLIENTES'!D:D,'RESUMEN CLIENTES'!A:A)</f>
        <v>Liliana Alejandra Gruezo Pérez</v>
      </c>
      <c r="C631" s="83" t="s">
        <v>2298</v>
      </c>
      <c r="D631" s="83" t="s">
        <v>484</v>
      </c>
      <c r="E631" s="83" t="s">
        <v>2641</v>
      </c>
      <c r="F631" s="83" t="s">
        <v>2642</v>
      </c>
      <c r="G631" s="114">
        <v>470</v>
      </c>
      <c r="H631" s="85">
        <v>-15.53</v>
      </c>
      <c r="I631" s="115">
        <f t="shared" si="20"/>
        <v>3.3042553191489361E-2</v>
      </c>
      <c r="J631" s="87">
        <f t="shared" si="21"/>
        <v>454.47</v>
      </c>
      <c r="K631" s="87"/>
      <c r="L631" s="87" t="s">
        <v>4672</v>
      </c>
      <c r="M631" s="87"/>
      <c r="N631" s="524"/>
      <c r="O631" s="524">
        <f>+Tabla4[[#This Row],[PAGO NO EURO]]+Tabla4[[#This Row],[CARGO NO EURO]]</f>
        <v>0</v>
      </c>
      <c r="P631" s="524"/>
      <c r="Q631" s="41"/>
      <c r="R631" s="696">
        <f>+_xlfn.XLOOKUP(Tabla4[[#This Row],[ID CLIENTE]],'RESUMEN CLIENTES'!D:D,'RESUMEN CLIENTES'!G:G)</f>
        <v>45852</v>
      </c>
      <c r="S631" s="41" t="str">
        <f>+_xlfn.XLOOKUP(Tabla4[[#This Row],[ID CLIENTE]],'RESUMEN CLIENTES'!D:D,'RESUMEN CLIENTES'!AA:AA)</f>
        <v>A1.2</v>
      </c>
      <c r="T631" s="682" t="str">
        <f>+_xlfn.XLOOKUP(Tabla4[[#This Row],[ID CLIENTE]],'RESUMEN CLIENTES'!D:D,'RESUMEN CLIENTES'!C:C)</f>
        <v>Ecuador</v>
      </c>
    </row>
    <row r="632" spans="1:20" ht="16">
      <c r="A632" s="82">
        <v>45971</v>
      </c>
      <c r="B632" s="82" t="str">
        <f>+_xlfn.XLOOKUP(Tabla4[[#This Row],[ID CLIENTE]],'RESUMEN CLIENTES'!D:D,'RESUMEN CLIENTES'!A:A)</f>
        <v>Paola Hitos</v>
      </c>
      <c r="C632" s="83" t="s">
        <v>2288</v>
      </c>
      <c r="D632" s="83" t="s">
        <v>455</v>
      </c>
      <c r="E632" s="83" t="s">
        <v>1383</v>
      </c>
      <c r="F632" s="83" t="s">
        <v>1384</v>
      </c>
      <c r="G632" s="114">
        <v>1000</v>
      </c>
      <c r="H632" s="85">
        <v>-32.75</v>
      </c>
      <c r="I632" s="115">
        <f t="shared" si="20"/>
        <v>3.2750000000000001E-2</v>
      </c>
      <c r="J632" s="87">
        <f t="shared" si="21"/>
        <v>967.25</v>
      </c>
      <c r="K632" s="87"/>
      <c r="L632" s="87" t="s">
        <v>4672</v>
      </c>
      <c r="M632" s="87"/>
      <c r="N632" s="524"/>
      <c r="O632" s="524">
        <f>+Tabla4[[#This Row],[PAGO NO EURO]]+Tabla4[[#This Row],[CARGO NO EURO]]</f>
        <v>0</v>
      </c>
      <c r="P632" s="524"/>
      <c r="Q632" s="197"/>
      <c r="R632" s="697">
        <f>+_xlfn.XLOOKUP(Tabla4[[#This Row],[ID CLIENTE]],'RESUMEN CLIENTES'!D:D,'RESUMEN CLIENTES'!G:G)</f>
        <v>45846</v>
      </c>
      <c r="S632" s="197" t="str">
        <f>+_xlfn.XLOOKUP(Tabla4[[#This Row],[ID CLIENTE]],'RESUMEN CLIENTES'!D:D,'RESUMEN CLIENTES'!AA:AA)</f>
        <v>A1.1</v>
      </c>
      <c r="T632" s="685" t="str">
        <f>+_xlfn.XLOOKUP(Tabla4[[#This Row],[ID CLIENTE]],'RESUMEN CLIENTES'!D:D,'RESUMEN CLIENTES'!C:C)</f>
        <v>México</v>
      </c>
    </row>
    <row r="633" spans="1:20" ht="16">
      <c r="A633" s="82">
        <v>45972</v>
      </c>
      <c r="B633" s="82" t="str">
        <f>+_xlfn.XLOOKUP(Tabla4[[#This Row],[ID CLIENTE]],'RESUMEN CLIENTES'!D:D,'RESUMEN CLIENTES'!A:A)</f>
        <v>Ricardo Ernesto Miño Valencia</v>
      </c>
      <c r="C633" s="83" t="s">
        <v>2426</v>
      </c>
      <c r="D633" s="83" t="s">
        <v>1152</v>
      </c>
      <c r="E633" s="83" t="s">
        <v>1370</v>
      </c>
      <c r="F633" s="83" t="s">
        <v>1371</v>
      </c>
      <c r="G633" s="114">
        <f>+Tabla4[[#This Row],[PAGO NO EURO]]*Tabla4[[#This Row],[CAMBIO]]</f>
        <v>754.37537718768863</v>
      </c>
      <c r="H633" s="85">
        <f>+Tabla4[[#This Row],[CARGO NO EURO]]*Tabla4[[#This Row],[CAMBIO]]</f>
        <v>0</v>
      </c>
      <c r="I633" s="115">
        <f t="shared" si="20"/>
        <v>0</v>
      </c>
      <c r="J633" s="87">
        <f t="shared" si="21"/>
        <v>754.37537718768863</v>
      </c>
      <c r="K633" s="87"/>
      <c r="L633" s="87" t="s">
        <v>4672</v>
      </c>
      <c r="M633" s="87" t="s">
        <v>2548</v>
      </c>
      <c r="N633" s="524">
        <v>875</v>
      </c>
      <c r="O633" s="524">
        <f>+Tabla4[[#This Row],[PAGO NO EURO]]+Tabla4[[#This Row],[CARGO NO EURO]]</f>
        <v>875</v>
      </c>
      <c r="P633" s="524">
        <v>0</v>
      </c>
      <c r="Q633" s="155">
        <v>0.86214328821450126</v>
      </c>
      <c r="R633" s="693">
        <f>+_xlfn.XLOOKUP(Tabla4[[#This Row],[ID CLIENTE]],'RESUMEN CLIENTES'!D:D,'RESUMEN CLIENTES'!G:G)</f>
        <v>45938</v>
      </c>
      <c r="S633" s="155" t="str">
        <f>+_xlfn.XLOOKUP(Tabla4[[#This Row],[ID CLIENTE]],'RESUMEN CLIENTES'!D:D,'RESUMEN CLIENTES'!AA:AA)</f>
        <v>A1.1</v>
      </c>
      <c r="T633" s="682" t="str">
        <f>+_xlfn.XLOOKUP(Tabla4[[#This Row],[ID CLIENTE]],'RESUMEN CLIENTES'!D:D,'RESUMEN CLIENTES'!C:C)</f>
        <v>Ecuador</v>
      </c>
    </row>
    <row r="634" spans="1:20" ht="16">
      <c r="A634" s="82">
        <v>45973</v>
      </c>
      <c r="B634" s="82" t="str">
        <f>+_xlfn.XLOOKUP(Tabla4[[#This Row],[ID CLIENTE]],'RESUMEN CLIENTES'!D:D,'RESUMEN CLIENTES'!A:A)</f>
        <v>Catalina Andrea Videla Muñoz</v>
      </c>
      <c r="C634" s="83" t="s">
        <v>2164</v>
      </c>
      <c r="D634" s="83" t="s">
        <v>156</v>
      </c>
      <c r="E634" s="83" t="s">
        <v>1397</v>
      </c>
      <c r="F634" s="83" t="s">
        <v>1398</v>
      </c>
      <c r="G634" s="114">
        <v>850</v>
      </c>
      <c r="H634" s="85">
        <v>-27.88</v>
      </c>
      <c r="I634" s="115">
        <f t="shared" si="20"/>
        <v>3.2799999999999996E-2</v>
      </c>
      <c r="J634" s="87">
        <f t="shared" si="21"/>
        <v>822.12</v>
      </c>
      <c r="K634" s="87"/>
      <c r="L634" s="87" t="s">
        <v>4672</v>
      </c>
      <c r="M634" s="87"/>
      <c r="N634" s="524"/>
      <c r="O634" s="524">
        <f>+Tabla4[[#This Row],[PAGO NO EURO]]+Tabla4[[#This Row],[CARGO NO EURO]]</f>
        <v>0</v>
      </c>
      <c r="P634" s="524"/>
      <c r="Q634" s="155"/>
      <c r="R634" s="693">
        <f>+_xlfn.XLOOKUP(Tabla4[[#This Row],[ID CLIENTE]],'RESUMEN CLIENTES'!D:D,'RESUMEN CLIENTES'!G:G)</f>
        <v>45755</v>
      </c>
      <c r="S634" s="155" t="str">
        <f>+_xlfn.XLOOKUP(Tabla4[[#This Row],[ID CLIENTE]],'RESUMEN CLIENTES'!D:D,'RESUMEN CLIENTES'!AA:AA)</f>
        <v>B1.3</v>
      </c>
      <c r="T634" s="682" t="str">
        <f>+_xlfn.XLOOKUP(Tabla4[[#This Row],[ID CLIENTE]],'RESUMEN CLIENTES'!D:D,'RESUMEN CLIENTES'!C:C)</f>
        <v>Chile</v>
      </c>
    </row>
    <row r="635" spans="1:20" ht="16">
      <c r="A635" s="82">
        <v>45974</v>
      </c>
      <c r="B635" s="82" t="str">
        <f>+_xlfn.XLOOKUP(Tabla4[[#This Row],[ID CLIENTE]],'RESUMEN CLIENTES'!D:D,'RESUMEN CLIENTES'!A:A)</f>
        <v>Jonathan Christian Cardenas Peña</v>
      </c>
      <c r="C635" s="83" t="s">
        <v>2355</v>
      </c>
      <c r="D635" s="83" t="s">
        <v>670</v>
      </c>
      <c r="E635" s="83" t="s">
        <v>1412</v>
      </c>
      <c r="F635" s="83" t="s">
        <v>1413</v>
      </c>
      <c r="G635" s="114">
        <v>4000</v>
      </c>
      <c r="H635" s="85">
        <v>-5</v>
      </c>
      <c r="I635" s="115">
        <f t="shared" si="20"/>
        <v>1.25E-3</v>
      </c>
      <c r="J635" s="87">
        <f t="shared" si="21"/>
        <v>3995</v>
      </c>
      <c r="K635" s="87"/>
      <c r="L635" s="87" t="s">
        <v>4672</v>
      </c>
      <c r="M635" s="87"/>
      <c r="N635" s="524"/>
      <c r="O635" s="524">
        <f>+Tabla4[[#This Row],[PAGO NO EURO]]+Tabla4[[#This Row],[CARGO NO EURO]]</f>
        <v>0</v>
      </c>
      <c r="P635" s="524"/>
      <c r="Q635" s="155"/>
      <c r="R635" s="693">
        <f>+_xlfn.XLOOKUP(Tabla4[[#This Row],[ID CLIENTE]],'RESUMEN CLIENTES'!D:D,'RESUMEN CLIENTES'!G:G)</f>
        <v>45882</v>
      </c>
      <c r="S635" s="155" t="str">
        <f>+_xlfn.XLOOKUP(Tabla4[[#This Row],[ID CLIENTE]],'RESUMEN CLIENTES'!D:D,'RESUMEN CLIENTES'!AA:AA)</f>
        <v>A1.2</v>
      </c>
      <c r="T635" s="682" t="str">
        <f>+_xlfn.XLOOKUP(Tabla4[[#This Row],[ID CLIENTE]],'RESUMEN CLIENTES'!D:D,'RESUMEN CLIENTES'!C:C)</f>
        <v>Ecuador</v>
      </c>
    </row>
    <row r="636" spans="1:20" ht="16">
      <c r="A636" s="82">
        <v>45974</v>
      </c>
      <c r="B636" s="82" t="str">
        <f>+_xlfn.XLOOKUP(Tabla4[[#This Row],[ID CLIENTE]],'RESUMEN CLIENTES'!D:D,'RESUMEN CLIENTES'!A:A)</f>
        <v>Kimberly Chantelle Frey Arteaga</v>
      </c>
      <c r="C636" s="83" t="s">
        <v>2311</v>
      </c>
      <c r="D636" s="83" t="s">
        <v>501</v>
      </c>
      <c r="E636" s="83" t="s">
        <v>1389</v>
      </c>
      <c r="F636" s="83" t="s">
        <v>1390</v>
      </c>
      <c r="G636" s="114">
        <v>1000</v>
      </c>
      <c r="H636" s="85">
        <v>-32.75</v>
      </c>
      <c r="I636" s="115">
        <f t="shared" si="20"/>
        <v>3.2750000000000001E-2</v>
      </c>
      <c r="J636" s="87">
        <f t="shared" si="21"/>
        <v>967.25</v>
      </c>
      <c r="K636" s="87"/>
      <c r="L636" s="87" t="s">
        <v>4672</v>
      </c>
      <c r="M636" s="87"/>
      <c r="N636" s="524"/>
      <c r="O636" s="524">
        <f>+Tabla4[[#This Row],[PAGO NO EURO]]+Tabla4[[#This Row],[CARGO NO EURO]]</f>
        <v>0</v>
      </c>
      <c r="P636" s="524"/>
      <c r="Q636" s="155"/>
      <c r="R636" s="693">
        <f>+_xlfn.XLOOKUP(Tabla4[[#This Row],[ID CLIENTE]],'RESUMEN CLIENTES'!D:D,'RESUMEN CLIENTES'!G:G)</f>
        <v>45858</v>
      </c>
      <c r="S636" s="155" t="str">
        <f>+_xlfn.XLOOKUP(Tabla4[[#This Row],[ID CLIENTE]],'RESUMEN CLIENTES'!D:D,'RESUMEN CLIENTES'!AA:AA)</f>
        <v>A1.1</v>
      </c>
      <c r="T636" s="682" t="str">
        <f>+_xlfn.XLOOKUP(Tabla4[[#This Row],[ID CLIENTE]],'RESUMEN CLIENTES'!D:D,'RESUMEN CLIENTES'!C:C)</f>
        <v>México</v>
      </c>
    </row>
    <row r="637" spans="1:20" ht="16">
      <c r="A637" s="82">
        <v>45974</v>
      </c>
      <c r="B637" s="82" t="str">
        <f>+_xlfn.XLOOKUP(Tabla4[[#This Row],[ID CLIENTE]],'RESUMEN CLIENTES'!D:D,'RESUMEN CLIENTES'!A:A)</f>
        <v>Maira Paz Navas Sánchez</v>
      </c>
      <c r="C637" s="83" t="s">
        <v>2362</v>
      </c>
      <c r="D637" s="83" t="s">
        <v>703</v>
      </c>
      <c r="E637" s="83" t="s">
        <v>1340</v>
      </c>
      <c r="F637" s="83" t="s">
        <v>1341</v>
      </c>
      <c r="G637" s="114">
        <v>700</v>
      </c>
      <c r="H637" s="85">
        <v>-23</v>
      </c>
      <c r="I637" s="115">
        <f t="shared" si="20"/>
        <v>3.2857142857142856E-2</v>
      </c>
      <c r="J637" s="87">
        <f t="shared" si="21"/>
        <v>677</v>
      </c>
      <c r="K637" s="87"/>
      <c r="L637" s="87" t="s">
        <v>4672</v>
      </c>
      <c r="M637" s="87"/>
      <c r="N637" s="524"/>
      <c r="O637" s="524">
        <f>+Tabla4[[#This Row],[PAGO NO EURO]]+Tabla4[[#This Row],[CARGO NO EURO]]</f>
        <v>0</v>
      </c>
      <c r="P637" s="524"/>
      <c r="Q637" s="155"/>
      <c r="R637" s="693">
        <f>+_xlfn.XLOOKUP(Tabla4[[#This Row],[ID CLIENTE]],'RESUMEN CLIENTES'!D:D,'RESUMEN CLIENTES'!G:G)</f>
        <v>45888</v>
      </c>
      <c r="S637" s="155" t="str">
        <f>+_xlfn.XLOOKUP(Tabla4[[#This Row],[ID CLIENTE]],'RESUMEN CLIENTES'!D:D,'RESUMEN CLIENTES'!AA:AA)</f>
        <v>A1.1</v>
      </c>
      <c r="T637" s="682" t="str">
        <f>+_xlfn.XLOOKUP(Tabla4[[#This Row],[ID CLIENTE]],'RESUMEN CLIENTES'!D:D,'RESUMEN CLIENTES'!C:C)</f>
        <v>Chile</v>
      </c>
    </row>
    <row r="638" spans="1:20" ht="16">
      <c r="A638" s="82">
        <v>45974</v>
      </c>
      <c r="B638" s="82" t="str">
        <f>+_xlfn.XLOOKUP(Tabla4[[#This Row],[ID CLIENTE]],'RESUMEN CLIENTES'!D:D,'RESUMEN CLIENTES'!A:A)</f>
        <v>Paula Ida Elisa Saris Sommer</v>
      </c>
      <c r="C638" s="83" t="s">
        <v>2400</v>
      </c>
      <c r="D638" s="83" t="s">
        <v>855</v>
      </c>
      <c r="E638" s="83" t="s">
        <v>1385</v>
      </c>
      <c r="F638" s="83" t="s">
        <v>1386</v>
      </c>
      <c r="G638" s="114">
        <v>500</v>
      </c>
      <c r="H638" s="85">
        <v>-16.5</v>
      </c>
      <c r="I638" s="115">
        <f t="shared" si="20"/>
        <v>3.3000000000000002E-2</v>
      </c>
      <c r="J638" s="87">
        <f t="shared" si="21"/>
        <v>483.5</v>
      </c>
      <c r="K638" s="87"/>
      <c r="L638" s="87" t="s">
        <v>4672</v>
      </c>
      <c r="M638" s="87"/>
      <c r="N638" s="524"/>
      <c r="O638" s="524">
        <f>+Tabla4[[#This Row],[PAGO NO EURO]]+Tabla4[[#This Row],[CARGO NO EURO]]</f>
        <v>0</v>
      </c>
      <c r="P638" s="524"/>
      <c r="Q638" s="155"/>
      <c r="R638" s="693">
        <f>+_xlfn.XLOOKUP(Tabla4[[#This Row],[ID CLIENTE]],'RESUMEN CLIENTES'!D:D,'RESUMEN CLIENTES'!G:G)</f>
        <v>45904</v>
      </c>
      <c r="S638" s="155" t="str">
        <f>+_xlfn.XLOOKUP(Tabla4[[#This Row],[ID CLIENTE]],'RESUMEN CLIENTES'!D:D,'RESUMEN CLIENTES'!AA:AA)</f>
        <v>A2.1</v>
      </c>
      <c r="T638" s="682" t="str">
        <f>+_xlfn.XLOOKUP(Tabla4[[#This Row],[ID CLIENTE]],'RESUMEN CLIENTES'!D:D,'RESUMEN CLIENTES'!C:C)</f>
        <v>Argentina</v>
      </c>
    </row>
    <row r="639" spans="1:20" ht="16">
      <c r="A639" s="82">
        <v>45975</v>
      </c>
      <c r="B639" s="82" t="str">
        <f>+_xlfn.XLOOKUP(Tabla4[[#This Row],[ID CLIENTE]],'RESUMEN CLIENTES'!D:D,'RESUMEN CLIENTES'!A:A)</f>
        <v>Andrea Cristina Estrada Morocho</v>
      </c>
      <c r="C639" s="83" t="s">
        <v>2267</v>
      </c>
      <c r="D639" s="83" t="s">
        <v>325</v>
      </c>
      <c r="E639" s="83" t="s">
        <v>1393</v>
      </c>
      <c r="F639" s="83" t="s">
        <v>1394</v>
      </c>
      <c r="G639" s="114">
        <v>500</v>
      </c>
      <c r="H639" s="85">
        <v>-16.5</v>
      </c>
      <c r="I639" s="115">
        <f t="shared" si="20"/>
        <v>3.3000000000000002E-2</v>
      </c>
      <c r="J639" s="87">
        <f t="shared" si="21"/>
        <v>483.5</v>
      </c>
      <c r="K639" s="87"/>
      <c r="L639" s="87" t="s">
        <v>4672</v>
      </c>
      <c r="M639" s="87"/>
      <c r="N639" s="524"/>
      <c r="O639" s="524">
        <f>+Tabla4[[#This Row],[PAGO NO EURO]]+Tabla4[[#This Row],[CARGO NO EURO]]</f>
        <v>0</v>
      </c>
      <c r="P639" s="524"/>
      <c r="Q639" s="155"/>
      <c r="R639" s="693">
        <f>+_xlfn.XLOOKUP(Tabla4[[#This Row],[ID CLIENTE]],'RESUMEN CLIENTES'!D:D,'RESUMEN CLIENTES'!G:G)</f>
        <v>45831</v>
      </c>
      <c r="S639" s="155" t="str">
        <f>+_xlfn.XLOOKUP(Tabla4[[#This Row],[ID CLIENTE]],'RESUMEN CLIENTES'!D:D,'RESUMEN CLIENTES'!AA:AA)</f>
        <v>A1.1</v>
      </c>
      <c r="T639" s="682" t="str">
        <f>+_xlfn.XLOOKUP(Tabla4[[#This Row],[ID CLIENTE]],'RESUMEN CLIENTES'!D:D,'RESUMEN CLIENTES'!C:C)</f>
        <v>Ecuador</v>
      </c>
    </row>
    <row r="640" spans="1:20" ht="16">
      <c r="A640" s="82">
        <v>45975</v>
      </c>
      <c r="B640" s="82" t="str">
        <f>+_xlfn.XLOOKUP(Tabla4[[#This Row],[ID CLIENTE]],'RESUMEN CLIENTES'!D:D,'RESUMEN CLIENTES'!A:A)</f>
        <v>Gabriela Kimberlyn Moran Caiza</v>
      </c>
      <c r="C640" s="83" t="s">
        <v>2127</v>
      </c>
      <c r="D640" s="83" t="s">
        <v>98</v>
      </c>
      <c r="E640" s="83" t="s">
        <v>1406</v>
      </c>
      <c r="F640" s="83" t="s">
        <v>1407</v>
      </c>
      <c r="G640" s="114">
        <v>100</v>
      </c>
      <c r="H640" s="85">
        <v>-3.5</v>
      </c>
      <c r="I640" s="115">
        <f t="shared" si="20"/>
        <v>3.5000000000000003E-2</v>
      </c>
      <c r="J640" s="87">
        <f t="shared" si="21"/>
        <v>96.5</v>
      </c>
      <c r="K640" s="87"/>
      <c r="L640" s="87" t="s">
        <v>4672</v>
      </c>
      <c r="M640" s="87"/>
      <c r="N640" s="524"/>
      <c r="O640" s="524">
        <f>+Tabla4[[#This Row],[PAGO NO EURO]]+Tabla4[[#This Row],[CARGO NO EURO]]</f>
        <v>0</v>
      </c>
      <c r="P640" s="524"/>
      <c r="Q640" s="155"/>
      <c r="R640" s="693">
        <f>+_xlfn.XLOOKUP(Tabla4[[#This Row],[ID CLIENTE]],'RESUMEN CLIENTES'!D:D,'RESUMEN CLIENTES'!G:G)</f>
        <v>45721</v>
      </c>
      <c r="S640" s="155" t="str">
        <f>+_xlfn.XLOOKUP(Tabla4[[#This Row],[ID CLIENTE]],'RESUMEN CLIENTES'!D:D,'RESUMEN CLIENTES'!AA:AA)</f>
        <v>B2.1</v>
      </c>
      <c r="T640" s="682" t="str">
        <f>+_xlfn.XLOOKUP(Tabla4[[#This Row],[ID CLIENTE]],'RESUMEN CLIENTES'!D:D,'RESUMEN CLIENTES'!C:C)</f>
        <v>Ecuador</v>
      </c>
    </row>
    <row r="641" spans="1:20" ht="16">
      <c r="A641" s="82">
        <v>45975</v>
      </c>
      <c r="B641" s="82" t="str">
        <f>+_xlfn.XLOOKUP(Tabla4[[#This Row],[ID CLIENTE]],'RESUMEN CLIENTES'!D:D,'RESUMEN CLIENTES'!A:A)</f>
        <v>Gabriel Alejandro Ortega Moreno</v>
      </c>
      <c r="C641" s="83" t="s">
        <v>2129</v>
      </c>
      <c r="D641" s="83" t="s">
        <v>95</v>
      </c>
      <c r="E641" s="83" t="s">
        <v>1404</v>
      </c>
      <c r="F641" s="83" t="s">
        <v>1405</v>
      </c>
      <c r="G641" s="114">
        <v>200</v>
      </c>
      <c r="H641" s="85">
        <v>-6.75</v>
      </c>
      <c r="I641" s="115">
        <f t="shared" si="20"/>
        <v>3.3750000000000002E-2</v>
      </c>
      <c r="J641" s="87">
        <f t="shared" si="21"/>
        <v>193.25</v>
      </c>
      <c r="K641" s="87"/>
      <c r="L641" s="87" t="s">
        <v>4672</v>
      </c>
      <c r="M641" s="87"/>
      <c r="N641" s="524"/>
      <c r="O641" s="524">
        <f>+Tabla4[[#This Row],[PAGO NO EURO]]+Tabla4[[#This Row],[CARGO NO EURO]]</f>
        <v>0</v>
      </c>
      <c r="P641" s="524"/>
      <c r="Q641" s="155"/>
      <c r="R641" s="693">
        <f>+_xlfn.XLOOKUP(Tabla4[[#This Row],[ID CLIENTE]],'RESUMEN CLIENTES'!D:D,'RESUMEN CLIENTES'!G:G)</f>
        <v>45721</v>
      </c>
      <c r="S641" s="155" t="str">
        <f>+_xlfn.XLOOKUP(Tabla4[[#This Row],[ID CLIENTE]],'RESUMEN CLIENTES'!D:D,'RESUMEN CLIENTES'!AA:AA)</f>
        <v>B2.1</v>
      </c>
      <c r="T641" s="682" t="str">
        <f>+_xlfn.XLOOKUP(Tabla4[[#This Row],[ID CLIENTE]],'RESUMEN CLIENTES'!D:D,'RESUMEN CLIENTES'!C:C)</f>
        <v>Ecuador</v>
      </c>
    </row>
    <row r="642" spans="1:20" ht="16">
      <c r="A642" s="82">
        <v>45975</v>
      </c>
      <c r="B642" s="82" t="str">
        <f>+_xlfn.XLOOKUP(Tabla4[[#This Row],[ID CLIENTE]],'RESUMEN CLIENTES'!D:D,'RESUMEN CLIENTES'!A:A)</f>
        <v>Liliana María Moreno Martinez</v>
      </c>
      <c r="C642" s="83" t="s">
        <v>2237</v>
      </c>
      <c r="D642" s="83" t="s">
        <v>278</v>
      </c>
      <c r="E642" s="83" t="s">
        <v>1372</v>
      </c>
      <c r="F642" s="83" t="s">
        <v>1373</v>
      </c>
      <c r="G642" s="114">
        <v>500</v>
      </c>
      <c r="H642" s="85">
        <v>-16.5</v>
      </c>
      <c r="I642" s="115">
        <f t="shared" si="20"/>
        <v>3.3000000000000002E-2</v>
      </c>
      <c r="J642" s="87">
        <f t="shared" si="21"/>
        <v>483.5</v>
      </c>
      <c r="K642" s="87"/>
      <c r="L642" s="87" t="s">
        <v>4672</v>
      </c>
      <c r="M642" s="87"/>
      <c r="N642" s="524"/>
      <c r="O642" s="524">
        <f>+Tabla4[[#This Row],[PAGO NO EURO]]+Tabla4[[#This Row],[CARGO NO EURO]]</f>
        <v>0</v>
      </c>
      <c r="P642" s="524"/>
      <c r="Q642" s="155"/>
      <c r="R642" s="693">
        <f>+_xlfn.XLOOKUP(Tabla4[[#This Row],[ID CLIENTE]],'RESUMEN CLIENTES'!D:D,'RESUMEN CLIENTES'!G:G)</f>
        <v>45812</v>
      </c>
      <c r="S642" s="155" t="str">
        <f>+_xlfn.XLOOKUP(Tabla4[[#This Row],[ID CLIENTE]],'RESUMEN CLIENTES'!D:D,'RESUMEN CLIENTES'!AA:AA)</f>
        <v>A1.1</v>
      </c>
      <c r="T642" s="682" t="str">
        <f>+_xlfn.XLOOKUP(Tabla4[[#This Row],[ID CLIENTE]],'RESUMEN CLIENTES'!D:D,'RESUMEN CLIENTES'!C:C)</f>
        <v>El Salvador</v>
      </c>
    </row>
    <row r="643" spans="1:20" ht="16">
      <c r="A643" s="82">
        <v>45976</v>
      </c>
      <c r="B643" s="82" t="str">
        <f>+_xlfn.XLOOKUP(Tabla4[[#This Row],[ID CLIENTE]],'RESUMEN CLIENTES'!D:D,'RESUMEN CLIENTES'!A:A)</f>
        <v>Carlos Alberto Suarez Hernandez</v>
      </c>
      <c r="C643" s="83" t="s">
        <v>2379</v>
      </c>
      <c r="D643" s="83" t="s">
        <v>751</v>
      </c>
      <c r="E643" s="83" t="s">
        <v>1395</v>
      </c>
      <c r="F643" s="83" t="s">
        <v>1396</v>
      </c>
      <c r="G643" s="114">
        <v>1000</v>
      </c>
      <c r="H643" s="85">
        <v>-32.75</v>
      </c>
      <c r="I643" s="115">
        <f t="shared" si="20"/>
        <v>3.2750000000000001E-2</v>
      </c>
      <c r="J643" s="87">
        <f t="shared" si="21"/>
        <v>967.25</v>
      </c>
      <c r="K643" s="87"/>
      <c r="L643" s="87" t="s">
        <v>4672</v>
      </c>
      <c r="M643" s="87"/>
      <c r="N643" s="524"/>
      <c r="O643" s="524">
        <f>+Tabla4[[#This Row],[PAGO NO EURO]]+Tabla4[[#This Row],[CARGO NO EURO]]</f>
        <v>0</v>
      </c>
      <c r="P643" s="524"/>
      <c r="Q643" s="155"/>
      <c r="R643" s="693">
        <f>+_xlfn.XLOOKUP(Tabla4[[#This Row],[ID CLIENTE]],'RESUMEN CLIENTES'!D:D,'RESUMEN CLIENTES'!G:G)</f>
        <v>45898</v>
      </c>
      <c r="S643" s="155" t="str">
        <f>+_xlfn.XLOOKUP(Tabla4[[#This Row],[ID CLIENTE]],'RESUMEN CLIENTES'!D:D,'RESUMEN CLIENTES'!AA:AA)</f>
        <v>A1.1</v>
      </c>
      <c r="T643" s="682" t="str">
        <f>+_xlfn.XLOOKUP(Tabla4[[#This Row],[ID CLIENTE]],'RESUMEN CLIENTES'!D:D,'RESUMEN CLIENTES'!C:C)</f>
        <v>Colombia</v>
      </c>
    </row>
    <row r="644" spans="1:20" ht="16">
      <c r="A644" s="82">
        <v>45976</v>
      </c>
      <c r="B644" s="82" t="str">
        <f>+_xlfn.XLOOKUP(Tabla4[[#This Row],[ID CLIENTE]],'RESUMEN CLIENTES'!D:D,'RESUMEN CLIENTES'!A:A)</f>
        <v>Alina Maria Cervantes Real</v>
      </c>
      <c r="C644" s="83" t="s">
        <v>2149</v>
      </c>
      <c r="D644" s="83" t="s">
        <v>187</v>
      </c>
      <c r="E644" s="83" t="s">
        <v>1391</v>
      </c>
      <c r="F644" s="83" t="s">
        <v>1392</v>
      </c>
      <c r="G644" s="114">
        <v>1500</v>
      </c>
      <c r="H644" s="85">
        <v>-49</v>
      </c>
      <c r="I644" s="115">
        <f t="shared" si="20"/>
        <v>3.2666666666666663E-2</v>
      </c>
      <c r="J644" s="87">
        <f t="shared" si="21"/>
        <v>1451</v>
      </c>
      <c r="K644" s="87"/>
      <c r="L644" s="87" t="s">
        <v>4672</v>
      </c>
      <c r="M644" s="87"/>
      <c r="N644" s="524"/>
      <c r="O644" s="524">
        <f>+Tabla4[[#This Row],[PAGO NO EURO]]+Tabla4[[#This Row],[CARGO NO EURO]]</f>
        <v>0</v>
      </c>
      <c r="P644" s="524"/>
      <c r="Q644" s="155"/>
      <c r="R644" s="693">
        <f>+_xlfn.XLOOKUP(Tabla4[[#This Row],[ID CLIENTE]],'RESUMEN CLIENTES'!D:D,'RESUMEN CLIENTES'!G:G)</f>
        <v>45741</v>
      </c>
      <c r="S644" s="155" t="str">
        <f>+_xlfn.XLOOKUP(Tabla4[[#This Row],[ID CLIENTE]],'RESUMEN CLIENTES'!D:D,'RESUMEN CLIENTES'!AA:AA)</f>
        <v>B1.1</v>
      </c>
      <c r="T644" s="682" t="str">
        <f>+_xlfn.XLOOKUP(Tabla4[[#This Row],[ID CLIENTE]],'RESUMEN CLIENTES'!D:D,'RESUMEN CLIENTES'!C:C)</f>
        <v>México</v>
      </c>
    </row>
    <row r="645" spans="1:20" ht="16">
      <c r="A645" s="82">
        <v>45976</v>
      </c>
      <c r="B645" s="82" t="str">
        <f>+_xlfn.XLOOKUP(Tabla4[[#This Row],[ID CLIENTE]],'RESUMEN CLIENTES'!D:D,'RESUMEN CLIENTES'!A:A)</f>
        <v>Fernando Araya Rojas</v>
      </c>
      <c r="C645" s="83" t="s">
        <v>2457</v>
      </c>
      <c r="D645" s="83" t="s">
        <v>1401</v>
      </c>
      <c r="E645" s="83" t="s">
        <v>1402</v>
      </c>
      <c r="F645" s="83" t="s">
        <v>1403</v>
      </c>
      <c r="G645" s="114">
        <v>4000</v>
      </c>
      <c r="H645" s="85">
        <v>0</v>
      </c>
      <c r="I645" s="115">
        <f t="shared" si="20"/>
        <v>0</v>
      </c>
      <c r="J645" s="87">
        <f t="shared" si="21"/>
        <v>4000</v>
      </c>
      <c r="K645" s="87" t="s">
        <v>2542</v>
      </c>
      <c r="L645" s="87" t="s">
        <v>4675</v>
      </c>
      <c r="M645" s="87"/>
      <c r="N645" s="524"/>
      <c r="O645" s="524">
        <f>+Tabla4[[#This Row],[PAGO NO EURO]]+Tabla4[[#This Row],[CARGO NO EURO]]</f>
        <v>0</v>
      </c>
      <c r="P645" s="524"/>
      <c r="Q645" s="155"/>
      <c r="R645" s="693">
        <f>+_xlfn.XLOOKUP(Tabla4[[#This Row],[ID CLIENTE]],'RESUMEN CLIENTES'!D:D,'RESUMEN CLIENTES'!G:G)</f>
        <v>45976</v>
      </c>
      <c r="S645" s="155" t="str">
        <f>+_xlfn.XLOOKUP(Tabla4[[#This Row],[ID CLIENTE]],'RESUMEN CLIENTES'!D:D,'RESUMEN CLIENTES'!AA:AA)</f>
        <v>null</v>
      </c>
      <c r="T645" s="682" t="str">
        <f>+_xlfn.XLOOKUP(Tabla4[[#This Row],[ID CLIENTE]],'RESUMEN CLIENTES'!D:D,'RESUMEN CLIENTES'!C:C)</f>
        <v>Chile</v>
      </c>
    </row>
    <row r="646" spans="1:20" ht="16">
      <c r="A646" s="82">
        <v>45976</v>
      </c>
      <c r="B646" s="82" t="str">
        <f>+_xlfn.XLOOKUP(Tabla4[[#This Row],[ID CLIENTE]],'RESUMEN CLIENTES'!D:D,'RESUMEN CLIENTES'!A:A)</f>
        <v>Isaac Ricardo Jimenez Campos</v>
      </c>
      <c r="C646" s="83" t="s">
        <v>2131</v>
      </c>
      <c r="D646" s="83" t="s">
        <v>103</v>
      </c>
      <c r="E646" s="83" t="s">
        <v>1408</v>
      </c>
      <c r="F646" s="83" t="s">
        <v>1409</v>
      </c>
      <c r="G646" s="114">
        <v>654</v>
      </c>
      <c r="H646" s="85">
        <v>-21.51</v>
      </c>
      <c r="I646" s="115">
        <f t="shared" si="20"/>
        <v>3.2889908256880734E-2</v>
      </c>
      <c r="J646" s="87">
        <f t="shared" si="21"/>
        <v>632.49</v>
      </c>
      <c r="K646" s="87"/>
      <c r="L646" s="87" t="s">
        <v>4672</v>
      </c>
      <c r="M646" s="87"/>
      <c r="N646" s="524"/>
      <c r="O646" s="524">
        <f>+Tabla4[[#This Row],[PAGO NO EURO]]+Tabla4[[#This Row],[CARGO NO EURO]]</f>
        <v>0</v>
      </c>
      <c r="P646" s="524"/>
      <c r="Q646" s="155"/>
      <c r="R646" s="693">
        <f>+_xlfn.XLOOKUP(Tabla4[[#This Row],[ID CLIENTE]],'RESUMEN CLIENTES'!D:D,'RESUMEN CLIENTES'!G:G)</f>
        <v>45725</v>
      </c>
      <c r="S646" s="155" t="str">
        <f>+_xlfn.XLOOKUP(Tabla4[[#This Row],[ID CLIENTE]],'RESUMEN CLIENTES'!D:D,'RESUMEN CLIENTES'!AA:AA)</f>
        <v>null</v>
      </c>
      <c r="T646" s="682" t="str">
        <f>+_xlfn.XLOOKUP(Tabla4[[#This Row],[ID CLIENTE]],'RESUMEN CLIENTES'!D:D,'RESUMEN CLIENTES'!C:C)</f>
        <v>México</v>
      </c>
    </row>
    <row r="647" spans="1:20" ht="16">
      <c r="A647" s="82">
        <v>45976</v>
      </c>
      <c r="B647" s="82" t="str">
        <f>+_xlfn.XLOOKUP(Tabla4[[#This Row],[ID CLIENTE]],'RESUMEN CLIENTES'!D:D,'RESUMEN CLIENTES'!A:A)</f>
        <v>María Stefania Gelvez Olaya</v>
      </c>
      <c r="C647" s="83" t="s">
        <v>2383</v>
      </c>
      <c r="D647" s="83" t="s">
        <v>762</v>
      </c>
      <c r="E647" s="83" t="s">
        <v>1414</v>
      </c>
      <c r="F647" s="83" t="s">
        <v>1415</v>
      </c>
      <c r="G647" s="114">
        <v>1000</v>
      </c>
      <c r="H647" s="85">
        <v>-32.75</v>
      </c>
      <c r="I647" s="115">
        <f t="shared" si="20"/>
        <v>3.2750000000000001E-2</v>
      </c>
      <c r="J647" s="87">
        <f t="shared" si="21"/>
        <v>967.25</v>
      </c>
      <c r="K647" s="87"/>
      <c r="L647" s="87" t="s">
        <v>4672</v>
      </c>
      <c r="M647" s="87"/>
      <c r="N647" s="524"/>
      <c r="O647" s="524">
        <f>+Tabla4[[#This Row],[PAGO NO EURO]]+Tabla4[[#This Row],[CARGO NO EURO]]</f>
        <v>0</v>
      </c>
      <c r="P647" s="524"/>
      <c r="Q647" s="155"/>
      <c r="R647" s="693">
        <f>+_xlfn.XLOOKUP(Tabla4[[#This Row],[ID CLIENTE]],'RESUMEN CLIENTES'!D:D,'RESUMEN CLIENTES'!G:G)</f>
        <v>45898</v>
      </c>
      <c r="S647" s="155" t="str">
        <f>+_xlfn.XLOOKUP(Tabla4[[#This Row],[ID CLIENTE]],'RESUMEN CLIENTES'!D:D,'RESUMEN CLIENTES'!AA:AA)</f>
        <v>A1.1</v>
      </c>
      <c r="T647" s="682" t="str">
        <f>+_xlfn.XLOOKUP(Tabla4[[#This Row],[ID CLIENTE]],'RESUMEN CLIENTES'!D:D,'RESUMEN CLIENTES'!C:C)</f>
        <v>Colombia</v>
      </c>
    </row>
    <row r="648" spans="1:20" ht="16">
      <c r="A648" s="82">
        <v>45976</v>
      </c>
      <c r="B648" s="82" t="str">
        <f>+_xlfn.XLOOKUP(Tabla4[[#This Row],[ID CLIENTE]],'RESUMEN CLIENTES'!D:D,'RESUMEN CLIENTES'!A:A)</f>
        <v>Valeria Carolina Heredia Peña</v>
      </c>
      <c r="C648" s="83" t="s">
        <v>2290</v>
      </c>
      <c r="D648" s="83" t="s">
        <v>460</v>
      </c>
      <c r="E648" s="83" t="s">
        <v>1433</v>
      </c>
      <c r="F648" s="83" t="s">
        <v>1434</v>
      </c>
      <c r="G648" s="114">
        <v>4000</v>
      </c>
      <c r="H648" s="85">
        <v>0</v>
      </c>
      <c r="I648" s="115">
        <f t="shared" si="20"/>
        <v>0</v>
      </c>
      <c r="J648" s="87">
        <f t="shared" si="21"/>
        <v>4000</v>
      </c>
      <c r="K648" s="87" t="s">
        <v>4679</v>
      </c>
      <c r="L648" s="87" t="s">
        <v>4672</v>
      </c>
      <c r="M648" s="87"/>
      <c r="N648" s="524"/>
      <c r="O648" s="524">
        <f>+Tabla4[[#This Row],[PAGO NO EURO]]+Tabla4[[#This Row],[CARGO NO EURO]]</f>
        <v>0</v>
      </c>
      <c r="P648" s="524"/>
      <c r="Q648" s="155"/>
      <c r="R648" s="693">
        <f>+_xlfn.XLOOKUP(Tabla4[[#This Row],[ID CLIENTE]],'RESUMEN CLIENTES'!D:D,'RESUMEN CLIENTES'!G:G)</f>
        <v>45847</v>
      </c>
      <c r="S648" s="155" t="str">
        <f>+_xlfn.XLOOKUP(Tabla4[[#This Row],[ID CLIENTE]],'RESUMEN CLIENTES'!D:D,'RESUMEN CLIENTES'!AA:AA)</f>
        <v>A1.1</v>
      </c>
      <c r="T648" s="682" t="str">
        <f>+_xlfn.XLOOKUP(Tabla4[[#This Row],[ID CLIENTE]],'RESUMEN CLIENTES'!D:D,'RESUMEN CLIENTES'!C:C)</f>
        <v>Bolivia</v>
      </c>
    </row>
    <row r="649" spans="1:20" ht="16">
      <c r="A649" s="82">
        <v>45977</v>
      </c>
      <c r="B649" s="82" t="str">
        <f>+_xlfn.XLOOKUP(Tabla4[[#This Row],[ID CLIENTE]],'RESUMEN CLIENTES'!D:D,'RESUMEN CLIENTES'!A:A)</f>
        <v>David Enrique Díaz Mejía</v>
      </c>
      <c r="C649" s="83" t="s">
        <v>2189</v>
      </c>
      <c r="D649" s="83" t="s">
        <v>90</v>
      </c>
      <c r="E649" s="83" t="s">
        <v>1399</v>
      </c>
      <c r="F649" s="83" t="s">
        <v>1400</v>
      </c>
      <c r="G649" s="114">
        <v>1000</v>
      </c>
      <c r="H649" s="85">
        <v>0</v>
      </c>
      <c r="I649" s="115">
        <f t="shared" si="20"/>
        <v>0</v>
      </c>
      <c r="J649" s="87">
        <f t="shared" si="21"/>
        <v>1000</v>
      </c>
      <c r="K649" s="87"/>
      <c r="L649" s="87" t="s">
        <v>4672</v>
      </c>
      <c r="M649" s="87"/>
      <c r="N649" s="524"/>
      <c r="O649" s="524">
        <f>+Tabla4[[#This Row],[PAGO NO EURO]]+Tabla4[[#This Row],[CARGO NO EURO]]</f>
        <v>0</v>
      </c>
      <c r="P649" s="524"/>
      <c r="Q649" s="155"/>
      <c r="R649" s="693">
        <f>+_xlfn.XLOOKUP(Tabla4[[#This Row],[ID CLIENTE]],'RESUMEN CLIENTES'!D:D,'RESUMEN CLIENTES'!G:G)</f>
        <v>45774</v>
      </c>
      <c r="S649" s="155" t="str">
        <f>+_xlfn.XLOOKUP(Tabla4[[#This Row],[ID CLIENTE]],'RESUMEN CLIENTES'!D:D,'RESUMEN CLIENTES'!AA:AA)</f>
        <v>A1.1</v>
      </c>
      <c r="T649" s="682" t="str">
        <f>+_xlfn.XLOOKUP(Tabla4[[#This Row],[ID CLIENTE]],'RESUMEN CLIENTES'!D:D,'RESUMEN CLIENTES'!C:C)</f>
        <v>Honduras</v>
      </c>
    </row>
    <row r="650" spans="1:20" ht="16">
      <c r="A650" s="82">
        <v>45978</v>
      </c>
      <c r="B650" s="82" t="str">
        <f>+_xlfn.XLOOKUP(Tabla4[[#This Row],[ID CLIENTE]],'RESUMEN CLIENTES'!D:D,'RESUMEN CLIENTES'!A:A)</f>
        <v>Nancy Gisselle Molinari Cheme</v>
      </c>
      <c r="C650" s="83" t="s">
        <v>2212</v>
      </c>
      <c r="D650" s="83" t="s">
        <v>247</v>
      </c>
      <c r="E650" s="83" t="s">
        <v>1422</v>
      </c>
      <c r="F650" s="83" t="s">
        <v>1423</v>
      </c>
      <c r="G650" s="114">
        <v>1000</v>
      </c>
      <c r="H650" s="85">
        <v>-32.75</v>
      </c>
      <c r="I650" s="115">
        <f t="shared" si="20"/>
        <v>3.2750000000000001E-2</v>
      </c>
      <c r="J650" s="87">
        <f t="shared" si="21"/>
        <v>967.25</v>
      </c>
      <c r="K650" s="87"/>
      <c r="L650" s="87" t="s">
        <v>4672</v>
      </c>
      <c r="M650" s="87"/>
      <c r="N650" s="524"/>
      <c r="O650" s="524">
        <f>+Tabla4[[#This Row],[PAGO NO EURO]]+Tabla4[[#This Row],[CARGO NO EURO]]</f>
        <v>0</v>
      </c>
      <c r="P650" s="524"/>
      <c r="Q650" s="155"/>
      <c r="R650" s="693">
        <f>+_xlfn.XLOOKUP(Tabla4[[#This Row],[ID CLIENTE]],'RESUMEN CLIENTES'!D:D,'RESUMEN CLIENTES'!G:G)</f>
        <v>45794</v>
      </c>
      <c r="S650" s="155" t="str">
        <f>+_xlfn.XLOOKUP(Tabla4[[#This Row],[ID CLIENTE]],'RESUMEN CLIENTES'!D:D,'RESUMEN CLIENTES'!AA:AA)</f>
        <v>B1.1</v>
      </c>
      <c r="T650" s="682" t="str">
        <f>+_xlfn.XLOOKUP(Tabla4[[#This Row],[ID CLIENTE]],'RESUMEN CLIENTES'!D:D,'RESUMEN CLIENTES'!C:C)</f>
        <v>Perú</v>
      </c>
    </row>
    <row r="651" spans="1:20" ht="16">
      <c r="A651" s="82">
        <v>45978</v>
      </c>
      <c r="B651" s="82" t="str">
        <f>+_xlfn.XLOOKUP(Tabla4[[#This Row],[ID CLIENTE]],'RESUMEN CLIENTES'!D:D,'RESUMEN CLIENTES'!A:A)</f>
        <v>Rocio Natalia López Núñez</v>
      </c>
      <c r="C651" s="83" t="s">
        <v>2459</v>
      </c>
      <c r="D651" s="83" t="s">
        <v>1419</v>
      </c>
      <c r="E651" s="83" t="s">
        <v>1420</v>
      </c>
      <c r="F651" s="83" t="s">
        <v>1421</v>
      </c>
      <c r="G651" s="114">
        <v>3000</v>
      </c>
      <c r="H651" s="85">
        <v>-97.75</v>
      </c>
      <c r="I651" s="115">
        <f t="shared" si="20"/>
        <v>3.2583333333333332E-2</v>
      </c>
      <c r="J651" s="87">
        <f t="shared" si="21"/>
        <v>2902.25</v>
      </c>
      <c r="K651" s="87"/>
      <c r="L651" s="87" t="s">
        <v>4672</v>
      </c>
      <c r="M651" s="87"/>
      <c r="N651" s="524"/>
      <c r="O651" s="524">
        <f>+Tabla4[[#This Row],[PAGO NO EURO]]+Tabla4[[#This Row],[CARGO NO EURO]]</f>
        <v>0</v>
      </c>
      <c r="P651" s="524"/>
      <c r="Q651" s="155"/>
      <c r="R651" s="693">
        <f>+_xlfn.XLOOKUP(Tabla4[[#This Row],[ID CLIENTE]],'RESUMEN CLIENTES'!D:D,'RESUMEN CLIENTES'!G:G)</f>
        <v>45978</v>
      </c>
      <c r="S651" s="155" t="str">
        <f>+_xlfn.XLOOKUP(Tabla4[[#This Row],[ID CLIENTE]],'RESUMEN CLIENTES'!D:D,'RESUMEN CLIENTES'!AA:AA)</f>
        <v>A1.1</v>
      </c>
      <c r="T651" s="682" t="str">
        <f>+_xlfn.XLOOKUP(Tabla4[[#This Row],[ID CLIENTE]],'RESUMEN CLIENTES'!D:D,'RESUMEN CLIENTES'!C:C)</f>
        <v>Chile</v>
      </c>
    </row>
    <row r="652" spans="1:20" ht="16">
      <c r="A652" s="82">
        <v>45979</v>
      </c>
      <c r="B652" s="82" t="str">
        <f>+_xlfn.XLOOKUP(Tabla4[[#This Row],[ID CLIENTE]],'RESUMEN CLIENTES'!D:D,'RESUMEN CLIENTES'!A:A)</f>
        <v>Luis Armando Calderon Manzanera</v>
      </c>
      <c r="C652" s="83" t="s">
        <v>2461</v>
      </c>
      <c r="D652" s="83" t="s">
        <v>1416</v>
      </c>
      <c r="E652" s="83" t="s">
        <v>1417</v>
      </c>
      <c r="F652" s="83" t="s">
        <v>1418</v>
      </c>
      <c r="G652" s="114">
        <v>2000</v>
      </c>
      <c r="H652" s="85">
        <v>-65.25</v>
      </c>
      <c r="I652" s="115">
        <f t="shared" si="20"/>
        <v>3.2625000000000001E-2</v>
      </c>
      <c r="J652" s="87">
        <f t="shared" si="21"/>
        <v>1934.75</v>
      </c>
      <c r="K652" s="87"/>
      <c r="L652" s="87" t="s">
        <v>4672</v>
      </c>
      <c r="M652" s="87"/>
      <c r="N652" s="524"/>
      <c r="O652" s="524">
        <f>+Tabla4[[#This Row],[PAGO NO EURO]]+Tabla4[[#This Row],[CARGO NO EURO]]</f>
        <v>0</v>
      </c>
      <c r="P652" s="524"/>
      <c r="Q652" s="155"/>
      <c r="R652" s="693">
        <f>+_xlfn.XLOOKUP(Tabla4[[#This Row],[ID CLIENTE]],'RESUMEN CLIENTES'!D:D,'RESUMEN CLIENTES'!G:G)</f>
        <v>45979</v>
      </c>
      <c r="S652" s="155" t="str">
        <f>+_xlfn.XLOOKUP(Tabla4[[#This Row],[ID CLIENTE]],'RESUMEN CLIENTES'!D:D,'RESUMEN CLIENTES'!AA:AA)</f>
        <v>A1.1</v>
      </c>
      <c r="T652" s="682" t="str">
        <f>+_xlfn.XLOOKUP(Tabla4[[#This Row],[ID CLIENTE]],'RESUMEN CLIENTES'!D:D,'RESUMEN CLIENTES'!C:C)</f>
        <v>México</v>
      </c>
    </row>
    <row r="653" spans="1:20" ht="16">
      <c r="A653" s="82">
        <v>45980</v>
      </c>
      <c r="B653" s="82" t="str">
        <f>+_xlfn.XLOOKUP(Tabla4[[#This Row],[ID CLIENTE]],'RESUMEN CLIENTES'!D:D,'RESUMEN CLIENTES'!A:A)</f>
        <v>Jessica Ayelén Culla Alvarez</v>
      </c>
      <c r="C653" s="83" t="s">
        <v>2265</v>
      </c>
      <c r="D653" s="83" t="s">
        <v>362</v>
      </c>
      <c r="E653" s="83" t="s">
        <v>1410</v>
      </c>
      <c r="F653" s="83" t="s">
        <v>1411</v>
      </c>
      <c r="G653" s="114">
        <v>1000</v>
      </c>
      <c r="H653" s="85">
        <v>-5</v>
      </c>
      <c r="I653" s="115">
        <f t="shared" si="20"/>
        <v>5.0000000000000001E-3</v>
      </c>
      <c r="J653" s="87">
        <f t="shared" si="21"/>
        <v>995</v>
      </c>
      <c r="K653" s="87"/>
      <c r="L653" s="87" t="s">
        <v>4672</v>
      </c>
      <c r="M653" s="87"/>
      <c r="N653" s="524"/>
      <c r="O653" s="524">
        <f>+Tabla4[[#This Row],[PAGO NO EURO]]+Tabla4[[#This Row],[CARGO NO EURO]]</f>
        <v>0</v>
      </c>
      <c r="P653" s="524"/>
      <c r="Q653" s="155"/>
      <c r="R653" s="693">
        <f>+_xlfn.XLOOKUP(Tabla4[[#This Row],[ID CLIENTE]],'RESUMEN CLIENTES'!D:D,'RESUMEN CLIENTES'!G:G)</f>
        <v>45830</v>
      </c>
      <c r="S653" s="155" t="str">
        <f>+_xlfn.XLOOKUP(Tabla4[[#This Row],[ID CLIENTE]],'RESUMEN CLIENTES'!D:D,'RESUMEN CLIENTES'!AA:AA)</f>
        <v>B1.1</v>
      </c>
      <c r="T653" s="682" t="str">
        <f>+_xlfn.XLOOKUP(Tabla4[[#This Row],[ID CLIENTE]],'RESUMEN CLIENTES'!D:D,'RESUMEN CLIENTES'!C:C)</f>
        <v>Argentina</v>
      </c>
    </row>
    <row r="654" spans="1:20" ht="16">
      <c r="A654" s="82">
        <v>45981</v>
      </c>
      <c r="B654" s="82" t="str">
        <f>+_xlfn.XLOOKUP(Tabla4[[#This Row],[ID CLIENTE]],'RESUMEN CLIENTES'!D:D,'RESUMEN CLIENTES'!A:A)</f>
        <v>Javier Bravo Castelo</v>
      </c>
      <c r="C654" s="83" t="s">
        <v>2463</v>
      </c>
      <c r="D654" s="83" t="s">
        <v>1428</v>
      </c>
      <c r="E654" s="83" t="s">
        <v>1429</v>
      </c>
      <c r="F654" s="83" t="s">
        <v>1430</v>
      </c>
      <c r="G654" s="114">
        <v>3000</v>
      </c>
      <c r="H654" s="85">
        <v>-97.75</v>
      </c>
      <c r="I654" s="115">
        <f t="shared" si="20"/>
        <v>3.2583333333333332E-2</v>
      </c>
      <c r="J654" s="87">
        <f t="shared" si="21"/>
        <v>2902.25</v>
      </c>
      <c r="K654" s="87"/>
      <c r="L654" s="87" t="s">
        <v>4672</v>
      </c>
      <c r="M654" s="87"/>
      <c r="N654" s="524"/>
      <c r="O654" s="524">
        <f>+Tabla4[[#This Row],[PAGO NO EURO]]+Tabla4[[#This Row],[CARGO NO EURO]]</f>
        <v>0</v>
      </c>
      <c r="P654" s="524"/>
      <c r="Q654" s="155"/>
      <c r="R654" s="693">
        <f>+_xlfn.XLOOKUP(Tabla4[[#This Row],[ID CLIENTE]],'RESUMEN CLIENTES'!D:D,'RESUMEN CLIENTES'!G:G)</f>
        <v>45981</v>
      </c>
      <c r="S654" s="155" t="str">
        <f>+_xlfn.XLOOKUP(Tabla4[[#This Row],[ID CLIENTE]],'RESUMEN CLIENTES'!D:D,'RESUMEN CLIENTES'!AA:AA)</f>
        <v>null</v>
      </c>
      <c r="T654" s="682" t="str">
        <f>+_xlfn.XLOOKUP(Tabla4[[#This Row],[ID CLIENTE]],'RESUMEN CLIENTES'!D:D,'RESUMEN CLIENTES'!C:C)</f>
        <v>Colombia</v>
      </c>
    </row>
    <row r="655" spans="1:20" ht="16">
      <c r="A655" s="82">
        <v>45982</v>
      </c>
      <c r="B655" s="82" t="str">
        <f>+_xlfn.XLOOKUP(Tabla4[[#This Row],[ID CLIENTE]],'RESUMEN CLIENTES'!D:D,'RESUMEN CLIENTES'!A:A)</f>
        <v>Jorge Andres Galgani Muñoz</v>
      </c>
      <c r="C655" s="83" t="s">
        <v>2465</v>
      </c>
      <c r="D655" s="83" t="s">
        <v>1437</v>
      </c>
      <c r="E655" s="83" t="s">
        <v>1438</v>
      </c>
      <c r="F655" s="83" t="s">
        <v>1439</v>
      </c>
      <c r="G655" s="114">
        <v>250</v>
      </c>
      <c r="H655" s="85">
        <v>-8.3800000000000008</v>
      </c>
      <c r="I655" s="115">
        <f t="shared" si="20"/>
        <v>3.3520000000000001E-2</v>
      </c>
      <c r="J655" s="87">
        <f t="shared" si="21"/>
        <v>241.62</v>
      </c>
      <c r="K655" s="87"/>
      <c r="L655" s="87" t="s">
        <v>4672</v>
      </c>
      <c r="M655" s="87"/>
      <c r="N655" s="524"/>
      <c r="O655" s="524">
        <f>+Tabla4[[#This Row],[PAGO NO EURO]]+Tabla4[[#This Row],[CARGO NO EURO]]</f>
        <v>0</v>
      </c>
      <c r="P655" s="524"/>
      <c r="Q655" s="155"/>
      <c r="R655" s="693">
        <f>+_xlfn.XLOOKUP(Tabla4[[#This Row],[ID CLIENTE]],'RESUMEN CLIENTES'!D:D,'RESUMEN CLIENTES'!G:G)</f>
        <v>45982</v>
      </c>
      <c r="S655" s="155" t="str">
        <f>+_xlfn.XLOOKUP(Tabla4[[#This Row],[ID CLIENTE]],'RESUMEN CLIENTES'!D:D,'RESUMEN CLIENTES'!AA:AA)</f>
        <v>A1.1</v>
      </c>
      <c r="T655" s="682" t="str">
        <f>+_xlfn.XLOOKUP(Tabla4[[#This Row],[ID CLIENTE]],'RESUMEN CLIENTES'!D:D,'RESUMEN CLIENTES'!C:C)</f>
        <v>Chile</v>
      </c>
    </row>
    <row r="656" spans="1:20" ht="16">
      <c r="A656" s="82">
        <v>45982</v>
      </c>
      <c r="B656" s="82" t="str">
        <f>+_xlfn.XLOOKUP(Tabla4[[#This Row],[ID CLIENTE]],'RESUMEN CLIENTES'!D:D,'RESUMEN CLIENTES'!A:A)</f>
        <v>Keidwin Perez</v>
      </c>
      <c r="C656" s="83" t="s">
        <v>2337</v>
      </c>
      <c r="D656" s="83" t="s">
        <v>587</v>
      </c>
      <c r="E656" s="83" t="s">
        <v>1431</v>
      </c>
      <c r="F656" s="83" t="s">
        <v>1432</v>
      </c>
      <c r="G656" s="114">
        <v>750</v>
      </c>
      <c r="H656" s="85">
        <v>-24.63</v>
      </c>
      <c r="I656" s="115">
        <f t="shared" si="20"/>
        <v>3.2840000000000001E-2</v>
      </c>
      <c r="J656" s="87">
        <f t="shared" si="21"/>
        <v>725.37</v>
      </c>
      <c r="K656" s="87"/>
      <c r="L656" s="87" t="s">
        <v>4672</v>
      </c>
      <c r="M656" s="87"/>
      <c r="N656" s="524"/>
      <c r="O656" s="524">
        <f>+Tabla4[[#This Row],[PAGO NO EURO]]+Tabla4[[#This Row],[CARGO NO EURO]]</f>
        <v>0</v>
      </c>
      <c r="P656" s="524"/>
      <c r="Q656" s="155"/>
      <c r="R656" s="693">
        <f>+_xlfn.XLOOKUP(Tabla4[[#This Row],[ID CLIENTE]],'RESUMEN CLIENTES'!D:D,'RESUMEN CLIENTES'!G:G)</f>
        <v>45869</v>
      </c>
      <c r="S656" s="155" t="str">
        <f>+_xlfn.XLOOKUP(Tabla4[[#This Row],[ID CLIENTE]],'RESUMEN CLIENTES'!D:D,'RESUMEN CLIENTES'!AA:AA)</f>
        <v>null</v>
      </c>
      <c r="T656" s="682" t="str">
        <f>+_xlfn.XLOOKUP(Tabla4[[#This Row],[ID CLIENTE]],'RESUMEN CLIENTES'!D:D,'RESUMEN CLIENTES'!C:C)</f>
        <v>Colombia</v>
      </c>
    </row>
    <row r="657" spans="1:20" ht="16">
      <c r="A657" s="82">
        <v>45982</v>
      </c>
      <c r="B657" s="82" t="str">
        <f>+_xlfn.XLOOKUP(Tabla4[[#This Row],[ID CLIENTE]],'RESUMEN CLIENTES'!D:D,'RESUMEN CLIENTES'!A:A)</f>
        <v>Nicolas Gonzalez</v>
      </c>
      <c r="C657" s="83" t="s">
        <v>2467</v>
      </c>
      <c r="D657" s="83" t="s">
        <v>1440</v>
      </c>
      <c r="E657" s="83" t="s">
        <v>1441</v>
      </c>
      <c r="F657" s="83" t="s">
        <v>1442</v>
      </c>
      <c r="G657" s="114">
        <v>250</v>
      </c>
      <c r="H657" s="85">
        <v>-8.3800000000000008</v>
      </c>
      <c r="I657" s="115">
        <f t="shared" si="20"/>
        <v>3.3520000000000001E-2</v>
      </c>
      <c r="J657" s="87">
        <f t="shared" si="21"/>
        <v>241.62</v>
      </c>
      <c r="K657" s="87"/>
      <c r="L657" s="87" t="s">
        <v>4672</v>
      </c>
      <c r="M657" s="87"/>
      <c r="N657" s="524"/>
      <c r="O657" s="524">
        <f>+Tabla4[[#This Row],[PAGO NO EURO]]+Tabla4[[#This Row],[CARGO NO EURO]]</f>
        <v>0</v>
      </c>
      <c r="P657" s="524"/>
      <c r="Q657" s="155"/>
      <c r="R657" s="693">
        <f>+_xlfn.XLOOKUP(Tabla4[[#This Row],[ID CLIENTE]],'RESUMEN CLIENTES'!D:D,'RESUMEN CLIENTES'!G:G)</f>
        <v>45982</v>
      </c>
      <c r="S657" s="155" t="str">
        <f>+_xlfn.XLOOKUP(Tabla4[[#This Row],[ID CLIENTE]],'RESUMEN CLIENTES'!D:D,'RESUMEN CLIENTES'!AA:AA)</f>
        <v>A1.1</v>
      </c>
      <c r="T657" s="682" t="str">
        <f>+_xlfn.XLOOKUP(Tabla4[[#This Row],[ID CLIENTE]],'RESUMEN CLIENTES'!D:D,'RESUMEN CLIENTES'!C:C)</f>
        <v>Colombia</v>
      </c>
    </row>
    <row r="658" spans="1:20" ht="16">
      <c r="A658" s="82">
        <v>45982</v>
      </c>
      <c r="B658" s="82" t="str">
        <f>+_xlfn.XLOOKUP(Tabla4[[#This Row],[ID CLIENTE]],'RESUMEN CLIENTES'!D:D,'RESUMEN CLIENTES'!A:A)</f>
        <v>Nicolas Gonzalez</v>
      </c>
      <c r="C658" s="83" t="s">
        <v>2467</v>
      </c>
      <c r="D658" s="83" t="s">
        <v>1440</v>
      </c>
      <c r="E658" s="83" t="s">
        <v>1445</v>
      </c>
      <c r="F658" s="83" t="s">
        <v>1446</v>
      </c>
      <c r="G658" s="114">
        <v>1250</v>
      </c>
      <c r="H658" s="85">
        <v>-40.880000000000003</v>
      </c>
      <c r="I658" s="115">
        <f t="shared" si="20"/>
        <v>3.2704000000000004E-2</v>
      </c>
      <c r="J658" s="87">
        <f t="shared" si="21"/>
        <v>1209.1199999999999</v>
      </c>
      <c r="K658" s="87"/>
      <c r="L658" s="87" t="s">
        <v>4672</v>
      </c>
      <c r="M658" s="87"/>
      <c r="N658" s="524"/>
      <c r="O658" s="524">
        <f>+Tabla4[[#This Row],[PAGO NO EURO]]+Tabla4[[#This Row],[CARGO NO EURO]]</f>
        <v>0</v>
      </c>
      <c r="P658" s="524"/>
      <c r="Q658" s="155"/>
      <c r="R658" s="693">
        <f>+_xlfn.XLOOKUP(Tabla4[[#This Row],[ID CLIENTE]],'RESUMEN CLIENTES'!D:D,'RESUMEN CLIENTES'!G:G)</f>
        <v>45982</v>
      </c>
      <c r="S658" s="155" t="str">
        <f>+_xlfn.XLOOKUP(Tabla4[[#This Row],[ID CLIENTE]],'RESUMEN CLIENTES'!D:D,'RESUMEN CLIENTES'!AA:AA)</f>
        <v>A1.1</v>
      </c>
      <c r="T658" s="682" t="str">
        <f>+_xlfn.XLOOKUP(Tabla4[[#This Row],[ID CLIENTE]],'RESUMEN CLIENTES'!D:D,'RESUMEN CLIENTES'!C:C)</f>
        <v>Colombia</v>
      </c>
    </row>
    <row r="659" spans="1:20" ht="16">
      <c r="A659" s="82">
        <v>45983</v>
      </c>
      <c r="B659" s="82" t="str">
        <f>+_xlfn.XLOOKUP(Tabla4[[#This Row],[ID CLIENTE]],'RESUMEN CLIENTES'!D:D,'RESUMEN CLIENTES'!A:A)</f>
        <v>Astrid Mariam Enamorado Ortega</v>
      </c>
      <c r="C659" s="83" t="s">
        <v>2339</v>
      </c>
      <c r="D659" s="83" t="s">
        <v>574</v>
      </c>
      <c r="E659" s="83" t="s">
        <v>1426</v>
      </c>
      <c r="F659" s="83" t="s">
        <v>1427</v>
      </c>
      <c r="G659" s="114">
        <v>1200</v>
      </c>
      <c r="H659" s="85">
        <v>-39.25</v>
      </c>
      <c r="I659" s="115">
        <f t="shared" si="20"/>
        <v>3.2708333333333332E-2</v>
      </c>
      <c r="J659" s="87">
        <f t="shared" si="21"/>
        <v>1160.75</v>
      </c>
      <c r="K659" s="87"/>
      <c r="L659" s="87" t="s">
        <v>4672</v>
      </c>
      <c r="M659" s="87"/>
      <c r="N659" s="524"/>
      <c r="O659" s="524">
        <f>+Tabla4[[#This Row],[PAGO NO EURO]]+Tabla4[[#This Row],[CARGO NO EURO]]</f>
        <v>0</v>
      </c>
      <c r="P659" s="524"/>
      <c r="Q659" s="155"/>
      <c r="R659" s="693">
        <f>+_xlfn.XLOOKUP(Tabla4[[#This Row],[ID CLIENTE]],'RESUMEN CLIENTES'!D:D,'RESUMEN CLIENTES'!G:G)</f>
        <v>45869</v>
      </c>
      <c r="S659" s="155" t="str">
        <f>+_xlfn.XLOOKUP(Tabla4[[#This Row],[ID CLIENTE]],'RESUMEN CLIENTES'!D:D,'RESUMEN CLIENTES'!AA:AA)</f>
        <v>B2.1</v>
      </c>
      <c r="T659" s="682" t="str">
        <f>+_xlfn.XLOOKUP(Tabla4[[#This Row],[ID CLIENTE]],'RESUMEN CLIENTES'!D:D,'RESUMEN CLIENTES'!C:C)</f>
        <v>Honduras</v>
      </c>
    </row>
    <row r="660" spans="1:20" ht="16">
      <c r="A660" s="82">
        <v>45983</v>
      </c>
      <c r="B660" s="82" t="str">
        <f>+_xlfn.XLOOKUP(Tabla4[[#This Row],[ID CLIENTE]],'RESUMEN CLIENTES'!D:D,'RESUMEN CLIENTES'!A:A)</f>
        <v>Raúl Ernesto Martínez Orantes</v>
      </c>
      <c r="C660" s="83" t="s">
        <v>2422</v>
      </c>
      <c r="D660" s="83" t="s">
        <v>994</v>
      </c>
      <c r="E660" s="83" t="s">
        <v>1451</v>
      </c>
      <c r="F660" s="83" t="s">
        <v>1452</v>
      </c>
      <c r="G660" s="114">
        <v>850</v>
      </c>
      <c r="H660" s="85">
        <v>-27.88</v>
      </c>
      <c r="I660" s="115">
        <f t="shared" si="20"/>
        <v>3.2799999999999996E-2</v>
      </c>
      <c r="J660" s="87">
        <f t="shared" si="21"/>
        <v>822.12</v>
      </c>
      <c r="K660" s="87"/>
      <c r="L660" s="87" t="s">
        <v>4672</v>
      </c>
      <c r="M660" s="87"/>
      <c r="N660" s="524"/>
      <c r="O660" s="524">
        <f>+Tabla4[[#This Row],[PAGO NO EURO]]+Tabla4[[#This Row],[CARGO NO EURO]]</f>
        <v>0</v>
      </c>
      <c r="P660" s="524"/>
      <c r="Q660" s="155"/>
      <c r="R660" s="693">
        <f>+_xlfn.XLOOKUP(Tabla4[[#This Row],[ID CLIENTE]],'RESUMEN CLIENTES'!D:D,'RESUMEN CLIENTES'!G:G)</f>
        <v>45916</v>
      </c>
      <c r="S660" s="155" t="str">
        <f>+_xlfn.XLOOKUP(Tabla4[[#This Row],[ID CLIENTE]],'RESUMEN CLIENTES'!D:D,'RESUMEN CLIENTES'!AA:AA)</f>
        <v>A1.1</v>
      </c>
      <c r="T660" s="682" t="str">
        <f>+_xlfn.XLOOKUP(Tabla4[[#This Row],[ID CLIENTE]],'RESUMEN CLIENTES'!D:D,'RESUMEN CLIENTES'!C:C)</f>
        <v>El Salvador</v>
      </c>
    </row>
    <row r="661" spans="1:20" ht="16">
      <c r="A661" s="82">
        <v>45984</v>
      </c>
      <c r="B661" s="82" t="str">
        <f>+_xlfn.XLOOKUP(Tabla4[[#This Row],[ID CLIENTE]],'RESUMEN CLIENTES'!D:D,'RESUMEN CLIENTES'!A:A)</f>
        <v>Bastian Sofjer Peralta</v>
      </c>
      <c r="C661" s="83" t="s">
        <v>2172</v>
      </c>
      <c r="D661" s="83" t="s">
        <v>162</v>
      </c>
      <c r="E661" s="83" t="s">
        <v>1455</v>
      </c>
      <c r="F661" s="83" t="s">
        <v>1456</v>
      </c>
      <c r="G661" s="114">
        <v>900</v>
      </c>
      <c r="H661" s="85">
        <v>-29.5</v>
      </c>
      <c r="I661" s="115">
        <f t="shared" ref="I661:I724" si="22">+IFERROR(-(H661)/G661,"")</f>
        <v>3.2777777777777781E-2</v>
      </c>
      <c r="J661" s="87">
        <f t="shared" ref="J661:J724" si="23">+G661+H661</f>
        <v>870.5</v>
      </c>
      <c r="K661" s="87"/>
      <c r="L661" s="87" t="s">
        <v>4672</v>
      </c>
      <c r="M661" s="87"/>
      <c r="N661" s="524"/>
      <c r="O661" s="524">
        <f>+Tabla4[[#This Row],[PAGO NO EURO]]+Tabla4[[#This Row],[CARGO NO EURO]]</f>
        <v>0</v>
      </c>
      <c r="P661" s="524"/>
      <c r="Q661" s="155"/>
      <c r="R661" s="693">
        <f>+_xlfn.XLOOKUP(Tabla4[[#This Row],[ID CLIENTE]],'RESUMEN CLIENTES'!D:D,'RESUMEN CLIENTES'!G:G)</f>
        <v>45758</v>
      </c>
      <c r="S661" s="155" t="str">
        <f>+_xlfn.XLOOKUP(Tabla4[[#This Row],[ID CLIENTE]],'RESUMEN CLIENTES'!D:D,'RESUMEN CLIENTES'!AA:AA)</f>
        <v>A1.1</v>
      </c>
      <c r="T661" s="682" t="str">
        <f>+_xlfn.XLOOKUP(Tabla4[[#This Row],[ID CLIENTE]],'RESUMEN CLIENTES'!D:D,'RESUMEN CLIENTES'!C:C)</f>
        <v>Chile</v>
      </c>
    </row>
    <row r="662" spans="1:20" ht="16">
      <c r="A662" s="82">
        <v>45984</v>
      </c>
      <c r="B662" s="82" t="str">
        <f>+_xlfn.XLOOKUP(Tabla4[[#This Row],[ID CLIENTE]],'RESUMEN CLIENTES'!D:D,'RESUMEN CLIENTES'!A:A)</f>
        <v>Jorge Andres Galgani Muñoz</v>
      </c>
      <c r="C662" s="83" t="s">
        <v>2465</v>
      </c>
      <c r="D662" s="83" t="s">
        <v>1437</v>
      </c>
      <c r="E662" s="83" t="s">
        <v>1443</v>
      </c>
      <c r="F662" s="83" t="s">
        <v>1444</v>
      </c>
      <c r="G662" s="114">
        <v>500</v>
      </c>
      <c r="H662" s="85">
        <v>-16.5</v>
      </c>
      <c r="I662" s="115">
        <f t="shared" si="22"/>
        <v>3.3000000000000002E-2</v>
      </c>
      <c r="J662" s="87">
        <f t="shared" si="23"/>
        <v>483.5</v>
      </c>
      <c r="K662" s="87"/>
      <c r="L662" s="87" t="s">
        <v>4672</v>
      </c>
      <c r="M662" s="87"/>
      <c r="N662" s="524"/>
      <c r="O662" s="524">
        <f>+Tabla4[[#This Row],[PAGO NO EURO]]+Tabla4[[#This Row],[CARGO NO EURO]]</f>
        <v>0</v>
      </c>
      <c r="P662" s="524"/>
      <c r="Q662" s="155"/>
      <c r="R662" s="693">
        <f>+_xlfn.XLOOKUP(Tabla4[[#This Row],[ID CLIENTE]],'RESUMEN CLIENTES'!D:D,'RESUMEN CLIENTES'!G:G)</f>
        <v>45982</v>
      </c>
      <c r="S662" s="155" t="str">
        <f>+_xlfn.XLOOKUP(Tabla4[[#This Row],[ID CLIENTE]],'RESUMEN CLIENTES'!D:D,'RESUMEN CLIENTES'!AA:AA)</f>
        <v>A1.1</v>
      </c>
      <c r="T662" s="682" t="str">
        <f>+_xlfn.XLOOKUP(Tabla4[[#This Row],[ID CLIENTE]],'RESUMEN CLIENTES'!D:D,'RESUMEN CLIENTES'!C:C)</f>
        <v>Chile</v>
      </c>
    </row>
    <row r="663" spans="1:20" ht="16">
      <c r="A663" s="82">
        <v>45985</v>
      </c>
      <c r="B663" s="82" t="str">
        <f>+_xlfn.XLOOKUP(Tabla4[[#This Row],[ID CLIENTE]],'RESUMEN CLIENTES'!D:D,'RESUMEN CLIENTES'!A:A)</f>
        <v>Jorge Andres Galgani Muñoz</v>
      </c>
      <c r="C663" s="83" t="s">
        <v>2465</v>
      </c>
      <c r="D663" s="83" t="s">
        <v>1437</v>
      </c>
      <c r="E663" s="83" t="s">
        <v>1449</v>
      </c>
      <c r="F663" s="83" t="s">
        <v>1450</v>
      </c>
      <c r="G663" s="114">
        <v>750</v>
      </c>
      <c r="H663" s="85">
        <v>-24.63</v>
      </c>
      <c r="I663" s="115">
        <f t="shared" si="22"/>
        <v>3.2840000000000001E-2</v>
      </c>
      <c r="J663" s="87">
        <f t="shared" si="23"/>
        <v>725.37</v>
      </c>
      <c r="K663" s="87"/>
      <c r="L663" s="87" t="s">
        <v>4672</v>
      </c>
      <c r="M663" s="87"/>
      <c r="N663" s="524"/>
      <c r="O663" s="524">
        <f>+Tabla4[[#This Row],[PAGO NO EURO]]+Tabla4[[#This Row],[CARGO NO EURO]]</f>
        <v>0</v>
      </c>
      <c r="P663" s="524"/>
      <c r="Q663" s="155"/>
      <c r="R663" s="693">
        <f>+_xlfn.XLOOKUP(Tabla4[[#This Row],[ID CLIENTE]],'RESUMEN CLIENTES'!D:D,'RESUMEN CLIENTES'!G:G)</f>
        <v>45982</v>
      </c>
      <c r="S663" s="155" t="str">
        <f>+_xlfn.XLOOKUP(Tabla4[[#This Row],[ID CLIENTE]],'RESUMEN CLIENTES'!D:D,'RESUMEN CLIENTES'!AA:AA)</f>
        <v>A1.1</v>
      </c>
      <c r="T663" s="682" t="str">
        <f>+_xlfn.XLOOKUP(Tabla4[[#This Row],[ID CLIENTE]],'RESUMEN CLIENTES'!D:D,'RESUMEN CLIENTES'!C:C)</f>
        <v>Chile</v>
      </c>
    </row>
    <row r="664" spans="1:20" ht="16">
      <c r="A664" s="82">
        <v>45985</v>
      </c>
      <c r="B664" s="82" t="str">
        <f>+_xlfn.XLOOKUP(Tabla4[[#This Row],[ID CLIENTE]],'RESUMEN CLIENTES'!D:D,'RESUMEN CLIENTES'!A:A)</f>
        <v>Maryori Elizabeth Ramos Tapia</v>
      </c>
      <c r="C664" s="83" t="s">
        <v>2225</v>
      </c>
      <c r="D664" s="83" t="s">
        <v>261</v>
      </c>
      <c r="E664" s="83" t="s">
        <v>1453</v>
      </c>
      <c r="F664" s="83" t="s">
        <v>1454</v>
      </c>
      <c r="G664" s="114">
        <v>1000</v>
      </c>
      <c r="H664" s="85">
        <v>-32.75</v>
      </c>
      <c r="I664" s="115">
        <f t="shared" si="22"/>
        <v>3.2750000000000001E-2</v>
      </c>
      <c r="J664" s="87">
        <f t="shared" si="23"/>
        <v>967.25</v>
      </c>
      <c r="K664" s="87"/>
      <c r="L664" s="87" t="s">
        <v>4672</v>
      </c>
      <c r="M664" s="87"/>
      <c r="N664" s="524"/>
      <c r="O664" s="524">
        <f>+Tabla4[[#This Row],[PAGO NO EURO]]+Tabla4[[#This Row],[CARGO NO EURO]]</f>
        <v>0</v>
      </c>
      <c r="P664" s="524"/>
      <c r="Q664" s="155"/>
      <c r="R664" s="693">
        <f>+_xlfn.XLOOKUP(Tabla4[[#This Row],[ID CLIENTE]],'RESUMEN CLIENTES'!D:D,'RESUMEN CLIENTES'!G:G)</f>
        <v>45807</v>
      </c>
      <c r="S664" s="155" t="str">
        <f>+_xlfn.XLOOKUP(Tabla4[[#This Row],[ID CLIENTE]],'RESUMEN CLIENTES'!D:D,'RESUMEN CLIENTES'!AA:AA)</f>
        <v>A1.1</v>
      </c>
      <c r="T664" s="682" t="str">
        <f>+_xlfn.XLOOKUP(Tabla4[[#This Row],[ID CLIENTE]],'RESUMEN CLIENTES'!D:D,'RESUMEN CLIENTES'!C:C)</f>
        <v>Perú</v>
      </c>
    </row>
    <row r="665" spans="1:20" ht="16">
      <c r="A665" s="82">
        <v>45985</v>
      </c>
      <c r="B665" s="82" t="str">
        <f>+_xlfn.XLOOKUP(Tabla4[[#This Row],[ID CLIENTE]],'RESUMEN CLIENTES'!D:D,'RESUMEN CLIENTES'!A:A)</f>
        <v>Fernanda Castro</v>
      </c>
      <c r="C665" s="83" t="s">
        <v>2218</v>
      </c>
      <c r="D665" s="83" t="s">
        <v>250</v>
      </c>
      <c r="E665" s="83" t="s">
        <v>1447</v>
      </c>
      <c r="F665" s="83" t="s">
        <v>1448</v>
      </c>
      <c r="G665" s="114">
        <v>1000</v>
      </c>
      <c r="H665" s="85">
        <v>-32.75</v>
      </c>
      <c r="I665" s="115">
        <f t="shared" si="22"/>
        <v>3.2750000000000001E-2</v>
      </c>
      <c r="J665" s="87">
        <f t="shared" si="23"/>
        <v>967.25</v>
      </c>
      <c r="K665" s="87"/>
      <c r="L665" s="87" t="s">
        <v>4672</v>
      </c>
      <c r="M665" s="87"/>
      <c r="N665" s="524"/>
      <c r="O665" s="524">
        <f>+Tabla4[[#This Row],[PAGO NO EURO]]+Tabla4[[#This Row],[CARGO NO EURO]]</f>
        <v>0</v>
      </c>
      <c r="P665" s="524"/>
      <c r="Q665" s="155"/>
      <c r="R665" s="693">
        <f>+_xlfn.XLOOKUP(Tabla4[[#This Row],[ID CLIENTE]],'RESUMEN CLIENTES'!D:D,'RESUMEN CLIENTES'!G:G)</f>
        <v>45803</v>
      </c>
      <c r="S665" s="155" t="str">
        <f>+_xlfn.XLOOKUP(Tabla4[[#This Row],[ID CLIENTE]],'RESUMEN CLIENTES'!D:D,'RESUMEN CLIENTES'!AA:AA)</f>
        <v>A2.1</v>
      </c>
      <c r="T665" s="682" t="str">
        <f>+_xlfn.XLOOKUP(Tabla4[[#This Row],[ID CLIENTE]],'RESUMEN CLIENTES'!D:D,'RESUMEN CLIENTES'!C:C)</f>
        <v>Ecuador</v>
      </c>
    </row>
    <row r="666" spans="1:20" ht="16">
      <c r="A666" s="82">
        <v>45986</v>
      </c>
      <c r="B666" s="82" t="str">
        <f>+_xlfn.XLOOKUP(Tabla4[[#This Row],[ID CLIENTE]],'RESUMEN CLIENTES'!D:D,'RESUMEN CLIENTES'!A:A)</f>
        <v>Jorge Augusto Cámbara Vargas</v>
      </c>
      <c r="C666" s="83" t="s">
        <v>2261</v>
      </c>
      <c r="D666" s="83" t="s">
        <v>333</v>
      </c>
      <c r="E666" s="83" t="s">
        <v>1457</v>
      </c>
      <c r="F666" s="83" t="s">
        <v>1458</v>
      </c>
      <c r="G666" s="114">
        <v>1000</v>
      </c>
      <c r="H666" s="85">
        <v>-32.75</v>
      </c>
      <c r="I666" s="115">
        <f t="shared" si="22"/>
        <v>3.2750000000000001E-2</v>
      </c>
      <c r="J666" s="87">
        <f t="shared" si="23"/>
        <v>967.25</v>
      </c>
      <c r="K666" s="87"/>
      <c r="L666" s="87" t="s">
        <v>4672</v>
      </c>
      <c r="M666" s="87"/>
      <c r="N666" s="524"/>
      <c r="O666" s="524">
        <f>+Tabla4[[#This Row],[PAGO NO EURO]]+Tabla4[[#This Row],[CARGO NO EURO]]</f>
        <v>0</v>
      </c>
      <c r="P666" s="524"/>
      <c r="Q666" s="155"/>
      <c r="R666" s="693">
        <f>+_xlfn.XLOOKUP(Tabla4[[#This Row],[ID CLIENTE]],'RESUMEN CLIENTES'!D:D,'RESUMEN CLIENTES'!G:G)</f>
        <v>45821</v>
      </c>
      <c r="S666" s="155" t="str">
        <f>+_xlfn.XLOOKUP(Tabla4[[#This Row],[ID CLIENTE]],'RESUMEN CLIENTES'!D:D,'RESUMEN CLIENTES'!AA:AA)</f>
        <v>B1.1</v>
      </c>
      <c r="T666" s="682" t="str">
        <f>+_xlfn.XLOOKUP(Tabla4[[#This Row],[ID CLIENTE]],'RESUMEN CLIENTES'!D:D,'RESUMEN CLIENTES'!C:C)</f>
        <v>Guatemala</v>
      </c>
    </row>
    <row r="667" spans="1:20" ht="16">
      <c r="A667" s="82">
        <v>45986</v>
      </c>
      <c r="B667" s="82" t="str">
        <f>+_xlfn.XLOOKUP(Tabla4[[#This Row],[ID CLIENTE]],'RESUMEN CLIENTES'!D:D,'RESUMEN CLIENTES'!A:A)</f>
        <v>Julio Nelson Adaros Moraga</v>
      </c>
      <c r="C667" s="83" t="s">
        <v>2271</v>
      </c>
      <c r="D667" s="83" t="s">
        <v>372</v>
      </c>
      <c r="E667" s="83" t="s">
        <v>1480</v>
      </c>
      <c r="F667" s="83" t="s">
        <v>1481</v>
      </c>
      <c r="G667" s="114">
        <v>1000</v>
      </c>
      <c r="H667" s="85">
        <v>-32.75</v>
      </c>
      <c r="I667" s="115">
        <f t="shared" si="22"/>
        <v>3.2750000000000001E-2</v>
      </c>
      <c r="J667" s="87">
        <f t="shared" si="23"/>
        <v>967.25</v>
      </c>
      <c r="K667" s="87"/>
      <c r="L667" s="87" t="s">
        <v>4672</v>
      </c>
      <c r="M667" s="87"/>
      <c r="N667" s="524"/>
      <c r="O667" s="524">
        <f>+Tabla4[[#This Row],[PAGO NO EURO]]+Tabla4[[#This Row],[CARGO NO EURO]]</f>
        <v>0</v>
      </c>
      <c r="P667" s="524"/>
      <c r="Q667" s="155"/>
      <c r="R667" s="693">
        <f>+_xlfn.XLOOKUP(Tabla4[[#This Row],[ID CLIENTE]],'RESUMEN CLIENTES'!D:D,'RESUMEN CLIENTES'!G:G)</f>
        <v>45836</v>
      </c>
      <c r="S667" s="155" t="str">
        <f>+_xlfn.XLOOKUP(Tabla4[[#This Row],[ID CLIENTE]],'RESUMEN CLIENTES'!D:D,'RESUMEN CLIENTES'!AA:AA)</f>
        <v>A1.1</v>
      </c>
      <c r="T667" s="682" t="str">
        <f>+_xlfn.XLOOKUP(Tabla4[[#This Row],[ID CLIENTE]],'RESUMEN CLIENTES'!D:D,'RESUMEN CLIENTES'!C:C)</f>
        <v>Chile</v>
      </c>
    </row>
    <row r="668" spans="1:20" ht="16">
      <c r="A668" s="82">
        <v>45987</v>
      </c>
      <c r="B668" s="82" t="str">
        <f>+_xlfn.XLOOKUP(Tabla4[[#This Row],[ID CLIENTE]],'RESUMEN CLIENTES'!D:D,'RESUMEN CLIENTES'!A:A)</f>
        <v>Jose Marcelo Marroquín Guzmán</v>
      </c>
      <c r="C668" s="83" t="s">
        <v>2121</v>
      </c>
      <c r="D668" s="83" t="s">
        <v>87</v>
      </c>
      <c r="E668" s="83" t="s">
        <v>1459</v>
      </c>
      <c r="F668" s="83" t="s">
        <v>1460</v>
      </c>
      <c r="G668" s="114">
        <v>400</v>
      </c>
      <c r="H668" s="85">
        <v>-13.25</v>
      </c>
      <c r="I668" s="115">
        <f t="shared" si="22"/>
        <v>3.3125000000000002E-2</v>
      </c>
      <c r="J668" s="87">
        <f t="shared" si="23"/>
        <v>386.75</v>
      </c>
      <c r="K668" s="87"/>
      <c r="L668" s="87" t="s">
        <v>4672</v>
      </c>
      <c r="M668" s="87"/>
      <c r="N668" s="524"/>
      <c r="O668" s="524">
        <f>+Tabla4[[#This Row],[PAGO NO EURO]]+Tabla4[[#This Row],[CARGO NO EURO]]</f>
        <v>0</v>
      </c>
      <c r="P668" s="524"/>
      <c r="Q668" s="155"/>
      <c r="R668" s="693">
        <f>+_xlfn.XLOOKUP(Tabla4[[#This Row],[ID CLIENTE]],'RESUMEN CLIENTES'!D:D,'RESUMEN CLIENTES'!G:G)</f>
        <v>45658</v>
      </c>
      <c r="S668" s="155" t="str">
        <f>+_xlfn.XLOOKUP(Tabla4[[#This Row],[ID CLIENTE]],'RESUMEN CLIENTES'!D:D,'RESUMEN CLIENTES'!AA:AA)</f>
        <v>A2.1</v>
      </c>
      <c r="T668" s="682" t="str">
        <f>+_xlfn.XLOOKUP(Tabla4[[#This Row],[ID CLIENTE]],'RESUMEN CLIENTES'!D:D,'RESUMEN CLIENTES'!C:C)</f>
        <v>El Salvador</v>
      </c>
    </row>
    <row r="669" spans="1:20" ht="16">
      <c r="A669" s="82">
        <v>45987</v>
      </c>
      <c r="B669" s="82" t="str">
        <f>+_xlfn.XLOOKUP(Tabla4[[#This Row],[ID CLIENTE]],'RESUMEN CLIENTES'!D:D,'RESUMEN CLIENTES'!A:A)</f>
        <v>Mateo Gabriel Martinez Dávila</v>
      </c>
      <c r="C669" s="83" t="s">
        <v>2193</v>
      </c>
      <c r="D669" s="83" t="s">
        <v>200</v>
      </c>
      <c r="E669" s="83" t="s">
        <v>1474</v>
      </c>
      <c r="F669" s="83" t="s">
        <v>1475</v>
      </c>
      <c r="G669" s="114">
        <v>500</v>
      </c>
      <c r="H669" s="85">
        <v>-16.5</v>
      </c>
      <c r="I669" s="115">
        <f t="shared" si="22"/>
        <v>3.3000000000000002E-2</v>
      </c>
      <c r="J669" s="87">
        <f t="shared" si="23"/>
        <v>483.5</v>
      </c>
      <c r="K669" s="87" t="s">
        <v>4676</v>
      </c>
      <c r="L669" s="87" t="s">
        <v>4672</v>
      </c>
      <c r="M669" s="87"/>
      <c r="N669" s="524"/>
      <c r="O669" s="524">
        <f>+Tabla4[[#This Row],[PAGO NO EURO]]+Tabla4[[#This Row],[CARGO NO EURO]]</f>
        <v>0</v>
      </c>
      <c r="P669" s="524"/>
      <c r="Q669" s="155"/>
      <c r="R669" s="693">
        <f>+_xlfn.XLOOKUP(Tabla4[[#This Row],[ID CLIENTE]],'RESUMEN CLIENTES'!D:D,'RESUMEN CLIENTES'!G:G)</f>
        <v>45777</v>
      </c>
      <c r="S669" s="155" t="str">
        <f>+_xlfn.XLOOKUP(Tabla4[[#This Row],[ID CLIENTE]],'RESUMEN CLIENTES'!D:D,'RESUMEN CLIENTES'!AA:AA)</f>
        <v>A1.1</v>
      </c>
      <c r="T669" s="682" t="str">
        <f>+_xlfn.XLOOKUP(Tabla4[[#This Row],[ID CLIENTE]],'RESUMEN CLIENTES'!D:D,'RESUMEN CLIENTES'!C:C)</f>
        <v>Bolivia</v>
      </c>
    </row>
    <row r="670" spans="1:20" ht="16">
      <c r="A670" s="82">
        <v>45987</v>
      </c>
      <c r="B670" s="82" t="str">
        <f>+_xlfn.XLOOKUP(Tabla4[[#This Row],[ID CLIENTE]],'RESUMEN CLIENTES'!D:D,'RESUMEN CLIENTES'!A:A)</f>
        <v>Mateo Gabriel Martinez Dávila</v>
      </c>
      <c r="C670" s="83" t="s">
        <v>2193</v>
      </c>
      <c r="D670" s="83" t="s">
        <v>200</v>
      </c>
      <c r="E670" s="83" t="s">
        <v>1476</v>
      </c>
      <c r="F670" s="83" t="s">
        <v>1477</v>
      </c>
      <c r="G670" s="114">
        <v>500</v>
      </c>
      <c r="H670" s="85">
        <v>-16.5</v>
      </c>
      <c r="I670" s="115">
        <f t="shared" si="22"/>
        <v>3.3000000000000002E-2</v>
      </c>
      <c r="J670" s="87">
        <f t="shared" si="23"/>
        <v>483.5</v>
      </c>
      <c r="K670" s="87" t="s">
        <v>4676</v>
      </c>
      <c r="L670" s="87" t="s">
        <v>4672</v>
      </c>
      <c r="M670" s="87"/>
      <c r="N670" s="524"/>
      <c r="O670" s="524">
        <f>+Tabla4[[#This Row],[PAGO NO EURO]]+Tabla4[[#This Row],[CARGO NO EURO]]</f>
        <v>0</v>
      </c>
      <c r="P670" s="524"/>
      <c r="Q670" s="155"/>
      <c r="R670" s="693">
        <f>+_xlfn.XLOOKUP(Tabla4[[#This Row],[ID CLIENTE]],'RESUMEN CLIENTES'!D:D,'RESUMEN CLIENTES'!G:G)</f>
        <v>45777</v>
      </c>
      <c r="S670" s="155" t="str">
        <f>+_xlfn.XLOOKUP(Tabla4[[#This Row],[ID CLIENTE]],'RESUMEN CLIENTES'!D:D,'RESUMEN CLIENTES'!AA:AA)</f>
        <v>A1.1</v>
      </c>
      <c r="T670" s="682" t="str">
        <f>+_xlfn.XLOOKUP(Tabla4[[#This Row],[ID CLIENTE]],'RESUMEN CLIENTES'!D:D,'RESUMEN CLIENTES'!C:C)</f>
        <v>Bolivia</v>
      </c>
    </row>
    <row r="671" spans="1:20" ht="16">
      <c r="A671" s="82">
        <v>45987</v>
      </c>
      <c r="B671" s="82" t="str">
        <f>+_xlfn.XLOOKUP(Tabla4[[#This Row],[ID CLIENTE]],'RESUMEN CLIENTES'!D:D,'RESUMEN CLIENTES'!A:A)</f>
        <v>Sofia Martínez Restrepo</v>
      </c>
      <c r="C671" s="83" t="s">
        <v>2366</v>
      </c>
      <c r="D671" s="83" t="s">
        <v>716</v>
      </c>
      <c r="E671" s="83" t="s">
        <v>1466</v>
      </c>
      <c r="F671" s="83" t="s">
        <v>1467</v>
      </c>
      <c r="G671" s="114">
        <v>1000</v>
      </c>
      <c r="H671" s="85">
        <v>-32.75</v>
      </c>
      <c r="I671" s="115">
        <f t="shared" si="22"/>
        <v>3.2750000000000001E-2</v>
      </c>
      <c r="J671" s="87">
        <f t="shared" si="23"/>
        <v>967.25</v>
      </c>
      <c r="K671" s="87"/>
      <c r="L671" s="87" t="s">
        <v>4672</v>
      </c>
      <c r="M671" s="87"/>
      <c r="N671" s="524"/>
      <c r="O671" s="524">
        <f>+Tabla4[[#This Row],[PAGO NO EURO]]+Tabla4[[#This Row],[CARGO NO EURO]]</f>
        <v>0</v>
      </c>
      <c r="P671" s="524"/>
      <c r="Q671" s="155"/>
      <c r="R671" s="693">
        <f>+_xlfn.XLOOKUP(Tabla4[[#This Row],[ID CLIENTE]],'RESUMEN CLIENTES'!D:D,'RESUMEN CLIENTES'!G:G)</f>
        <v>45891</v>
      </c>
      <c r="S671" s="155" t="str">
        <f>+_xlfn.XLOOKUP(Tabla4[[#This Row],[ID CLIENTE]],'RESUMEN CLIENTES'!D:D,'RESUMEN CLIENTES'!AA:AA)</f>
        <v>A1.1</v>
      </c>
      <c r="T671" s="682" t="str">
        <f>+_xlfn.XLOOKUP(Tabla4[[#This Row],[ID CLIENTE]],'RESUMEN CLIENTES'!D:D,'RESUMEN CLIENTES'!C:C)</f>
        <v>Colombia</v>
      </c>
    </row>
    <row r="672" spans="1:20" ht="16">
      <c r="A672" s="82">
        <v>45988</v>
      </c>
      <c r="B672" s="82" t="str">
        <f>+_xlfn.XLOOKUP(Tabla4[[#This Row],[ID CLIENTE]],'RESUMEN CLIENTES'!D:D,'RESUMEN CLIENTES'!A:A)</f>
        <v>Ellen Cristina Gerónimo Bonilla</v>
      </c>
      <c r="C672" s="83" t="s">
        <v>2273</v>
      </c>
      <c r="D672" s="83" t="s">
        <v>385</v>
      </c>
      <c r="E672" s="83" t="s">
        <v>1517</v>
      </c>
      <c r="F672" s="83" t="s">
        <v>1518</v>
      </c>
      <c r="G672" s="114">
        <v>600</v>
      </c>
      <c r="H672" s="85">
        <v>-19.75</v>
      </c>
      <c r="I672" s="115">
        <f t="shared" si="22"/>
        <v>3.2916666666666664E-2</v>
      </c>
      <c r="J672" s="87">
        <f t="shared" si="23"/>
        <v>580.25</v>
      </c>
      <c r="K672" s="87"/>
      <c r="L672" s="87" t="s">
        <v>4672</v>
      </c>
      <c r="M672" s="87"/>
      <c r="N672" s="524"/>
      <c r="O672" s="524">
        <f>+Tabla4[[#This Row],[PAGO NO EURO]]+Tabla4[[#This Row],[CARGO NO EURO]]</f>
        <v>0</v>
      </c>
      <c r="P672" s="524"/>
      <c r="Q672" s="155"/>
      <c r="R672" s="693">
        <f>+_xlfn.XLOOKUP(Tabla4[[#This Row],[ID CLIENTE]],'RESUMEN CLIENTES'!D:D,'RESUMEN CLIENTES'!G:G)</f>
        <v>45838</v>
      </c>
      <c r="S672" s="155" t="str">
        <f>+_xlfn.XLOOKUP(Tabla4[[#This Row],[ID CLIENTE]],'RESUMEN CLIENTES'!D:D,'RESUMEN CLIENTES'!AA:AA)</f>
        <v>A1.1</v>
      </c>
      <c r="T672" s="682" t="str">
        <f>+_xlfn.XLOOKUP(Tabla4[[#This Row],[ID CLIENTE]],'RESUMEN CLIENTES'!D:D,'RESUMEN CLIENTES'!C:C)</f>
        <v>República Dominicana</v>
      </c>
    </row>
    <row r="673" spans="1:20" ht="16">
      <c r="A673" s="82">
        <v>45988</v>
      </c>
      <c r="B673" s="82" t="str">
        <f>+_xlfn.XLOOKUP(Tabla4[[#This Row],[ID CLIENTE]],'RESUMEN CLIENTES'!D:D,'RESUMEN CLIENTES'!A:A)</f>
        <v>David Hernández Viveros</v>
      </c>
      <c r="C673" s="83" t="s">
        <v>2143</v>
      </c>
      <c r="D673" s="83" t="s">
        <v>115</v>
      </c>
      <c r="E673" s="83" t="s">
        <v>1515</v>
      </c>
      <c r="F673" s="83" t="s">
        <v>1516</v>
      </c>
      <c r="G673" s="114">
        <v>1300</v>
      </c>
      <c r="H673" s="85">
        <v>-42.5</v>
      </c>
      <c r="I673" s="115">
        <f t="shared" si="22"/>
        <v>3.2692307692307694E-2</v>
      </c>
      <c r="J673" s="87">
        <f t="shared" si="23"/>
        <v>1257.5</v>
      </c>
      <c r="K673" s="87"/>
      <c r="L673" s="87" t="s">
        <v>4672</v>
      </c>
      <c r="M673" s="87"/>
      <c r="N673" s="524"/>
      <c r="O673" s="524">
        <f>+Tabla4[[#This Row],[PAGO NO EURO]]+Tabla4[[#This Row],[CARGO NO EURO]]</f>
        <v>0</v>
      </c>
      <c r="P673" s="524"/>
      <c r="Q673" s="155"/>
      <c r="R673" s="693">
        <f>+_xlfn.XLOOKUP(Tabla4[[#This Row],[ID CLIENTE]],'RESUMEN CLIENTES'!D:D,'RESUMEN CLIENTES'!G:G)</f>
        <v>45737</v>
      </c>
      <c r="S673" s="155" t="str">
        <f>+_xlfn.XLOOKUP(Tabla4[[#This Row],[ID CLIENTE]],'RESUMEN CLIENTES'!D:D,'RESUMEN CLIENTES'!AA:AA)</f>
        <v>null</v>
      </c>
      <c r="T673" s="682" t="str">
        <f>+_xlfn.XLOOKUP(Tabla4[[#This Row],[ID CLIENTE]],'RESUMEN CLIENTES'!D:D,'RESUMEN CLIENTES'!C:C)</f>
        <v>México</v>
      </c>
    </row>
    <row r="674" spans="1:20" ht="16">
      <c r="A674" s="82">
        <v>45988</v>
      </c>
      <c r="B674" s="82" t="str">
        <f>+_xlfn.XLOOKUP(Tabla4[[#This Row],[ID CLIENTE]],'RESUMEN CLIENTES'!D:D,'RESUMEN CLIENTES'!A:A)</f>
        <v>Juan Manuel Maldonado Lozano</v>
      </c>
      <c r="C674" s="83" t="s">
        <v>2473</v>
      </c>
      <c r="D674" s="83" t="s">
        <v>1468</v>
      </c>
      <c r="E674" s="83" t="s">
        <v>1469</v>
      </c>
      <c r="F674" s="83" t="s">
        <v>1470</v>
      </c>
      <c r="G674" s="114">
        <v>200</v>
      </c>
      <c r="H674" s="85">
        <v>-6.75</v>
      </c>
      <c r="I674" s="115">
        <f t="shared" si="22"/>
        <v>3.3750000000000002E-2</v>
      </c>
      <c r="J674" s="87">
        <f t="shared" si="23"/>
        <v>193.25</v>
      </c>
      <c r="K674" s="87"/>
      <c r="L674" s="87" t="s">
        <v>4672</v>
      </c>
      <c r="M674" s="87"/>
      <c r="N674" s="524"/>
      <c r="O674" s="524">
        <f>+Tabla4[[#This Row],[PAGO NO EURO]]+Tabla4[[#This Row],[CARGO NO EURO]]</f>
        <v>0</v>
      </c>
      <c r="P674" s="524"/>
      <c r="Q674" s="155"/>
      <c r="R674" s="693">
        <f>+_xlfn.XLOOKUP(Tabla4[[#This Row],[ID CLIENTE]],'RESUMEN CLIENTES'!D:D,'RESUMEN CLIENTES'!G:G)</f>
        <v>45988</v>
      </c>
      <c r="S674" s="155" t="str">
        <f>+_xlfn.XLOOKUP(Tabla4[[#This Row],[ID CLIENTE]],'RESUMEN CLIENTES'!D:D,'RESUMEN CLIENTES'!AA:AA)</f>
        <v>null</v>
      </c>
      <c r="T674" s="682" t="str">
        <f>+_xlfn.XLOOKUP(Tabla4[[#This Row],[ID CLIENTE]],'RESUMEN CLIENTES'!D:D,'RESUMEN CLIENTES'!C:C)</f>
        <v>Colombia</v>
      </c>
    </row>
    <row r="675" spans="1:20" ht="16">
      <c r="A675" s="82">
        <v>45988</v>
      </c>
      <c r="B675" s="82" t="str">
        <f>+_xlfn.XLOOKUP(Tabla4[[#This Row],[ID CLIENTE]],'RESUMEN CLIENTES'!D:D,'RESUMEN CLIENTES'!A:A)</f>
        <v>Julian David Gutierrez Rodriguez</v>
      </c>
      <c r="C675" s="83" t="s">
        <v>2364</v>
      </c>
      <c r="D675" s="83" t="s">
        <v>711</v>
      </c>
      <c r="E675" s="83" t="s">
        <v>1478</v>
      </c>
      <c r="F675" s="83" t="s">
        <v>1479</v>
      </c>
      <c r="G675" s="114">
        <v>500</v>
      </c>
      <c r="H675" s="85">
        <v>-16.5</v>
      </c>
      <c r="I675" s="115">
        <f t="shared" si="22"/>
        <v>3.3000000000000002E-2</v>
      </c>
      <c r="J675" s="87">
        <f t="shared" si="23"/>
        <v>483.5</v>
      </c>
      <c r="K675" s="87"/>
      <c r="L675" s="87" t="s">
        <v>4672</v>
      </c>
      <c r="M675" s="87"/>
      <c r="N675" s="524"/>
      <c r="O675" s="524">
        <f>+Tabla4[[#This Row],[PAGO NO EURO]]+Tabla4[[#This Row],[CARGO NO EURO]]</f>
        <v>0</v>
      </c>
      <c r="P675" s="524"/>
      <c r="Q675" s="155"/>
      <c r="R675" s="693">
        <f>+_xlfn.XLOOKUP(Tabla4[[#This Row],[ID CLIENTE]],'RESUMEN CLIENTES'!D:D,'RESUMEN CLIENTES'!G:G)</f>
        <v>45889</v>
      </c>
      <c r="S675" s="155" t="str">
        <f>+_xlfn.XLOOKUP(Tabla4[[#This Row],[ID CLIENTE]],'RESUMEN CLIENTES'!D:D,'RESUMEN CLIENTES'!AA:AA)</f>
        <v>A1.1</v>
      </c>
      <c r="T675" s="682" t="str">
        <f>+_xlfn.XLOOKUP(Tabla4[[#This Row],[ID CLIENTE]],'RESUMEN CLIENTES'!D:D,'RESUMEN CLIENTES'!C:C)</f>
        <v>Colombia</v>
      </c>
    </row>
    <row r="676" spans="1:20" ht="16">
      <c r="A676" s="82">
        <v>45988</v>
      </c>
      <c r="B676" s="82" t="str">
        <f>+_xlfn.XLOOKUP(Tabla4[[#This Row],[ID CLIENTE]],'RESUMEN CLIENTES'!D:D,'RESUMEN CLIENTES'!A:A)</f>
        <v>Katerine Marianela Verastegui Mendoza</v>
      </c>
      <c r="C676" s="83" t="s">
        <v>2469</v>
      </c>
      <c r="D676" s="83" t="s">
        <v>1461</v>
      </c>
      <c r="E676" s="83" t="s">
        <v>1462</v>
      </c>
      <c r="F676" s="83" t="s">
        <v>1463</v>
      </c>
      <c r="G676" s="114">
        <v>250</v>
      </c>
      <c r="H676" s="85">
        <v>-8.3800000000000008</v>
      </c>
      <c r="I676" s="115">
        <f t="shared" si="22"/>
        <v>3.3520000000000001E-2</v>
      </c>
      <c r="J676" s="87">
        <f t="shared" si="23"/>
        <v>241.62</v>
      </c>
      <c r="K676" s="87"/>
      <c r="L676" s="87" t="s">
        <v>4672</v>
      </c>
      <c r="M676" s="87"/>
      <c r="N676" s="524"/>
      <c r="O676" s="524">
        <f>+Tabla4[[#This Row],[PAGO NO EURO]]+Tabla4[[#This Row],[CARGO NO EURO]]</f>
        <v>0</v>
      </c>
      <c r="P676" s="524"/>
      <c r="Q676" s="155"/>
      <c r="R676" s="693">
        <f>+_xlfn.XLOOKUP(Tabla4[[#This Row],[ID CLIENTE]],'RESUMEN CLIENTES'!D:D,'RESUMEN CLIENTES'!G:G)</f>
        <v>45988</v>
      </c>
      <c r="S676" s="155" t="str">
        <f>+_xlfn.XLOOKUP(Tabla4[[#This Row],[ID CLIENTE]],'RESUMEN CLIENTES'!D:D,'RESUMEN CLIENTES'!AA:AA)</f>
        <v>A1.1</v>
      </c>
      <c r="T676" s="682" t="str">
        <f>+_xlfn.XLOOKUP(Tabla4[[#This Row],[ID CLIENTE]],'RESUMEN CLIENTES'!D:D,'RESUMEN CLIENTES'!C:C)</f>
        <v>Perú</v>
      </c>
    </row>
    <row r="677" spans="1:20" ht="16">
      <c r="A677" s="82">
        <v>45988</v>
      </c>
      <c r="B677" s="82" t="str">
        <f>+_xlfn.XLOOKUP(Tabla4[[#This Row],[ID CLIENTE]],'RESUMEN CLIENTES'!D:D,'RESUMEN CLIENTES'!A:A)</f>
        <v>Laxmi Davi Patel Flores</v>
      </c>
      <c r="C677" s="83" t="s">
        <v>2471</v>
      </c>
      <c r="D677" s="83" t="s">
        <v>1482</v>
      </c>
      <c r="E677" s="83" t="s">
        <v>1483</v>
      </c>
      <c r="F677" s="83" t="s">
        <v>1484</v>
      </c>
      <c r="G677" s="114">
        <v>250</v>
      </c>
      <c r="H677" s="85">
        <v>-8.3800000000000008</v>
      </c>
      <c r="I677" s="115">
        <f t="shared" si="22"/>
        <v>3.3520000000000001E-2</v>
      </c>
      <c r="J677" s="87">
        <f t="shared" si="23"/>
        <v>241.62</v>
      </c>
      <c r="K677" s="87"/>
      <c r="L677" s="87" t="s">
        <v>4672</v>
      </c>
      <c r="M677" s="87"/>
      <c r="N677" s="524"/>
      <c r="O677" s="524">
        <f>+Tabla4[[#This Row],[PAGO NO EURO]]+Tabla4[[#This Row],[CARGO NO EURO]]</f>
        <v>0</v>
      </c>
      <c r="P677" s="524"/>
      <c r="Q677" s="155"/>
      <c r="R677" s="693">
        <f>+_xlfn.XLOOKUP(Tabla4[[#This Row],[ID CLIENTE]],'RESUMEN CLIENTES'!D:D,'RESUMEN CLIENTES'!G:G)</f>
        <v>45988</v>
      </c>
      <c r="S677" s="155" t="str">
        <f>+_xlfn.XLOOKUP(Tabla4[[#This Row],[ID CLIENTE]],'RESUMEN CLIENTES'!D:D,'RESUMEN CLIENTES'!AA:AA)</f>
        <v>A1.1</v>
      </c>
      <c r="T677" s="682" t="str">
        <f>+_xlfn.XLOOKUP(Tabla4[[#This Row],[ID CLIENTE]],'RESUMEN CLIENTES'!D:D,'RESUMEN CLIENTES'!C:C)</f>
        <v>Ecuador</v>
      </c>
    </row>
    <row r="678" spans="1:20" ht="16">
      <c r="A678" s="82">
        <v>45988</v>
      </c>
      <c r="B678" s="82" t="str">
        <f>+_xlfn.XLOOKUP(Tabla4[[#This Row],[ID CLIENTE]],'RESUMEN CLIENTES'!D:D,'RESUMEN CLIENTES'!A:A)</f>
        <v>Mauricio Ignacio Alcayaga Romo</v>
      </c>
      <c r="C678" s="83" t="s">
        <v>2251</v>
      </c>
      <c r="D678" s="83" t="s">
        <v>322</v>
      </c>
      <c r="E678" s="83" t="s">
        <v>1464</v>
      </c>
      <c r="F678" s="83" t="s">
        <v>1465</v>
      </c>
      <c r="G678" s="114">
        <v>1000</v>
      </c>
      <c r="H678" s="85">
        <v>-32.75</v>
      </c>
      <c r="I678" s="115">
        <f t="shared" si="22"/>
        <v>3.2750000000000001E-2</v>
      </c>
      <c r="J678" s="87">
        <f t="shared" si="23"/>
        <v>967.25</v>
      </c>
      <c r="K678" s="87"/>
      <c r="L678" s="87" t="s">
        <v>4672</v>
      </c>
      <c r="M678" s="87"/>
      <c r="N678" s="524"/>
      <c r="O678" s="524">
        <f>+Tabla4[[#This Row],[PAGO NO EURO]]+Tabla4[[#This Row],[CARGO NO EURO]]</f>
        <v>0</v>
      </c>
      <c r="P678" s="524"/>
      <c r="Q678" s="155"/>
      <c r="R678" s="693">
        <f>+_xlfn.XLOOKUP(Tabla4[[#This Row],[ID CLIENTE]],'RESUMEN CLIENTES'!D:D,'RESUMEN CLIENTES'!G:G)</f>
        <v>45819</v>
      </c>
      <c r="S678" s="155" t="str">
        <f>+_xlfn.XLOOKUP(Tabla4[[#This Row],[ID CLIENTE]],'RESUMEN CLIENTES'!D:D,'RESUMEN CLIENTES'!AA:AA)</f>
        <v>B2.1</v>
      </c>
      <c r="T678" s="682" t="str">
        <f>+_xlfn.XLOOKUP(Tabla4[[#This Row],[ID CLIENTE]],'RESUMEN CLIENTES'!D:D,'RESUMEN CLIENTES'!C:C)</f>
        <v>Chile</v>
      </c>
    </row>
    <row r="679" spans="1:20" ht="16">
      <c r="A679" s="82">
        <v>45988</v>
      </c>
      <c r="B679" s="82" t="str">
        <f>+_xlfn.XLOOKUP(Tabla4[[#This Row],[ID CLIENTE]],'RESUMEN CLIENTES'!D:D,'RESUMEN CLIENTES'!A:A)</f>
        <v>Miguel Angel Sisalima Shiña</v>
      </c>
      <c r="C679" s="83" t="s">
        <v>2242</v>
      </c>
      <c r="D679" s="83" t="s">
        <v>314</v>
      </c>
      <c r="E679" s="83" t="s">
        <v>1535</v>
      </c>
      <c r="F679" s="83" t="s">
        <v>1536</v>
      </c>
      <c r="G679" s="114">
        <v>1000</v>
      </c>
      <c r="H679" s="85">
        <v>-32.75</v>
      </c>
      <c r="I679" s="115">
        <f t="shared" si="22"/>
        <v>3.2750000000000001E-2</v>
      </c>
      <c r="J679" s="87">
        <f t="shared" si="23"/>
        <v>967.25</v>
      </c>
      <c r="K679" s="87"/>
      <c r="L679" s="87" t="s">
        <v>4672</v>
      </c>
      <c r="M679" s="87"/>
      <c r="N679" s="524"/>
      <c r="O679" s="524">
        <f>+Tabla4[[#This Row],[PAGO NO EURO]]+Tabla4[[#This Row],[CARGO NO EURO]]</f>
        <v>0</v>
      </c>
      <c r="P679" s="524"/>
      <c r="Q679" s="155"/>
      <c r="R679" s="693">
        <f>+_xlfn.XLOOKUP(Tabla4[[#This Row],[ID CLIENTE]],'RESUMEN CLIENTES'!D:D,'RESUMEN CLIENTES'!G:G)</f>
        <v>45816</v>
      </c>
      <c r="S679" s="155" t="str">
        <f>+_xlfn.XLOOKUP(Tabla4[[#This Row],[ID CLIENTE]],'RESUMEN CLIENTES'!D:D,'RESUMEN CLIENTES'!AA:AA)</f>
        <v>A1.1</v>
      </c>
      <c r="T679" s="682" t="str">
        <f>+_xlfn.XLOOKUP(Tabla4[[#This Row],[ID CLIENTE]],'RESUMEN CLIENTES'!D:D,'RESUMEN CLIENTES'!C:C)</f>
        <v>Ecuador</v>
      </c>
    </row>
    <row r="680" spans="1:20" ht="16">
      <c r="A680" s="82">
        <v>45988</v>
      </c>
      <c r="B680" s="82" t="str">
        <f>+_xlfn.XLOOKUP(Tabla4[[#This Row],[ID CLIENTE]],'RESUMEN CLIENTES'!D:D,'RESUMEN CLIENTES'!A:A)</f>
        <v>Vanessa Villarreal Villareal</v>
      </c>
      <c r="C680" s="83" t="s">
        <v>2404</v>
      </c>
      <c r="D680" s="83" t="s">
        <v>912</v>
      </c>
      <c r="E680" s="83" t="s">
        <v>1435</v>
      </c>
      <c r="F680" s="83" t="s">
        <v>1436</v>
      </c>
      <c r="G680" s="114">
        <f>+Tabla4[[#This Row],[PAGO NO EURO]]*Tabla4[[#This Row],[CAMBIO]]</f>
        <v>5964.30726786792</v>
      </c>
      <c r="H680" s="85">
        <v>0</v>
      </c>
      <c r="I680" s="115">
        <f t="shared" si="22"/>
        <v>0</v>
      </c>
      <c r="J680" s="87">
        <f t="shared" si="23"/>
        <v>5964.30726786792</v>
      </c>
      <c r="K680" s="87" t="s">
        <v>1502</v>
      </c>
      <c r="L680" s="87" t="s">
        <v>4672</v>
      </c>
      <c r="M680" s="87" t="s">
        <v>2548</v>
      </c>
      <c r="N680" s="523">
        <v>6918</v>
      </c>
      <c r="O680" s="524">
        <f>+Tabla4[[#This Row],[PAGO NO EURO]]+Tabla4[[#This Row],[CARGO NO EURO]]</f>
        <v>6918</v>
      </c>
      <c r="P680" s="523">
        <v>0</v>
      </c>
      <c r="Q680" s="155">
        <v>0.86214328821450126</v>
      </c>
      <c r="R680" s="693">
        <f>+_xlfn.XLOOKUP(Tabla4[[#This Row],[ID CLIENTE]],'RESUMEN CLIENTES'!D:D,'RESUMEN CLIENTES'!G:G)</f>
        <v>45906</v>
      </c>
      <c r="S680" s="155" t="str">
        <f>+_xlfn.XLOOKUP(Tabla4[[#This Row],[ID CLIENTE]],'RESUMEN CLIENTES'!D:D,'RESUMEN CLIENTES'!AA:AA)</f>
        <v>A1.1</v>
      </c>
      <c r="T680" s="682" t="str">
        <f>+_xlfn.XLOOKUP(Tabla4[[#This Row],[ID CLIENTE]],'RESUMEN CLIENTES'!D:D,'RESUMEN CLIENTES'!C:C)</f>
        <v>Ecuador</v>
      </c>
    </row>
    <row r="681" spans="1:20" ht="16">
      <c r="A681" s="82">
        <v>45989</v>
      </c>
      <c r="B681" s="82" t="str">
        <f>+_xlfn.XLOOKUP(Tabla4[[#This Row],[ID CLIENTE]],'RESUMEN CLIENTES'!D:D,'RESUMEN CLIENTES'!A:A)</f>
        <v>Carlos Mersaim Olivares Sandoval</v>
      </c>
      <c r="C681" s="83" t="s">
        <v>2300</v>
      </c>
      <c r="D681" s="83" t="s">
        <v>479</v>
      </c>
      <c r="E681" s="83" t="s">
        <v>1513</v>
      </c>
      <c r="F681" s="83" t="s">
        <v>1514</v>
      </c>
      <c r="G681" s="114">
        <v>950</v>
      </c>
      <c r="H681" s="85">
        <v>-31.13</v>
      </c>
      <c r="I681" s="115">
        <f t="shared" si="22"/>
        <v>3.2768421052631579E-2</v>
      </c>
      <c r="J681" s="87">
        <f t="shared" si="23"/>
        <v>918.87</v>
      </c>
      <c r="K681" s="87"/>
      <c r="L681" s="87" t="s">
        <v>4672</v>
      </c>
      <c r="M681" s="87"/>
      <c r="N681" s="524"/>
      <c r="O681" s="524">
        <f>+Tabla4[[#This Row],[PAGO NO EURO]]+Tabla4[[#This Row],[CARGO NO EURO]]</f>
        <v>0</v>
      </c>
      <c r="P681" s="524"/>
      <c r="Q681" s="155"/>
      <c r="R681" s="693">
        <f>+_xlfn.XLOOKUP(Tabla4[[#This Row],[ID CLIENTE]],'RESUMEN CLIENTES'!D:D,'RESUMEN CLIENTES'!G:G)</f>
        <v>45852</v>
      </c>
      <c r="S681" s="155" t="str">
        <f>+_xlfn.XLOOKUP(Tabla4[[#This Row],[ID CLIENTE]],'RESUMEN CLIENTES'!D:D,'RESUMEN CLIENTES'!AA:AA)</f>
        <v>A1.1</v>
      </c>
      <c r="T681" s="682" t="str">
        <f>+_xlfn.XLOOKUP(Tabla4[[#This Row],[ID CLIENTE]],'RESUMEN CLIENTES'!D:D,'RESUMEN CLIENTES'!C:C)</f>
        <v>México</v>
      </c>
    </row>
    <row r="682" spans="1:20" ht="16">
      <c r="A682" s="82">
        <v>45989</v>
      </c>
      <c r="B682" s="82" t="str">
        <f>+_xlfn.XLOOKUP(Tabla4[[#This Row],[ID CLIENTE]],'RESUMEN CLIENTES'!D:D,'RESUMEN CLIENTES'!A:A)</f>
        <v>Angie Pérez Cáceres</v>
      </c>
      <c r="C682" s="83" t="s">
        <v>2321</v>
      </c>
      <c r="D682" s="83" t="s">
        <v>527</v>
      </c>
      <c r="E682" s="83" t="s">
        <v>1509</v>
      </c>
      <c r="F682" s="83" t="s">
        <v>1510</v>
      </c>
      <c r="G682" s="114">
        <v>1000</v>
      </c>
      <c r="H682" s="85">
        <v>-32.75</v>
      </c>
      <c r="I682" s="115">
        <f t="shared" si="22"/>
        <v>3.2750000000000001E-2</v>
      </c>
      <c r="J682" s="87">
        <f t="shared" si="23"/>
        <v>967.25</v>
      </c>
      <c r="K682" s="87"/>
      <c r="L682" s="87" t="s">
        <v>4672</v>
      </c>
      <c r="M682" s="87"/>
      <c r="N682" s="524"/>
      <c r="O682" s="524">
        <f>+Tabla4[[#This Row],[PAGO NO EURO]]+Tabla4[[#This Row],[CARGO NO EURO]]</f>
        <v>0</v>
      </c>
      <c r="P682" s="524"/>
      <c r="Q682" s="155"/>
      <c r="R682" s="693">
        <f>+_xlfn.XLOOKUP(Tabla4[[#This Row],[ID CLIENTE]],'RESUMEN CLIENTES'!D:D,'RESUMEN CLIENTES'!G:G)</f>
        <v>45867</v>
      </c>
      <c r="S682" s="155" t="str">
        <f>+_xlfn.XLOOKUP(Tabla4[[#This Row],[ID CLIENTE]],'RESUMEN CLIENTES'!D:D,'RESUMEN CLIENTES'!AA:AA)</f>
        <v>A1.1</v>
      </c>
      <c r="T682" s="682" t="str">
        <f>+_xlfn.XLOOKUP(Tabla4[[#This Row],[ID CLIENTE]],'RESUMEN CLIENTES'!D:D,'RESUMEN CLIENTES'!C:C)</f>
        <v>Perú</v>
      </c>
    </row>
    <row r="683" spans="1:20" ht="16">
      <c r="A683" s="82">
        <v>45989</v>
      </c>
      <c r="B683" s="82" t="str">
        <f>+_xlfn.XLOOKUP(Tabla4[[#This Row],[ID CLIENTE]],'RESUMEN CLIENTES'!D:D,'RESUMEN CLIENTES'!A:A)</f>
        <v>Manuel Toca Ochoa</v>
      </c>
      <c r="C683" s="83" t="s">
        <v>2475</v>
      </c>
      <c r="D683" s="83" t="s">
        <v>1493</v>
      </c>
      <c r="E683" s="83" t="s">
        <v>1494</v>
      </c>
      <c r="F683" s="83" t="s">
        <v>1495</v>
      </c>
      <c r="G683" s="114">
        <v>250</v>
      </c>
      <c r="H683" s="85">
        <v>-8.3800000000000008</v>
      </c>
      <c r="I683" s="115">
        <f t="shared" si="22"/>
        <v>3.3520000000000001E-2</v>
      </c>
      <c r="J683" s="87">
        <f t="shared" si="23"/>
        <v>241.62</v>
      </c>
      <c r="K683" s="87"/>
      <c r="L683" s="87" t="s">
        <v>4672</v>
      </c>
      <c r="M683" s="87"/>
      <c r="N683" s="524"/>
      <c r="O683" s="524">
        <f>+Tabla4[[#This Row],[PAGO NO EURO]]+Tabla4[[#This Row],[CARGO NO EURO]]</f>
        <v>0</v>
      </c>
      <c r="P683" s="524"/>
      <c r="Q683" s="155"/>
      <c r="R683" s="693">
        <f>+_xlfn.XLOOKUP(Tabla4[[#This Row],[ID CLIENTE]],'RESUMEN CLIENTES'!D:D,'RESUMEN CLIENTES'!G:G)</f>
        <v>45989</v>
      </c>
      <c r="S683" s="155" t="str">
        <f>+_xlfn.XLOOKUP(Tabla4[[#This Row],[ID CLIENTE]],'RESUMEN CLIENTES'!D:D,'RESUMEN CLIENTES'!AA:AA)</f>
        <v>null</v>
      </c>
      <c r="T683" s="682" t="str">
        <f>+_xlfn.XLOOKUP(Tabla4[[#This Row],[ID CLIENTE]],'RESUMEN CLIENTES'!D:D,'RESUMEN CLIENTES'!C:C)</f>
        <v>México</v>
      </c>
    </row>
    <row r="684" spans="1:20" ht="16">
      <c r="A684" s="82">
        <v>45989</v>
      </c>
      <c r="B684" s="82" t="str">
        <f>+_xlfn.XLOOKUP(Tabla4[[#This Row],[ID CLIENTE]],'RESUMEN CLIENTES'!D:D,'RESUMEN CLIENTES'!A:A)</f>
        <v>Fernando José Fuentes Bárcenas</v>
      </c>
      <c r="C684" s="83" t="s">
        <v>2414</v>
      </c>
      <c r="D684" s="83" t="s">
        <v>952</v>
      </c>
      <c r="E684" s="83" t="s">
        <v>1503</v>
      </c>
      <c r="F684" s="83" t="s">
        <v>1504</v>
      </c>
      <c r="G684" s="114">
        <v>1000</v>
      </c>
      <c r="H684" s="85">
        <v>-32.75</v>
      </c>
      <c r="I684" s="115">
        <f t="shared" si="22"/>
        <v>3.2750000000000001E-2</v>
      </c>
      <c r="J684" s="87">
        <f t="shared" si="23"/>
        <v>967.25</v>
      </c>
      <c r="K684" s="87"/>
      <c r="L684" s="87" t="s">
        <v>4672</v>
      </c>
      <c r="M684" s="87"/>
      <c r="N684" s="524"/>
      <c r="O684" s="524">
        <f>+Tabla4[[#This Row],[PAGO NO EURO]]+Tabla4[[#This Row],[CARGO NO EURO]]</f>
        <v>0</v>
      </c>
      <c r="P684" s="524"/>
      <c r="Q684" s="155"/>
      <c r="R684" s="693">
        <f>+_xlfn.XLOOKUP(Tabla4[[#This Row],[ID CLIENTE]],'RESUMEN CLIENTES'!D:D,'RESUMEN CLIENTES'!G:G)</f>
        <v>45913</v>
      </c>
      <c r="S684" s="155" t="str">
        <f>+_xlfn.XLOOKUP(Tabla4[[#This Row],[ID CLIENTE]],'RESUMEN CLIENTES'!D:D,'RESUMEN CLIENTES'!AA:AA)</f>
        <v>null</v>
      </c>
      <c r="T684" s="682" t="str">
        <f>+_xlfn.XLOOKUP(Tabla4[[#This Row],[ID CLIENTE]],'RESUMEN CLIENTES'!D:D,'RESUMEN CLIENTES'!C:C)</f>
        <v>El Salvador</v>
      </c>
    </row>
    <row r="685" spans="1:20" ht="16">
      <c r="A685" s="82">
        <v>45989</v>
      </c>
      <c r="B685" s="82" t="str">
        <f>+_xlfn.XLOOKUP(Tabla4[[#This Row],[ID CLIENTE]],'RESUMEN CLIENTES'!D:D,'RESUMEN CLIENTES'!A:A)</f>
        <v>Juan Camilo Sanchez Ramirez</v>
      </c>
      <c r="C685" s="83" t="s">
        <v>2227</v>
      </c>
      <c r="D685" s="83" t="s">
        <v>266</v>
      </c>
      <c r="E685" s="83" t="s">
        <v>1523</v>
      </c>
      <c r="F685" s="83" t="s">
        <v>1524</v>
      </c>
      <c r="G685" s="114">
        <v>1000</v>
      </c>
      <c r="H685" s="85">
        <v>-32.75</v>
      </c>
      <c r="I685" s="115">
        <f t="shared" si="22"/>
        <v>3.2750000000000001E-2</v>
      </c>
      <c r="J685" s="87">
        <f t="shared" si="23"/>
        <v>967.25</v>
      </c>
      <c r="K685" s="87"/>
      <c r="L685" s="87" t="s">
        <v>4672</v>
      </c>
      <c r="M685" s="87"/>
      <c r="N685" s="524"/>
      <c r="O685" s="524">
        <f>+Tabla4[[#This Row],[PAGO NO EURO]]+Tabla4[[#This Row],[CARGO NO EURO]]</f>
        <v>0</v>
      </c>
      <c r="P685" s="524"/>
      <c r="Q685" s="155"/>
      <c r="R685" s="693">
        <f>+_xlfn.XLOOKUP(Tabla4[[#This Row],[ID CLIENTE]],'RESUMEN CLIENTES'!D:D,'RESUMEN CLIENTES'!G:G)</f>
        <v>45807</v>
      </c>
      <c r="S685" s="155" t="str">
        <f>+_xlfn.XLOOKUP(Tabla4[[#This Row],[ID CLIENTE]],'RESUMEN CLIENTES'!D:D,'RESUMEN CLIENTES'!AA:AA)</f>
        <v>A1.1</v>
      </c>
      <c r="T685" s="682" t="str">
        <f>+_xlfn.XLOOKUP(Tabla4[[#This Row],[ID CLIENTE]],'RESUMEN CLIENTES'!D:D,'RESUMEN CLIENTES'!C:C)</f>
        <v>Colombia</v>
      </c>
    </row>
    <row r="686" spans="1:20" ht="16">
      <c r="A686" s="82">
        <v>45989</v>
      </c>
      <c r="B686" s="82" t="str">
        <f>+_xlfn.XLOOKUP(Tabla4[[#This Row],[ID CLIENTE]],'RESUMEN CLIENTES'!D:D,'RESUMEN CLIENTES'!A:A)</f>
        <v>María Fernanda Lincango Andi</v>
      </c>
      <c r="C686" s="83" t="s">
        <v>2275</v>
      </c>
      <c r="D686" s="83" t="s">
        <v>390</v>
      </c>
      <c r="E686" s="83" t="s">
        <v>1529</v>
      </c>
      <c r="F686" s="83" t="s">
        <v>1530</v>
      </c>
      <c r="G686" s="114">
        <v>750</v>
      </c>
      <c r="H686" s="85">
        <v>-24.63</v>
      </c>
      <c r="I686" s="115">
        <f t="shared" si="22"/>
        <v>3.2840000000000001E-2</v>
      </c>
      <c r="J686" s="87">
        <f t="shared" si="23"/>
        <v>725.37</v>
      </c>
      <c r="K686" s="87"/>
      <c r="L686" s="87" t="s">
        <v>4672</v>
      </c>
      <c r="M686" s="87"/>
      <c r="N686" s="524"/>
      <c r="O686" s="524">
        <f>+Tabla4[[#This Row],[PAGO NO EURO]]+Tabla4[[#This Row],[CARGO NO EURO]]</f>
        <v>0</v>
      </c>
      <c r="P686" s="524"/>
      <c r="Q686" s="155"/>
      <c r="R686" s="693">
        <f>+_xlfn.XLOOKUP(Tabla4[[#This Row],[ID CLIENTE]],'RESUMEN CLIENTES'!D:D,'RESUMEN CLIENTES'!G:G)</f>
        <v>45839</v>
      </c>
      <c r="S686" s="155" t="str">
        <f>+_xlfn.XLOOKUP(Tabla4[[#This Row],[ID CLIENTE]],'RESUMEN CLIENTES'!D:D,'RESUMEN CLIENTES'!AA:AA)</f>
        <v>null</v>
      </c>
      <c r="T686" s="682" t="str">
        <f>+_xlfn.XLOOKUP(Tabla4[[#This Row],[ID CLIENTE]],'RESUMEN CLIENTES'!D:D,'RESUMEN CLIENTES'!C:C)</f>
        <v>Ecuador</v>
      </c>
    </row>
    <row r="687" spans="1:20" ht="16">
      <c r="A687" s="82">
        <v>45989</v>
      </c>
      <c r="B687" s="82" t="str">
        <f>+_xlfn.XLOOKUP(Tabla4[[#This Row],[ID CLIENTE]],'RESUMEN CLIENTES'!D:D,'RESUMEN CLIENTES'!A:A)</f>
        <v>Rocio Natalia López Núñez</v>
      </c>
      <c r="C687" s="83" t="s">
        <v>2459</v>
      </c>
      <c r="D687" s="83" t="s">
        <v>1419</v>
      </c>
      <c r="E687" s="83" t="s">
        <v>1498</v>
      </c>
      <c r="F687" s="83" t="s">
        <v>1499</v>
      </c>
      <c r="G687" s="114">
        <v>10800</v>
      </c>
      <c r="H687" s="85">
        <v>-351.25</v>
      </c>
      <c r="I687" s="115">
        <f t="shared" si="22"/>
        <v>3.2523148148148148E-2</v>
      </c>
      <c r="J687" s="87">
        <f t="shared" si="23"/>
        <v>10448.75</v>
      </c>
      <c r="K687" s="87"/>
      <c r="L687" s="87" t="s">
        <v>4672</v>
      </c>
      <c r="M687" s="87"/>
      <c r="N687" s="524"/>
      <c r="O687" s="524">
        <f>+Tabla4[[#This Row],[PAGO NO EURO]]+Tabla4[[#This Row],[CARGO NO EURO]]</f>
        <v>0</v>
      </c>
      <c r="P687" s="524"/>
      <c r="Q687" s="155"/>
      <c r="R687" s="693">
        <f>+_xlfn.XLOOKUP(Tabla4[[#This Row],[ID CLIENTE]],'RESUMEN CLIENTES'!D:D,'RESUMEN CLIENTES'!G:G)</f>
        <v>45978</v>
      </c>
      <c r="S687" s="155" t="str">
        <f>+_xlfn.XLOOKUP(Tabla4[[#This Row],[ID CLIENTE]],'RESUMEN CLIENTES'!D:D,'RESUMEN CLIENTES'!AA:AA)</f>
        <v>A1.1</v>
      </c>
      <c r="T687" s="682" t="str">
        <f>+_xlfn.XLOOKUP(Tabla4[[#This Row],[ID CLIENTE]],'RESUMEN CLIENTES'!D:D,'RESUMEN CLIENTES'!C:C)</f>
        <v>Chile</v>
      </c>
    </row>
    <row r="688" spans="1:20" ht="16">
      <c r="A688" s="82">
        <v>45989</v>
      </c>
      <c r="B688" s="82" t="str">
        <f>+_xlfn.XLOOKUP(Tabla4[[#This Row],[ID CLIENTE]],'RESUMEN CLIENTES'!D:D,'RESUMEN CLIENTES'!A:A)</f>
        <v>Valeria Carolina Heredia Peña</v>
      </c>
      <c r="C688" s="83" t="s">
        <v>2290</v>
      </c>
      <c r="D688" s="83" t="s">
        <v>460</v>
      </c>
      <c r="E688" s="83" t="s">
        <v>1500</v>
      </c>
      <c r="F688" s="83" t="s">
        <v>1501</v>
      </c>
      <c r="G688" s="114">
        <v>4000</v>
      </c>
      <c r="H688" s="85">
        <v>0</v>
      </c>
      <c r="I688" s="115">
        <f t="shared" si="22"/>
        <v>0</v>
      </c>
      <c r="J688" s="87">
        <f t="shared" si="23"/>
        <v>4000</v>
      </c>
      <c r="K688" s="87" t="s">
        <v>4681</v>
      </c>
      <c r="L688" s="87" t="s">
        <v>4675</v>
      </c>
      <c r="M688" s="87"/>
      <c r="N688" s="524"/>
      <c r="O688" s="524">
        <f>+Tabla4[[#This Row],[PAGO NO EURO]]+Tabla4[[#This Row],[CARGO NO EURO]]</f>
        <v>0</v>
      </c>
      <c r="P688" s="524"/>
      <c r="Q688" s="155"/>
      <c r="R688" s="693">
        <f>+_xlfn.XLOOKUP(Tabla4[[#This Row],[ID CLIENTE]],'RESUMEN CLIENTES'!D:D,'RESUMEN CLIENTES'!G:G)</f>
        <v>45847</v>
      </c>
      <c r="S688" s="155" t="str">
        <f>+_xlfn.XLOOKUP(Tabla4[[#This Row],[ID CLIENTE]],'RESUMEN CLIENTES'!D:D,'RESUMEN CLIENTES'!AA:AA)</f>
        <v>A1.1</v>
      </c>
      <c r="T688" s="682" t="str">
        <f>+_xlfn.XLOOKUP(Tabla4[[#This Row],[ID CLIENTE]],'RESUMEN CLIENTES'!D:D,'RESUMEN CLIENTES'!C:C)</f>
        <v>Bolivia</v>
      </c>
    </row>
    <row r="689" spans="1:20" ht="16">
      <c r="A689" s="82">
        <v>45990</v>
      </c>
      <c r="B689" s="82" t="str">
        <f>+_xlfn.XLOOKUP(Tabla4[[#This Row],[ID CLIENTE]],'RESUMEN CLIENTES'!D:D,'RESUMEN CLIENTES'!A:A)</f>
        <v>Alejandra Goretti Figueroa Romo</v>
      </c>
      <c r="C689" s="83" t="s">
        <v>2323</v>
      </c>
      <c r="D689" s="83" t="s">
        <v>541</v>
      </c>
      <c r="E689" s="83" t="s">
        <v>1505</v>
      </c>
      <c r="F689" s="83" t="s">
        <v>1506</v>
      </c>
      <c r="G689" s="114">
        <v>1000</v>
      </c>
      <c r="H689" s="85">
        <v>-32.75</v>
      </c>
      <c r="I689" s="115">
        <f t="shared" si="22"/>
        <v>3.2750000000000001E-2</v>
      </c>
      <c r="J689" s="87">
        <f t="shared" si="23"/>
        <v>967.25</v>
      </c>
      <c r="K689" s="87"/>
      <c r="L689" s="87" t="s">
        <v>4672</v>
      </c>
      <c r="M689" s="87"/>
      <c r="N689" s="524"/>
      <c r="O689" s="524">
        <f>+Tabla4[[#This Row],[PAGO NO EURO]]+Tabla4[[#This Row],[CARGO NO EURO]]</f>
        <v>0</v>
      </c>
      <c r="P689" s="524"/>
      <c r="Q689" s="155"/>
      <c r="R689" s="693">
        <f>+_xlfn.XLOOKUP(Tabla4[[#This Row],[ID CLIENTE]],'RESUMEN CLIENTES'!D:D,'RESUMEN CLIENTES'!G:G)</f>
        <v>45867</v>
      </c>
      <c r="S689" s="155" t="str">
        <f>+_xlfn.XLOOKUP(Tabla4[[#This Row],[ID CLIENTE]],'RESUMEN CLIENTES'!D:D,'RESUMEN CLIENTES'!AA:AA)</f>
        <v>A2.2</v>
      </c>
      <c r="T689" s="682" t="str">
        <f>+_xlfn.XLOOKUP(Tabla4[[#This Row],[ID CLIENTE]],'RESUMEN CLIENTES'!D:D,'RESUMEN CLIENTES'!C:C)</f>
        <v>México</v>
      </c>
    </row>
    <row r="690" spans="1:20" ht="16">
      <c r="A690" s="82">
        <v>45990</v>
      </c>
      <c r="B690" s="82" t="str">
        <f>+_xlfn.XLOOKUP(Tabla4[[#This Row],[ID CLIENTE]],'RESUMEN CLIENTES'!D:D,'RESUMEN CLIENTES'!A:A)</f>
        <v>Carlos Josue Escobar Morán</v>
      </c>
      <c r="C690" s="83" t="s">
        <v>2208</v>
      </c>
      <c r="D690" s="83" t="s">
        <v>226</v>
      </c>
      <c r="E690" s="83" t="s">
        <v>1511</v>
      </c>
      <c r="F690" s="83" t="s">
        <v>1512</v>
      </c>
      <c r="G690" s="114">
        <v>500</v>
      </c>
      <c r="H690" s="85">
        <v>-16.5</v>
      </c>
      <c r="I690" s="115">
        <f t="shared" si="22"/>
        <v>3.3000000000000002E-2</v>
      </c>
      <c r="J690" s="87">
        <f t="shared" si="23"/>
        <v>483.5</v>
      </c>
      <c r="K690" s="87"/>
      <c r="L690" s="87" t="s">
        <v>4672</v>
      </c>
      <c r="M690" s="87"/>
      <c r="N690" s="524"/>
      <c r="O690" s="524">
        <f>+Tabla4[[#This Row],[PAGO NO EURO]]+Tabla4[[#This Row],[CARGO NO EURO]]</f>
        <v>0</v>
      </c>
      <c r="P690" s="524"/>
      <c r="Q690" s="155"/>
      <c r="R690" s="693">
        <f>+_xlfn.XLOOKUP(Tabla4[[#This Row],[ID CLIENTE]],'RESUMEN CLIENTES'!D:D,'RESUMEN CLIENTES'!G:G)</f>
        <v>45790</v>
      </c>
      <c r="S690" s="155" t="str">
        <f>+_xlfn.XLOOKUP(Tabla4[[#This Row],[ID CLIENTE]],'RESUMEN CLIENTES'!D:D,'RESUMEN CLIENTES'!AA:AA)</f>
        <v>B1.1</v>
      </c>
      <c r="T690" s="682" t="str">
        <f>+_xlfn.XLOOKUP(Tabla4[[#This Row],[ID CLIENTE]],'RESUMEN CLIENTES'!D:D,'RESUMEN CLIENTES'!C:C)</f>
        <v>El Salvador</v>
      </c>
    </row>
    <row r="691" spans="1:20" ht="16">
      <c r="A691" s="82">
        <v>45990</v>
      </c>
      <c r="B691" s="82" t="str">
        <f>+_xlfn.XLOOKUP(Tabla4[[#This Row],[ID CLIENTE]],'RESUMEN CLIENTES'!D:D,'RESUMEN CLIENTES'!A:A)</f>
        <v>Katerine Marianela Verastegui Mendoza</v>
      </c>
      <c r="C691" s="83" t="s">
        <v>2469</v>
      </c>
      <c r="D691" s="83" t="s">
        <v>1461</v>
      </c>
      <c r="E691" s="83" t="s">
        <v>1496</v>
      </c>
      <c r="F691" s="83" t="s">
        <v>1497</v>
      </c>
      <c r="G691" s="114">
        <v>1750</v>
      </c>
      <c r="H691" s="85">
        <v>-57.13</v>
      </c>
      <c r="I691" s="115">
        <f t="shared" si="22"/>
        <v>3.2645714285714285E-2</v>
      </c>
      <c r="J691" s="87">
        <f t="shared" si="23"/>
        <v>1692.87</v>
      </c>
      <c r="K691" s="87"/>
      <c r="L691" s="87" t="s">
        <v>4672</v>
      </c>
      <c r="M691" s="87"/>
      <c r="N691" s="524"/>
      <c r="O691" s="524">
        <f>+Tabla4[[#This Row],[PAGO NO EURO]]+Tabla4[[#This Row],[CARGO NO EURO]]</f>
        <v>0</v>
      </c>
      <c r="P691" s="524"/>
      <c r="Q691" s="155"/>
      <c r="R691" s="693">
        <f>+_xlfn.XLOOKUP(Tabla4[[#This Row],[ID CLIENTE]],'RESUMEN CLIENTES'!D:D,'RESUMEN CLIENTES'!G:G)</f>
        <v>45988</v>
      </c>
      <c r="S691" s="155" t="str">
        <f>+_xlfn.XLOOKUP(Tabla4[[#This Row],[ID CLIENTE]],'RESUMEN CLIENTES'!D:D,'RESUMEN CLIENTES'!AA:AA)</f>
        <v>A1.1</v>
      </c>
      <c r="T691" s="682" t="str">
        <f>+_xlfn.XLOOKUP(Tabla4[[#This Row],[ID CLIENTE]],'RESUMEN CLIENTES'!D:D,'RESUMEN CLIENTES'!C:C)</f>
        <v>Perú</v>
      </c>
    </row>
    <row r="692" spans="1:20" ht="16">
      <c r="A692" s="82">
        <v>45990</v>
      </c>
      <c r="B692" s="82" t="str">
        <f>+_xlfn.XLOOKUP(Tabla4[[#This Row],[ID CLIENTE]],'RESUMEN CLIENTES'!D:D,'RESUMEN CLIENTES'!A:A)</f>
        <v>Hector Armando Daza Mejia</v>
      </c>
      <c r="C692" s="83" t="s">
        <v>2133</v>
      </c>
      <c r="D692" s="83" t="s">
        <v>106</v>
      </c>
      <c r="E692" s="83" t="s">
        <v>1521</v>
      </c>
      <c r="F692" s="83" t="s">
        <v>1522</v>
      </c>
      <c r="G692" s="114">
        <v>1500</v>
      </c>
      <c r="H692" s="85">
        <v>-49</v>
      </c>
      <c r="I692" s="115">
        <f t="shared" si="22"/>
        <v>3.2666666666666663E-2</v>
      </c>
      <c r="J692" s="87">
        <f t="shared" si="23"/>
        <v>1451</v>
      </c>
      <c r="K692" s="87"/>
      <c r="L692" s="87" t="s">
        <v>4672</v>
      </c>
      <c r="M692" s="87"/>
      <c r="N692" s="524"/>
      <c r="O692" s="524">
        <f>+Tabla4[[#This Row],[PAGO NO EURO]]+Tabla4[[#This Row],[CARGO NO EURO]]</f>
        <v>0</v>
      </c>
      <c r="P692" s="524"/>
      <c r="Q692" s="155"/>
      <c r="R692" s="693">
        <f>+_xlfn.XLOOKUP(Tabla4[[#This Row],[ID CLIENTE]],'RESUMEN CLIENTES'!D:D,'RESUMEN CLIENTES'!G:G)</f>
        <v>45726</v>
      </c>
      <c r="S692" s="155" t="str">
        <f>+_xlfn.XLOOKUP(Tabla4[[#This Row],[ID CLIENTE]],'RESUMEN CLIENTES'!D:D,'RESUMEN CLIENTES'!AA:AA)</f>
        <v>B1.2</v>
      </c>
      <c r="T692" s="682" t="str">
        <f>+_xlfn.XLOOKUP(Tabla4[[#This Row],[ID CLIENTE]],'RESUMEN CLIENTES'!D:D,'RESUMEN CLIENTES'!C:C)</f>
        <v>Colombia</v>
      </c>
    </row>
    <row r="693" spans="1:20" ht="16">
      <c r="A693" s="82">
        <v>45990</v>
      </c>
      <c r="B693" s="82" t="str">
        <f>+_xlfn.XLOOKUP(Tabla4[[#This Row],[ID CLIENTE]],'RESUMEN CLIENTES'!D:D,'RESUMEN CLIENTES'!A:A)</f>
        <v>Laxmi Davi Patel Flores</v>
      </c>
      <c r="C693" s="83" t="s">
        <v>2471</v>
      </c>
      <c r="D693" s="83" t="s">
        <v>1482</v>
      </c>
      <c r="E693" s="83" t="s">
        <v>1485</v>
      </c>
      <c r="F693" s="83" t="s">
        <v>1486</v>
      </c>
      <c r="G693" s="114">
        <v>750</v>
      </c>
      <c r="H693" s="85">
        <v>-24.63</v>
      </c>
      <c r="I693" s="115">
        <f t="shared" si="22"/>
        <v>3.2840000000000001E-2</v>
      </c>
      <c r="J693" s="87">
        <f t="shared" si="23"/>
        <v>725.37</v>
      </c>
      <c r="K693" s="87"/>
      <c r="L693" s="87" t="s">
        <v>4672</v>
      </c>
      <c r="M693" s="87"/>
      <c r="N693" s="524"/>
      <c r="O693" s="524">
        <f>+Tabla4[[#This Row],[PAGO NO EURO]]+Tabla4[[#This Row],[CARGO NO EURO]]</f>
        <v>0</v>
      </c>
      <c r="P693" s="524"/>
      <c r="Q693" s="155"/>
      <c r="R693" s="693">
        <f>+_xlfn.XLOOKUP(Tabla4[[#This Row],[ID CLIENTE]],'RESUMEN CLIENTES'!D:D,'RESUMEN CLIENTES'!G:G)</f>
        <v>45988</v>
      </c>
      <c r="S693" s="155" t="str">
        <f>+_xlfn.XLOOKUP(Tabla4[[#This Row],[ID CLIENTE]],'RESUMEN CLIENTES'!D:D,'RESUMEN CLIENTES'!AA:AA)</f>
        <v>A1.1</v>
      </c>
      <c r="T693" s="682" t="str">
        <f>+_xlfn.XLOOKUP(Tabla4[[#This Row],[ID CLIENTE]],'RESUMEN CLIENTES'!D:D,'RESUMEN CLIENTES'!C:C)</f>
        <v>Ecuador</v>
      </c>
    </row>
    <row r="694" spans="1:20" ht="16">
      <c r="A694" s="82">
        <v>45990</v>
      </c>
      <c r="B694" s="82" t="str">
        <f>+_xlfn.XLOOKUP(Tabla4[[#This Row],[ID CLIENTE]],'RESUMEN CLIENTES'!D:D,'RESUMEN CLIENTES'!A:A)</f>
        <v>Laxmi Davi Patel Flores</v>
      </c>
      <c r="C694" s="83" t="s">
        <v>2471</v>
      </c>
      <c r="D694" s="83" t="s">
        <v>1482</v>
      </c>
      <c r="E694" s="83" t="s">
        <v>1487</v>
      </c>
      <c r="F694" s="83" t="s">
        <v>1488</v>
      </c>
      <c r="G694" s="114">
        <v>750</v>
      </c>
      <c r="H694" s="85">
        <v>-24.63</v>
      </c>
      <c r="I694" s="115">
        <f t="shared" si="22"/>
        <v>3.2840000000000001E-2</v>
      </c>
      <c r="J694" s="87">
        <f t="shared" si="23"/>
        <v>725.37</v>
      </c>
      <c r="K694" s="87"/>
      <c r="L694" s="87" t="s">
        <v>4672</v>
      </c>
      <c r="M694" s="87"/>
      <c r="N694" s="524"/>
      <c r="O694" s="524">
        <f>+Tabla4[[#This Row],[PAGO NO EURO]]+Tabla4[[#This Row],[CARGO NO EURO]]</f>
        <v>0</v>
      </c>
      <c r="P694" s="524"/>
      <c r="Q694" s="155"/>
      <c r="R694" s="693">
        <f>+_xlfn.XLOOKUP(Tabla4[[#This Row],[ID CLIENTE]],'RESUMEN CLIENTES'!D:D,'RESUMEN CLIENTES'!G:G)</f>
        <v>45988</v>
      </c>
      <c r="S694" s="155" t="str">
        <f>+_xlfn.XLOOKUP(Tabla4[[#This Row],[ID CLIENTE]],'RESUMEN CLIENTES'!D:D,'RESUMEN CLIENTES'!AA:AA)</f>
        <v>A1.1</v>
      </c>
      <c r="T694" s="682" t="str">
        <f>+_xlfn.XLOOKUP(Tabla4[[#This Row],[ID CLIENTE]],'RESUMEN CLIENTES'!D:D,'RESUMEN CLIENTES'!C:C)</f>
        <v>Ecuador</v>
      </c>
    </row>
    <row r="695" spans="1:20" ht="16">
      <c r="A695" s="82">
        <v>45990</v>
      </c>
      <c r="B695" s="82" t="str">
        <f>+_xlfn.XLOOKUP(Tabla4[[#This Row],[ID CLIENTE]],'RESUMEN CLIENTES'!D:D,'RESUMEN CLIENTES'!A:A)</f>
        <v>María Lucero de Jesús Barrios Sazo</v>
      </c>
      <c r="C695" s="83" t="s">
        <v>2332</v>
      </c>
      <c r="D695" s="83" t="s">
        <v>590</v>
      </c>
      <c r="E695" s="83" t="s">
        <v>1531</v>
      </c>
      <c r="F695" s="83" t="s">
        <v>1532</v>
      </c>
      <c r="G695" s="114">
        <v>700</v>
      </c>
      <c r="H695" s="85">
        <v>-23</v>
      </c>
      <c r="I695" s="115">
        <f t="shared" si="22"/>
        <v>3.2857142857142856E-2</v>
      </c>
      <c r="J695" s="87">
        <f t="shared" si="23"/>
        <v>677</v>
      </c>
      <c r="K695" s="87"/>
      <c r="L695" s="87" t="s">
        <v>4672</v>
      </c>
      <c r="M695" s="87"/>
      <c r="N695" s="524"/>
      <c r="O695" s="524">
        <f>+Tabla4[[#This Row],[PAGO NO EURO]]+Tabla4[[#This Row],[CARGO NO EURO]]</f>
        <v>0</v>
      </c>
      <c r="P695" s="524"/>
      <c r="Q695" s="155"/>
      <c r="R695" s="693">
        <f>+_xlfn.XLOOKUP(Tabla4[[#This Row],[ID CLIENTE]],'RESUMEN CLIENTES'!D:D,'RESUMEN CLIENTES'!G:G)</f>
        <v>45869</v>
      </c>
      <c r="S695" s="155" t="str">
        <f>+_xlfn.XLOOKUP(Tabla4[[#This Row],[ID CLIENTE]],'RESUMEN CLIENTES'!D:D,'RESUMEN CLIENTES'!AA:AA)</f>
        <v>-</v>
      </c>
      <c r="T695" s="682" t="str">
        <f>+_xlfn.XLOOKUP(Tabla4[[#This Row],[ID CLIENTE]],'RESUMEN CLIENTES'!D:D,'RESUMEN CLIENTES'!C:C)</f>
        <v>Guatemala</v>
      </c>
    </row>
    <row r="696" spans="1:20" ht="16">
      <c r="A696" s="82">
        <v>45990</v>
      </c>
      <c r="B696" s="82" t="str">
        <f>+_xlfn.XLOOKUP(Tabla4[[#This Row],[ID CLIENTE]],'RESUMEN CLIENTES'!D:D,'RESUMEN CLIENTES'!A:A)</f>
        <v>Luis Manuel Villanueva Contreras</v>
      </c>
      <c r="C696" s="83" t="s">
        <v>2286</v>
      </c>
      <c r="D696" s="83" t="s">
        <v>441</v>
      </c>
      <c r="E696" s="83" t="s">
        <v>1527</v>
      </c>
      <c r="F696" s="83" t="s">
        <v>1528</v>
      </c>
      <c r="G696" s="114">
        <v>1000</v>
      </c>
      <c r="H696" s="85">
        <v>-32.75</v>
      </c>
      <c r="I696" s="115">
        <f t="shared" si="22"/>
        <v>3.2750000000000001E-2</v>
      </c>
      <c r="J696" s="87">
        <f t="shared" si="23"/>
        <v>967.25</v>
      </c>
      <c r="K696" s="87"/>
      <c r="L696" s="87" t="s">
        <v>4672</v>
      </c>
      <c r="M696" s="87"/>
      <c r="N696" s="524"/>
      <c r="O696" s="524">
        <f>+Tabla4[[#This Row],[PAGO NO EURO]]+Tabla4[[#This Row],[CARGO NO EURO]]</f>
        <v>0</v>
      </c>
      <c r="P696" s="524"/>
      <c r="Q696" s="155"/>
      <c r="R696" s="693">
        <f>+_xlfn.XLOOKUP(Tabla4[[#This Row],[ID CLIENTE]],'RESUMEN CLIENTES'!D:D,'RESUMEN CLIENTES'!G:G)</f>
        <v>45845</v>
      </c>
      <c r="S696" s="155" t="str">
        <f>+_xlfn.XLOOKUP(Tabla4[[#This Row],[ID CLIENTE]],'RESUMEN CLIENTES'!D:D,'RESUMEN CLIENTES'!AA:AA)</f>
        <v>A2.1</v>
      </c>
      <c r="T696" s="682" t="str">
        <f>+_xlfn.XLOOKUP(Tabla4[[#This Row],[ID CLIENTE]],'RESUMEN CLIENTES'!D:D,'RESUMEN CLIENTES'!C:C)</f>
        <v>México</v>
      </c>
    </row>
    <row r="697" spans="1:20" ht="16">
      <c r="A697" s="82">
        <v>45990</v>
      </c>
      <c r="B697" s="82" t="str">
        <f>+_xlfn.XLOOKUP(Tabla4[[#This Row],[ID CLIENTE]],'RESUMEN CLIENTES'!D:D,'RESUMEN CLIENTES'!A:A)</f>
        <v>Nathaly Gabriela Henríquez Masín</v>
      </c>
      <c r="C697" s="83" t="s">
        <v>2210</v>
      </c>
      <c r="D697" s="83" t="s">
        <v>229</v>
      </c>
      <c r="E697" s="83" t="s">
        <v>1537</v>
      </c>
      <c r="F697" s="83" t="s">
        <v>1538</v>
      </c>
      <c r="G697" s="114">
        <v>500</v>
      </c>
      <c r="H697" s="85">
        <v>-16.5</v>
      </c>
      <c r="I697" s="115">
        <f t="shared" si="22"/>
        <v>3.3000000000000002E-2</v>
      </c>
      <c r="J697" s="87">
        <f t="shared" si="23"/>
        <v>483.5</v>
      </c>
      <c r="K697" s="87"/>
      <c r="L697" s="87" t="s">
        <v>4672</v>
      </c>
      <c r="M697" s="87"/>
      <c r="N697" s="524"/>
      <c r="O697" s="524">
        <f>+Tabla4[[#This Row],[PAGO NO EURO]]+Tabla4[[#This Row],[CARGO NO EURO]]</f>
        <v>0</v>
      </c>
      <c r="P697" s="524"/>
      <c r="Q697" s="155"/>
      <c r="R697" s="693">
        <f>+_xlfn.XLOOKUP(Tabla4[[#This Row],[ID CLIENTE]],'RESUMEN CLIENTES'!D:D,'RESUMEN CLIENTES'!G:G)</f>
        <v>45790</v>
      </c>
      <c r="S697" s="155" t="str">
        <f>+_xlfn.XLOOKUP(Tabla4[[#This Row],[ID CLIENTE]],'RESUMEN CLIENTES'!D:D,'RESUMEN CLIENTES'!AA:AA)</f>
        <v>null</v>
      </c>
      <c r="T697" s="682" t="str">
        <f>+_xlfn.XLOOKUP(Tabla4[[#This Row],[ID CLIENTE]],'RESUMEN CLIENTES'!D:D,'RESUMEN CLIENTES'!C:C)</f>
        <v>El Salvador</v>
      </c>
    </row>
    <row r="698" spans="1:20" ht="16">
      <c r="A698" s="82">
        <v>45990</v>
      </c>
      <c r="B698" s="82" t="str">
        <f>+_xlfn.XLOOKUP(Tabla4[[#This Row],[ID CLIENTE]],'RESUMEN CLIENTES'!D:D,'RESUMEN CLIENTES'!A:A)</f>
        <v>Rainier Guerrero</v>
      </c>
      <c r="C698" s="83" t="s">
        <v>2263</v>
      </c>
      <c r="D698" s="83" t="s">
        <v>350</v>
      </c>
      <c r="E698" s="83" t="s">
        <v>1539</v>
      </c>
      <c r="F698" s="83" t="s">
        <v>1540</v>
      </c>
      <c r="G698" s="114">
        <v>1000</v>
      </c>
      <c r="H698" s="85">
        <v>-32.75</v>
      </c>
      <c r="I698" s="115">
        <f t="shared" si="22"/>
        <v>3.2750000000000001E-2</v>
      </c>
      <c r="J698" s="87">
        <f t="shared" si="23"/>
        <v>967.25</v>
      </c>
      <c r="K698" s="87"/>
      <c r="L698" s="87" t="s">
        <v>4672</v>
      </c>
      <c r="M698" s="87"/>
      <c r="N698" s="524"/>
      <c r="O698" s="524">
        <f>+Tabla4[[#This Row],[PAGO NO EURO]]+Tabla4[[#This Row],[CARGO NO EURO]]</f>
        <v>0</v>
      </c>
      <c r="P698" s="524"/>
      <c r="Q698" s="155"/>
      <c r="R698" s="693">
        <f>+_xlfn.XLOOKUP(Tabla4[[#This Row],[ID CLIENTE]],'RESUMEN CLIENTES'!D:D,'RESUMEN CLIENTES'!G:G)</f>
        <v>45827</v>
      </c>
      <c r="S698" s="155" t="str">
        <f>+_xlfn.XLOOKUP(Tabla4[[#This Row],[ID CLIENTE]],'RESUMEN CLIENTES'!D:D,'RESUMEN CLIENTES'!AA:AA)</f>
        <v>A1.1</v>
      </c>
      <c r="T698" s="682" t="str">
        <f>+_xlfn.XLOOKUP(Tabla4[[#This Row],[ID CLIENTE]],'RESUMEN CLIENTES'!D:D,'RESUMEN CLIENTES'!C:C)</f>
        <v>México</v>
      </c>
    </row>
    <row r="699" spans="1:20" ht="16">
      <c r="A699" s="82">
        <v>45990</v>
      </c>
      <c r="B699" s="82" t="str">
        <f>+_xlfn.XLOOKUP(Tabla4[[#This Row],[ID CLIENTE]],'RESUMEN CLIENTES'!D:D,'RESUMEN CLIENTES'!A:A)</f>
        <v>María Soledad Tituana Asanza</v>
      </c>
      <c r="C699" s="83" t="s">
        <v>2432</v>
      </c>
      <c r="D699" s="83" t="s">
        <v>1201</v>
      </c>
      <c r="E699" s="83" t="s">
        <v>1533</v>
      </c>
      <c r="F699" s="83" t="s">
        <v>1534</v>
      </c>
      <c r="G699" s="114">
        <v>1500</v>
      </c>
      <c r="H699" s="85">
        <v>-49</v>
      </c>
      <c r="I699" s="115">
        <f t="shared" si="22"/>
        <v>3.2666666666666663E-2</v>
      </c>
      <c r="J699" s="87">
        <f t="shared" si="23"/>
        <v>1451</v>
      </c>
      <c r="K699" s="87"/>
      <c r="L699" s="87" t="s">
        <v>4672</v>
      </c>
      <c r="M699" s="87"/>
      <c r="N699" s="524"/>
      <c r="O699" s="524">
        <f>+Tabla4[[#This Row],[PAGO NO EURO]]+Tabla4[[#This Row],[CARGO NO EURO]]</f>
        <v>0</v>
      </c>
      <c r="P699" s="524"/>
      <c r="Q699" s="155"/>
      <c r="R699" s="693">
        <f>+_xlfn.XLOOKUP(Tabla4[[#This Row],[ID CLIENTE]],'RESUMEN CLIENTES'!D:D,'RESUMEN CLIENTES'!G:G)</f>
        <v>45946</v>
      </c>
      <c r="S699" s="155" t="str">
        <f>+_xlfn.XLOOKUP(Tabla4[[#This Row],[ID CLIENTE]],'RESUMEN CLIENTES'!D:D,'RESUMEN CLIENTES'!AA:AA)</f>
        <v>A1.1</v>
      </c>
      <c r="T699" s="682" t="str">
        <f>+_xlfn.XLOOKUP(Tabla4[[#This Row],[ID CLIENTE]],'RESUMEN CLIENTES'!D:D,'RESUMEN CLIENTES'!C:C)</f>
        <v>Ecuador</v>
      </c>
    </row>
    <row r="700" spans="1:20" ht="16">
      <c r="A700" s="82">
        <v>45991</v>
      </c>
      <c r="B700" s="82" t="str">
        <f>+_xlfn.XLOOKUP(Tabla4[[#This Row],[ID CLIENTE]],'RESUMEN CLIENTES'!D:D,'RESUMEN CLIENTES'!A:A)</f>
        <v>Laxmi Davi Patel Flores</v>
      </c>
      <c r="C700" s="83" t="s">
        <v>2471</v>
      </c>
      <c r="D700" s="83" t="s">
        <v>1482</v>
      </c>
      <c r="E700" s="83" t="s">
        <v>1489</v>
      </c>
      <c r="F700" s="83" t="s">
        <v>1490</v>
      </c>
      <c r="G700" s="114">
        <v>500</v>
      </c>
      <c r="H700" s="85">
        <v>-16.5</v>
      </c>
      <c r="I700" s="115">
        <f t="shared" si="22"/>
        <v>3.3000000000000002E-2</v>
      </c>
      <c r="J700" s="87">
        <f t="shared" si="23"/>
        <v>483.5</v>
      </c>
      <c r="K700" s="87"/>
      <c r="L700" s="87" t="s">
        <v>4672</v>
      </c>
      <c r="M700" s="87"/>
      <c r="N700" s="524"/>
      <c r="O700" s="524">
        <f>+Tabla4[[#This Row],[PAGO NO EURO]]+Tabla4[[#This Row],[CARGO NO EURO]]</f>
        <v>0</v>
      </c>
      <c r="P700" s="524"/>
      <c r="Q700" s="155"/>
      <c r="R700" s="693">
        <f>+_xlfn.XLOOKUP(Tabla4[[#This Row],[ID CLIENTE]],'RESUMEN CLIENTES'!D:D,'RESUMEN CLIENTES'!G:G)</f>
        <v>45988</v>
      </c>
      <c r="S700" s="155" t="str">
        <f>+_xlfn.XLOOKUP(Tabla4[[#This Row],[ID CLIENTE]],'RESUMEN CLIENTES'!D:D,'RESUMEN CLIENTES'!AA:AA)</f>
        <v>A1.1</v>
      </c>
      <c r="T700" s="682" t="str">
        <f>+_xlfn.XLOOKUP(Tabla4[[#This Row],[ID CLIENTE]],'RESUMEN CLIENTES'!D:D,'RESUMEN CLIENTES'!C:C)</f>
        <v>Ecuador</v>
      </c>
    </row>
    <row r="701" spans="1:20" ht="16">
      <c r="A701" s="82">
        <v>45991</v>
      </c>
      <c r="B701" s="82" t="str">
        <f>+_xlfn.XLOOKUP(Tabla4[[#This Row],[ID CLIENTE]],'RESUMEN CLIENTES'!D:D,'RESUMEN CLIENTES'!A:A)</f>
        <v>Laxmi Davi Patel Flores</v>
      </c>
      <c r="C701" s="83" t="s">
        <v>2471</v>
      </c>
      <c r="D701" s="83" t="s">
        <v>1482</v>
      </c>
      <c r="E701" s="83" t="s">
        <v>1491</v>
      </c>
      <c r="F701" s="83" t="s">
        <v>1492</v>
      </c>
      <c r="G701" s="114">
        <v>500</v>
      </c>
      <c r="H701" s="85">
        <v>-16.5</v>
      </c>
      <c r="I701" s="115">
        <f t="shared" si="22"/>
        <v>3.3000000000000002E-2</v>
      </c>
      <c r="J701" s="87">
        <f t="shared" si="23"/>
        <v>483.5</v>
      </c>
      <c r="K701" s="87"/>
      <c r="L701" s="87" t="s">
        <v>4672</v>
      </c>
      <c r="M701" s="87"/>
      <c r="N701" s="524"/>
      <c r="O701" s="524">
        <f>+Tabla4[[#This Row],[PAGO NO EURO]]+Tabla4[[#This Row],[CARGO NO EURO]]</f>
        <v>0</v>
      </c>
      <c r="P701" s="524"/>
      <c r="Q701" s="155"/>
      <c r="R701" s="693">
        <f>+_xlfn.XLOOKUP(Tabla4[[#This Row],[ID CLIENTE]],'RESUMEN CLIENTES'!D:D,'RESUMEN CLIENTES'!G:G)</f>
        <v>45988</v>
      </c>
      <c r="S701" s="155" t="str">
        <f>+_xlfn.XLOOKUP(Tabla4[[#This Row],[ID CLIENTE]],'RESUMEN CLIENTES'!D:D,'RESUMEN CLIENTES'!AA:AA)</f>
        <v>A1.1</v>
      </c>
      <c r="T701" s="682" t="str">
        <f>+_xlfn.XLOOKUP(Tabla4[[#This Row],[ID CLIENTE]],'RESUMEN CLIENTES'!D:D,'RESUMEN CLIENTES'!C:C)</f>
        <v>Ecuador</v>
      </c>
    </row>
    <row r="702" spans="1:20" ht="16">
      <c r="A702" s="82">
        <v>45992</v>
      </c>
      <c r="B702" s="82" t="str">
        <f>+_xlfn.XLOOKUP(Tabla4[[#This Row],[ID CLIENTE]],'RESUMEN CLIENTES'!D:D,'RESUMEN CLIENTES'!A:A)</f>
        <v>Gilberto Martiñon Torres</v>
      </c>
      <c r="C702" s="83" t="s">
        <v>2375</v>
      </c>
      <c r="D702" s="83" t="s">
        <v>739</v>
      </c>
      <c r="E702" s="83" t="s">
        <v>1519</v>
      </c>
      <c r="F702" s="83" t="s">
        <v>1520</v>
      </c>
      <c r="G702" s="114">
        <v>700</v>
      </c>
      <c r="H702" s="85">
        <v>-23</v>
      </c>
      <c r="I702" s="115">
        <f t="shared" si="22"/>
        <v>3.2857142857142856E-2</v>
      </c>
      <c r="J702" s="87">
        <f t="shared" si="23"/>
        <v>677</v>
      </c>
      <c r="K702" s="87"/>
      <c r="L702" s="87" t="s">
        <v>4672</v>
      </c>
      <c r="M702" s="87"/>
      <c r="N702" s="524"/>
      <c r="O702" s="524">
        <f>+Tabla4[[#This Row],[PAGO NO EURO]]+Tabla4[[#This Row],[CARGO NO EURO]]</f>
        <v>0</v>
      </c>
      <c r="P702" s="524"/>
      <c r="Q702" s="155"/>
      <c r="R702" s="693">
        <f>+_xlfn.XLOOKUP(Tabla4[[#This Row],[ID CLIENTE]],'RESUMEN CLIENTES'!D:D,'RESUMEN CLIENTES'!G:G)</f>
        <v>45896</v>
      </c>
      <c r="S702" s="155" t="str">
        <f>+_xlfn.XLOOKUP(Tabla4[[#This Row],[ID CLIENTE]],'RESUMEN CLIENTES'!D:D,'RESUMEN CLIENTES'!AA:AA)</f>
        <v>A1.1</v>
      </c>
      <c r="T702" s="682" t="str">
        <f>+_xlfn.XLOOKUP(Tabla4[[#This Row],[ID CLIENTE]],'RESUMEN CLIENTES'!D:D,'RESUMEN CLIENTES'!C:C)</f>
        <v>México</v>
      </c>
    </row>
    <row r="703" spans="1:20" ht="16">
      <c r="A703" s="82">
        <v>45992</v>
      </c>
      <c r="B703" s="82" t="str">
        <f>+_xlfn.XLOOKUP(Tabla4[[#This Row],[ID CLIENTE]],'RESUMEN CLIENTES'!D:D,'RESUMEN CLIENTES'!A:A)</f>
        <v>Laxmi Davi Patel Flores</v>
      </c>
      <c r="C703" s="83" t="s">
        <v>2471</v>
      </c>
      <c r="D703" s="83" t="s">
        <v>1482</v>
      </c>
      <c r="E703" s="83" t="s">
        <v>1525</v>
      </c>
      <c r="F703" s="83" t="s">
        <v>1526</v>
      </c>
      <c r="G703" s="114">
        <v>250</v>
      </c>
      <c r="H703" s="85">
        <v>-8.3800000000000008</v>
      </c>
      <c r="I703" s="115">
        <f t="shared" si="22"/>
        <v>3.3520000000000001E-2</v>
      </c>
      <c r="J703" s="87">
        <f t="shared" si="23"/>
        <v>241.62</v>
      </c>
      <c r="K703" s="87"/>
      <c r="L703" s="87" t="s">
        <v>4672</v>
      </c>
      <c r="M703" s="87"/>
      <c r="N703" s="524"/>
      <c r="O703" s="524">
        <f>+Tabla4[[#This Row],[PAGO NO EURO]]+Tabla4[[#This Row],[CARGO NO EURO]]</f>
        <v>0</v>
      </c>
      <c r="P703" s="524"/>
      <c r="Q703" s="155"/>
      <c r="R703" s="693">
        <f>+_xlfn.XLOOKUP(Tabla4[[#This Row],[ID CLIENTE]],'RESUMEN CLIENTES'!D:D,'RESUMEN CLIENTES'!G:G)</f>
        <v>45988</v>
      </c>
      <c r="S703" s="155" t="str">
        <f>+_xlfn.XLOOKUP(Tabla4[[#This Row],[ID CLIENTE]],'RESUMEN CLIENTES'!D:D,'RESUMEN CLIENTES'!AA:AA)</f>
        <v>A1.1</v>
      </c>
      <c r="T703" s="682" t="str">
        <f>+_xlfn.XLOOKUP(Tabla4[[#This Row],[ID CLIENTE]],'RESUMEN CLIENTES'!D:D,'RESUMEN CLIENTES'!C:C)</f>
        <v>Ecuador</v>
      </c>
    </row>
    <row r="704" spans="1:20" ht="16">
      <c r="A704" s="82">
        <v>45992</v>
      </c>
      <c r="B704" s="82" t="str">
        <f>+_xlfn.XLOOKUP(Tabla4[[#This Row],[ID CLIENTE]],'RESUMEN CLIENTES'!D:D,'RESUMEN CLIENTES'!A:A)</f>
        <v>Emily Vanessa Tapia Villalobos</v>
      </c>
      <c r="C704" s="83" t="s">
        <v>2445</v>
      </c>
      <c r="D704" s="83" t="s">
        <v>1248</v>
      </c>
      <c r="E704" s="83" t="s">
        <v>1559</v>
      </c>
      <c r="F704" s="83" t="s">
        <v>1560</v>
      </c>
      <c r="G704" s="114">
        <v>1000</v>
      </c>
      <c r="H704" s="85">
        <v>-32.75</v>
      </c>
      <c r="I704" s="115">
        <f t="shared" si="22"/>
        <v>3.2750000000000001E-2</v>
      </c>
      <c r="J704" s="87">
        <f t="shared" si="23"/>
        <v>967.25</v>
      </c>
      <c r="K704" s="87"/>
      <c r="L704" s="87" t="s">
        <v>4672</v>
      </c>
      <c r="M704" s="87"/>
      <c r="N704" s="524"/>
      <c r="O704" s="524">
        <f>+Tabla4[[#This Row],[PAGO NO EURO]]+Tabla4[[#This Row],[CARGO NO EURO]]</f>
        <v>0</v>
      </c>
      <c r="P704" s="524"/>
      <c r="Q704" s="155"/>
      <c r="R704" s="693">
        <f>+_xlfn.XLOOKUP(Tabla4[[#This Row],[ID CLIENTE]],'RESUMEN CLIENTES'!D:D,'RESUMEN CLIENTES'!G:G)</f>
        <v>45958</v>
      </c>
      <c r="S704" s="155" t="str">
        <f>+_xlfn.XLOOKUP(Tabla4[[#This Row],[ID CLIENTE]],'RESUMEN CLIENTES'!D:D,'RESUMEN CLIENTES'!AA:AA)</f>
        <v>A1.1</v>
      </c>
      <c r="T704" s="682" t="str">
        <f>+_xlfn.XLOOKUP(Tabla4[[#This Row],[ID CLIENTE]],'RESUMEN CLIENTES'!D:D,'RESUMEN CLIENTES'!C:C)</f>
        <v>Chile</v>
      </c>
    </row>
    <row r="705" spans="1:20" ht="16">
      <c r="A705" s="82">
        <v>45992</v>
      </c>
      <c r="B705" s="82" t="str">
        <f>+_xlfn.XLOOKUP(Tabla4[[#This Row],[ID CLIENTE]],'RESUMEN CLIENTES'!D:D,'RESUMEN CLIENTES'!A:A)</f>
        <v>Constanza Andrea Águila Vergara</v>
      </c>
      <c r="C705" s="83" t="s">
        <v>2441</v>
      </c>
      <c r="D705" s="83" t="s">
        <v>1245</v>
      </c>
      <c r="E705" s="83" t="s">
        <v>1541</v>
      </c>
      <c r="F705" s="83" t="s">
        <v>1542</v>
      </c>
      <c r="G705" s="114">
        <v>850</v>
      </c>
      <c r="H705" s="85">
        <v>-27.88</v>
      </c>
      <c r="I705" s="115">
        <f t="shared" si="22"/>
        <v>3.2799999999999996E-2</v>
      </c>
      <c r="J705" s="87">
        <f t="shared" si="23"/>
        <v>822.12</v>
      </c>
      <c r="K705" s="87"/>
      <c r="L705" s="87" t="s">
        <v>4672</v>
      </c>
      <c r="M705" s="87"/>
      <c r="N705" s="524"/>
      <c r="O705" s="524">
        <f>+Tabla4[[#This Row],[PAGO NO EURO]]+Tabla4[[#This Row],[CARGO NO EURO]]</f>
        <v>0</v>
      </c>
      <c r="P705" s="524"/>
      <c r="Q705" s="155"/>
      <c r="R705" s="693">
        <f>+_xlfn.XLOOKUP(Tabla4[[#This Row],[ID CLIENTE]],'RESUMEN CLIENTES'!D:D,'RESUMEN CLIENTES'!G:G)</f>
        <v>45957</v>
      </c>
      <c r="S705" s="155" t="str">
        <f>+_xlfn.XLOOKUP(Tabla4[[#This Row],[ID CLIENTE]],'RESUMEN CLIENTES'!D:D,'RESUMEN CLIENTES'!AA:AA)</f>
        <v>A1.2</v>
      </c>
      <c r="T705" s="682" t="str">
        <f>+_xlfn.XLOOKUP(Tabla4[[#This Row],[ID CLIENTE]],'RESUMEN CLIENTES'!D:D,'RESUMEN CLIENTES'!C:C)</f>
        <v>Chile</v>
      </c>
    </row>
    <row r="706" spans="1:20" ht="16">
      <c r="A706" s="82">
        <v>45992</v>
      </c>
      <c r="B706" s="82" t="str">
        <f>+_xlfn.XLOOKUP(Tabla4[[#This Row],[ID CLIENTE]],'RESUMEN CLIENTES'!D:D,'RESUMEN CLIENTES'!A:A)</f>
        <v>Maria Laura Rios Pino</v>
      </c>
      <c r="C706" s="83" t="s">
        <v>2220</v>
      </c>
      <c r="D706" s="83" t="s">
        <v>258</v>
      </c>
      <c r="E706" s="83" t="s">
        <v>1566</v>
      </c>
      <c r="F706" s="83" t="s">
        <v>1567</v>
      </c>
      <c r="G706" s="114">
        <f>+Tabla4[[#This Row],[PAGO NO EURO]]*Tabla4[[#This Row],[CAMBIO]]</f>
        <v>646.05047807735377</v>
      </c>
      <c r="H706" s="85">
        <f>+Tabla4[[#This Row],[CARGO NO EURO]]*Tabla4[[#This Row],[CAMBIO]]</f>
        <v>-21.259367731932119</v>
      </c>
      <c r="I706" s="115">
        <f t="shared" si="22"/>
        <v>3.290666666666666E-2</v>
      </c>
      <c r="J706" s="87">
        <f t="shared" si="23"/>
        <v>624.79111034542166</v>
      </c>
      <c r="K706" s="87"/>
      <c r="L706" s="87" t="s">
        <v>4672</v>
      </c>
      <c r="M706" s="87" t="s">
        <v>2548</v>
      </c>
      <c r="N706" s="524">
        <v>750</v>
      </c>
      <c r="O706" s="524">
        <f>+Tabla4[[#This Row],[PAGO NO EURO]]+Tabla4[[#This Row],[CARGO NO EURO]]</f>
        <v>725.32</v>
      </c>
      <c r="P706" s="524">
        <v>-24.68</v>
      </c>
      <c r="Q706" s="155">
        <f>+TC!J20</f>
        <v>0.86140063743647166</v>
      </c>
      <c r="R706" s="693">
        <f>+_xlfn.XLOOKUP(Tabla4[[#This Row],[ID CLIENTE]],'RESUMEN CLIENTES'!D:D,'RESUMEN CLIENTES'!G:G)</f>
        <v>45805</v>
      </c>
      <c r="S706" s="155" t="str">
        <f>+_xlfn.XLOOKUP(Tabla4[[#This Row],[ID CLIENTE]],'RESUMEN CLIENTES'!D:D,'RESUMEN CLIENTES'!AA:AA)</f>
        <v>B1.1</v>
      </c>
      <c r="T706" s="682" t="str">
        <f>+_xlfn.XLOOKUP(Tabla4[[#This Row],[ID CLIENTE]],'RESUMEN CLIENTES'!D:D,'RESUMEN CLIENTES'!C:C)</f>
        <v>Perú</v>
      </c>
    </row>
    <row r="707" spans="1:20" ht="16">
      <c r="A707" s="82">
        <v>45993</v>
      </c>
      <c r="B707" s="82" t="str">
        <f>+_xlfn.XLOOKUP(Tabla4[[#This Row],[ID CLIENTE]],'RESUMEN CLIENTES'!D:D,'RESUMEN CLIENTES'!A:A)</f>
        <v>Martin Esteban Orellana Dominguez</v>
      </c>
      <c r="C707" s="83" t="s">
        <v>2377</v>
      </c>
      <c r="D707" s="83" t="s">
        <v>744</v>
      </c>
      <c r="E707" s="83" t="s">
        <v>1545</v>
      </c>
      <c r="F707" s="83" t="s">
        <v>1546</v>
      </c>
      <c r="G707" s="114">
        <v>4014.67</v>
      </c>
      <c r="H707" s="85">
        <v>-130.72999999999999</v>
      </c>
      <c r="I707" s="115">
        <f t="shared" si="22"/>
        <v>3.2563074922720918E-2</v>
      </c>
      <c r="J707" s="87">
        <f t="shared" si="23"/>
        <v>3883.94</v>
      </c>
      <c r="K707" s="87"/>
      <c r="L707" s="87" t="s">
        <v>4672</v>
      </c>
      <c r="M707" s="87"/>
      <c r="N707" s="524"/>
      <c r="O707" s="524">
        <f>+Tabla4[[#This Row],[PAGO NO EURO]]+Tabla4[[#This Row],[CARGO NO EURO]]</f>
        <v>0</v>
      </c>
      <c r="P707" s="524"/>
      <c r="Q707" s="155"/>
      <c r="R707" s="693">
        <f>+_xlfn.XLOOKUP(Tabla4[[#This Row],[ID CLIENTE]],'RESUMEN CLIENTES'!D:D,'RESUMEN CLIENTES'!G:G)</f>
        <v>45897</v>
      </c>
      <c r="S707" s="155" t="str">
        <f>+_xlfn.XLOOKUP(Tabla4[[#This Row],[ID CLIENTE]],'RESUMEN CLIENTES'!D:D,'RESUMEN CLIENTES'!AA:AA)</f>
        <v>A1.1</v>
      </c>
      <c r="T707" s="682" t="str">
        <f>+_xlfn.XLOOKUP(Tabla4[[#This Row],[ID CLIENTE]],'RESUMEN CLIENTES'!D:D,'RESUMEN CLIENTES'!C:C)</f>
        <v>Ecuador</v>
      </c>
    </row>
    <row r="708" spans="1:20" ht="16">
      <c r="A708" s="82">
        <v>45993</v>
      </c>
      <c r="B708" s="82" t="str">
        <f>+_xlfn.XLOOKUP(Tabla4[[#This Row],[ID CLIENTE]],'RESUMEN CLIENTES'!D:D,'RESUMEN CLIENTES'!A:A)</f>
        <v>María Fernanda Cid Ramírez</v>
      </c>
      <c r="C708" s="83" t="s">
        <v>2477</v>
      </c>
      <c r="D708" s="83" t="s">
        <v>1551</v>
      </c>
      <c r="E708" s="83" t="s">
        <v>1552</v>
      </c>
      <c r="F708" s="83" t="s">
        <v>1553</v>
      </c>
      <c r="G708" s="114">
        <v>250</v>
      </c>
      <c r="H708" s="85">
        <v>-8.3800000000000008</v>
      </c>
      <c r="I708" s="115">
        <f t="shared" si="22"/>
        <v>3.3520000000000001E-2</v>
      </c>
      <c r="J708" s="87">
        <f t="shared" si="23"/>
        <v>241.62</v>
      </c>
      <c r="K708" s="87"/>
      <c r="L708" s="87" t="s">
        <v>4672</v>
      </c>
      <c r="M708" s="87"/>
      <c r="N708" s="524"/>
      <c r="O708" s="524">
        <f>+Tabla4[[#This Row],[PAGO NO EURO]]+Tabla4[[#This Row],[CARGO NO EURO]]</f>
        <v>0</v>
      </c>
      <c r="P708" s="524"/>
      <c r="Q708" s="155"/>
      <c r="R708" s="693">
        <f>+_xlfn.XLOOKUP(Tabla4[[#This Row],[ID CLIENTE]],'RESUMEN CLIENTES'!D:D,'RESUMEN CLIENTES'!G:G)</f>
        <v>45993</v>
      </c>
      <c r="S708" s="155" t="str">
        <f>+_xlfn.XLOOKUP(Tabla4[[#This Row],[ID CLIENTE]],'RESUMEN CLIENTES'!D:D,'RESUMEN CLIENTES'!AA:AA)</f>
        <v>-</v>
      </c>
      <c r="T708" s="682" t="str">
        <f>+_xlfn.XLOOKUP(Tabla4[[#This Row],[ID CLIENTE]],'RESUMEN CLIENTES'!D:D,'RESUMEN CLIENTES'!C:C)</f>
        <v>México</v>
      </c>
    </row>
    <row r="709" spans="1:20" ht="16">
      <c r="A709" s="82">
        <v>45993</v>
      </c>
      <c r="B709" s="82" t="str">
        <f>+_xlfn.XLOOKUP(Tabla4[[#This Row],[ID CLIENTE]],'RESUMEN CLIENTES'!D:D,'RESUMEN CLIENTES'!A:A)</f>
        <v>Martin Esteban Orellana Dominguez</v>
      </c>
      <c r="C709" s="83" t="s">
        <v>2377</v>
      </c>
      <c r="D709" s="83" t="s">
        <v>744</v>
      </c>
      <c r="E709" s="83" t="s">
        <v>1547</v>
      </c>
      <c r="F709" s="83" t="s">
        <v>1548</v>
      </c>
      <c r="G709" s="114">
        <v>4014.67</v>
      </c>
      <c r="H709" s="85">
        <v>-130.72999999999999</v>
      </c>
      <c r="I709" s="115">
        <f t="shared" si="22"/>
        <v>3.2563074922720918E-2</v>
      </c>
      <c r="J709" s="87">
        <f t="shared" si="23"/>
        <v>3883.94</v>
      </c>
      <c r="K709" s="87"/>
      <c r="L709" s="87" t="s">
        <v>4672</v>
      </c>
      <c r="M709" s="87"/>
      <c r="N709" s="524"/>
      <c r="O709" s="524">
        <f>+Tabla4[[#This Row],[PAGO NO EURO]]+Tabla4[[#This Row],[CARGO NO EURO]]</f>
        <v>0</v>
      </c>
      <c r="P709" s="524"/>
      <c r="Q709" s="155"/>
      <c r="R709" s="693">
        <f>+_xlfn.XLOOKUP(Tabla4[[#This Row],[ID CLIENTE]],'RESUMEN CLIENTES'!D:D,'RESUMEN CLIENTES'!G:G)</f>
        <v>45897</v>
      </c>
      <c r="S709" s="155" t="str">
        <f>+_xlfn.XLOOKUP(Tabla4[[#This Row],[ID CLIENTE]],'RESUMEN CLIENTES'!D:D,'RESUMEN CLIENTES'!AA:AA)</f>
        <v>A1.1</v>
      </c>
      <c r="T709" s="682" t="str">
        <f>+_xlfn.XLOOKUP(Tabla4[[#This Row],[ID CLIENTE]],'RESUMEN CLIENTES'!D:D,'RESUMEN CLIENTES'!C:C)</f>
        <v>Ecuador</v>
      </c>
    </row>
    <row r="710" spans="1:20" ht="16">
      <c r="A710" s="82">
        <v>45993</v>
      </c>
      <c r="B710" s="82" t="str">
        <f>+_xlfn.XLOOKUP(Tabla4[[#This Row],[ID CLIENTE]],'RESUMEN CLIENTES'!D:D,'RESUMEN CLIENTES'!A:A)</f>
        <v>Sergio Francisco Garcia Sandoval</v>
      </c>
      <c r="C710" s="83" t="s">
        <v>2235</v>
      </c>
      <c r="D710" s="83" t="s">
        <v>281</v>
      </c>
      <c r="E710" s="83" t="s">
        <v>1625</v>
      </c>
      <c r="F710" s="83" t="s">
        <v>1626</v>
      </c>
      <c r="G710" s="114">
        <v>350</v>
      </c>
      <c r="H710" s="85">
        <v>-1.75</v>
      </c>
      <c r="I710" s="115">
        <f t="shared" si="22"/>
        <v>5.0000000000000001E-3</v>
      </c>
      <c r="J710" s="87">
        <f t="shared" si="23"/>
        <v>348.25</v>
      </c>
      <c r="K710" s="87"/>
      <c r="L710" s="87" t="s">
        <v>4672</v>
      </c>
      <c r="M710" s="87"/>
      <c r="N710" s="524"/>
      <c r="O710" s="524">
        <f>+Tabla4[[#This Row],[PAGO NO EURO]]+Tabla4[[#This Row],[CARGO NO EURO]]</f>
        <v>0</v>
      </c>
      <c r="P710" s="524"/>
      <c r="Q710" s="155"/>
      <c r="R710" s="693">
        <f>+_xlfn.XLOOKUP(Tabla4[[#This Row],[ID CLIENTE]],'RESUMEN CLIENTES'!D:D,'RESUMEN CLIENTES'!G:G)</f>
        <v>45812</v>
      </c>
      <c r="S710" s="155" t="str">
        <f>+_xlfn.XLOOKUP(Tabla4[[#This Row],[ID CLIENTE]],'RESUMEN CLIENTES'!D:D,'RESUMEN CLIENTES'!AA:AA)</f>
        <v>A1.1</v>
      </c>
      <c r="T710" s="682" t="str">
        <f>+_xlfn.XLOOKUP(Tabla4[[#This Row],[ID CLIENTE]],'RESUMEN CLIENTES'!D:D,'RESUMEN CLIENTES'!C:C)</f>
        <v>Perú</v>
      </c>
    </row>
    <row r="711" spans="1:20" ht="16">
      <c r="A711" s="82">
        <v>45993</v>
      </c>
      <c r="B711" s="82" t="str">
        <f>+_xlfn.XLOOKUP(Tabla4[[#This Row],[ID CLIENTE]],'RESUMEN CLIENTES'!D:D,'RESUMEN CLIENTES'!A:A)</f>
        <v>Martin Esteban Orellana Dominguez</v>
      </c>
      <c r="C711" s="83" t="s">
        <v>2377</v>
      </c>
      <c r="D711" s="83" t="s">
        <v>744</v>
      </c>
      <c r="E711" s="83" t="s">
        <v>1549</v>
      </c>
      <c r="F711" s="83" t="s">
        <v>1550</v>
      </c>
      <c r="G711" s="114">
        <v>4014.67</v>
      </c>
      <c r="H711" s="85">
        <v>-130.72999999999999</v>
      </c>
      <c r="I711" s="115">
        <f t="shared" si="22"/>
        <v>3.2563074922720918E-2</v>
      </c>
      <c r="J711" s="87">
        <f t="shared" si="23"/>
        <v>3883.94</v>
      </c>
      <c r="K711" s="87"/>
      <c r="L711" s="87" t="s">
        <v>4672</v>
      </c>
      <c r="M711" s="87"/>
      <c r="N711" s="524"/>
      <c r="O711" s="524">
        <f>+Tabla4[[#This Row],[PAGO NO EURO]]+Tabla4[[#This Row],[CARGO NO EURO]]</f>
        <v>0</v>
      </c>
      <c r="P711" s="524"/>
      <c r="Q711" s="155"/>
      <c r="R711" s="693">
        <f>+_xlfn.XLOOKUP(Tabla4[[#This Row],[ID CLIENTE]],'RESUMEN CLIENTES'!D:D,'RESUMEN CLIENTES'!G:G)</f>
        <v>45897</v>
      </c>
      <c r="S711" s="155" t="str">
        <f>+_xlfn.XLOOKUP(Tabla4[[#This Row],[ID CLIENTE]],'RESUMEN CLIENTES'!D:D,'RESUMEN CLIENTES'!AA:AA)</f>
        <v>A1.1</v>
      </c>
      <c r="T711" s="682" t="str">
        <f>+_xlfn.XLOOKUP(Tabla4[[#This Row],[ID CLIENTE]],'RESUMEN CLIENTES'!D:D,'RESUMEN CLIENTES'!C:C)</f>
        <v>Ecuador</v>
      </c>
    </row>
    <row r="712" spans="1:20" ht="16">
      <c r="A712" s="82">
        <v>45993</v>
      </c>
      <c r="B712" s="82" t="str">
        <f>+_xlfn.XLOOKUP(Tabla4[[#This Row],[ID CLIENTE]],'RESUMEN CLIENTES'!D:D,'RESUMEN CLIENTES'!A:A)</f>
        <v>Rodrigo Rivera Ruiz</v>
      </c>
      <c r="C712" s="83" t="s">
        <v>2170</v>
      </c>
      <c r="D712" s="83" t="s">
        <v>159</v>
      </c>
      <c r="E712" s="83" t="s">
        <v>1623</v>
      </c>
      <c r="F712" s="83" t="s">
        <v>1624</v>
      </c>
      <c r="G712" s="114">
        <v>1000</v>
      </c>
      <c r="H712" s="85">
        <v>-32.75</v>
      </c>
      <c r="I712" s="115">
        <f t="shared" si="22"/>
        <v>3.2750000000000001E-2</v>
      </c>
      <c r="J712" s="87">
        <f t="shared" si="23"/>
        <v>967.25</v>
      </c>
      <c r="K712" s="87"/>
      <c r="L712" s="87" t="s">
        <v>4672</v>
      </c>
      <c r="M712" s="87"/>
      <c r="N712" s="524"/>
      <c r="O712" s="524">
        <f>+Tabla4[[#This Row],[PAGO NO EURO]]+Tabla4[[#This Row],[CARGO NO EURO]]</f>
        <v>0</v>
      </c>
      <c r="P712" s="524"/>
      <c r="Q712" s="155"/>
      <c r="R712" s="693">
        <f>+_xlfn.XLOOKUP(Tabla4[[#This Row],[ID CLIENTE]],'RESUMEN CLIENTES'!D:D,'RESUMEN CLIENTES'!G:G)</f>
        <v>45757</v>
      </c>
      <c r="S712" s="155" t="str">
        <f>+_xlfn.XLOOKUP(Tabla4[[#This Row],[ID CLIENTE]],'RESUMEN CLIENTES'!D:D,'RESUMEN CLIENTES'!AA:AA)</f>
        <v>A1.1</v>
      </c>
      <c r="T712" s="682" t="str">
        <f>+_xlfn.XLOOKUP(Tabla4[[#This Row],[ID CLIENTE]],'RESUMEN CLIENTES'!D:D,'RESUMEN CLIENTES'!C:C)</f>
        <v>Chile</v>
      </c>
    </row>
    <row r="713" spans="1:20" ht="16">
      <c r="A713" s="82">
        <v>45994</v>
      </c>
      <c r="B713" s="82" t="str">
        <f>+_xlfn.XLOOKUP(Tabla4[[#This Row],[ID CLIENTE]],'RESUMEN CLIENTES'!D:D,'RESUMEN CLIENTES'!A:A)</f>
        <v>Daniel Flores</v>
      </c>
      <c r="C713" s="83" t="s">
        <v>2430</v>
      </c>
      <c r="D713" s="83" t="s">
        <v>1178</v>
      </c>
      <c r="E713" s="83" t="s">
        <v>1543</v>
      </c>
      <c r="F713" s="83" t="s">
        <v>1544</v>
      </c>
      <c r="G713" s="114">
        <v>850</v>
      </c>
      <c r="H713" s="85">
        <v>-27.88</v>
      </c>
      <c r="I713" s="115">
        <f t="shared" si="22"/>
        <v>3.2799999999999996E-2</v>
      </c>
      <c r="J713" s="87">
        <f t="shared" si="23"/>
        <v>822.12</v>
      </c>
      <c r="K713" s="87"/>
      <c r="L713" s="87" t="s">
        <v>4672</v>
      </c>
      <c r="M713" s="87"/>
      <c r="N713" s="524"/>
      <c r="O713" s="524">
        <f>+Tabla4[[#This Row],[PAGO NO EURO]]+Tabla4[[#This Row],[CARGO NO EURO]]</f>
        <v>0</v>
      </c>
      <c r="P713" s="524"/>
      <c r="Q713" s="155"/>
      <c r="R713" s="693">
        <f>+_xlfn.XLOOKUP(Tabla4[[#This Row],[ID CLIENTE]],'RESUMEN CLIENTES'!D:D,'RESUMEN CLIENTES'!G:G)</f>
        <v>45945</v>
      </c>
      <c r="S713" s="155" t="str">
        <f>+_xlfn.XLOOKUP(Tabla4[[#This Row],[ID CLIENTE]],'RESUMEN CLIENTES'!D:D,'RESUMEN CLIENTES'!AA:AA)</f>
        <v>A1.1</v>
      </c>
      <c r="T713" s="682" t="str">
        <f>+_xlfn.XLOOKUP(Tabla4[[#This Row],[ID CLIENTE]],'RESUMEN CLIENTES'!D:D,'RESUMEN CLIENTES'!C:C)</f>
        <v>Ecuador</v>
      </c>
    </row>
    <row r="714" spans="1:20" ht="16">
      <c r="A714" s="82">
        <v>45994</v>
      </c>
      <c r="B714" s="82" t="str">
        <f>+_xlfn.XLOOKUP(Tabla4[[#This Row],[ID CLIENTE]],'RESUMEN CLIENTES'!D:D,'RESUMEN CLIENTES'!A:A)</f>
        <v>Olguer Ariel Pruna Herrera</v>
      </c>
      <c r="C714" s="83" t="s">
        <v>2353</v>
      </c>
      <c r="D714" s="83" t="s">
        <v>695</v>
      </c>
      <c r="E714" s="83" t="s">
        <v>1554</v>
      </c>
      <c r="F714" s="83" t="s">
        <v>1555</v>
      </c>
      <c r="G714" s="114">
        <v>1000</v>
      </c>
      <c r="H714" s="85">
        <v>-32.75</v>
      </c>
      <c r="I714" s="115">
        <f t="shared" si="22"/>
        <v>3.2750000000000001E-2</v>
      </c>
      <c r="J714" s="87">
        <f t="shared" si="23"/>
        <v>967.25</v>
      </c>
      <c r="K714" s="87"/>
      <c r="L714" s="87" t="s">
        <v>4672</v>
      </c>
      <c r="M714" s="87"/>
      <c r="N714" s="524"/>
      <c r="O714" s="524">
        <f>+Tabla4[[#This Row],[PAGO NO EURO]]+Tabla4[[#This Row],[CARGO NO EURO]]</f>
        <v>0</v>
      </c>
      <c r="P714" s="524"/>
      <c r="Q714" s="155"/>
      <c r="R714" s="693">
        <f>+_xlfn.XLOOKUP(Tabla4[[#This Row],[ID CLIENTE]],'RESUMEN CLIENTES'!D:D,'RESUMEN CLIENTES'!G:G)</f>
        <v>45882</v>
      </c>
      <c r="S714" s="155" t="str">
        <f>+_xlfn.XLOOKUP(Tabla4[[#This Row],[ID CLIENTE]],'RESUMEN CLIENTES'!D:D,'RESUMEN CLIENTES'!AA:AA)</f>
        <v>A1.1</v>
      </c>
      <c r="T714" s="682" t="str">
        <f>+_xlfn.XLOOKUP(Tabla4[[#This Row],[ID CLIENTE]],'RESUMEN CLIENTES'!D:D,'RESUMEN CLIENTES'!C:C)</f>
        <v>Ecuador</v>
      </c>
    </row>
    <row r="715" spans="1:20" ht="16">
      <c r="A715" s="82">
        <v>45994</v>
      </c>
      <c r="B715" s="82" t="str">
        <f>+_xlfn.XLOOKUP(Tabla4[[#This Row],[ID CLIENTE]],'RESUMEN CLIENTES'!D:D,'RESUMEN CLIENTES'!A:A)</f>
        <v>Dinorah Gómez Castellanos</v>
      </c>
      <c r="C715" s="83" t="s">
        <v>2168</v>
      </c>
      <c r="D715" s="83" t="s">
        <v>194</v>
      </c>
      <c r="E715" s="83" t="s">
        <v>1593</v>
      </c>
      <c r="F715" s="83" t="s">
        <v>1594</v>
      </c>
      <c r="G715" s="114">
        <v>400</v>
      </c>
      <c r="H715" s="85">
        <v>-13.25</v>
      </c>
      <c r="I715" s="115">
        <f t="shared" si="22"/>
        <v>3.3125000000000002E-2</v>
      </c>
      <c r="J715" s="87">
        <f t="shared" si="23"/>
        <v>386.75</v>
      </c>
      <c r="K715" s="87"/>
      <c r="L715" s="87" t="s">
        <v>4672</v>
      </c>
      <c r="M715" s="87"/>
      <c r="N715" s="524"/>
      <c r="O715" s="524">
        <f>+Tabla4[[#This Row],[PAGO NO EURO]]+Tabla4[[#This Row],[CARGO NO EURO]]</f>
        <v>0</v>
      </c>
      <c r="P715" s="524"/>
      <c r="Q715" s="155"/>
      <c r="R715" s="693">
        <f>+_xlfn.XLOOKUP(Tabla4[[#This Row],[ID CLIENTE]],'RESUMEN CLIENTES'!D:D,'RESUMEN CLIENTES'!G:G)</f>
        <v>45757</v>
      </c>
      <c r="S715" s="155" t="str">
        <f>+_xlfn.XLOOKUP(Tabla4[[#This Row],[ID CLIENTE]],'RESUMEN CLIENTES'!D:D,'RESUMEN CLIENTES'!AA:AA)</f>
        <v>B2.1</v>
      </c>
      <c r="T715" s="682" t="str">
        <f>+_xlfn.XLOOKUP(Tabla4[[#This Row],[ID CLIENTE]],'RESUMEN CLIENTES'!D:D,'RESUMEN CLIENTES'!C:C)</f>
        <v>México</v>
      </c>
    </row>
    <row r="716" spans="1:20" ht="16">
      <c r="A716" s="82">
        <v>45994</v>
      </c>
      <c r="B716" s="82" t="str">
        <f>+_xlfn.XLOOKUP(Tabla4[[#This Row],[ID CLIENTE]],'RESUMEN CLIENTES'!D:D,'RESUMEN CLIENTES'!A:A)</f>
        <v>Claudia Nivon Chacón</v>
      </c>
      <c r="C716" s="83" t="s">
        <v>2479</v>
      </c>
      <c r="D716" s="83" t="s">
        <v>1556</v>
      </c>
      <c r="E716" s="83" t="s">
        <v>1557</v>
      </c>
      <c r="F716" s="83" t="s">
        <v>1558</v>
      </c>
      <c r="G716" s="114">
        <v>250</v>
      </c>
      <c r="H716" s="85">
        <v>-8.3800000000000008</v>
      </c>
      <c r="I716" s="115">
        <f t="shared" si="22"/>
        <v>3.3520000000000001E-2</v>
      </c>
      <c r="J716" s="87">
        <f t="shared" si="23"/>
        <v>241.62</v>
      </c>
      <c r="K716" s="87"/>
      <c r="L716" s="87" t="s">
        <v>4672</v>
      </c>
      <c r="M716" s="87"/>
      <c r="N716" s="524"/>
      <c r="O716" s="524">
        <f>+Tabla4[[#This Row],[PAGO NO EURO]]+Tabla4[[#This Row],[CARGO NO EURO]]</f>
        <v>0</v>
      </c>
      <c r="P716" s="524"/>
      <c r="Q716" s="155"/>
      <c r="R716" s="693">
        <f>+_xlfn.XLOOKUP(Tabla4[[#This Row],[ID CLIENTE]],'RESUMEN CLIENTES'!D:D,'RESUMEN CLIENTES'!G:G)</f>
        <v>45994</v>
      </c>
      <c r="S716" s="155" t="str">
        <f>+_xlfn.XLOOKUP(Tabla4[[#This Row],[ID CLIENTE]],'RESUMEN CLIENTES'!D:D,'RESUMEN CLIENTES'!AA:AA)</f>
        <v>B1.1</v>
      </c>
      <c r="T716" s="682" t="str">
        <f>+_xlfn.XLOOKUP(Tabla4[[#This Row],[ID CLIENTE]],'RESUMEN CLIENTES'!D:D,'RESUMEN CLIENTES'!C:C)</f>
        <v>México</v>
      </c>
    </row>
    <row r="717" spans="1:20" ht="16">
      <c r="A717" s="82">
        <v>45994</v>
      </c>
      <c r="B717" s="82" t="str">
        <f>+_xlfn.XLOOKUP(Tabla4[[#This Row],[ID CLIENTE]],'RESUMEN CLIENTES'!D:D,'RESUMEN CLIENTES'!A:A)</f>
        <v>Guimar Asunción Cubilla Grunce</v>
      </c>
      <c r="C717" s="83" t="s">
        <v>2481</v>
      </c>
      <c r="D717" s="83" t="s">
        <v>1563</v>
      </c>
      <c r="E717" s="83" t="s">
        <v>1564</v>
      </c>
      <c r="F717" s="83" t="s">
        <v>1565</v>
      </c>
      <c r="G717" s="114">
        <v>250</v>
      </c>
      <c r="H717" s="85">
        <v>-8.3800000000000008</v>
      </c>
      <c r="I717" s="115">
        <f t="shared" si="22"/>
        <v>3.3520000000000001E-2</v>
      </c>
      <c r="J717" s="87">
        <f t="shared" si="23"/>
        <v>241.62</v>
      </c>
      <c r="K717" s="87"/>
      <c r="L717" s="87" t="s">
        <v>4672</v>
      </c>
      <c r="M717" s="87"/>
      <c r="N717" s="524"/>
      <c r="O717" s="524">
        <f>+Tabla4[[#This Row],[PAGO NO EURO]]+Tabla4[[#This Row],[CARGO NO EURO]]</f>
        <v>0</v>
      </c>
      <c r="P717" s="524"/>
      <c r="Q717" s="155"/>
      <c r="R717" s="693">
        <f>+_xlfn.XLOOKUP(Tabla4[[#This Row],[ID CLIENTE]],'RESUMEN CLIENTES'!D:D,'RESUMEN CLIENTES'!G:G)</f>
        <v>45994</v>
      </c>
      <c r="S717" s="155" t="str">
        <f>+_xlfn.XLOOKUP(Tabla4[[#This Row],[ID CLIENTE]],'RESUMEN CLIENTES'!D:D,'RESUMEN CLIENTES'!AA:AA)</f>
        <v>null</v>
      </c>
      <c r="T717" s="682" t="str">
        <f>+_xlfn.XLOOKUP(Tabla4[[#This Row],[ID CLIENTE]],'RESUMEN CLIENTES'!D:D,'RESUMEN CLIENTES'!C:C)</f>
        <v>Argentina</v>
      </c>
    </row>
    <row r="718" spans="1:20" ht="16">
      <c r="A718" s="82">
        <v>45994</v>
      </c>
      <c r="B718" s="82" t="str">
        <f>+_xlfn.XLOOKUP(Tabla4[[#This Row],[ID CLIENTE]],'RESUMEN CLIENTES'!D:D,'RESUMEN CLIENTES'!A:A)</f>
        <v>Bryan Israel Jiménez Puente</v>
      </c>
      <c r="C718" s="83" t="s">
        <v>2434</v>
      </c>
      <c r="D718" s="83" t="s">
        <v>1206</v>
      </c>
      <c r="E718" s="83" t="s">
        <v>1586</v>
      </c>
      <c r="F718" s="83" t="s">
        <v>1587</v>
      </c>
      <c r="G718" s="114">
        <v>1000</v>
      </c>
      <c r="H718" s="85">
        <v>-52.29</v>
      </c>
      <c r="I718" s="115">
        <f t="shared" si="22"/>
        <v>5.2289999999999996E-2</v>
      </c>
      <c r="J718" s="87">
        <f t="shared" si="23"/>
        <v>947.71</v>
      </c>
      <c r="K718" s="87"/>
      <c r="L718" s="87" t="s">
        <v>4672</v>
      </c>
      <c r="M718" s="87"/>
      <c r="N718" s="524"/>
      <c r="O718" s="524">
        <f>+Tabla4[[#This Row],[PAGO NO EURO]]+Tabla4[[#This Row],[CARGO NO EURO]]</f>
        <v>0</v>
      </c>
      <c r="P718" s="524"/>
      <c r="Q718" s="155"/>
      <c r="R718" s="693">
        <f>+_xlfn.XLOOKUP(Tabla4[[#This Row],[ID CLIENTE]],'RESUMEN CLIENTES'!D:D,'RESUMEN CLIENTES'!G:G)</f>
        <v>45947</v>
      </c>
      <c r="S718" s="155" t="str">
        <f>+_xlfn.XLOOKUP(Tabla4[[#This Row],[ID CLIENTE]],'RESUMEN CLIENTES'!D:D,'RESUMEN CLIENTES'!AA:AA)</f>
        <v>A1.1</v>
      </c>
      <c r="T718" s="682" t="str">
        <f>+_xlfn.XLOOKUP(Tabla4[[#This Row],[ID CLIENTE]],'RESUMEN CLIENTES'!D:D,'RESUMEN CLIENTES'!C:C)</f>
        <v>Ecuador</v>
      </c>
    </row>
    <row r="719" spans="1:20" ht="16">
      <c r="A719" s="82">
        <v>45995</v>
      </c>
      <c r="B719" s="82" t="str">
        <f>+_xlfn.XLOOKUP(Tabla4[[#This Row],[ID CLIENTE]],'RESUMEN CLIENTES'!D:D,'RESUMEN CLIENTES'!A:A)</f>
        <v>Mayra Leonor Rivera Paico</v>
      </c>
      <c r="C719" s="83" t="s">
        <v>2280</v>
      </c>
      <c r="D719" s="83" t="s">
        <v>407</v>
      </c>
      <c r="E719" s="83" t="s">
        <v>1574</v>
      </c>
      <c r="F719" s="83" t="s">
        <v>1575</v>
      </c>
      <c r="G719" s="114">
        <v>1000</v>
      </c>
      <c r="H719" s="85">
        <v>-32.75</v>
      </c>
      <c r="I719" s="115">
        <f t="shared" si="22"/>
        <v>3.2750000000000001E-2</v>
      </c>
      <c r="J719" s="87">
        <f t="shared" si="23"/>
        <v>967.25</v>
      </c>
      <c r="K719" s="87"/>
      <c r="L719" s="87" t="s">
        <v>4672</v>
      </c>
      <c r="M719" s="87"/>
      <c r="N719" s="524"/>
      <c r="O719" s="524">
        <f>+Tabla4[[#This Row],[PAGO NO EURO]]+Tabla4[[#This Row],[CARGO NO EURO]]</f>
        <v>0</v>
      </c>
      <c r="P719" s="524"/>
      <c r="Q719" s="155"/>
      <c r="R719" s="693">
        <f>+_xlfn.XLOOKUP(Tabla4[[#This Row],[ID CLIENTE]],'RESUMEN CLIENTES'!D:D,'RESUMEN CLIENTES'!G:G)</f>
        <v>45842</v>
      </c>
      <c r="S719" s="155" t="str">
        <f>+_xlfn.XLOOKUP(Tabla4[[#This Row],[ID CLIENTE]],'RESUMEN CLIENTES'!D:D,'RESUMEN CLIENTES'!AA:AA)</f>
        <v>A1.1</v>
      </c>
      <c r="T719" s="682" t="str">
        <f>+_xlfn.XLOOKUP(Tabla4[[#This Row],[ID CLIENTE]],'RESUMEN CLIENTES'!D:D,'RESUMEN CLIENTES'!C:C)</f>
        <v>Perú</v>
      </c>
    </row>
    <row r="720" spans="1:20" ht="16">
      <c r="A720" s="82">
        <v>45995</v>
      </c>
      <c r="B720" s="82" t="str">
        <f>+_xlfn.XLOOKUP(Tabla4[[#This Row],[ID CLIENTE]],'RESUMEN CLIENTES'!D:D,'RESUMEN CLIENTES'!A:A)</f>
        <v>Erick Ernesto Angulo Campos</v>
      </c>
      <c r="C720" s="83" t="s">
        <v>2443</v>
      </c>
      <c r="D720" s="83" t="s">
        <v>1251</v>
      </c>
      <c r="E720" s="83" t="s">
        <v>1561</v>
      </c>
      <c r="F720" s="83" t="s">
        <v>1562</v>
      </c>
      <c r="G720" s="114">
        <v>1000</v>
      </c>
      <c r="H720" s="85">
        <v>-32.75</v>
      </c>
      <c r="I720" s="115">
        <f t="shared" si="22"/>
        <v>3.2750000000000001E-2</v>
      </c>
      <c r="J720" s="87">
        <f t="shared" si="23"/>
        <v>967.25</v>
      </c>
      <c r="K720" s="87"/>
      <c r="L720" s="87" t="s">
        <v>4672</v>
      </c>
      <c r="M720" s="87"/>
      <c r="N720" s="524"/>
      <c r="O720" s="524">
        <f>+Tabla4[[#This Row],[PAGO NO EURO]]+Tabla4[[#This Row],[CARGO NO EURO]]</f>
        <v>0</v>
      </c>
      <c r="P720" s="524"/>
      <c r="Q720" s="155"/>
      <c r="R720" s="693">
        <f>+_xlfn.XLOOKUP(Tabla4[[#This Row],[ID CLIENTE]],'RESUMEN CLIENTES'!D:D,'RESUMEN CLIENTES'!G:G)</f>
        <v>45958</v>
      </c>
      <c r="S720" s="155" t="str">
        <f>+_xlfn.XLOOKUP(Tabla4[[#This Row],[ID CLIENTE]],'RESUMEN CLIENTES'!D:D,'RESUMEN CLIENTES'!AA:AA)</f>
        <v>A1.1</v>
      </c>
      <c r="T720" s="682" t="str">
        <f>+_xlfn.XLOOKUP(Tabla4[[#This Row],[ID CLIENTE]],'RESUMEN CLIENTES'!D:D,'RESUMEN CLIENTES'!C:C)</f>
        <v>Chile</v>
      </c>
    </row>
    <row r="721" spans="1:20" ht="16">
      <c r="A721" s="82">
        <v>45995</v>
      </c>
      <c r="B721" s="82" t="str">
        <f>+_xlfn.XLOOKUP(Tabla4[[#This Row],[ID CLIENTE]],'RESUMEN CLIENTES'!D:D,'RESUMEN CLIENTES'!A:A)</f>
        <v>Andrea Corpeño López</v>
      </c>
      <c r="C721" s="83" t="s">
        <v>2117</v>
      </c>
      <c r="D721" s="83" t="s">
        <v>84</v>
      </c>
      <c r="E721" s="83" t="s">
        <v>1507</v>
      </c>
      <c r="F721" s="83" t="s">
        <v>1508</v>
      </c>
      <c r="G721" s="114">
        <v>400</v>
      </c>
      <c r="H721" s="85">
        <v>-13.25</v>
      </c>
      <c r="I721" s="115">
        <f t="shared" si="22"/>
        <v>3.3125000000000002E-2</v>
      </c>
      <c r="J721" s="87">
        <f t="shared" si="23"/>
        <v>386.75</v>
      </c>
      <c r="K721" s="87"/>
      <c r="L721" s="87" t="s">
        <v>4672</v>
      </c>
      <c r="M721" s="87"/>
      <c r="N721" s="524"/>
      <c r="O721" s="524">
        <f>+Tabla4[[#This Row],[PAGO NO EURO]]+Tabla4[[#This Row],[CARGO NO EURO]]</f>
        <v>0</v>
      </c>
      <c r="P721" s="524"/>
      <c r="Q721" s="155"/>
      <c r="R721" s="693">
        <f>+_xlfn.XLOOKUP(Tabla4[[#This Row],[ID CLIENTE]],'RESUMEN CLIENTES'!D:D,'RESUMEN CLIENTES'!G:G)</f>
        <v>45658</v>
      </c>
      <c r="S721" s="155" t="str">
        <f>+_xlfn.XLOOKUP(Tabla4[[#This Row],[ID CLIENTE]],'RESUMEN CLIENTES'!D:D,'RESUMEN CLIENTES'!AA:AA)</f>
        <v>-</v>
      </c>
      <c r="T721" s="682" t="str">
        <f>+_xlfn.XLOOKUP(Tabla4[[#This Row],[ID CLIENTE]],'RESUMEN CLIENTES'!D:D,'RESUMEN CLIENTES'!C:C)</f>
        <v>El Salvador</v>
      </c>
    </row>
    <row r="722" spans="1:20" ht="16">
      <c r="A722" s="82">
        <v>45995</v>
      </c>
      <c r="B722" s="82" t="str">
        <f>+_xlfn.XLOOKUP(Tabla4[[#This Row],[ID CLIENTE]],'RESUMEN CLIENTES'!D:D,'RESUMEN CLIENTES'!A:A)</f>
        <v>María Fernanda Alvar Sepúlveda</v>
      </c>
      <c r="C722" s="83" t="s">
        <v>2123</v>
      </c>
      <c r="D722" s="83" t="s">
        <v>80</v>
      </c>
      <c r="E722" s="83" t="s">
        <v>1611</v>
      </c>
      <c r="F722" s="83" t="s">
        <v>1612</v>
      </c>
      <c r="G722" s="114">
        <v>800</v>
      </c>
      <c r="H722" s="85">
        <v>-26.25</v>
      </c>
      <c r="I722" s="115">
        <f t="shared" si="22"/>
        <v>3.2812500000000001E-2</v>
      </c>
      <c r="J722" s="87">
        <f t="shared" si="23"/>
        <v>773.75</v>
      </c>
      <c r="K722" s="87"/>
      <c r="L722" s="87" t="s">
        <v>4672</v>
      </c>
      <c r="M722" s="87"/>
      <c r="N722" s="524"/>
      <c r="O722" s="524">
        <f>+Tabla4[[#This Row],[PAGO NO EURO]]+Tabla4[[#This Row],[CARGO NO EURO]]</f>
        <v>0</v>
      </c>
      <c r="P722" s="524"/>
      <c r="Q722" s="155"/>
      <c r="R722" s="693">
        <f>+_xlfn.XLOOKUP(Tabla4[[#This Row],[ID CLIENTE]],'RESUMEN CLIENTES'!D:D,'RESUMEN CLIENTES'!G:G)</f>
        <v>45684</v>
      </c>
      <c r="S722" s="155" t="str">
        <f>+_xlfn.XLOOKUP(Tabla4[[#This Row],[ID CLIENTE]],'RESUMEN CLIENTES'!D:D,'RESUMEN CLIENTES'!AA:AA)</f>
        <v>A1.1</v>
      </c>
      <c r="T722" s="682" t="str">
        <f>+_xlfn.XLOOKUP(Tabla4[[#This Row],[ID CLIENTE]],'RESUMEN CLIENTES'!D:D,'RESUMEN CLIENTES'!C:C)</f>
        <v>Chile</v>
      </c>
    </row>
    <row r="723" spans="1:20" ht="16">
      <c r="A723" s="82">
        <v>45995</v>
      </c>
      <c r="B723" s="82" t="str">
        <f>+_xlfn.XLOOKUP(Tabla4[[#This Row],[ID CLIENTE]],'RESUMEN CLIENTES'!D:D,'RESUMEN CLIENTES'!A:A)</f>
        <v>Claudia Nivon Chacón</v>
      </c>
      <c r="C723" s="83" t="s">
        <v>2479</v>
      </c>
      <c r="D723" s="83" t="s">
        <v>1556</v>
      </c>
      <c r="E723" s="83" t="s">
        <v>1572</v>
      </c>
      <c r="F723" s="83" t="s">
        <v>1573</v>
      </c>
      <c r="G723" s="114">
        <v>2022.72</v>
      </c>
      <c r="H723" s="85">
        <v>-65.989999999999995</v>
      </c>
      <c r="I723" s="115">
        <f t="shared" si="22"/>
        <v>3.2624386964087961E-2</v>
      </c>
      <c r="J723" s="87">
        <f t="shared" si="23"/>
        <v>1956.73</v>
      </c>
      <c r="K723" s="87"/>
      <c r="L723" s="87" t="s">
        <v>4672</v>
      </c>
      <c r="M723" s="87"/>
      <c r="N723" s="524"/>
      <c r="O723" s="524">
        <f>+Tabla4[[#This Row],[PAGO NO EURO]]+Tabla4[[#This Row],[CARGO NO EURO]]</f>
        <v>0</v>
      </c>
      <c r="P723" s="524"/>
      <c r="Q723" s="155"/>
      <c r="R723" s="693">
        <f>+_xlfn.XLOOKUP(Tabla4[[#This Row],[ID CLIENTE]],'RESUMEN CLIENTES'!D:D,'RESUMEN CLIENTES'!G:G)</f>
        <v>45994</v>
      </c>
      <c r="S723" s="155" t="str">
        <f>+_xlfn.XLOOKUP(Tabla4[[#This Row],[ID CLIENTE]],'RESUMEN CLIENTES'!D:D,'RESUMEN CLIENTES'!AA:AA)</f>
        <v>B1.1</v>
      </c>
      <c r="T723" s="682" t="str">
        <f>+_xlfn.XLOOKUP(Tabla4[[#This Row],[ID CLIENTE]],'RESUMEN CLIENTES'!D:D,'RESUMEN CLIENTES'!C:C)</f>
        <v>México</v>
      </c>
    </row>
    <row r="724" spans="1:20" ht="16">
      <c r="A724" s="82">
        <v>45995</v>
      </c>
      <c r="B724" s="82" t="str">
        <f>+_xlfn.XLOOKUP(Tabla4[[#This Row],[ID CLIENTE]],'RESUMEN CLIENTES'!D:D,'RESUMEN CLIENTES'!A:A)</f>
        <v>Armando Josmarx Suárez Solis</v>
      </c>
      <c r="C724" s="83" t="s">
        <v>2408</v>
      </c>
      <c r="D724" s="83" t="s">
        <v>904</v>
      </c>
      <c r="E724" s="83" t="s">
        <v>1633</v>
      </c>
      <c r="F724" s="83" t="s">
        <v>1634</v>
      </c>
      <c r="G724" s="114">
        <v>925</v>
      </c>
      <c r="H724" s="85">
        <v>-30.31</v>
      </c>
      <c r="I724" s="115">
        <f t="shared" si="22"/>
        <v>3.2767567567567567E-2</v>
      </c>
      <c r="J724" s="87">
        <f t="shared" si="23"/>
        <v>894.69</v>
      </c>
      <c r="K724" s="87"/>
      <c r="L724" s="87" t="s">
        <v>4672</v>
      </c>
      <c r="M724" s="87"/>
      <c r="N724" s="524"/>
      <c r="O724" s="524">
        <f>+Tabla4[[#This Row],[PAGO NO EURO]]+Tabla4[[#This Row],[CARGO NO EURO]]</f>
        <v>0</v>
      </c>
      <c r="P724" s="524"/>
      <c r="Q724" s="155"/>
      <c r="R724" s="693">
        <f>+_xlfn.XLOOKUP(Tabla4[[#This Row],[ID CLIENTE]],'RESUMEN CLIENTES'!D:D,'RESUMEN CLIENTES'!G:G)</f>
        <v>45906</v>
      </c>
      <c r="S724" s="155" t="str">
        <f>+_xlfn.XLOOKUP(Tabla4[[#This Row],[ID CLIENTE]],'RESUMEN CLIENTES'!D:D,'RESUMEN CLIENTES'!AA:AA)</f>
        <v>A2.1</v>
      </c>
      <c r="T724" s="682" t="str">
        <f>+_xlfn.XLOOKUP(Tabla4[[#This Row],[ID CLIENTE]],'RESUMEN CLIENTES'!D:D,'RESUMEN CLIENTES'!C:C)</f>
        <v>Nicaragua</v>
      </c>
    </row>
    <row r="725" spans="1:20" ht="16">
      <c r="A725" s="82">
        <v>45995</v>
      </c>
      <c r="B725" s="82" t="str">
        <f>+_xlfn.XLOOKUP(Tabla4[[#This Row],[ID CLIENTE]],'RESUMEN CLIENTES'!D:D,'RESUMEN CLIENTES'!A:A)</f>
        <v>Armando Josmarx Suárez Solis</v>
      </c>
      <c r="C725" s="83" t="s">
        <v>2408</v>
      </c>
      <c r="D725" s="83" t="s">
        <v>904</v>
      </c>
      <c r="E725" s="83" t="s">
        <v>1635</v>
      </c>
      <c r="F725" s="83" t="s">
        <v>1636</v>
      </c>
      <c r="G725" s="114">
        <v>925</v>
      </c>
      <c r="H725" s="85">
        <v>-30.31</v>
      </c>
      <c r="I725" s="115">
        <f t="shared" ref="I725:I788" si="24">+IFERROR(-(H725)/G725,"")</f>
        <v>3.2767567567567567E-2</v>
      </c>
      <c r="J725" s="87">
        <f t="shared" ref="J725:J788" si="25">+G725+H725</f>
        <v>894.69</v>
      </c>
      <c r="K725" s="87"/>
      <c r="L725" s="87" t="s">
        <v>4672</v>
      </c>
      <c r="M725" s="87"/>
      <c r="N725" s="524"/>
      <c r="O725" s="524">
        <f>+Tabla4[[#This Row],[PAGO NO EURO]]+Tabla4[[#This Row],[CARGO NO EURO]]</f>
        <v>0</v>
      </c>
      <c r="P725" s="524"/>
      <c r="Q725" s="155"/>
      <c r="R725" s="693">
        <f>+_xlfn.XLOOKUP(Tabla4[[#This Row],[ID CLIENTE]],'RESUMEN CLIENTES'!D:D,'RESUMEN CLIENTES'!G:G)</f>
        <v>45906</v>
      </c>
      <c r="S725" s="155" t="str">
        <f>+_xlfn.XLOOKUP(Tabla4[[#This Row],[ID CLIENTE]],'RESUMEN CLIENTES'!D:D,'RESUMEN CLIENTES'!AA:AA)</f>
        <v>A2.1</v>
      </c>
      <c r="T725" s="682" t="str">
        <f>+_xlfn.XLOOKUP(Tabla4[[#This Row],[ID CLIENTE]],'RESUMEN CLIENTES'!D:D,'RESUMEN CLIENTES'!C:C)</f>
        <v>Nicaragua</v>
      </c>
    </row>
    <row r="726" spans="1:20" ht="16">
      <c r="A726" s="82">
        <v>45995</v>
      </c>
      <c r="B726" s="82" t="str">
        <f>+_xlfn.XLOOKUP(Tabla4[[#This Row],[ID CLIENTE]],'RESUMEN CLIENTES'!D:D,'RESUMEN CLIENTES'!A:A)</f>
        <v>Armando Josmarx Suárez Solis</v>
      </c>
      <c r="C726" s="83" t="s">
        <v>2408</v>
      </c>
      <c r="D726" s="83" t="s">
        <v>904</v>
      </c>
      <c r="E726" s="83" t="s">
        <v>1637</v>
      </c>
      <c r="F726" s="83" t="s">
        <v>1638</v>
      </c>
      <c r="G726" s="114">
        <v>925</v>
      </c>
      <c r="H726" s="85">
        <v>-30.31</v>
      </c>
      <c r="I726" s="115">
        <f t="shared" si="24"/>
        <v>3.2767567567567567E-2</v>
      </c>
      <c r="J726" s="87">
        <f t="shared" si="25"/>
        <v>894.69</v>
      </c>
      <c r="K726" s="87"/>
      <c r="L726" s="87" t="s">
        <v>4672</v>
      </c>
      <c r="M726" s="87"/>
      <c r="N726" s="524"/>
      <c r="O726" s="524">
        <f>+Tabla4[[#This Row],[PAGO NO EURO]]+Tabla4[[#This Row],[CARGO NO EURO]]</f>
        <v>0</v>
      </c>
      <c r="P726" s="524"/>
      <c r="Q726" s="155"/>
      <c r="R726" s="693">
        <f>+_xlfn.XLOOKUP(Tabla4[[#This Row],[ID CLIENTE]],'RESUMEN CLIENTES'!D:D,'RESUMEN CLIENTES'!G:G)</f>
        <v>45906</v>
      </c>
      <c r="S726" s="155" t="str">
        <f>+_xlfn.XLOOKUP(Tabla4[[#This Row],[ID CLIENTE]],'RESUMEN CLIENTES'!D:D,'RESUMEN CLIENTES'!AA:AA)</f>
        <v>A2.1</v>
      </c>
      <c r="T726" s="682" t="str">
        <f>+_xlfn.XLOOKUP(Tabla4[[#This Row],[ID CLIENTE]],'RESUMEN CLIENTES'!D:D,'RESUMEN CLIENTES'!C:C)</f>
        <v>Nicaragua</v>
      </c>
    </row>
    <row r="727" spans="1:20" ht="16">
      <c r="A727" s="82">
        <v>45995</v>
      </c>
      <c r="B727" s="82" t="str">
        <f>+_xlfn.XLOOKUP(Tabla4[[#This Row],[ID CLIENTE]],'RESUMEN CLIENTES'!D:D,'RESUMEN CLIENTES'!A:A)</f>
        <v>Armando Josmarx Suárez Solis</v>
      </c>
      <c r="C727" s="83" t="s">
        <v>2408</v>
      </c>
      <c r="D727" s="83" t="s">
        <v>904</v>
      </c>
      <c r="E727" s="83" t="s">
        <v>1631</v>
      </c>
      <c r="F727" s="83" t="s">
        <v>1632</v>
      </c>
      <c r="G727" s="114">
        <v>925</v>
      </c>
      <c r="H727" s="85">
        <v>-30.31</v>
      </c>
      <c r="I727" s="115">
        <f t="shared" si="24"/>
        <v>3.2767567567567567E-2</v>
      </c>
      <c r="J727" s="87">
        <f t="shared" si="25"/>
        <v>894.69</v>
      </c>
      <c r="K727" s="87"/>
      <c r="L727" s="87" t="s">
        <v>4672</v>
      </c>
      <c r="M727" s="87"/>
      <c r="N727" s="524"/>
      <c r="O727" s="524">
        <f>+Tabla4[[#This Row],[PAGO NO EURO]]+Tabla4[[#This Row],[CARGO NO EURO]]</f>
        <v>0</v>
      </c>
      <c r="P727" s="524"/>
      <c r="Q727" s="155"/>
      <c r="R727" s="693">
        <f>+_xlfn.XLOOKUP(Tabla4[[#This Row],[ID CLIENTE]],'RESUMEN CLIENTES'!D:D,'RESUMEN CLIENTES'!G:G)</f>
        <v>45906</v>
      </c>
      <c r="S727" s="155" t="str">
        <f>+_xlfn.XLOOKUP(Tabla4[[#This Row],[ID CLIENTE]],'RESUMEN CLIENTES'!D:D,'RESUMEN CLIENTES'!AA:AA)</f>
        <v>A2.1</v>
      </c>
      <c r="T727" s="682" t="str">
        <f>+_xlfn.XLOOKUP(Tabla4[[#This Row],[ID CLIENTE]],'RESUMEN CLIENTES'!D:D,'RESUMEN CLIENTES'!C:C)</f>
        <v>Nicaragua</v>
      </c>
    </row>
    <row r="728" spans="1:20" ht="16">
      <c r="A728" s="82">
        <v>45995</v>
      </c>
      <c r="B728" s="82" t="str">
        <f>+_xlfn.XLOOKUP(Tabla4[[#This Row],[ID CLIENTE]],'RESUMEN CLIENTES'!D:D,'RESUMEN CLIENTES'!A:A)</f>
        <v>Moira Millaray Schneider Rivera</v>
      </c>
      <c r="C728" s="83" t="s">
        <v>2147</v>
      </c>
      <c r="D728" s="83" t="s">
        <v>129</v>
      </c>
      <c r="E728" s="83" t="s">
        <v>1621</v>
      </c>
      <c r="F728" s="83" t="s">
        <v>1622</v>
      </c>
      <c r="G728" s="114">
        <v>1000</v>
      </c>
      <c r="H728" s="85">
        <v>-32.75</v>
      </c>
      <c r="I728" s="115">
        <f t="shared" si="24"/>
        <v>3.2750000000000001E-2</v>
      </c>
      <c r="J728" s="87">
        <f t="shared" si="25"/>
        <v>967.25</v>
      </c>
      <c r="K728" s="87"/>
      <c r="L728" s="87" t="s">
        <v>4672</v>
      </c>
      <c r="M728" s="87"/>
      <c r="N728" s="524"/>
      <c r="O728" s="524">
        <f>+Tabla4[[#This Row],[PAGO NO EURO]]+Tabla4[[#This Row],[CARGO NO EURO]]</f>
        <v>0</v>
      </c>
      <c r="P728" s="524"/>
      <c r="Q728" s="155"/>
      <c r="R728" s="693">
        <f>+_xlfn.XLOOKUP(Tabla4[[#This Row],[ID CLIENTE]],'RESUMEN CLIENTES'!D:D,'RESUMEN CLIENTES'!G:G)</f>
        <v>45740</v>
      </c>
      <c r="S728" s="155" t="str">
        <f>+_xlfn.XLOOKUP(Tabla4[[#This Row],[ID CLIENTE]],'RESUMEN CLIENTES'!D:D,'RESUMEN CLIENTES'!AA:AA)</f>
        <v>null</v>
      </c>
      <c r="T728" s="682" t="str">
        <f>+_xlfn.XLOOKUP(Tabla4[[#This Row],[ID CLIENTE]],'RESUMEN CLIENTES'!D:D,'RESUMEN CLIENTES'!C:C)</f>
        <v>Chile</v>
      </c>
    </row>
    <row r="729" spans="1:20" ht="16">
      <c r="A729" s="82">
        <v>45996</v>
      </c>
      <c r="B729" s="82" t="str">
        <f>+_xlfn.XLOOKUP(Tabla4[[#This Row],[ID CLIENTE]],'RESUMEN CLIENTES'!D:D,'RESUMEN CLIENTES'!A:A)</f>
        <v xml:space="preserve">Catalina Ochoa Urrutia
</v>
      </c>
      <c r="C729" s="83" t="s">
        <v>2180</v>
      </c>
      <c r="D729" s="83" t="s">
        <v>168</v>
      </c>
      <c r="E729" s="83" t="s">
        <v>1591</v>
      </c>
      <c r="F729" s="83" t="s">
        <v>1592</v>
      </c>
      <c r="G729" s="114">
        <v>1500</v>
      </c>
      <c r="H729" s="85">
        <v>-49</v>
      </c>
      <c r="I729" s="115">
        <f t="shared" si="24"/>
        <v>3.2666666666666663E-2</v>
      </c>
      <c r="J729" s="87">
        <f t="shared" si="25"/>
        <v>1451</v>
      </c>
      <c r="K729" s="87"/>
      <c r="L729" s="87" t="s">
        <v>4672</v>
      </c>
      <c r="M729" s="87"/>
      <c r="N729" s="524"/>
      <c r="O729" s="524">
        <f>+Tabla4[[#This Row],[PAGO NO EURO]]+Tabla4[[#This Row],[CARGO NO EURO]]</f>
        <v>0</v>
      </c>
      <c r="P729" s="524"/>
      <c r="Q729" s="155"/>
      <c r="R729" s="693">
        <f>+_xlfn.XLOOKUP(Tabla4[[#This Row],[ID CLIENTE]],'RESUMEN CLIENTES'!D:D,'RESUMEN CLIENTES'!G:G)</f>
        <v>45762</v>
      </c>
      <c r="S729" s="155" t="str">
        <f>+_xlfn.XLOOKUP(Tabla4[[#This Row],[ID CLIENTE]],'RESUMEN CLIENTES'!D:D,'RESUMEN CLIENTES'!AA:AA)</f>
        <v>B2.1</v>
      </c>
      <c r="T729" s="682" t="str">
        <f>+_xlfn.XLOOKUP(Tabla4[[#This Row],[ID CLIENTE]],'RESUMEN CLIENTES'!D:D,'RESUMEN CLIENTES'!C:C)</f>
        <v>Chile</v>
      </c>
    </row>
    <row r="730" spans="1:20" ht="16">
      <c r="A730" s="82">
        <v>45996</v>
      </c>
      <c r="B730" s="82" t="str">
        <f>+_xlfn.XLOOKUP(Tabla4[[#This Row],[ID CLIENTE]],'RESUMEN CLIENTES'!D:D,'RESUMEN CLIENTES'!A:A)</f>
        <v>Ian Job Lino Durán</v>
      </c>
      <c r="C730" s="83" t="s">
        <v>2135</v>
      </c>
      <c r="D730" s="83" t="s">
        <v>109</v>
      </c>
      <c r="E730" s="83" t="s">
        <v>1601</v>
      </c>
      <c r="F730" s="83" t="s">
        <v>1602</v>
      </c>
      <c r="G730" s="114">
        <v>950</v>
      </c>
      <c r="H730" s="85">
        <v>-31.13</v>
      </c>
      <c r="I730" s="115">
        <f t="shared" si="24"/>
        <v>3.2768421052631579E-2</v>
      </c>
      <c r="J730" s="87">
        <f t="shared" si="25"/>
        <v>918.87</v>
      </c>
      <c r="K730" s="87"/>
      <c r="L730" s="87" t="s">
        <v>4672</v>
      </c>
      <c r="M730" s="87"/>
      <c r="N730" s="524"/>
      <c r="O730" s="524">
        <f>+Tabla4[[#This Row],[PAGO NO EURO]]+Tabla4[[#This Row],[CARGO NO EURO]]</f>
        <v>0</v>
      </c>
      <c r="P730" s="524"/>
      <c r="Q730" s="155"/>
      <c r="R730" s="693">
        <f>+_xlfn.XLOOKUP(Tabla4[[#This Row],[ID CLIENTE]],'RESUMEN CLIENTES'!D:D,'RESUMEN CLIENTES'!G:G)</f>
        <v>45729</v>
      </c>
      <c r="S730" s="155" t="str">
        <f>+_xlfn.XLOOKUP(Tabla4[[#This Row],[ID CLIENTE]],'RESUMEN CLIENTES'!D:D,'RESUMEN CLIENTES'!AA:AA)</f>
        <v>B2.1</v>
      </c>
      <c r="T730" s="682" t="str">
        <f>+_xlfn.XLOOKUP(Tabla4[[#This Row],[ID CLIENTE]],'RESUMEN CLIENTES'!D:D,'RESUMEN CLIENTES'!C:C)</f>
        <v>México</v>
      </c>
    </row>
    <row r="731" spans="1:20" ht="16">
      <c r="A731" s="82">
        <v>45996</v>
      </c>
      <c r="B731" s="82" t="str">
        <f>+_xlfn.XLOOKUP(Tabla4[[#This Row],[ID CLIENTE]],'RESUMEN CLIENTES'!D:D,'RESUMEN CLIENTES'!A:A)</f>
        <v>Judith Elizabeth Lopez Sanchez</v>
      </c>
      <c r="C731" s="83" t="s">
        <v>2416</v>
      </c>
      <c r="D731" s="83" t="s">
        <v>955</v>
      </c>
      <c r="E731" s="83" t="s">
        <v>1607</v>
      </c>
      <c r="F731" s="83" t="s">
        <v>1608</v>
      </c>
      <c r="G731" s="114">
        <v>1000</v>
      </c>
      <c r="H731" s="85">
        <v>-32.75</v>
      </c>
      <c r="I731" s="115">
        <f t="shared" si="24"/>
        <v>3.2750000000000001E-2</v>
      </c>
      <c r="J731" s="87">
        <f t="shared" si="25"/>
        <v>967.25</v>
      </c>
      <c r="K731" s="87"/>
      <c r="L731" s="87" t="s">
        <v>4672</v>
      </c>
      <c r="M731" s="87"/>
      <c r="N731" s="524"/>
      <c r="O731" s="524">
        <f>+Tabla4[[#This Row],[PAGO NO EURO]]+Tabla4[[#This Row],[CARGO NO EURO]]</f>
        <v>0</v>
      </c>
      <c r="P731" s="524"/>
      <c r="Q731" s="155"/>
      <c r="R731" s="693">
        <f>+_xlfn.XLOOKUP(Tabla4[[#This Row],[ID CLIENTE]],'RESUMEN CLIENTES'!D:D,'RESUMEN CLIENTES'!G:G)</f>
        <v>45913</v>
      </c>
      <c r="S731" s="155" t="str">
        <f>+_xlfn.XLOOKUP(Tabla4[[#This Row],[ID CLIENTE]],'RESUMEN CLIENTES'!D:D,'RESUMEN CLIENTES'!AA:AA)</f>
        <v>A1.1</v>
      </c>
      <c r="T731" s="682" t="str">
        <f>+_xlfn.XLOOKUP(Tabla4[[#This Row],[ID CLIENTE]],'RESUMEN CLIENTES'!D:D,'RESUMEN CLIENTES'!C:C)</f>
        <v>Perú</v>
      </c>
    </row>
    <row r="732" spans="1:20" ht="16">
      <c r="A732" s="82">
        <v>45996</v>
      </c>
      <c r="B732" s="82" t="str">
        <f>+_xlfn.XLOOKUP(Tabla4[[#This Row],[ID CLIENTE]],'RESUMEN CLIENTES'!D:D,'RESUMEN CLIENTES'!A:A)</f>
        <v>Guillermo Alfonso Garvalena Gaxiola</v>
      </c>
      <c r="C732" s="83" t="s">
        <v>2176</v>
      </c>
      <c r="D732" s="83" t="s">
        <v>171</v>
      </c>
      <c r="E732" s="83" t="s">
        <v>1599</v>
      </c>
      <c r="F732" s="83" t="s">
        <v>1600</v>
      </c>
      <c r="G732" s="114">
        <v>500</v>
      </c>
      <c r="H732" s="85">
        <v>-16.5</v>
      </c>
      <c r="I732" s="115">
        <f t="shared" si="24"/>
        <v>3.3000000000000002E-2</v>
      </c>
      <c r="J732" s="87">
        <f t="shared" si="25"/>
        <v>483.5</v>
      </c>
      <c r="K732" s="87"/>
      <c r="L732" s="87" t="s">
        <v>4672</v>
      </c>
      <c r="M732" s="87"/>
      <c r="N732" s="524"/>
      <c r="O732" s="524">
        <f>+Tabla4[[#This Row],[PAGO NO EURO]]+Tabla4[[#This Row],[CARGO NO EURO]]</f>
        <v>0</v>
      </c>
      <c r="P732" s="524"/>
      <c r="Q732" s="155"/>
      <c r="R732" s="693">
        <f>+_xlfn.XLOOKUP(Tabla4[[#This Row],[ID CLIENTE]],'RESUMEN CLIENTES'!D:D,'RESUMEN CLIENTES'!G:G)</f>
        <v>45762</v>
      </c>
      <c r="S732" s="155" t="str">
        <f>+_xlfn.XLOOKUP(Tabla4[[#This Row],[ID CLIENTE]],'RESUMEN CLIENTES'!D:D,'RESUMEN CLIENTES'!AA:AA)</f>
        <v>A2.1</v>
      </c>
      <c r="T732" s="682" t="str">
        <f>+_xlfn.XLOOKUP(Tabla4[[#This Row],[ID CLIENTE]],'RESUMEN CLIENTES'!D:D,'RESUMEN CLIENTES'!C:C)</f>
        <v>México</v>
      </c>
    </row>
    <row r="733" spans="1:20" ht="16">
      <c r="A733" s="82">
        <v>45996</v>
      </c>
      <c r="B733" s="82" t="str">
        <f>+_xlfn.XLOOKUP(Tabla4[[#This Row],[ID CLIENTE]],'RESUMEN CLIENTES'!D:D,'RESUMEN CLIENTES'!A:A)</f>
        <v>Guillermo Alfonso Garvalena Gaxiola</v>
      </c>
      <c r="C733" s="83" t="s">
        <v>2176</v>
      </c>
      <c r="D733" s="83" t="s">
        <v>171</v>
      </c>
      <c r="E733" s="83" t="s">
        <v>1597</v>
      </c>
      <c r="F733" s="83" t="s">
        <v>1598</v>
      </c>
      <c r="G733" s="114">
        <v>200</v>
      </c>
      <c r="H733" s="85">
        <v>-6.75</v>
      </c>
      <c r="I733" s="115">
        <f t="shared" si="24"/>
        <v>3.3750000000000002E-2</v>
      </c>
      <c r="J733" s="87">
        <f t="shared" si="25"/>
        <v>193.25</v>
      </c>
      <c r="K733" s="87"/>
      <c r="L733" s="87" t="s">
        <v>4672</v>
      </c>
      <c r="M733" s="87"/>
      <c r="N733" s="524"/>
      <c r="O733" s="524">
        <f>+Tabla4[[#This Row],[PAGO NO EURO]]+Tabla4[[#This Row],[CARGO NO EURO]]</f>
        <v>0</v>
      </c>
      <c r="P733" s="524"/>
      <c r="Q733" s="155"/>
      <c r="R733" s="693">
        <f>+_xlfn.XLOOKUP(Tabla4[[#This Row],[ID CLIENTE]],'RESUMEN CLIENTES'!D:D,'RESUMEN CLIENTES'!G:G)</f>
        <v>45762</v>
      </c>
      <c r="S733" s="155" t="str">
        <f>+_xlfn.XLOOKUP(Tabla4[[#This Row],[ID CLIENTE]],'RESUMEN CLIENTES'!D:D,'RESUMEN CLIENTES'!AA:AA)</f>
        <v>A2.1</v>
      </c>
      <c r="T733" s="682" t="str">
        <f>+_xlfn.XLOOKUP(Tabla4[[#This Row],[ID CLIENTE]],'RESUMEN CLIENTES'!D:D,'RESUMEN CLIENTES'!C:C)</f>
        <v>México</v>
      </c>
    </row>
    <row r="734" spans="1:20" ht="16">
      <c r="A734" s="82">
        <v>45996</v>
      </c>
      <c r="B734" s="82" t="str">
        <f>+_xlfn.XLOOKUP(Tabla4[[#This Row],[ID CLIENTE]],'RESUMEN CLIENTES'!D:D,'RESUMEN CLIENTES'!A:A)</f>
        <v>Juan Manuel Paranzino</v>
      </c>
      <c r="C734" s="83" t="s">
        <v>2391</v>
      </c>
      <c r="D734" s="83" t="s">
        <v>798</v>
      </c>
      <c r="E734" s="83" t="s">
        <v>1605</v>
      </c>
      <c r="F734" s="83" t="s">
        <v>1606</v>
      </c>
      <c r="G734" s="114">
        <v>600</v>
      </c>
      <c r="H734" s="85">
        <v>-19.75</v>
      </c>
      <c r="I734" s="115">
        <f t="shared" si="24"/>
        <v>3.2916666666666664E-2</v>
      </c>
      <c r="J734" s="87">
        <f t="shared" si="25"/>
        <v>580.25</v>
      </c>
      <c r="K734" s="87"/>
      <c r="L734" s="87" t="s">
        <v>4672</v>
      </c>
      <c r="M734" s="87"/>
      <c r="N734" s="524"/>
      <c r="O734" s="524">
        <f>+Tabla4[[#This Row],[PAGO NO EURO]]+Tabla4[[#This Row],[CARGO NO EURO]]</f>
        <v>0</v>
      </c>
      <c r="P734" s="524"/>
      <c r="Q734" s="155"/>
      <c r="R734" s="693">
        <f>+_xlfn.XLOOKUP(Tabla4[[#This Row],[ID CLIENTE]],'RESUMEN CLIENTES'!D:D,'RESUMEN CLIENTES'!G:G)</f>
        <v>45900</v>
      </c>
      <c r="S734" s="155" t="str">
        <f>+_xlfn.XLOOKUP(Tabla4[[#This Row],[ID CLIENTE]],'RESUMEN CLIENTES'!D:D,'RESUMEN CLIENTES'!AA:AA)</f>
        <v>B1.1</v>
      </c>
      <c r="T734" s="682" t="str">
        <f>+_xlfn.XLOOKUP(Tabla4[[#This Row],[ID CLIENTE]],'RESUMEN CLIENTES'!D:D,'RESUMEN CLIENTES'!C:C)</f>
        <v>Argentina</v>
      </c>
    </row>
    <row r="735" spans="1:20" ht="16">
      <c r="A735" s="82">
        <v>45996</v>
      </c>
      <c r="B735" s="82" t="str">
        <f>+_xlfn.XLOOKUP(Tabla4[[#This Row],[ID CLIENTE]],'RESUMEN CLIENTES'!D:D,'RESUMEN CLIENTES'!A:A)</f>
        <v>María Fernanda Cid Ramírez</v>
      </c>
      <c r="C735" s="83" t="s">
        <v>2477</v>
      </c>
      <c r="D735" s="83" t="s">
        <v>1551</v>
      </c>
      <c r="E735" s="83" t="s">
        <v>1613</v>
      </c>
      <c r="F735" s="83" t="s">
        <v>1614</v>
      </c>
      <c r="G735" s="114">
        <v>1250</v>
      </c>
      <c r="H735" s="85">
        <v>-40.880000000000003</v>
      </c>
      <c r="I735" s="115">
        <f t="shared" si="24"/>
        <v>3.2704000000000004E-2</v>
      </c>
      <c r="J735" s="87">
        <f t="shared" si="25"/>
        <v>1209.1199999999999</v>
      </c>
      <c r="K735" s="87"/>
      <c r="L735" s="87" t="s">
        <v>4672</v>
      </c>
      <c r="M735" s="87"/>
      <c r="N735" s="524"/>
      <c r="O735" s="524">
        <f>+Tabla4[[#This Row],[PAGO NO EURO]]+Tabla4[[#This Row],[CARGO NO EURO]]</f>
        <v>0</v>
      </c>
      <c r="P735" s="524"/>
      <c r="Q735" s="155"/>
      <c r="R735" s="693">
        <f>+_xlfn.XLOOKUP(Tabla4[[#This Row],[ID CLIENTE]],'RESUMEN CLIENTES'!D:D,'RESUMEN CLIENTES'!G:G)</f>
        <v>45993</v>
      </c>
      <c r="S735" s="155" t="str">
        <f>+_xlfn.XLOOKUP(Tabla4[[#This Row],[ID CLIENTE]],'RESUMEN CLIENTES'!D:D,'RESUMEN CLIENTES'!AA:AA)</f>
        <v>-</v>
      </c>
      <c r="T735" s="682" t="str">
        <f>+_xlfn.XLOOKUP(Tabla4[[#This Row],[ID CLIENTE]],'RESUMEN CLIENTES'!D:D,'RESUMEN CLIENTES'!C:C)</f>
        <v>México</v>
      </c>
    </row>
    <row r="736" spans="1:20" ht="16">
      <c r="A736" s="82">
        <v>45996</v>
      </c>
      <c r="B736" s="82" t="str">
        <f>+_xlfn.XLOOKUP(Tabla4[[#This Row],[ID CLIENTE]],'RESUMEN CLIENTES'!D:D,'RESUMEN CLIENTES'!A:A)</f>
        <v>Alejandra Leva Vallejo</v>
      </c>
      <c r="C736" s="83" t="s">
        <v>2178</v>
      </c>
      <c r="D736" s="83" t="s">
        <v>165</v>
      </c>
      <c r="E736" s="83" t="s">
        <v>1582</v>
      </c>
      <c r="F736" s="83" t="s">
        <v>1583</v>
      </c>
      <c r="G736" s="114">
        <v>2000</v>
      </c>
      <c r="H736" s="85">
        <v>-65.25</v>
      </c>
      <c r="I736" s="115">
        <f t="shared" si="24"/>
        <v>3.2625000000000001E-2</v>
      </c>
      <c r="J736" s="87">
        <f t="shared" si="25"/>
        <v>1934.75</v>
      </c>
      <c r="K736" s="87"/>
      <c r="L736" s="87" t="s">
        <v>4672</v>
      </c>
      <c r="M736" s="87"/>
      <c r="N736" s="524"/>
      <c r="O736" s="524">
        <f>+Tabla4[[#This Row],[PAGO NO EURO]]+Tabla4[[#This Row],[CARGO NO EURO]]</f>
        <v>0</v>
      </c>
      <c r="P736" s="524"/>
      <c r="Q736" s="155"/>
      <c r="R736" s="693">
        <f>+_xlfn.XLOOKUP(Tabla4[[#This Row],[ID CLIENTE]],'RESUMEN CLIENTES'!D:D,'RESUMEN CLIENTES'!G:G)</f>
        <v>45762</v>
      </c>
      <c r="S736" s="155" t="str">
        <f>+_xlfn.XLOOKUP(Tabla4[[#This Row],[ID CLIENTE]],'RESUMEN CLIENTES'!D:D,'RESUMEN CLIENTES'!AA:AA)</f>
        <v>A1.1</v>
      </c>
      <c r="T736" s="682" t="str">
        <f>+_xlfn.XLOOKUP(Tabla4[[#This Row],[ID CLIENTE]],'RESUMEN CLIENTES'!D:D,'RESUMEN CLIENTES'!C:C)</f>
        <v>México</v>
      </c>
    </row>
    <row r="737" spans="1:20" ht="16">
      <c r="A737" s="82">
        <v>45997</v>
      </c>
      <c r="B737" s="82" t="str">
        <f>+_xlfn.XLOOKUP(Tabla4[[#This Row],[ID CLIENTE]],'RESUMEN CLIENTES'!D:D,'RESUMEN CLIENTES'!A:A)</f>
        <v>Bernardita Lobo Zegers</v>
      </c>
      <c r="C737" s="83" t="s">
        <v>2202</v>
      </c>
      <c r="D737" s="83" t="s">
        <v>203</v>
      </c>
      <c r="E737" s="83" t="s">
        <v>1584</v>
      </c>
      <c r="F737" s="83" t="s">
        <v>1585</v>
      </c>
      <c r="G737" s="114">
        <v>800</v>
      </c>
      <c r="H737" s="85">
        <v>-26.25</v>
      </c>
      <c r="I737" s="115">
        <f t="shared" si="24"/>
        <v>3.2812500000000001E-2</v>
      </c>
      <c r="J737" s="87">
        <f t="shared" si="25"/>
        <v>773.75</v>
      </c>
      <c r="K737" s="87"/>
      <c r="L737" s="87" t="s">
        <v>4672</v>
      </c>
      <c r="M737" s="87"/>
      <c r="N737" s="524"/>
      <c r="O737" s="524">
        <f>+Tabla4[[#This Row],[PAGO NO EURO]]+Tabla4[[#This Row],[CARGO NO EURO]]</f>
        <v>0</v>
      </c>
      <c r="P737" s="524"/>
      <c r="Q737" s="155"/>
      <c r="R737" s="693">
        <f>+_xlfn.XLOOKUP(Tabla4[[#This Row],[ID CLIENTE]],'RESUMEN CLIENTES'!D:D,'RESUMEN CLIENTES'!G:G)</f>
        <v>45779</v>
      </c>
      <c r="S737" s="155" t="str">
        <f>+_xlfn.XLOOKUP(Tabla4[[#This Row],[ID CLIENTE]],'RESUMEN CLIENTES'!D:D,'RESUMEN CLIENTES'!AA:AA)</f>
        <v>A1.1</v>
      </c>
      <c r="T737" s="682" t="str">
        <f>+_xlfn.XLOOKUP(Tabla4[[#This Row],[ID CLIENTE]],'RESUMEN CLIENTES'!D:D,'RESUMEN CLIENTES'!C:C)</f>
        <v>México</v>
      </c>
    </row>
    <row r="738" spans="1:20" ht="16">
      <c r="A738" s="82">
        <v>45997</v>
      </c>
      <c r="B738" s="82" t="str">
        <f>+_xlfn.XLOOKUP(Tabla4[[#This Row],[ID CLIENTE]],'RESUMEN CLIENTES'!D:D,'RESUMEN CLIENTES'!A:A)</f>
        <v>Jordan Eliecer Toledo Bravo</v>
      </c>
      <c r="C738" s="83" t="s">
        <v>2158</v>
      </c>
      <c r="D738" s="83" t="s">
        <v>142</v>
      </c>
      <c r="E738" s="83" t="s">
        <v>1603</v>
      </c>
      <c r="F738" s="83" t="s">
        <v>1604</v>
      </c>
      <c r="G738" s="114">
        <v>500</v>
      </c>
      <c r="H738" s="85">
        <v>-16.5</v>
      </c>
      <c r="I738" s="115">
        <f t="shared" si="24"/>
        <v>3.3000000000000002E-2</v>
      </c>
      <c r="J738" s="87">
        <f t="shared" si="25"/>
        <v>483.5</v>
      </c>
      <c r="K738" s="87"/>
      <c r="L738" s="87" t="s">
        <v>4672</v>
      </c>
      <c r="M738" s="87"/>
      <c r="N738" s="524"/>
      <c r="O738" s="524">
        <f>+Tabla4[[#This Row],[PAGO NO EURO]]+Tabla4[[#This Row],[CARGO NO EURO]]</f>
        <v>0</v>
      </c>
      <c r="P738" s="524"/>
      <c r="Q738" s="155"/>
      <c r="R738" s="693">
        <f>+_xlfn.XLOOKUP(Tabla4[[#This Row],[ID CLIENTE]],'RESUMEN CLIENTES'!D:D,'RESUMEN CLIENTES'!G:G)</f>
        <v>45748</v>
      </c>
      <c r="S738" s="155" t="str">
        <f>+_xlfn.XLOOKUP(Tabla4[[#This Row],[ID CLIENTE]],'RESUMEN CLIENTES'!D:D,'RESUMEN CLIENTES'!AA:AA)</f>
        <v>A1.1</v>
      </c>
      <c r="T738" s="682" t="str">
        <f>+_xlfn.XLOOKUP(Tabla4[[#This Row],[ID CLIENTE]],'RESUMEN CLIENTES'!D:D,'RESUMEN CLIENTES'!C:C)</f>
        <v>Chile</v>
      </c>
    </row>
    <row r="739" spans="1:20" ht="16">
      <c r="A739" s="82">
        <v>45997</v>
      </c>
      <c r="B739" s="82" t="str">
        <f>+_xlfn.XLOOKUP(Tabla4[[#This Row],[ID CLIENTE]],'RESUMEN CLIENTES'!D:D,'RESUMEN CLIENTES'!A:A)</f>
        <v>Mario Arciga Casián</v>
      </c>
      <c r="C739" s="83" t="s">
        <v>2428</v>
      </c>
      <c r="D739" s="83" t="s">
        <v>1155</v>
      </c>
      <c r="E739" s="83" t="s">
        <v>1619</v>
      </c>
      <c r="F739" s="83" t="s">
        <v>1620</v>
      </c>
      <c r="G739" s="114">
        <v>1000</v>
      </c>
      <c r="H739" s="85">
        <v>-32.75</v>
      </c>
      <c r="I739" s="115">
        <f t="shared" si="24"/>
        <v>3.2750000000000001E-2</v>
      </c>
      <c r="J739" s="87">
        <f t="shared" si="25"/>
        <v>967.25</v>
      </c>
      <c r="K739" s="87"/>
      <c r="L739" s="87" t="s">
        <v>4672</v>
      </c>
      <c r="M739" s="87"/>
      <c r="N739" s="524"/>
      <c r="O739" s="524">
        <f>+Tabla4[[#This Row],[PAGO NO EURO]]+Tabla4[[#This Row],[CARGO NO EURO]]</f>
        <v>0</v>
      </c>
      <c r="P739" s="524"/>
      <c r="Q739" s="155"/>
      <c r="R739" s="693">
        <f>+_xlfn.XLOOKUP(Tabla4[[#This Row],[ID CLIENTE]],'RESUMEN CLIENTES'!D:D,'RESUMEN CLIENTES'!G:G)</f>
        <v>45939</v>
      </c>
      <c r="S739" s="155" t="str">
        <f>+_xlfn.XLOOKUP(Tabla4[[#This Row],[ID CLIENTE]],'RESUMEN CLIENTES'!D:D,'RESUMEN CLIENTES'!AA:AA)</f>
        <v>A1 komplett</v>
      </c>
      <c r="T739" s="682" t="str">
        <f>+_xlfn.XLOOKUP(Tabla4[[#This Row],[ID CLIENTE]],'RESUMEN CLIENTES'!D:D,'RESUMEN CLIENTES'!C:C)</f>
        <v>México</v>
      </c>
    </row>
    <row r="740" spans="1:20" ht="16">
      <c r="A740" s="82">
        <v>45997</v>
      </c>
      <c r="B740" s="82" t="str">
        <f>+_xlfn.XLOOKUP(Tabla4[[#This Row],[ID CLIENTE]],'RESUMEN CLIENTES'!D:D,'RESUMEN CLIENTES'!A:A)</f>
        <v>Sven Sigurd Biedermann Aberg</v>
      </c>
      <c r="C740" s="83" t="s">
        <v>2182</v>
      </c>
      <c r="D740" s="83" t="s">
        <v>178</v>
      </c>
      <c r="E740" s="83" t="s">
        <v>1627</v>
      </c>
      <c r="F740" s="83" t="s">
        <v>1628</v>
      </c>
      <c r="G740" s="114">
        <v>4000</v>
      </c>
      <c r="H740" s="85">
        <v>-130.25</v>
      </c>
      <c r="I740" s="115">
        <f t="shared" si="24"/>
        <v>3.2562500000000001E-2</v>
      </c>
      <c r="J740" s="87">
        <f t="shared" si="25"/>
        <v>3869.75</v>
      </c>
      <c r="K740" s="87"/>
      <c r="L740" s="87" t="s">
        <v>4672</v>
      </c>
      <c r="M740" s="87"/>
      <c r="N740" s="524"/>
      <c r="O740" s="524">
        <f>+Tabla4[[#This Row],[PAGO NO EURO]]+Tabla4[[#This Row],[CARGO NO EURO]]</f>
        <v>0</v>
      </c>
      <c r="P740" s="524"/>
      <c r="Q740" s="155"/>
      <c r="R740" s="693">
        <f>+_xlfn.XLOOKUP(Tabla4[[#This Row],[ID CLIENTE]],'RESUMEN CLIENTES'!D:D,'RESUMEN CLIENTES'!G:G)</f>
        <v>45769</v>
      </c>
      <c r="S740" s="155" t="str">
        <f>+_xlfn.XLOOKUP(Tabla4[[#This Row],[ID CLIENTE]],'RESUMEN CLIENTES'!D:D,'RESUMEN CLIENTES'!AA:AA)</f>
        <v>null</v>
      </c>
      <c r="T740" s="682" t="str">
        <f>+_xlfn.XLOOKUP(Tabla4[[#This Row],[ID CLIENTE]],'RESUMEN CLIENTES'!D:D,'RESUMEN CLIENTES'!C:C)</f>
        <v>Chile</v>
      </c>
    </row>
    <row r="741" spans="1:20" ht="16">
      <c r="A741" s="82">
        <v>45997</v>
      </c>
      <c r="B741" s="82" t="str">
        <f>+_xlfn.XLOOKUP(Tabla4[[#This Row],[ID CLIENTE]],'RESUMEN CLIENTES'!D:D,'RESUMEN CLIENTES'!A:A)</f>
        <v>Florencia Luján Sapia</v>
      </c>
      <c r="C741" s="83" t="s">
        <v>2393</v>
      </c>
      <c r="D741" s="83" t="s">
        <v>787</v>
      </c>
      <c r="E741" s="83" t="s">
        <v>1595</v>
      </c>
      <c r="F741" s="83" t="s">
        <v>1596</v>
      </c>
      <c r="G741" s="114">
        <v>600</v>
      </c>
      <c r="H741" s="85">
        <v>-19.75</v>
      </c>
      <c r="I741" s="115">
        <f t="shared" si="24"/>
        <v>3.2916666666666664E-2</v>
      </c>
      <c r="J741" s="87">
        <f t="shared" si="25"/>
        <v>580.25</v>
      </c>
      <c r="K741" s="87"/>
      <c r="L741" s="87" t="s">
        <v>4672</v>
      </c>
      <c r="M741" s="87"/>
      <c r="N741" s="524"/>
      <c r="O741" s="524">
        <f>+Tabla4[[#This Row],[PAGO NO EURO]]+Tabla4[[#This Row],[CARGO NO EURO]]</f>
        <v>0</v>
      </c>
      <c r="P741" s="524"/>
      <c r="Q741" s="155"/>
      <c r="R741" s="693">
        <f>+_xlfn.XLOOKUP(Tabla4[[#This Row],[ID CLIENTE]],'RESUMEN CLIENTES'!D:D,'RESUMEN CLIENTES'!G:G)</f>
        <v>45900</v>
      </c>
      <c r="S741" s="155" t="str">
        <f>+_xlfn.XLOOKUP(Tabla4[[#This Row],[ID CLIENTE]],'RESUMEN CLIENTES'!D:D,'RESUMEN CLIENTES'!AA:AA)</f>
        <v>A2.1</v>
      </c>
      <c r="T741" s="682" t="str">
        <f>+_xlfn.XLOOKUP(Tabla4[[#This Row],[ID CLIENTE]],'RESUMEN CLIENTES'!D:D,'RESUMEN CLIENTES'!C:C)</f>
        <v>Argentina</v>
      </c>
    </row>
    <row r="742" spans="1:20" ht="16">
      <c r="A742" s="82">
        <v>45997</v>
      </c>
      <c r="B742" s="82" t="str">
        <f>+_xlfn.XLOOKUP(Tabla4[[#This Row],[ID CLIENTE]],'RESUMEN CLIENTES'!D:D,'RESUMEN CLIENTES'!A:A)</f>
        <v>María Fernanda Cid Ramírez</v>
      </c>
      <c r="C742" s="83" t="s">
        <v>2477</v>
      </c>
      <c r="D742" s="83" t="s">
        <v>1551</v>
      </c>
      <c r="E742" s="83" t="s">
        <v>1615</v>
      </c>
      <c r="F742" s="83" t="s">
        <v>1616</v>
      </c>
      <c r="G742" s="114">
        <v>500</v>
      </c>
      <c r="H742" s="85">
        <v>-16.5</v>
      </c>
      <c r="I742" s="115">
        <f t="shared" si="24"/>
        <v>3.3000000000000002E-2</v>
      </c>
      <c r="J742" s="87">
        <f t="shared" si="25"/>
        <v>483.5</v>
      </c>
      <c r="K742" s="87"/>
      <c r="L742" s="87" t="s">
        <v>4672</v>
      </c>
      <c r="M742" s="87"/>
      <c r="N742" s="524"/>
      <c r="O742" s="524">
        <f>+Tabla4[[#This Row],[PAGO NO EURO]]+Tabla4[[#This Row],[CARGO NO EURO]]</f>
        <v>0</v>
      </c>
      <c r="P742" s="524"/>
      <c r="Q742" s="155"/>
      <c r="R742" s="693">
        <f>+_xlfn.XLOOKUP(Tabla4[[#This Row],[ID CLIENTE]],'RESUMEN CLIENTES'!D:D,'RESUMEN CLIENTES'!G:G)</f>
        <v>45993</v>
      </c>
      <c r="S742" s="155" t="str">
        <f>+_xlfn.XLOOKUP(Tabla4[[#This Row],[ID CLIENTE]],'RESUMEN CLIENTES'!D:D,'RESUMEN CLIENTES'!AA:AA)</f>
        <v>-</v>
      </c>
      <c r="T742" s="682" t="str">
        <f>+_xlfn.XLOOKUP(Tabla4[[#This Row],[ID CLIENTE]],'RESUMEN CLIENTES'!D:D,'RESUMEN CLIENTES'!C:C)</f>
        <v>México</v>
      </c>
    </row>
    <row r="743" spans="1:20" ht="16">
      <c r="A743" s="82">
        <v>45997</v>
      </c>
      <c r="B743" s="82" t="str">
        <f>+_xlfn.XLOOKUP(Tabla4[[#This Row],[ID CLIENTE]],'RESUMEN CLIENTES'!D:D,'RESUMEN CLIENTES'!A:A)</f>
        <v>Luis Carlos Villa Cortés</v>
      </c>
      <c r="C743" s="83" t="s">
        <v>2406</v>
      </c>
      <c r="D743" s="83" t="s">
        <v>907</v>
      </c>
      <c r="E743" s="83" t="s">
        <v>1639</v>
      </c>
      <c r="F743" s="83" t="s">
        <v>1640</v>
      </c>
      <c r="G743" s="114">
        <v>1000</v>
      </c>
      <c r="H743" s="85">
        <f>-32.75</f>
        <v>-32.75</v>
      </c>
      <c r="I743" s="115">
        <f t="shared" si="24"/>
        <v>3.2750000000000001E-2</v>
      </c>
      <c r="J743" s="87">
        <f t="shared" si="25"/>
        <v>967.25</v>
      </c>
      <c r="K743" s="87"/>
      <c r="L743" s="87" t="s">
        <v>4672</v>
      </c>
      <c r="M743" s="87"/>
      <c r="N743" s="524"/>
      <c r="O743" s="524">
        <f>+Tabla4[[#This Row],[PAGO NO EURO]]+Tabla4[[#This Row],[CARGO NO EURO]]</f>
        <v>0</v>
      </c>
      <c r="P743" s="524"/>
      <c r="Q743" s="155"/>
      <c r="R743" s="693">
        <f>+_xlfn.XLOOKUP(Tabla4[[#This Row],[ID CLIENTE]],'RESUMEN CLIENTES'!D:D,'RESUMEN CLIENTES'!G:G)</f>
        <v>45906</v>
      </c>
      <c r="S743" s="155" t="str">
        <f>+_xlfn.XLOOKUP(Tabla4[[#This Row],[ID CLIENTE]],'RESUMEN CLIENTES'!D:D,'RESUMEN CLIENTES'!AA:AA)</f>
        <v>A1.1</v>
      </c>
      <c r="T743" s="682" t="str">
        <f>+_xlfn.XLOOKUP(Tabla4[[#This Row],[ID CLIENTE]],'RESUMEN CLIENTES'!D:D,'RESUMEN CLIENTES'!C:C)</f>
        <v>México</v>
      </c>
    </row>
    <row r="744" spans="1:20" ht="16">
      <c r="A744" s="82">
        <v>45998</v>
      </c>
      <c r="B744" s="82" t="str">
        <f>+_xlfn.XLOOKUP(Tabla4[[#This Row],[ID CLIENTE]],'RESUMEN CLIENTES'!D:D,'RESUMEN CLIENTES'!A:A)</f>
        <v>Yefry Onil Santana Marte</v>
      </c>
      <c r="C744" s="83" t="s">
        <v>2284</v>
      </c>
      <c r="D744" s="83" t="s">
        <v>447</v>
      </c>
      <c r="E744" s="83" t="s">
        <v>1580</v>
      </c>
      <c r="F744" s="83" t="s">
        <v>1581</v>
      </c>
      <c r="G744" s="114">
        <v>625</v>
      </c>
      <c r="H744" s="85">
        <v>-20.56</v>
      </c>
      <c r="I744" s="115">
        <f t="shared" si="24"/>
        <v>3.2895999999999995E-2</v>
      </c>
      <c r="J744" s="87">
        <f t="shared" si="25"/>
        <v>604.44000000000005</v>
      </c>
      <c r="K744" s="87"/>
      <c r="L744" s="87" t="s">
        <v>4672</v>
      </c>
      <c r="M744" s="87"/>
      <c r="N744" s="524"/>
      <c r="O744" s="524">
        <f>+Tabla4[[#This Row],[PAGO NO EURO]]+Tabla4[[#This Row],[CARGO NO EURO]]</f>
        <v>0</v>
      </c>
      <c r="P744" s="524"/>
      <c r="Q744" s="155"/>
      <c r="R744" s="693">
        <f>+_xlfn.XLOOKUP(Tabla4[[#This Row],[ID CLIENTE]],'RESUMEN CLIENTES'!D:D,'RESUMEN CLIENTES'!G:G)</f>
        <v>45845</v>
      </c>
      <c r="S744" s="155" t="str">
        <f>+_xlfn.XLOOKUP(Tabla4[[#This Row],[ID CLIENTE]],'RESUMEN CLIENTES'!D:D,'RESUMEN CLIENTES'!AA:AA)</f>
        <v>A1.1</v>
      </c>
      <c r="T744" s="682" t="str">
        <f>+_xlfn.XLOOKUP(Tabla4[[#This Row],[ID CLIENTE]],'RESUMEN CLIENTES'!D:D,'RESUMEN CLIENTES'!C:C)</f>
        <v>República Dominicana</v>
      </c>
    </row>
    <row r="745" spans="1:20" ht="16">
      <c r="A745" s="82">
        <v>45998</v>
      </c>
      <c r="B745" s="82" t="str">
        <f>+_xlfn.XLOOKUP(Tabla4[[#This Row],[ID CLIENTE]],'RESUMEN CLIENTES'!D:D,'RESUMEN CLIENTES'!A:A)</f>
        <v>Yefry Onil Santana Marte</v>
      </c>
      <c r="C745" s="83" t="s">
        <v>2284</v>
      </c>
      <c r="D745" s="83" t="s">
        <v>447</v>
      </c>
      <c r="E745" s="83" t="s">
        <v>1578</v>
      </c>
      <c r="F745" s="83" t="s">
        <v>1579</v>
      </c>
      <c r="G745" s="114">
        <v>625</v>
      </c>
      <c r="H745" s="85">
        <v>-20.56</v>
      </c>
      <c r="I745" s="115">
        <f t="shared" si="24"/>
        <v>3.2895999999999995E-2</v>
      </c>
      <c r="J745" s="87">
        <f t="shared" si="25"/>
        <v>604.44000000000005</v>
      </c>
      <c r="K745" s="87"/>
      <c r="L745" s="87" t="s">
        <v>4672</v>
      </c>
      <c r="M745" s="87"/>
      <c r="N745" s="524"/>
      <c r="O745" s="524">
        <f>+Tabla4[[#This Row],[PAGO NO EURO]]+Tabla4[[#This Row],[CARGO NO EURO]]</f>
        <v>0</v>
      </c>
      <c r="P745" s="524"/>
      <c r="Q745" s="155"/>
      <c r="R745" s="693">
        <f>+_xlfn.XLOOKUP(Tabla4[[#This Row],[ID CLIENTE]],'RESUMEN CLIENTES'!D:D,'RESUMEN CLIENTES'!G:G)</f>
        <v>45845</v>
      </c>
      <c r="S745" s="155" t="str">
        <f>+_xlfn.XLOOKUP(Tabla4[[#This Row],[ID CLIENTE]],'RESUMEN CLIENTES'!D:D,'RESUMEN CLIENTES'!AA:AA)</f>
        <v>A1.1</v>
      </c>
      <c r="T745" s="682" t="str">
        <f>+_xlfn.XLOOKUP(Tabla4[[#This Row],[ID CLIENTE]],'RESUMEN CLIENTES'!D:D,'RESUMEN CLIENTES'!C:C)</f>
        <v>República Dominicana</v>
      </c>
    </row>
    <row r="746" spans="1:20" ht="16">
      <c r="A746" s="82">
        <v>45998</v>
      </c>
      <c r="B746" s="82" t="str">
        <f>+_xlfn.XLOOKUP(Tabla4[[#This Row],[ID CLIENTE]],'RESUMEN CLIENTES'!D:D,'RESUMEN CLIENTES'!A:A)</f>
        <v>Yefry Onil Santana Marte</v>
      </c>
      <c r="C746" s="83" t="s">
        <v>2284</v>
      </c>
      <c r="D746" s="83" t="s">
        <v>447</v>
      </c>
      <c r="E746" s="83" t="s">
        <v>1576</v>
      </c>
      <c r="F746" s="83" t="s">
        <v>1577</v>
      </c>
      <c r="G746" s="114">
        <v>625</v>
      </c>
      <c r="H746" s="85">
        <v>-20.56</v>
      </c>
      <c r="I746" s="115">
        <f t="shared" si="24"/>
        <v>3.2895999999999995E-2</v>
      </c>
      <c r="J746" s="87">
        <f t="shared" si="25"/>
        <v>604.44000000000005</v>
      </c>
      <c r="K746" s="87"/>
      <c r="L746" s="87" t="s">
        <v>4672</v>
      </c>
      <c r="M746" s="87"/>
      <c r="N746" s="524"/>
      <c r="O746" s="524">
        <f>+Tabla4[[#This Row],[PAGO NO EURO]]+Tabla4[[#This Row],[CARGO NO EURO]]</f>
        <v>0</v>
      </c>
      <c r="P746" s="524"/>
      <c r="Q746" s="155"/>
      <c r="R746" s="693">
        <f>+_xlfn.XLOOKUP(Tabla4[[#This Row],[ID CLIENTE]],'RESUMEN CLIENTES'!D:D,'RESUMEN CLIENTES'!G:G)</f>
        <v>45845</v>
      </c>
      <c r="S746" s="155" t="str">
        <f>+_xlfn.XLOOKUP(Tabla4[[#This Row],[ID CLIENTE]],'RESUMEN CLIENTES'!D:D,'RESUMEN CLIENTES'!AA:AA)</f>
        <v>A1.1</v>
      </c>
      <c r="T746" s="682" t="str">
        <f>+_xlfn.XLOOKUP(Tabla4[[#This Row],[ID CLIENTE]],'RESUMEN CLIENTES'!D:D,'RESUMEN CLIENTES'!C:C)</f>
        <v>República Dominicana</v>
      </c>
    </row>
    <row r="747" spans="1:20" ht="16">
      <c r="A747" s="82">
        <v>45999</v>
      </c>
      <c r="B747" s="82" t="str">
        <f>+_xlfn.XLOOKUP(Tabla4[[#This Row],[ID CLIENTE]],'RESUMEN CLIENTES'!D:D,'RESUMEN CLIENTES'!A:A)</f>
        <v>Camila Sanchez Aravena</v>
      </c>
      <c r="C747" s="83" t="s">
        <v>2125</v>
      </c>
      <c r="D747" s="83" t="s">
        <v>118</v>
      </c>
      <c r="E747" s="83" t="s">
        <v>1588</v>
      </c>
      <c r="F747" s="83" t="s">
        <v>1589</v>
      </c>
      <c r="G747" s="114">
        <v>6093.34</v>
      </c>
      <c r="H747" s="85">
        <v>-320.14999999999998</v>
      </c>
      <c r="I747" s="115">
        <f t="shared" si="24"/>
        <v>5.2540970961738549E-2</v>
      </c>
      <c r="J747" s="87">
        <f t="shared" si="25"/>
        <v>5773.1900000000005</v>
      </c>
      <c r="K747" s="87"/>
      <c r="L747" s="87" t="s">
        <v>4672</v>
      </c>
      <c r="M747" s="87"/>
      <c r="N747" s="524"/>
      <c r="O747" s="524">
        <f>+Tabla4[[#This Row],[PAGO NO EURO]]+Tabla4[[#This Row],[CARGO NO EURO]]</f>
        <v>0</v>
      </c>
      <c r="P747" s="524"/>
      <c r="Q747" s="155"/>
      <c r="R747" s="693">
        <f>+_xlfn.XLOOKUP(Tabla4[[#This Row],[ID CLIENTE]],'RESUMEN CLIENTES'!D:D,'RESUMEN CLIENTES'!G:G)</f>
        <v>45699</v>
      </c>
      <c r="S747" s="155" t="str">
        <f>+_xlfn.XLOOKUP(Tabla4[[#This Row],[ID CLIENTE]],'RESUMEN CLIENTES'!D:D,'RESUMEN CLIENTES'!AA:AA)</f>
        <v>B2.1</v>
      </c>
      <c r="T747" s="682" t="str">
        <f>+_xlfn.XLOOKUP(Tabla4[[#This Row],[ID CLIENTE]],'RESUMEN CLIENTES'!D:D,'RESUMEN CLIENTES'!C:C)</f>
        <v>Chile</v>
      </c>
    </row>
    <row r="748" spans="1:20" ht="16">
      <c r="A748" s="82">
        <v>45999</v>
      </c>
      <c r="B748" s="82" t="str">
        <f>+_xlfn.XLOOKUP(Tabla4[[#This Row],[ID CLIENTE]],'RESUMEN CLIENTES'!D:D,'RESUMEN CLIENTES'!A:A)</f>
        <v>María Fernanda Cid Ramírez</v>
      </c>
      <c r="C748" s="83" t="s">
        <v>2477</v>
      </c>
      <c r="D748" s="83" t="s">
        <v>1551</v>
      </c>
      <c r="E748" s="83" t="s">
        <v>1617</v>
      </c>
      <c r="F748" s="83" t="s">
        <v>1618</v>
      </c>
      <c r="G748" s="114">
        <v>1000</v>
      </c>
      <c r="H748" s="85">
        <v>-32.75</v>
      </c>
      <c r="I748" s="115">
        <f t="shared" si="24"/>
        <v>3.2750000000000001E-2</v>
      </c>
      <c r="J748" s="87">
        <f t="shared" si="25"/>
        <v>967.25</v>
      </c>
      <c r="K748" s="87"/>
      <c r="L748" s="87" t="s">
        <v>4672</v>
      </c>
      <c r="M748" s="87"/>
      <c r="N748" s="524"/>
      <c r="O748" s="524">
        <f>+Tabla4[[#This Row],[PAGO NO EURO]]+Tabla4[[#This Row],[CARGO NO EURO]]</f>
        <v>0</v>
      </c>
      <c r="P748" s="524"/>
      <c r="Q748" s="155"/>
      <c r="R748" s="693">
        <f>+_xlfn.XLOOKUP(Tabla4[[#This Row],[ID CLIENTE]],'RESUMEN CLIENTES'!D:D,'RESUMEN CLIENTES'!G:G)</f>
        <v>45993</v>
      </c>
      <c r="S748" s="155" t="str">
        <f>+_xlfn.XLOOKUP(Tabla4[[#This Row],[ID CLIENTE]],'RESUMEN CLIENTES'!D:D,'RESUMEN CLIENTES'!AA:AA)</f>
        <v>-</v>
      </c>
      <c r="T748" s="682" t="str">
        <f>+_xlfn.XLOOKUP(Tabla4[[#This Row],[ID CLIENTE]],'RESUMEN CLIENTES'!D:D,'RESUMEN CLIENTES'!C:C)</f>
        <v>México</v>
      </c>
    </row>
    <row r="749" spans="1:20" ht="16">
      <c r="A749" s="82">
        <v>45999</v>
      </c>
      <c r="B749" s="82" t="str">
        <f>+_xlfn.XLOOKUP(Tabla4[[#This Row],[ID CLIENTE]],'RESUMEN CLIENTES'!D:D,'RESUMEN CLIENTES'!A:A)</f>
        <v>Diego Alonso Salazar Palacios</v>
      </c>
      <c r="C749" s="83" t="s">
        <v>2216</v>
      </c>
      <c r="D749" s="83" t="s">
        <v>253</v>
      </c>
      <c r="E749" s="83" t="s">
        <v>1643</v>
      </c>
      <c r="F749" s="83" t="s">
        <v>1644</v>
      </c>
      <c r="G749" s="114">
        <v>1000</v>
      </c>
      <c r="H749" s="85">
        <v>-32.75</v>
      </c>
      <c r="I749" s="115">
        <f t="shared" si="24"/>
        <v>3.2750000000000001E-2</v>
      </c>
      <c r="J749" s="87">
        <f t="shared" si="25"/>
        <v>967.25</v>
      </c>
      <c r="K749" s="87"/>
      <c r="L749" s="87" t="s">
        <v>4672</v>
      </c>
      <c r="M749" s="87"/>
      <c r="N749" s="524"/>
      <c r="O749" s="524">
        <f>+Tabla4[[#This Row],[PAGO NO EURO]]+Tabla4[[#This Row],[CARGO NO EURO]]</f>
        <v>0</v>
      </c>
      <c r="P749" s="524"/>
      <c r="Q749" s="155"/>
      <c r="R749" s="693">
        <f>+_xlfn.XLOOKUP(Tabla4[[#This Row],[ID CLIENTE]],'RESUMEN CLIENTES'!D:D,'RESUMEN CLIENTES'!G:G)</f>
        <v>45803</v>
      </c>
      <c r="S749" s="155" t="str">
        <f>+_xlfn.XLOOKUP(Tabla4[[#This Row],[ID CLIENTE]],'RESUMEN CLIENTES'!D:D,'RESUMEN CLIENTES'!AA:AA)</f>
        <v>A1.1</v>
      </c>
      <c r="T749" s="682" t="str">
        <f>+_xlfn.XLOOKUP(Tabla4[[#This Row],[ID CLIENTE]],'RESUMEN CLIENTES'!D:D,'RESUMEN CLIENTES'!C:C)</f>
        <v>Perú</v>
      </c>
    </row>
    <row r="750" spans="1:20" ht="16">
      <c r="A750" s="82">
        <v>45999</v>
      </c>
      <c r="B750" s="82" t="str">
        <f>+_xlfn.XLOOKUP(Tabla4[[#This Row],[ID CLIENTE]],'RESUMEN CLIENTES'!D:D,'RESUMEN CLIENTES'!A:A)</f>
        <v>Victor Emanuel Hernández Ruíz</v>
      </c>
      <c r="C750" s="83" t="s">
        <v>2141</v>
      </c>
      <c r="D750" s="83" t="s">
        <v>112</v>
      </c>
      <c r="E750" s="83" t="s">
        <v>1629</v>
      </c>
      <c r="F750" s="83" t="s">
        <v>1630</v>
      </c>
      <c r="G750" s="114">
        <v>800</v>
      </c>
      <c r="H750" s="85">
        <v>-26.25</v>
      </c>
      <c r="I750" s="115">
        <f t="shared" si="24"/>
        <v>3.2812500000000001E-2</v>
      </c>
      <c r="J750" s="87">
        <f t="shared" si="25"/>
        <v>773.75</v>
      </c>
      <c r="K750" s="87"/>
      <c r="L750" s="87" t="s">
        <v>4672</v>
      </c>
      <c r="M750" s="87"/>
      <c r="N750" s="524"/>
      <c r="O750" s="524">
        <f>+Tabla4[[#This Row],[PAGO NO EURO]]+Tabla4[[#This Row],[CARGO NO EURO]]</f>
        <v>0</v>
      </c>
      <c r="P750" s="524"/>
      <c r="Q750" s="155"/>
      <c r="R750" s="693">
        <f>+_xlfn.XLOOKUP(Tabla4[[#This Row],[ID CLIENTE]],'RESUMEN CLIENTES'!D:D,'RESUMEN CLIENTES'!G:G)</f>
        <v>45735</v>
      </c>
      <c r="S750" s="155" t="str">
        <f>+_xlfn.XLOOKUP(Tabla4[[#This Row],[ID CLIENTE]],'RESUMEN CLIENTES'!D:D,'RESUMEN CLIENTES'!AA:AA)</f>
        <v>B2.1</v>
      </c>
      <c r="T750" s="682" t="str">
        <f>+_xlfn.XLOOKUP(Tabla4[[#This Row],[ID CLIENTE]],'RESUMEN CLIENTES'!D:D,'RESUMEN CLIENTES'!C:C)</f>
        <v>México</v>
      </c>
    </row>
    <row r="751" spans="1:20" ht="16">
      <c r="A751" s="82">
        <v>45999</v>
      </c>
      <c r="B751" s="82" t="str">
        <f>+_xlfn.XLOOKUP(Tabla4[[#This Row],[ID CLIENTE]],'RESUMEN CLIENTES'!D:D,'RESUMEN CLIENTES'!A:A)</f>
        <v>Gerardo Abel Palacios Preciado</v>
      </c>
      <c r="C751" s="83" t="s">
        <v>2483</v>
      </c>
      <c r="D751" s="83" t="s">
        <v>1645</v>
      </c>
      <c r="E751" s="83" t="s">
        <v>1646</v>
      </c>
      <c r="F751" s="83" t="s">
        <v>1647</v>
      </c>
      <c r="G751" s="114">
        <v>1500</v>
      </c>
      <c r="H751" s="85">
        <v>-49</v>
      </c>
      <c r="I751" s="115">
        <f t="shared" si="24"/>
        <v>3.2666666666666663E-2</v>
      </c>
      <c r="J751" s="87">
        <f t="shared" si="25"/>
        <v>1451</v>
      </c>
      <c r="K751" s="87"/>
      <c r="L751" s="87" t="s">
        <v>4672</v>
      </c>
      <c r="M751" s="87"/>
      <c r="N751" s="524"/>
      <c r="O751" s="524">
        <f>+Tabla4[[#This Row],[PAGO NO EURO]]+Tabla4[[#This Row],[CARGO NO EURO]]</f>
        <v>0</v>
      </c>
      <c r="P751" s="524"/>
      <c r="Q751" s="155"/>
      <c r="R751" s="693">
        <f>+_xlfn.XLOOKUP(Tabla4[[#This Row],[ID CLIENTE]],'RESUMEN CLIENTES'!D:D,'RESUMEN CLIENTES'!G:G)</f>
        <v>45999</v>
      </c>
      <c r="S751" s="155" t="str">
        <f>+_xlfn.XLOOKUP(Tabla4[[#This Row],[ID CLIENTE]],'RESUMEN CLIENTES'!D:D,'RESUMEN CLIENTES'!AA:AA)</f>
        <v>A1.1</v>
      </c>
      <c r="T751" s="682" t="str">
        <f>+_xlfn.XLOOKUP(Tabla4[[#This Row],[ID CLIENTE]],'RESUMEN CLIENTES'!D:D,'RESUMEN CLIENTES'!C:C)</f>
        <v>México</v>
      </c>
    </row>
    <row r="752" spans="1:20" ht="16">
      <c r="A752" s="82">
        <v>45999</v>
      </c>
      <c r="B752" s="82" t="str">
        <f>+_xlfn.XLOOKUP(Tabla4[[#This Row],[ID CLIENTE]],'RESUMEN CLIENTES'!D:D,'RESUMEN CLIENTES'!A:A)</f>
        <v>Maira Paz Navas Sánchez</v>
      </c>
      <c r="C752" s="83" t="s">
        <v>2362</v>
      </c>
      <c r="D752" s="83" t="s">
        <v>703</v>
      </c>
      <c r="E752" s="83" t="s">
        <v>1609</v>
      </c>
      <c r="F752" s="83" t="s">
        <v>1610</v>
      </c>
      <c r="G752" s="114">
        <v>700</v>
      </c>
      <c r="H752" s="85">
        <v>-23</v>
      </c>
      <c r="I752" s="115">
        <f t="shared" si="24"/>
        <v>3.2857142857142856E-2</v>
      </c>
      <c r="J752" s="87">
        <f t="shared" si="25"/>
        <v>677</v>
      </c>
      <c r="K752" s="87"/>
      <c r="L752" s="87" t="s">
        <v>4672</v>
      </c>
      <c r="M752" s="87"/>
      <c r="N752" s="524"/>
      <c r="O752" s="524">
        <f>+Tabla4[[#This Row],[PAGO NO EURO]]+Tabla4[[#This Row],[CARGO NO EURO]]</f>
        <v>0</v>
      </c>
      <c r="P752" s="524"/>
      <c r="Q752" s="155"/>
      <c r="R752" s="693">
        <f>+_xlfn.XLOOKUP(Tabla4[[#This Row],[ID CLIENTE]],'RESUMEN CLIENTES'!D:D,'RESUMEN CLIENTES'!G:G)</f>
        <v>45888</v>
      </c>
      <c r="S752" s="155" t="str">
        <f>+_xlfn.XLOOKUP(Tabla4[[#This Row],[ID CLIENTE]],'RESUMEN CLIENTES'!D:D,'RESUMEN CLIENTES'!AA:AA)</f>
        <v>A1.1</v>
      </c>
      <c r="T752" s="682" t="str">
        <f>+_xlfn.XLOOKUP(Tabla4[[#This Row],[ID CLIENTE]],'RESUMEN CLIENTES'!D:D,'RESUMEN CLIENTES'!C:C)</f>
        <v>Chile</v>
      </c>
    </row>
    <row r="753" spans="1:20" ht="16">
      <c r="A753" s="82">
        <v>46000</v>
      </c>
      <c r="B753" s="82" t="str">
        <f>+_xlfn.XLOOKUP(Tabla4[[#This Row],[ID CLIENTE]],'RESUMEN CLIENTES'!D:D,'RESUMEN CLIENTES'!A:A)</f>
        <v>Ricardo Ernesto Miño Valencia</v>
      </c>
      <c r="C753" s="83" t="s">
        <v>2426</v>
      </c>
      <c r="D753" s="83" t="s">
        <v>1152</v>
      </c>
      <c r="E753" s="83" t="s">
        <v>1641</v>
      </c>
      <c r="F753" s="83" t="s">
        <v>1642</v>
      </c>
      <c r="G753" s="114">
        <v>647</v>
      </c>
      <c r="H753" s="85">
        <v>0</v>
      </c>
      <c r="I753" s="115">
        <f t="shared" si="24"/>
        <v>0</v>
      </c>
      <c r="J753" s="87">
        <f t="shared" si="25"/>
        <v>647</v>
      </c>
      <c r="K753" s="87" t="s">
        <v>2643</v>
      </c>
      <c r="L753" s="87" t="s">
        <v>4672</v>
      </c>
      <c r="M753" s="87"/>
      <c r="N753" s="90"/>
      <c r="O753" s="90"/>
      <c r="P753" s="90"/>
      <c r="Q753" s="155"/>
      <c r="R753" s="693">
        <f>+_xlfn.XLOOKUP(Tabla4[[#This Row],[ID CLIENTE]],'RESUMEN CLIENTES'!D:D,'RESUMEN CLIENTES'!G:G)</f>
        <v>45938</v>
      </c>
      <c r="S753" s="155" t="str">
        <f>+_xlfn.XLOOKUP(Tabla4[[#This Row],[ID CLIENTE]],'RESUMEN CLIENTES'!D:D,'RESUMEN CLIENTES'!AA:AA)</f>
        <v>A1.1</v>
      </c>
      <c r="T753" s="682" t="str">
        <f>+_xlfn.XLOOKUP(Tabla4[[#This Row],[ID CLIENTE]],'RESUMEN CLIENTES'!D:D,'RESUMEN CLIENTES'!C:C)</f>
        <v>Ecuador</v>
      </c>
    </row>
    <row r="754" spans="1:20" ht="16">
      <c r="A754" s="82">
        <v>46000</v>
      </c>
      <c r="B754" s="82" t="str">
        <f>+_xlfn.XLOOKUP(Tabla4[[#This Row],[ID CLIENTE]],'RESUMEN CLIENTES'!D:D,'RESUMEN CLIENTES'!A:A)</f>
        <v>Rodrigo Alfonso Busse Hernández</v>
      </c>
      <c r="C754" s="83" t="s">
        <v>2231</v>
      </c>
      <c r="D754" s="83" t="s">
        <v>275</v>
      </c>
      <c r="E754" s="83" t="s">
        <v>1654</v>
      </c>
      <c r="F754" s="83" t="s">
        <v>1655</v>
      </c>
      <c r="G754" s="114">
        <v>1073</v>
      </c>
      <c r="H754" s="85">
        <v>-35.14</v>
      </c>
      <c r="I754" s="115">
        <f t="shared" si="24"/>
        <v>3.2749301025163095E-2</v>
      </c>
      <c r="J754" s="87">
        <f t="shared" si="25"/>
        <v>1037.8599999999999</v>
      </c>
      <c r="K754" s="87"/>
      <c r="L754" s="87" t="s">
        <v>4672</v>
      </c>
      <c r="M754" s="87"/>
      <c r="N754" s="524"/>
      <c r="O754" s="524">
        <f>+Tabla4[[#This Row],[PAGO NO EURO]]+Tabla4[[#This Row],[CARGO NO EURO]]</f>
        <v>0</v>
      </c>
      <c r="P754" s="524"/>
      <c r="Q754" s="155"/>
      <c r="R754" s="693">
        <f>+_xlfn.XLOOKUP(Tabla4[[#This Row],[ID CLIENTE]],'RESUMEN CLIENTES'!D:D,'RESUMEN CLIENTES'!G:G)</f>
        <v>45810</v>
      </c>
      <c r="S754" s="155" t="str">
        <f>+_xlfn.XLOOKUP(Tabla4[[#This Row],[ID CLIENTE]],'RESUMEN CLIENTES'!D:D,'RESUMEN CLIENTES'!AA:AA)</f>
        <v>null</v>
      </c>
      <c r="T754" s="682" t="str">
        <f>+_xlfn.XLOOKUP(Tabla4[[#This Row],[ID CLIENTE]],'RESUMEN CLIENTES'!D:D,'RESUMEN CLIENTES'!C:C)</f>
        <v>Chile</v>
      </c>
    </row>
    <row r="755" spans="1:20" ht="16">
      <c r="A755" s="82">
        <v>46001</v>
      </c>
      <c r="B755" s="82" t="str">
        <f>+_xlfn.XLOOKUP(Tabla4[[#This Row],[ID CLIENTE]],'RESUMEN CLIENTES'!D:D,'RESUMEN CLIENTES'!A:A)</f>
        <v>María de los Ángeles Gutiérrez Quevedo</v>
      </c>
      <c r="C755" s="83" t="s">
        <v>2233</v>
      </c>
      <c r="D755" s="83" t="s">
        <v>274</v>
      </c>
      <c r="E755" s="83" t="s">
        <v>1648</v>
      </c>
      <c r="F755" s="83" t="s">
        <v>1649</v>
      </c>
      <c r="G755" s="114">
        <v>1462.5</v>
      </c>
      <c r="H755" s="85">
        <v>-47.78</v>
      </c>
      <c r="I755" s="115">
        <f t="shared" si="24"/>
        <v>3.2670085470085472E-2</v>
      </c>
      <c r="J755" s="87">
        <f t="shared" si="25"/>
        <v>1414.72</v>
      </c>
      <c r="K755" s="87"/>
      <c r="L755" s="87" t="s">
        <v>4672</v>
      </c>
      <c r="M755" s="87"/>
      <c r="N755" s="524"/>
      <c r="O755" s="524">
        <f>+Tabla4[[#This Row],[PAGO NO EURO]]+Tabla4[[#This Row],[CARGO NO EURO]]</f>
        <v>0</v>
      </c>
      <c r="P755" s="524"/>
      <c r="Q755" s="155"/>
      <c r="R755" s="693">
        <f>+_xlfn.XLOOKUP(Tabla4[[#This Row],[ID CLIENTE]],'RESUMEN CLIENTES'!D:D,'RESUMEN CLIENTES'!G:G)</f>
        <v>45810</v>
      </c>
      <c r="S755" s="155" t="str">
        <f>+_xlfn.XLOOKUP(Tabla4[[#This Row],[ID CLIENTE]],'RESUMEN CLIENTES'!D:D,'RESUMEN CLIENTES'!AA:AA)</f>
        <v>A1.1</v>
      </c>
      <c r="T755" s="682" t="str">
        <f>+_xlfn.XLOOKUP(Tabla4[[#This Row],[ID CLIENTE]],'RESUMEN CLIENTES'!D:D,'RESUMEN CLIENTES'!C:C)</f>
        <v>Chile</v>
      </c>
    </row>
    <row r="756" spans="1:20" ht="16">
      <c r="A756" s="82">
        <v>46001</v>
      </c>
      <c r="B756" s="82" t="str">
        <f>+_xlfn.XLOOKUP(Tabla4[[#This Row],[ID CLIENTE]],'RESUMEN CLIENTES'!D:D,'RESUMEN CLIENTES'!A:A)</f>
        <v>Paola Hitos</v>
      </c>
      <c r="C756" s="83" t="s">
        <v>2288</v>
      </c>
      <c r="D756" s="83" t="s">
        <v>455</v>
      </c>
      <c r="E756" s="83" t="s">
        <v>1650</v>
      </c>
      <c r="F756" s="83" t="s">
        <v>1651</v>
      </c>
      <c r="G756" s="114">
        <v>1000</v>
      </c>
      <c r="H756" s="85">
        <v>-32.75</v>
      </c>
      <c r="I756" s="115">
        <f t="shared" si="24"/>
        <v>3.2750000000000001E-2</v>
      </c>
      <c r="J756" s="87">
        <f t="shared" si="25"/>
        <v>967.25</v>
      </c>
      <c r="K756" s="87"/>
      <c r="L756" s="87" t="s">
        <v>4672</v>
      </c>
      <c r="M756" s="87"/>
      <c r="N756" s="524"/>
      <c r="O756" s="524">
        <f>+Tabla4[[#This Row],[PAGO NO EURO]]+Tabla4[[#This Row],[CARGO NO EURO]]</f>
        <v>0</v>
      </c>
      <c r="P756" s="524"/>
      <c r="Q756" s="155"/>
      <c r="R756" s="693">
        <f>+_xlfn.XLOOKUP(Tabla4[[#This Row],[ID CLIENTE]],'RESUMEN CLIENTES'!D:D,'RESUMEN CLIENTES'!G:G)</f>
        <v>45846</v>
      </c>
      <c r="S756" s="155" t="str">
        <f>+_xlfn.XLOOKUP(Tabla4[[#This Row],[ID CLIENTE]],'RESUMEN CLIENTES'!D:D,'RESUMEN CLIENTES'!AA:AA)</f>
        <v>A1.1</v>
      </c>
      <c r="T756" s="682" t="str">
        <f>+_xlfn.XLOOKUP(Tabla4[[#This Row],[ID CLIENTE]],'RESUMEN CLIENTES'!D:D,'RESUMEN CLIENTES'!C:C)</f>
        <v>México</v>
      </c>
    </row>
    <row r="757" spans="1:20" ht="16">
      <c r="A757" s="82">
        <v>46002</v>
      </c>
      <c r="B757" s="82" t="str">
        <f>+_xlfn.XLOOKUP(Tabla4[[#This Row],[ID CLIENTE]],'RESUMEN CLIENTES'!D:D,'RESUMEN CLIENTES'!A:A)</f>
        <v>Kimberly Chantelle Frey Arteaga</v>
      </c>
      <c r="C757" s="83" t="s">
        <v>2311</v>
      </c>
      <c r="D757" s="83" t="s">
        <v>501</v>
      </c>
      <c r="E757" s="83" t="s">
        <v>1656</v>
      </c>
      <c r="F757" s="83" t="s">
        <v>1657</v>
      </c>
      <c r="G757" s="114">
        <v>1000</v>
      </c>
      <c r="H757" s="85">
        <v>-32.75</v>
      </c>
      <c r="I757" s="115">
        <f t="shared" si="24"/>
        <v>3.2750000000000001E-2</v>
      </c>
      <c r="J757" s="87">
        <f t="shared" si="25"/>
        <v>967.25</v>
      </c>
      <c r="K757" s="87"/>
      <c r="L757" s="87" t="s">
        <v>4672</v>
      </c>
      <c r="M757" s="87"/>
      <c r="N757" s="524"/>
      <c r="O757" s="524">
        <f>+Tabla4[[#This Row],[PAGO NO EURO]]+Tabla4[[#This Row],[CARGO NO EURO]]</f>
        <v>0</v>
      </c>
      <c r="P757" s="524"/>
      <c r="Q757" s="155"/>
      <c r="R757" s="693">
        <f>+_xlfn.XLOOKUP(Tabla4[[#This Row],[ID CLIENTE]],'RESUMEN CLIENTES'!D:D,'RESUMEN CLIENTES'!G:G)</f>
        <v>45858</v>
      </c>
      <c r="S757" s="155" t="str">
        <f>+_xlfn.XLOOKUP(Tabla4[[#This Row],[ID CLIENTE]],'RESUMEN CLIENTES'!D:D,'RESUMEN CLIENTES'!AA:AA)</f>
        <v>A1.1</v>
      </c>
      <c r="T757" s="682" t="str">
        <f>+_xlfn.XLOOKUP(Tabla4[[#This Row],[ID CLIENTE]],'RESUMEN CLIENTES'!D:D,'RESUMEN CLIENTES'!C:C)</f>
        <v>México</v>
      </c>
    </row>
    <row r="758" spans="1:20" ht="16">
      <c r="A758" s="82">
        <v>46003</v>
      </c>
      <c r="B758" s="82" t="str">
        <f>+_xlfn.XLOOKUP(Tabla4[[#This Row],[ID CLIENTE]],'RESUMEN CLIENTES'!D:D,'RESUMEN CLIENTES'!A:A)</f>
        <v>Paula Ida Elisa Saris Sommer</v>
      </c>
      <c r="C758" s="83" t="s">
        <v>2400</v>
      </c>
      <c r="D758" s="83" t="s">
        <v>855</v>
      </c>
      <c r="E758" s="83" t="s">
        <v>1652</v>
      </c>
      <c r="F758" s="83" t="s">
        <v>1653</v>
      </c>
      <c r="G758" s="114">
        <v>500</v>
      </c>
      <c r="H758" s="85">
        <v>-16.5</v>
      </c>
      <c r="I758" s="115">
        <f t="shared" si="24"/>
        <v>3.3000000000000002E-2</v>
      </c>
      <c r="J758" s="87">
        <f t="shared" si="25"/>
        <v>483.5</v>
      </c>
      <c r="K758" s="87"/>
      <c r="L758" s="87" t="s">
        <v>4672</v>
      </c>
      <c r="M758" s="87"/>
      <c r="N758" s="524"/>
      <c r="O758" s="524">
        <f>+Tabla4[[#This Row],[PAGO NO EURO]]+Tabla4[[#This Row],[CARGO NO EURO]]</f>
        <v>0</v>
      </c>
      <c r="P758" s="524"/>
      <c r="Q758" s="155"/>
      <c r="R758" s="693">
        <f>+_xlfn.XLOOKUP(Tabla4[[#This Row],[ID CLIENTE]],'RESUMEN CLIENTES'!D:D,'RESUMEN CLIENTES'!G:G)</f>
        <v>45904</v>
      </c>
      <c r="S758" s="155" t="str">
        <f>+_xlfn.XLOOKUP(Tabla4[[#This Row],[ID CLIENTE]],'RESUMEN CLIENTES'!D:D,'RESUMEN CLIENTES'!AA:AA)</f>
        <v>A2.1</v>
      </c>
      <c r="T758" s="682" t="str">
        <f>+_xlfn.XLOOKUP(Tabla4[[#This Row],[ID CLIENTE]],'RESUMEN CLIENTES'!D:D,'RESUMEN CLIENTES'!C:C)</f>
        <v>Argentina</v>
      </c>
    </row>
    <row r="759" spans="1:20" ht="16">
      <c r="A759" s="82">
        <v>46003</v>
      </c>
      <c r="B759" s="82" t="str">
        <f>+_xlfn.XLOOKUP(Tabla4[[#This Row],[ID CLIENTE]],'RESUMEN CLIENTES'!D:D,'RESUMEN CLIENTES'!A:A)</f>
        <v>Catalina Andrea Videla Muñoz</v>
      </c>
      <c r="C759" s="83" t="s">
        <v>2164</v>
      </c>
      <c r="D759" s="83" t="s">
        <v>156</v>
      </c>
      <c r="E759" s="83" t="s">
        <v>1667</v>
      </c>
      <c r="F759" s="83" t="s">
        <v>1668</v>
      </c>
      <c r="G759" s="114">
        <v>850</v>
      </c>
      <c r="H759" s="85">
        <v>-27.88</v>
      </c>
      <c r="I759" s="115">
        <f t="shared" si="24"/>
        <v>3.2799999999999996E-2</v>
      </c>
      <c r="J759" s="87">
        <f t="shared" si="25"/>
        <v>822.12</v>
      </c>
      <c r="K759" s="87"/>
      <c r="L759" s="87" t="s">
        <v>4672</v>
      </c>
      <c r="M759" s="87"/>
      <c r="N759" s="524"/>
      <c r="O759" s="524">
        <f>+Tabla4[[#This Row],[PAGO NO EURO]]+Tabla4[[#This Row],[CARGO NO EURO]]</f>
        <v>0</v>
      </c>
      <c r="P759" s="524"/>
      <c r="Q759" s="155"/>
      <c r="R759" s="693">
        <f>+_xlfn.XLOOKUP(Tabla4[[#This Row],[ID CLIENTE]],'RESUMEN CLIENTES'!D:D,'RESUMEN CLIENTES'!G:G)</f>
        <v>45755</v>
      </c>
      <c r="S759" s="155" t="str">
        <f>+_xlfn.XLOOKUP(Tabla4[[#This Row],[ID CLIENTE]],'RESUMEN CLIENTES'!D:D,'RESUMEN CLIENTES'!AA:AA)</f>
        <v>B1.3</v>
      </c>
      <c r="T759" s="682" t="str">
        <f>+_xlfn.XLOOKUP(Tabla4[[#This Row],[ID CLIENTE]],'RESUMEN CLIENTES'!D:D,'RESUMEN CLIENTES'!C:C)</f>
        <v>Chile</v>
      </c>
    </row>
    <row r="760" spans="1:20" ht="16">
      <c r="A760" s="82">
        <v>46004</v>
      </c>
      <c r="B760" s="82" t="str">
        <f>+_xlfn.XLOOKUP(Tabla4[[#This Row],[ID CLIENTE]],'RESUMEN CLIENTES'!D:D,'RESUMEN CLIENTES'!A:A)</f>
        <v>Christian Rivera Hernandez</v>
      </c>
      <c r="C760" s="83" t="s">
        <v>2195</v>
      </c>
      <c r="D760" s="83" t="s">
        <v>191</v>
      </c>
      <c r="E760" s="83" t="s">
        <v>1670</v>
      </c>
      <c r="F760" s="83" t="s">
        <v>1671</v>
      </c>
      <c r="G760" s="114">
        <v>5000</v>
      </c>
      <c r="H760" s="85">
        <v>-162.75</v>
      </c>
      <c r="I760" s="115">
        <f t="shared" si="24"/>
        <v>3.2550000000000003E-2</v>
      </c>
      <c r="J760" s="87">
        <f t="shared" si="25"/>
        <v>4837.25</v>
      </c>
      <c r="K760" s="87"/>
      <c r="L760" s="87" t="s">
        <v>4672</v>
      </c>
      <c r="M760" s="87"/>
      <c r="N760" s="524"/>
      <c r="O760" s="524">
        <f>+Tabla4[[#This Row],[PAGO NO EURO]]+Tabla4[[#This Row],[CARGO NO EURO]]</f>
        <v>0</v>
      </c>
      <c r="P760" s="524"/>
      <c r="Q760" s="155"/>
      <c r="R760" s="693">
        <f>+_xlfn.XLOOKUP(Tabla4[[#This Row],[ID CLIENTE]],'RESUMEN CLIENTES'!D:D,'RESUMEN CLIENTES'!G:G)</f>
        <v>45777</v>
      </c>
      <c r="S760" s="155" t="str">
        <f>+_xlfn.XLOOKUP(Tabla4[[#This Row],[ID CLIENTE]],'RESUMEN CLIENTES'!D:D,'RESUMEN CLIENTES'!AA:AA)</f>
        <v>B1.1</v>
      </c>
      <c r="T760" s="682" t="str">
        <f>+_xlfn.XLOOKUP(Tabla4[[#This Row],[ID CLIENTE]],'RESUMEN CLIENTES'!D:D,'RESUMEN CLIENTES'!C:C)</f>
        <v>Colombia</v>
      </c>
    </row>
    <row r="761" spans="1:20" ht="16">
      <c r="A761" s="82">
        <v>46004</v>
      </c>
      <c r="B761" s="82" t="str">
        <f>+_xlfn.XLOOKUP(Tabla4[[#This Row],[ID CLIENTE]],'RESUMEN CLIENTES'!D:D,'RESUMEN CLIENTES'!A:A)</f>
        <v>Nadya Sofía García Carrasco</v>
      </c>
      <c r="C761" s="83" t="s">
        <v>2485</v>
      </c>
      <c r="D761" s="83" t="s">
        <v>1658</v>
      </c>
      <c r="E761" s="83" t="s">
        <v>1659</v>
      </c>
      <c r="F761" s="83" t="s">
        <v>1660</v>
      </c>
      <c r="G761" s="114">
        <v>250</v>
      </c>
      <c r="H761" s="85">
        <v>-8.3800000000000008</v>
      </c>
      <c r="I761" s="115">
        <f t="shared" si="24"/>
        <v>3.3520000000000001E-2</v>
      </c>
      <c r="J761" s="87">
        <f t="shared" si="25"/>
        <v>241.62</v>
      </c>
      <c r="K761" s="87"/>
      <c r="L761" s="87" t="s">
        <v>4672</v>
      </c>
      <c r="M761" s="87"/>
      <c r="N761" s="524"/>
      <c r="O761" s="524">
        <f>+Tabla4[[#This Row],[PAGO NO EURO]]+Tabla4[[#This Row],[CARGO NO EURO]]</f>
        <v>0</v>
      </c>
      <c r="P761" s="524"/>
      <c r="Q761" s="155"/>
      <c r="R761" s="693">
        <f>+_xlfn.XLOOKUP(Tabla4[[#This Row],[ID CLIENTE]],'RESUMEN CLIENTES'!D:D,'RESUMEN CLIENTES'!G:G)</f>
        <v>46004</v>
      </c>
      <c r="S761" s="155" t="str">
        <f>+_xlfn.XLOOKUP(Tabla4[[#This Row],[ID CLIENTE]],'RESUMEN CLIENTES'!D:D,'RESUMEN CLIENTES'!AA:AA)</f>
        <v>A1.1</v>
      </c>
      <c r="T761" s="682" t="str">
        <f>+_xlfn.XLOOKUP(Tabla4[[#This Row],[ID CLIENTE]],'RESUMEN CLIENTES'!D:D,'RESUMEN CLIENTES'!C:C)</f>
        <v>Ecuador</v>
      </c>
    </row>
    <row r="762" spans="1:20" ht="16">
      <c r="A762" s="82">
        <v>46006</v>
      </c>
      <c r="B762" s="82" t="str">
        <f>+_xlfn.XLOOKUP(Tabla4[[#This Row],[ID CLIENTE]],'RESUMEN CLIENTES'!D:D,'RESUMEN CLIENTES'!A:A)</f>
        <v>Isaac Ricardo Jimenez Campos</v>
      </c>
      <c r="C762" s="83" t="s">
        <v>2131</v>
      </c>
      <c r="D762" s="83" t="s">
        <v>103</v>
      </c>
      <c r="E762" s="83" t="s">
        <v>1681</v>
      </c>
      <c r="F762" s="83" t="s">
        <v>1682</v>
      </c>
      <c r="G762" s="114">
        <v>654</v>
      </c>
      <c r="H762" s="85">
        <v>-21.51</v>
      </c>
      <c r="I762" s="115">
        <f t="shared" si="24"/>
        <v>3.2889908256880734E-2</v>
      </c>
      <c r="J762" s="87">
        <f t="shared" si="25"/>
        <v>632.49</v>
      </c>
      <c r="K762" s="87"/>
      <c r="L762" s="87" t="s">
        <v>4672</v>
      </c>
      <c r="M762" s="87"/>
      <c r="N762" s="524"/>
      <c r="O762" s="524">
        <f>+Tabla4[[#This Row],[PAGO NO EURO]]+Tabla4[[#This Row],[CARGO NO EURO]]</f>
        <v>0</v>
      </c>
      <c r="P762" s="524"/>
      <c r="Q762" s="155"/>
      <c r="R762" s="693">
        <f>+_xlfn.XLOOKUP(Tabla4[[#This Row],[ID CLIENTE]],'RESUMEN CLIENTES'!D:D,'RESUMEN CLIENTES'!G:G)</f>
        <v>45725</v>
      </c>
      <c r="S762" s="155" t="str">
        <f>+_xlfn.XLOOKUP(Tabla4[[#This Row],[ID CLIENTE]],'RESUMEN CLIENTES'!D:D,'RESUMEN CLIENTES'!AA:AA)</f>
        <v>null</v>
      </c>
      <c r="T762" s="682" t="str">
        <f>+_xlfn.XLOOKUP(Tabla4[[#This Row],[ID CLIENTE]],'RESUMEN CLIENTES'!D:D,'RESUMEN CLIENTES'!C:C)</f>
        <v>México</v>
      </c>
    </row>
    <row r="763" spans="1:20" ht="16">
      <c r="A763" s="82">
        <v>46006</v>
      </c>
      <c r="B763" s="82" t="str">
        <f>+_xlfn.XLOOKUP(Tabla4[[#This Row],[ID CLIENTE]],'RESUMEN CLIENTES'!D:D,'RESUMEN CLIENTES'!A:A)</f>
        <v>Carlos Alberto Suarez Hernandez</v>
      </c>
      <c r="C763" s="83" t="s">
        <v>2379</v>
      </c>
      <c r="D763" s="83" t="s">
        <v>751</v>
      </c>
      <c r="E763" s="83" t="s">
        <v>1665</v>
      </c>
      <c r="F763" s="83" t="s">
        <v>1666</v>
      </c>
      <c r="G763" s="114">
        <v>1000</v>
      </c>
      <c r="H763" s="85">
        <v>-32.75</v>
      </c>
      <c r="I763" s="115">
        <f t="shared" si="24"/>
        <v>3.2750000000000001E-2</v>
      </c>
      <c r="J763" s="87">
        <f t="shared" si="25"/>
        <v>967.25</v>
      </c>
      <c r="K763" s="87"/>
      <c r="L763" s="87" t="s">
        <v>4672</v>
      </c>
      <c r="M763" s="87"/>
      <c r="N763" s="524"/>
      <c r="O763" s="524">
        <f>+Tabla4[[#This Row],[PAGO NO EURO]]+Tabla4[[#This Row],[CARGO NO EURO]]</f>
        <v>0</v>
      </c>
      <c r="P763" s="524"/>
      <c r="Q763" s="155"/>
      <c r="R763" s="693">
        <f>+_xlfn.XLOOKUP(Tabla4[[#This Row],[ID CLIENTE]],'RESUMEN CLIENTES'!D:D,'RESUMEN CLIENTES'!G:G)</f>
        <v>45898</v>
      </c>
      <c r="S763" s="155" t="str">
        <f>+_xlfn.XLOOKUP(Tabla4[[#This Row],[ID CLIENTE]],'RESUMEN CLIENTES'!D:D,'RESUMEN CLIENTES'!AA:AA)</f>
        <v>A1.1</v>
      </c>
      <c r="T763" s="682" t="str">
        <f>+_xlfn.XLOOKUP(Tabla4[[#This Row],[ID CLIENTE]],'RESUMEN CLIENTES'!D:D,'RESUMEN CLIENTES'!C:C)</f>
        <v>Colombia</v>
      </c>
    </row>
    <row r="764" spans="1:20" ht="16">
      <c r="A764" s="82">
        <v>46006</v>
      </c>
      <c r="B764" s="82" t="str">
        <f>+_xlfn.XLOOKUP(Tabla4[[#This Row],[ID CLIENTE]],'RESUMEN CLIENTES'!D:D,'RESUMEN CLIENTES'!A:A)</f>
        <v>María Stefania Gelvez Olaya</v>
      </c>
      <c r="C764" s="83" t="s">
        <v>2383</v>
      </c>
      <c r="D764" s="83" t="s">
        <v>762</v>
      </c>
      <c r="E764" s="83" t="s">
        <v>1685</v>
      </c>
      <c r="F764" s="83" t="s">
        <v>1686</v>
      </c>
      <c r="G764" s="114">
        <v>1000</v>
      </c>
      <c r="H764" s="85">
        <v>-32.75</v>
      </c>
      <c r="I764" s="115">
        <f t="shared" si="24"/>
        <v>3.2750000000000001E-2</v>
      </c>
      <c r="J764" s="87">
        <f t="shared" si="25"/>
        <v>967.25</v>
      </c>
      <c r="K764" s="87"/>
      <c r="L764" s="87" t="s">
        <v>4672</v>
      </c>
      <c r="M764" s="87"/>
      <c r="N764" s="524"/>
      <c r="O764" s="524">
        <f>+Tabla4[[#This Row],[PAGO NO EURO]]+Tabla4[[#This Row],[CARGO NO EURO]]</f>
        <v>0</v>
      </c>
      <c r="P764" s="524"/>
      <c r="Q764" s="155"/>
      <c r="R764" s="693">
        <f>+_xlfn.XLOOKUP(Tabla4[[#This Row],[ID CLIENTE]],'RESUMEN CLIENTES'!D:D,'RESUMEN CLIENTES'!G:G)</f>
        <v>45898</v>
      </c>
      <c r="S764" s="155" t="str">
        <f>+_xlfn.XLOOKUP(Tabla4[[#This Row],[ID CLIENTE]],'RESUMEN CLIENTES'!D:D,'RESUMEN CLIENTES'!AA:AA)</f>
        <v>A1.1</v>
      </c>
      <c r="T764" s="682" t="str">
        <f>+_xlfn.XLOOKUP(Tabla4[[#This Row],[ID CLIENTE]],'RESUMEN CLIENTES'!D:D,'RESUMEN CLIENTES'!C:C)</f>
        <v>Colombia</v>
      </c>
    </row>
    <row r="765" spans="1:20" ht="16">
      <c r="A765" s="82">
        <v>46006</v>
      </c>
      <c r="B765" s="82" t="str">
        <f>+_xlfn.XLOOKUP(Tabla4[[#This Row],[ID CLIENTE]],'RESUMEN CLIENTES'!D:D,'RESUMEN CLIENTES'!A:A)</f>
        <v>Alina Maria Cervantes Real</v>
      </c>
      <c r="C765" s="83" t="s">
        <v>2149</v>
      </c>
      <c r="D765" s="83" t="s">
        <v>187</v>
      </c>
      <c r="E765" s="83" t="s">
        <v>1661</v>
      </c>
      <c r="F765" s="83" t="s">
        <v>1662</v>
      </c>
      <c r="G765" s="114">
        <v>799</v>
      </c>
      <c r="H765" s="85">
        <v>-26.22</v>
      </c>
      <c r="I765" s="115">
        <f t="shared" si="24"/>
        <v>3.2816020025031291E-2</v>
      </c>
      <c r="J765" s="87">
        <f t="shared" si="25"/>
        <v>772.78</v>
      </c>
      <c r="K765" s="87"/>
      <c r="L765" s="87" t="s">
        <v>4672</v>
      </c>
      <c r="M765" s="87"/>
      <c r="N765" s="524"/>
      <c r="O765" s="524">
        <f>+Tabla4[[#This Row],[PAGO NO EURO]]+Tabla4[[#This Row],[CARGO NO EURO]]</f>
        <v>0</v>
      </c>
      <c r="P765" s="524"/>
      <c r="Q765" s="155"/>
      <c r="R765" s="693">
        <f>+_xlfn.XLOOKUP(Tabla4[[#This Row],[ID CLIENTE]],'RESUMEN CLIENTES'!D:D,'RESUMEN CLIENTES'!G:G)</f>
        <v>45741</v>
      </c>
      <c r="S765" s="155" t="str">
        <f>+_xlfn.XLOOKUP(Tabla4[[#This Row],[ID CLIENTE]],'RESUMEN CLIENTES'!D:D,'RESUMEN CLIENTES'!AA:AA)</f>
        <v>B1.1</v>
      </c>
      <c r="T765" s="682" t="str">
        <f>+_xlfn.XLOOKUP(Tabla4[[#This Row],[ID CLIENTE]],'RESUMEN CLIENTES'!D:D,'RESUMEN CLIENTES'!C:C)</f>
        <v>México</v>
      </c>
    </row>
    <row r="766" spans="1:20" ht="16">
      <c r="A766" s="82">
        <v>46006</v>
      </c>
      <c r="B766" s="82" t="str">
        <f>+_xlfn.XLOOKUP(Tabla4[[#This Row],[ID CLIENTE]],'RESUMEN CLIENTES'!D:D,'RESUMEN CLIENTES'!A:A)</f>
        <v>Nancy Gisselle Molinari Cheme</v>
      </c>
      <c r="C766" s="83" t="s">
        <v>2212</v>
      </c>
      <c r="D766" s="83" t="s">
        <v>247</v>
      </c>
      <c r="E766" s="83" t="s">
        <v>1687</v>
      </c>
      <c r="F766" s="83" t="s">
        <v>1688</v>
      </c>
      <c r="G766" s="114">
        <v>1000</v>
      </c>
      <c r="H766" s="85">
        <v>-32.75</v>
      </c>
      <c r="I766" s="115">
        <f t="shared" si="24"/>
        <v>3.2750000000000001E-2</v>
      </c>
      <c r="J766" s="87">
        <f t="shared" si="25"/>
        <v>967.25</v>
      </c>
      <c r="K766" s="87"/>
      <c r="L766" s="87" t="s">
        <v>4672</v>
      </c>
      <c r="M766" s="87"/>
      <c r="N766" s="524"/>
      <c r="O766" s="524">
        <f>+Tabla4[[#This Row],[PAGO NO EURO]]+Tabla4[[#This Row],[CARGO NO EURO]]</f>
        <v>0</v>
      </c>
      <c r="P766" s="524"/>
      <c r="Q766" s="155"/>
      <c r="R766" s="693">
        <f>+_xlfn.XLOOKUP(Tabla4[[#This Row],[ID CLIENTE]],'RESUMEN CLIENTES'!D:D,'RESUMEN CLIENTES'!G:G)</f>
        <v>45794</v>
      </c>
      <c r="S766" s="155" t="str">
        <f>+_xlfn.XLOOKUP(Tabla4[[#This Row],[ID CLIENTE]],'RESUMEN CLIENTES'!D:D,'RESUMEN CLIENTES'!AA:AA)</f>
        <v>B1.1</v>
      </c>
      <c r="T766" s="682" t="str">
        <f>+_xlfn.XLOOKUP(Tabla4[[#This Row],[ID CLIENTE]],'RESUMEN CLIENTES'!D:D,'RESUMEN CLIENTES'!C:C)</f>
        <v>Perú</v>
      </c>
    </row>
    <row r="767" spans="1:20" ht="16">
      <c r="A767" s="82">
        <v>46006</v>
      </c>
      <c r="B767" s="82" t="str">
        <f>+_xlfn.XLOOKUP(Tabla4[[#This Row],[ID CLIENTE]],'RESUMEN CLIENTES'!D:D,'RESUMEN CLIENTES'!A:A)</f>
        <v>Diego Alberto Ruiz Cifuentes</v>
      </c>
      <c r="C767" s="83" t="s">
        <v>2487</v>
      </c>
      <c r="D767" s="83" t="s">
        <v>1674</v>
      </c>
      <c r="E767" s="83" t="s">
        <v>1675</v>
      </c>
      <c r="F767" s="83" t="s">
        <v>1676</v>
      </c>
      <c r="G767" s="114">
        <v>250</v>
      </c>
      <c r="H767" s="85">
        <v>-8.3800000000000008</v>
      </c>
      <c r="I767" s="115">
        <f t="shared" si="24"/>
        <v>3.3520000000000001E-2</v>
      </c>
      <c r="J767" s="87">
        <f t="shared" si="25"/>
        <v>241.62</v>
      </c>
      <c r="K767" s="87"/>
      <c r="L767" s="87" t="s">
        <v>4672</v>
      </c>
      <c r="M767" s="87"/>
      <c r="N767" s="524"/>
      <c r="O767" s="524">
        <f>+Tabla4[[#This Row],[PAGO NO EURO]]+Tabla4[[#This Row],[CARGO NO EURO]]</f>
        <v>0</v>
      </c>
      <c r="P767" s="524"/>
      <c r="Q767" s="155"/>
      <c r="R767" s="693">
        <f>+_xlfn.XLOOKUP(Tabla4[[#This Row],[ID CLIENTE]],'RESUMEN CLIENTES'!D:D,'RESUMEN CLIENTES'!G:G)</f>
        <v>46006</v>
      </c>
      <c r="S767" s="155" t="str">
        <f>+_xlfn.XLOOKUP(Tabla4[[#This Row],[ID CLIENTE]],'RESUMEN CLIENTES'!D:D,'RESUMEN CLIENTES'!AA:AA)</f>
        <v>A2.1</v>
      </c>
      <c r="T767" s="682" t="str">
        <f>+_xlfn.XLOOKUP(Tabla4[[#This Row],[ID CLIENTE]],'RESUMEN CLIENTES'!D:D,'RESUMEN CLIENTES'!C:C)</f>
        <v>Chile</v>
      </c>
    </row>
    <row r="768" spans="1:20" ht="16">
      <c r="A768" s="82">
        <v>46007</v>
      </c>
      <c r="B768" s="82" t="str">
        <f>+_xlfn.XLOOKUP(Tabla4[[#This Row],[ID CLIENTE]],'RESUMEN CLIENTES'!D:D,'RESUMEN CLIENTES'!A:A)</f>
        <v>Gabriel Alejandro Ortega Moreno</v>
      </c>
      <c r="C768" s="83" t="s">
        <v>2129</v>
      </c>
      <c r="D768" s="83" t="s">
        <v>95</v>
      </c>
      <c r="E768" s="83" t="s">
        <v>1677</v>
      </c>
      <c r="F768" s="83" t="s">
        <v>1678</v>
      </c>
      <c r="G768" s="114">
        <v>200</v>
      </c>
      <c r="H768" s="85">
        <v>-6.75</v>
      </c>
      <c r="I768" s="115">
        <f t="shared" si="24"/>
        <v>3.3750000000000002E-2</v>
      </c>
      <c r="J768" s="87">
        <f t="shared" si="25"/>
        <v>193.25</v>
      </c>
      <c r="K768" s="87"/>
      <c r="L768" s="87" t="s">
        <v>4672</v>
      </c>
      <c r="M768" s="87"/>
      <c r="N768" s="524"/>
      <c r="O768" s="524">
        <f>+Tabla4[[#This Row],[PAGO NO EURO]]+Tabla4[[#This Row],[CARGO NO EURO]]</f>
        <v>0</v>
      </c>
      <c r="P768" s="524"/>
      <c r="Q768" s="155"/>
      <c r="R768" s="693">
        <f>+_xlfn.XLOOKUP(Tabla4[[#This Row],[ID CLIENTE]],'RESUMEN CLIENTES'!D:D,'RESUMEN CLIENTES'!G:G)</f>
        <v>45721</v>
      </c>
      <c r="S768" s="155" t="str">
        <f>+_xlfn.XLOOKUP(Tabla4[[#This Row],[ID CLIENTE]],'RESUMEN CLIENTES'!D:D,'RESUMEN CLIENTES'!AA:AA)</f>
        <v>B2.1</v>
      </c>
      <c r="T768" s="682" t="str">
        <f>+_xlfn.XLOOKUP(Tabla4[[#This Row],[ID CLIENTE]],'RESUMEN CLIENTES'!D:D,'RESUMEN CLIENTES'!C:C)</f>
        <v>Ecuador</v>
      </c>
    </row>
    <row r="769" spans="1:20" ht="16">
      <c r="A769" s="82">
        <v>46007</v>
      </c>
      <c r="B769" s="82" t="str">
        <f>+_xlfn.XLOOKUP(Tabla4[[#This Row],[ID CLIENTE]],'RESUMEN CLIENTES'!D:D,'RESUMEN CLIENTES'!A:A)</f>
        <v>David Enrique Díaz Mejía</v>
      </c>
      <c r="C769" s="83" t="s">
        <v>2189</v>
      </c>
      <c r="D769" s="83" t="s">
        <v>90</v>
      </c>
      <c r="E769" s="83" t="s">
        <v>1672</v>
      </c>
      <c r="F769" s="83" t="s">
        <v>1673</v>
      </c>
      <c r="G769" s="114">
        <v>500</v>
      </c>
      <c r="H769" s="85">
        <v>0</v>
      </c>
      <c r="I769" s="115">
        <f t="shared" si="24"/>
        <v>0</v>
      </c>
      <c r="J769" s="87">
        <f t="shared" si="25"/>
        <v>500</v>
      </c>
      <c r="K769" s="87"/>
      <c r="L769" s="87" t="s">
        <v>4672</v>
      </c>
      <c r="M769" s="87"/>
      <c r="N769" s="524"/>
      <c r="O769" s="524">
        <f>+Tabla4[[#This Row],[PAGO NO EURO]]+Tabla4[[#This Row],[CARGO NO EURO]]</f>
        <v>0</v>
      </c>
      <c r="P769" s="524"/>
      <c r="Q769" s="155"/>
      <c r="R769" s="693">
        <f>+_xlfn.XLOOKUP(Tabla4[[#This Row],[ID CLIENTE]],'RESUMEN CLIENTES'!D:D,'RESUMEN CLIENTES'!G:G)</f>
        <v>45774</v>
      </c>
      <c r="S769" s="155" t="str">
        <f>+_xlfn.XLOOKUP(Tabla4[[#This Row],[ID CLIENTE]],'RESUMEN CLIENTES'!D:D,'RESUMEN CLIENTES'!AA:AA)</f>
        <v>A1.1</v>
      </c>
      <c r="T769" s="682" t="str">
        <f>+_xlfn.XLOOKUP(Tabla4[[#This Row],[ID CLIENTE]],'RESUMEN CLIENTES'!D:D,'RESUMEN CLIENTES'!C:C)</f>
        <v>Honduras</v>
      </c>
    </row>
    <row r="770" spans="1:20" ht="16">
      <c r="A770" s="82">
        <v>46007</v>
      </c>
      <c r="B770" s="82" t="str">
        <f>+_xlfn.XLOOKUP(Tabla4[[#This Row],[ID CLIENTE]],'RESUMEN CLIENTES'!D:D,'RESUMEN CLIENTES'!A:A)</f>
        <v>Andrea Cristina Estrada Morocho</v>
      </c>
      <c r="C770" s="83" t="s">
        <v>2267</v>
      </c>
      <c r="D770" s="83" t="s">
        <v>325</v>
      </c>
      <c r="E770" s="83" t="s">
        <v>1663</v>
      </c>
      <c r="F770" s="83" t="s">
        <v>1664</v>
      </c>
      <c r="G770" s="114">
        <v>500</v>
      </c>
      <c r="H770" s="85">
        <v>-16.5</v>
      </c>
      <c r="I770" s="115">
        <f t="shared" si="24"/>
        <v>3.3000000000000002E-2</v>
      </c>
      <c r="J770" s="87">
        <f t="shared" si="25"/>
        <v>483.5</v>
      </c>
      <c r="K770" s="87"/>
      <c r="L770" s="87" t="s">
        <v>4672</v>
      </c>
      <c r="M770" s="87"/>
      <c r="N770" s="524"/>
      <c r="O770" s="524">
        <f>+Tabla4[[#This Row],[PAGO NO EURO]]+Tabla4[[#This Row],[CARGO NO EURO]]</f>
        <v>0</v>
      </c>
      <c r="P770" s="524"/>
      <c r="Q770" s="155"/>
      <c r="R770" s="693">
        <f>+_xlfn.XLOOKUP(Tabla4[[#This Row],[ID CLIENTE]],'RESUMEN CLIENTES'!D:D,'RESUMEN CLIENTES'!G:G)</f>
        <v>45831</v>
      </c>
      <c r="S770" s="155" t="str">
        <f>+_xlfn.XLOOKUP(Tabla4[[#This Row],[ID CLIENTE]],'RESUMEN CLIENTES'!D:D,'RESUMEN CLIENTES'!AA:AA)</f>
        <v>A1.1</v>
      </c>
      <c r="T770" s="682" t="str">
        <f>+_xlfn.XLOOKUP(Tabla4[[#This Row],[ID CLIENTE]],'RESUMEN CLIENTES'!D:D,'RESUMEN CLIENTES'!C:C)</f>
        <v>Ecuador</v>
      </c>
    </row>
    <row r="771" spans="1:20" ht="16">
      <c r="A771" s="82">
        <v>46010</v>
      </c>
      <c r="B771" s="82" t="str">
        <f>+_xlfn.XLOOKUP(Tabla4[[#This Row],[ID CLIENTE]],'RESUMEN CLIENTES'!D:D,'RESUMEN CLIENTES'!A:A)</f>
        <v>Diego Alberto Ruiz Cifuentes</v>
      </c>
      <c r="C771" s="83" t="s">
        <v>2487</v>
      </c>
      <c r="D771" s="83" t="s">
        <v>1674</v>
      </c>
      <c r="E771" s="83" t="s">
        <v>1828</v>
      </c>
      <c r="F771" s="83" t="s">
        <v>1829</v>
      </c>
      <c r="G771" s="114">
        <v>3750</v>
      </c>
      <c r="H771" s="85">
        <v>0</v>
      </c>
      <c r="I771" s="115">
        <f t="shared" si="24"/>
        <v>0</v>
      </c>
      <c r="J771" s="87">
        <f t="shared" si="25"/>
        <v>3750</v>
      </c>
      <c r="K771" s="87" t="s">
        <v>2545</v>
      </c>
      <c r="L771" s="87" t="s">
        <v>4675</v>
      </c>
      <c r="M771" s="87"/>
      <c r="N771" s="524"/>
      <c r="O771" s="524">
        <f>+Tabla4[[#This Row],[PAGO NO EURO]]+Tabla4[[#This Row],[CARGO NO EURO]]</f>
        <v>0</v>
      </c>
      <c r="P771" s="524"/>
      <c r="Q771" s="155"/>
      <c r="R771" s="693">
        <f>+_xlfn.XLOOKUP(Tabla4[[#This Row],[ID CLIENTE]],'RESUMEN CLIENTES'!D:D,'RESUMEN CLIENTES'!G:G)</f>
        <v>46006</v>
      </c>
      <c r="S771" s="155" t="str">
        <f>+_xlfn.XLOOKUP(Tabla4[[#This Row],[ID CLIENTE]],'RESUMEN CLIENTES'!D:D,'RESUMEN CLIENTES'!AA:AA)</f>
        <v>A2.1</v>
      </c>
      <c r="T771" s="682" t="str">
        <f>+_xlfn.XLOOKUP(Tabla4[[#This Row],[ID CLIENTE]],'RESUMEN CLIENTES'!D:D,'RESUMEN CLIENTES'!C:C)</f>
        <v>Chile</v>
      </c>
    </row>
    <row r="772" spans="1:20" ht="16">
      <c r="A772" s="82">
        <v>46011</v>
      </c>
      <c r="B772" s="82" t="str">
        <f>+_xlfn.XLOOKUP(Tabla4[[#This Row],[ID CLIENTE]],'RESUMEN CLIENTES'!D:D,'RESUMEN CLIENTES'!A:A)</f>
        <v>Raúl Ernesto Martínez Orantes</v>
      </c>
      <c r="C772" s="83" t="s">
        <v>2422</v>
      </c>
      <c r="D772" s="83" t="s">
        <v>994</v>
      </c>
      <c r="E772" s="83" t="s">
        <v>1725</v>
      </c>
      <c r="F772" s="83" t="s">
        <v>1726</v>
      </c>
      <c r="G772" s="114">
        <v>850</v>
      </c>
      <c r="H772" s="85">
        <v>-27.88</v>
      </c>
      <c r="I772" s="115">
        <f t="shared" si="24"/>
        <v>3.2799999999999996E-2</v>
      </c>
      <c r="J772" s="87">
        <f t="shared" si="25"/>
        <v>822.12</v>
      </c>
      <c r="K772" s="87"/>
      <c r="L772" s="87" t="s">
        <v>4672</v>
      </c>
      <c r="M772" s="87"/>
      <c r="N772" s="524"/>
      <c r="O772" s="524">
        <f>+Tabla4[[#This Row],[PAGO NO EURO]]+Tabla4[[#This Row],[CARGO NO EURO]]</f>
        <v>0</v>
      </c>
      <c r="P772" s="524"/>
      <c r="Q772" s="155"/>
      <c r="R772" s="693">
        <f>+_xlfn.XLOOKUP(Tabla4[[#This Row],[ID CLIENTE]],'RESUMEN CLIENTES'!D:D,'RESUMEN CLIENTES'!G:G)</f>
        <v>45916</v>
      </c>
      <c r="S772" s="155" t="str">
        <f>+_xlfn.XLOOKUP(Tabla4[[#This Row],[ID CLIENTE]],'RESUMEN CLIENTES'!D:D,'RESUMEN CLIENTES'!AA:AA)</f>
        <v>A1.1</v>
      </c>
      <c r="T772" s="682" t="str">
        <f>+_xlfn.XLOOKUP(Tabla4[[#This Row],[ID CLIENTE]],'RESUMEN CLIENTES'!D:D,'RESUMEN CLIENTES'!C:C)</f>
        <v>El Salvador</v>
      </c>
    </row>
    <row r="773" spans="1:20" ht="16">
      <c r="A773" s="82">
        <v>46013</v>
      </c>
      <c r="B773" s="82" t="str">
        <f>+_xlfn.XLOOKUP(Tabla4[[#This Row],[ID CLIENTE]],'RESUMEN CLIENTES'!D:D,'RESUMEN CLIENTES'!A:A)</f>
        <v>Karenn Yadira Tavera Lara</v>
      </c>
      <c r="C773" s="83" t="s">
        <v>2424</v>
      </c>
      <c r="D773" s="83" t="s">
        <v>1001</v>
      </c>
      <c r="E773" s="83" t="s">
        <v>1689</v>
      </c>
      <c r="F773" s="83" t="s">
        <v>1690</v>
      </c>
      <c r="G773" s="114">
        <v>1000</v>
      </c>
      <c r="H773" s="85">
        <v>-32.75</v>
      </c>
      <c r="I773" s="115">
        <f t="shared" si="24"/>
        <v>3.2750000000000001E-2</v>
      </c>
      <c r="J773" s="87">
        <f t="shared" si="25"/>
        <v>967.25</v>
      </c>
      <c r="K773" s="87"/>
      <c r="L773" s="87" t="s">
        <v>4672</v>
      </c>
      <c r="M773" s="87"/>
      <c r="N773" s="524"/>
      <c r="O773" s="524">
        <f>+Tabla4[[#This Row],[PAGO NO EURO]]+Tabla4[[#This Row],[CARGO NO EURO]]</f>
        <v>0</v>
      </c>
      <c r="P773" s="524"/>
      <c r="Q773" s="155"/>
      <c r="R773" s="693">
        <f>+_xlfn.XLOOKUP(Tabla4[[#This Row],[ID CLIENTE]],'RESUMEN CLIENTES'!D:D,'RESUMEN CLIENTES'!G:G)</f>
        <v>45919</v>
      </c>
      <c r="S773" s="155" t="str">
        <f>+_xlfn.XLOOKUP(Tabla4[[#This Row],[ID CLIENTE]],'RESUMEN CLIENTES'!D:D,'RESUMEN CLIENTES'!AA:AA)</f>
        <v>A1.1</v>
      </c>
      <c r="T773" s="682" t="str">
        <f>+_xlfn.XLOOKUP(Tabla4[[#This Row],[ID CLIENTE]],'RESUMEN CLIENTES'!D:D,'RESUMEN CLIENTES'!C:C)</f>
        <v>México</v>
      </c>
    </row>
    <row r="774" spans="1:20" ht="16">
      <c r="A774" s="82">
        <v>46013</v>
      </c>
      <c r="B774" s="82" t="str">
        <f>+_xlfn.XLOOKUP(Tabla4[[#This Row],[ID CLIENTE]],'RESUMEN CLIENTES'!D:D,'RESUMEN CLIENTES'!A:A)</f>
        <v>Nelfris Moret</v>
      </c>
      <c r="C774" s="83" t="s">
        <v>2489</v>
      </c>
      <c r="D774" s="83" t="s">
        <v>1696</v>
      </c>
      <c r="E774" s="83" t="s">
        <v>1697</v>
      </c>
      <c r="F774" s="83" t="s">
        <v>1698</v>
      </c>
      <c r="G774" s="114">
        <v>250</v>
      </c>
      <c r="H774" s="85">
        <v>-8.3800000000000008</v>
      </c>
      <c r="I774" s="115">
        <f t="shared" si="24"/>
        <v>3.3520000000000001E-2</v>
      </c>
      <c r="J774" s="87">
        <f t="shared" si="25"/>
        <v>241.62</v>
      </c>
      <c r="K774" s="87"/>
      <c r="L774" s="87" t="s">
        <v>4672</v>
      </c>
      <c r="M774" s="87"/>
      <c r="N774" s="524"/>
      <c r="O774" s="524">
        <f>+Tabla4[[#This Row],[PAGO NO EURO]]+Tabla4[[#This Row],[CARGO NO EURO]]</f>
        <v>0</v>
      </c>
      <c r="P774" s="524"/>
      <c r="Q774" s="155"/>
      <c r="R774" s="693">
        <f>+_xlfn.XLOOKUP(Tabla4[[#This Row],[ID CLIENTE]],'RESUMEN CLIENTES'!D:D,'RESUMEN CLIENTES'!G:G)</f>
        <v>46013</v>
      </c>
      <c r="S774" s="155" t="str">
        <f>+_xlfn.XLOOKUP(Tabla4[[#This Row],[ID CLIENTE]],'RESUMEN CLIENTES'!D:D,'RESUMEN CLIENTES'!AA:AA)</f>
        <v>-</v>
      </c>
      <c r="T774" s="682" t="str">
        <f>+_xlfn.XLOOKUP(Tabla4[[#This Row],[ID CLIENTE]],'RESUMEN CLIENTES'!D:D,'RESUMEN CLIENTES'!C:C)</f>
        <v>Venezuela</v>
      </c>
    </row>
    <row r="775" spans="1:20" ht="16">
      <c r="A775" s="82">
        <v>46014</v>
      </c>
      <c r="B775" s="82" t="str">
        <f>+_xlfn.XLOOKUP(Tabla4[[#This Row],[ID CLIENTE]],'RESUMEN CLIENTES'!D:D,'RESUMEN CLIENTES'!A:A)</f>
        <v>Bastian Sofjer Peralta</v>
      </c>
      <c r="C775" s="83" t="s">
        <v>2172</v>
      </c>
      <c r="D775" s="83" t="s">
        <v>162</v>
      </c>
      <c r="E775" s="83" t="s">
        <v>1729</v>
      </c>
      <c r="F775" s="83" t="s">
        <v>1730</v>
      </c>
      <c r="G775" s="114">
        <v>900</v>
      </c>
      <c r="H775" s="85">
        <v>-29.5</v>
      </c>
      <c r="I775" s="115">
        <f t="shared" si="24"/>
        <v>3.2777777777777781E-2</v>
      </c>
      <c r="J775" s="87">
        <f t="shared" si="25"/>
        <v>870.5</v>
      </c>
      <c r="K775" s="87"/>
      <c r="L775" s="87" t="s">
        <v>4672</v>
      </c>
      <c r="M775" s="87"/>
      <c r="N775" s="524"/>
      <c r="O775" s="524">
        <f>+Tabla4[[#This Row],[PAGO NO EURO]]+Tabla4[[#This Row],[CARGO NO EURO]]</f>
        <v>0</v>
      </c>
      <c r="P775" s="524"/>
      <c r="Q775" s="155"/>
      <c r="R775" s="693">
        <f>+_xlfn.XLOOKUP(Tabla4[[#This Row],[ID CLIENTE]],'RESUMEN CLIENTES'!D:D,'RESUMEN CLIENTES'!G:G)</f>
        <v>45758</v>
      </c>
      <c r="S775" s="155" t="str">
        <f>+_xlfn.XLOOKUP(Tabla4[[#This Row],[ID CLIENTE]],'RESUMEN CLIENTES'!D:D,'RESUMEN CLIENTES'!AA:AA)</f>
        <v>A1.1</v>
      </c>
      <c r="T775" s="682" t="str">
        <f>+_xlfn.XLOOKUP(Tabla4[[#This Row],[ID CLIENTE]],'RESUMEN CLIENTES'!D:D,'RESUMEN CLIENTES'!C:C)</f>
        <v>Chile</v>
      </c>
    </row>
    <row r="776" spans="1:20" ht="16">
      <c r="A776" s="82">
        <v>46015</v>
      </c>
      <c r="B776" s="82" t="str">
        <f>+_xlfn.XLOOKUP(Tabla4[[#This Row],[ID CLIENTE]],'RESUMEN CLIENTES'!D:D,'RESUMEN CLIENTES'!A:A)</f>
        <v>Fernanda Castro</v>
      </c>
      <c r="C776" s="83" t="s">
        <v>2218</v>
      </c>
      <c r="D776" s="83" t="s">
        <v>250</v>
      </c>
      <c r="E776" s="83" t="s">
        <v>1699</v>
      </c>
      <c r="F776" s="83" t="s">
        <v>1700</v>
      </c>
      <c r="G776" s="114">
        <v>1000</v>
      </c>
      <c r="H776" s="85">
        <v>-32.75</v>
      </c>
      <c r="I776" s="115">
        <f t="shared" si="24"/>
        <v>3.2750000000000001E-2</v>
      </c>
      <c r="J776" s="87">
        <f t="shared" si="25"/>
        <v>967.25</v>
      </c>
      <c r="K776" s="87"/>
      <c r="L776" s="87" t="s">
        <v>4672</v>
      </c>
      <c r="M776" s="87"/>
      <c r="N776" s="524"/>
      <c r="O776" s="524">
        <f>+Tabla4[[#This Row],[PAGO NO EURO]]+Tabla4[[#This Row],[CARGO NO EURO]]</f>
        <v>0</v>
      </c>
      <c r="P776" s="524"/>
      <c r="Q776" s="155"/>
      <c r="R776" s="693">
        <f>+_xlfn.XLOOKUP(Tabla4[[#This Row],[ID CLIENTE]],'RESUMEN CLIENTES'!D:D,'RESUMEN CLIENTES'!G:G)</f>
        <v>45803</v>
      </c>
      <c r="S776" s="155" t="str">
        <f>+_xlfn.XLOOKUP(Tabla4[[#This Row],[ID CLIENTE]],'RESUMEN CLIENTES'!D:D,'RESUMEN CLIENTES'!AA:AA)</f>
        <v>A2.1</v>
      </c>
      <c r="T776" s="682" t="str">
        <f>+_xlfn.XLOOKUP(Tabla4[[#This Row],[ID CLIENTE]],'RESUMEN CLIENTES'!D:D,'RESUMEN CLIENTES'!C:C)</f>
        <v>Ecuador</v>
      </c>
    </row>
    <row r="777" spans="1:20" ht="16">
      <c r="A777" s="82">
        <v>46015</v>
      </c>
      <c r="B777" s="82" t="str">
        <f>+_xlfn.XLOOKUP(Tabla4[[#This Row],[ID CLIENTE]],'RESUMEN CLIENTES'!D:D,'RESUMEN CLIENTES'!A:A)</f>
        <v>Julio Nelson Adaros Moraga</v>
      </c>
      <c r="C777" s="83" t="s">
        <v>2271</v>
      </c>
      <c r="D777" s="83" t="s">
        <v>372</v>
      </c>
      <c r="E777" s="83" t="s">
        <v>1752</v>
      </c>
      <c r="F777" s="83" t="s">
        <v>1753</v>
      </c>
      <c r="G777" s="114">
        <v>1000</v>
      </c>
      <c r="H777" s="85">
        <v>-32.75</v>
      </c>
      <c r="I777" s="115">
        <f t="shared" si="24"/>
        <v>3.2750000000000001E-2</v>
      </c>
      <c r="J777" s="87">
        <f t="shared" si="25"/>
        <v>967.25</v>
      </c>
      <c r="K777" s="87"/>
      <c r="L777" s="87" t="s">
        <v>4672</v>
      </c>
      <c r="M777" s="87"/>
      <c r="N777" s="524"/>
      <c r="O777" s="524">
        <f>+Tabla4[[#This Row],[PAGO NO EURO]]+Tabla4[[#This Row],[CARGO NO EURO]]</f>
        <v>0</v>
      </c>
      <c r="P777" s="524"/>
      <c r="Q777" s="155"/>
      <c r="R777" s="693">
        <f>+_xlfn.XLOOKUP(Tabla4[[#This Row],[ID CLIENTE]],'RESUMEN CLIENTES'!D:D,'RESUMEN CLIENTES'!G:G)</f>
        <v>45836</v>
      </c>
      <c r="S777" s="155" t="str">
        <f>+_xlfn.XLOOKUP(Tabla4[[#This Row],[ID CLIENTE]],'RESUMEN CLIENTES'!D:D,'RESUMEN CLIENTES'!AA:AA)</f>
        <v>A1.1</v>
      </c>
      <c r="T777" s="682" t="str">
        <f>+_xlfn.XLOOKUP(Tabla4[[#This Row],[ID CLIENTE]],'RESUMEN CLIENTES'!D:D,'RESUMEN CLIENTES'!C:C)</f>
        <v>Chile</v>
      </c>
    </row>
    <row r="778" spans="1:20" ht="16">
      <c r="A778" s="82">
        <v>46015</v>
      </c>
      <c r="B778" s="82" t="str">
        <f>+_xlfn.XLOOKUP(Tabla4[[#This Row],[ID CLIENTE]],'RESUMEN CLIENTES'!D:D,'RESUMEN CLIENTES'!A:A)</f>
        <v>Astrid Mariam Enamorado Ortega</v>
      </c>
      <c r="C778" s="83" t="s">
        <v>2339</v>
      </c>
      <c r="D778" s="83" t="s">
        <v>574</v>
      </c>
      <c r="E778" s="83" t="s">
        <v>1691</v>
      </c>
      <c r="F778" s="83" t="s">
        <v>1692</v>
      </c>
      <c r="G778" s="114">
        <v>1200</v>
      </c>
      <c r="H778" s="85">
        <v>-39.25</v>
      </c>
      <c r="I778" s="115">
        <f t="shared" si="24"/>
        <v>3.2708333333333332E-2</v>
      </c>
      <c r="J778" s="87">
        <f t="shared" si="25"/>
        <v>1160.75</v>
      </c>
      <c r="K778" s="87"/>
      <c r="L778" s="87" t="s">
        <v>4672</v>
      </c>
      <c r="M778" s="87"/>
      <c r="N778" s="524"/>
      <c r="O778" s="524">
        <f>+Tabla4[[#This Row],[PAGO NO EURO]]+Tabla4[[#This Row],[CARGO NO EURO]]</f>
        <v>0</v>
      </c>
      <c r="P778" s="524"/>
      <c r="Q778" s="155"/>
      <c r="R778" s="693">
        <f>+_xlfn.XLOOKUP(Tabla4[[#This Row],[ID CLIENTE]],'RESUMEN CLIENTES'!D:D,'RESUMEN CLIENTES'!G:G)</f>
        <v>45869</v>
      </c>
      <c r="S778" s="155" t="str">
        <f>+_xlfn.XLOOKUP(Tabla4[[#This Row],[ID CLIENTE]],'RESUMEN CLIENTES'!D:D,'RESUMEN CLIENTES'!AA:AA)</f>
        <v>B2.1</v>
      </c>
      <c r="T778" s="682" t="str">
        <f>+_xlfn.XLOOKUP(Tabla4[[#This Row],[ID CLIENTE]],'RESUMEN CLIENTES'!D:D,'RESUMEN CLIENTES'!C:C)</f>
        <v>Honduras</v>
      </c>
    </row>
    <row r="779" spans="1:20" ht="16">
      <c r="A779" s="82">
        <v>46016</v>
      </c>
      <c r="B779" s="82" t="str">
        <f>+_xlfn.XLOOKUP(Tabla4[[#This Row],[ID CLIENTE]],'RESUMEN CLIENTES'!D:D,'RESUMEN CLIENTES'!A:A)</f>
        <v>Jorge Augusto Cámbara Vargas</v>
      </c>
      <c r="C779" s="83" t="s">
        <v>2261</v>
      </c>
      <c r="D779" s="83" t="s">
        <v>333</v>
      </c>
      <c r="E779" s="83" t="s">
        <v>1735</v>
      </c>
      <c r="F779" s="83" t="s">
        <v>1736</v>
      </c>
      <c r="G779" s="114">
        <v>1000</v>
      </c>
      <c r="H779" s="85">
        <v>-32.75</v>
      </c>
      <c r="I779" s="115">
        <f t="shared" si="24"/>
        <v>3.2750000000000001E-2</v>
      </c>
      <c r="J779" s="87">
        <f t="shared" si="25"/>
        <v>967.25</v>
      </c>
      <c r="K779" s="87"/>
      <c r="L779" s="87" t="s">
        <v>4672</v>
      </c>
      <c r="M779" s="87"/>
      <c r="N779" s="524"/>
      <c r="O779" s="524">
        <f>+Tabla4[[#This Row],[PAGO NO EURO]]+Tabla4[[#This Row],[CARGO NO EURO]]</f>
        <v>0</v>
      </c>
      <c r="P779" s="524"/>
      <c r="Q779" s="155"/>
      <c r="R779" s="693">
        <f>+_xlfn.XLOOKUP(Tabla4[[#This Row],[ID CLIENTE]],'RESUMEN CLIENTES'!D:D,'RESUMEN CLIENTES'!G:G)</f>
        <v>45821</v>
      </c>
      <c r="S779" s="155" t="str">
        <f>+_xlfn.XLOOKUP(Tabla4[[#This Row],[ID CLIENTE]],'RESUMEN CLIENTES'!D:D,'RESUMEN CLIENTES'!AA:AA)</f>
        <v>B1.1</v>
      </c>
      <c r="T779" s="682" t="str">
        <f>+_xlfn.XLOOKUP(Tabla4[[#This Row],[ID CLIENTE]],'RESUMEN CLIENTES'!D:D,'RESUMEN CLIENTES'!C:C)</f>
        <v>Guatemala</v>
      </c>
    </row>
    <row r="780" spans="1:20" ht="16">
      <c r="A780" s="82">
        <v>46016</v>
      </c>
      <c r="B780" s="82" t="str">
        <f>+_xlfn.XLOOKUP(Tabla4[[#This Row],[ID CLIENTE]],'RESUMEN CLIENTES'!D:D,'RESUMEN CLIENTES'!A:A)</f>
        <v>Sofia Martínez Restrepo</v>
      </c>
      <c r="C780" s="83" t="s">
        <v>2366</v>
      </c>
      <c r="D780" s="83" t="s">
        <v>716</v>
      </c>
      <c r="E780" s="83" t="s">
        <v>1741</v>
      </c>
      <c r="F780" s="83" t="s">
        <v>1742</v>
      </c>
      <c r="G780" s="114">
        <v>1000</v>
      </c>
      <c r="H780" s="85">
        <v>-32.75</v>
      </c>
      <c r="I780" s="115">
        <f t="shared" si="24"/>
        <v>3.2750000000000001E-2</v>
      </c>
      <c r="J780" s="87">
        <f t="shared" si="25"/>
        <v>967.25</v>
      </c>
      <c r="K780" s="87"/>
      <c r="L780" s="87" t="s">
        <v>4672</v>
      </c>
      <c r="M780" s="87"/>
      <c r="N780" s="524"/>
      <c r="O780" s="524">
        <f>+Tabla4[[#This Row],[PAGO NO EURO]]+Tabla4[[#This Row],[CARGO NO EURO]]</f>
        <v>0</v>
      </c>
      <c r="P780" s="524"/>
      <c r="Q780" s="155"/>
      <c r="R780" s="693">
        <f>+_xlfn.XLOOKUP(Tabla4[[#This Row],[ID CLIENTE]],'RESUMEN CLIENTES'!D:D,'RESUMEN CLIENTES'!G:G)</f>
        <v>45891</v>
      </c>
      <c r="S780" s="155" t="str">
        <f>+_xlfn.XLOOKUP(Tabla4[[#This Row],[ID CLIENTE]],'RESUMEN CLIENTES'!D:D,'RESUMEN CLIENTES'!AA:AA)</f>
        <v>A1.1</v>
      </c>
      <c r="T780" s="682" t="str">
        <f>+_xlfn.XLOOKUP(Tabla4[[#This Row],[ID CLIENTE]],'RESUMEN CLIENTES'!D:D,'RESUMEN CLIENTES'!C:C)</f>
        <v>Colombia</v>
      </c>
    </row>
    <row r="781" spans="1:20" ht="16">
      <c r="A781" s="82">
        <v>46016</v>
      </c>
      <c r="B781" s="82" t="str">
        <f>+_xlfn.XLOOKUP(Tabla4[[#This Row],[ID CLIENTE]],'RESUMEN CLIENTES'!D:D,'RESUMEN CLIENTES'!A:A)</f>
        <v>Gabriela Kimberlyn Moran Caiza</v>
      </c>
      <c r="C781" s="83" t="s">
        <v>2127</v>
      </c>
      <c r="D781" s="83" t="s">
        <v>98</v>
      </c>
      <c r="E781" s="83" t="s">
        <v>1679</v>
      </c>
      <c r="F781" s="83" t="s">
        <v>1680</v>
      </c>
      <c r="G781" s="114">
        <v>100</v>
      </c>
      <c r="H781" s="85">
        <v>-3.5</v>
      </c>
      <c r="I781" s="115">
        <f t="shared" si="24"/>
        <v>3.5000000000000003E-2</v>
      </c>
      <c r="J781" s="87">
        <f t="shared" si="25"/>
        <v>96.5</v>
      </c>
      <c r="K781" s="87"/>
      <c r="L781" s="87" t="s">
        <v>4672</v>
      </c>
      <c r="M781" s="87"/>
      <c r="N781" s="524"/>
      <c r="O781" s="524">
        <f>+Tabla4[[#This Row],[PAGO NO EURO]]+Tabla4[[#This Row],[CARGO NO EURO]]</f>
        <v>0</v>
      </c>
      <c r="P781" s="524"/>
      <c r="Q781" s="155"/>
      <c r="R781" s="693">
        <f>+_xlfn.XLOOKUP(Tabla4[[#This Row],[ID CLIENTE]],'RESUMEN CLIENTES'!D:D,'RESUMEN CLIENTES'!G:G)</f>
        <v>45721</v>
      </c>
      <c r="S781" s="155" t="str">
        <f>+_xlfn.XLOOKUP(Tabla4[[#This Row],[ID CLIENTE]],'RESUMEN CLIENTES'!D:D,'RESUMEN CLIENTES'!AA:AA)</f>
        <v>B2.1</v>
      </c>
      <c r="T781" s="682" t="str">
        <f>+_xlfn.XLOOKUP(Tabla4[[#This Row],[ID CLIENTE]],'RESUMEN CLIENTES'!D:D,'RESUMEN CLIENTES'!C:C)</f>
        <v>Ecuador</v>
      </c>
    </row>
    <row r="782" spans="1:20" ht="16">
      <c r="A782" s="82">
        <v>46016</v>
      </c>
      <c r="B782" s="82" t="str">
        <f>+_xlfn.XLOOKUP(Tabla4[[#This Row],[ID CLIENTE]],'RESUMEN CLIENTES'!D:D,'RESUMEN CLIENTES'!A:A)</f>
        <v>Mauricio Ignacio Alcayaga Romo</v>
      </c>
      <c r="C782" s="83" t="s">
        <v>2251</v>
      </c>
      <c r="D782" s="83" t="s">
        <v>322</v>
      </c>
      <c r="E782" s="83" t="s">
        <v>1739</v>
      </c>
      <c r="F782" s="83" t="s">
        <v>1740</v>
      </c>
      <c r="G782" s="114">
        <v>1000</v>
      </c>
      <c r="H782" s="85">
        <v>-32.75</v>
      </c>
      <c r="I782" s="115">
        <f t="shared" si="24"/>
        <v>3.2750000000000001E-2</v>
      </c>
      <c r="J782" s="87">
        <f t="shared" si="25"/>
        <v>967.25</v>
      </c>
      <c r="K782" s="87"/>
      <c r="L782" s="87" t="s">
        <v>4672</v>
      </c>
      <c r="M782" s="87"/>
      <c r="N782" s="524"/>
      <c r="O782" s="524">
        <f>+Tabla4[[#This Row],[PAGO NO EURO]]+Tabla4[[#This Row],[CARGO NO EURO]]</f>
        <v>0</v>
      </c>
      <c r="P782" s="524"/>
      <c r="Q782" s="155"/>
      <c r="R782" s="693">
        <f>+_xlfn.XLOOKUP(Tabla4[[#This Row],[ID CLIENTE]],'RESUMEN CLIENTES'!D:D,'RESUMEN CLIENTES'!G:G)</f>
        <v>45819</v>
      </c>
      <c r="S782" s="155" t="str">
        <f>+_xlfn.XLOOKUP(Tabla4[[#This Row],[ID CLIENTE]],'RESUMEN CLIENTES'!D:D,'RESUMEN CLIENTES'!AA:AA)</f>
        <v>B2.1</v>
      </c>
      <c r="T782" s="682" t="str">
        <f>+_xlfn.XLOOKUP(Tabla4[[#This Row],[ID CLIENTE]],'RESUMEN CLIENTES'!D:D,'RESUMEN CLIENTES'!C:C)</f>
        <v>Chile</v>
      </c>
    </row>
    <row r="783" spans="1:20" ht="16">
      <c r="A783" s="82">
        <v>46017</v>
      </c>
      <c r="B783" s="82" t="str">
        <f>+_xlfn.XLOOKUP(Tabla4[[#This Row],[ID CLIENTE]],'RESUMEN CLIENTES'!D:D,'RESUMEN CLIENTES'!A:A)</f>
        <v>María Lucero de Jesús Barrios Sazo</v>
      </c>
      <c r="C783" s="83" t="s">
        <v>2332</v>
      </c>
      <c r="D783" s="83" t="s">
        <v>590</v>
      </c>
      <c r="E783" s="83" t="s">
        <v>1786</v>
      </c>
      <c r="F783" s="83" t="s">
        <v>1787</v>
      </c>
      <c r="G783" s="114">
        <v>700</v>
      </c>
      <c r="H783" s="85">
        <v>-23</v>
      </c>
      <c r="I783" s="115">
        <f t="shared" si="24"/>
        <v>3.2857142857142856E-2</v>
      </c>
      <c r="J783" s="87">
        <f t="shared" si="25"/>
        <v>677</v>
      </c>
      <c r="K783" s="87"/>
      <c r="L783" s="87" t="s">
        <v>4672</v>
      </c>
      <c r="M783" s="87"/>
      <c r="N783" s="524"/>
      <c r="O783" s="524">
        <f>+Tabla4[[#This Row],[PAGO NO EURO]]+Tabla4[[#This Row],[CARGO NO EURO]]</f>
        <v>0</v>
      </c>
      <c r="P783" s="524"/>
      <c r="Q783" s="155"/>
      <c r="R783" s="693">
        <f>+_xlfn.XLOOKUP(Tabla4[[#This Row],[ID CLIENTE]],'RESUMEN CLIENTES'!D:D,'RESUMEN CLIENTES'!G:G)</f>
        <v>45869</v>
      </c>
      <c r="S783" s="155" t="str">
        <f>+_xlfn.XLOOKUP(Tabla4[[#This Row],[ID CLIENTE]],'RESUMEN CLIENTES'!D:D,'RESUMEN CLIENTES'!AA:AA)</f>
        <v>-</v>
      </c>
      <c r="T783" s="682" t="str">
        <f>+_xlfn.XLOOKUP(Tabla4[[#This Row],[ID CLIENTE]],'RESUMEN CLIENTES'!D:D,'RESUMEN CLIENTES'!C:C)</f>
        <v>Guatemala</v>
      </c>
    </row>
    <row r="784" spans="1:20" ht="16">
      <c r="A784" s="82">
        <v>46017</v>
      </c>
      <c r="B784" s="82" t="str">
        <f>+_xlfn.XLOOKUP(Tabla4[[#This Row],[ID CLIENTE]],'RESUMEN CLIENTES'!D:D,'RESUMEN CLIENTES'!A:A)</f>
        <v>Jose Marcelo Marroquín Guzmán</v>
      </c>
      <c r="C784" s="83" t="s">
        <v>2121</v>
      </c>
      <c r="D784" s="83" t="s">
        <v>87</v>
      </c>
      <c r="E784" s="83" t="s">
        <v>1737</v>
      </c>
      <c r="F784" s="83" t="s">
        <v>1738</v>
      </c>
      <c r="G784" s="114">
        <v>400</v>
      </c>
      <c r="H784" s="85">
        <v>-13.25</v>
      </c>
      <c r="I784" s="115">
        <f t="shared" si="24"/>
        <v>3.3125000000000002E-2</v>
      </c>
      <c r="J784" s="87">
        <f t="shared" si="25"/>
        <v>386.75</v>
      </c>
      <c r="K784" s="87"/>
      <c r="L784" s="87" t="s">
        <v>4672</v>
      </c>
      <c r="M784" s="87"/>
      <c r="N784" s="524"/>
      <c r="O784" s="524">
        <f>+Tabla4[[#This Row],[PAGO NO EURO]]+Tabla4[[#This Row],[CARGO NO EURO]]</f>
        <v>0</v>
      </c>
      <c r="P784" s="524"/>
      <c r="Q784" s="155"/>
      <c r="R784" s="693">
        <f>+_xlfn.XLOOKUP(Tabla4[[#This Row],[ID CLIENTE]],'RESUMEN CLIENTES'!D:D,'RESUMEN CLIENTES'!G:G)</f>
        <v>45658</v>
      </c>
      <c r="S784" s="155" t="str">
        <f>+_xlfn.XLOOKUP(Tabla4[[#This Row],[ID CLIENTE]],'RESUMEN CLIENTES'!D:D,'RESUMEN CLIENTES'!AA:AA)</f>
        <v>A2.1</v>
      </c>
      <c r="T784" s="682" t="str">
        <f>+_xlfn.XLOOKUP(Tabla4[[#This Row],[ID CLIENTE]],'RESUMEN CLIENTES'!D:D,'RESUMEN CLIENTES'!C:C)</f>
        <v>El Salvador</v>
      </c>
    </row>
    <row r="785" spans="1:20" ht="16">
      <c r="A785" s="82">
        <v>46017</v>
      </c>
      <c r="B785" s="82" t="str">
        <f>+_xlfn.XLOOKUP(Tabla4[[#This Row],[ID CLIENTE]],'RESUMEN CLIENTES'!D:D,'RESUMEN CLIENTES'!A:A)</f>
        <v>Virna Nathaly Montenegro Samaniego</v>
      </c>
      <c r="C785" s="83" t="s">
        <v>2349</v>
      </c>
      <c r="D785" s="83" t="s">
        <v>706</v>
      </c>
      <c r="E785" s="83" t="s">
        <v>1748</v>
      </c>
      <c r="F785" s="83" t="s">
        <v>1749</v>
      </c>
      <c r="G785" s="114">
        <v>1000</v>
      </c>
      <c r="H785" s="85">
        <v>-32.75</v>
      </c>
      <c r="I785" s="115">
        <f t="shared" si="24"/>
        <v>3.2750000000000001E-2</v>
      </c>
      <c r="J785" s="87">
        <f t="shared" si="25"/>
        <v>967.25</v>
      </c>
      <c r="K785" s="87"/>
      <c r="L785" s="87" t="s">
        <v>4672</v>
      </c>
      <c r="M785" s="87"/>
      <c r="N785" s="524"/>
      <c r="O785" s="524">
        <f>+Tabla4[[#This Row],[PAGO NO EURO]]+Tabla4[[#This Row],[CARGO NO EURO]]</f>
        <v>0</v>
      </c>
      <c r="P785" s="524"/>
      <c r="Q785" s="155"/>
      <c r="R785" s="693">
        <f>+_xlfn.XLOOKUP(Tabla4[[#This Row],[ID CLIENTE]],'RESUMEN CLIENTES'!D:D,'RESUMEN CLIENTES'!G:G)</f>
        <v>45878</v>
      </c>
      <c r="S785" s="155" t="str">
        <f>+_xlfn.XLOOKUP(Tabla4[[#This Row],[ID CLIENTE]],'RESUMEN CLIENTES'!D:D,'RESUMEN CLIENTES'!AA:AA)</f>
        <v>A1 komplett</v>
      </c>
      <c r="T785" s="682" t="str">
        <f>+_xlfn.XLOOKUP(Tabla4[[#This Row],[ID CLIENTE]],'RESUMEN CLIENTES'!D:D,'RESUMEN CLIENTES'!C:C)</f>
        <v>Ecuador</v>
      </c>
    </row>
    <row r="786" spans="1:20" ht="16">
      <c r="A786" s="82">
        <v>46017</v>
      </c>
      <c r="B786" s="82" t="str">
        <f>+_xlfn.XLOOKUP(Tabla4[[#This Row],[ID CLIENTE]],'RESUMEN CLIENTES'!D:D,'RESUMEN CLIENTES'!A:A)</f>
        <v>Jorge Andres Galgani Muñoz</v>
      </c>
      <c r="C786" s="83" t="s">
        <v>2465</v>
      </c>
      <c r="D786" s="83" t="s">
        <v>1437</v>
      </c>
      <c r="E786" s="83" t="s">
        <v>1731</v>
      </c>
      <c r="F786" s="83" t="s">
        <v>1732</v>
      </c>
      <c r="G786" s="114">
        <v>750</v>
      </c>
      <c r="H786" s="85">
        <v>-24.63</v>
      </c>
      <c r="I786" s="115">
        <f t="shared" si="24"/>
        <v>3.2840000000000001E-2</v>
      </c>
      <c r="J786" s="87">
        <f t="shared" si="25"/>
        <v>725.37</v>
      </c>
      <c r="K786" s="87"/>
      <c r="L786" s="87" t="s">
        <v>4672</v>
      </c>
      <c r="M786" s="87"/>
      <c r="N786" s="524"/>
      <c r="O786" s="524">
        <f>+Tabla4[[#This Row],[PAGO NO EURO]]+Tabla4[[#This Row],[CARGO NO EURO]]</f>
        <v>0</v>
      </c>
      <c r="P786" s="524"/>
      <c r="Q786" s="155"/>
      <c r="R786" s="693">
        <f>+_xlfn.XLOOKUP(Tabla4[[#This Row],[ID CLIENTE]],'RESUMEN CLIENTES'!D:D,'RESUMEN CLIENTES'!G:G)</f>
        <v>45982</v>
      </c>
      <c r="S786" s="155" t="str">
        <f>+_xlfn.XLOOKUP(Tabla4[[#This Row],[ID CLIENTE]],'RESUMEN CLIENTES'!D:D,'RESUMEN CLIENTES'!AA:AA)</f>
        <v>A1.1</v>
      </c>
      <c r="T786" s="682" t="str">
        <f>+_xlfn.XLOOKUP(Tabla4[[#This Row],[ID CLIENTE]],'RESUMEN CLIENTES'!D:D,'RESUMEN CLIENTES'!C:C)</f>
        <v>Chile</v>
      </c>
    </row>
    <row r="787" spans="1:20" ht="16">
      <c r="A787" s="82">
        <v>46017</v>
      </c>
      <c r="B787" s="82" t="str">
        <f>+_xlfn.XLOOKUP(Tabla4[[#This Row],[ID CLIENTE]],'RESUMEN CLIENTES'!D:D,'RESUMEN CLIENTES'!A:A)</f>
        <v>Maryori Elizabeth Ramos Tapia</v>
      </c>
      <c r="C787" s="83" t="s">
        <v>2225</v>
      </c>
      <c r="D787" s="83" t="s">
        <v>261</v>
      </c>
      <c r="E787" s="83" t="s">
        <v>1727</v>
      </c>
      <c r="F787" s="83" t="s">
        <v>1728</v>
      </c>
      <c r="G787" s="114">
        <v>1000</v>
      </c>
      <c r="H787" s="85">
        <v>-32.75</v>
      </c>
      <c r="I787" s="115">
        <f t="shared" si="24"/>
        <v>3.2750000000000001E-2</v>
      </c>
      <c r="J787" s="87">
        <f t="shared" si="25"/>
        <v>967.25</v>
      </c>
      <c r="K787" s="87"/>
      <c r="L787" s="87" t="s">
        <v>4672</v>
      </c>
      <c r="M787" s="87"/>
      <c r="N787" s="524"/>
      <c r="O787" s="524">
        <f>+Tabla4[[#This Row],[PAGO NO EURO]]+Tabla4[[#This Row],[CARGO NO EURO]]</f>
        <v>0</v>
      </c>
      <c r="P787" s="524"/>
      <c r="Q787" s="155"/>
      <c r="R787" s="693">
        <f>+_xlfn.XLOOKUP(Tabla4[[#This Row],[ID CLIENTE]],'RESUMEN CLIENTES'!D:D,'RESUMEN CLIENTES'!G:G)</f>
        <v>45807</v>
      </c>
      <c r="S787" s="155" t="str">
        <f>+_xlfn.XLOOKUP(Tabla4[[#This Row],[ID CLIENTE]],'RESUMEN CLIENTES'!D:D,'RESUMEN CLIENTES'!AA:AA)</f>
        <v>A1.1</v>
      </c>
      <c r="T787" s="682" t="str">
        <f>+_xlfn.XLOOKUP(Tabla4[[#This Row],[ID CLIENTE]],'RESUMEN CLIENTES'!D:D,'RESUMEN CLIENTES'!C:C)</f>
        <v>Perú</v>
      </c>
    </row>
    <row r="788" spans="1:20" ht="16">
      <c r="A788" s="82">
        <v>46017</v>
      </c>
      <c r="B788" s="82" t="str">
        <f>+_xlfn.XLOOKUP(Tabla4[[#This Row],[ID CLIENTE]],'RESUMEN CLIENTES'!D:D,'RESUMEN CLIENTES'!A:A)</f>
        <v>Paula Ida Elisa Saris Sommer</v>
      </c>
      <c r="C788" s="83" t="s">
        <v>2400</v>
      </c>
      <c r="D788" s="83" t="s">
        <v>855</v>
      </c>
      <c r="E788" s="83" t="s">
        <v>1701</v>
      </c>
      <c r="F788" s="83" t="s">
        <v>1702</v>
      </c>
      <c r="G788" s="114">
        <v>1000</v>
      </c>
      <c r="H788" s="85">
        <v>-32.75</v>
      </c>
      <c r="I788" s="115">
        <f t="shared" si="24"/>
        <v>3.2750000000000001E-2</v>
      </c>
      <c r="J788" s="87">
        <f t="shared" si="25"/>
        <v>967.25</v>
      </c>
      <c r="K788" s="87"/>
      <c r="L788" s="87" t="s">
        <v>4672</v>
      </c>
      <c r="M788" s="87"/>
      <c r="N788" s="524"/>
      <c r="O788" s="524">
        <f>+Tabla4[[#This Row],[PAGO NO EURO]]+Tabla4[[#This Row],[CARGO NO EURO]]</f>
        <v>0</v>
      </c>
      <c r="P788" s="524"/>
      <c r="Q788" s="155"/>
      <c r="R788" s="693">
        <f>+_xlfn.XLOOKUP(Tabla4[[#This Row],[ID CLIENTE]],'RESUMEN CLIENTES'!D:D,'RESUMEN CLIENTES'!G:G)</f>
        <v>45904</v>
      </c>
      <c r="S788" s="155" t="str">
        <f>+_xlfn.XLOOKUP(Tabla4[[#This Row],[ID CLIENTE]],'RESUMEN CLIENTES'!D:D,'RESUMEN CLIENTES'!AA:AA)</f>
        <v>A2.1</v>
      </c>
      <c r="T788" s="682" t="str">
        <f>+_xlfn.XLOOKUP(Tabla4[[#This Row],[ID CLIENTE]],'RESUMEN CLIENTES'!D:D,'RESUMEN CLIENTES'!C:C)</f>
        <v>Argentina</v>
      </c>
    </row>
    <row r="789" spans="1:20" ht="16">
      <c r="A789" s="82">
        <v>46017</v>
      </c>
      <c r="B789" s="82" t="str">
        <f>+_xlfn.XLOOKUP(Tabla4[[#This Row],[ID CLIENTE]],'RESUMEN CLIENTES'!D:D,'RESUMEN CLIENTES'!A:A)</f>
        <v>Fernando Alberto Lagos Belmar</v>
      </c>
      <c r="C789" s="83" t="s">
        <v>2491</v>
      </c>
      <c r="D789" s="83" t="s">
        <v>1743</v>
      </c>
      <c r="E789" s="83" t="s">
        <v>1744</v>
      </c>
      <c r="F789" s="83" t="s">
        <v>1745</v>
      </c>
      <c r="G789" s="114">
        <v>250</v>
      </c>
      <c r="H789" s="85">
        <v>-8.3800000000000008</v>
      </c>
      <c r="I789" s="115">
        <f t="shared" ref="I789:I852" si="26">+IFERROR(-(H789)/G789,"")</f>
        <v>3.3520000000000001E-2</v>
      </c>
      <c r="J789" s="87">
        <f t="shared" ref="J789:J852" si="27">+G789+H789</f>
        <v>241.62</v>
      </c>
      <c r="K789" s="87"/>
      <c r="L789" s="87" t="s">
        <v>4672</v>
      </c>
      <c r="M789" s="87"/>
      <c r="N789" s="524"/>
      <c r="O789" s="524">
        <f>+Tabla4[[#This Row],[PAGO NO EURO]]+Tabla4[[#This Row],[CARGO NO EURO]]</f>
        <v>0</v>
      </c>
      <c r="P789" s="524"/>
      <c r="Q789" s="155"/>
      <c r="R789" s="693">
        <f>+_xlfn.XLOOKUP(Tabla4[[#This Row],[ID CLIENTE]],'RESUMEN CLIENTES'!D:D,'RESUMEN CLIENTES'!G:G)</f>
        <v>46017</v>
      </c>
      <c r="S789" s="155" t="str">
        <f>+_xlfn.XLOOKUP(Tabla4[[#This Row],[ID CLIENTE]],'RESUMEN CLIENTES'!D:D,'RESUMEN CLIENTES'!AA:AA)</f>
        <v>A1.1</v>
      </c>
      <c r="T789" s="682" t="str">
        <f>+_xlfn.XLOOKUP(Tabla4[[#This Row],[ID CLIENTE]],'RESUMEN CLIENTES'!D:D,'RESUMEN CLIENTES'!C:C)</f>
        <v>Chile</v>
      </c>
    </row>
    <row r="790" spans="1:20" ht="16">
      <c r="A790" s="82">
        <v>46017</v>
      </c>
      <c r="B790" s="82" t="str">
        <f>+_xlfn.XLOOKUP(Tabla4[[#This Row],[ID CLIENTE]],'RESUMEN CLIENTES'!D:D,'RESUMEN CLIENTES'!A:A)</f>
        <v>Ellen Cristina Gerónimo Bonilla</v>
      </c>
      <c r="C790" s="83" t="s">
        <v>2273</v>
      </c>
      <c r="D790" s="83" t="s">
        <v>385</v>
      </c>
      <c r="E790" s="83" t="s">
        <v>1772</v>
      </c>
      <c r="F790" s="83" t="s">
        <v>1773</v>
      </c>
      <c r="G790" s="114">
        <v>600</v>
      </c>
      <c r="H790" s="85">
        <v>-19.75</v>
      </c>
      <c r="I790" s="115">
        <f t="shared" si="26"/>
        <v>3.2916666666666664E-2</v>
      </c>
      <c r="J790" s="87">
        <f t="shared" si="27"/>
        <v>580.25</v>
      </c>
      <c r="K790" s="87"/>
      <c r="L790" s="87" t="s">
        <v>4672</v>
      </c>
      <c r="M790" s="87"/>
      <c r="N790" s="524"/>
      <c r="O790" s="524">
        <f>+Tabla4[[#This Row],[PAGO NO EURO]]+Tabla4[[#This Row],[CARGO NO EURO]]</f>
        <v>0</v>
      </c>
      <c r="P790" s="524"/>
      <c r="Q790" s="155"/>
      <c r="R790" s="693">
        <f>+_xlfn.XLOOKUP(Tabla4[[#This Row],[ID CLIENTE]],'RESUMEN CLIENTES'!D:D,'RESUMEN CLIENTES'!G:G)</f>
        <v>45838</v>
      </c>
      <c r="S790" s="155" t="str">
        <f>+_xlfn.XLOOKUP(Tabla4[[#This Row],[ID CLIENTE]],'RESUMEN CLIENTES'!D:D,'RESUMEN CLIENTES'!AA:AA)</f>
        <v>A1.1</v>
      </c>
      <c r="T790" s="682" t="str">
        <f>+_xlfn.XLOOKUP(Tabla4[[#This Row],[ID CLIENTE]],'RESUMEN CLIENTES'!D:D,'RESUMEN CLIENTES'!C:C)</f>
        <v>República Dominicana</v>
      </c>
    </row>
    <row r="791" spans="1:20" ht="16">
      <c r="A791" s="82">
        <v>46017</v>
      </c>
      <c r="B791" s="82" t="str">
        <f>+_xlfn.XLOOKUP(Tabla4[[#This Row],[ID CLIENTE]],'RESUMEN CLIENTES'!D:D,'RESUMEN CLIENTES'!A:A)</f>
        <v>Fernando Alberto Lagos Belmar</v>
      </c>
      <c r="C791" s="83" t="s">
        <v>2491</v>
      </c>
      <c r="D791" s="83" t="s">
        <v>1743</v>
      </c>
      <c r="E791" s="83" t="s">
        <v>1746</v>
      </c>
      <c r="F791" s="83" t="s">
        <v>1747</v>
      </c>
      <c r="G791" s="114">
        <v>1750</v>
      </c>
      <c r="H791" s="85">
        <v>-57.13</v>
      </c>
      <c r="I791" s="115">
        <f t="shared" si="26"/>
        <v>3.2645714285714285E-2</v>
      </c>
      <c r="J791" s="87">
        <f t="shared" si="27"/>
        <v>1692.87</v>
      </c>
      <c r="K791" s="87"/>
      <c r="L791" s="87" t="s">
        <v>4672</v>
      </c>
      <c r="M791" s="87"/>
      <c r="N791" s="524"/>
      <c r="O791" s="524">
        <f>+Tabla4[[#This Row],[PAGO NO EURO]]+Tabla4[[#This Row],[CARGO NO EURO]]</f>
        <v>0</v>
      </c>
      <c r="P791" s="524"/>
      <c r="Q791" s="155"/>
      <c r="R791" s="693">
        <f>+_xlfn.XLOOKUP(Tabla4[[#This Row],[ID CLIENTE]],'RESUMEN CLIENTES'!D:D,'RESUMEN CLIENTES'!G:G)</f>
        <v>46017</v>
      </c>
      <c r="S791" s="155" t="str">
        <f>+_xlfn.XLOOKUP(Tabla4[[#This Row],[ID CLIENTE]],'RESUMEN CLIENTES'!D:D,'RESUMEN CLIENTES'!AA:AA)</f>
        <v>A1.1</v>
      </c>
      <c r="T791" s="682" t="str">
        <f>+_xlfn.XLOOKUP(Tabla4[[#This Row],[ID CLIENTE]],'RESUMEN CLIENTES'!D:D,'RESUMEN CLIENTES'!C:C)</f>
        <v>Chile</v>
      </c>
    </row>
    <row r="792" spans="1:20" ht="16">
      <c r="A792" s="82">
        <v>46018</v>
      </c>
      <c r="B792" s="82" t="str">
        <f>+_xlfn.XLOOKUP(Tabla4[[#This Row],[ID CLIENTE]],'RESUMEN CLIENTES'!D:D,'RESUMEN CLIENTES'!A:A)</f>
        <v>Angie Pérez Cáceres</v>
      </c>
      <c r="C792" s="83" t="s">
        <v>2321</v>
      </c>
      <c r="D792" s="83" t="s">
        <v>527</v>
      </c>
      <c r="E792" s="83" t="s">
        <v>1796</v>
      </c>
      <c r="F792" s="83" t="s">
        <v>1797</v>
      </c>
      <c r="G792" s="114">
        <v>1000</v>
      </c>
      <c r="H792" s="85">
        <v>-32.75</v>
      </c>
      <c r="I792" s="115">
        <f t="shared" si="26"/>
        <v>3.2750000000000001E-2</v>
      </c>
      <c r="J792" s="87">
        <f t="shared" si="27"/>
        <v>967.25</v>
      </c>
      <c r="K792" s="87"/>
      <c r="L792" s="87" t="s">
        <v>4672</v>
      </c>
      <c r="M792" s="87"/>
      <c r="N792" s="524"/>
      <c r="O792" s="524">
        <f>+Tabla4[[#This Row],[PAGO NO EURO]]+Tabla4[[#This Row],[CARGO NO EURO]]</f>
        <v>0</v>
      </c>
      <c r="P792" s="524"/>
      <c r="Q792" s="155"/>
      <c r="R792" s="693">
        <f>+_xlfn.XLOOKUP(Tabla4[[#This Row],[ID CLIENTE]],'RESUMEN CLIENTES'!D:D,'RESUMEN CLIENTES'!G:G)</f>
        <v>45867</v>
      </c>
      <c r="S792" s="155" t="str">
        <f>+_xlfn.XLOOKUP(Tabla4[[#This Row],[ID CLIENTE]],'RESUMEN CLIENTES'!D:D,'RESUMEN CLIENTES'!AA:AA)</f>
        <v>A1.1</v>
      </c>
      <c r="T792" s="682" t="str">
        <f>+_xlfn.XLOOKUP(Tabla4[[#This Row],[ID CLIENTE]],'RESUMEN CLIENTES'!D:D,'RESUMEN CLIENTES'!C:C)</f>
        <v>Perú</v>
      </c>
    </row>
    <row r="793" spans="1:20" ht="16">
      <c r="A793" s="82">
        <v>46020</v>
      </c>
      <c r="B793" s="82" t="str">
        <f>+_xlfn.XLOOKUP(Tabla4[[#This Row],[ID CLIENTE]],'RESUMEN CLIENTES'!D:D,'RESUMEN CLIENTES'!A:A)</f>
        <v>Jessica Ayelén Culla Alvarez</v>
      </c>
      <c r="C793" s="83" t="s">
        <v>2265</v>
      </c>
      <c r="D793" s="83" t="s">
        <v>362</v>
      </c>
      <c r="E793" s="83" t="s">
        <v>1683</v>
      </c>
      <c r="F793" s="83" t="s">
        <v>1684</v>
      </c>
      <c r="G793" s="114">
        <v>1000</v>
      </c>
      <c r="H793" s="85">
        <v>-5</v>
      </c>
      <c r="I793" s="115">
        <f t="shared" si="26"/>
        <v>5.0000000000000001E-3</v>
      </c>
      <c r="J793" s="87">
        <f t="shared" si="27"/>
        <v>995</v>
      </c>
      <c r="K793" s="87"/>
      <c r="L793" s="87" t="s">
        <v>4672</v>
      </c>
      <c r="M793" s="87"/>
      <c r="N793" s="524"/>
      <c r="O793" s="524">
        <f>+Tabla4[[#This Row],[PAGO NO EURO]]+Tabla4[[#This Row],[CARGO NO EURO]]</f>
        <v>0</v>
      </c>
      <c r="P793" s="524"/>
      <c r="Q793" s="155"/>
      <c r="R793" s="693">
        <f>+_xlfn.XLOOKUP(Tabla4[[#This Row],[ID CLIENTE]],'RESUMEN CLIENTES'!D:D,'RESUMEN CLIENTES'!G:G)</f>
        <v>45830</v>
      </c>
      <c r="S793" s="155" t="str">
        <f>+_xlfn.XLOOKUP(Tabla4[[#This Row],[ID CLIENTE]],'RESUMEN CLIENTES'!D:D,'RESUMEN CLIENTES'!AA:AA)</f>
        <v>B1.1</v>
      </c>
      <c r="T793" s="682" t="str">
        <f>+_xlfn.XLOOKUP(Tabla4[[#This Row],[ID CLIENTE]],'RESUMEN CLIENTES'!D:D,'RESUMEN CLIENTES'!C:C)</f>
        <v>Argentina</v>
      </c>
    </row>
    <row r="794" spans="1:20" ht="16">
      <c r="A794" s="82">
        <v>46020</v>
      </c>
      <c r="B794" s="82" t="str">
        <f>+_xlfn.XLOOKUP(Tabla4[[#This Row],[ID CLIENTE]],'RESUMEN CLIENTES'!D:D,'RESUMEN CLIENTES'!A:A)</f>
        <v>María Fernanda Lincango Andi</v>
      </c>
      <c r="C794" s="83" t="s">
        <v>2275</v>
      </c>
      <c r="D794" s="83" t="s">
        <v>390</v>
      </c>
      <c r="E794" s="83" t="s">
        <v>1784</v>
      </c>
      <c r="F794" s="83" t="s">
        <v>1785</v>
      </c>
      <c r="G794" s="114">
        <v>599</v>
      </c>
      <c r="H794" s="85">
        <v>-19.72</v>
      </c>
      <c r="I794" s="115">
        <f t="shared" si="26"/>
        <v>3.292153589315526E-2</v>
      </c>
      <c r="J794" s="87">
        <f t="shared" si="27"/>
        <v>579.28</v>
      </c>
      <c r="K794" s="87"/>
      <c r="L794" s="87" t="s">
        <v>4672</v>
      </c>
      <c r="M794" s="87"/>
      <c r="N794" s="524"/>
      <c r="O794" s="524">
        <f>+Tabla4[[#This Row],[PAGO NO EURO]]+Tabla4[[#This Row],[CARGO NO EURO]]</f>
        <v>0</v>
      </c>
      <c r="P794" s="524"/>
      <c r="Q794" s="155"/>
      <c r="R794" s="693">
        <f>+_xlfn.XLOOKUP(Tabla4[[#This Row],[ID CLIENTE]],'RESUMEN CLIENTES'!D:D,'RESUMEN CLIENTES'!G:G)</f>
        <v>45839</v>
      </c>
      <c r="S794" s="155" t="str">
        <f>+_xlfn.XLOOKUP(Tabla4[[#This Row],[ID CLIENTE]],'RESUMEN CLIENTES'!D:D,'RESUMEN CLIENTES'!AA:AA)</f>
        <v>null</v>
      </c>
      <c r="T794" s="682" t="str">
        <f>+_xlfn.XLOOKUP(Tabla4[[#This Row],[ID CLIENTE]],'RESUMEN CLIENTES'!D:D,'RESUMEN CLIENTES'!C:C)</f>
        <v>Ecuador</v>
      </c>
    </row>
    <row r="795" spans="1:20" ht="16">
      <c r="A795" s="82">
        <v>46020</v>
      </c>
      <c r="B795" s="82" t="str">
        <f>+_xlfn.XLOOKUP(Tabla4[[#This Row],[ID CLIENTE]],'RESUMEN CLIENTES'!D:D,'RESUMEN CLIENTES'!A:A)</f>
        <v>Jorge Andres Galgani Muñoz</v>
      </c>
      <c r="C795" s="83" t="s">
        <v>2465</v>
      </c>
      <c r="D795" s="83" t="s">
        <v>1437</v>
      </c>
      <c r="E795" s="83" t="s">
        <v>1733</v>
      </c>
      <c r="F795" s="83" t="s">
        <v>1734</v>
      </c>
      <c r="G795" s="114">
        <v>750</v>
      </c>
      <c r="H795" s="85">
        <v>-24.63</v>
      </c>
      <c r="I795" s="115">
        <f t="shared" si="26"/>
        <v>3.2840000000000001E-2</v>
      </c>
      <c r="J795" s="87">
        <f t="shared" si="27"/>
        <v>725.37</v>
      </c>
      <c r="K795" s="87"/>
      <c r="L795" s="87" t="s">
        <v>4672</v>
      </c>
      <c r="M795" s="87"/>
      <c r="N795" s="524"/>
      <c r="O795" s="524">
        <f>+Tabla4[[#This Row],[PAGO NO EURO]]+Tabla4[[#This Row],[CARGO NO EURO]]</f>
        <v>0</v>
      </c>
      <c r="P795" s="524"/>
      <c r="Q795" s="155"/>
      <c r="R795" s="693">
        <f>+_xlfn.XLOOKUP(Tabla4[[#This Row],[ID CLIENTE]],'RESUMEN CLIENTES'!D:D,'RESUMEN CLIENTES'!G:G)</f>
        <v>45982</v>
      </c>
      <c r="S795" s="155" t="str">
        <f>+_xlfn.XLOOKUP(Tabla4[[#This Row],[ID CLIENTE]],'RESUMEN CLIENTES'!D:D,'RESUMEN CLIENTES'!AA:AA)</f>
        <v>A1.1</v>
      </c>
      <c r="T795" s="682" t="str">
        <f>+_xlfn.XLOOKUP(Tabla4[[#This Row],[ID CLIENTE]],'RESUMEN CLIENTES'!D:D,'RESUMEN CLIENTES'!C:C)</f>
        <v>Chile</v>
      </c>
    </row>
    <row r="796" spans="1:20" ht="16">
      <c r="A796" s="82">
        <v>46020</v>
      </c>
      <c r="B796" s="82" t="str">
        <f>+_xlfn.XLOOKUP(Tabla4[[#This Row],[ID CLIENTE]],'RESUMEN CLIENTES'!D:D,'RESUMEN CLIENTES'!A:A)</f>
        <v>Aylin Micaela Ortiz Chiriboga</v>
      </c>
      <c r="C796" s="83" t="s">
        <v>2493</v>
      </c>
      <c r="D796" s="83" t="s">
        <v>1756</v>
      </c>
      <c r="E796" s="83" t="s">
        <v>1757</v>
      </c>
      <c r="F796" s="83" t="s">
        <v>1758</v>
      </c>
      <c r="G796" s="114">
        <v>250</v>
      </c>
      <c r="H796" s="85">
        <v>-8.3800000000000008</v>
      </c>
      <c r="I796" s="115">
        <f t="shared" si="26"/>
        <v>3.3520000000000001E-2</v>
      </c>
      <c r="J796" s="87">
        <f t="shared" si="27"/>
        <v>241.62</v>
      </c>
      <c r="K796" s="87"/>
      <c r="L796" s="87" t="s">
        <v>4672</v>
      </c>
      <c r="M796" s="87"/>
      <c r="N796" s="524"/>
      <c r="O796" s="524">
        <f>+Tabla4[[#This Row],[PAGO NO EURO]]+Tabla4[[#This Row],[CARGO NO EURO]]</f>
        <v>0</v>
      </c>
      <c r="P796" s="524"/>
      <c r="Q796" s="155"/>
      <c r="R796" s="693">
        <f>+_xlfn.XLOOKUP(Tabla4[[#This Row],[ID CLIENTE]],'RESUMEN CLIENTES'!D:D,'RESUMEN CLIENTES'!G:G)</f>
        <v>46020</v>
      </c>
      <c r="S796" s="155" t="str">
        <f>+_xlfn.XLOOKUP(Tabla4[[#This Row],[ID CLIENTE]],'RESUMEN CLIENTES'!D:D,'RESUMEN CLIENTES'!AA:AA)</f>
        <v>-</v>
      </c>
      <c r="T796" s="682" t="str">
        <f>+_xlfn.XLOOKUP(Tabla4[[#This Row],[ID CLIENTE]],'RESUMEN CLIENTES'!D:D,'RESUMEN CLIENTES'!C:C)</f>
        <v>Ecuador</v>
      </c>
    </row>
    <row r="797" spans="1:20" ht="16">
      <c r="A797" s="82">
        <v>46020</v>
      </c>
      <c r="B797" s="82" t="str">
        <f>+_xlfn.XLOOKUP(Tabla4[[#This Row],[ID CLIENTE]],'RESUMEN CLIENTES'!D:D,'RESUMEN CLIENTES'!A:A)</f>
        <v>Paula Ida Elisa Saris Sommer</v>
      </c>
      <c r="C797" s="83" t="s">
        <v>2400</v>
      </c>
      <c r="D797" s="83" t="s">
        <v>855</v>
      </c>
      <c r="E797" s="83" t="s">
        <v>1703</v>
      </c>
      <c r="F797" s="83" t="s">
        <v>1704</v>
      </c>
      <c r="G797" s="114">
        <v>1000</v>
      </c>
      <c r="H797" s="85">
        <v>-32.75</v>
      </c>
      <c r="I797" s="115">
        <f t="shared" si="26"/>
        <v>3.2750000000000001E-2</v>
      </c>
      <c r="J797" s="87">
        <f t="shared" si="27"/>
        <v>967.25</v>
      </c>
      <c r="K797" s="87"/>
      <c r="L797" s="87" t="s">
        <v>4672</v>
      </c>
      <c r="M797" s="87"/>
      <c r="N797" s="524"/>
      <c r="O797" s="524">
        <f>+Tabla4[[#This Row],[PAGO NO EURO]]+Tabla4[[#This Row],[CARGO NO EURO]]</f>
        <v>0</v>
      </c>
      <c r="P797" s="524"/>
      <c r="Q797" s="155"/>
      <c r="R797" s="693">
        <f>+_xlfn.XLOOKUP(Tabla4[[#This Row],[ID CLIENTE]],'RESUMEN CLIENTES'!D:D,'RESUMEN CLIENTES'!G:G)</f>
        <v>45904</v>
      </c>
      <c r="S797" s="155" t="str">
        <f>+_xlfn.XLOOKUP(Tabla4[[#This Row],[ID CLIENTE]],'RESUMEN CLIENTES'!D:D,'RESUMEN CLIENTES'!AA:AA)</f>
        <v>A2.1</v>
      </c>
      <c r="T797" s="682" t="str">
        <f>+_xlfn.XLOOKUP(Tabla4[[#This Row],[ID CLIENTE]],'RESUMEN CLIENTES'!D:D,'RESUMEN CLIENTES'!C:C)</f>
        <v>Argentina</v>
      </c>
    </row>
    <row r="798" spans="1:20" ht="16">
      <c r="A798" s="82">
        <v>46021</v>
      </c>
      <c r="B798" s="82" t="str">
        <f>+_xlfn.XLOOKUP(Tabla4[[#This Row],[ID CLIENTE]],'RESUMEN CLIENTES'!D:D,'RESUMEN CLIENTES'!A:A)</f>
        <v>Fernando José Fuentes Bárcenas</v>
      </c>
      <c r="C798" s="83" t="s">
        <v>2414</v>
      </c>
      <c r="D798" s="83" t="s">
        <v>952</v>
      </c>
      <c r="E798" s="83" t="s">
        <v>1759</v>
      </c>
      <c r="F798" s="83" t="s">
        <v>1760</v>
      </c>
      <c r="G798" s="114">
        <v>1000</v>
      </c>
      <c r="H798" s="85">
        <v>-32.75</v>
      </c>
      <c r="I798" s="115">
        <f t="shared" si="26"/>
        <v>3.2750000000000001E-2</v>
      </c>
      <c r="J798" s="87">
        <f t="shared" si="27"/>
        <v>967.25</v>
      </c>
      <c r="K798" s="87"/>
      <c r="L798" s="87" t="s">
        <v>4672</v>
      </c>
      <c r="M798" s="87"/>
      <c r="N798" s="524"/>
      <c r="O798" s="524">
        <f>+Tabla4[[#This Row],[PAGO NO EURO]]+Tabla4[[#This Row],[CARGO NO EURO]]</f>
        <v>0</v>
      </c>
      <c r="P798" s="524"/>
      <c r="Q798" s="155"/>
      <c r="R798" s="693">
        <f>+_xlfn.XLOOKUP(Tabla4[[#This Row],[ID CLIENTE]],'RESUMEN CLIENTES'!D:D,'RESUMEN CLIENTES'!G:G)</f>
        <v>45913</v>
      </c>
      <c r="S798" s="155" t="str">
        <f>+_xlfn.XLOOKUP(Tabla4[[#This Row],[ID CLIENTE]],'RESUMEN CLIENTES'!D:D,'RESUMEN CLIENTES'!AA:AA)</f>
        <v>null</v>
      </c>
      <c r="T798" s="682" t="str">
        <f>+_xlfn.XLOOKUP(Tabla4[[#This Row],[ID CLIENTE]],'RESUMEN CLIENTES'!D:D,'RESUMEN CLIENTES'!C:C)</f>
        <v>El Salvador</v>
      </c>
    </row>
    <row r="799" spans="1:20" ht="16">
      <c r="A799" s="82">
        <v>46021</v>
      </c>
      <c r="B799" s="82" t="str">
        <f>+_xlfn.XLOOKUP(Tabla4[[#This Row],[ID CLIENTE]],'RESUMEN CLIENTES'!D:D,'RESUMEN CLIENTES'!A:A)</f>
        <v>Vanessa Villarreal Villareal</v>
      </c>
      <c r="C799" s="83" t="s">
        <v>2404</v>
      </c>
      <c r="D799" s="83" t="s">
        <v>912</v>
      </c>
      <c r="E799" s="83" t="s">
        <v>1568</v>
      </c>
      <c r="F799" s="83" t="s">
        <v>1569</v>
      </c>
      <c r="G799" s="114">
        <v>500</v>
      </c>
      <c r="H799" s="85">
        <v>-16.5</v>
      </c>
      <c r="I799" s="115">
        <f t="shared" si="26"/>
        <v>3.3000000000000002E-2</v>
      </c>
      <c r="J799" s="87">
        <f t="shared" si="27"/>
        <v>483.5</v>
      </c>
      <c r="K799" s="87"/>
      <c r="L799" s="87" t="s">
        <v>4672</v>
      </c>
      <c r="M799" s="87"/>
      <c r="N799" s="524"/>
      <c r="O799" s="524">
        <f>+Tabla4[[#This Row],[PAGO NO EURO]]+Tabla4[[#This Row],[CARGO NO EURO]]</f>
        <v>0</v>
      </c>
      <c r="P799" s="524"/>
      <c r="Q799" s="155"/>
      <c r="R799" s="693">
        <f>+_xlfn.XLOOKUP(Tabla4[[#This Row],[ID CLIENTE]],'RESUMEN CLIENTES'!D:D,'RESUMEN CLIENTES'!G:G)</f>
        <v>45906</v>
      </c>
      <c r="S799" s="155" t="str">
        <f>+_xlfn.XLOOKUP(Tabla4[[#This Row],[ID CLIENTE]],'RESUMEN CLIENTES'!D:D,'RESUMEN CLIENTES'!AA:AA)</f>
        <v>A1.1</v>
      </c>
      <c r="T799" s="682" t="str">
        <f>+_xlfn.XLOOKUP(Tabla4[[#This Row],[ID CLIENTE]],'RESUMEN CLIENTES'!D:D,'RESUMEN CLIENTES'!C:C)</f>
        <v>Ecuador</v>
      </c>
    </row>
    <row r="800" spans="1:20" ht="16">
      <c r="A800" s="82">
        <v>46021</v>
      </c>
      <c r="B800" s="82" t="str">
        <f>+_xlfn.XLOOKUP(Tabla4[[#This Row],[ID CLIENTE]],'RESUMEN CLIENTES'!D:D,'RESUMEN CLIENTES'!A:A)</f>
        <v>Francisco Salas Barrera</v>
      </c>
      <c r="C800" s="83" t="s">
        <v>2495</v>
      </c>
      <c r="D800" s="83" t="s">
        <v>1761</v>
      </c>
      <c r="E800" s="83" t="s">
        <v>1762</v>
      </c>
      <c r="F800" s="83" t="s">
        <v>1763</v>
      </c>
      <c r="G800" s="114">
        <v>250</v>
      </c>
      <c r="H800" s="85">
        <v>-8.3800000000000008</v>
      </c>
      <c r="I800" s="115">
        <f t="shared" si="26"/>
        <v>3.3520000000000001E-2</v>
      </c>
      <c r="J800" s="87">
        <f t="shared" si="27"/>
        <v>241.62</v>
      </c>
      <c r="K800" s="87"/>
      <c r="L800" s="87" t="s">
        <v>4672</v>
      </c>
      <c r="M800" s="87"/>
      <c r="N800" s="524"/>
      <c r="O800" s="524">
        <f>+Tabla4[[#This Row],[PAGO NO EURO]]+Tabla4[[#This Row],[CARGO NO EURO]]</f>
        <v>0</v>
      </c>
      <c r="P800" s="524"/>
      <c r="Q800" s="155"/>
      <c r="R800" s="693">
        <f>+_xlfn.XLOOKUP(Tabla4[[#This Row],[ID CLIENTE]],'RESUMEN CLIENTES'!D:D,'RESUMEN CLIENTES'!G:G)</f>
        <v>46021</v>
      </c>
      <c r="S800" s="155" t="str">
        <f>+_xlfn.XLOOKUP(Tabla4[[#This Row],[ID CLIENTE]],'RESUMEN CLIENTES'!D:D,'RESUMEN CLIENTES'!AA:AA)</f>
        <v>A1.1</v>
      </c>
      <c r="T800" s="682" t="str">
        <f>+_xlfn.XLOOKUP(Tabla4[[#This Row],[ID CLIENTE]],'RESUMEN CLIENTES'!D:D,'RESUMEN CLIENTES'!C:C)</f>
        <v>México</v>
      </c>
    </row>
    <row r="801" spans="1:20" ht="16">
      <c r="A801" s="82">
        <v>46021</v>
      </c>
      <c r="B801" s="82" t="str">
        <f>+_xlfn.XLOOKUP(Tabla4[[#This Row],[ID CLIENTE]],'RESUMEN CLIENTES'!D:D,'RESUMEN CLIENTES'!A:A)</f>
        <v>Julian David Gutierrez Rodriguez</v>
      </c>
      <c r="C801" s="83" t="s">
        <v>2364</v>
      </c>
      <c r="D801" s="83" t="s">
        <v>711</v>
      </c>
      <c r="E801" s="83" t="s">
        <v>1750</v>
      </c>
      <c r="F801" s="83" t="s">
        <v>1751</v>
      </c>
      <c r="G801" s="114">
        <v>2000</v>
      </c>
      <c r="H801" s="85">
        <v>-65.25</v>
      </c>
      <c r="I801" s="115">
        <f t="shared" si="26"/>
        <v>3.2625000000000001E-2</v>
      </c>
      <c r="J801" s="87">
        <f t="shared" si="27"/>
        <v>1934.75</v>
      </c>
      <c r="K801" s="87"/>
      <c r="L801" s="87" t="s">
        <v>4672</v>
      </c>
      <c r="M801" s="87"/>
      <c r="N801" s="524"/>
      <c r="O801" s="524">
        <f>+Tabla4[[#This Row],[PAGO NO EURO]]+Tabla4[[#This Row],[CARGO NO EURO]]</f>
        <v>0</v>
      </c>
      <c r="P801" s="524"/>
      <c r="Q801" s="155"/>
      <c r="R801" s="693">
        <f>+_xlfn.XLOOKUP(Tabla4[[#This Row],[ID CLIENTE]],'RESUMEN CLIENTES'!D:D,'RESUMEN CLIENTES'!G:G)</f>
        <v>45889</v>
      </c>
      <c r="S801" s="155" t="str">
        <f>+_xlfn.XLOOKUP(Tabla4[[#This Row],[ID CLIENTE]],'RESUMEN CLIENTES'!D:D,'RESUMEN CLIENTES'!AA:AA)</f>
        <v>A1.1</v>
      </c>
      <c r="T801" s="682" t="str">
        <f>+_xlfn.XLOOKUP(Tabla4[[#This Row],[ID CLIENTE]],'RESUMEN CLIENTES'!D:D,'RESUMEN CLIENTES'!C:C)</f>
        <v>Colombia</v>
      </c>
    </row>
    <row r="802" spans="1:20" ht="16">
      <c r="A802" s="82">
        <v>46021</v>
      </c>
      <c r="B802" s="82" t="str">
        <f>+_xlfn.XLOOKUP(Tabla4[[#This Row],[ID CLIENTE]],'RESUMEN CLIENTES'!D:D,'RESUMEN CLIENTES'!A:A)</f>
        <v>Alejandra Goretti Figueroa Romo</v>
      </c>
      <c r="C802" s="83" t="s">
        <v>2323</v>
      </c>
      <c r="D802" s="83" t="s">
        <v>541</v>
      </c>
      <c r="E802" s="83" t="s">
        <v>1764</v>
      </c>
      <c r="F802" s="83" t="s">
        <v>1765</v>
      </c>
      <c r="G802" s="114">
        <v>1000</v>
      </c>
      <c r="H802" s="85">
        <v>-32.75</v>
      </c>
      <c r="I802" s="115">
        <f t="shared" si="26"/>
        <v>3.2750000000000001E-2</v>
      </c>
      <c r="J802" s="87">
        <f t="shared" si="27"/>
        <v>967.25</v>
      </c>
      <c r="K802" s="87"/>
      <c r="L802" s="87" t="s">
        <v>4672</v>
      </c>
      <c r="M802" s="87"/>
      <c r="N802" s="524"/>
      <c r="O802" s="524">
        <f>+Tabla4[[#This Row],[PAGO NO EURO]]+Tabla4[[#This Row],[CARGO NO EURO]]</f>
        <v>0</v>
      </c>
      <c r="P802" s="524"/>
      <c r="Q802" s="155"/>
      <c r="R802" s="693">
        <f>+_xlfn.XLOOKUP(Tabla4[[#This Row],[ID CLIENTE]],'RESUMEN CLIENTES'!D:D,'RESUMEN CLIENTES'!G:G)</f>
        <v>45867</v>
      </c>
      <c r="S802" s="155" t="str">
        <f>+_xlfn.XLOOKUP(Tabla4[[#This Row],[ID CLIENTE]],'RESUMEN CLIENTES'!D:D,'RESUMEN CLIENTES'!AA:AA)</f>
        <v>A2.2</v>
      </c>
      <c r="T802" s="682" t="str">
        <f>+_xlfn.XLOOKUP(Tabla4[[#This Row],[ID CLIENTE]],'RESUMEN CLIENTES'!D:D,'RESUMEN CLIENTES'!C:C)</f>
        <v>México</v>
      </c>
    </row>
    <row r="803" spans="1:20" ht="16">
      <c r="A803" s="82">
        <v>46021</v>
      </c>
      <c r="B803" s="82" t="str">
        <f>+_xlfn.XLOOKUP(Tabla4[[#This Row],[ID CLIENTE]],'RESUMEN CLIENTES'!D:D,'RESUMEN CLIENTES'!A:A)</f>
        <v>Carlos Josue Escobar Morán</v>
      </c>
      <c r="C803" s="83" t="s">
        <v>2208</v>
      </c>
      <c r="D803" s="83" t="s">
        <v>226</v>
      </c>
      <c r="E803" s="83" t="s">
        <v>1766</v>
      </c>
      <c r="F803" s="83" t="s">
        <v>1767</v>
      </c>
      <c r="G803" s="114">
        <v>500</v>
      </c>
      <c r="H803" s="85">
        <v>-16.5</v>
      </c>
      <c r="I803" s="115">
        <f t="shared" si="26"/>
        <v>3.3000000000000002E-2</v>
      </c>
      <c r="J803" s="87">
        <f t="shared" si="27"/>
        <v>483.5</v>
      </c>
      <c r="K803" s="87"/>
      <c r="L803" s="87" t="s">
        <v>4672</v>
      </c>
      <c r="M803" s="87"/>
      <c r="N803" s="524"/>
      <c r="O803" s="524">
        <f>+Tabla4[[#This Row],[PAGO NO EURO]]+Tabla4[[#This Row],[CARGO NO EURO]]</f>
        <v>0</v>
      </c>
      <c r="P803" s="524"/>
      <c r="Q803" s="155"/>
      <c r="R803" s="693">
        <f>+_xlfn.XLOOKUP(Tabla4[[#This Row],[ID CLIENTE]],'RESUMEN CLIENTES'!D:D,'RESUMEN CLIENTES'!G:G)</f>
        <v>45790</v>
      </c>
      <c r="S803" s="155" t="str">
        <f>+_xlfn.XLOOKUP(Tabla4[[#This Row],[ID CLIENTE]],'RESUMEN CLIENTES'!D:D,'RESUMEN CLIENTES'!AA:AA)</f>
        <v>B1.1</v>
      </c>
      <c r="T803" s="682" t="str">
        <f>+_xlfn.XLOOKUP(Tabla4[[#This Row],[ID CLIENTE]],'RESUMEN CLIENTES'!D:D,'RESUMEN CLIENTES'!C:C)</f>
        <v>El Salvador</v>
      </c>
    </row>
    <row r="804" spans="1:20" ht="16">
      <c r="A804" s="82">
        <v>46021</v>
      </c>
      <c r="B804" s="82" t="str">
        <f>+_xlfn.XLOOKUP(Tabla4[[#This Row],[ID CLIENTE]],'RESUMEN CLIENTES'!D:D,'RESUMEN CLIENTES'!A:A)</f>
        <v>Hector Armando Daza Mejia</v>
      </c>
      <c r="C804" s="83" t="s">
        <v>2133</v>
      </c>
      <c r="D804" s="83" t="s">
        <v>106</v>
      </c>
      <c r="E804" s="83" t="s">
        <v>1778</v>
      </c>
      <c r="F804" s="83" t="s">
        <v>1779</v>
      </c>
      <c r="G804" s="114">
        <v>1500</v>
      </c>
      <c r="H804" s="85">
        <v>-49</v>
      </c>
      <c r="I804" s="115">
        <f t="shared" si="26"/>
        <v>3.2666666666666663E-2</v>
      </c>
      <c r="J804" s="87">
        <f t="shared" si="27"/>
        <v>1451</v>
      </c>
      <c r="K804" s="87"/>
      <c r="L804" s="87" t="s">
        <v>4672</v>
      </c>
      <c r="M804" s="87"/>
      <c r="N804" s="524"/>
      <c r="O804" s="524">
        <f>+Tabla4[[#This Row],[PAGO NO EURO]]+Tabla4[[#This Row],[CARGO NO EURO]]</f>
        <v>0</v>
      </c>
      <c r="P804" s="524"/>
      <c r="Q804" s="155"/>
      <c r="R804" s="693">
        <f>+_xlfn.XLOOKUP(Tabla4[[#This Row],[ID CLIENTE]],'RESUMEN CLIENTES'!D:D,'RESUMEN CLIENTES'!G:G)</f>
        <v>45726</v>
      </c>
      <c r="S804" s="155" t="str">
        <f>+_xlfn.XLOOKUP(Tabla4[[#This Row],[ID CLIENTE]],'RESUMEN CLIENTES'!D:D,'RESUMEN CLIENTES'!AA:AA)</f>
        <v>B1.2</v>
      </c>
      <c r="T804" s="682" t="str">
        <f>+_xlfn.XLOOKUP(Tabla4[[#This Row],[ID CLIENTE]],'RESUMEN CLIENTES'!D:D,'RESUMEN CLIENTES'!C:C)</f>
        <v>Colombia</v>
      </c>
    </row>
    <row r="805" spans="1:20" ht="16">
      <c r="A805" s="82">
        <v>46021</v>
      </c>
      <c r="B805" s="82" t="str">
        <f>+_xlfn.XLOOKUP(Tabla4[[#This Row],[ID CLIENTE]],'RESUMEN CLIENTES'!D:D,'RESUMEN CLIENTES'!A:A)</f>
        <v>Carlos Mersaim Olivares Sandoval</v>
      </c>
      <c r="C805" s="83" t="s">
        <v>2300</v>
      </c>
      <c r="D805" s="83" t="s">
        <v>479</v>
      </c>
      <c r="E805" s="83" t="s">
        <v>1768</v>
      </c>
      <c r="F805" s="83" t="s">
        <v>1769</v>
      </c>
      <c r="G805" s="114">
        <v>1000</v>
      </c>
      <c r="H805" s="85">
        <v>-32.75</v>
      </c>
      <c r="I805" s="115">
        <f t="shared" si="26"/>
        <v>3.2750000000000001E-2</v>
      </c>
      <c r="J805" s="87">
        <f t="shared" si="27"/>
        <v>967.25</v>
      </c>
      <c r="K805" s="87"/>
      <c r="L805" s="87" t="s">
        <v>4672</v>
      </c>
      <c r="M805" s="87"/>
      <c r="N805" s="524"/>
      <c r="O805" s="524">
        <f>+Tabla4[[#This Row],[PAGO NO EURO]]+Tabla4[[#This Row],[CARGO NO EURO]]</f>
        <v>0</v>
      </c>
      <c r="P805" s="524"/>
      <c r="Q805" s="155"/>
      <c r="R805" s="693">
        <f>+_xlfn.XLOOKUP(Tabla4[[#This Row],[ID CLIENTE]],'RESUMEN CLIENTES'!D:D,'RESUMEN CLIENTES'!G:G)</f>
        <v>45852</v>
      </c>
      <c r="S805" s="155" t="str">
        <f>+_xlfn.XLOOKUP(Tabla4[[#This Row],[ID CLIENTE]],'RESUMEN CLIENTES'!D:D,'RESUMEN CLIENTES'!AA:AA)</f>
        <v>A1.1</v>
      </c>
      <c r="T805" s="682" t="str">
        <f>+_xlfn.XLOOKUP(Tabla4[[#This Row],[ID CLIENTE]],'RESUMEN CLIENTES'!D:D,'RESUMEN CLIENTES'!C:C)</f>
        <v>México</v>
      </c>
    </row>
    <row r="806" spans="1:20" ht="16">
      <c r="A806" s="82">
        <v>46021</v>
      </c>
      <c r="B806" s="82" t="str">
        <f>+_xlfn.XLOOKUP(Tabla4[[#This Row],[ID CLIENTE]],'RESUMEN CLIENTES'!D:D,'RESUMEN CLIENTES'!A:A)</f>
        <v>Juan Camilo Sanchez Ramirez</v>
      </c>
      <c r="C806" s="83" t="s">
        <v>2227</v>
      </c>
      <c r="D806" s="83" t="s">
        <v>266</v>
      </c>
      <c r="E806" s="83" t="s">
        <v>1780</v>
      </c>
      <c r="F806" s="83" t="s">
        <v>1781</v>
      </c>
      <c r="G806" s="114">
        <v>1000</v>
      </c>
      <c r="H806" s="85">
        <v>-32.75</v>
      </c>
      <c r="I806" s="115">
        <f t="shared" si="26"/>
        <v>3.2750000000000001E-2</v>
      </c>
      <c r="J806" s="87">
        <f t="shared" si="27"/>
        <v>967.25</v>
      </c>
      <c r="K806" s="87"/>
      <c r="L806" s="87" t="s">
        <v>4672</v>
      </c>
      <c r="M806" s="87"/>
      <c r="N806" s="524"/>
      <c r="O806" s="524">
        <f>+Tabla4[[#This Row],[PAGO NO EURO]]+Tabla4[[#This Row],[CARGO NO EURO]]</f>
        <v>0</v>
      </c>
      <c r="P806" s="524"/>
      <c r="Q806" s="155"/>
      <c r="R806" s="693">
        <f>+_xlfn.XLOOKUP(Tabla4[[#This Row],[ID CLIENTE]],'RESUMEN CLIENTES'!D:D,'RESUMEN CLIENTES'!G:G)</f>
        <v>45807</v>
      </c>
      <c r="S806" s="155" t="str">
        <f>+_xlfn.XLOOKUP(Tabla4[[#This Row],[ID CLIENTE]],'RESUMEN CLIENTES'!D:D,'RESUMEN CLIENTES'!AA:AA)</f>
        <v>A1.1</v>
      </c>
      <c r="T806" s="682" t="str">
        <f>+_xlfn.XLOOKUP(Tabla4[[#This Row],[ID CLIENTE]],'RESUMEN CLIENTES'!D:D,'RESUMEN CLIENTES'!C:C)</f>
        <v>Colombia</v>
      </c>
    </row>
    <row r="807" spans="1:20" ht="16">
      <c r="A807" s="82">
        <v>46021</v>
      </c>
      <c r="B807" s="82" t="str">
        <f>+_xlfn.XLOOKUP(Tabla4[[#This Row],[ID CLIENTE]],'RESUMEN CLIENTES'!D:D,'RESUMEN CLIENTES'!A:A)</f>
        <v>Francisco Salas Barrera</v>
      </c>
      <c r="C807" s="83" t="s">
        <v>2495</v>
      </c>
      <c r="D807" s="83" t="s">
        <v>1761</v>
      </c>
      <c r="E807" s="83" t="s">
        <v>1774</v>
      </c>
      <c r="F807" s="83" t="s">
        <v>1775</v>
      </c>
      <c r="G807" s="114">
        <v>1750</v>
      </c>
      <c r="H807" s="85">
        <v>-57.13</v>
      </c>
      <c r="I807" s="115">
        <f t="shared" si="26"/>
        <v>3.2645714285714285E-2</v>
      </c>
      <c r="J807" s="87">
        <f t="shared" si="27"/>
        <v>1692.87</v>
      </c>
      <c r="K807" s="87"/>
      <c r="L807" s="87" t="s">
        <v>4672</v>
      </c>
      <c r="M807" s="87"/>
      <c r="N807" s="524"/>
      <c r="O807" s="524">
        <f>+Tabla4[[#This Row],[PAGO NO EURO]]+Tabla4[[#This Row],[CARGO NO EURO]]</f>
        <v>0</v>
      </c>
      <c r="P807" s="524"/>
      <c r="Q807" s="155"/>
      <c r="R807" s="693">
        <f>+_xlfn.XLOOKUP(Tabla4[[#This Row],[ID CLIENTE]],'RESUMEN CLIENTES'!D:D,'RESUMEN CLIENTES'!G:G)</f>
        <v>46021</v>
      </c>
      <c r="S807" s="155" t="str">
        <f>+_xlfn.XLOOKUP(Tabla4[[#This Row],[ID CLIENTE]],'RESUMEN CLIENTES'!D:D,'RESUMEN CLIENTES'!AA:AA)</f>
        <v>A1.1</v>
      </c>
      <c r="T807" s="682" t="str">
        <f>+_xlfn.XLOOKUP(Tabla4[[#This Row],[ID CLIENTE]],'RESUMEN CLIENTES'!D:D,'RESUMEN CLIENTES'!C:C)</f>
        <v>México</v>
      </c>
    </row>
    <row r="808" spans="1:20" ht="16">
      <c r="A808" s="82">
        <v>46021</v>
      </c>
      <c r="B808" s="82" t="str">
        <f>+_xlfn.XLOOKUP(Tabla4[[#This Row],[ID CLIENTE]],'RESUMEN CLIENTES'!D:D,'RESUMEN CLIENTES'!A:A)</f>
        <v>Luis Manuel Villanueva Contreras</v>
      </c>
      <c r="C808" s="83" t="s">
        <v>2286</v>
      </c>
      <c r="D808" s="83" t="s">
        <v>441</v>
      </c>
      <c r="E808" s="83" t="s">
        <v>1782</v>
      </c>
      <c r="F808" s="83" t="s">
        <v>1783</v>
      </c>
      <c r="G808" s="114">
        <v>1000</v>
      </c>
      <c r="H808" s="85">
        <v>-32.75</v>
      </c>
      <c r="I808" s="115">
        <f t="shared" si="26"/>
        <v>3.2750000000000001E-2</v>
      </c>
      <c r="J808" s="87">
        <f t="shared" si="27"/>
        <v>967.25</v>
      </c>
      <c r="K808" s="87"/>
      <c r="L808" s="87" t="s">
        <v>4672</v>
      </c>
      <c r="M808" s="87"/>
      <c r="N808" s="524"/>
      <c r="O808" s="524">
        <f>+Tabla4[[#This Row],[PAGO NO EURO]]+Tabla4[[#This Row],[CARGO NO EURO]]</f>
        <v>0</v>
      </c>
      <c r="P808" s="524"/>
      <c r="Q808" s="155"/>
      <c r="R808" s="693">
        <f>+_xlfn.XLOOKUP(Tabla4[[#This Row],[ID CLIENTE]],'RESUMEN CLIENTES'!D:D,'RESUMEN CLIENTES'!G:G)</f>
        <v>45845</v>
      </c>
      <c r="S808" s="155" t="str">
        <f>+_xlfn.XLOOKUP(Tabla4[[#This Row],[ID CLIENTE]],'RESUMEN CLIENTES'!D:D,'RESUMEN CLIENTES'!AA:AA)</f>
        <v>A2.1</v>
      </c>
      <c r="T808" s="682" t="str">
        <f>+_xlfn.XLOOKUP(Tabla4[[#This Row],[ID CLIENTE]],'RESUMEN CLIENTES'!D:D,'RESUMEN CLIENTES'!C:C)</f>
        <v>México</v>
      </c>
    </row>
    <row r="809" spans="1:20" ht="16">
      <c r="A809" s="82">
        <v>46021</v>
      </c>
      <c r="B809" s="82" t="str">
        <f>+_xlfn.XLOOKUP(Tabla4[[#This Row],[ID CLIENTE]],'RESUMEN CLIENTES'!D:D,'RESUMEN CLIENTES'!A:A)</f>
        <v>Miguel Angel Sisalima Shiña</v>
      </c>
      <c r="C809" s="83" t="s">
        <v>2242</v>
      </c>
      <c r="D809" s="83" t="s">
        <v>314</v>
      </c>
      <c r="E809" s="83" t="s">
        <v>1790</v>
      </c>
      <c r="F809" s="83" t="s">
        <v>1791</v>
      </c>
      <c r="G809" s="114">
        <v>1000</v>
      </c>
      <c r="H809" s="85">
        <v>-32.75</v>
      </c>
      <c r="I809" s="115">
        <f t="shared" si="26"/>
        <v>3.2750000000000001E-2</v>
      </c>
      <c r="J809" s="87">
        <f t="shared" si="27"/>
        <v>967.25</v>
      </c>
      <c r="K809" s="87"/>
      <c r="L809" s="87" t="s">
        <v>4672</v>
      </c>
      <c r="M809" s="87"/>
      <c r="N809" s="524"/>
      <c r="O809" s="524">
        <f>+Tabla4[[#This Row],[PAGO NO EURO]]+Tabla4[[#This Row],[CARGO NO EURO]]</f>
        <v>0</v>
      </c>
      <c r="P809" s="524"/>
      <c r="Q809" s="155"/>
      <c r="R809" s="693">
        <f>+_xlfn.XLOOKUP(Tabla4[[#This Row],[ID CLIENTE]],'RESUMEN CLIENTES'!D:D,'RESUMEN CLIENTES'!G:G)</f>
        <v>45816</v>
      </c>
      <c r="S809" s="155" t="str">
        <f>+_xlfn.XLOOKUP(Tabla4[[#This Row],[ID CLIENTE]],'RESUMEN CLIENTES'!D:D,'RESUMEN CLIENTES'!AA:AA)</f>
        <v>A1.1</v>
      </c>
      <c r="T809" s="682" t="str">
        <f>+_xlfn.XLOOKUP(Tabla4[[#This Row],[ID CLIENTE]],'RESUMEN CLIENTES'!D:D,'RESUMEN CLIENTES'!C:C)</f>
        <v>Ecuador</v>
      </c>
    </row>
    <row r="810" spans="1:20" ht="16">
      <c r="A810" s="82">
        <v>46021</v>
      </c>
      <c r="B810" s="82" t="str">
        <f>+_xlfn.XLOOKUP(Tabla4[[#This Row],[ID CLIENTE]],'RESUMEN CLIENTES'!D:D,'RESUMEN CLIENTES'!A:A)</f>
        <v>Nathaly Gabriela Henríquez Masín</v>
      </c>
      <c r="C810" s="83" t="s">
        <v>2210</v>
      </c>
      <c r="D810" s="83" t="s">
        <v>229</v>
      </c>
      <c r="E810" s="83" t="s">
        <v>1792</v>
      </c>
      <c r="F810" s="83" t="s">
        <v>1793</v>
      </c>
      <c r="G810" s="114">
        <v>500</v>
      </c>
      <c r="H810" s="85">
        <v>-16.5</v>
      </c>
      <c r="I810" s="115">
        <f t="shared" si="26"/>
        <v>3.3000000000000002E-2</v>
      </c>
      <c r="J810" s="87">
        <f t="shared" si="27"/>
        <v>483.5</v>
      </c>
      <c r="K810" s="87"/>
      <c r="L810" s="87" t="s">
        <v>4672</v>
      </c>
      <c r="M810" s="87"/>
      <c r="N810" s="524"/>
      <c r="O810" s="524">
        <f>+Tabla4[[#This Row],[PAGO NO EURO]]+Tabla4[[#This Row],[CARGO NO EURO]]</f>
        <v>0</v>
      </c>
      <c r="P810" s="524"/>
      <c r="Q810" s="155"/>
      <c r="R810" s="693">
        <f>+_xlfn.XLOOKUP(Tabla4[[#This Row],[ID CLIENTE]],'RESUMEN CLIENTES'!D:D,'RESUMEN CLIENTES'!G:G)</f>
        <v>45790</v>
      </c>
      <c r="S810" s="155" t="str">
        <f>+_xlfn.XLOOKUP(Tabla4[[#This Row],[ID CLIENTE]],'RESUMEN CLIENTES'!D:D,'RESUMEN CLIENTES'!AA:AA)</f>
        <v>null</v>
      </c>
      <c r="T810" s="682" t="str">
        <f>+_xlfn.XLOOKUP(Tabla4[[#This Row],[ID CLIENTE]],'RESUMEN CLIENTES'!D:D,'RESUMEN CLIENTES'!C:C)</f>
        <v>El Salvador</v>
      </c>
    </row>
    <row r="811" spans="1:20" ht="16">
      <c r="A811" s="82">
        <v>46021</v>
      </c>
      <c r="B811" s="82" t="str">
        <f>+_xlfn.XLOOKUP(Tabla4[[#This Row],[ID CLIENTE]],'RESUMEN CLIENTES'!D:D,'RESUMEN CLIENTES'!A:A)</f>
        <v>Rainier Guerrero</v>
      </c>
      <c r="C811" s="83" t="s">
        <v>2263</v>
      </c>
      <c r="D811" s="83" t="s">
        <v>350</v>
      </c>
      <c r="E811" s="83" t="s">
        <v>1794</v>
      </c>
      <c r="F811" s="83" t="s">
        <v>1795</v>
      </c>
      <c r="G811" s="114">
        <v>1000</v>
      </c>
      <c r="H811" s="85">
        <v>-32.75</v>
      </c>
      <c r="I811" s="115">
        <f t="shared" si="26"/>
        <v>3.2750000000000001E-2</v>
      </c>
      <c r="J811" s="87">
        <f t="shared" si="27"/>
        <v>967.25</v>
      </c>
      <c r="K811" s="87"/>
      <c r="L811" s="87" t="s">
        <v>4672</v>
      </c>
      <c r="M811" s="87"/>
      <c r="N811" s="524"/>
      <c r="O811" s="524">
        <f>+Tabla4[[#This Row],[PAGO NO EURO]]+Tabla4[[#This Row],[CARGO NO EURO]]</f>
        <v>0</v>
      </c>
      <c r="P811" s="524"/>
      <c r="Q811" s="155"/>
      <c r="R811" s="693">
        <f>+_xlfn.XLOOKUP(Tabla4[[#This Row],[ID CLIENTE]],'RESUMEN CLIENTES'!D:D,'RESUMEN CLIENTES'!G:G)</f>
        <v>45827</v>
      </c>
      <c r="S811" s="155" t="str">
        <f>+_xlfn.XLOOKUP(Tabla4[[#This Row],[ID CLIENTE]],'RESUMEN CLIENTES'!D:D,'RESUMEN CLIENTES'!AA:AA)</f>
        <v>A1.1</v>
      </c>
      <c r="T811" s="682" t="str">
        <f>+_xlfn.XLOOKUP(Tabla4[[#This Row],[ID CLIENTE]],'RESUMEN CLIENTES'!D:D,'RESUMEN CLIENTES'!C:C)</f>
        <v>México</v>
      </c>
    </row>
    <row r="812" spans="1:20" ht="16">
      <c r="A812" s="82">
        <v>46021</v>
      </c>
      <c r="B812" s="82" t="str">
        <f>+_xlfn.XLOOKUP(Tabla4[[#This Row],[ID CLIENTE]],'RESUMEN CLIENTES'!D:D,'RESUMEN CLIENTES'!A:A)</f>
        <v>Paula Ida Elisa Saris Sommer</v>
      </c>
      <c r="C812" s="82" t="s">
        <v>2400</v>
      </c>
      <c r="D812" s="83" t="s">
        <v>855</v>
      </c>
      <c r="E812" s="83" t="s">
        <v>1705</v>
      </c>
      <c r="F812" s="83" t="s">
        <v>1706</v>
      </c>
      <c r="G812" s="114">
        <v>1000</v>
      </c>
      <c r="H812" s="85">
        <v>-32.75</v>
      </c>
      <c r="I812" s="115">
        <f t="shared" si="26"/>
        <v>3.2750000000000001E-2</v>
      </c>
      <c r="J812" s="87">
        <f t="shared" si="27"/>
        <v>967.25</v>
      </c>
      <c r="K812" s="87"/>
      <c r="L812" s="87" t="s">
        <v>4672</v>
      </c>
      <c r="M812" s="87"/>
      <c r="N812" s="524"/>
      <c r="O812" s="524">
        <f>+Tabla4[[#This Row],[PAGO NO EURO]]+Tabla4[[#This Row],[CARGO NO EURO]]</f>
        <v>0</v>
      </c>
      <c r="P812" s="524"/>
      <c r="Q812" s="155"/>
      <c r="R812" s="693">
        <f>+_xlfn.XLOOKUP(Tabla4[[#This Row],[ID CLIENTE]],'RESUMEN CLIENTES'!D:D,'RESUMEN CLIENTES'!G:G)</f>
        <v>45904</v>
      </c>
      <c r="S812" s="155" t="str">
        <f>+_xlfn.XLOOKUP(Tabla4[[#This Row],[ID CLIENTE]],'RESUMEN CLIENTES'!D:D,'RESUMEN CLIENTES'!AA:AA)</f>
        <v>A2.1</v>
      </c>
      <c r="T812" s="682" t="str">
        <f>+_xlfn.XLOOKUP(Tabla4[[#This Row],[ID CLIENTE]],'RESUMEN CLIENTES'!D:D,'RESUMEN CLIENTES'!C:C)</f>
        <v>Argentina</v>
      </c>
    </row>
    <row r="813" spans="1:20" ht="16">
      <c r="A813" s="82">
        <v>46022</v>
      </c>
      <c r="B813" s="82" t="str">
        <f>+_xlfn.XLOOKUP(Tabla4[[#This Row],[ID CLIENTE]],'RESUMEN CLIENTES'!D:D,'RESUMEN CLIENTES'!A:A)</f>
        <v>Katerine Marianela Verastegui Mendoza</v>
      </c>
      <c r="C813" s="215" t="s">
        <v>2469</v>
      </c>
      <c r="D813" s="83" t="s">
        <v>1461</v>
      </c>
      <c r="E813" s="83" t="s">
        <v>1754</v>
      </c>
      <c r="F813" s="83" t="s">
        <v>1755</v>
      </c>
      <c r="G813" s="114">
        <v>1000</v>
      </c>
      <c r="H813" s="85">
        <v>-32.75</v>
      </c>
      <c r="I813" s="115">
        <f t="shared" si="26"/>
        <v>3.2750000000000001E-2</v>
      </c>
      <c r="J813" s="87">
        <f t="shared" si="27"/>
        <v>967.25</v>
      </c>
      <c r="K813" s="87"/>
      <c r="L813" s="87" t="s">
        <v>4672</v>
      </c>
      <c r="M813" s="87"/>
      <c r="N813" s="524"/>
      <c r="O813" s="524">
        <f>+Tabla4[[#This Row],[PAGO NO EURO]]+Tabla4[[#This Row],[CARGO NO EURO]]</f>
        <v>0</v>
      </c>
      <c r="P813" s="524"/>
      <c r="Q813" s="155"/>
      <c r="R813" s="693">
        <f>+_xlfn.XLOOKUP(Tabla4[[#This Row],[ID CLIENTE]],'RESUMEN CLIENTES'!D:D,'RESUMEN CLIENTES'!G:G)</f>
        <v>45988</v>
      </c>
      <c r="S813" s="155" t="str">
        <f>+_xlfn.XLOOKUP(Tabla4[[#This Row],[ID CLIENTE]],'RESUMEN CLIENTES'!D:D,'RESUMEN CLIENTES'!AA:AA)</f>
        <v>A1.1</v>
      </c>
      <c r="T813" s="682" t="str">
        <f>+_xlfn.XLOOKUP(Tabla4[[#This Row],[ID CLIENTE]],'RESUMEN CLIENTES'!D:D,'RESUMEN CLIENTES'!C:C)</f>
        <v>Perú</v>
      </c>
    </row>
    <row r="814" spans="1:20" ht="16">
      <c r="A814" s="82">
        <v>46022</v>
      </c>
      <c r="B814" s="82" t="str">
        <f>+_xlfn.XLOOKUP(Tabla4[[#This Row],[ID CLIENTE]],'RESUMEN CLIENTES'!D:D,'RESUMEN CLIENTES'!A:A)</f>
        <v>Keidwin Perez</v>
      </c>
      <c r="C814" s="215" t="s">
        <v>2337</v>
      </c>
      <c r="D814" s="83" t="s">
        <v>587</v>
      </c>
      <c r="E814" s="83" t="s">
        <v>1693</v>
      </c>
      <c r="F814" s="83" t="s">
        <v>1694</v>
      </c>
      <c r="G814" s="114">
        <v>750</v>
      </c>
      <c r="H814" s="85">
        <v>-24.63</v>
      </c>
      <c r="I814" s="115">
        <f t="shared" si="26"/>
        <v>3.2840000000000001E-2</v>
      </c>
      <c r="J814" s="87">
        <f t="shared" si="27"/>
        <v>725.37</v>
      </c>
      <c r="K814" s="87"/>
      <c r="L814" s="87" t="s">
        <v>4672</v>
      </c>
      <c r="M814" s="87"/>
      <c r="N814" s="524"/>
      <c r="O814" s="524">
        <f>+Tabla4[[#This Row],[PAGO NO EURO]]+Tabla4[[#This Row],[CARGO NO EURO]]</f>
        <v>0</v>
      </c>
      <c r="P814" s="524"/>
      <c r="Q814" s="155"/>
      <c r="R814" s="693">
        <f>+_xlfn.XLOOKUP(Tabla4[[#This Row],[ID CLIENTE]],'RESUMEN CLIENTES'!D:D,'RESUMEN CLIENTES'!G:G)</f>
        <v>45869</v>
      </c>
      <c r="S814" s="155" t="str">
        <f>+_xlfn.XLOOKUP(Tabla4[[#This Row],[ID CLIENTE]],'RESUMEN CLIENTES'!D:D,'RESUMEN CLIENTES'!AA:AA)</f>
        <v>null</v>
      </c>
      <c r="T814" s="682" t="str">
        <f>+_xlfn.XLOOKUP(Tabla4[[#This Row],[ID CLIENTE]],'RESUMEN CLIENTES'!D:D,'RESUMEN CLIENTES'!C:C)</f>
        <v>Colombia</v>
      </c>
    </row>
    <row r="815" spans="1:20" ht="16">
      <c r="A815" s="82">
        <v>46022</v>
      </c>
      <c r="B815" s="82" t="str">
        <f>+_xlfn.XLOOKUP(Tabla4[[#This Row],[ID CLIENTE]],'RESUMEN CLIENTES'!D:D,'RESUMEN CLIENTES'!A:A)</f>
        <v>María Soledad Tituana Asanza</v>
      </c>
      <c r="C815" s="215" t="s">
        <v>2432</v>
      </c>
      <c r="D815" s="83" t="s">
        <v>1201</v>
      </c>
      <c r="E815" s="83" t="s">
        <v>1788</v>
      </c>
      <c r="F815" s="83" t="s">
        <v>1789</v>
      </c>
      <c r="G815" s="114">
        <v>1000</v>
      </c>
      <c r="H815" s="85">
        <v>-32.75</v>
      </c>
      <c r="I815" s="115">
        <f t="shared" si="26"/>
        <v>3.2750000000000001E-2</v>
      </c>
      <c r="J815" s="87">
        <f t="shared" si="27"/>
        <v>967.25</v>
      </c>
      <c r="K815" s="87"/>
      <c r="L815" s="87" t="s">
        <v>4672</v>
      </c>
      <c r="M815" s="87"/>
      <c r="N815" s="524"/>
      <c r="O815" s="524">
        <f>+Tabla4[[#This Row],[PAGO NO EURO]]+Tabla4[[#This Row],[CARGO NO EURO]]</f>
        <v>0</v>
      </c>
      <c r="P815" s="524"/>
      <c r="Q815" s="155"/>
      <c r="R815" s="693">
        <f>+_xlfn.XLOOKUP(Tabla4[[#This Row],[ID CLIENTE]],'RESUMEN CLIENTES'!D:D,'RESUMEN CLIENTES'!G:G)</f>
        <v>45946</v>
      </c>
      <c r="S815" s="155" t="str">
        <f>+_xlfn.XLOOKUP(Tabla4[[#This Row],[ID CLIENTE]],'RESUMEN CLIENTES'!D:D,'RESUMEN CLIENTES'!AA:AA)</f>
        <v>A1.1</v>
      </c>
      <c r="T815" s="682" t="str">
        <f>+_xlfn.XLOOKUP(Tabla4[[#This Row],[ID CLIENTE]],'RESUMEN CLIENTES'!D:D,'RESUMEN CLIENTES'!C:C)</f>
        <v>Ecuador</v>
      </c>
    </row>
    <row r="816" spans="1:20" ht="16">
      <c r="A816" s="82">
        <v>46022</v>
      </c>
      <c r="B816" s="82" t="str">
        <f>+_xlfn.XLOOKUP(Tabla4[[#This Row],[ID CLIENTE]],'RESUMEN CLIENTES'!D:D,'RESUMEN CLIENTES'!A:A)</f>
        <v>David Hernández Viveros</v>
      </c>
      <c r="C816" s="215" t="s">
        <v>2143</v>
      </c>
      <c r="D816" s="83" t="s">
        <v>115</v>
      </c>
      <c r="E816" s="83" t="s">
        <v>1770</v>
      </c>
      <c r="F816" s="83" t="s">
        <v>1771</v>
      </c>
      <c r="G816" s="114">
        <v>1500</v>
      </c>
      <c r="H816" s="85">
        <v>-49</v>
      </c>
      <c r="I816" s="115">
        <f t="shared" si="26"/>
        <v>3.2666666666666663E-2</v>
      </c>
      <c r="J816" s="87">
        <f t="shared" si="27"/>
        <v>1451</v>
      </c>
      <c r="K816" s="87"/>
      <c r="L816" s="87" t="s">
        <v>4672</v>
      </c>
      <c r="M816" s="87"/>
      <c r="N816" s="524"/>
      <c r="O816" s="524">
        <f>+Tabla4[[#This Row],[PAGO NO EURO]]+Tabla4[[#This Row],[CARGO NO EURO]]</f>
        <v>0</v>
      </c>
      <c r="P816" s="524"/>
      <c r="Q816" s="155"/>
      <c r="R816" s="693">
        <f>+_xlfn.XLOOKUP(Tabla4[[#This Row],[ID CLIENTE]],'RESUMEN CLIENTES'!D:D,'RESUMEN CLIENTES'!G:G)</f>
        <v>45737</v>
      </c>
      <c r="S816" s="155" t="str">
        <f>+_xlfn.XLOOKUP(Tabla4[[#This Row],[ID CLIENTE]],'RESUMEN CLIENTES'!D:D,'RESUMEN CLIENTES'!AA:AA)</f>
        <v>null</v>
      </c>
      <c r="T816" s="682" t="str">
        <f>+_xlfn.XLOOKUP(Tabla4[[#This Row],[ID CLIENTE]],'RESUMEN CLIENTES'!D:D,'RESUMEN CLIENTES'!C:C)</f>
        <v>México</v>
      </c>
    </row>
    <row r="817" spans="1:20" ht="16">
      <c r="A817" s="82">
        <v>46023</v>
      </c>
      <c r="B817" s="82" t="str">
        <f>+_xlfn.XLOOKUP(Tabla4[[#This Row],[ID CLIENTE]],'RESUMEN CLIENTES'!D:D,'RESUMEN CLIENTES'!A:A)</f>
        <v>Gilberto Martiñon Torres</v>
      </c>
      <c r="C817" s="215" t="s">
        <v>2375</v>
      </c>
      <c r="D817" s="83" t="s">
        <v>739</v>
      </c>
      <c r="E817" s="83" t="s">
        <v>1776</v>
      </c>
      <c r="F817" s="83" t="s">
        <v>1777</v>
      </c>
      <c r="G817" s="114">
        <v>700</v>
      </c>
      <c r="H817" s="85">
        <v>-23</v>
      </c>
      <c r="I817" s="115">
        <f t="shared" si="26"/>
        <v>3.2857142857142856E-2</v>
      </c>
      <c r="J817" s="87">
        <f t="shared" si="27"/>
        <v>677</v>
      </c>
      <c r="K817" s="87"/>
      <c r="L817" s="87" t="s">
        <v>4672</v>
      </c>
      <c r="M817" s="87"/>
      <c r="N817" s="524"/>
      <c r="O817" s="524">
        <f>+Tabla4[[#This Row],[PAGO NO EURO]]+Tabla4[[#This Row],[CARGO NO EURO]]</f>
        <v>0</v>
      </c>
      <c r="P817" s="524"/>
      <c r="Q817" s="155"/>
      <c r="R817" s="693">
        <f>+_xlfn.XLOOKUP(Tabla4[[#This Row],[ID CLIENTE]],'RESUMEN CLIENTES'!D:D,'RESUMEN CLIENTES'!G:G)</f>
        <v>45896</v>
      </c>
      <c r="S817" s="155" t="str">
        <f>+_xlfn.XLOOKUP(Tabla4[[#This Row],[ID CLIENTE]],'RESUMEN CLIENTES'!D:D,'RESUMEN CLIENTES'!AA:AA)</f>
        <v>A1.1</v>
      </c>
      <c r="T817" s="682" t="str">
        <f>+_xlfn.XLOOKUP(Tabla4[[#This Row],[ID CLIENTE]],'RESUMEN CLIENTES'!D:D,'RESUMEN CLIENTES'!C:C)</f>
        <v>México</v>
      </c>
    </row>
    <row r="818" spans="1:20" ht="16">
      <c r="A818" s="82">
        <v>46023</v>
      </c>
      <c r="B818" s="82" t="str">
        <f>+_xlfn.XLOOKUP(Tabla4[[#This Row],[ID CLIENTE]],'RESUMEN CLIENTES'!D:D,'RESUMEN CLIENTES'!A:A)</f>
        <v>Daniel Flores</v>
      </c>
      <c r="C818" s="215" t="s">
        <v>2430</v>
      </c>
      <c r="D818" s="83" t="s">
        <v>1178</v>
      </c>
      <c r="E818" s="83" t="s">
        <v>1800</v>
      </c>
      <c r="F818" s="83" t="s">
        <v>1801</v>
      </c>
      <c r="G818" s="114">
        <v>850</v>
      </c>
      <c r="H818" s="85">
        <v>-27.88</v>
      </c>
      <c r="I818" s="115">
        <f t="shared" si="26"/>
        <v>3.2799999999999996E-2</v>
      </c>
      <c r="J818" s="87">
        <f t="shared" si="27"/>
        <v>822.12</v>
      </c>
      <c r="K818" s="87"/>
      <c r="L818" s="87" t="s">
        <v>4672</v>
      </c>
      <c r="M818" s="87"/>
      <c r="N818" s="524"/>
      <c r="O818" s="524">
        <f>+Tabla4[[#This Row],[PAGO NO EURO]]+Tabla4[[#This Row],[CARGO NO EURO]]</f>
        <v>0</v>
      </c>
      <c r="P818" s="524"/>
      <c r="Q818" s="155"/>
      <c r="R818" s="693">
        <f>+_xlfn.XLOOKUP(Tabla4[[#This Row],[ID CLIENTE]],'RESUMEN CLIENTES'!D:D,'RESUMEN CLIENTES'!G:G)</f>
        <v>45945</v>
      </c>
      <c r="S818" s="155" t="str">
        <f>+_xlfn.XLOOKUP(Tabla4[[#This Row],[ID CLIENTE]],'RESUMEN CLIENTES'!D:D,'RESUMEN CLIENTES'!AA:AA)</f>
        <v>A1.1</v>
      </c>
      <c r="T818" s="682" t="str">
        <f>+_xlfn.XLOOKUP(Tabla4[[#This Row],[ID CLIENTE]],'RESUMEN CLIENTES'!D:D,'RESUMEN CLIENTES'!C:C)</f>
        <v>Ecuador</v>
      </c>
    </row>
    <row r="819" spans="1:20" ht="16">
      <c r="A819" s="82">
        <v>46023</v>
      </c>
      <c r="B819" s="82" t="str">
        <f>+_xlfn.XLOOKUP(Tabla4[[#This Row],[ID CLIENTE]],'RESUMEN CLIENTES'!D:D,'RESUMEN CLIENTES'!A:A)</f>
        <v>Maria Laura Rios Pino</v>
      </c>
      <c r="C819" s="215" t="s">
        <v>2220</v>
      </c>
      <c r="D819" s="83" t="s">
        <v>258</v>
      </c>
      <c r="E819" s="83" t="s">
        <v>1804</v>
      </c>
      <c r="F819" s="83" t="s">
        <v>1805</v>
      </c>
      <c r="G819" s="114">
        <f>+Tabla4[[#This Row],[PAGO NO EURO]]*Tabla4[[#This Row],[CAMBIO]]</f>
        <v>861.4006374364717</v>
      </c>
      <c r="H819" s="85">
        <f>+Tabla4[[#This Row],[CARGO NO EURO]]*Tabla4[[#This Row],[CAMBIO]]</f>
        <v>-28.253940907916267</v>
      </c>
      <c r="I819" s="115">
        <f t="shared" si="26"/>
        <v>3.2799999999999996E-2</v>
      </c>
      <c r="J819" s="87">
        <f t="shared" si="27"/>
        <v>833.14669652855548</v>
      </c>
      <c r="K819" s="87"/>
      <c r="L819" s="87" t="s">
        <v>4672</v>
      </c>
      <c r="M819" s="87" t="s">
        <v>2548</v>
      </c>
      <c r="N819" s="524">
        <v>1000</v>
      </c>
      <c r="O819" s="524">
        <f>+Tabla4[[#This Row],[PAGO NO EURO]]+Tabla4[[#This Row],[CARGO NO EURO]]</f>
        <v>967.2</v>
      </c>
      <c r="P819" s="524">
        <v>-32.799999999999997</v>
      </c>
      <c r="Q819" s="155">
        <v>0.86140063743647166</v>
      </c>
      <c r="R819" s="693">
        <f>+_xlfn.XLOOKUP(Tabla4[[#This Row],[ID CLIENTE]],'RESUMEN CLIENTES'!D:D,'RESUMEN CLIENTES'!G:G)</f>
        <v>45805</v>
      </c>
      <c r="S819" s="155" t="str">
        <f>+_xlfn.XLOOKUP(Tabla4[[#This Row],[ID CLIENTE]],'RESUMEN CLIENTES'!D:D,'RESUMEN CLIENTES'!AA:AA)</f>
        <v>B1.1</v>
      </c>
      <c r="T819" s="682" t="str">
        <f>+_xlfn.XLOOKUP(Tabla4[[#This Row],[ID CLIENTE]],'RESUMEN CLIENTES'!D:D,'RESUMEN CLIENTES'!C:C)</f>
        <v>Perú</v>
      </c>
    </row>
    <row r="820" spans="1:20" ht="16">
      <c r="A820" s="82">
        <v>46024</v>
      </c>
      <c r="B820" s="82" t="str">
        <f>+_xlfn.XLOOKUP(Tabla4[[#This Row],[ID CLIENTE]],'RESUMEN CLIENTES'!D:D,'RESUMEN CLIENTES'!A:A)</f>
        <v>María Fernanda Alvar Sepúlveda</v>
      </c>
      <c r="C820" s="215" t="s">
        <v>2123</v>
      </c>
      <c r="D820" s="83" t="s">
        <v>80</v>
      </c>
      <c r="E820" s="83" t="s">
        <v>1850</v>
      </c>
      <c r="F820" s="83" t="s">
        <v>1851</v>
      </c>
      <c r="G820" s="114">
        <v>800</v>
      </c>
      <c r="H820" s="85">
        <v>-26.25</v>
      </c>
      <c r="I820" s="115">
        <f t="shared" si="26"/>
        <v>3.2812500000000001E-2</v>
      </c>
      <c r="J820" s="87">
        <f t="shared" si="27"/>
        <v>773.75</v>
      </c>
      <c r="K820" s="87"/>
      <c r="L820" s="87" t="s">
        <v>4672</v>
      </c>
      <c r="M820" s="87"/>
      <c r="N820" s="524"/>
      <c r="O820" s="524">
        <f>+Tabla4[[#This Row],[PAGO NO EURO]]+Tabla4[[#This Row],[CARGO NO EURO]]</f>
        <v>0</v>
      </c>
      <c r="P820" s="524"/>
      <c r="Q820" s="155"/>
      <c r="R820" s="693">
        <f>+_xlfn.XLOOKUP(Tabla4[[#This Row],[ID CLIENTE]],'RESUMEN CLIENTES'!D:D,'RESUMEN CLIENTES'!G:G)</f>
        <v>45684</v>
      </c>
      <c r="S820" s="155" t="str">
        <f>+_xlfn.XLOOKUP(Tabla4[[#This Row],[ID CLIENTE]],'RESUMEN CLIENTES'!D:D,'RESUMEN CLIENTES'!AA:AA)</f>
        <v>A1.1</v>
      </c>
      <c r="T820" s="682" t="str">
        <f>+_xlfn.XLOOKUP(Tabla4[[#This Row],[ID CLIENTE]],'RESUMEN CLIENTES'!D:D,'RESUMEN CLIENTES'!C:C)</f>
        <v>Chile</v>
      </c>
    </row>
    <row r="821" spans="1:20" ht="16">
      <c r="A821" s="82">
        <v>46024</v>
      </c>
      <c r="B821" s="82" t="str">
        <f>+_xlfn.XLOOKUP(Tabla4[[#This Row],[ID CLIENTE]],'RESUMEN CLIENTES'!D:D,'RESUMEN CLIENTES'!A:A)</f>
        <v>Luis Armando Calderon Manzanera</v>
      </c>
      <c r="C821" s="215" t="s">
        <v>2461</v>
      </c>
      <c r="D821" s="83" t="s">
        <v>1416</v>
      </c>
      <c r="E821" s="83" t="s">
        <v>1844</v>
      </c>
      <c r="F821" s="83" t="s">
        <v>1845</v>
      </c>
      <c r="G821" s="114">
        <v>1000</v>
      </c>
      <c r="H821" s="85">
        <v>-32.75</v>
      </c>
      <c r="I821" s="115">
        <f t="shared" si="26"/>
        <v>3.2750000000000001E-2</v>
      </c>
      <c r="J821" s="87">
        <f t="shared" si="27"/>
        <v>967.25</v>
      </c>
      <c r="K821" s="87"/>
      <c r="L821" s="87" t="s">
        <v>4672</v>
      </c>
      <c r="M821" s="87"/>
      <c r="N821" s="524"/>
      <c r="O821" s="524">
        <f>+Tabla4[[#This Row],[PAGO NO EURO]]+Tabla4[[#This Row],[CARGO NO EURO]]</f>
        <v>0</v>
      </c>
      <c r="P821" s="524"/>
      <c r="Q821" s="155"/>
      <c r="R821" s="693">
        <f>+_xlfn.XLOOKUP(Tabla4[[#This Row],[ID CLIENTE]],'RESUMEN CLIENTES'!D:D,'RESUMEN CLIENTES'!G:G)</f>
        <v>45979</v>
      </c>
      <c r="S821" s="155" t="str">
        <f>+_xlfn.XLOOKUP(Tabla4[[#This Row],[ID CLIENTE]],'RESUMEN CLIENTES'!D:D,'RESUMEN CLIENTES'!AA:AA)</f>
        <v>A1.1</v>
      </c>
      <c r="T821" s="682" t="str">
        <f>+_xlfn.XLOOKUP(Tabla4[[#This Row],[ID CLIENTE]],'RESUMEN CLIENTES'!D:D,'RESUMEN CLIENTES'!C:C)</f>
        <v>México</v>
      </c>
    </row>
    <row r="822" spans="1:20" ht="16">
      <c r="A822" s="82">
        <v>46024</v>
      </c>
      <c r="B822" s="82" t="str">
        <f>+_xlfn.XLOOKUP(Tabla4[[#This Row],[ID CLIENTE]],'RESUMEN CLIENTES'!D:D,'RESUMEN CLIENTES'!A:A)</f>
        <v xml:space="preserve">Catalina Ochoa Urrutia
</v>
      </c>
      <c r="C822" s="215" t="s">
        <v>2180</v>
      </c>
      <c r="D822" s="83" t="s">
        <v>168</v>
      </c>
      <c r="E822" s="83" t="s">
        <v>1826</v>
      </c>
      <c r="F822" s="83" t="s">
        <v>1827</v>
      </c>
      <c r="G822" s="114">
        <v>800</v>
      </c>
      <c r="H822" s="85">
        <v>-26.25</v>
      </c>
      <c r="I822" s="115">
        <f t="shared" si="26"/>
        <v>3.2812500000000001E-2</v>
      </c>
      <c r="J822" s="87">
        <f t="shared" si="27"/>
        <v>773.75</v>
      </c>
      <c r="K822" s="87"/>
      <c r="L822" s="87" t="s">
        <v>4672</v>
      </c>
      <c r="M822" s="87"/>
      <c r="N822" s="524"/>
      <c r="O822" s="524">
        <f>+Tabla4[[#This Row],[PAGO NO EURO]]+Tabla4[[#This Row],[CARGO NO EURO]]</f>
        <v>0</v>
      </c>
      <c r="P822" s="524"/>
      <c r="Q822" s="155"/>
      <c r="R822" s="693">
        <f>+_xlfn.XLOOKUP(Tabla4[[#This Row],[ID CLIENTE]],'RESUMEN CLIENTES'!D:D,'RESUMEN CLIENTES'!G:G)</f>
        <v>45762</v>
      </c>
      <c r="S822" s="155" t="str">
        <f>+_xlfn.XLOOKUP(Tabla4[[#This Row],[ID CLIENTE]],'RESUMEN CLIENTES'!D:D,'RESUMEN CLIENTES'!AA:AA)</f>
        <v>B2.1</v>
      </c>
      <c r="T822" s="682" t="str">
        <f>+_xlfn.XLOOKUP(Tabla4[[#This Row],[ID CLIENTE]],'RESUMEN CLIENTES'!D:D,'RESUMEN CLIENTES'!C:C)</f>
        <v>Chile</v>
      </c>
    </row>
    <row r="823" spans="1:20" ht="16">
      <c r="A823" s="82">
        <v>46024</v>
      </c>
      <c r="B823" s="82" t="str">
        <f>+_xlfn.XLOOKUP(Tabla4[[#This Row],[ID CLIENTE]],'RESUMEN CLIENTES'!D:D,'RESUMEN CLIENTES'!A:A)</f>
        <v>Paula Ida Elisa Saris Sommer</v>
      </c>
      <c r="C823" s="215" t="s">
        <v>2400</v>
      </c>
      <c r="D823" s="83" t="s">
        <v>855</v>
      </c>
      <c r="E823" s="83" t="s">
        <v>1707</v>
      </c>
      <c r="F823" s="83" t="s">
        <v>1708</v>
      </c>
      <c r="G823" s="114">
        <v>1000</v>
      </c>
      <c r="H823" s="85">
        <v>-32.75</v>
      </c>
      <c r="I823" s="115">
        <f t="shared" si="26"/>
        <v>3.2750000000000001E-2</v>
      </c>
      <c r="J823" s="87">
        <f t="shared" si="27"/>
        <v>967.25</v>
      </c>
      <c r="K823" s="87"/>
      <c r="L823" s="87" t="s">
        <v>4672</v>
      </c>
      <c r="M823" s="87"/>
      <c r="N823" s="524"/>
      <c r="O823" s="524">
        <f>+Tabla4[[#This Row],[PAGO NO EURO]]+Tabla4[[#This Row],[CARGO NO EURO]]</f>
        <v>0</v>
      </c>
      <c r="P823" s="524"/>
      <c r="Q823" s="155"/>
      <c r="R823" s="693">
        <f>+_xlfn.XLOOKUP(Tabla4[[#This Row],[ID CLIENTE]],'RESUMEN CLIENTES'!D:D,'RESUMEN CLIENTES'!G:G)</f>
        <v>45904</v>
      </c>
      <c r="S823" s="155" t="str">
        <f>+_xlfn.XLOOKUP(Tabla4[[#This Row],[ID CLIENTE]],'RESUMEN CLIENTES'!D:D,'RESUMEN CLIENTES'!AA:AA)</f>
        <v>A2.1</v>
      </c>
      <c r="T823" s="682" t="str">
        <f>+_xlfn.XLOOKUP(Tabla4[[#This Row],[ID CLIENTE]],'RESUMEN CLIENTES'!D:D,'RESUMEN CLIENTES'!C:C)</f>
        <v>Argentina</v>
      </c>
    </row>
    <row r="824" spans="1:20" ht="16">
      <c r="A824" s="82">
        <v>46024</v>
      </c>
      <c r="B824" s="82" t="str">
        <f>+_xlfn.XLOOKUP(Tabla4[[#This Row],[ID CLIENTE]],'RESUMEN CLIENTES'!D:D,'RESUMEN CLIENTES'!A:A)</f>
        <v>Claudia Nivon Chacón</v>
      </c>
      <c r="C824" s="215" t="s">
        <v>2479</v>
      </c>
      <c r="D824" s="83" t="s">
        <v>1556</v>
      </c>
      <c r="E824" s="83" t="s">
        <v>1808</v>
      </c>
      <c r="F824" s="83" t="s">
        <v>1809</v>
      </c>
      <c r="G824" s="114">
        <v>1136.6300000000001</v>
      </c>
      <c r="H824" s="85">
        <v>-37.19</v>
      </c>
      <c r="I824" s="115">
        <f t="shared" si="26"/>
        <v>3.2719530542040944E-2</v>
      </c>
      <c r="J824" s="87">
        <f t="shared" si="27"/>
        <v>1099.44</v>
      </c>
      <c r="K824" s="87"/>
      <c r="L824" s="87" t="s">
        <v>4672</v>
      </c>
      <c r="M824" s="87"/>
      <c r="N824" s="524"/>
      <c r="O824" s="524">
        <f>+Tabla4[[#This Row],[PAGO NO EURO]]+Tabla4[[#This Row],[CARGO NO EURO]]</f>
        <v>0</v>
      </c>
      <c r="P824" s="524"/>
      <c r="Q824" s="155"/>
      <c r="R824" s="693">
        <f>+_xlfn.XLOOKUP(Tabla4[[#This Row],[ID CLIENTE]],'RESUMEN CLIENTES'!D:D,'RESUMEN CLIENTES'!G:G)</f>
        <v>45994</v>
      </c>
      <c r="S824" s="155" t="str">
        <f>+_xlfn.XLOOKUP(Tabla4[[#This Row],[ID CLIENTE]],'RESUMEN CLIENTES'!D:D,'RESUMEN CLIENTES'!AA:AA)</f>
        <v>B1.1</v>
      </c>
      <c r="T824" s="682" t="str">
        <f>+_xlfn.XLOOKUP(Tabla4[[#This Row],[ID CLIENTE]],'RESUMEN CLIENTES'!D:D,'RESUMEN CLIENTES'!C:C)</f>
        <v>México</v>
      </c>
    </row>
    <row r="825" spans="1:20" ht="16">
      <c r="A825" s="82">
        <v>46024</v>
      </c>
      <c r="B825" s="82" t="str">
        <f>+_xlfn.XLOOKUP(Tabla4[[#This Row],[ID CLIENTE]],'RESUMEN CLIENTES'!D:D,'RESUMEN CLIENTES'!A:A)</f>
        <v>Olguer Ariel Pruna Herrera</v>
      </c>
      <c r="C825" s="215" t="s">
        <v>2353</v>
      </c>
      <c r="D825" s="83" t="s">
        <v>695</v>
      </c>
      <c r="E825" s="83" t="s">
        <v>1802</v>
      </c>
      <c r="F825" s="83" t="s">
        <v>1803</v>
      </c>
      <c r="G825" s="114">
        <v>1000</v>
      </c>
      <c r="H825" s="85">
        <v>-32.75</v>
      </c>
      <c r="I825" s="115">
        <f t="shared" si="26"/>
        <v>3.2750000000000001E-2</v>
      </c>
      <c r="J825" s="87">
        <f t="shared" si="27"/>
        <v>967.25</v>
      </c>
      <c r="K825" s="87"/>
      <c r="L825" s="87" t="s">
        <v>4672</v>
      </c>
      <c r="M825" s="87"/>
      <c r="N825" s="524"/>
      <c r="O825" s="524">
        <f>+Tabla4[[#This Row],[PAGO NO EURO]]+Tabla4[[#This Row],[CARGO NO EURO]]</f>
        <v>0</v>
      </c>
      <c r="P825" s="524"/>
      <c r="Q825" s="155"/>
      <c r="R825" s="693">
        <f>+_xlfn.XLOOKUP(Tabla4[[#This Row],[ID CLIENTE]],'RESUMEN CLIENTES'!D:D,'RESUMEN CLIENTES'!G:G)</f>
        <v>45882</v>
      </c>
      <c r="S825" s="155" t="str">
        <f>+_xlfn.XLOOKUP(Tabla4[[#This Row],[ID CLIENTE]],'RESUMEN CLIENTES'!D:D,'RESUMEN CLIENTES'!AA:AA)</f>
        <v>A1.1</v>
      </c>
      <c r="T825" s="682" t="str">
        <f>+_xlfn.XLOOKUP(Tabla4[[#This Row],[ID CLIENTE]],'RESUMEN CLIENTES'!D:D,'RESUMEN CLIENTES'!C:C)</f>
        <v>Ecuador</v>
      </c>
    </row>
    <row r="826" spans="1:20" ht="16">
      <c r="A826" s="82">
        <v>46024</v>
      </c>
      <c r="B826" s="82" t="str">
        <f>+_xlfn.XLOOKUP(Tabla4[[#This Row],[ID CLIENTE]],'RESUMEN CLIENTES'!D:D,'RESUMEN CLIENTES'!A:A)</f>
        <v>Vanessa Villarreal Villareal</v>
      </c>
      <c r="C826" s="215" t="s">
        <v>2404</v>
      </c>
      <c r="D826" s="83" t="s">
        <v>912</v>
      </c>
      <c r="E826" s="83" t="s">
        <v>1570</v>
      </c>
      <c r="F826" s="83" t="s">
        <v>1571</v>
      </c>
      <c r="G826" s="114">
        <v>500</v>
      </c>
      <c r="H826" s="85">
        <v>-16.5</v>
      </c>
      <c r="I826" s="115">
        <f t="shared" si="26"/>
        <v>3.3000000000000002E-2</v>
      </c>
      <c r="J826" s="87">
        <f t="shared" si="27"/>
        <v>483.5</v>
      </c>
      <c r="K826" s="87"/>
      <c r="L826" s="87" t="s">
        <v>4672</v>
      </c>
      <c r="M826" s="87"/>
      <c r="N826" s="524"/>
      <c r="O826" s="524">
        <f>+Tabla4[[#This Row],[PAGO NO EURO]]+Tabla4[[#This Row],[CARGO NO EURO]]</f>
        <v>0</v>
      </c>
      <c r="P826" s="524"/>
      <c r="Q826" s="155"/>
      <c r="R826" s="693">
        <f>+_xlfn.XLOOKUP(Tabla4[[#This Row],[ID CLIENTE]],'RESUMEN CLIENTES'!D:D,'RESUMEN CLIENTES'!G:G)</f>
        <v>45906</v>
      </c>
      <c r="S826" s="155" t="str">
        <f>+_xlfn.XLOOKUP(Tabla4[[#This Row],[ID CLIENTE]],'RESUMEN CLIENTES'!D:D,'RESUMEN CLIENTES'!AA:AA)</f>
        <v>A1.1</v>
      </c>
      <c r="T826" s="682" t="str">
        <f>+_xlfn.XLOOKUP(Tabla4[[#This Row],[ID CLIENTE]],'RESUMEN CLIENTES'!D:D,'RESUMEN CLIENTES'!C:C)</f>
        <v>Ecuador</v>
      </c>
    </row>
    <row r="827" spans="1:20" ht="16">
      <c r="A827" s="82">
        <v>46024</v>
      </c>
      <c r="B827" s="82" t="str">
        <f>+_xlfn.XLOOKUP(Tabla4[[#This Row],[ID CLIENTE]],'RESUMEN CLIENTES'!D:D,'RESUMEN CLIENTES'!A:A)</f>
        <v>Constanza Andrea Águila Vergara</v>
      </c>
      <c r="C827" s="215" t="s">
        <v>2441</v>
      </c>
      <c r="D827" s="83" t="s">
        <v>1245</v>
      </c>
      <c r="E827" s="83" t="s">
        <v>1798</v>
      </c>
      <c r="F827" s="83" t="s">
        <v>1799</v>
      </c>
      <c r="G827" s="114">
        <v>850</v>
      </c>
      <c r="H827" s="85">
        <v>-27.88</v>
      </c>
      <c r="I827" s="115">
        <f t="shared" si="26"/>
        <v>3.2799999999999996E-2</v>
      </c>
      <c r="J827" s="87">
        <f t="shared" si="27"/>
        <v>822.12</v>
      </c>
      <c r="K827" s="87"/>
      <c r="L827" s="87" t="s">
        <v>4672</v>
      </c>
      <c r="M827" s="87"/>
      <c r="N827" s="524"/>
      <c r="O827" s="524">
        <f>+Tabla4[[#This Row],[PAGO NO EURO]]+Tabla4[[#This Row],[CARGO NO EURO]]</f>
        <v>0</v>
      </c>
      <c r="P827" s="524"/>
      <c r="Q827" s="155"/>
      <c r="R827" s="693">
        <f>+_xlfn.XLOOKUP(Tabla4[[#This Row],[ID CLIENTE]],'RESUMEN CLIENTES'!D:D,'RESUMEN CLIENTES'!G:G)</f>
        <v>45957</v>
      </c>
      <c r="S827" s="155" t="str">
        <f>+_xlfn.XLOOKUP(Tabla4[[#This Row],[ID CLIENTE]],'RESUMEN CLIENTES'!D:D,'RESUMEN CLIENTES'!AA:AA)</f>
        <v>A1.2</v>
      </c>
      <c r="T827" s="682" t="str">
        <f>+_xlfn.XLOOKUP(Tabla4[[#This Row],[ID CLIENTE]],'RESUMEN CLIENTES'!D:D,'RESUMEN CLIENTES'!C:C)</f>
        <v>Chile</v>
      </c>
    </row>
    <row r="828" spans="1:20" ht="16">
      <c r="A828" s="82">
        <v>46025</v>
      </c>
      <c r="B828" s="82" t="str">
        <f>+_xlfn.XLOOKUP(Tabla4[[#This Row],[ID CLIENTE]],'RESUMEN CLIENTES'!D:D,'RESUMEN CLIENTES'!A:A)</f>
        <v>Mateo Gabriel Martinez Dávila</v>
      </c>
      <c r="C828" s="215" t="s">
        <v>2193</v>
      </c>
      <c r="D828" s="83" t="s">
        <v>200</v>
      </c>
      <c r="E828" s="83" t="s">
        <v>1806</v>
      </c>
      <c r="F828" s="83" t="s">
        <v>1807</v>
      </c>
      <c r="G828" s="114">
        <f>+Tabla4[[#This Row],[PAGO NO EURO]]*Tabla4[[#This Row],[CAMBIO]]</f>
        <v>430.70031871823585</v>
      </c>
      <c r="H828" s="85">
        <f>+Tabla4[[#This Row],[CARGO NO EURO]]*Tabla4[[#This Row],[CAMBIO]]</f>
        <v>-14.256180549573607</v>
      </c>
      <c r="I828" s="115">
        <f t="shared" si="26"/>
        <v>3.3099999999999997E-2</v>
      </c>
      <c r="J828" s="87">
        <f t="shared" si="27"/>
        <v>416.44413816866222</v>
      </c>
      <c r="K828" s="87" t="s">
        <v>4676</v>
      </c>
      <c r="L828" s="87" t="s">
        <v>4672</v>
      </c>
      <c r="M828" s="87" t="s">
        <v>2548</v>
      </c>
      <c r="N828" s="524">
        <v>500</v>
      </c>
      <c r="O828" s="524">
        <f>+Tabla4[[#This Row],[PAGO NO EURO]]+Tabla4[[#This Row],[CARGO NO EURO]]</f>
        <v>483.45</v>
      </c>
      <c r="P828" s="524">
        <v>-16.55</v>
      </c>
      <c r="Q828" s="155">
        <v>0.86140063743647166</v>
      </c>
      <c r="R828" s="693">
        <f>+_xlfn.XLOOKUP(Tabla4[[#This Row],[ID CLIENTE]],'RESUMEN CLIENTES'!D:D,'RESUMEN CLIENTES'!G:G)</f>
        <v>45777</v>
      </c>
      <c r="S828" s="155" t="str">
        <f>+_xlfn.XLOOKUP(Tabla4[[#This Row],[ID CLIENTE]],'RESUMEN CLIENTES'!D:D,'RESUMEN CLIENTES'!AA:AA)</f>
        <v>A1.1</v>
      </c>
      <c r="T828" s="682" t="str">
        <f>+_xlfn.XLOOKUP(Tabla4[[#This Row],[ID CLIENTE]],'RESUMEN CLIENTES'!D:D,'RESUMEN CLIENTES'!C:C)</f>
        <v>Bolivia</v>
      </c>
    </row>
    <row r="829" spans="1:20" ht="16">
      <c r="A829" s="82">
        <v>46025</v>
      </c>
      <c r="B829" s="82" t="str">
        <f>+_xlfn.XLOOKUP(Tabla4[[#This Row],[ID CLIENTE]],'RESUMEN CLIENTES'!D:D,'RESUMEN CLIENTES'!A:A)</f>
        <v>Dinorah Gómez Castellanos</v>
      </c>
      <c r="C829" s="215" t="s">
        <v>2168</v>
      </c>
      <c r="D829" s="83" t="s">
        <v>194</v>
      </c>
      <c r="E829" s="83" t="s">
        <v>1830</v>
      </c>
      <c r="F829" s="83" t="s">
        <v>1831</v>
      </c>
      <c r="G829" s="114">
        <v>85</v>
      </c>
      <c r="H829" s="85">
        <v>-3.01</v>
      </c>
      <c r="I829" s="115">
        <f t="shared" si="26"/>
        <v>3.5411764705882351E-2</v>
      </c>
      <c r="J829" s="87">
        <f t="shared" si="27"/>
        <v>81.99</v>
      </c>
      <c r="K829" s="87"/>
      <c r="L829" s="87" t="s">
        <v>4672</v>
      </c>
      <c r="M829" s="87"/>
      <c r="N829" s="524"/>
      <c r="O829" s="524">
        <f>+Tabla4[[#This Row],[PAGO NO EURO]]+Tabla4[[#This Row],[CARGO NO EURO]]</f>
        <v>0</v>
      </c>
      <c r="P829" s="524"/>
      <c r="Q829" s="155"/>
      <c r="R829" s="693">
        <f>+_xlfn.XLOOKUP(Tabla4[[#This Row],[ID CLIENTE]],'RESUMEN CLIENTES'!D:D,'RESUMEN CLIENTES'!G:G)</f>
        <v>45757</v>
      </c>
      <c r="S829" s="155" t="str">
        <f>+_xlfn.XLOOKUP(Tabla4[[#This Row],[ID CLIENTE]],'RESUMEN CLIENTES'!D:D,'RESUMEN CLIENTES'!AA:AA)</f>
        <v>B2.1</v>
      </c>
      <c r="T829" s="682" t="str">
        <f>+_xlfn.XLOOKUP(Tabla4[[#This Row],[ID CLIENTE]],'RESUMEN CLIENTES'!D:D,'RESUMEN CLIENTES'!C:C)</f>
        <v>México</v>
      </c>
    </row>
    <row r="830" spans="1:20" ht="16">
      <c r="A830" s="82">
        <v>46025</v>
      </c>
      <c r="B830" s="82" t="str">
        <f>+_xlfn.XLOOKUP(Tabla4[[#This Row],[ID CLIENTE]],'RESUMEN CLIENTES'!D:D,'RESUMEN CLIENTES'!A:A)</f>
        <v>Marco Tulio Negrete Aceves</v>
      </c>
      <c r="C830" s="215" t="s">
        <v>2166</v>
      </c>
      <c r="D830" s="83" t="s">
        <v>188</v>
      </c>
      <c r="E830" s="83" t="s">
        <v>1848</v>
      </c>
      <c r="F830" s="83" t="s">
        <v>1849</v>
      </c>
      <c r="G830" s="114">
        <v>11</v>
      </c>
      <c r="H830" s="85">
        <v>-0.61</v>
      </c>
      <c r="I830" s="115">
        <f t="shared" si="26"/>
        <v>5.5454545454545451E-2</v>
      </c>
      <c r="J830" s="87">
        <f t="shared" si="27"/>
        <v>10.39</v>
      </c>
      <c r="K830" s="87"/>
      <c r="L830" s="87" t="s">
        <v>4672</v>
      </c>
      <c r="M830" s="87"/>
      <c r="N830" s="524"/>
      <c r="O830" s="524">
        <f>+Tabla4[[#This Row],[PAGO NO EURO]]+Tabla4[[#This Row],[CARGO NO EURO]]</f>
        <v>0</v>
      </c>
      <c r="P830" s="524"/>
      <c r="Q830" s="155"/>
      <c r="R830" s="693">
        <f>+_xlfn.XLOOKUP(Tabla4[[#This Row],[ID CLIENTE]],'RESUMEN CLIENTES'!D:D,'RESUMEN CLIENTES'!G:G)</f>
        <v>45757</v>
      </c>
      <c r="S830" s="155" t="str">
        <f>+_xlfn.XLOOKUP(Tabla4[[#This Row],[ID CLIENTE]],'RESUMEN CLIENTES'!D:D,'RESUMEN CLIENTES'!AA:AA)</f>
        <v>B2.1</v>
      </c>
      <c r="T830" s="682" t="str">
        <f>+_xlfn.XLOOKUP(Tabla4[[#This Row],[ID CLIENTE]],'RESUMEN CLIENTES'!D:D,'RESUMEN CLIENTES'!C:C)</f>
        <v>México</v>
      </c>
    </row>
    <row r="831" spans="1:20" ht="16">
      <c r="A831" s="82">
        <v>46026</v>
      </c>
      <c r="B831" s="82" t="str">
        <f>+_xlfn.XLOOKUP(Tabla4[[#This Row],[ID CLIENTE]],'RESUMEN CLIENTES'!D:D,'RESUMEN CLIENTES'!A:A)</f>
        <v>Guillermo Alfonso Garvalena Gaxiola</v>
      </c>
      <c r="C831" s="215" t="s">
        <v>2176</v>
      </c>
      <c r="D831" s="83" t="s">
        <v>171</v>
      </c>
      <c r="E831" s="83" t="s">
        <v>1836</v>
      </c>
      <c r="F831" s="83" t="s">
        <v>1837</v>
      </c>
      <c r="G831" s="114">
        <v>500</v>
      </c>
      <c r="H831" s="85">
        <v>-16.5</v>
      </c>
      <c r="I831" s="115">
        <f t="shared" si="26"/>
        <v>3.3000000000000002E-2</v>
      </c>
      <c r="J831" s="87">
        <f t="shared" si="27"/>
        <v>483.5</v>
      </c>
      <c r="K831" s="87"/>
      <c r="L831" s="87" t="s">
        <v>4672</v>
      </c>
      <c r="M831" s="87"/>
      <c r="N831" s="524"/>
      <c r="O831" s="524">
        <f>+Tabla4[[#This Row],[PAGO NO EURO]]+Tabla4[[#This Row],[CARGO NO EURO]]</f>
        <v>0</v>
      </c>
      <c r="P831" s="524"/>
      <c r="Q831" s="155"/>
      <c r="R831" s="693">
        <f>+_xlfn.XLOOKUP(Tabla4[[#This Row],[ID CLIENTE]],'RESUMEN CLIENTES'!D:D,'RESUMEN CLIENTES'!G:G)</f>
        <v>45762</v>
      </c>
      <c r="S831" s="155" t="str">
        <f>+_xlfn.XLOOKUP(Tabla4[[#This Row],[ID CLIENTE]],'RESUMEN CLIENTES'!D:D,'RESUMEN CLIENTES'!AA:AA)</f>
        <v>A2.1</v>
      </c>
      <c r="T831" s="682" t="str">
        <f>+_xlfn.XLOOKUP(Tabla4[[#This Row],[ID CLIENTE]],'RESUMEN CLIENTES'!D:D,'RESUMEN CLIENTES'!C:C)</f>
        <v>México</v>
      </c>
    </row>
    <row r="832" spans="1:20" ht="16">
      <c r="A832" s="82">
        <v>46026</v>
      </c>
      <c r="B832" s="82" t="str">
        <f>+_xlfn.XLOOKUP(Tabla4[[#This Row],[ID CLIENTE]],'RESUMEN CLIENTES'!D:D,'RESUMEN CLIENTES'!A:A)</f>
        <v>Guillermo Alfonso Garvalena Gaxiola</v>
      </c>
      <c r="C832" s="215" t="s">
        <v>2176</v>
      </c>
      <c r="D832" s="83" t="s">
        <v>171</v>
      </c>
      <c r="E832" s="83" t="s">
        <v>1834</v>
      </c>
      <c r="F832" s="83" t="s">
        <v>1835</v>
      </c>
      <c r="G832" s="114">
        <v>200</v>
      </c>
      <c r="H832" s="85">
        <v>-6.75</v>
      </c>
      <c r="I832" s="115">
        <f t="shared" si="26"/>
        <v>3.3750000000000002E-2</v>
      </c>
      <c r="J832" s="87">
        <f t="shared" si="27"/>
        <v>193.25</v>
      </c>
      <c r="K832" s="87"/>
      <c r="L832" s="87" t="s">
        <v>4672</v>
      </c>
      <c r="M832" s="87"/>
      <c r="N832" s="524"/>
      <c r="O832" s="524">
        <f>+Tabla4[[#This Row],[PAGO NO EURO]]+Tabla4[[#This Row],[CARGO NO EURO]]</f>
        <v>0</v>
      </c>
      <c r="P832" s="524"/>
      <c r="Q832" s="155"/>
      <c r="R832" s="693">
        <f>+_xlfn.XLOOKUP(Tabla4[[#This Row],[ID CLIENTE]],'RESUMEN CLIENTES'!D:D,'RESUMEN CLIENTES'!G:G)</f>
        <v>45762</v>
      </c>
      <c r="S832" s="155" t="str">
        <f>+_xlfn.XLOOKUP(Tabla4[[#This Row],[ID CLIENTE]],'RESUMEN CLIENTES'!D:D,'RESUMEN CLIENTES'!AA:AA)</f>
        <v>A2.1</v>
      </c>
      <c r="T832" s="682" t="str">
        <f>+_xlfn.XLOOKUP(Tabla4[[#This Row],[ID CLIENTE]],'RESUMEN CLIENTES'!D:D,'RESUMEN CLIENTES'!C:C)</f>
        <v>México</v>
      </c>
    </row>
    <row r="833" spans="1:20" ht="16">
      <c r="A833" s="82">
        <v>46027</v>
      </c>
      <c r="B833" s="82" t="str">
        <f>+_xlfn.XLOOKUP(Tabla4[[#This Row],[ID CLIENTE]],'RESUMEN CLIENTES'!D:D,'RESUMEN CLIENTES'!A:A)</f>
        <v>Sergio Francisco Garcia Sandoval</v>
      </c>
      <c r="C833" s="215" t="s">
        <v>2235</v>
      </c>
      <c r="D833" s="83" t="s">
        <v>281</v>
      </c>
      <c r="E833" s="83" t="s">
        <v>1860</v>
      </c>
      <c r="F833" s="83" t="s">
        <v>1861</v>
      </c>
      <c r="G833" s="114">
        <v>350</v>
      </c>
      <c r="H833" s="85">
        <v>-1.75</v>
      </c>
      <c r="I833" s="115">
        <f t="shared" si="26"/>
        <v>5.0000000000000001E-3</v>
      </c>
      <c r="J833" s="87">
        <f t="shared" si="27"/>
        <v>348.25</v>
      </c>
      <c r="K833" s="87"/>
      <c r="L833" s="87" t="s">
        <v>4672</v>
      </c>
      <c r="M833" s="87"/>
      <c r="N833" s="524"/>
      <c r="O833" s="524">
        <f>+Tabla4[[#This Row],[PAGO NO EURO]]+Tabla4[[#This Row],[CARGO NO EURO]]</f>
        <v>0</v>
      </c>
      <c r="P833" s="524"/>
      <c r="Q833" s="155"/>
      <c r="R833" s="693">
        <f>+_xlfn.XLOOKUP(Tabla4[[#This Row],[ID CLIENTE]],'RESUMEN CLIENTES'!D:D,'RESUMEN CLIENTES'!G:G)</f>
        <v>45812</v>
      </c>
      <c r="S833" s="155" t="str">
        <f>+_xlfn.XLOOKUP(Tabla4[[#This Row],[ID CLIENTE]],'RESUMEN CLIENTES'!D:D,'RESUMEN CLIENTES'!AA:AA)</f>
        <v>A1.1</v>
      </c>
      <c r="T833" s="682" t="str">
        <f>+_xlfn.XLOOKUP(Tabla4[[#This Row],[ID CLIENTE]],'RESUMEN CLIENTES'!D:D,'RESUMEN CLIENTES'!C:C)</f>
        <v>Perú</v>
      </c>
    </row>
    <row r="834" spans="1:20" ht="16">
      <c r="A834" s="82">
        <v>46027</v>
      </c>
      <c r="B834" s="82" t="str">
        <f>+_xlfn.XLOOKUP(Tabla4[[#This Row],[ID CLIENTE]],'RESUMEN CLIENTES'!D:D,'RESUMEN CLIENTES'!A:A)</f>
        <v>Paula Ida Elisa Saris Sommer</v>
      </c>
      <c r="C834" s="215" t="s">
        <v>2400</v>
      </c>
      <c r="D834" s="83" t="s">
        <v>855</v>
      </c>
      <c r="E834" s="83" t="s">
        <v>1709</v>
      </c>
      <c r="F834" s="83" t="s">
        <v>1710</v>
      </c>
      <c r="G834" s="114">
        <v>1000</v>
      </c>
      <c r="H834" s="85">
        <v>-32.75</v>
      </c>
      <c r="I834" s="115">
        <f t="shared" si="26"/>
        <v>3.2750000000000001E-2</v>
      </c>
      <c r="J834" s="87">
        <f t="shared" si="27"/>
        <v>967.25</v>
      </c>
      <c r="K834" s="87"/>
      <c r="L834" s="87" t="s">
        <v>4672</v>
      </c>
      <c r="M834" s="87"/>
      <c r="N834" s="524"/>
      <c r="O834" s="524">
        <f>+Tabla4[[#This Row],[PAGO NO EURO]]+Tabla4[[#This Row],[CARGO NO EURO]]</f>
        <v>0</v>
      </c>
      <c r="P834" s="524"/>
      <c r="Q834" s="155"/>
      <c r="R834" s="693">
        <f>+_xlfn.XLOOKUP(Tabla4[[#This Row],[ID CLIENTE]],'RESUMEN CLIENTES'!D:D,'RESUMEN CLIENTES'!G:G)</f>
        <v>45904</v>
      </c>
      <c r="S834" s="155" t="str">
        <f>+_xlfn.XLOOKUP(Tabla4[[#This Row],[ID CLIENTE]],'RESUMEN CLIENTES'!D:D,'RESUMEN CLIENTES'!AA:AA)</f>
        <v>A2.1</v>
      </c>
      <c r="T834" s="682" t="str">
        <f>+_xlfn.XLOOKUP(Tabla4[[#This Row],[ID CLIENTE]],'RESUMEN CLIENTES'!D:D,'RESUMEN CLIENTES'!C:C)</f>
        <v>Argentina</v>
      </c>
    </row>
    <row r="835" spans="1:20" ht="16">
      <c r="A835" s="82">
        <v>46027</v>
      </c>
      <c r="B835" s="82" t="str">
        <f>+_xlfn.XLOOKUP(Tabla4[[#This Row],[ID CLIENTE]],'RESUMEN CLIENTES'!D:D,'RESUMEN CLIENTES'!A:A)</f>
        <v>Mayra Leonor Rivera Paico</v>
      </c>
      <c r="C835" s="215" t="s">
        <v>2280</v>
      </c>
      <c r="D835" s="83" t="s">
        <v>407</v>
      </c>
      <c r="E835" s="83" t="s">
        <v>1810</v>
      </c>
      <c r="F835" s="83" t="s">
        <v>1811</v>
      </c>
      <c r="G835" s="114">
        <v>1000</v>
      </c>
      <c r="H835" s="85">
        <v>-32.75</v>
      </c>
      <c r="I835" s="115">
        <f t="shared" si="26"/>
        <v>3.2750000000000001E-2</v>
      </c>
      <c r="J835" s="87">
        <f t="shared" si="27"/>
        <v>967.25</v>
      </c>
      <c r="K835" s="87"/>
      <c r="L835" s="87" t="s">
        <v>4672</v>
      </c>
      <c r="M835" s="87"/>
      <c r="N835" s="524"/>
      <c r="O835" s="524">
        <f>+Tabla4[[#This Row],[PAGO NO EURO]]+Tabla4[[#This Row],[CARGO NO EURO]]</f>
        <v>0</v>
      </c>
      <c r="P835" s="524"/>
      <c r="Q835" s="155"/>
      <c r="R835" s="693">
        <f>+_xlfn.XLOOKUP(Tabla4[[#This Row],[ID CLIENTE]],'RESUMEN CLIENTES'!D:D,'RESUMEN CLIENTES'!G:G)</f>
        <v>45842</v>
      </c>
      <c r="S835" s="155" t="str">
        <f>+_xlfn.XLOOKUP(Tabla4[[#This Row],[ID CLIENTE]],'RESUMEN CLIENTES'!D:D,'RESUMEN CLIENTES'!AA:AA)</f>
        <v>A1.1</v>
      </c>
      <c r="T835" s="682" t="str">
        <f>+_xlfn.XLOOKUP(Tabla4[[#This Row],[ID CLIENTE]],'RESUMEN CLIENTES'!D:D,'RESUMEN CLIENTES'!C:C)</f>
        <v>Perú</v>
      </c>
    </row>
    <row r="836" spans="1:20" ht="16">
      <c r="A836" s="82">
        <v>46027</v>
      </c>
      <c r="B836" s="82" t="str">
        <f>+_xlfn.XLOOKUP(Tabla4[[#This Row],[ID CLIENTE]],'RESUMEN CLIENTES'!D:D,'RESUMEN CLIENTES'!A:A)</f>
        <v>Judith Elizabeth Lopez Sanchez</v>
      </c>
      <c r="C836" s="215" t="s">
        <v>2416</v>
      </c>
      <c r="D836" s="83" t="s">
        <v>955</v>
      </c>
      <c r="E836" s="83" t="s">
        <v>1842</v>
      </c>
      <c r="F836" s="83" t="s">
        <v>1843</v>
      </c>
      <c r="G836" s="114">
        <v>1000</v>
      </c>
      <c r="H836" s="85">
        <v>-32.75</v>
      </c>
      <c r="I836" s="115">
        <f t="shared" si="26"/>
        <v>3.2750000000000001E-2</v>
      </c>
      <c r="J836" s="87">
        <f t="shared" si="27"/>
        <v>967.25</v>
      </c>
      <c r="K836" s="87"/>
      <c r="L836" s="87" t="s">
        <v>4672</v>
      </c>
      <c r="M836" s="87"/>
      <c r="N836" s="524"/>
      <c r="O836" s="524">
        <f>+Tabla4[[#This Row],[PAGO NO EURO]]+Tabla4[[#This Row],[CARGO NO EURO]]</f>
        <v>0</v>
      </c>
      <c r="P836" s="524"/>
      <c r="Q836" s="155"/>
      <c r="R836" s="693">
        <f>+_xlfn.XLOOKUP(Tabla4[[#This Row],[ID CLIENTE]],'RESUMEN CLIENTES'!D:D,'RESUMEN CLIENTES'!G:G)</f>
        <v>45913</v>
      </c>
      <c r="S836" s="155" t="str">
        <f>+_xlfn.XLOOKUP(Tabla4[[#This Row],[ID CLIENTE]],'RESUMEN CLIENTES'!D:D,'RESUMEN CLIENTES'!AA:AA)</f>
        <v>A1.1</v>
      </c>
      <c r="T836" s="682" t="str">
        <f>+_xlfn.XLOOKUP(Tabla4[[#This Row],[ID CLIENTE]],'RESUMEN CLIENTES'!D:D,'RESUMEN CLIENTES'!C:C)</f>
        <v>Perú</v>
      </c>
    </row>
    <row r="837" spans="1:20" ht="16">
      <c r="A837" s="82">
        <v>46027</v>
      </c>
      <c r="B837" s="82" t="str">
        <f>+_xlfn.XLOOKUP(Tabla4[[#This Row],[ID CLIENTE]],'RESUMEN CLIENTES'!D:D,'RESUMEN CLIENTES'!A:A)</f>
        <v>Moira Millaray Schneider Rivera</v>
      </c>
      <c r="C837" s="215" t="s">
        <v>2147</v>
      </c>
      <c r="D837" s="83" t="s">
        <v>129</v>
      </c>
      <c r="E837" s="83" t="s">
        <v>1856</v>
      </c>
      <c r="F837" s="83" t="s">
        <v>1857</v>
      </c>
      <c r="G837" s="114">
        <v>800</v>
      </c>
      <c r="H837" s="85">
        <v>-26.25</v>
      </c>
      <c r="I837" s="115">
        <f t="shared" si="26"/>
        <v>3.2812500000000001E-2</v>
      </c>
      <c r="J837" s="87">
        <f t="shared" si="27"/>
        <v>773.75</v>
      </c>
      <c r="K837" s="87"/>
      <c r="L837" s="87" t="s">
        <v>4672</v>
      </c>
      <c r="M837" s="87"/>
      <c r="N837" s="524"/>
      <c r="O837" s="524">
        <f>+Tabla4[[#This Row],[PAGO NO EURO]]+Tabla4[[#This Row],[CARGO NO EURO]]</f>
        <v>0</v>
      </c>
      <c r="P837" s="524"/>
      <c r="Q837" s="155"/>
      <c r="R837" s="693">
        <f>+_xlfn.XLOOKUP(Tabla4[[#This Row],[ID CLIENTE]],'RESUMEN CLIENTES'!D:D,'RESUMEN CLIENTES'!G:G)</f>
        <v>45740</v>
      </c>
      <c r="S837" s="155" t="str">
        <f>+_xlfn.XLOOKUP(Tabla4[[#This Row],[ID CLIENTE]],'RESUMEN CLIENTES'!D:D,'RESUMEN CLIENTES'!AA:AA)</f>
        <v>null</v>
      </c>
      <c r="T837" s="682" t="str">
        <f>+_xlfn.XLOOKUP(Tabla4[[#This Row],[ID CLIENTE]],'RESUMEN CLIENTES'!D:D,'RESUMEN CLIENTES'!C:C)</f>
        <v>Chile</v>
      </c>
    </row>
    <row r="838" spans="1:20" ht="16">
      <c r="A838" s="82">
        <v>46027</v>
      </c>
      <c r="B838" s="82" t="str">
        <f>+_xlfn.XLOOKUP(Tabla4[[#This Row],[ID CLIENTE]],'RESUMEN CLIENTES'!D:D,'RESUMEN CLIENTES'!A:A)</f>
        <v>Bernardita Lobo Zegers</v>
      </c>
      <c r="C838" s="215" t="s">
        <v>2202</v>
      </c>
      <c r="D838" s="83" t="s">
        <v>203</v>
      </c>
      <c r="E838" s="83" t="s">
        <v>1822</v>
      </c>
      <c r="F838" s="83" t="s">
        <v>1823</v>
      </c>
      <c r="G838" s="114">
        <v>800</v>
      </c>
      <c r="H838" s="85">
        <v>-26.25</v>
      </c>
      <c r="I838" s="115">
        <f t="shared" si="26"/>
        <v>3.2812500000000001E-2</v>
      </c>
      <c r="J838" s="87">
        <f t="shared" si="27"/>
        <v>773.75</v>
      </c>
      <c r="K838" s="87"/>
      <c r="L838" s="87" t="s">
        <v>4672</v>
      </c>
      <c r="M838" s="87"/>
      <c r="N838" s="524"/>
      <c r="O838" s="524">
        <f>+Tabla4[[#This Row],[PAGO NO EURO]]+Tabla4[[#This Row],[CARGO NO EURO]]</f>
        <v>0</v>
      </c>
      <c r="P838" s="524"/>
      <c r="Q838" s="155"/>
      <c r="R838" s="693">
        <f>+_xlfn.XLOOKUP(Tabla4[[#This Row],[ID CLIENTE]],'RESUMEN CLIENTES'!D:D,'RESUMEN CLIENTES'!G:G)</f>
        <v>45779</v>
      </c>
      <c r="S838" s="155" t="str">
        <f>+_xlfn.XLOOKUP(Tabla4[[#This Row],[ID CLIENTE]],'RESUMEN CLIENTES'!D:D,'RESUMEN CLIENTES'!AA:AA)</f>
        <v>A1.1</v>
      </c>
      <c r="T838" s="682" t="str">
        <f>+_xlfn.XLOOKUP(Tabla4[[#This Row],[ID CLIENTE]],'RESUMEN CLIENTES'!D:D,'RESUMEN CLIENTES'!C:C)</f>
        <v>México</v>
      </c>
    </row>
    <row r="839" spans="1:20" ht="16">
      <c r="A839" s="82">
        <v>46027</v>
      </c>
      <c r="B839" s="82" t="str">
        <f>+_xlfn.XLOOKUP(Tabla4[[#This Row],[ID CLIENTE]],'RESUMEN CLIENTES'!D:D,'RESUMEN CLIENTES'!A:A)</f>
        <v>Alejandra Leva Vallejo</v>
      </c>
      <c r="C839" s="215" t="s">
        <v>2178</v>
      </c>
      <c r="D839" s="83" t="s">
        <v>165</v>
      </c>
      <c r="E839" s="83" t="s">
        <v>1818</v>
      </c>
      <c r="F839" s="83" t="s">
        <v>1819</v>
      </c>
      <c r="G839" s="114">
        <v>1000</v>
      </c>
      <c r="H839" s="85">
        <v>-32.75</v>
      </c>
      <c r="I839" s="115">
        <f t="shared" si="26"/>
        <v>3.2750000000000001E-2</v>
      </c>
      <c r="J839" s="87">
        <f t="shared" si="27"/>
        <v>967.25</v>
      </c>
      <c r="K839" s="87"/>
      <c r="L839" s="87" t="s">
        <v>4672</v>
      </c>
      <c r="M839" s="87"/>
      <c r="N839" s="524"/>
      <c r="O839" s="524">
        <f>+Tabla4[[#This Row],[PAGO NO EURO]]+Tabla4[[#This Row],[CARGO NO EURO]]</f>
        <v>0</v>
      </c>
      <c r="P839" s="524"/>
      <c r="Q839" s="155"/>
      <c r="R839" s="693">
        <f>+_xlfn.XLOOKUP(Tabla4[[#This Row],[ID CLIENTE]],'RESUMEN CLIENTES'!D:D,'RESUMEN CLIENTES'!G:G)</f>
        <v>45762</v>
      </c>
      <c r="S839" s="155" t="str">
        <f>+_xlfn.XLOOKUP(Tabla4[[#This Row],[ID CLIENTE]],'RESUMEN CLIENTES'!D:D,'RESUMEN CLIENTES'!AA:AA)</f>
        <v>A1.1</v>
      </c>
      <c r="T839" s="682" t="str">
        <f>+_xlfn.XLOOKUP(Tabla4[[#This Row],[ID CLIENTE]],'RESUMEN CLIENTES'!D:D,'RESUMEN CLIENTES'!C:C)</f>
        <v>México</v>
      </c>
    </row>
    <row r="840" spans="1:20" ht="16">
      <c r="A840" s="82">
        <v>46027</v>
      </c>
      <c r="B840" s="82" t="str">
        <f>+_xlfn.XLOOKUP(Tabla4[[#This Row],[ID CLIENTE]],'RESUMEN CLIENTES'!D:D,'RESUMEN CLIENTES'!A:A)</f>
        <v>Victor Emanuel Hernández Ruíz</v>
      </c>
      <c r="C840" s="215" t="s">
        <v>2141</v>
      </c>
      <c r="D840" s="83" t="s">
        <v>112</v>
      </c>
      <c r="E840" s="83" t="s">
        <v>1862</v>
      </c>
      <c r="F840" s="83" t="s">
        <v>1863</v>
      </c>
      <c r="G840" s="114">
        <v>224</v>
      </c>
      <c r="H840" s="85">
        <v>-7.53</v>
      </c>
      <c r="I840" s="115">
        <f t="shared" si="26"/>
        <v>3.3616071428571433E-2</v>
      </c>
      <c r="J840" s="87">
        <f t="shared" si="27"/>
        <v>216.47</v>
      </c>
      <c r="K840" s="87"/>
      <c r="L840" s="87" t="s">
        <v>4672</v>
      </c>
      <c r="M840" s="87"/>
      <c r="N840" s="524"/>
      <c r="O840" s="524">
        <f>+Tabla4[[#This Row],[PAGO NO EURO]]+Tabla4[[#This Row],[CARGO NO EURO]]</f>
        <v>0</v>
      </c>
      <c r="P840" s="524"/>
      <c r="Q840" s="155"/>
      <c r="R840" s="693">
        <f>+_xlfn.XLOOKUP(Tabla4[[#This Row],[ID CLIENTE]],'RESUMEN CLIENTES'!D:D,'RESUMEN CLIENTES'!G:G)</f>
        <v>45735</v>
      </c>
      <c r="S840" s="155" t="str">
        <f>+_xlfn.XLOOKUP(Tabla4[[#This Row],[ID CLIENTE]],'RESUMEN CLIENTES'!D:D,'RESUMEN CLIENTES'!AA:AA)</f>
        <v>B2.1</v>
      </c>
      <c r="T840" s="682" t="str">
        <f>+_xlfn.XLOOKUP(Tabla4[[#This Row],[ID CLIENTE]],'RESUMEN CLIENTES'!D:D,'RESUMEN CLIENTES'!C:C)</f>
        <v>México</v>
      </c>
    </row>
    <row r="841" spans="1:20" ht="16">
      <c r="A841" s="82">
        <v>46027</v>
      </c>
      <c r="B841" s="82" t="str">
        <f>+_xlfn.XLOOKUP(Tabla4[[#This Row],[ID CLIENTE]],'RESUMEN CLIENTES'!D:D,'RESUMEN CLIENTES'!A:A)</f>
        <v>Ian Job Lino Durán</v>
      </c>
      <c r="C841" s="215" t="s">
        <v>2135</v>
      </c>
      <c r="D841" s="83" t="s">
        <v>109</v>
      </c>
      <c r="E841" s="83" t="s">
        <v>1838</v>
      </c>
      <c r="F841" s="83" t="s">
        <v>1839</v>
      </c>
      <c r="G841" s="114">
        <v>950</v>
      </c>
      <c r="H841" s="85">
        <v>-31.13</v>
      </c>
      <c r="I841" s="115">
        <f t="shared" si="26"/>
        <v>3.2768421052631579E-2</v>
      </c>
      <c r="J841" s="87">
        <f t="shared" si="27"/>
        <v>918.87</v>
      </c>
      <c r="K841" s="87"/>
      <c r="L841" s="87" t="s">
        <v>4672</v>
      </c>
      <c r="M841" s="87"/>
      <c r="N841" s="524"/>
      <c r="O841" s="524">
        <f>+Tabla4[[#This Row],[PAGO NO EURO]]+Tabla4[[#This Row],[CARGO NO EURO]]</f>
        <v>0</v>
      </c>
      <c r="P841" s="524"/>
      <c r="Q841" s="155"/>
      <c r="R841" s="693">
        <f>+_xlfn.XLOOKUP(Tabla4[[#This Row],[ID CLIENTE]],'RESUMEN CLIENTES'!D:D,'RESUMEN CLIENTES'!G:G)</f>
        <v>45729</v>
      </c>
      <c r="S841" s="155" t="str">
        <f>+_xlfn.XLOOKUP(Tabla4[[#This Row],[ID CLIENTE]],'RESUMEN CLIENTES'!D:D,'RESUMEN CLIENTES'!AA:AA)</f>
        <v>B2.1</v>
      </c>
      <c r="T841" s="682" t="str">
        <f>+_xlfn.XLOOKUP(Tabla4[[#This Row],[ID CLIENTE]],'RESUMEN CLIENTES'!D:D,'RESUMEN CLIENTES'!C:C)</f>
        <v>México</v>
      </c>
    </row>
    <row r="842" spans="1:20" ht="16">
      <c r="A842" s="82">
        <v>46027</v>
      </c>
      <c r="B842" s="82" t="str">
        <f>+_xlfn.XLOOKUP(Tabla4[[#This Row],[ID CLIENTE]],'RESUMEN CLIENTES'!D:D,'RESUMEN CLIENTES'!A:A)</f>
        <v>Florencia Luján Sapia</v>
      </c>
      <c r="C842" s="215" t="s">
        <v>2393</v>
      </c>
      <c r="D842" s="83" t="s">
        <v>787</v>
      </c>
      <c r="E842" s="83" t="s">
        <v>1832</v>
      </c>
      <c r="F842" s="83" t="s">
        <v>1833</v>
      </c>
      <c r="G842" s="114">
        <v>600</v>
      </c>
      <c r="H842" s="85">
        <v>-19.75</v>
      </c>
      <c r="I842" s="115">
        <f t="shared" si="26"/>
        <v>3.2916666666666664E-2</v>
      </c>
      <c r="J842" s="87">
        <f t="shared" si="27"/>
        <v>580.25</v>
      </c>
      <c r="K842" s="87"/>
      <c r="L842" s="87" t="s">
        <v>4672</v>
      </c>
      <c r="M842" s="87"/>
      <c r="N842" s="524"/>
      <c r="O842" s="524">
        <f>+Tabla4[[#This Row],[PAGO NO EURO]]+Tabla4[[#This Row],[CARGO NO EURO]]</f>
        <v>0</v>
      </c>
      <c r="P842" s="524"/>
      <c r="Q842" s="155"/>
      <c r="R842" s="693">
        <f>+_xlfn.XLOOKUP(Tabla4[[#This Row],[ID CLIENTE]],'RESUMEN CLIENTES'!D:D,'RESUMEN CLIENTES'!G:G)</f>
        <v>45900</v>
      </c>
      <c r="S842" s="155" t="str">
        <f>+_xlfn.XLOOKUP(Tabla4[[#This Row],[ID CLIENTE]],'RESUMEN CLIENTES'!D:D,'RESUMEN CLIENTES'!AA:AA)</f>
        <v>A2.1</v>
      </c>
      <c r="T842" s="682" t="str">
        <f>+_xlfn.XLOOKUP(Tabla4[[#This Row],[ID CLIENTE]],'RESUMEN CLIENTES'!D:D,'RESUMEN CLIENTES'!C:C)</f>
        <v>Argentina</v>
      </c>
    </row>
    <row r="843" spans="1:20" ht="16">
      <c r="A843" s="82">
        <v>46027</v>
      </c>
      <c r="B843" s="82" t="str">
        <f>+_xlfn.XLOOKUP(Tabla4[[#This Row],[ID CLIENTE]],'RESUMEN CLIENTES'!D:D,'RESUMEN CLIENTES'!A:A)</f>
        <v>Juan Manuel Paranzino</v>
      </c>
      <c r="C843" s="215" t="s">
        <v>2391</v>
      </c>
      <c r="D843" s="83" t="s">
        <v>798</v>
      </c>
      <c r="E843" s="83" t="s">
        <v>1840</v>
      </c>
      <c r="F843" s="83" t="s">
        <v>1841</v>
      </c>
      <c r="G843" s="114">
        <f>+Tabla4[[#This Row],[PAGO NO EURO]]*Tabla4[[#This Row],[CAMBIO]]</f>
        <v>596.64595215799773</v>
      </c>
      <c r="H843" s="85">
        <f>+Tabla4[[#This Row],[CARGO NO EURO]]*Tabla4[[#This Row],[CAMBIO]]</f>
        <v>-19.647569592236312</v>
      </c>
      <c r="I843" s="115">
        <f t="shared" si="26"/>
        <v>3.2930030818399722E-2</v>
      </c>
      <c r="J843" s="87">
        <f t="shared" si="27"/>
        <v>576.9983825657614</v>
      </c>
      <c r="K843" s="87"/>
      <c r="L843" s="87" t="s">
        <v>4672</v>
      </c>
      <c r="M843" s="87" t="s">
        <v>2548</v>
      </c>
      <c r="N843" s="524">
        <v>700.88</v>
      </c>
      <c r="O843" s="524">
        <f>+Tabla4[[#This Row],[PAGO NO EURO]]+Tabla4[[#This Row],[CARGO NO EURO]]</f>
        <v>677.8</v>
      </c>
      <c r="P843" s="524">
        <v>-23.08</v>
      </c>
      <c r="Q843" s="155">
        <v>0.85128117817315052</v>
      </c>
      <c r="R843" s="693">
        <f>+_xlfn.XLOOKUP(Tabla4[[#This Row],[ID CLIENTE]],'RESUMEN CLIENTES'!D:D,'RESUMEN CLIENTES'!G:G)</f>
        <v>45900</v>
      </c>
      <c r="S843" s="155" t="str">
        <f>+_xlfn.XLOOKUP(Tabla4[[#This Row],[ID CLIENTE]],'RESUMEN CLIENTES'!D:D,'RESUMEN CLIENTES'!AA:AA)</f>
        <v>B1.1</v>
      </c>
      <c r="T843" s="682" t="str">
        <f>+_xlfn.XLOOKUP(Tabla4[[#This Row],[ID CLIENTE]],'RESUMEN CLIENTES'!D:D,'RESUMEN CLIENTES'!C:C)</f>
        <v>Argentina</v>
      </c>
    </row>
    <row r="844" spans="1:20" ht="16">
      <c r="A844" s="82">
        <v>46027</v>
      </c>
      <c r="B844" s="82" t="str">
        <f>+_xlfn.XLOOKUP(Tabla4[[#This Row],[ID CLIENTE]],'RESUMEN CLIENTES'!D:D,'RESUMEN CLIENTES'!A:A)</f>
        <v>Bryan Israel Jiménez Puente</v>
      </c>
      <c r="C844" s="215" t="s">
        <v>2434</v>
      </c>
      <c r="D844" s="83" t="s">
        <v>1206</v>
      </c>
      <c r="E844" s="83" t="s">
        <v>1824</v>
      </c>
      <c r="F844" s="83" t="s">
        <v>1825</v>
      </c>
      <c r="G844" s="114">
        <v>1000</v>
      </c>
      <c r="H844" s="85">
        <v>-52.29</v>
      </c>
      <c r="I844" s="115">
        <f t="shared" si="26"/>
        <v>5.2289999999999996E-2</v>
      </c>
      <c r="J844" s="87">
        <f t="shared" si="27"/>
        <v>947.71</v>
      </c>
      <c r="K844" s="87"/>
      <c r="L844" s="87" t="s">
        <v>4672</v>
      </c>
      <c r="M844" s="87"/>
      <c r="N844" s="524"/>
      <c r="O844" s="524">
        <f>+Tabla4[[#This Row],[PAGO NO EURO]]+Tabla4[[#This Row],[CARGO NO EURO]]</f>
        <v>0</v>
      </c>
      <c r="P844" s="524"/>
      <c r="Q844" s="155"/>
      <c r="R844" s="693">
        <f>+_xlfn.XLOOKUP(Tabla4[[#This Row],[ID CLIENTE]],'RESUMEN CLIENTES'!D:D,'RESUMEN CLIENTES'!G:G)</f>
        <v>45947</v>
      </c>
      <c r="S844" s="155" t="str">
        <f>+_xlfn.XLOOKUP(Tabla4[[#This Row],[ID CLIENTE]],'RESUMEN CLIENTES'!D:D,'RESUMEN CLIENTES'!AA:AA)</f>
        <v>A1.1</v>
      </c>
      <c r="T844" s="682" t="str">
        <f>+_xlfn.XLOOKUP(Tabla4[[#This Row],[ID CLIENTE]],'RESUMEN CLIENTES'!D:D,'RESUMEN CLIENTES'!C:C)</f>
        <v>Ecuador</v>
      </c>
    </row>
    <row r="845" spans="1:20" ht="16">
      <c r="A845" s="82">
        <v>46028</v>
      </c>
      <c r="B845" s="82" t="str">
        <f>+_xlfn.XLOOKUP(Tabla4[[#This Row],[ID CLIENTE]],'RESUMEN CLIENTES'!D:D,'RESUMEN CLIENTES'!A:A)</f>
        <v>Maira Paz Navas Sánchez</v>
      </c>
      <c r="C845" s="215" t="s">
        <v>2362</v>
      </c>
      <c r="D845" s="83" t="s">
        <v>703</v>
      </c>
      <c r="E845" s="83" t="s">
        <v>1846</v>
      </c>
      <c r="F845" s="83" t="s">
        <v>1847</v>
      </c>
      <c r="G845" s="114">
        <v>700</v>
      </c>
      <c r="H845" s="85">
        <v>-23</v>
      </c>
      <c r="I845" s="115">
        <f t="shared" si="26"/>
        <v>3.2857142857142856E-2</v>
      </c>
      <c r="J845" s="87">
        <f t="shared" si="27"/>
        <v>677</v>
      </c>
      <c r="K845" s="87"/>
      <c r="L845" s="87" t="s">
        <v>4672</v>
      </c>
      <c r="M845" s="87"/>
      <c r="N845" s="524"/>
      <c r="O845" s="524">
        <f>+Tabla4[[#This Row],[PAGO NO EURO]]+Tabla4[[#This Row],[CARGO NO EURO]]</f>
        <v>0</v>
      </c>
      <c r="P845" s="524"/>
      <c r="Q845" s="155"/>
      <c r="R845" s="693">
        <f>+_xlfn.XLOOKUP(Tabla4[[#This Row],[ID CLIENTE]],'RESUMEN CLIENTES'!D:D,'RESUMEN CLIENTES'!G:G)</f>
        <v>45888</v>
      </c>
      <c r="S845" s="155" t="str">
        <f>+_xlfn.XLOOKUP(Tabla4[[#This Row],[ID CLIENTE]],'RESUMEN CLIENTES'!D:D,'RESUMEN CLIENTES'!AA:AA)</f>
        <v>A1.1</v>
      </c>
      <c r="T845" s="682" t="str">
        <f>+_xlfn.XLOOKUP(Tabla4[[#This Row],[ID CLIENTE]],'RESUMEN CLIENTES'!D:D,'RESUMEN CLIENTES'!C:C)</f>
        <v>Chile</v>
      </c>
    </row>
    <row r="846" spans="1:20" ht="16">
      <c r="A846" s="82">
        <v>46028</v>
      </c>
      <c r="B846" s="82" t="str">
        <f>+_xlfn.XLOOKUP(Tabla4[[#This Row],[ID CLIENTE]],'RESUMEN CLIENTES'!D:D,'RESUMEN CLIENTES'!A:A)</f>
        <v>Luis Carlos Villa Cortés</v>
      </c>
      <c r="C846" s="215" t="s">
        <v>2406</v>
      </c>
      <c r="D846" s="83" t="s">
        <v>907</v>
      </c>
      <c r="E846" s="83" t="s">
        <v>1864</v>
      </c>
      <c r="F846" s="83" t="s">
        <v>1865</v>
      </c>
      <c r="G846" s="114">
        <v>1000</v>
      </c>
      <c r="H846" s="85">
        <v>-32.75</v>
      </c>
      <c r="I846" s="115">
        <f t="shared" si="26"/>
        <v>3.2750000000000001E-2</v>
      </c>
      <c r="J846" s="87">
        <f t="shared" si="27"/>
        <v>967.25</v>
      </c>
      <c r="K846" s="87"/>
      <c r="L846" s="87" t="s">
        <v>4672</v>
      </c>
      <c r="M846" s="87"/>
      <c r="N846" s="524"/>
      <c r="O846" s="524">
        <f>+Tabla4[[#This Row],[PAGO NO EURO]]+Tabla4[[#This Row],[CARGO NO EURO]]</f>
        <v>0</v>
      </c>
      <c r="P846" s="524"/>
      <c r="Q846" s="155"/>
      <c r="R846" s="693">
        <f>+_xlfn.XLOOKUP(Tabla4[[#This Row],[ID CLIENTE]],'RESUMEN CLIENTES'!D:D,'RESUMEN CLIENTES'!G:G)</f>
        <v>45906</v>
      </c>
      <c r="S846" s="155" t="str">
        <f>+_xlfn.XLOOKUP(Tabla4[[#This Row],[ID CLIENTE]],'RESUMEN CLIENTES'!D:D,'RESUMEN CLIENTES'!AA:AA)</f>
        <v>A1.1</v>
      </c>
      <c r="T846" s="682" t="str">
        <f>+_xlfn.XLOOKUP(Tabla4[[#This Row],[ID CLIENTE]],'RESUMEN CLIENTES'!D:D,'RESUMEN CLIENTES'!C:C)</f>
        <v>México</v>
      </c>
    </row>
    <row r="847" spans="1:20" ht="16">
      <c r="A847" s="82">
        <v>46028</v>
      </c>
      <c r="B847" s="82" t="str">
        <f>+_xlfn.XLOOKUP(Tabla4[[#This Row],[ID CLIENTE]],'RESUMEN CLIENTES'!D:D,'RESUMEN CLIENTES'!A:A)</f>
        <v>Paula Ida Elisa Saris Sommer</v>
      </c>
      <c r="C847" s="215" t="s">
        <v>2400</v>
      </c>
      <c r="D847" s="83" t="s">
        <v>855</v>
      </c>
      <c r="E847" s="83" t="s">
        <v>1711</v>
      </c>
      <c r="F847" s="83" t="s">
        <v>1712</v>
      </c>
      <c r="G847" s="114">
        <v>1000</v>
      </c>
      <c r="H847" s="85">
        <v>-32.75</v>
      </c>
      <c r="I847" s="115">
        <f t="shared" si="26"/>
        <v>3.2750000000000001E-2</v>
      </c>
      <c r="J847" s="87">
        <f t="shared" si="27"/>
        <v>967.25</v>
      </c>
      <c r="K847" s="87"/>
      <c r="L847" s="87" t="s">
        <v>4672</v>
      </c>
      <c r="M847" s="87"/>
      <c r="N847" s="524"/>
      <c r="O847" s="524">
        <f>+Tabla4[[#This Row],[PAGO NO EURO]]+Tabla4[[#This Row],[CARGO NO EURO]]</f>
        <v>0</v>
      </c>
      <c r="P847" s="524"/>
      <c r="Q847" s="155"/>
      <c r="R847" s="693">
        <f>+_xlfn.XLOOKUP(Tabla4[[#This Row],[ID CLIENTE]],'RESUMEN CLIENTES'!D:D,'RESUMEN CLIENTES'!G:G)</f>
        <v>45904</v>
      </c>
      <c r="S847" s="155" t="str">
        <f>+_xlfn.XLOOKUP(Tabla4[[#This Row],[ID CLIENTE]],'RESUMEN CLIENTES'!D:D,'RESUMEN CLIENTES'!AA:AA)</f>
        <v>A2.1</v>
      </c>
      <c r="T847" s="682" t="str">
        <f>+_xlfn.XLOOKUP(Tabla4[[#This Row],[ID CLIENTE]],'RESUMEN CLIENTES'!D:D,'RESUMEN CLIENTES'!C:C)</f>
        <v>Argentina</v>
      </c>
    </row>
    <row r="848" spans="1:20" ht="16">
      <c r="A848" s="82">
        <v>46028</v>
      </c>
      <c r="B848" s="82" t="str">
        <f>+_xlfn.XLOOKUP(Tabla4[[#This Row],[ID CLIENTE]],'RESUMEN CLIENTES'!D:D,'RESUMEN CLIENTES'!A:A)</f>
        <v>Yefry Onil Santana Marte</v>
      </c>
      <c r="C848" s="215" t="s">
        <v>2284</v>
      </c>
      <c r="D848" s="83" t="s">
        <v>447</v>
      </c>
      <c r="E848" s="83" t="s">
        <v>1816</v>
      </c>
      <c r="F848" s="83" t="s">
        <v>1817</v>
      </c>
      <c r="G848" s="114">
        <v>625</v>
      </c>
      <c r="H848" s="85">
        <v>-20.56</v>
      </c>
      <c r="I848" s="115">
        <f t="shared" si="26"/>
        <v>3.2895999999999995E-2</v>
      </c>
      <c r="J848" s="87">
        <f t="shared" si="27"/>
        <v>604.44000000000005</v>
      </c>
      <c r="K848" s="87"/>
      <c r="L848" s="87" t="s">
        <v>4672</v>
      </c>
      <c r="M848" s="87"/>
      <c r="N848" s="524"/>
      <c r="O848" s="524">
        <f>+Tabla4[[#This Row],[PAGO NO EURO]]+Tabla4[[#This Row],[CARGO NO EURO]]</f>
        <v>0</v>
      </c>
      <c r="P848" s="524"/>
      <c r="Q848" s="155"/>
      <c r="R848" s="693">
        <f>+_xlfn.XLOOKUP(Tabla4[[#This Row],[ID CLIENTE]],'RESUMEN CLIENTES'!D:D,'RESUMEN CLIENTES'!G:G)</f>
        <v>45845</v>
      </c>
      <c r="S848" s="155" t="str">
        <f>+_xlfn.XLOOKUP(Tabla4[[#This Row],[ID CLIENTE]],'RESUMEN CLIENTES'!D:D,'RESUMEN CLIENTES'!AA:AA)</f>
        <v>A1.1</v>
      </c>
      <c r="T848" s="682" t="str">
        <f>+_xlfn.XLOOKUP(Tabla4[[#This Row],[ID CLIENTE]],'RESUMEN CLIENTES'!D:D,'RESUMEN CLIENTES'!C:C)</f>
        <v>República Dominicana</v>
      </c>
    </row>
    <row r="849" spans="1:20" ht="16">
      <c r="A849" s="82">
        <v>46028</v>
      </c>
      <c r="B849" s="82" t="str">
        <f>+_xlfn.XLOOKUP(Tabla4[[#This Row],[ID CLIENTE]],'RESUMEN CLIENTES'!D:D,'RESUMEN CLIENTES'!A:A)</f>
        <v>Yefry Onil Santana Marte</v>
      </c>
      <c r="C849" s="215" t="s">
        <v>2284</v>
      </c>
      <c r="D849" s="83" t="s">
        <v>447</v>
      </c>
      <c r="E849" s="83" t="s">
        <v>1814</v>
      </c>
      <c r="F849" s="83" t="s">
        <v>1815</v>
      </c>
      <c r="G849" s="114">
        <v>625</v>
      </c>
      <c r="H849" s="85">
        <v>-20.56</v>
      </c>
      <c r="I849" s="115">
        <f t="shared" si="26"/>
        <v>3.2895999999999995E-2</v>
      </c>
      <c r="J849" s="87">
        <f t="shared" si="27"/>
        <v>604.44000000000005</v>
      </c>
      <c r="K849" s="87"/>
      <c r="L849" s="87" t="s">
        <v>4672</v>
      </c>
      <c r="M849" s="87"/>
      <c r="N849" s="524"/>
      <c r="O849" s="524">
        <f>+Tabla4[[#This Row],[PAGO NO EURO]]+Tabla4[[#This Row],[CARGO NO EURO]]</f>
        <v>0</v>
      </c>
      <c r="P849" s="524"/>
      <c r="Q849" s="155"/>
      <c r="R849" s="693">
        <f>+_xlfn.XLOOKUP(Tabla4[[#This Row],[ID CLIENTE]],'RESUMEN CLIENTES'!D:D,'RESUMEN CLIENTES'!G:G)</f>
        <v>45845</v>
      </c>
      <c r="S849" s="155" t="str">
        <f>+_xlfn.XLOOKUP(Tabla4[[#This Row],[ID CLIENTE]],'RESUMEN CLIENTES'!D:D,'RESUMEN CLIENTES'!AA:AA)</f>
        <v>A1.1</v>
      </c>
      <c r="T849" s="682" t="str">
        <f>+_xlfn.XLOOKUP(Tabla4[[#This Row],[ID CLIENTE]],'RESUMEN CLIENTES'!D:D,'RESUMEN CLIENTES'!C:C)</f>
        <v>República Dominicana</v>
      </c>
    </row>
    <row r="850" spans="1:20" ht="16">
      <c r="A850" s="82">
        <v>46028</v>
      </c>
      <c r="B850" s="82" t="str">
        <f>+_xlfn.XLOOKUP(Tabla4[[#This Row],[ID CLIENTE]],'RESUMEN CLIENTES'!D:D,'RESUMEN CLIENTES'!A:A)</f>
        <v>Yefry Onil Santana Marte</v>
      </c>
      <c r="C850" s="215" t="s">
        <v>2284</v>
      </c>
      <c r="D850" s="83" t="s">
        <v>447</v>
      </c>
      <c r="E850" s="83" t="s">
        <v>1812</v>
      </c>
      <c r="F850" s="83" t="s">
        <v>1813</v>
      </c>
      <c r="G850" s="114">
        <v>625</v>
      </c>
      <c r="H850" s="85">
        <v>-20.56</v>
      </c>
      <c r="I850" s="115">
        <f t="shared" si="26"/>
        <v>3.2895999999999995E-2</v>
      </c>
      <c r="J850" s="87">
        <f t="shared" si="27"/>
        <v>604.44000000000005</v>
      </c>
      <c r="K850" s="87"/>
      <c r="L850" s="87" t="s">
        <v>4672</v>
      </c>
      <c r="M850" s="87"/>
      <c r="N850" s="524"/>
      <c r="O850" s="524">
        <f>+Tabla4[[#This Row],[PAGO NO EURO]]+Tabla4[[#This Row],[CARGO NO EURO]]</f>
        <v>0</v>
      </c>
      <c r="P850" s="524"/>
      <c r="Q850" s="155"/>
      <c r="R850" s="693">
        <f>+_xlfn.XLOOKUP(Tabla4[[#This Row],[ID CLIENTE]],'RESUMEN CLIENTES'!D:D,'RESUMEN CLIENTES'!G:G)</f>
        <v>45845</v>
      </c>
      <c r="S850" s="155" t="str">
        <f>+_xlfn.XLOOKUP(Tabla4[[#This Row],[ID CLIENTE]],'RESUMEN CLIENTES'!D:D,'RESUMEN CLIENTES'!AA:AA)</f>
        <v>A1.1</v>
      </c>
      <c r="T850" s="682" t="str">
        <f>+_xlfn.XLOOKUP(Tabla4[[#This Row],[ID CLIENTE]],'RESUMEN CLIENTES'!D:D,'RESUMEN CLIENTES'!C:C)</f>
        <v>República Dominicana</v>
      </c>
    </row>
    <row r="851" spans="1:20" ht="16">
      <c r="A851" s="82">
        <v>46028</v>
      </c>
      <c r="B851" s="82" t="str">
        <f>+_xlfn.XLOOKUP(Tabla4[[#This Row],[ID CLIENTE]],'RESUMEN CLIENTES'!D:D,'RESUMEN CLIENTES'!A:A)</f>
        <v>Nadya Sofía García Carrasco</v>
      </c>
      <c r="C851" s="215" t="s">
        <v>2485</v>
      </c>
      <c r="D851" s="83" t="s">
        <v>1658</v>
      </c>
      <c r="E851" s="83" t="s">
        <v>1866</v>
      </c>
      <c r="F851" s="83" t="s">
        <v>1867</v>
      </c>
      <c r="G851" s="114">
        <v>2750</v>
      </c>
      <c r="H851" s="85">
        <v>-89.63</v>
      </c>
      <c r="I851" s="115">
        <f t="shared" si="26"/>
        <v>3.2592727272727273E-2</v>
      </c>
      <c r="J851" s="87">
        <f t="shared" si="27"/>
        <v>2660.37</v>
      </c>
      <c r="K851" s="87"/>
      <c r="L851" s="87" t="s">
        <v>4672</v>
      </c>
      <c r="M851" s="87"/>
      <c r="N851" s="524"/>
      <c r="O851" s="524">
        <f>+Tabla4[[#This Row],[PAGO NO EURO]]+Tabla4[[#This Row],[CARGO NO EURO]]</f>
        <v>0</v>
      </c>
      <c r="P851" s="524"/>
      <c r="Q851" s="155"/>
      <c r="R851" s="693">
        <f>+_xlfn.XLOOKUP(Tabla4[[#This Row],[ID CLIENTE]],'RESUMEN CLIENTES'!D:D,'RESUMEN CLIENTES'!G:G)</f>
        <v>46004</v>
      </c>
      <c r="S851" s="155" t="str">
        <f>+_xlfn.XLOOKUP(Tabla4[[#This Row],[ID CLIENTE]],'RESUMEN CLIENTES'!D:D,'RESUMEN CLIENTES'!AA:AA)</f>
        <v>A1.1</v>
      </c>
      <c r="T851" s="682" t="str">
        <f>+_xlfn.XLOOKUP(Tabla4[[#This Row],[ID CLIENTE]],'RESUMEN CLIENTES'!D:D,'RESUMEN CLIENTES'!C:C)</f>
        <v>Ecuador</v>
      </c>
    </row>
    <row r="852" spans="1:20" ht="16">
      <c r="A852" s="82">
        <v>46028</v>
      </c>
      <c r="B852" s="82" t="str">
        <f>+_xlfn.XLOOKUP(Tabla4[[#This Row],[ID CLIENTE]],'RESUMEN CLIENTES'!D:D,'RESUMEN CLIENTES'!A:A)</f>
        <v>María Fernanda Cid Ramírez</v>
      </c>
      <c r="C852" s="215" t="s">
        <v>2477</v>
      </c>
      <c r="D852" s="83" t="s">
        <v>1551</v>
      </c>
      <c r="E852" s="83" t="s">
        <v>1852</v>
      </c>
      <c r="F852" s="83" t="s">
        <v>1853</v>
      </c>
      <c r="G852" s="114">
        <v>850</v>
      </c>
      <c r="H852" s="85">
        <v>-27.88</v>
      </c>
      <c r="I852" s="115">
        <f t="shared" si="26"/>
        <v>3.2799999999999996E-2</v>
      </c>
      <c r="J852" s="87">
        <f t="shared" si="27"/>
        <v>822.12</v>
      </c>
      <c r="K852" s="87"/>
      <c r="L852" s="87" t="s">
        <v>4672</v>
      </c>
      <c r="M852" s="87"/>
      <c r="N852" s="524"/>
      <c r="O852" s="524">
        <f>+Tabla4[[#This Row],[PAGO NO EURO]]+Tabla4[[#This Row],[CARGO NO EURO]]</f>
        <v>0</v>
      </c>
      <c r="P852" s="524"/>
      <c r="Q852" s="155"/>
      <c r="R852" s="693">
        <f>+_xlfn.XLOOKUP(Tabla4[[#This Row],[ID CLIENTE]],'RESUMEN CLIENTES'!D:D,'RESUMEN CLIENTES'!G:G)</f>
        <v>45993</v>
      </c>
      <c r="S852" s="155" t="str">
        <f>+_xlfn.XLOOKUP(Tabla4[[#This Row],[ID CLIENTE]],'RESUMEN CLIENTES'!D:D,'RESUMEN CLIENTES'!AA:AA)</f>
        <v>-</v>
      </c>
      <c r="T852" s="682" t="str">
        <f>+_xlfn.XLOOKUP(Tabla4[[#This Row],[ID CLIENTE]],'RESUMEN CLIENTES'!D:D,'RESUMEN CLIENTES'!C:C)</f>
        <v>México</v>
      </c>
    </row>
    <row r="853" spans="1:20" ht="16">
      <c r="A853" s="82">
        <v>46028</v>
      </c>
      <c r="B853" s="82" t="str">
        <f>+_xlfn.XLOOKUP(Tabla4[[#This Row],[ID CLIENTE]],'RESUMEN CLIENTES'!D:D,'RESUMEN CLIENTES'!A:A)</f>
        <v>Rodrigo Rivera Ruiz</v>
      </c>
      <c r="C853" s="215" t="s">
        <v>2170</v>
      </c>
      <c r="D853" s="83" t="s">
        <v>159</v>
      </c>
      <c r="E853" s="83" t="s">
        <v>1858</v>
      </c>
      <c r="F853" s="83" t="s">
        <v>1859</v>
      </c>
      <c r="G853" s="114">
        <v>1000</v>
      </c>
      <c r="H853" s="85">
        <v>-32.75</v>
      </c>
      <c r="I853" s="115">
        <f t="shared" ref="I853:I916" si="28">+IFERROR(-(H853)/G853,"")</f>
        <v>3.2750000000000001E-2</v>
      </c>
      <c r="J853" s="87">
        <f t="shared" ref="J853:J916" si="29">+G853+H853</f>
        <v>967.25</v>
      </c>
      <c r="K853" s="87"/>
      <c r="L853" s="87" t="s">
        <v>4672</v>
      </c>
      <c r="M853" s="87"/>
      <c r="N853" s="524"/>
      <c r="O853" s="524">
        <f>+Tabla4[[#This Row],[PAGO NO EURO]]+Tabla4[[#This Row],[CARGO NO EURO]]</f>
        <v>0</v>
      </c>
      <c r="P853" s="524"/>
      <c r="Q853" s="155"/>
      <c r="R853" s="693">
        <f>+_xlfn.XLOOKUP(Tabla4[[#This Row],[ID CLIENTE]],'RESUMEN CLIENTES'!D:D,'RESUMEN CLIENTES'!G:G)</f>
        <v>45757</v>
      </c>
      <c r="S853" s="155" t="str">
        <f>+_xlfn.XLOOKUP(Tabla4[[#This Row],[ID CLIENTE]],'RESUMEN CLIENTES'!D:D,'RESUMEN CLIENTES'!AA:AA)</f>
        <v>A1.1</v>
      </c>
      <c r="T853" s="682" t="str">
        <f>+_xlfn.XLOOKUP(Tabla4[[#This Row],[ID CLIENTE]],'RESUMEN CLIENTES'!D:D,'RESUMEN CLIENTES'!C:C)</f>
        <v>Chile</v>
      </c>
    </row>
    <row r="854" spans="1:20" ht="16">
      <c r="A854" s="82">
        <v>46028</v>
      </c>
      <c r="B854" s="82" t="str">
        <f>+_xlfn.XLOOKUP(Tabla4[[#This Row],[ID CLIENTE]],'RESUMEN CLIENTES'!D:D,'RESUMEN CLIENTES'!A:A)</f>
        <v>Angel Andres Velastegui Huebla</v>
      </c>
      <c r="C854" s="215" t="s">
        <v>2453</v>
      </c>
      <c r="D854" s="83" t="s">
        <v>1357</v>
      </c>
      <c r="E854" s="83" t="s">
        <v>1820</v>
      </c>
      <c r="F854" s="83" t="s">
        <v>1821</v>
      </c>
      <c r="G854" s="114">
        <v>3700</v>
      </c>
      <c r="H854" s="85">
        <v>-120.5</v>
      </c>
      <c r="I854" s="115">
        <f t="shared" si="28"/>
        <v>3.2567567567567568E-2</v>
      </c>
      <c r="J854" s="87">
        <f t="shared" si="29"/>
        <v>3579.5</v>
      </c>
      <c r="K854" s="87"/>
      <c r="L854" s="87" t="s">
        <v>4672</v>
      </c>
      <c r="M854" s="87"/>
      <c r="N854" s="524"/>
      <c r="O854" s="524">
        <f>+Tabla4[[#This Row],[PAGO NO EURO]]+Tabla4[[#This Row],[CARGO NO EURO]]</f>
        <v>0</v>
      </c>
      <c r="P854" s="524"/>
      <c r="Q854" s="155"/>
      <c r="R854" s="693">
        <f>+_xlfn.XLOOKUP(Tabla4[[#This Row],[ID CLIENTE]],'RESUMEN CLIENTES'!D:D,'RESUMEN CLIENTES'!G:G)</f>
        <v>45967</v>
      </c>
      <c r="S854" s="155" t="str">
        <f>+_xlfn.XLOOKUP(Tabla4[[#This Row],[ID CLIENTE]],'RESUMEN CLIENTES'!D:D,'RESUMEN CLIENTES'!AA:AA)</f>
        <v>A1.1</v>
      </c>
      <c r="T854" s="682" t="str">
        <f>+_xlfn.XLOOKUP(Tabla4[[#This Row],[ID CLIENTE]],'RESUMEN CLIENTES'!D:D,'RESUMEN CLIENTES'!C:C)</f>
        <v>Ecuador</v>
      </c>
    </row>
    <row r="855" spans="1:20" ht="16">
      <c r="A855" s="82">
        <v>46029</v>
      </c>
      <c r="B855" s="82" t="str">
        <f>+_xlfn.XLOOKUP(Tabla4[[#This Row],[ID CLIENTE]],'RESUMEN CLIENTES'!D:D,'RESUMEN CLIENTES'!A:A)</f>
        <v>Mario Arciga Casián</v>
      </c>
      <c r="C855" s="215" t="s">
        <v>2428</v>
      </c>
      <c r="D855" s="83" t="s">
        <v>1155</v>
      </c>
      <c r="E855" s="83" t="s">
        <v>1854</v>
      </c>
      <c r="F855" s="83" t="s">
        <v>1855</v>
      </c>
      <c r="G855" s="114">
        <v>1000</v>
      </c>
      <c r="H855" s="85">
        <v>-32.75</v>
      </c>
      <c r="I855" s="115">
        <f t="shared" si="28"/>
        <v>3.2750000000000001E-2</v>
      </c>
      <c r="J855" s="87">
        <f t="shared" si="29"/>
        <v>967.25</v>
      </c>
      <c r="K855" s="87"/>
      <c r="L855" s="87" t="s">
        <v>4672</v>
      </c>
      <c r="M855" s="87"/>
      <c r="N855" s="524"/>
      <c r="O855" s="524">
        <f>+Tabla4[[#This Row],[PAGO NO EURO]]+Tabla4[[#This Row],[CARGO NO EURO]]</f>
        <v>0</v>
      </c>
      <c r="P855" s="524"/>
      <c r="Q855" s="155"/>
      <c r="R855" s="693">
        <f>+_xlfn.XLOOKUP(Tabla4[[#This Row],[ID CLIENTE]],'RESUMEN CLIENTES'!D:D,'RESUMEN CLIENTES'!G:G)</f>
        <v>45939</v>
      </c>
      <c r="S855" s="155" t="str">
        <f>+_xlfn.XLOOKUP(Tabla4[[#This Row],[ID CLIENTE]],'RESUMEN CLIENTES'!D:D,'RESUMEN CLIENTES'!AA:AA)</f>
        <v>A1 komplett</v>
      </c>
      <c r="T855" s="682" t="str">
        <f>+_xlfn.XLOOKUP(Tabla4[[#This Row],[ID CLIENTE]],'RESUMEN CLIENTES'!D:D,'RESUMEN CLIENTES'!C:C)</f>
        <v>México</v>
      </c>
    </row>
    <row r="856" spans="1:20" ht="16">
      <c r="A856" s="82">
        <v>46029</v>
      </c>
      <c r="B856" s="82" t="str">
        <f>+_xlfn.XLOOKUP(Tabla4[[#This Row],[ID CLIENTE]],'RESUMEN CLIENTES'!D:D,'RESUMEN CLIENTES'!A:A)</f>
        <v>Paula Ida Elisa Saris Sommer</v>
      </c>
      <c r="C856" s="215" t="s">
        <v>2400</v>
      </c>
      <c r="D856" s="83" t="s">
        <v>855</v>
      </c>
      <c r="E856" s="83" t="s">
        <v>1713</v>
      </c>
      <c r="F856" s="83" t="s">
        <v>1714</v>
      </c>
      <c r="G856" s="114">
        <v>1000</v>
      </c>
      <c r="H856" s="85">
        <v>-32.75</v>
      </c>
      <c r="I856" s="115">
        <f t="shared" si="28"/>
        <v>3.2750000000000001E-2</v>
      </c>
      <c r="J856" s="87">
        <f t="shared" si="29"/>
        <v>967.25</v>
      </c>
      <c r="K856" s="87"/>
      <c r="L856" s="87" t="s">
        <v>4672</v>
      </c>
      <c r="M856" s="87"/>
      <c r="N856" s="524"/>
      <c r="O856" s="524">
        <f>+Tabla4[[#This Row],[PAGO NO EURO]]+Tabla4[[#This Row],[CARGO NO EURO]]</f>
        <v>0</v>
      </c>
      <c r="P856" s="524"/>
      <c r="Q856" s="155"/>
      <c r="R856" s="693">
        <f>+_xlfn.XLOOKUP(Tabla4[[#This Row],[ID CLIENTE]],'RESUMEN CLIENTES'!D:D,'RESUMEN CLIENTES'!G:G)</f>
        <v>45904</v>
      </c>
      <c r="S856" s="155" t="str">
        <f>+_xlfn.XLOOKUP(Tabla4[[#This Row],[ID CLIENTE]],'RESUMEN CLIENTES'!D:D,'RESUMEN CLIENTES'!AA:AA)</f>
        <v>A2.1</v>
      </c>
      <c r="T856" s="682" t="str">
        <f>+_xlfn.XLOOKUP(Tabla4[[#This Row],[ID CLIENTE]],'RESUMEN CLIENTES'!D:D,'RESUMEN CLIENTES'!C:C)</f>
        <v>Argentina</v>
      </c>
    </row>
    <row r="857" spans="1:20" ht="16">
      <c r="A857" s="82">
        <v>46029</v>
      </c>
      <c r="B857" s="82" t="str">
        <f>+_xlfn.XLOOKUP(Tabla4[[#This Row],[ID CLIENTE]],'RESUMEN CLIENTES'!D:D,'RESUMEN CLIENTES'!A:A)</f>
        <v>Berenisse Shadia Yarango Garay</v>
      </c>
      <c r="C857" s="215" t="s">
        <v>2497</v>
      </c>
      <c r="D857" s="83" t="s">
        <v>1870</v>
      </c>
      <c r="E857" s="83" t="s">
        <v>1871</v>
      </c>
      <c r="F857" s="83" t="s">
        <v>1872</v>
      </c>
      <c r="G857" s="114">
        <v>250</v>
      </c>
      <c r="H857" s="85">
        <v>-8.3800000000000008</v>
      </c>
      <c r="I857" s="115">
        <f t="shared" si="28"/>
        <v>3.3520000000000001E-2</v>
      </c>
      <c r="J857" s="87">
        <f t="shared" si="29"/>
        <v>241.62</v>
      </c>
      <c r="K857" s="87"/>
      <c r="L857" s="87" t="s">
        <v>4672</v>
      </c>
      <c r="M857" s="87"/>
      <c r="N857" s="524"/>
      <c r="O857" s="524">
        <f>+Tabla4[[#This Row],[PAGO NO EURO]]+Tabla4[[#This Row],[CARGO NO EURO]]</f>
        <v>0</v>
      </c>
      <c r="P857" s="524"/>
      <c r="Q857" s="155"/>
      <c r="R857" s="693">
        <f>+_xlfn.XLOOKUP(Tabla4[[#This Row],[ID CLIENTE]],'RESUMEN CLIENTES'!D:D,'RESUMEN CLIENTES'!G:G)</f>
        <v>46029</v>
      </c>
      <c r="S857" s="155" t="str">
        <f>+_xlfn.XLOOKUP(Tabla4[[#This Row],[ID CLIENTE]],'RESUMEN CLIENTES'!D:D,'RESUMEN CLIENTES'!AA:AA)</f>
        <v>A1.1</v>
      </c>
      <c r="T857" s="682" t="str">
        <f>+_xlfn.XLOOKUP(Tabla4[[#This Row],[ID CLIENTE]],'RESUMEN CLIENTES'!D:D,'RESUMEN CLIENTES'!C:C)</f>
        <v>Perú</v>
      </c>
    </row>
    <row r="858" spans="1:20" ht="16">
      <c r="A858" s="82">
        <v>46030</v>
      </c>
      <c r="B858" s="82" t="str">
        <f>+_xlfn.XLOOKUP(Tabla4[[#This Row],[ID CLIENTE]],'RESUMEN CLIENTES'!D:D,'RESUMEN CLIENTES'!A:A)</f>
        <v>Paula Ida Elisa Saris Sommer</v>
      </c>
      <c r="C858" s="215" t="s">
        <v>2400</v>
      </c>
      <c r="D858" s="83" t="s">
        <v>855</v>
      </c>
      <c r="E858" s="83" t="s">
        <v>1715</v>
      </c>
      <c r="F858" s="83" t="s">
        <v>1716</v>
      </c>
      <c r="G858" s="114">
        <v>1000</v>
      </c>
      <c r="H858" s="85">
        <v>-32.75</v>
      </c>
      <c r="I858" s="115">
        <f t="shared" si="28"/>
        <v>3.2750000000000001E-2</v>
      </c>
      <c r="J858" s="87">
        <f t="shared" si="29"/>
        <v>967.25</v>
      </c>
      <c r="K858" s="87"/>
      <c r="L858" s="87" t="s">
        <v>4672</v>
      </c>
      <c r="M858" s="87"/>
      <c r="N858" s="524"/>
      <c r="O858" s="524">
        <f>+Tabla4[[#This Row],[PAGO NO EURO]]+Tabla4[[#This Row],[CARGO NO EURO]]</f>
        <v>0</v>
      </c>
      <c r="P858" s="524"/>
      <c r="Q858" s="155"/>
      <c r="R858" s="693">
        <f>+_xlfn.XLOOKUP(Tabla4[[#This Row],[ID CLIENTE]],'RESUMEN CLIENTES'!D:D,'RESUMEN CLIENTES'!G:G)</f>
        <v>45904</v>
      </c>
      <c r="S858" s="155" t="str">
        <f>+_xlfn.XLOOKUP(Tabla4[[#This Row],[ID CLIENTE]],'RESUMEN CLIENTES'!D:D,'RESUMEN CLIENTES'!AA:AA)</f>
        <v>A2.1</v>
      </c>
      <c r="T858" s="682" t="str">
        <f>+_xlfn.XLOOKUP(Tabla4[[#This Row],[ID CLIENTE]],'RESUMEN CLIENTES'!D:D,'RESUMEN CLIENTES'!C:C)</f>
        <v>Argentina</v>
      </c>
    </row>
    <row r="859" spans="1:20" ht="16">
      <c r="A859" s="82">
        <v>46030</v>
      </c>
      <c r="B859" s="82" t="str">
        <f>+_xlfn.XLOOKUP(Tabla4[[#This Row],[ID CLIENTE]],'RESUMEN CLIENTES'!D:D,'RESUMEN CLIENTES'!A:A)</f>
        <v>Diego Alonso Salazar Palacios</v>
      </c>
      <c r="C859" s="215" t="s">
        <v>2216</v>
      </c>
      <c r="D859" s="83" t="s">
        <v>253</v>
      </c>
      <c r="E859" s="83" t="s">
        <v>1873</v>
      </c>
      <c r="F859" s="83" t="s">
        <v>1874</v>
      </c>
      <c r="G859" s="114">
        <v>1000</v>
      </c>
      <c r="H859" s="85">
        <v>-32.75</v>
      </c>
      <c r="I859" s="115">
        <f t="shared" si="28"/>
        <v>3.2750000000000001E-2</v>
      </c>
      <c r="J859" s="87">
        <f t="shared" si="29"/>
        <v>967.25</v>
      </c>
      <c r="K859" s="87"/>
      <c r="L859" s="87" t="s">
        <v>4672</v>
      </c>
      <c r="M859" s="87"/>
      <c r="N859" s="524"/>
      <c r="O859" s="524">
        <f>+Tabla4[[#This Row],[PAGO NO EURO]]+Tabla4[[#This Row],[CARGO NO EURO]]</f>
        <v>0</v>
      </c>
      <c r="P859" s="524"/>
      <c r="Q859" s="155"/>
      <c r="R859" s="693">
        <f>+_xlfn.XLOOKUP(Tabla4[[#This Row],[ID CLIENTE]],'RESUMEN CLIENTES'!D:D,'RESUMEN CLIENTES'!G:G)</f>
        <v>45803</v>
      </c>
      <c r="S859" s="155" t="str">
        <f>+_xlfn.XLOOKUP(Tabla4[[#This Row],[ID CLIENTE]],'RESUMEN CLIENTES'!D:D,'RESUMEN CLIENTES'!AA:AA)</f>
        <v>A1.1</v>
      </c>
      <c r="T859" s="682" t="str">
        <f>+_xlfn.XLOOKUP(Tabla4[[#This Row],[ID CLIENTE]],'RESUMEN CLIENTES'!D:D,'RESUMEN CLIENTES'!C:C)</f>
        <v>Perú</v>
      </c>
    </row>
    <row r="860" spans="1:20" ht="16">
      <c r="A860" s="82">
        <v>46030</v>
      </c>
      <c r="B860" s="82" t="str">
        <f>+_xlfn.XLOOKUP(Tabla4[[#This Row],[ID CLIENTE]],'RESUMEN CLIENTES'!D:D,'RESUMEN CLIENTES'!A:A)</f>
        <v>Paola Hitos</v>
      </c>
      <c r="C860" s="215" t="s">
        <v>2288</v>
      </c>
      <c r="D860" s="83" t="s">
        <v>455</v>
      </c>
      <c r="E860" s="83" t="s">
        <v>1893</v>
      </c>
      <c r="F860" s="83" t="s">
        <v>1894</v>
      </c>
      <c r="G860" s="114">
        <v>1000</v>
      </c>
      <c r="H860" s="85">
        <v>-32.75</v>
      </c>
      <c r="I860" s="115">
        <f t="shared" si="28"/>
        <v>3.2750000000000001E-2</v>
      </c>
      <c r="J860" s="87">
        <f t="shared" si="29"/>
        <v>967.25</v>
      </c>
      <c r="K860" s="87"/>
      <c r="L860" s="87" t="s">
        <v>4672</v>
      </c>
      <c r="M860" s="87"/>
      <c r="N860" s="524"/>
      <c r="O860" s="524">
        <f>+Tabla4[[#This Row],[PAGO NO EURO]]+Tabla4[[#This Row],[CARGO NO EURO]]</f>
        <v>0</v>
      </c>
      <c r="P860" s="524"/>
      <c r="Q860" s="155"/>
      <c r="R860" s="693">
        <f>+_xlfn.XLOOKUP(Tabla4[[#This Row],[ID CLIENTE]],'RESUMEN CLIENTES'!D:D,'RESUMEN CLIENTES'!G:G)</f>
        <v>45846</v>
      </c>
      <c r="S860" s="155" t="str">
        <f>+_xlfn.XLOOKUP(Tabla4[[#This Row],[ID CLIENTE]],'RESUMEN CLIENTES'!D:D,'RESUMEN CLIENTES'!AA:AA)</f>
        <v>A1.1</v>
      </c>
      <c r="T860" s="682" t="str">
        <f>+_xlfn.XLOOKUP(Tabla4[[#This Row],[ID CLIENTE]],'RESUMEN CLIENTES'!D:D,'RESUMEN CLIENTES'!C:C)</f>
        <v>México</v>
      </c>
    </row>
    <row r="861" spans="1:20" ht="16">
      <c r="A861" s="82">
        <v>46030</v>
      </c>
      <c r="B861" s="82" t="str">
        <f>+_xlfn.XLOOKUP(Tabla4[[#This Row],[ID CLIENTE]],'RESUMEN CLIENTES'!D:D,'RESUMEN CLIENTES'!A:A)</f>
        <v>Javier Bravo Castelo</v>
      </c>
      <c r="C861" s="215" t="s">
        <v>2463</v>
      </c>
      <c r="D861" s="83" t="s">
        <v>1428</v>
      </c>
      <c r="E861" s="83" t="s">
        <v>1884</v>
      </c>
      <c r="F861" s="83" t="s">
        <v>1885</v>
      </c>
      <c r="G861" s="114">
        <v>6100</v>
      </c>
      <c r="H861" s="85">
        <v>-198.5</v>
      </c>
      <c r="I861" s="115">
        <f t="shared" si="28"/>
        <v>3.2540983606557376E-2</v>
      </c>
      <c r="J861" s="87">
        <f t="shared" si="29"/>
        <v>5901.5</v>
      </c>
      <c r="K861" s="87"/>
      <c r="L861" s="87" t="s">
        <v>4672</v>
      </c>
      <c r="M861" s="87"/>
      <c r="N861" s="524"/>
      <c r="O861" s="524">
        <f>+Tabla4[[#This Row],[PAGO NO EURO]]+Tabla4[[#This Row],[CARGO NO EURO]]</f>
        <v>0</v>
      </c>
      <c r="P861" s="524"/>
      <c r="Q861" s="155"/>
      <c r="R861" s="693">
        <f>+_xlfn.XLOOKUP(Tabla4[[#This Row],[ID CLIENTE]],'RESUMEN CLIENTES'!D:D,'RESUMEN CLIENTES'!G:G)</f>
        <v>45981</v>
      </c>
      <c r="S861" s="155" t="str">
        <f>+_xlfn.XLOOKUP(Tabla4[[#This Row],[ID CLIENTE]],'RESUMEN CLIENTES'!D:D,'RESUMEN CLIENTES'!AA:AA)</f>
        <v>null</v>
      </c>
      <c r="T861" s="682" t="str">
        <f>+_xlfn.XLOOKUP(Tabla4[[#This Row],[ID CLIENTE]],'RESUMEN CLIENTES'!D:D,'RESUMEN CLIENTES'!C:C)</f>
        <v>Colombia</v>
      </c>
    </row>
    <row r="862" spans="1:20" ht="16">
      <c r="A862" s="82">
        <v>46031</v>
      </c>
      <c r="B862" s="82" t="str">
        <f>+_xlfn.XLOOKUP(Tabla4[[#This Row],[ID CLIENTE]],'RESUMEN CLIENTES'!D:D,'RESUMEN CLIENTES'!A:A)</f>
        <v>Ricardo Ernesto Miño Valencia</v>
      </c>
      <c r="C862" s="215" t="s">
        <v>2426</v>
      </c>
      <c r="D862" s="83" t="s">
        <v>1152</v>
      </c>
      <c r="E862" s="83" t="s">
        <v>1868</v>
      </c>
      <c r="F862" s="83" t="s">
        <v>1869</v>
      </c>
      <c r="G862" s="114">
        <f>+Tabla4[[#This Row],[PAGO NO EURO]]*Tabla4[[#This Row],[CAMBIO]]</f>
        <v>714.2249084872733</v>
      </c>
      <c r="H862" s="85">
        <f>+Tabla4[[#This Row],[CARGO NO EURO]]*Tabla4[[#This Row],[CAMBIO]]</f>
        <v>-19.485826168383415</v>
      </c>
      <c r="I862" s="115">
        <f t="shared" si="28"/>
        <v>2.7282479141835517E-2</v>
      </c>
      <c r="J862" s="87">
        <f t="shared" si="29"/>
        <v>694.73908231888993</v>
      </c>
      <c r="K862" s="87"/>
      <c r="L862" s="87" t="s">
        <v>4672</v>
      </c>
      <c r="M862" s="87" t="s">
        <v>2548</v>
      </c>
      <c r="N862" s="524">
        <v>839</v>
      </c>
      <c r="O862" s="524">
        <f>+Tabla4[[#This Row],[PAGO NO EURO]]+Tabla4[[#This Row],[CARGO NO EURO]]</f>
        <v>816.11</v>
      </c>
      <c r="P862" s="524">
        <v>-22.89</v>
      </c>
      <c r="Q862" s="155">
        <v>0.85128117817315052</v>
      </c>
      <c r="R862" s="693">
        <f>+_xlfn.XLOOKUP(Tabla4[[#This Row],[ID CLIENTE]],'RESUMEN CLIENTES'!D:D,'RESUMEN CLIENTES'!G:G)</f>
        <v>45938</v>
      </c>
      <c r="S862" s="155" t="str">
        <f>+_xlfn.XLOOKUP(Tabla4[[#This Row],[ID CLIENTE]],'RESUMEN CLIENTES'!D:D,'RESUMEN CLIENTES'!AA:AA)</f>
        <v>A1.1</v>
      </c>
      <c r="T862" s="682" t="str">
        <f>+_xlfn.XLOOKUP(Tabla4[[#This Row],[ID CLIENTE]],'RESUMEN CLIENTES'!D:D,'RESUMEN CLIENTES'!C:C)</f>
        <v>Ecuador</v>
      </c>
    </row>
    <row r="863" spans="1:20" ht="16">
      <c r="A863" s="82">
        <v>46031</v>
      </c>
      <c r="B863" s="82" t="str">
        <f>+_xlfn.XLOOKUP(Tabla4[[#This Row],[ID CLIENTE]],'RESUMEN CLIENTES'!D:D,'RESUMEN CLIENTES'!A:A)</f>
        <v>Paulina Alejandra Silva Gómez</v>
      </c>
      <c r="C863" s="215" t="s">
        <v>2499</v>
      </c>
      <c r="D863" s="83" t="s">
        <v>1881</v>
      </c>
      <c r="E863" s="83" t="s">
        <v>1882</v>
      </c>
      <c r="F863" s="83" t="s">
        <v>1883</v>
      </c>
      <c r="G863" s="114">
        <v>250</v>
      </c>
      <c r="H863" s="85">
        <v>-8.3800000000000008</v>
      </c>
      <c r="I863" s="115">
        <f t="shared" si="28"/>
        <v>3.3520000000000001E-2</v>
      </c>
      <c r="J863" s="87">
        <f t="shared" si="29"/>
        <v>241.62</v>
      </c>
      <c r="K863" s="87"/>
      <c r="L863" s="87" t="s">
        <v>4672</v>
      </c>
      <c r="M863" s="87"/>
      <c r="N863" s="524"/>
      <c r="O863" s="524">
        <f>+Tabla4[[#This Row],[PAGO NO EURO]]+Tabla4[[#This Row],[CARGO NO EURO]]</f>
        <v>0</v>
      </c>
      <c r="P863" s="524"/>
      <c r="Q863" s="155"/>
      <c r="R863" s="693">
        <f>+_xlfn.XLOOKUP(Tabla4[[#This Row],[ID CLIENTE]],'RESUMEN CLIENTES'!D:D,'RESUMEN CLIENTES'!G:G)</f>
        <v>46031</v>
      </c>
      <c r="S863" s="155" t="str">
        <f>+_xlfn.XLOOKUP(Tabla4[[#This Row],[ID CLIENTE]],'RESUMEN CLIENTES'!D:D,'RESUMEN CLIENTES'!AA:AA)</f>
        <v>-</v>
      </c>
      <c r="T863" s="682" t="str">
        <f>+_xlfn.XLOOKUP(Tabla4[[#This Row],[ID CLIENTE]],'RESUMEN CLIENTES'!D:D,'RESUMEN CLIENTES'!C:C)</f>
        <v>Chile</v>
      </c>
    </row>
    <row r="864" spans="1:20" ht="16">
      <c r="A864" s="82">
        <v>46032</v>
      </c>
      <c r="B864" s="82" t="str">
        <f>+_xlfn.XLOOKUP(Tabla4[[#This Row],[ID CLIENTE]],'RESUMEN CLIENTES'!D:D,'RESUMEN CLIENTES'!A:A)</f>
        <v>Gerardo Abel Palacios Preciado</v>
      </c>
      <c r="C864" s="215" t="s">
        <v>2483</v>
      </c>
      <c r="D864" s="83" t="s">
        <v>1645</v>
      </c>
      <c r="E864" s="83" t="s">
        <v>1879</v>
      </c>
      <c r="F864" s="83" t="s">
        <v>1880</v>
      </c>
      <c r="G864" s="114">
        <v>650</v>
      </c>
      <c r="H864" s="85">
        <v>-21.38</v>
      </c>
      <c r="I864" s="115">
        <f t="shared" si="28"/>
        <v>3.2892307692307693E-2</v>
      </c>
      <c r="J864" s="87">
        <f t="shared" si="29"/>
        <v>628.62</v>
      </c>
      <c r="K864" s="87"/>
      <c r="L864" s="87" t="s">
        <v>4672</v>
      </c>
      <c r="M864" s="87"/>
      <c r="N864" s="524"/>
      <c r="O864" s="524">
        <f>+Tabla4[[#This Row],[PAGO NO EURO]]+Tabla4[[#This Row],[CARGO NO EURO]]</f>
        <v>0</v>
      </c>
      <c r="P864" s="524"/>
      <c r="Q864" s="155"/>
      <c r="R864" s="693">
        <f>+_xlfn.XLOOKUP(Tabla4[[#This Row],[ID CLIENTE]],'RESUMEN CLIENTES'!D:D,'RESUMEN CLIENTES'!G:G)</f>
        <v>45999</v>
      </c>
      <c r="S864" s="155" t="str">
        <f>+_xlfn.XLOOKUP(Tabla4[[#This Row],[ID CLIENTE]],'RESUMEN CLIENTES'!D:D,'RESUMEN CLIENTES'!AA:AA)</f>
        <v>A1.1</v>
      </c>
      <c r="T864" s="682" t="str">
        <f>+_xlfn.XLOOKUP(Tabla4[[#This Row],[ID CLIENTE]],'RESUMEN CLIENTES'!D:D,'RESUMEN CLIENTES'!C:C)</f>
        <v>México</v>
      </c>
    </row>
    <row r="865" spans="1:20" ht="16">
      <c r="A865" s="82">
        <v>46032</v>
      </c>
      <c r="B865" s="82" t="str">
        <f>+_xlfn.XLOOKUP(Tabla4[[#This Row],[ID CLIENTE]],'RESUMEN CLIENTES'!D:D,'RESUMEN CLIENTES'!A:A)</f>
        <v>María de los Ángeles Gutiérrez Quevedo</v>
      </c>
      <c r="C865" s="215" t="s">
        <v>2233</v>
      </c>
      <c r="D865" s="83" t="s">
        <v>274</v>
      </c>
      <c r="E865" s="83" t="s">
        <v>1891</v>
      </c>
      <c r="F865" s="83" t="s">
        <v>1892</v>
      </c>
      <c r="G865" s="114">
        <v>1500</v>
      </c>
      <c r="H865" s="85">
        <v>-49</v>
      </c>
      <c r="I865" s="115">
        <f t="shared" si="28"/>
        <v>3.2666666666666663E-2</v>
      </c>
      <c r="J865" s="87">
        <f t="shared" si="29"/>
        <v>1451</v>
      </c>
      <c r="K865" s="87"/>
      <c r="L865" s="87" t="s">
        <v>4672</v>
      </c>
      <c r="M865" s="87"/>
      <c r="N865" s="524"/>
      <c r="O865" s="524">
        <f>+Tabla4[[#This Row],[PAGO NO EURO]]+Tabla4[[#This Row],[CARGO NO EURO]]</f>
        <v>0</v>
      </c>
      <c r="P865" s="524"/>
      <c r="Q865" s="155"/>
      <c r="R865" s="693">
        <f>+_xlfn.XLOOKUP(Tabla4[[#This Row],[ID CLIENTE]],'RESUMEN CLIENTES'!D:D,'RESUMEN CLIENTES'!G:G)</f>
        <v>45810</v>
      </c>
      <c r="S865" s="155" t="str">
        <f>+_xlfn.XLOOKUP(Tabla4[[#This Row],[ID CLIENTE]],'RESUMEN CLIENTES'!D:D,'RESUMEN CLIENTES'!AA:AA)</f>
        <v>A1.1</v>
      </c>
      <c r="T865" s="682" t="str">
        <f>+_xlfn.XLOOKUP(Tabla4[[#This Row],[ID CLIENTE]],'RESUMEN CLIENTES'!D:D,'RESUMEN CLIENTES'!C:C)</f>
        <v>Chile</v>
      </c>
    </row>
    <row r="866" spans="1:20" ht="16">
      <c r="A866" s="82">
        <v>46032</v>
      </c>
      <c r="B866" s="82" t="str">
        <f>+_xlfn.XLOOKUP(Tabla4[[#This Row],[ID CLIENTE]],'RESUMEN CLIENTES'!D:D,'RESUMEN CLIENTES'!A:A)</f>
        <v>Rodrigo Alfonso Busse Hernández</v>
      </c>
      <c r="C866" s="215" t="s">
        <v>2231</v>
      </c>
      <c r="D866" s="83" t="s">
        <v>275</v>
      </c>
      <c r="E866" s="83" t="s">
        <v>1897</v>
      </c>
      <c r="F866" s="83" t="s">
        <v>1898</v>
      </c>
      <c r="G866" s="114">
        <v>1111</v>
      </c>
      <c r="H866" s="85">
        <v>-36.36</v>
      </c>
      <c r="I866" s="115">
        <f t="shared" si="28"/>
        <v>3.272727272727273E-2</v>
      </c>
      <c r="J866" s="87">
        <f t="shared" si="29"/>
        <v>1074.6400000000001</v>
      </c>
      <c r="K866" s="87"/>
      <c r="L866" s="87" t="s">
        <v>4672</v>
      </c>
      <c r="M866" s="87"/>
      <c r="N866" s="524"/>
      <c r="O866" s="524">
        <f>+Tabla4[[#This Row],[PAGO NO EURO]]+Tabla4[[#This Row],[CARGO NO EURO]]</f>
        <v>0</v>
      </c>
      <c r="P866" s="524"/>
      <c r="Q866" s="155"/>
      <c r="R866" s="693">
        <f>+_xlfn.XLOOKUP(Tabla4[[#This Row],[ID CLIENTE]],'RESUMEN CLIENTES'!D:D,'RESUMEN CLIENTES'!G:G)</f>
        <v>45810</v>
      </c>
      <c r="S866" s="155" t="str">
        <f>+_xlfn.XLOOKUP(Tabla4[[#This Row],[ID CLIENTE]],'RESUMEN CLIENTES'!D:D,'RESUMEN CLIENTES'!AA:AA)</f>
        <v>null</v>
      </c>
      <c r="T866" s="682" t="str">
        <f>+_xlfn.XLOOKUP(Tabla4[[#This Row],[ID CLIENTE]],'RESUMEN CLIENTES'!D:D,'RESUMEN CLIENTES'!C:C)</f>
        <v>Chile</v>
      </c>
    </row>
    <row r="867" spans="1:20" ht="16">
      <c r="A867" s="82">
        <v>46033</v>
      </c>
      <c r="B867" s="82" t="str">
        <f>+_xlfn.XLOOKUP(Tabla4[[#This Row],[ID CLIENTE]],'RESUMEN CLIENTES'!D:D,'RESUMEN CLIENTES'!A:A)</f>
        <v>Paulina Alejandra Silva Gómez</v>
      </c>
      <c r="C867" s="215" t="s">
        <v>2499</v>
      </c>
      <c r="D867" s="83" t="s">
        <v>1881</v>
      </c>
      <c r="E867" s="83" t="s">
        <v>1895</v>
      </c>
      <c r="F867" s="83" t="s">
        <v>1896</v>
      </c>
      <c r="G867" s="114">
        <v>2750</v>
      </c>
      <c r="H867" s="85">
        <v>-89.63</v>
      </c>
      <c r="I867" s="115">
        <f t="shared" si="28"/>
        <v>3.2592727272727273E-2</v>
      </c>
      <c r="J867" s="87">
        <f t="shared" si="29"/>
        <v>2660.37</v>
      </c>
      <c r="K867" s="87"/>
      <c r="L867" s="87" t="s">
        <v>4672</v>
      </c>
      <c r="M867" s="87"/>
      <c r="N867" s="524"/>
      <c r="O867" s="524">
        <f>+Tabla4[[#This Row],[PAGO NO EURO]]+Tabla4[[#This Row],[CARGO NO EURO]]</f>
        <v>0</v>
      </c>
      <c r="P867" s="524"/>
      <c r="Q867" s="155"/>
      <c r="R867" s="693">
        <f>+_xlfn.XLOOKUP(Tabla4[[#This Row],[ID CLIENTE]],'RESUMEN CLIENTES'!D:D,'RESUMEN CLIENTES'!G:G)</f>
        <v>46031</v>
      </c>
      <c r="S867" s="155" t="str">
        <f>+_xlfn.XLOOKUP(Tabla4[[#This Row],[ID CLIENTE]],'RESUMEN CLIENTES'!D:D,'RESUMEN CLIENTES'!AA:AA)</f>
        <v>-</v>
      </c>
      <c r="T867" s="682" t="str">
        <f>+_xlfn.XLOOKUP(Tabla4[[#This Row],[ID CLIENTE]],'RESUMEN CLIENTES'!D:D,'RESUMEN CLIENTES'!C:C)</f>
        <v>Chile</v>
      </c>
    </row>
    <row r="868" spans="1:20" ht="16">
      <c r="A868" s="82">
        <v>46033</v>
      </c>
      <c r="B868" s="82" t="str">
        <f>+_xlfn.XLOOKUP(Tabla4[[#This Row],[ID CLIENTE]],'RESUMEN CLIENTES'!D:D,'RESUMEN CLIENTES'!A:A)</f>
        <v>Kimberly Chantelle Frey Arteaga</v>
      </c>
      <c r="C868" s="215" t="s">
        <v>2311</v>
      </c>
      <c r="D868" s="83" t="s">
        <v>501</v>
      </c>
      <c r="E868" s="83" t="s">
        <v>1902</v>
      </c>
      <c r="F868" s="83" t="s">
        <v>1903</v>
      </c>
      <c r="G868" s="114">
        <v>1000</v>
      </c>
      <c r="H868" s="85">
        <v>-32.75</v>
      </c>
      <c r="I868" s="115">
        <f t="shared" si="28"/>
        <v>3.2750000000000001E-2</v>
      </c>
      <c r="J868" s="87">
        <f t="shared" si="29"/>
        <v>967.25</v>
      </c>
      <c r="K868" s="87"/>
      <c r="L868" s="87" t="s">
        <v>4672</v>
      </c>
      <c r="M868" s="87"/>
      <c r="N868" s="524"/>
      <c r="O868" s="524">
        <f>+Tabla4[[#This Row],[PAGO NO EURO]]+Tabla4[[#This Row],[CARGO NO EURO]]</f>
        <v>0</v>
      </c>
      <c r="P868" s="524"/>
      <c r="Q868" s="155"/>
      <c r="R868" s="693">
        <f>+_xlfn.XLOOKUP(Tabla4[[#This Row],[ID CLIENTE]],'RESUMEN CLIENTES'!D:D,'RESUMEN CLIENTES'!G:G)</f>
        <v>45858</v>
      </c>
      <c r="S868" s="155" t="str">
        <f>+_xlfn.XLOOKUP(Tabla4[[#This Row],[ID CLIENTE]],'RESUMEN CLIENTES'!D:D,'RESUMEN CLIENTES'!AA:AA)</f>
        <v>A1.1</v>
      </c>
      <c r="T868" s="682" t="str">
        <f>+_xlfn.XLOOKUP(Tabla4[[#This Row],[ID CLIENTE]],'RESUMEN CLIENTES'!D:D,'RESUMEN CLIENTES'!C:C)</f>
        <v>México</v>
      </c>
    </row>
    <row r="869" spans="1:20" ht="16">
      <c r="A869" s="82">
        <v>46033</v>
      </c>
      <c r="B869" s="82" t="str">
        <f>+_xlfn.XLOOKUP(Tabla4[[#This Row],[ID CLIENTE]],'RESUMEN CLIENTES'!D:D,'RESUMEN CLIENTES'!A:A)</f>
        <v>Johan Martínez</v>
      </c>
      <c r="C869" s="215" t="s">
        <v>2501</v>
      </c>
      <c r="D869" s="83" t="s">
        <v>1899</v>
      </c>
      <c r="E869" s="83" t="s">
        <v>1900</v>
      </c>
      <c r="F869" s="83" t="s">
        <v>1901</v>
      </c>
      <c r="G869" s="114">
        <v>250</v>
      </c>
      <c r="H869" s="85">
        <v>-8.3800000000000008</v>
      </c>
      <c r="I869" s="115">
        <f t="shared" si="28"/>
        <v>3.3520000000000001E-2</v>
      </c>
      <c r="J869" s="87">
        <f t="shared" si="29"/>
        <v>241.62</v>
      </c>
      <c r="K869" s="87"/>
      <c r="L869" s="87" t="s">
        <v>4672</v>
      </c>
      <c r="M869" s="87"/>
      <c r="N869" s="524"/>
      <c r="O869" s="524">
        <f>+Tabla4[[#This Row],[PAGO NO EURO]]+Tabla4[[#This Row],[CARGO NO EURO]]</f>
        <v>0</v>
      </c>
      <c r="P869" s="524"/>
      <c r="Q869" s="155"/>
      <c r="R869" s="693">
        <f>+_xlfn.XLOOKUP(Tabla4[[#This Row],[ID CLIENTE]],'RESUMEN CLIENTES'!D:D,'RESUMEN CLIENTES'!G:G)</f>
        <v>46033</v>
      </c>
      <c r="S869" s="155" t="str">
        <f>+_xlfn.XLOOKUP(Tabla4[[#This Row],[ID CLIENTE]],'RESUMEN CLIENTES'!D:D,'RESUMEN CLIENTES'!AA:AA)</f>
        <v>A1.1</v>
      </c>
      <c r="T869" s="682" t="str">
        <f>+_xlfn.XLOOKUP(Tabla4[[#This Row],[ID CLIENTE]],'RESUMEN CLIENTES'!D:D,'RESUMEN CLIENTES'!C:C)</f>
        <v>Colombia</v>
      </c>
    </row>
    <row r="870" spans="1:20" ht="16">
      <c r="A870" s="82">
        <v>46034</v>
      </c>
      <c r="B870" s="82" t="str">
        <f>+_xlfn.XLOOKUP(Tabla4[[#This Row],[ID CLIENTE]],'RESUMEN CLIENTES'!D:D,'RESUMEN CLIENTES'!A:A)</f>
        <v>Catalina Andrea Videla Muñoz</v>
      </c>
      <c r="C870" s="215" t="s">
        <v>2164</v>
      </c>
      <c r="D870" s="83" t="s">
        <v>156</v>
      </c>
      <c r="E870" s="83" t="s">
        <v>1912</v>
      </c>
      <c r="F870" s="83" t="s">
        <v>1913</v>
      </c>
      <c r="G870" s="114">
        <v>800</v>
      </c>
      <c r="H870" s="85">
        <v>-26.25</v>
      </c>
      <c r="I870" s="115">
        <f t="shared" si="28"/>
        <v>3.2812500000000001E-2</v>
      </c>
      <c r="J870" s="87">
        <f t="shared" si="29"/>
        <v>773.75</v>
      </c>
      <c r="K870" s="87"/>
      <c r="L870" s="87" t="s">
        <v>4672</v>
      </c>
      <c r="M870" s="87"/>
      <c r="N870" s="524"/>
      <c r="O870" s="524">
        <f>+Tabla4[[#This Row],[PAGO NO EURO]]+Tabla4[[#This Row],[CARGO NO EURO]]</f>
        <v>0</v>
      </c>
      <c r="P870" s="524"/>
      <c r="Q870" s="155"/>
      <c r="R870" s="693">
        <f>+_xlfn.XLOOKUP(Tabla4[[#This Row],[ID CLIENTE]],'RESUMEN CLIENTES'!D:D,'RESUMEN CLIENTES'!G:G)</f>
        <v>45755</v>
      </c>
      <c r="S870" s="155" t="str">
        <f>+_xlfn.XLOOKUP(Tabla4[[#This Row],[ID CLIENTE]],'RESUMEN CLIENTES'!D:D,'RESUMEN CLIENTES'!AA:AA)</f>
        <v>B1.3</v>
      </c>
      <c r="T870" s="682" t="str">
        <f>+_xlfn.XLOOKUP(Tabla4[[#This Row],[ID CLIENTE]],'RESUMEN CLIENTES'!D:D,'RESUMEN CLIENTES'!C:C)</f>
        <v>Chile</v>
      </c>
    </row>
    <row r="871" spans="1:20" ht="16">
      <c r="A871" s="82">
        <v>46034</v>
      </c>
      <c r="B871" s="82" t="str">
        <f>+_xlfn.XLOOKUP(Tabla4[[#This Row],[ID CLIENTE]],'RESUMEN CLIENTES'!D:D,'RESUMEN CLIENTES'!A:A)</f>
        <v>Paula Ida Elisa Saris Sommer</v>
      </c>
      <c r="C871" s="215" t="s">
        <v>2400</v>
      </c>
      <c r="D871" s="83" t="s">
        <v>855</v>
      </c>
      <c r="E871" s="83" t="s">
        <v>1717</v>
      </c>
      <c r="F871" s="83" t="s">
        <v>1718</v>
      </c>
      <c r="G871" s="114">
        <v>1000</v>
      </c>
      <c r="H871" s="85">
        <v>-32.75</v>
      </c>
      <c r="I871" s="115">
        <f t="shared" si="28"/>
        <v>3.2750000000000001E-2</v>
      </c>
      <c r="J871" s="87">
        <f t="shared" si="29"/>
        <v>967.25</v>
      </c>
      <c r="K871" s="87"/>
      <c r="L871" s="87" t="s">
        <v>4672</v>
      </c>
      <c r="M871" s="87"/>
      <c r="N871" s="524"/>
      <c r="O871" s="524">
        <f>+Tabla4[[#This Row],[PAGO NO EURO]]+Tabla4[[#This Row],[CARGO NO EURO]]</f>
        <v>0</v>
      </c>
      <c r="P871" s="524"/>
      <c r="Q871" s="155"/>
      <c r="R871" s="693">
        <f>+_xlfn.XLOOKUP(Tabla4[[#This Row],[ID CLIENTE]],'RESUMEN CLIENTES'!D:D,'RESUMEN CLIENTES'!G:G)</f>
        <v>45904</v>
      </c>
      <c r="S871" s="155" t="str">
        <f>+_xlfn.XLOOKUP(Tabla4[[#This Row],[ID CLIENTE]],'RESUMEN CLIENTES'!D:D,'RESUMEN CLIENTES'!AA:AA)</f>
        <v>A2.1</v>
      </c>
      <c r="T871" s="682" t="str">
        <f>+_xlfn.XLOOKUP(Tabla4[[#This Row],[ID CLIENTE]],'RESUMEN CLIENTES'!D:D,'RESUMEN CLIENTES'!C:C)</f>
        <v>Argentina</v>
      </c>
    </row>
    <row r="872" spans="1:20" ht="16">
      <c r="A872" s="82">
        <v>46034</v>
      </c>
      <c r="B872" s="82" t="str">
        <f>+_xlfn.XLOOKUP(Tabla4[[#This Row],[ID CLIENTE]],'RESUMEN CLIENTES'!D:D,'RESUMEN CLIENTES'!A:A)</f>
        <v>Paula Ida Elisa Saris Sommer</v>
      </c>
      <c r="C872" s="215" t="s">
        <v>2400</v>
      </c>
      <c r="D872" s="83" t="s">
        <v>855</v>
      </c>
      <c r="E872" s="83" t="s">
        <v>1721</v>
      </c>
      <c r="F872" s="83" t="s">
        <v>1722</v>
      </c>
      <c r="G872" s="114">
        <v>1000</v>
      </c>
      <c r="H872" s="85">
        <v>-32.75</v>
      </c>
      <c r="I872" s="115">
        <f t="shared" si="28"/>
        <v>3.2750000000000001E-2</v>
      </c>
      <c r="J872" s="87">
        <f t="shared" si="29"/>
        <v>967.25</v>
      </c>
      <c r="K872" s="87"/>
      <c r="L872" s="87" t="s">
        <v>4672</v>
      </c>
      <c r="M872" s="87"/>
      <c r="N872" s="524"/>
      <c r="O872" s="524">
        <f>+Tabla4[[#This Row],[PAGO NO EURO]]+Tabla4[[#This Row],[CARGO NO EURO]]</f>
        <v>0</v>
      </c>
      <c r="P872" s="524"/>
      <c r="Q872" s="155"/>
      <c r="R872" s="693">
        <f>+_xlfn.XLOOKUP(Tabla4[[#This Row],[ID CLIENTE]],'RESUMEN CLIENTES'!D:D,'RESUMEN CLIENTES'!G:G)</f>
        <v>45904</v>
      </c>
      <c r="S872" s="155" t="str">
        <f>+_xlfn.XLOOKUP(Tabla4[[#This Row],[ID CLIENTE]],'RESUMEN CLIENTES'!D:D,'RESUMEN CLIENTES'!AA:AA)</f>
        <v>A2.1</v>
      </c>
      <c r="T872" s="682" t="str">
        <f>+_xlfn.XLOOKUP(Tabla4[[#This Row],[ID CLIENTE]],'RESUMEN CLIENTES'!D:D,'RESUMEN CLIENTES'!C:C)</f>
        <v>Argentina</v>
      </c>
    </row>
    <row r="873" spans="1:20" ht="16">
      <c r="A873" s="82">
        <v>46034</v>
      </c>
      <c r="B873" s="82" t="str">
        <f>+_xlfn.XLOOKUP(Tabla4[[#This Row],[ID CLIENTE]],'RESUMEN CLIENTES'!D:D,'RESUMEN CLIENTES'!A:A)</f>
        <v>Paula Ida Elisa Saris Sommer</v>
      </c>
      <c r="C873" s="215" t="s">
        <v>2400</v>
      </c>
      <c r="D873" s="83" t="s">
        <v>855</v>
      </c>
      <c r="E873" s="83" t="s">
        <v>1719</v>
      </c>
      <c r="F873" s="83" t="s">
        <v>1720</v>
      </c>
      <c r="G873" s="114">
        <v>1000</v>
      </c>
      <c r="H873" s="85">
        <v>-32.75</v>
      </c>
      <c r="I873" s="115">
        <f t="shared" si="28"/>
        <v>3.2750000000000001E-2</v>
      </c>
      <c r="J873" s="87">
        <f t="shared" si="29"/>
        <v>967.25</v>
      </c>
      <c r="K873" s="87"/>
      <c r="L873" s="87" t="s">
        <v>4672</v>
      </c>
      <c r="M873" s="87"/>
      <c r="N873" s="524"/>
      <c r="O873" s="524">
        <f>+Tabla4[[#This Row],[PAGO NO EURO]]+Tabla4[[#This Row],[CARGO NO EURO]]</f>
        <v>0</v>
      </c>
      <c r="P873" s="524"/>
      <c r="Q873" s="155"/>
      <c r="R873" s="693">
        <f>+_xlfn.XLOOKUP(Tabla4[[#This Row],[ID CLIENTE]],'RESUMEN CLIENTES'!D:D,'RESUMEN CLIENTES'!G:G)</f>
        <v>45904</v>
      </c>
      <c r="S873" s="155" t="str">
        <f>+_xlfn.XLOOKUP(Tabla4[[#This Row],[ID CLIENTE]],'RESUMEN CLIENTES'!D:D,'RESUMEN CLIENTES'!AA:AA)</f>
        <v>A2.1</v>
      </c>
      <c r="T873" s="682" t="str">
        <f>+_xlfn.XLOOKUP(Tabla4[[#This Row],[ID CLIENTE]],'RESUMEN CLIENTES'!D:D,'RESUMEN CLIENTES'!C:C)</f>
        <v>Argentina</v>
      </c>
    </row>
    <row r="874" spans="1:20" ht="16">
      <c r="A874" s="82">
        <v>46034</v>
      </c>
      <c r="B874" s="82" t="str">
        <f>+_xlfn.XLOOKUP(Tabla4[[#This Row],[ID CLIENTE]],'RESUMEN CLIENTES'!D:D,'RESUMEN CLIENTES'!A:A)</f>
        <v>Paula Ida Elisa Saris Sommer</v>
      </c>
      <c r="C874" s="215" t="s">
        <v>2400</v>
      </c>
      <c r="D874" s="83" t="s">
        <v>855</v>
      </c>
      <c r="E874" s="83" t="s">
        <v>1723</v>
      </c>
      <c r="F874" s="83" t="s">
        <v>1724</v>
      </c>
      <c r="G874" s="114">
        <v>700</v>
      </c>
      <c r="H874" s="85">
        <v>-23</v>
      </c>
      <c r="I874" s="115">
        <f t="shared" si="28"/>
        <v>3.2857142857142856E-2</v>
      </c>
      <c r="J874" s="87">
        <f t="shared" si="29"/>
        <v>677</v>
      </c>
      <c r="K874" s="87"/>
      <c r="L874" s="87" t="s">
        <v>4672</v>
      </c>
      <c r="M874" s="87"/>
      <c r="N874" s="524"/>
      <c r="O874" s="524">
        <f>+Tabla4[[#This Row],[PAGO NO EURO]]+Tabla4[[#This Row],[CARGO NO EURO]]</f>
        <v>0</v>
      </c>
      <c r="P874" s="524"/>
      <c r="Q874" s="155"/>
      <c r="R874" s="693">
        <f>+_xlfn.XLOOKUP(Tabla4[[#This Row],[ID CLIENTE]],'RESUMEN CLIENTES'!D:D,'RESUMEN CLIENTES'!G:G)</f>
        <v>45904</v>
      </c>
      <c r="S874" s="155" t="str">
        <f>+_xlfn.XLOOKUP(Tabla4[[#This Row],[ID CLIENTE]],'RESUMEN CLIENTES'!D:D,'RESUMEN CLIENTES'!AA:AA)</f>
        <v>A2.1</v>
      </c>
      <c r="T874" s="682" t="str">
        <f>+_xlfn.XLOOKUP(Tabla4[[#This Row],[ID CLIENTE]],'RESUMEN CLIENTES'!D:D,'RESUMEN CLIENTES'!C:C)</f>
        <v>Argentina</v>
      </c>
    </row>
    <row r="875" spans="1:20" ht="16">
      <c r="A875" s="82">
        <v>46035</v>
      </c>
      <c r="B875" s="82" t="str">
        <f>+_xlfn.XLOOKUP(Tabla4[[#This Row],[ID CLIENTE]],'RESUMEN CLIENTES'!D:D,'RESUMEN CLIENTES'!A:A)</f>
        <v>Laura Giraldo</v>
      </c>
      <c r="C875" s="215" t="s">
        <v>2503</v>
      </c>
      <c r="D875" s="83" t="s">
        <v>1875</v>
      </c>
      <c r="E875" s="83" t="s">
        <v>1877</v>
      </c>
      <c r="F875" s="83" t="s">
        <v>1878</v>
      </c>
      <c r="G875" s="114">
        <v>250</v>
      </c>
      <c r="H875" s="85">
        <v>-8.3800000000000008</v>
      </c>
      <c r="I875" s="115">
        <f t="shared" si="28"/>
        <v>3.3520000000000001E-2</v>
      </c>
      <c r="J875" s="87">
        <f t="shared" si="29"/>
        <v>241.62</v>
      </c>
      <c r="K875" s="87"/>
      <c r="L875" s="87" t="s">
        <v>4672</v>
      </c>
      <c r="M875" s="87"/>
      <c r="N875" s="524"/>
      <c r="O875" s="524">
        <f>+Tabla4[[#This Row],[PAGO NO EURO]]+Tabla4[[#This Row],[CARGO NO EURO]]</f>
        <v>0</v>
      </c>
      <c r="P875" s="524"/>
      <c r="Q875" s="155"/>
      <c r="R875" s="693">
        <f>+_xlfn.XLOOKUP(Tabla4[[#This Row],[ID CLIENTE]],'RESUMEN CLIENTES'!D:D,'RESUMEN CLIENTES'!G:G)</f>
        <v>46035</v>
      </c>
      <c r="S875" s="155" t="str">
        <f>+_xlfn.XLOOKUP(Tabla4[[#This Row],[ID CLIENTE]],'RESUMEN CLIENTES'!D:D,'RESUMEN CLIENTES'!AA:AA)</f>
        <v>-</v>
      </c>
      <c r="T875" s="682" t="str">
        <f>+_xlfn.XLOOKUP(Tabla4[[#This Row],[ID CLIENTE]],'RESUMEN CLIENTES'!D:D,'RESUMEN CLIENTES'!C:C)</f>
        <v>Colombia</v>
      </c>
    </row>
    <row r="876" spans="1:20" ht="16">
      <c r="A876" s="82">
        <v>46035</v>
      </c>
      <c r="B876" s="82" t="str">
        <f>+_xlfn.XLOOKUP(Tabla4[[#This Row],[ID CLIENTE]],'RESUMEN CLIENTES'!D:D,'RESUMEN CLIENTES'!A:A)</f>
        <v>Javier Bravo Castelo</v>
      </c>
      <c r="C876" s="215" t="s">
        <v>2463</v>
      </c>
      <c r="D876" s="83" t="s">
        <v>1428</v>
      </c>
      <c r="E876" s="83" t="s">
        <v>1886</v>
      </c>
      <c r="F876" s="83" t="s">
        <v>1887</v>
      </c>
      <c r="G876" s="114">
        <v>5000</v>
      </c>
      <c r="H876" s="85">
        <v>-162.75</v>
      </c>
      <c r="I876" s="115">
        <f t="shared" si="28"/>
        <v>3.2550000000000003E-2</v>
      </c>
      <c r="J876" s="87">
        <f t="shared" si="29"/>
        <v>4837.25</v>
      </c>
      <c r="K876" s="87"/>
      <c r="L876" s="87" t="s">
        <v>4672</v>
      </c>
      <c r="M876" s="87"/>
      <c r="N876" s="524"/>
      <c r="O876" s="524">
        <f>+Tabla4[[#This Row],[PAGO NO EURO]]+Tabla4[[#This Row],[CARGO NO EURO]]</f>
        <v>0</v>
      </c>
      <c r="P876" s="524"/>
      <c r="Q876" s="155"/>
      <c r="R876" s="693">
        <f>+_xlfn.XLOOKUP(Tabla4[[#This Row],[ID CLIENTE]],'RESUMEN CLIENTES'!D:D,'RESUMEN CLIENTES'!G:G)</f>
        <v>45981</v>
      </c>
      <c r="S876" s="155" t="str">
        <f>+_xlfn.XLOOKUP(Tabla4[[#This Row],[ID CLIENTE]],'RESUMEN CLIENTES'!D:D,'RESUMEN CLIENTES'!AA:AA)</f>
        <v>null</v>
      </c>
      <c r="T876" s="682" t="str">
        <f>+_xlfn.XLOOKUP(Tabla4[[#This Row],[ID CLIENTE]],'RESUMEN CLIENTES'!D:D,'RESUMEN CLIENTES'!C:C)</f>
        <v>Colombia</v>
      </c>
    </row>
    <row r="877" spans="1:20" ht="16">
      <c r="A877" s="82">
        <v>46036</v>
      </c>
      <c r="B877" s="82" t="str">
        <f>+_xlfn.XLOOKUP(Tabla4[[#This Row],[ID CLIENTE]],'RESUMEN CLIENTES'!D:D,'RESUMEN CLIENTES'!A:A)</f>
        <v>Jessica Ayelén Culla Alvarez</v>
      </c>
      <c r="C877" s="215" t="s">
        <v>2265</v>
      </c>
      <c r="D877" s="83" t="s">
        <v>362</v>
      </c>
      <c r="E877" s="83" t="s">
        <v>1923</v>
      </c>
      <c r="F877" s="83" t="s">
        <v>1924</v>
      </c>
      <c r="G877" s="114">
        <v>1000</v>
      </c>
      <c r="H877" s="85">
        <v>-5</v>
      </c>
      <c r="I877" s="115">
        <f t="shared" si="28"/>
        <v>5.0000000000000001E-3</v>
      </c>
      <c r="J877" s="87">
        <f t="shared" si="29"/>
        <v>995</v>
      </c>
      <c r="K877" s="87"/>
      <c r="L877" s="87" t="s">
        <v>4672</v>
      </c>
      <c r="M877" s="87"/>
      <c r="N877" s="524"/>
      <c r="O877" s="524">
        <f>+Tabla4[[#This Row],[PAGO NO EURO]]+Tabla4[[#This Row],[CARGO NO EURO]]</f>
        <v>0</v>
      </c>
      <c r="P877" s="524"/>
      <c r="Q877" s="155"/>
      <c r="R877" s="693">
        <f>+_xlfn.XLOOKUP(Tabla4[[#This Row],[ID CLIENTE]],'RESUMEN CLIENTES'!D:D,'RESUMEN CLIENTES'!G:G)</f>
        <v>45830</v>
      </c>
      <c r="S877" s="155" t="str">
        <f>+_xlfn.XLOOKUP(Tabla4[[#This Row],[ID CLIENTE]],'RESUMEN CLIENTES'!D:D,'RESUMEN CLIENTES'!AA:AA)</f>
        <v>B1.1</v>
      </c>
      <c r="T877" s="682" t="str">
        <f>+_xlfn.XLOOKUP(Tabla4[[#This Row],[ID CLIENTE]],'RESUMEN CLIENTES'!D:D,'RESUMEN CLIENTES'!C:C)</f>
        <v>Argentina</v>
      </c>
    </row>
    <row r="878" spans="1:20" ht="16">
      <c r="A878" s="82">
        <v>46036</v>
      </c>
      <c r="B878" s="82" t="str">
        <f>+_xlfn.XLOOKUP(Tabla4[[#This Row],[ID CLIENTE]],'RESUMEN CLIENTES'!D:D,'RESUMEN CLIENTES'!A:A)</f>
        <v>Gabriel Alejandro Ortega Moreno</v>
      </c>
      <c r="C878" s="215" t="s">
        <v>2129</v>
      </c>
      <c r="D878" s="83" t="s">
        <v>95</v>
      </c>
      <c r="E878" s="83" t="s">
        <v>1917</v>
      </c>
      <c r="F878" s="83" t="s">
        <v>1918</v>
      </c>
      <c r="G878" s="114">
        <v>200</v>
      </c>
      <c r="H878" s="85">
        <v>-6.75</v>
      </c>
      <c r="I878" s="115">
        <f t="shared" si="28"/>
        <v>3.3750000000000002E-2</v>
      </c>
      <c r="J878" s="87">
        <f t="shared" si="29"/>
        <v>193.25</v>
      </c>
      <c r="K878" s="87"/>
      <c r="L878" s="87" t="s">
        <v>4672</v>
      </c>
      <c r="M878" s="87"/>
      <c r="N878" s="524"/>
      <c r="O878" s="524">
        <f>+Tabla4[[#This Row],[PAGO NO EURO]]+Tabla4[[#This Row],[CARGO NO EURO]]</f>
        <v>0</v>
      </c>
      <c r="P878" s="524"/>
      <c r="Q878" s="155"/>
      <c r="R878" s="693">
        <f>+_xlfn.XLOOKUP(Tabla4[[#This Row],[ID CLIENTE]],'RESUMEN CLIENTES'!D:D,'RESUMEN CLIENTES'!G:G)</f>
        <v>45721</v>
      </c>
      <c r="S878" s="155" t="str">
        <f>+_xlfn.XLOOKUP(Tabla4[[#This Row],[ID CLIENTE]],'RESUMEN CLIENTES'!D:D,'RESUMEN CLIENTES'!AA:AA)</f>
        <v>B2.1</v>
      </c>
      <c r="T878" s="682" t="str">
        <f>+_xlfn.XLOOKUP(Tabla4[[#This Row],[ID CLIENTE]],'RESUMEN CLIENTES'!D:D,'RESUMEN CLIENTES'!C:C)</f>
        <v>Ecuador</v>
      </c>
    </row>
    <row r="879" spans="1:20" ht="16">
      <c r="A879" s="82">
        <v>46036</v>
      </c>
      <c r="B879" s="82" t="str">
        <f>+_xlfn.XLOOKUP(Tabla4[[#This Row],[ID CLIENTE]],'RESUMEN CLIENTES'!D:D,'RESUMEN CLIENTES'!A:A)</f>
        <v>Gabriela Kimberlyn Moran Caiza</v>
      </c>
      <c r="C879" s="215" t="s">
        <v>2127</v>
      </c>
      <c r="D879" s="83" t="s">
        <v>98</v>
      </c>
      <c r="E879" s="83" t="s">
        <v>1919</v>
      </c>
      <c r="F879" s="83" t="s">
        <v>1920</v>
      </c>
      <c r="G879" s="114">
        <v>100</v>
      </c>
      <c r="H879" s="85">
        <v>-3.5</v>
      </c>
      <c r="I879" s="115">
        <f t="shared" si="28"/>
        <v>3.5000000000000003E-2</v>
      </c>
      <c r="J879" s="87">
        <f t="shared" si="29"/>
        <v>96.5</v>
      </c>
      <c r="K879" s="87"/>
      <c r="L879" s="87" t="s">
        <v>4672</v>
      </c>
      <c r="M879" s="87"/>
      <c r="N879" s="524"/>
      <c r="O879" s="524">
        <f>+Tabla4[[#This Row],[PAGO NO EURO]]+Tabla4[[#This Row],[CARGO NO EURO]]</f>
        <v>0</v>
      </c>
      <c r="P879" s="524"/>
      <c r="Q879" s="155"/>
      <c r="R879" s="693">
        <f>+_xlfn.XLOOKUP(Tabla4[[#This Row],[ID CLIENTE]],'RESUMEN CLIENTES'!D:D,'RESUMEN CLIENTES'!G:G)</f>
        <v>45721</v>
      </c>
      <c r="S879" s="155" t="str">
        <f>+_xlfn.XLOOKUP(Tabla4[[#This Row],[ID CLIENTE]],'RESUMEN CLIENTES'!D:D,'RESUMEN CLIENTES'!AA:AA)</f>
        <v>B2.1</v>
      </c>
      <c r="T879" s="682" t="str">
        <f>+_xlfn.XLOOKUP(Tabla4[[#This Row],[ID CLIENTE]],'RESUMEN CLIENTES'!D:D,'RESUMEN CLIENTES'!C:C)</f>
        <v>Ecuador</v>
      </c>
    </row>
    <row r="880" spans="1:20" ht="16">
      <c r="A880" s="82">
        <v>46036</v>
      </c>
      <c r="B880" s="82" t="str">
        <f>+_xlfn.XLOOKUP(Tabla4[[#This Row],[ID CLIENTE]],'RESUMEN CLIENTES'!D:D,'RESUMEN CLIENTES'!A:A)</f>
        <v>Vanessa Villarreal Villareal</v>
      </c>
      <c r="C880" s="215" t="s">
        <v>2404</v>
      </c>
      <c r="D880" s="83" t="s">
        <v>912</v>
      </c>
      <c r="E880" s="83" t="s">
        <v>1904</v>
      </c>
      <c r="F880" s="83" t="s">
        <v>1905</v>
      </c>
      <c r="G880" s="114">
        <v>1000</v>
      </c>
      <c r="H880" s="85">
        <v>-32.75</v>
      </c>
      <c r="I880" s="115">
        <f t="shared" si="28"/>
        <v>3.2750000000000001E-2</v>
      </c>
      <c r="J880" s="87">
        <f t="shared" si="29"/>
        <v>967.25</v>
      </c>
      <c r="K880" s="87"/>
      <c r="L880" s="87" t="s">
        <v>4672</v>
      </c>
      <c r="M880" s="87"/>
      <c r="N880" s="524"/>
      <c r="O880" s="524">
        <f>+Tabla4[[#This Row],[PAGO NO EURO]]+Tabla4[[#This Row],[CARGO NO EURO]]</f>
        <v>0</v>
      </c>
      <c r="P880" s="524"/>
      <c r="Q880" s="155"/>
      <c r="R880" s="693">
        <f>+_xlfn.XLOOKUP(Tabla4[[#This Row],[ID CLIENTE]],'RESUMEN CLIENTES'!D:D,'RESUMEN CLIENTES'!G:G)</f>
        <v>45906</v>
      </c>
      <c r="S880" s="155" t="str">
        <f>+_xlfn.XLOOKUP(Tabla4[[#This Row],[ID CLIENTE]],'RESUMEN CLIENTES'!D:D,'RESUMEN CLIENTES'!AA:AA)</f>
        <v>A1.1</v>
      </c>
      <c r="T880" s="682" t="str">
        <f>+_xlfn.XLOOKUP(Tabla4[[#This Row],[ID CLIENTE]],'RESUMEN CLIENTES'!D:D,'RESUMEN CLIENTES'!C:C)</f>
        <v>Ecuador</v>
      </c>
    </row>
    <row r="881" spans="1:20" ht="16">
      <c r="A881" s="82">
        <v>46037</v>
      </c>
      <c r="B881" s="82" t="str">
        <f>+_xlfn.XLOOKUP(Tabla4[[#This Row],[ID CLIENTE]],'RESUMEN CLIENTES'!D:D,'RESUMEN CLIENTES'!A:A)</f>
        <v>María Stefania Gelvez Olaya</v>
      </c>
      <c r="C881" s="215" t="s">
        <v>2383</v>
      </c>
      <c r="D881" s="83" t="s">
        <v>762</v>
      </c>
      <c r="E881" s="83" t="s">
        <v>1929</v>
      </c>
      <c r="F881" s="83" t="s">
        <v>1930</v>
      </c>
      <c r="G881" s="114">
        <v>1000</v>
      </c>
      <c r="H881" s="85">
        <v>-32.75</v>
      </c>
      <c r="I881" s="115">
        <f t="shared" si="28"/>
        <v>3.2750000000000001E-2</v>
      </c>
      <c r="J881" s="87">
        <f t="shared" si="29"/>
        <v>967.25</v>
      </c>
      <c r="K881" s="87"/>
      <c r="L881" s="87" t="s">
        <v>4672</v>
      </c>
      <c r="M881" s="87"/>
      <c r="N881" s="524"/>
      <c r="O881" s="524">
        <f>+Tabla4[[#This Row],[PAGO NO EURO]]+Tabla4[[#This Row],[CARGO NO EURO]]</f>
        <v>0</v>
      </c>
      <c r="P881" s="524"/>
      <c r="Q881" s="155"/>
      <c r="R881" s="693">
        <f>+_xlfn.XLOOKUP(Tabla4[[#This Row],[ID CLIENTE]],'RESUMEN CLIENTES'!D:D,'RESUMEN CLIENTES'!G:G)</f>
        <v>45898</v>
      </c>
      <c r="S881" s="155" t="str">
        <f>+_xlfn.XLOOKUP(Tabla4[[#This Row],[ID CLIENTE]],'RESUMEN CLIENTES'!D:D,'RESUMEN CLIENTES'!AA:AA)</f>
        <v>A1.1</v>
      </c>
      <c r="T881" s="682" t="str">
        <f>+_xlfn.XLOOKUP(Tabla4[[#This Row],[ID CLIENTE]],'RESUMEN CLIENTES'!D:D,'RESUMEN CLIENTES'!C:C)</f>
        <v>Colombia</v>
      </c>
    </row>
    <row r="882" spans="1:20" ht="16">
      <c r="A882" s="82">
        <v>46037</v>
      </c>
      <c r="B882" s="82" t="str">
        <f>+_xlfn.XLOOKUP(Tabla4[[#This Row],[ID CLIENTE]],'RESUMEN CLIENTES'!D:D,'RESUMEN CLIENTES'!A:A)</f>
        <v>Carlos Alberto Suarez Hernandez</v>
      </c>
      <c r="C882" s="215" t="s">
        <v>2379</v>
      </c>
      <c r="D882" s="83" t="s">
        <v>751</v>
      </c>
      <c r="E882" s="83" t="s">
        <v>1910</v>
      </c>
      <c r="F882" s="83" t="s">
        <v>1911</v>
      </c>
      <c r="G882" s="114">
        <v>1000</v>
      </c>
      <c r="H882" s="85">
        <v>-32.75</v>
      </c>
      <c r="I882" s="115">
        <f t="shared" si="28"/>
        <v>3.2750000000000001E-2</v>
      </c>
      <c r="J882" s="87">
        <f t="shared" si="29"/>
        <v>967.25</v>
      </c>
      <c r="K882" s="87"/>
      <c r="L882" s="87" t="s">
        <v>4672</v>
      </c>
      <c r="M882" s="87"/>
      <c r="N882" s="524"/>
      <c r="O882" s="524">
        <f>+Tabla4[[#This Row],[PAGO NO EURO]]+Tabla4[[#This Row],[CARGO NO EURO]]</f>
        <v>0</v>
      </c>
      <c r="P882" s="524"/>
      <c r="Q882" s="155"/>
      <c r="R882" s="693">
        <f>+_xlfn.XLOOKUP(Tabla4[[#This Row],[ID CLIENTE]],'RESUMEN CLIENTES'!D:D,'RESUMEN CLIENTES'!G:G)</f>
        <v>45898</v>
      </c>
      <c r="S882" s="155" t="str">
        <f>+_xlfn.XLOOKUP(Tabla4[[#This Row],[ID CLIENTE]],'RESUMEN CLIENTES'!D:D,'RESUMEN CLIENTES'!AA:AA)</f>
        <v>A1.1</v>
      </c>
      <c r="T882" s="682" t="str">
        <f>+_xlfn.XLOOKUP(Tabla4[[#This Row],[ID CLIENTE]],'RESUMEN CLIENTES'!D:D,'RESUMEN CLIENTES'!C:C)</f>
        <v>Colombia</v>
      </c>
    </row>
    <row r="883" spans="1:20" ht="16">
      <c r="A883" s="82">
        <v>46037</v>
      </c>
      <c r="B883" s="82" t="str">
        <f>+_xlfn.XLOOKUP(Tabla4[[#This Row],[ID CLIENTE]],'RESUMEN CLIENTES'!D:D,'RESUMEN CLIENTES'!A:A)</f>
        <v>Isaac Ricardo Jimenez Campos</v>
      </c>
      <c r="C883" s="215" t="s">
        <v>2131</v>
      </c>
      <c r="D883" s="83" t="s">
        <v>103</v>
      </c>
      <c r="E883" s="83" t="s">
        <v>1921</v>
      </c>
      <c r="F883" s="83" t="s">
        <v>1922</v>
      </c>
      <c r="G883" s="114">
        <v>654</v>
      </c>
      <c r="H883" s="85">
        <v>-21.51</v>
      </c>
      <c r="I883" s="115">
        <f t="shared" si="28"/>
        <v>3.2889908256880734E-2</v>
      </c>
      <c r="J883" s="87">
        <f t="shared" si="29"/>
        <v>632.49</v>
      </c>
      <c r="K883" s="87"/>
      <c r="L883" s="87" t="s">
        <v>4672</v>
      </c>
      <c r="M883" s="87"/>
      <c r="N883" s="524"/>
      <c r="O883" s="524">
        <f>+Tabla4[[#This Row],[PAGO NO EURO]]+Tabla4[[#This Row],[CARGO NO EURO]]</f>
        <v>0</v>
      </c>
      <c r="P883" s="524"/>
      <c r="Q883" s="155"/>
      <c r="R883" s="693">
        <f>+_xlfn.XLOOKUP(Tabla4[[#This Row],[ID CLIENTE]],'RESUMEN CLIENTES'!D:D,'RESUMEN CLIENTES'!G:G)</f>
        <v>45725</v>
      </c>
      <c r="S883" s="155" t="str">
        <f>+_xlfn.XLOOKUP(Tabla4[[#This Row],[ID CLIENTE]],'RESUMEN CLIENTES'!D:D,'RESUMEN CLIENTES'!AA:AA)</f>
        <v>null</v>
      </c>
      <c r="T883" s="682" t="str">
        <f>+_xlfn.XLOOKUP(Tabla4[[#This Row],[ID CLIENTE]],'RESUMEN CLIENTES'!D:D,'RESUMEN CLIENTES'!C:C)</f>
        <v>México</v>
      </c>
    </row>
    <row r="884" spans="1:20" ht="16">
      <c r="A884" s="82">
        <v>46038</v>
      </c>
      <c r="B884" s="305" t="str">
        <f>+_xlfn.XLOOKUP(Tabla4[[#This Row],[ID CLIENTE]],'RESUMEN CLIENTES'!D:D,'RESUMEN CLIENTES'!A:A)</f>
        <v>Laura Giraldo</v>
      </c>
      <c r="C884" s="215" t="s">
        <v>2503</v>
      </c>
      <c r="D884" s="83" t="s">
        <v>1875</v>
      </c>
      <c r="E884" s="83" t="s">
        <v>1925</v>
      </c>
      <c r="F884" s="83" t="s">
        <v>1926</v>
      </c>
      <c r="G884" s="114">
        <v>700</v>
      </c>
      <c r="H884" s="85">
        <v>-23</v>
      </c>
      <c r="I884" s="115">
        <f t="shared" si="28"/>
        <v>3.2857142857142856E-2</v>
      </c>
      <c r="J884" s="87">
        <f t="shared" si="29"/>
        <v>677</v>
      </c>
      <c r="K884" s="87"/>
      <c r="L884" s="87" t="s">
        <v>4672</v>
      </c>
      <c r="M884" s="87"/>
      <c r="N884" s="524"/>
      <c r="O884" s="522">
        <f>+Tabla4[[#This Row],[PAGO NO EURO]]+Tabla4[[#This Row],[CARGO NO EURO]]</f>
        <v>0</v>
      </c>
      <c r="P884" s="524"/>
      <c r="Q884" s="155"/>
      <c r="R884" s="693">
        <f>+_xlfn.XLOOKUP(Tabla4[[#This Row],[ID CLIENTE]],'RESUMEN CLIENTES'!D:D,'RESUMEN CLIENTES'!G:G)</f>
        <v>46035</v>
      </c>
      <c r="S884" s="155" t="str">
        <f>+_xlfn.XLOOKUP(Tabla4[[#This Row],[ID CLIENTE]],'RESUMEN CLIENTES'!D:D,'RESUMEN CLIENTES'!AA:AA)</f>
        <v>-</v>
      </c>
      <c r="T884" s="682" t="str">
        <f>+_xlfn.XLOOKUP(Tabla4[[#This Row],[ID CLIENTE]],'RESUMEN CLIENTES'!D:D,'RESUMEN CLIENTES'!C:C)</f>
        <v>Colombia</v>
      </c>
    </row>
    <row r="885" spans="1:20" ht="16">
      <c r="A885" s="82">
        <v>46038</v>
      </c>
      <c r="B885" s="305" t="str">
        <f>+_xlfn.XLOOKUP(Tabla4[[#This Row],[ID CLIENTE]],'RESUMEN CLIENTES'!D:D,'RESUMEN CLIENTES'!A:A)</f>
        <v>Andrea Cristina Estrada Morocho</v>
      </c>
      <c r="C885" s="215" t="s">
        <v>2267</v>
      </c>
      <c r="D885" s="83" t="s">
        <v>325</v>
      </c>
      <c r="E885" s="83" t="s">
        <v>1908</v>
      </c>
      <c r="F885" s="83" t="s">
        <v>1909</v>
      </c>
      <c r="G885" s="114">
        <v>500</v>
      </c>
      <c r="H885" s="85">
        <v>-16.5</v>
      </c>
      <c r="I885" s="115">
        <f t="shared" si="28"/>
        <v>3.3000000000000002E-2</v>
      </c>
      <c r="J885" s="87">
        <f t="shared" si="29"/>
        <v>483.5</v>
      </c>
      <c r="K885" s="87"/>
      <c r="L885" s="87" t="s">
        <v>4672</v>
      </c>
      <c r="M885" s="87"/>
      <c r="N885" s="524"/>
      <c r="O885" s="522">
        <f>+Tabla4[[#This Row],[PAGO NO EURO]]+Tabla4[[#This Row],[CARGO NO EURO]]</f>
        <v>0</v>
      </c>
      <c r="P885" s="524"/>
      <c r="Q885" s="155"/>
      <c r="R885" s="693">
        <f>+_xlfn.XLOOKUP(Tabla4[[#This Row],[ID CLIENTE]],'RESUMEN CLIENTES'!D:D,'RESUMEN CLIENTES'!G:G)</f>
        <v>45831</v>
      </c>
      <c r="S885" s="155" t="str">
        <f>+_xlfn.XLOOKUP(Tabla4[[#This Row],[ID CLIENTE]],'RESUMEN CLIENTES'!D:D,'RESUMEN CLIENTES'!AA:AA)</f>
        <v>A1.1</v>
      </c>
      <c r="T885" s="682" t="str">
        <f>+_xlfn.XLOOKUP(Tabla4[[#This Row],[ID CLIENTE]],'RESUMEN CLIENTES'!D:D,'RESUMEN CLIENTES'!C:C)</f>
        <v>Ecuador</v>
      </c>
    </row>
    <row r="886" spans="1:20" ht="16">
      <c r="A886" s="82">
        <v>46038</v>
      </c>
      <c r="B886" s="305" t="str">
        <f>+_xlfn.XLOOKUP(Tabla4[[#This Row],[ID CLIENTE]],'RESUMEN CLIENTES'!D:D,'RESUMEN CLIENTES'!A:A)</f>
        <v>Alina Maria Cervantes Real</v>
      </c>
      <c r="C886" s="215" t="s">
        <v>2149</v>
      </c>
      <c r="D886" s="83" t="s">
        <v>187</v>
      </c>
      <c r="E886" s="83" t="s">
        <v>1906</v>
      </c>
      <c r="F886" s="83" t="s">
        <v>1907</v>
      </c>
      <c r="G886" s="114">
        <v>1000</v>
      </c>
      <c r="H886" s="85">
        <v>-32.75</v>
      </c>
      <c r="I886" s="115">
        <f t="shared" si="28"/>
        <v>3.2750000000000001E-2</v>
      </c>
      <c r="J886" s="87">
        <f t="shared" si="29"/>
        <v>967.25</v>
      </c>
      <c r="K886" s="87"/>
      <c r="L886" s="87" t="s">
        <v>4672</v>
      </c>
      <c r="M886" s="87"/>
      <c r="N886" s="524"/>
      <c r="O886" s="522">
        <f>+Tabla4[[#This Row],[PAGO NO EURO]]+Tabla4[[#This Row],[CARGO NO EURO]]</f>
        <v>0</v>
      </c>
      <c r="P886" s="524"/>
      <c r="Q886" s="155"/>
      <c r="R886" s="693">
        <f>+_xlfn.XLOOKUP(Tabla4[[#This Row],[ID CLIENTE]],'RESUMEN CLIENTES'!D:D,'RESUMEN CLIENTES'!G:G)</f>
        <v>45741</v>
      </c>
      <c r="S886" s="155" t="str">
        <f>+_xlfn.XLOOKUP(Tabla4[[#This Row],[ID CLIENTE]],'RESUMEN CLIENTES'!D:D,'RESUMEN CLIENTES'!AA:AA)</f>
        <v>B1.1</v>
      </c>
      <c r="T886" s="682" t="str">
        <f>+_xlfn.XLOOKUP(Tabla4[[#This Row],[ID CLIENTE]],'RESUMEN CLIENTES'!D:D,'RESUMEN CLIENTES'!C:C)</f>
        <v>México</v>
      </c>
    </row>
    <row r="887" spans="1:20" ht="16">
      <c r="A887" s="82">
        <v>46039</v>
      </c>
      <c r="B887" s="305" t="str">
        <f>+_xlfn.XLOOKUP(Tabla4[[#This Row],[ID CLIENTE]],'RESUMEN CLIENTES'!D:D,'RESUMEN CLIENTES'!A:A)</f>
        <v>Josué Bernardo Reyes Flores</v>
      </c>
      <c r="C887" s="215" t="s">
        <v>2505</v>
      </c>
      <c r="D887" s="83" t="s">
        <v>1931</v>
      </c>
      <c r="E887" s="83" t="s">
        <v>1932</v>
      </c>
      <c r="F887" s="83" t="s">
        <v>1933</v>
      </c>
      <c r="G887" s="114">
        <v>250</v>
      </c>
      <c r="H887" s="85">
        <v>-8.3800000000000008</v>
      </c>
      <c r="I887" s="115">
        <f t="shared" si="28"/>
        <v>3.3520000000000001E-2</v>
      </c>
      <c r="J887" s="87">
        <f t="shared" si="29"/>
        <v>241.62</v>
      </c>
      <c r="K887" s="87"/>
      <c r="L887" s="87" t="s">
        <v>4672</v>
      </c>
      <c r="M887" s="87"/>
      <c r="N887" s="524"/>
      <c r="O887" s="522">
        <f>+Tabla4[[#This Row],[PAGO NO EURO]]+Tabla4[[#This Row],[CARGO NO EURO]]</f>
        <v>0</v>
      </c>
      <c r="P887" s="524"/>
      <c r="Q887" s="155"/>
      <c r="R887" s="693">
        <f>+_xlfn.XLOOKUP(Tabla4[[#This Row],[ID CLIENTE]],'RESUMEN CLIENTES'!D:D,'RESUMEN CLIENTES'!G:G)</f>
        <v>46039</v>
      </c>
      <c r="S887" s="155" t="str">
        <f>+_xlfn.XLOOKUP(Tabla4[[#This Row],[ID CLIENTE]],'RESUMEN CLIENTES'!D:D,'RESUMEN CLIENTES'!AA:AA)</f>
        <v>C1.1</v>
      </c>
      <c r="T887" s="682" t="str">
        <f>+_xlfn.XLOOKUP(Tabla4[[#This Row],[ID CLIENTE]],'RESUMEN CLIENTES'!D:D,'RESUMEN CLIENTES'!C:C)</f>
        <v>México</v>
      </c>
    </row>
    <row r="888" spans="1:20" ht="16">
      <c r="A888" s="82">
        <v>46039</v>
      </c>
      <c r="B888" s="305" t="str">
        <f>+_xlfn.XLOOKUP(Tabla4[[#This Row],[ID CLIENTE]],'RESUMEN CLIENTES'!D:D,'RESUMEN CLIENTES'!A:A)</f>
        <v>Jaime Kevin Mendez Arias</v>
      </c>
      <c r="C888" s="215" t="s">
        <v>2507</v>
      </c>
      <c r="D888" s="83" t="s">
        <v>1936</v>
      </c>
      <c r="E888" s="83" t="s">
        <v>1937</v>
      </c>
      <c r="F888" s="83" t="s">
        <v>1938</v>
      </c>
      <c r="G888" s="114">
        <v>250</v>
      </c>
      <c r="H888" s="85">
        <v>-8.3800000000000008</v>
      </c>
      <c r="I888" s="115">
        <f t="shared" si="28"/>
        <v>3.3520000000000001E-2</v>
      </c>
      <c r="J888" s="87">
        <f t="shared" si="29"/>
        <v>241.62</v>
      </c>
      <c r="K888" s="87"/>
      <c r="L888" s="87" t="s">
        <v>4672</v>
      </c>
      <c r="M888" s="87"/>
      <c r="N888" s="524"/>
      <c r="O888" s="522">
        <f>+Tabla4[[#This Row],[PAGO NO EURO]]+Tabla4[[#This Row],[CARGO NO EURO]]</f>
        <v>0</v>
      </c>
      <c r="P888" s="524"/>
      <c r="Q888" s="155"/>
      <c r="R888" s="693">
        <f>+_xlfn.XLOOKUP(Tabla4[[#This Row],[ID CLIENTE]],'RESUMEN CLIENTES'!D:D,'RESUMEN CLIENTES'!G:G)</f>
        <v>46039</v>
      </c>
      <c r="S888" s="155" t="str">
        <f>+_xlfn.XLOOKUP(Tabla4[[#This Row],[ID CLIENTE]],'RESUMEN CLIENTES'!D:D,'RESUMEN CLIENTES'!AA:AA)</f>
        <v>B2.1</v>
      </c>
      <c r="T888" s="682" t="str">
        <f>+_xlfn.XLOOKUP(Tabla4[[#This Row],[ID CLIENTE]],'RESUMEN CLIENTES'!D:D,'RESUMEN CLIENTES'!C:C)</f>
        <v>México</v>
      </c>
    </row>
    <row r="889" spans="1:20" ht="16">
      <c r="A889" s="82">
        <v>46039</v>
      </c>
      <c r="B889" s="305" t="str">
        <f>+_xlfn.XLOOKUP(Tabla4[[#This Row],[ID CLIENTE]],'RESUMEN CLIENTES'!D:D,'RESUMEN CLIENTES'!A:A)</f>
        <v>Jaime Kevin Mendez Arias</v>
      </c>
      <c r="C889" s="215" t="s">
        <v>2507</v>
      </c>
      <c r="D889" s="83" t="s">
        <v>1936</v>
      </c>
      <c r="E889" s="83" t="s">
        <v>1939</v>
      </c>
      <c r="F889" s="83" t="s">
        <v>1940</v>
      </c>
      <c r="G889" s="114">
        <v>2750</v>
      </c>
      <c r="H889" s="85">
        <v>-89.63</v>
      </c>
      <c r="I889" s="115">
        <f t="shared" si="28"/>
        <v>3.2592727272727273E-2</v>
      </c>
      <c r="J889" s="87">
        <f t="shared" si="29"/>
        <v>2660.37</v>
      </c>
      <c r="K889" s="87"/>
      <c r="L889" s="87" t="s">
        <v>4672</v>
      </c>
      <c r="M889" s="87"/>
      <c r="N889" s="524"/>
      <c r="O889" s="522">
        <f>+Tabla4[[#This Row],[PAGO NO EURO]]+Tabla4[[#This Row],[CARGO NO EURO]]</f>
        <v>0</v>
      </c>
      <c r="P889" s="524"/>
      <c r="Q889" s="155"/>
      <c r="R889" s="693">
        <f>+_xlfn.XLOOKUP(Tabla4[[#This Row],[ID CLIENTE]],'RESUMEN CLIENTES'!D:D,'RESUMEN CLIENTES'!G:G)</f>
        <v>46039</v>
      </c>
      <c r="S889" s="155" t="str">
        <f>+_xlfn.XLOOKUP(Tabla4[[#This Row],[ID CLIENTE]],'RESUMEN CLIENTES'!D:D,'RESUMEN CLIENTES'!AA:AA)</f>
        <v>B2.1</v>
      </c>
      <c r="T889" s="682" t="str">
        <f>+_xlfn.XLOOKUP(Tabla4[[#This Row],[ID CLIENTE]],'RESUMEN CLIENTES'!D:D,'RESUMEN CLIENTES'!C:C)</f>
        <v>México</v>
      </c>
    </row>
    <row r="890" spans="1:20" ht="16">
      <c r="A890" s="82">
        <v>46040</v>
      </c>
      <c r="B890" s="305" t="str">
        <f>+_xlfn.XLOOKUP(Tabla4[[#This Row],[ID CLIENTE]],'RESUMEN CLIENTES'!D:D,'RESUMEN CLIENTES'!A:A)</f>
        <v>Nancy Gisselle Molinari Cheme</v>
      </c>
      <c r="C890" s="215" t="s">
        <v>2212</v>
      </c>
      <c r="D890" s="83" t="s">
        <v>247</v>
      </c>
      <c r="E890" s="83" t="s">
        <v>1934</v>
      </c>
      <c r="F890" s="83" t="s">
        <v>1935</v>
      </c>
      <c r="G890" s="114">
        <v>1000</v>
      </c>
      <c r="H890" s="85">
        <v>-32.75</v>
      </c>
      <c r="I890" s="115">
        <f t="shared" si="28"/>
        <v>3.2750000000000001E-2</v>
      </c>
      <c r="J890" s="87">
        <f t="shared" si="29"/>
        <v>967.25</v>
      </c>
      <c r="K890" s="87"/>
      <c r="L890" s="87" t="s">
        <v>4672</v>
      </c>
      <c r="M890" s="87"/>
      <c r="N890" s="524"/>
      <c r="O890" s="522">
        <f>+Tabla4[[#This Row],[PAGO NO EURO]]+Tabla4[[#This Row],[CARGO NO EURO]]</f>
        <v>0</v>
      </c>
      <c r="P890" s="524"/>
      <c r="Q890" s="155"/>
      <c r="R890" s="693">
        <f>+_xlfn.XLOOKUP(Tabla4[[#This Row],[ID CLIENTE]],'RESUMEN CLIENTES'!D:D,'RESUMEN CLIENTES'!G:G)</f>
        <v>45794</v>
      </c>
      <c r="S890" s="155" t="str">
        <f>+_xlfn.XLOOKUP(Tabla4[[#This Row],[ID CLIENTE]],'RESUMEN CLIENTES'!D:D,'RESUMEN CLIENTES'!AA:AA)</f>
        <v>B1.1</v>
      </c>
      <c r="T890" s="682" t="str">
        <f>+_xlfn.XLOOKUP(Tabla4[[#This Row],[ID CLIENTE]],'RESUMEN CLIENTES'!D:D,'RESUMEN CLIENTES'!C:C)</f>
        <v>Perú</v>
      </c>
    </row>
    <row r="891" spans="1:20" ht="16">
      <c r="A891" s="305">
        <v>46040</v>
      </c>
      <c r="B891" s="305" t="str">
        <f>+_xlfn.XLOOKUP(Tabla4[[#This Row],[ID CLIENTE]],'RESUMEN CLIENTES'!D:D,'RESUMEN CLIENTES'!A:A)</f>
        <v>Karenn Yadira Tavera Lara</v>
      </c>
      <c r="C891" s="215" t="s">
        <v>2424</v>
      </c>
      <c r="D891" s="83" t="s">
        <v>1001</v>
      </c>
      <c r="E891" s="83" t="s">
        <v>1943</v>
      </c>
      <c r="F891" s="83" t="s">
        <v>1944</v>
      </c>
      <c r="G891" s="114">
        <v>1000</v>
      </c>
      <c r="H891" s="85">
        <v>-32.75</v>
      </c>
      <c r="I891" s="115">
        <f t="shared" si="28"/>
        <v>3.2750000000000001E-2</v>
      </c>
      <c r="J891" s="87">
        <f t="shared" si="29"/>
        <v>967.25</v>
      </c>
      <c r="K891" s="308"/>
      <c r="L891" s="308" t="s">
        <v>4672</v>
      </c>
      <c r="M891" s="308"/>
      <c r="N891" s="522"/>
      <c r="O891" s="522">
        <f>+Tabla4[[#This Row],[PAGO NO EURO]]+Tabla4[[#This Row],[CARGO NO EURO]]</f>
        <v>0</v>
      </c>
      <c r="P891" s="522"/>
      <c r="Q891" s="155"/>
      <c r="R891" s="693">
        <f>+_xlfn.XLOOKUP(Tabla4[[#This Row],[ID CLIENTE]],'RESUMEN CLIENTES'!D:D,'RESUMEN CLIENTES'!G:G)</f>
        <v>45919</v>
      </c>
      <c r="S891" s="155" t="str">
        <f>+_xlfn.XLOOKUP(Tabla4[[#This Row],[ID CLIENTE]],'RESUMEN CLIENTES'!D:D,'RESUMEN CLIENTES'!AA:AA)</f>
        <v>A1.1</v>
      </c>
      <c r="T891" s="682" t="str">
        <f>+_xlfn.XLOOKUP(Tabla4[[#This Row],[ID CLIENTE]],'RESUMEN CLIENTES'!D:D,'RESUMEN CLIENTES'!C:C)</f>
        <v>México</v>
      </c>
    </row>
    <row r="892" spans="1:20" ht="16">
      <c r="A892" s="305">
        <v>46041</v>
      </c>
      <c r="B892" s="305" t="str">
        <f>+_xlfn.XLOOKUP(Tabla4[[#This Row],[ID CLIENTE]],'RESUMEN CLIENTES'!D:D,'RESUMEN CLIENTES'!A:A)</f>
        <v>Fernanda Constanza Kompai Antu Arellano Guzmán</v>
      </c>
      <c r="C892" s="215" t="s">
        <v>2509</v>
      </c>
      <c r="D892" s="83" t="s">
        <v>1945</v>
      </c>
      <c r="E892" s="83" t="s">
        <v>1946</v>
      </c>
      <c r="F892" s="83" t="s">
        <v>1947</v>
      </c>
      <c r="G892" s="114">
        <v>250</v>
      </c>
      <c r="H892" s="85">
        <v>-8.3800000000000008</v>
      </c>
      <c r="I892" s="115">
        <f t="shared" si="28"/>
        <v>3.3520000000000001E-2</v>
      </c>
      <c r="J892" s="87">
        <f t="shared" si="29"/>
        <v>241.62</v>
      </c>
      <c r="K892" s="308"/>
      <c r="L892" s="308" t="s">
        <v>4672</v>
      </c>
      <c r="M892" s="308"/>
      <c r="N892" s="522"/>
      <c r="O892" s="522">
        <f>+Tabla4[[#This Row],[PAGO NO EURO]]+Tabla4[[#This Row],[CARGO NO EURO]]</f>
        <v>0</v>
      </c>
      <c r="P892" s="522"/>
      <c r="Q892" s="155"/>
      <c r="R892" s="693">
        <f>+_xlfn.XLOOKUP(Tabla4[[#This Row],[ID CLIENTE]],'RESUMEN CLIENTES'!D:D,'RESUMEN CLIENTES'!G:G)</f>
        <v>46041</v>
      </c>
      <c r="S892" s="155" t="str">
        <f>+_xlfn.XLOOKUP(Tabla4[[#This Row],[ID CLIENTE]],'RESUMEN CLIENTES'!D:D,'RESUMEN CLIENTES'!AA:AA)</f>
        <v>A1.1</v>
      </c>
      <c r="T892" s="682" t="str">
        <f>+_xlfn.XLOOKUP(Tabla4[[#This Row],[ID CLIENTE]],'RESUMEN CLIENTES'!D:D,'RESUMEN CLIENTES'!C:C)</f>
        <v>Chile</v>
      </c>
    </row>
    <row r="893" spans="1:20" ht="16">
      <c r="A893" s="305">
        <v>46041</v>
      </c>
      <c r="B893" s="305" t="str">
        <f>+_xlfn.XLOOKUP(Tabla4[[#This Row],[ID CLIENTE]],'RESUMEN CLIENTES'!D:D,'RESUMEN CLIENTES'!A:A)</f>
        <v>Elaine Acosta Cabrera</v>
      </c>
      <c r="C893" s="215" t="s">
        <v>2315</v>
      </c>
      <c r="D893" s="83" t="s">
        <v>519</v>
      </c>
      <c r="E893" s="83" t="s">
        <v>1941</v>
      </c>
      <c r="F893" s="83" t="s">
        <v>1942</v>
      </c>
      <c r="G893" s="114">
        <v>750</v>
      </c>
      <c r="H893" s="85">
        <v>-24.63</v>
      </c>
      <c r="I893" s="115">
        <f t="shared" si="28"/>
        <v>3.2840000000000001E-2</v>
      </c>
      <c r="J893" s="87">
        <f t="shared" si="29"/>
        <v>725.37</v>
      </c>
      <c r="K893" s="308"/>
      <c r="L893" s="308" t="s">
        <v>4672</v>
      </c>
      <c r="M893" s="308"/>
      <c r="N893" s="522"/>
      <c r="O893" s="522">
        <f>+Tabla4[[#This Row],[PAGO NO EURO]]+Tabla4[[#This Row],[CARGO NO EURO]]</f>
        <v>0</v>
      </c>
      <c r="P893" s="522"/>
      <c r="Q893" s="155"/>
      <c r="R893" s="693">
        <f>+_xlfn.XLOOKUP(Tabla4[[#This Row],[ID CLIENTE]],'RESUMEN CLIENTES'!D:D,'RESUMEN CLIENTES'!G:G)</f>
        <v>45864</v>
      </c>
      <c r="S893" s="155" t="str">
        <f>+_xlfn.XLOOKUP(Tabla4[[#This Row],[ID CLIENTE]],'RESUMEN CLIENTES'!D:D,'RESUMEN CLIENTES'!AA:AA)</f>
        <v>A1.1</v>
      </c>
      <c r="T893" s="682" t="str">
        <f>+_xlfn.XLOOKUP(Tabla4[[#This Row],[ID CLIENTE]],'RESUMEN CLIENTES'!D:D,'RESUMEN CLIENTES'!C:C)</f>
        <v>República Dominicana</v>
      </c>
    </row>
    <row r="894" spans="1:20" ht="16">
      <c r="A894" s="305">
        <v>46042</v>
      </c>
      <c r="B894" s="305" t="str">
        <f>+_xlfn.XLOOKUP(Tabla4[[#This Row],[ID CLIENTE]],'RESUMEN CLIENTES'!D:D,'RESUMEN CLIENTES'!A:A)</f>
        <v>David Enrique Díaz Mejía</v>
      </c>
      <c r="C894" s="312" t="s">
        <v>2189</v>
      </c>
      <c r="D894" s="83" t="s">
        <v>90</v>
      </c>
      <c r="E894" s="83" t="s">
        <v>1914</v>
      </c>
      <c r="F894" s="83" t="s">
        <v>1915</v>
      </c>
      <c r="G894" s="114">
        <v>1000</v>
      </c>
      <c r="H894" s="85">
        <v>0</v>
      </c>
      <c r="I894" s="115">
        <f t="shared" si="28"/>
        <v>0</v>
      </c>
      <c r="J894" s="87">
        <f t="shared" si="29"/>
        <v>1000</v>
      </c>
      <c r="K894" s="308"/>
      <c r="L894" s="308" t="s">
        <v>4672</v>
      </c>
      <c r="M894" s="308"/>
      <c r="N894" s="522"/>
      <c r="O894" s="522">
        <f>+Tabla4[[#This Row],[PAGO NO EURO]]+Tabla4[[#This Row],[CARGO NO EURO]]</f>
        <v>0</v>
      </c>
      <c r="P894" s="522"/>
      <c r="Q894" s="155"/>
      <c r="R894" s="693">
        <f>+_xlfn.XLOOKUP(Tabla4[[#This Row],[ID CLIENTE]],'RESUMEN CLIENTES'!D:D,'RESUMEN CLIENTES'!G:G)</f>
        <v>45774</v>
      </c>
      <c r="S894" s="155" t="str">
        <f>+_xlfn.XLOOKUP(Tabla4[[#This Row],[ID CLIENTE]],'RESUMEN CLIENTES'!D:D,'RESUMEN CLIENTES'!AA:AA)</f>
        <v>A1.1</v>
      </c>
      <c r="T894" s="682" t="str">
        <f>+_xlfn.XLOOKUP(Tabla4[[#This Row],[ID CLIENTE]],'RESUMEN CLIENTES'!D:D,'RESUMEN CLIENTES'!C:C)</f>
        <v>Honduras</v>
      </c>
    </row>
    <row r="895" spans="1:20" ht="16">
      <c r="A895" s="305">
        <v>46042</v>
      </c>
      <c r="B895" s="305" t="str">
        <f>+_xlfn.XLOOKUP(Tabla4[[#This Row],[ID CLIENTE]],'RESUMEN CLIENTES'!D:D,'RESUMEN CLIENTES'!A:A)</f>
        <v>Keidwin Perez</v>
      </c>
      <c r="C895" s="215" t="s">
        <v>2337</v>
      </c>
      <c r="D895" s="83" t="s">
        <v>587</v>
      </c>
      <c r="E895" s="83" t="s">
        <v>1950</v>
      </c>
      <c r="F895" s="83" t="s">
        <v>1951</v>
      </c>
      <c r="G895" s="114">
        <v>750</v>
      </c>
      <c r="H895" s="85">
        <v>-24.63</v>
      </c>
      <c r="I895" s="115">
        <f t="shared" si="28"/>
        <v>3.2840000000000001E-2</v>
      </c>
      <c r="J895" s="87">
        <f t="shared" si="29"/>
        <v>725.37</v>
      </c>
      <c r="K895" s="308"/>
      <c r="L895" s="308" t="s">
        <v>4672</v>
      </c>
      <c r="M895" s="308"/>
      <c r="N895" s="522"/>
      <c r="O895" s="522">
        <f>+Tabla4[[#This Row],[PAGO NO EURO]]+Tabla4[[#This Row],[CARGO NO EURO]]</f>
        <v>0</v>
      </c>
      <c r="P895" s="522"/>
      <c r="Q895" s="155"/>
      <c r="R895" s="693">
        <f>+_xlfn.XLOOKUP(Tabla4[[#This Row],[ID CLIENTE]],'RESUMEN CLIENTES'!D:D,'RESUMEN CLIENTES'!G:G)</f>
        <v>45869</v>
      </c>
      <c r="S895" s="155" t="str">
        <f>+_xlfn.XLOOKUP(Tabla4[[#This Row],[ID CLIENTE]],'RESUMEN CLIENTES'!D:D,'RESUMEN CLIENTES'!AA:AA)</f>
        <v>null</v>
      </c>
      <c r="T895" s="682" t="str">
        <f>+_xlfn.XLOOKUP(Tabla4[[#This Row],[ID CLIENTE]],'RESUMEN CLIENTES'!D:D,'RESUMEN CLIENTES'!C:C)</f>
        <v>Colombia</v>
      </c>
    </row>
    <row r="896" spans="1:20" ht="16">
      <c r="A896" s="305">
        <v>46043</v>
      </c>
      <c r="B896" s="305" t="str">
        <f>+_xlfn.XLOOKUP(Tabla4[[#This Row],[ID CLIENTE]],'RESUMEN CLIENTES'!D:D,'RESUMEN CLIENTES'!A:A)</f>
        <v>Astrid Mariam Enamorado Ortega</v>
      </c>
      <c r="C896" s="215" t="s">
        <v>2339</v>
      </c>
      <c r="D896" s="83" t="s">
        <v>574</v>
      </c>
      <c r="E896" s="83" t="s">
        <v>1948</v>
      </c>
      <c r="F896" s="83" t="s">
        <v>1949</v>
      </c>
      <c r="G896" s="114">
        <v>1200</v>
      </c>
      <c r="H896" s="85">
        <v>-39.25</v>
      </c>
      <c r="I896" s="115">
        <f t="shared" si="28"/>
        <v>3.2708333333333332E-2</v>
      </c>
      <c r="J896" s="87">
        <f t="shared" si="29"/>
        <v>1160.75</v>
      </c>
      <c r="K896" s="308"/>
      <c r="L896" s="308" t="s">
        <v>4672</v>
      </c>
      <c r="M896" s="308"/>
      <c r="N896" s="522"/>
      <c r="O896" s="522">
        <f>+Tabla4[[#This Row],[PAGO NO EURO]]+Tabla4[[#This Row],[CARGO NO EURO]]</f>
        <v>0</v>
      </c>
      <c r="P896" s="522"/>
      <c r="Q896" s="155"/>
      <c r="R896" s="693">
        <f>+_xlfn.XLOOKUP(Tabla4[[#This Row],[ID CLIENTE]],'RESUMEN CLIENTES'!D:D,'RESUMEN CLIENTES'!G:G)</f>
        <v>45869</v>
      </c>
      <c r="S896" s="155" t="str">
        <f>+_xlfn.XLOOKUP(Tabla4[[#This Row],[ID CLIENTE]],'RESUMEN CLIENTES'!D:D,'RESUMEN CLIENTES'!AA:AA)</f>
        <v>B2.1</v>
      </c>
      <c r="T896" s="682" t="str">
        <f>+_xlfn.XLOOKUP(Tabla4[[#This Row],[ID CLIENTE]],'RESUMEN CLIENTES'!D:D,'RESUMEN CLIENTES'!C:C)</f>
        <v>Honduras</v>
      </c>
    </row>
    <row r="897" spans="1:20" ht="16">
      <c r="A897" s="305">
        <v>46043</v>
      </c>
      <c r="B897" s="305" t="str">
        <f>+_xlfn.XLOOKUP(Tabla4[[#This Row],[ID CLIENTE]],'RESUMEN CLIENTES'!D:D,'RESUMEN CLIENTES'!A:A)</f>
        <v>Abdon Daniel Carrillo Escobar</v>
      </c>
      <c r="C897" s="215" t="s">
        <v>2511</v>
      </c>
      <c r="D897" s="83" t="s">
        <v>2512</v>
      </c>
      <c r="E897" s="83" t="s">
        <v>2644</v>
      </c>
      <c r="F897" s="83" t="s">
        <v>2645</v>
      </c>
      <c r="G897" s="114">
        <v>250</v>
      </c>
      <c r="H897" s="85">
        <v>-8.3800000000000008</v>
      </c>
      <c r="I897" s="115">
        <f t="shared" si="28"/>
        <v>3.3520000000000001E-2</v>
      </c>
      <c r="J897" s="87">
        <f t="shared" si="29"/>
        <v>241.62</v>
      </c>
      <c r="K897" s="308"/>
      <c r="L897" s="308" t="s">
        <v>4672</v>
      </c>
      <c r="M897" s="308"/>
      <c r="N897" s="522"/>
      <c r="O897" s="522">
        <f>+Tabla4[[#This Row],[PAGO NO EURO]]+Tabla4[[#This Row],[CARGO NO EURO]]</f>
        <v>0</v>
      </c>
      <c r="P897" s="522"/>
      <c r="Q897" s="155"/>
      <c r="R897" s="693">
        <f>+_xlfn.XLOOKUP(Tabla4[[#This Row],[ID CLIENTE]],'RESUMEN CLIENTES'!D:D,'RESUMEN CLIENTES'!G:G)</f>
        <v>46043</v>
      </c>
      <c r="S897" s="155" t="str">
        <f>+_xlfn.XLOOKUP(Tabla4[[#This Row],[ID CLIENTE]],'RESUMEN CLIENTES'!D:D,'RESUMEN CLIENTES'!AA:AA)</f>
        <v>B1.1</v>
      </c>
      <c r="T897" s="682" t="str">
        <f>+_xlfn.XLOOKUP(Tabla4[[#This Row],[ID CLIENTE]],'RESUMEN CLIENTES'!D:D,'RESUMEN CLIENTES'!C:C)</f>
        <v>Venezuela</v>
      </c>
    </row>
    <row r="898" spans="1:20" ht="16">
      <c r="A898" s="305">
        <v>46043</v>
      </c>
      <c r="B898" s="82" t="str">
        <f>+_xlfn.XLOOKUP(Tabla4[[#This Row],[ID CLIENTE]],'RESUMEN CLIENTES'!D:D,'RESUMEN CLIENTES'!A:A)</f>
        <v>Mateo Gabriel Martinez Dávila</v>
      </c>
      <c r="C898" s="215" t="s">
        <v>2193</v>
      </c>
      <c r="D898" s="83" t="s">
        <v>200</v>
      </c>
      <c r="E898" s="83" t="s">
        <v>1952</v>
      </c>
      <c r="F898" s="83" t="s">
        <v>1953</v>
      </c>
      <c r="G898" s="114">
        <v>500</v>
      </c>
      <c r="H898" s="85">
        <v>-16.5</v>
      </c>
      <c r="I898" s="115">
        <f t="shared" si="28"/>
        <v>3.3000000000000002E-2</v>
      </c>
      <c r="J898" s="87">
        <f t="shared" si="29"/>
        <v>483.5</v>
      </c>
      <c r="K898" s="87" t="s">
        <v>4676</v>
      </c>
      <c r="L898" s="87" t="s">
        <v>4672</v>
      </c>
      <c r="M898" s="87"/>
      <c r="N898" s="524"/>
      <c r="O898" s="524">
        <f>+Tabla4[[#This Row],[PAGO NO EURO]]+Tabla4[[#This Row],[CARGO NO EURO]]</f>
        <v>0</v>
      </c>
      <c r="P898" s="524"/>
      <c r="Q898" s="155"/>
      <c r="R898" s="693">
        <f>+_xlfn.XLOOKUP(Tabla4[[#This Row],[ID CLIENTE]],'RESUMEN CLIENTES'!D:D,'RESUMEN CLIENTES'!G:G)</f>
        <v>45777</v>
      </c>
      <c r="S898" s="155" t="str">
        <f>+_xlfn.XLOOKUP(Tabla4[[#This Row],[ID CLIENTE]],'RESUMEN CLIENTES'!D:D,'RESUMEN CLIENTES'!AA:AA)</f>
        <v>A1.1</v>
      </c>
      <c r="T898" s="682" t="str">
        <f>+_xlfn.XLOOKUP(Tabla4[[#This Row],[ID CLIENTE]],'RESUMEN CLIENTES'!D:D,'RESUMEN CLIENTES'!C:C)</f>
        <v>Bolivia</v>
      </c>
    </row>
    <row r="899" spans="1:20" ht="16">
      <c r="A899" s="305">
        <v>46044</v>
      </c>
      <c r="B899" s="82" t="str">
        <f>+_xlfn.XLOOKUP(Tabla4[[#This Row],[ID CLIENTE]],'RESUMEN CLIENTES'!D:D,'RESUMEN CLIENTES'!A:A)</f>
        <v>Jordan Eliecer Toledo Bravo</v>
      </c>
      <c r="C899" s="215" t="s">
        <v>2158</v>
      </c>
      <c r="D899" s="83" t="s">
        <v>142</v>
      </c>
      <c r="E899" s="83" t="s">
        <v>1954</v>
      </c>
      <c r="F899" s="83" t="s">
        <v>1955</v>
      </c>
      <c r="G899" s="114">
        <v>500</v>
      </c>
      <c r="H899" s="85">
        <v>-16.5</v>
      </c>
      <c r="I899" s="115">
        <f t="shared" si="28"/>
        <v>3.3000000000000002E-2</v>
      </c>
      <c r="J899" s="87">
        <f t="shared" si="29"/>
        <v>483.5</v>
      </c>
      <c r="K899" s="87"/>
      <c r="L899" s="87" t="s">
        <v>4672</v>
      </c>
      <c r="M899" s="87"/>
      <c r="N899" s="524"/>
      <c r="O899" s="524">
        <f>+Tabla4[[#This Row],[PAGO NO EURO]]+Tabla4[[#This Row],[CARGO NO EURO]]</f>
        <v>0</v>
      </c>
      <c r="P899" s="524"/>
      <c r="Q899" s="155"/>
      <c r="R899" s="693">
        <f>+_xlfn.XLOOKUP(Tabla4[[#This Row],[ID CLIENTE]],'RESUMEN CLIENTES'!D:D,'RESUMEN CLIENTES'!G:G)</f>
        <v>45748</v>
      </c>
      <c r="S899" s="155" t="str">
        <f>+_xlfn.XLOOKUP(Tabla4[[#This Row],[ID CLIENTE]],'RESUMEN CLIENTES'!D:D,'RESUMEN CLIENTES'!AA:AA)</f>
        <v>A1.1</v>
      </c>
      <c r="T899" s="682" t="str">
        <f>+_xlfn.XLOOKUP(Tabla4[[#This Row],[ID CLIENTE]],'RESUMEN CLIENTES'!D:D,'RESUMEN CLIENTES'!C:C)</f>
        <v>Chile</v>
      </c>
    </row>
    <row r="900" spans="1:20" ht="16">
      <c r="A900" s="305">
        <v>46044</v>
      </c>
      <c r="B900" s="82" t="str">
        <f>+_xlfn.XLOOKUP(Tabla4[[#This Row],[ID CLIENTE]],'RESUMEN CLIENTES'!D:D,'RESUMEN CLIENTES'!A:A)</f>
        <v>Fernanda Castro</v>
      </c>
      <c r="C900" s="215" t="s">
        <v>2218</v>
      </c>
      <c r="D900" s="83" t="s">
        <v>250</v>
      </c>
      <c r="E900" s="83" t="s">
        <v>1961</v>
      </c>
      <c r="F900" s="83" t="s">
        <v>1962</v>
      </c>
      <c r="G900" s="114">
        <v>1000</v>
      </c>
      <c r="H900" s="85">
        <v>-32.75</v>
      </c>
      <c r="I900" s="115">
        <f t="shared" si="28"/>
        <v>3.2750000000000001E-2</v>
      </c>
      <c r="J900" s="87">
        <f t="shared" si="29"/>
        <v>967.25</v>
      </c>
      <c r="K900" s="87"/>
      <c r="L900" s="87" t="s">
        <v>4672</v>
      </c>
      <c r="M900" s="87"/>
      <c r="N900" s="524"/>
      <c r="O900" s="524">
        <f>+Tabla4[[#This Row],[PAGO NO EURO]]+Tabla4[[#This Row],[CARGO NO EURO]]</f>
        <v>0</v>
      </c>
      <c r="P900" s="524"/>
      <c r="Q900" s="155"/>
      <c r="R900" s="693">
        <f>+_xlfn.XLOOKUP(Tabla4[[#This Row],[ID CLIENTE]],'RESUMEN CLIENTES'!D:D,'RESUMEN CLIENTES'!G:G)</f>
        <v>45803</v>
      </c>
      <c r="S900" s="155" t="str">
        <f>+_xlfn.XLOOKUP(Tabla4[[#This Row],[ID CLIENTE]],'RESUMEN CLIENTES'!D:D,'RESUMEN CLIENTES'!AA:AA)</f>
        <v>A2.1</v>
      </c>
      <c r="T900" s="682" t="str">
        <f>+_xlfn.XLOOKUP(Tabla4[[#This Row],[ID CLIENTE]],'RESUMEN CLIENTES'!D:D,'RESUMEN CLIENTES'!C:C)</f>
        <v>Ecuador</v>
      </c>
    </row>
    <row r="901" spans="1:20" ht="16">
      <c r="A901" s="305">
        <v>46044</v>
      </c>
      <c r="B901" s="305" t="str">
        <f>+_xlfn.XLOOKUP(Tabla4[[#This Row],[ID CLIENTE]],'RESUMEN CLIENTES'!D:D,'RESUMEN CLIENTES'!A:A)</f>
        <v>Daniel David Mendez Parraga</v>
      </c>
      <c r="C901" s="215" t="s">
        <v>2515</v>
      </c>
      <c r="D901" s="83" t="s">
        <v>1956</v>
      </c>
      <c r="E901" s="83" t="s">
        <v>1957</v>
      </c>
      <c r="F901" s="83" t="s">
        <v>1958</v>
      </c>
      <c r="G901" s="114">
        <v>250</v>
      </c>
      <c r="H901" s="85">
        <v>-8.3800000000000008</v>
      </c>
      <c r="I901" s="115">
        <f t="shared" si="28"/>
        <v>3.3520000000000001E-2</v>
      </c>
      <c r="J901" s="87">
        <f t="shared" si="29"/>
        <v>241.62</v>
      </c>
      <c r="K901" s="87"/>
      <c r="L901" s="87" t="s">
        <v>4672</v>
      </c>
      <c r="M901" s="87"/>
      <c r="N901" s="524"/>
      <c r="O901" s="522">
        <f>+Tabla4[[#This Row],[PAGO NO EURO]]+Tabla4[[#This Row],[CARGO NO EURO]]</f>
        <v>0</v>
      </c>
      <c r="P901" s="524"/>
      <c r="Q901" s="155"/>
      <c r="R901" s="693">
        <f>+_xlfn.XLOOKUP(Tabla4[[#This Row],[ID CLIENTE]],'RESUMEN CLIENTES'!D:D,'RESUMEN CLIENTES'!G:G)</f>
        <v>46044</v>
      </c>
      <c r="S901" s="155" t="str">
        <f>+_xlfn.XLOOKUP(Tabla4[[#This Row],[ID CLIENTE]],'RESUMEN CLIENTES'!D:D,'RESUMEN CLIENTES'!AA:AA)</f>
        <v>C1.1</v>
      </c>
      <c r="T901" s="682" t="str">
        <f>+_xlfn.XLOOKUP(Tabla4[[#This Row],[ID CLIENTE]],'RESUMEN CLIENTES'!D:D,'RESUMEN CLIENTES'!C:C)</f>
        <v>Venezuela</v>
      </c>
    </row>
    <row r="902" spans="1:20" ht="16">
      <c r="A902" s="305">
        <v>46044</v>
      </c>
      <c r="B902" s="82" t="str">
        <f>+_xlfn.XLOOKUP(Tabla4[[#This Row],[ID CLIENTE]],'RESUMEN CLIENTES'!D:D,'RESUMEN CLIENTES'!A:A)</f>
        <v>Daniel David Mendez Parraga</v>
      </c>
      <c r="C902" s="215" t="s">
        <v>2515</v>
      </c>
      <c r="D902" s="83" t="s">
        <v>1956</v>
      </c>
      <c r="E902" s="83" t="s">
        <v>1959</v>
      </c>
      <c r="F902" s="83" t="s">
        <v>1960</v>
      </c>
      <c r="G902" s="114">
        <v>1250</v>
      </c>
      <c r="H902" s="85">
        <v>-40.880000000000003</v>
      </c>
      <c r="I902" s="115">
        <f t="shared" si="28"/>
        <v>3.2704000000000004E-2</v>
      </c>
      <c r="J902" s="87">
        <f t="shared" si="29"/>
        <v>1209.1199999999999</v>
      </c>
      <c r="K902" s="87"/>
      <c r="L902" s="87" t="s">
        <v>4672</v>
      </c>
      <c r="M902" s="87"/>
      <c r="N902" s="524"/>
      <c r="O902" s="524">
        <f>+Tabla4[[#This Row],[PAGO NO EURO]]+Tabla4[[#This Row],[CARGO NO EURO]]</f>
        <v>0</v>
      </c>
      <c r="P902" s="524"/>
      <c r="Q902" s="155"/>
      <c r="R902" s="693">
        <f>+_xlfn.XLOOKUP(Tabla4[[#This Row],[ID CLIENTE]],'RESUMEN CLIENTES'!D:D,'RESUMEN CLIENTES'!G:G)</f>
        <v>46044</v>
      </c>
      <c r="S902" s="155" t="str">
        <f>+_xlfn.XLOOKUP(Tabla4[[#This Row],[ID CLIENTE]],'RESUMEN CLIENTES'!D:D,'RESUMEN CLIENTES'!AA:AA)</f>
        <v>C1.1</v>
      </c>
      <c r="T902" s="682" t="str">
        <f>+_xlfn.XLOOKUP(Tabla4[[#This Row],[ID CLIENTE]],'RESUMEN CLIENTES'!D:D,'RESUMEN CLIENTES'!C:C)</f>
        <v>Venezuela</v>
      </c>
    </row>
    <row r="903" spans="1:20" ht="16">
      <c r="A903" s="305">
        <v>46044</v>
      </c>
      <c r="B903" s="82" t="str">
        <f>+_xlfn.XLOOKUP(Tabla4[[#This Row],[ID CLIENTE]],'RESUMEN CLIENTES'!D:D,'RESUMEN CLIENTES'!A:A)</f>
        <v>Bastian Sofjer Peralta</v>
      </c>
      <c r="C903" s="215" t="s">
        <v>2172</v>
      </c>
      <c r="D903" s="83" t="s">
        <v>162</v>
      </c>
      <c r="E903" s="83" t="s">
        <v>1969</v>
      </c>
      <c r="F903" s="83" t="s">
        <v>1970</v>
      </c>
      <c r="G903" s="114">
        <v>900</v>
      </c>
      <c r="H903" s="85">
        <v>-29.5</v>
      </c>
      <c r="I903" s="115">
        <f t="shared" si="28"/>
        <v>3.2777777777777781E-2</v>
      </c>
      <c r="J903" s="87">
        <f t="shared" si="29"/>
        <v>870.5</v>
      </c>
      <c r="K903" s="87"/>
      <c r="L903" s="87" t="s">
        <v>4672</v>
      </c>
      <c r="M903" s="87"/>
      <c r="N903" s="524"/>
      <c r="O903" s="524">
        <f>+Tabla4[[#This Row],[PAGO NO EURO]]+Tabla4[[#This Row],[CARGO NO EURO]]</f>
        <v>0</v>
      </c>
      <c r="P903" s="524"/>
      <c r="Q903" s="155"/>
      <c r="R903" s="693">
        <f>+_xlfn.XLOOKUP(Tabla4[[#This Row],[ID CLIENTE]],'RESUMEN CLIENTES'!D:D,'RESUMEN CLIENTES'!G:G)</f>
        <v>45758</v>
      </c>
      <c r="S903" s="155" t="str">
        <f>+_xlfn.XLOOKUP(Tabla4[[#This Row],[ID CLIENTE]],'RESUMEN CLIENTES'!D:D,'RESUMEN CLIENTES'!AA:AA)</f>
        <v>A1.1</v>
      </c>
      <c r="T903" s="682" t="str">
        <f>+_xlfn.XLOOKUP(Tabla4[[#This Row],[ID CLIENTE]],'RESUMEN CLIENTES'!D:D,'RESUMEN CLIENTES'!C:C)</f>
        <v>Chile</v>
      </c>
    </row>
    <row r="904" spans="1:20" ht="16">
      <c r="A904" s="305">
        <v>46045</v>
      </c>
      <c r="B904" s="305" t="str">
        <f>+_xlfn.XLOOKUP(Tabla4[[#This Row],[ID CLIENTE]],'RESUMEN CLIENTES'!D:D,'RESUMEN CLIENTES'!A:A)</f>
        <v>Raúl Ernesto Martínez Orantes</v>
      </c>
      <c r="C904" s="215" t="s">
        <v>2422</v>
      </c>
      <c r="D904" s="83" t="s">
        <v>994</v>
      </c>
      <c r="E904" s="83" t="s">
        <v>1963</v>
      </c>
      <c r="F904" s="83" t="s">
        <v>1964</v>
      </c>
      <c r="G904" s="114">
        <v>850</v>
      </c>
      <c r="H904" s="85">
        <v>-27.88</v>
      </c>
      <c r="I904" s="115">
        <f t="shared" si="28"/>
        <v>3.2799999999999996E-2</v>
      </c>
      <c r="J904" s="87">
        <f t="shared" si="29"/>
        <v>822.12</v>
      </c>
      <c r="K904" s="87"/>
      <c r="L904" s="87" t="s">
        <v>4672</v>
      </c>
      <c r="M904" s="87"/>
      <c r="N904" s="524"/>
      <c r="O904" s="522">
        <f>+Tabla4[[#This Row],[PAGO NO EURO]]+Tabla4[[#This Row],[CARGO NO EURO]]</f>
        <v>0</v>
      </c>
      <c r="P904" s="524"/>
      <c r="Q904" s="155"/>
      <c r="R904" s="693">
        <f>+_xlfn.XLOOKUP(Tabla4[[#This Row],[ID CLIENTE]],'RESUMEN CLIENTES'!D:D,'RESUMEN CLIENTES'!G:G)</f>
        <v>45916</v>
      </c>
      <c r="S904" s="155" t="str">
        <f>+_xlfn.XLOOKUP(Tabla4[[#This Row],[ID CLIENTE]],'RESUMEN CLIENTES'!D:D,'RESUMEN CLIENTES'!AA:AA)</f>
        <v>A1.1</v>
      </c>
      <c r="T904" s="682" t="str">
        <f>+_xlfn.XLOOKUP(Tabla4[[#This Row],[ID CLIENTE]],'RESUMEN CLIENTES'!D:D,'RESUMEN CLIENTES'!C:C)</f>
        <v>El Salvador</v>
      </c>
    </row>
    <row r="905" spans="1:20" ht="16">
      <c r="A905" s="305">
        <v>46045</v>
      </c>
      <c r="B905" s="305" t="str">
        <f>+_xlfn.XLOOKUP(Tabla4[[#This Row],[ID CLIENTE]],'RESUMEN CLIENTES'!D:D,'RESUMEN CLIENTES'!A:A)</f>
        <v>Laura Giraldo</v>
      </c>
      <c r="C905" s="215" t="s">
        <v>2503</v>
      </c>
      <c r="D905" s="83" t="s">
        <v>1875</v>
      </c>
      <c r="E905" s="83" t="s">
        <v>1927</v>
      </c>
      <c r="F905" s="83" t="s">
        <v>1928</v>
      </c>
      <c r="G905" s="114">
        <v>2050</v>
      </c>
      <c r="H905" s="85">
        <v>-66.88</v>
      </c>
      <c r="I905" s="115">
        <f t="shared" si="28"/>
        <v>3.2624390243902436E-2</v>
      </c>
      <c r="J905" s="87">
        <f t="shared" si="29"/>
        <v>1983.12</v>
      </c>
      <c r="K905" s="87"/>
      <c r="L905" s="87" t="s">
        <v>4672</v>
      </c>
      <c r="M905" s="87"/>
      <c r="N905" s="524"/>
      <c r="O905" s="522">
        <f>+Tabla4[[#This Row],[PAGO NO EURO]]+Tabla4[[#This Row],[CARGO NO EURO]]</f>
        <v>0</v>
      </c>
      <c r="P905" s="524"/>
      <c r="Q905" s="155"/>
      <c r="R905" s="693">
        <f>+_xlfn.XLOOKUP(Tabla4[[#This Row],[ID CLIENTE]],'RESUMEN CLIENTES'!D:D,'RESUMEN CLIENTES'!G:G)</f>
        <v>46035</v>
      </c>
      <c r="S905" s="155" t="str">
        <f>+_xlfn.XLOOKUP(Tabla4[[#This Row],[ID CLIENTE]],'RESUMEN CLIENTES'!D:D,'RESUMEN CLIENTES'!AA:AA)</f>
        <v>-</v>
      </c>
      <c r="T905" s="682" t="str">
        <f>+_xlfn.XLOOKUP(Tabla4[[#This Row],[ID CLIENTE]],'RESUMEN CLIENTES'!D:D,'RESUMEN CLIENTES'!C:C)</f>
        <v>Colombia</v>
      </c>
    </row>
    <row r="906" spans="1:20" ht="16">
      <c r="A906" s="305">
        <v>46045</v>
      </c>
      <c r="B906" s="305" t="str">
        <f>+_xlfn.XLOOKUP(Tabla4[[#This Row],[ID CLIENTE]],'RESUMEN CLIENTES'!D:D,'RESUMEN CLIENTES'!A:A)</f>
        <v>Josué Bernardo Reyes Flores</v>
      </c>
      <c r="C906" s="215" t="s">
        <v>2505</v>
      </c>
      <c r="D906" s="83" t="s">
        <v>1931</v>
      </c>
      <c r="E906" s="83" t="s">
        <v>1965</v>
      </c>
      <c r="F906" s="83" t="s">
        <v>1966</v>
      </c>
      <c r="G906" s="114">
        <v>2750</v>
      </c>
      <c r="H906" s="85">
        <v>-89.63</v>
      </c>
      <c r="I906" s="115">
        <f t="shared" si="28"/>
        <v>3.2592727272727273E-2</v>
      </c>
      <c r="J906" s="87">
        <f t="shared" si="29"/>
        <v>2660.37</v>
      </c>
      <c r="K906" s="87"/>
      <c r="L906" s="87" t="s">
        <v>4672</v>
      </c>
      <c r="M906" s="87"/>
      <c r="N906" s="524"/>
      <c r="O906" s="522">
        <f>+Tabla4[[#This Row],[PAGO NO EURO]]+Tabla4[[#This Row],[CARGO NO EURO]]</f>
        <v>0</v>
      </c>
      <c r="P906" s="524"/>
      <c r="Q906" s="155"/>
      <c r="R906" s="693">
        <f>+_xlfn.XLOOKUP(Tabla4[[#This Row],[ID CLIENTE]],'RESUMEN CLIENTES'!D:D,'RESUMEN CLIENTES'!G:G)</f>
        <v>46039</v>
      </c>
      <c r="S906" s="155" t="str">
        <f>+_xlfn.XLOOKUP(Tabla4[[#This Row],[ID CLIENTE]],'RESUMEN CLIENTES'!D:D,'RESUMEN CLIENTES'!AA:AA)</f>
        <v>C1.1</v>
      </c>
      <c r="T906" s="682" t="str">
        <f>+_xlfn.XLOOKUP(Tabla4[[#This Row],[ID CLIENTE]],'RESUMEN CLIENTES'!D:D,'RESUMEN CLIENTES'!C:C)</f>
        <v>México</v>
      </c>
    </row>
    <row r="907" spans="1:20" ht="16">
      <c r="A907" s="305">
        <v>46046</v>
      </c>
      <c r="B907" s="305" t="str">
        <f>+_xlfn.XLOOKUP(Tabla4[[#This Row],[ID CLIENTE]],'RESUMEN CLIENTES'!D:D,'RESUMEN CLIENTES'!A:A)</f>
        <v>Maryori Elizabeth Ramos Tapia</v>
      </c>
      <c r="C907" s="215" t="s">
        <v>2225</v>
      </c>
      <c r="D907" s="83" t="s">
        <v>261</v>
      </c>
      <c r="E907" s="83" t="s">
        <v>1967</v>
      </c>
      <c r="F907" s="83" t="s">
        <v>1968</v>
      </c>
      <c r="G907" s="114">
        <v>1000</v>
      </c>
      <c r="H907" s="85">
        <v>-32.75</v>
      </c>
      <c r="I907" s="115">
        <f t="shared" si="28"/>
        <v>3.2750000000000001E-2</v>
      </c>
      <c r="J907" s="87">
        <f t="shared" si="29"/>
        <v>967.25</v>
      </c>
      <c r="K907" s="87"/>
      <c r="L907" s="87" t="s">
        <v>4672</v>
      </c>
      <c r="M907" s="87"/>
      <c r="N907" s="524"/>
      <c r="O907" s="522">
        <f>+Tabla4[[#This Row],[PAGO NO EURO]]+Tabla4[[#This Row],[CARGO NO EURO]]</f>
        <v>0</v>
      </c>
      <c r="P907" s="524"/>
      <c r="Q907" s="155"/>
      <c r="R907" s="693">
        <f>+_xlfn.XLOOKUP(Tabla4[[#This Row],[ID CLIENTE]],'RESUMEN CLIENTES'!D:D,'RESUMEN CLIENTES'!G:G)</f>
        <v>45807</v>
      </c>
      <c r="S907" s="155" t="str">
        <f>+_xlfn.XLOOKUP(Tabla4[[#This Row],[ID CLIENTE]],'RESUMEN CLIENTES'!D:D,'RESUMEN CLIENTES'!AA:AA)</f>
        <v>A1.1</v>
      </c>
      <c r="T907" s="682" t="str">
        <f>+_xlfn.XLOOKUP(Tabla4[[#This Row],[ID CLIENTE]],'RESUMEN CLIENTES'!D:D,'RESUMEN CLIENTES'!C:C)</f>
        <v>Perú</v>
      </c>
    </row>
    <row r="908" spans="1:20" ht="16">
      <c r="A908" s="305">
        <v>46046</v>
      </c>
      <c r="B908" s="305" t="str">
        <f>+_xlfn.XLOOKUP(Tabla4[[#This Row],[ID CLIENTE]],'RESUMEN CLIENTES'!D:D,'RESUMEN CLIENTES'!A:A)</f>
        <v>Sofia Martínez Restrepo</v>
      </c>
      <c r="C908" s="215" t="s">
        <v>2366</v>
      </c>
      <c r="D908" s="83" t="s">
        <v>716</v>
      </c>
      <c r="E908" s="83" t="s">
        <v>1982</v>
      </c>
      <c r="F908" s="83" t="s">
        <v>1983</v>
      </c>
      <c r="G908" s="114">
        <v>1000</v>
      </c>
      <c r="H908" s="85">
        <v>-32.75</v>
      </c>
      <c r="I908" s="115">
        <f t="shared" si="28"/>
        <v>3.2750000000000001E-2</v>
      </c>
      <c r="J908" s="87">
        <f t="shared" si="29"/>
        <v>967.25</v>
      </c>
      <c r="K908" s="87"/>
      <c r="L908" s="87" t="s">
        <v>4672</v>
      </c>
      <c r="M908" s="87"/>
      <c r="N908" s="524"/>
      <c r="O908" s="522">
        <f>+Tabla4[[#This Row],[PAGO NO EURO]]+Tabla4[[#This Row],[CARGO NO EURO]]</f>
        <v>0</v>
      </c>
      <c r="P908" s="524"/>
      <c r="Q908" s="155"/>
      <c r="R908" s="693">
        <f>+_xlfn.XLOOKUP(Tabla4[[#This Row],[ID CLIENTE]],'RESUMEN CLIENTES'!D:D,'RESUMEN CLIENTES'!G:G)</f>
        <v>45891</v>
      </c>
      <c r="S908" s="155" t="str">
        <f>+_xlfn.XLOOKUP(Tabla4[[#This Row],[ID CLIENTE]],'RESUMEN CLIENTES'!D:D,'RESUMEN CLIENTES'!AA:AA)</f>
        <v>A1.1</v>
      </c>
      <c r="T908" s="682" t="str">
        <f>+_xlfn.XLOOKUP(Tabla4[[#This Row],[ID CLIENTE]],'RESUMEN CLIENTES'!D:D,'RESUMEN CLIENTES'!C:C)</f>
        <v>Colombia</v>
      </c>
    </row>
    <row r="909" spans="1:20" ht="16">
      <c r="A909" s="305">
        <v>46046</v>
      </c>
      <c r="B909" s="305" t="str">
        <f>+_xlfn.XLOOKUP(Tabla4[[#This Row],[ID CLIENTE]],'RESUMEN CLIENTES'!D:D,'RESUMEN CLIENTES'!A:A)</f>
        <v>Jorge Augusto Cámbara Vargas</v>
      </c>
      <c r="C909" s="215" t="s">
        <v>2261</v>
      </c>
      <c r="D909" s="83" t="s">
        <v>333</v>
      </c>
      <c r="E909" s="83" t="s">
        <v>1976</v>
      </c>
      <c r="F909" s="83" t="s">
        <v>1977</v>
      </c>
      <c r="G909" s="114">
        <v>2630</v>
      </c>
      <c r="H909" s="85">
        <v>-85.73</v>
      </c>
      <c r="I909" s="115">
        <f t="shared" si="28"/>
        <v>3.2596958174904947E-2</v>
      </c>
      <c r="J909" s="87">
        <f t="shared" si="29"/>
        <v>2544.27</v>
      </c>
      <c r="K909" s="87"/>
      <c r="L909" s="87" t="s">
        <v>4672</v>
      </c>
      <c r="M909" s="87"/>
      <c r="N909" s="524"/>
      <c r="O909" s="522">
        <f>+Tabla4[[#This Row],[PAGO NO EURO]]+Tabla4[[#This Row],[CARGO NO EURO]]</f>
        <v>0</v>
      </c>
      <c r="P909" s="524"/>
      <c r="Q909" s="155"/>
      <c r="R909" s="693">
        <f>+_xlfn.XLOOKUP(Tabla4[[#This Row],[ID CLIENTE]],'RESUMEN CLIENTES'!D:D,'RESUMEN CLIENTES'!G:G)</f>
        <v>45821</v>
      </c>
      <c r="S909" s="155" t="str">
        <f>+_xlfn.XLOOKUP(Tabla4[[#This Row],[ID CLIENTE]],'RESUMEN CLIENTES'!D:D,'RESUMEN CLIENTES'!AA:AA)</f>
        <v>B1.1</v>
      </c>
      <c r="T909" s="682" t="str">
        <f>+_xlfn.XLOOKUP(Tabla4[[#This Row],[ID CLIENTE]],'RESUMEN CLIENTES'!D:D,'RESUMEN CLIENTES'!C:C)</f>
        <v>Guatemala</v>
      </c>
    </row>
    <row r="910" spans="1:20" ht="16">
      <c r="A910" s="305">
        <v>46046</v>
      </c>
      <c r="B910" s="305" t="str">
        <f>+_xlfn.XLOOKUP(Tabla4[[#This Row],[ID CLIENTE]],'RESUMEN CLIENTES'!D:D,'RESUMEN CLIENTES'!A:A)</f>
        <v>Virna Nathaly Montenegro Samaniego</v>
      </c>
      <c r="C910" s="215" t="s">
        <v>2349</v>
      </c>
      <c r="D910" s="83" t="s">
        <v>706</v>
      </c>
      <c r="E910" s="83" t="s">
        <v>1988</v>
      </c>
      <c r="F910" s="83" t="s">
        <v>1989</v>
      </c>
      <c r="G910" s="114">
        <v>1000</v>
      </c>
      <c r="H910" s="85">
        <v>-32.75</v>
      </c>
      <c r="I910" s="115">
        <f t="shared" si="28"/>
        <v>3.2750000000000001E-2</v>
      </c>
      <c r="J910" s="87">
        <f t="shared" si="29"/>
        <v>967.25</v>
      </c>
      <c r="K910" s="87"/>
      <c r="L910" s="87" t="s">
        <v>4672</v>
      </c>
      <c r="M910" s="87"/>
      <c r="N910" s="524"/>
      <c r="O910" s="522">
        <f>+Tabla4[[#This Row],[PAGO NO EURO]]+Tabla4[[#This Row],[CARGO NO EURO]]</f>
        <v>0</v>
      </c>
      <c r="P910" s="524"/>
      <c r="Q910" s="155"/>
      <c r="R910" s="693">
        <f>+_xlfn.XLOOKUP(Tabla4[[#This Row],[ID CLIENTE]],'RESUMEN CLIENTES'!D:D,'RESUMEN CLIENTES'!G:G)</f>
        <v>45878</v>
      </c>
      <c r="S910" s="155" t="str">
        <f>+_xlfn.XLOOKUP(Tabla4[[#This Row],[ID CLIENTE]],'RESUMEN CLIENTES'!D:D,'RESUMEN CLIENTES'!AA:AA)</f>
        <v>A1 komplett</v>
      </c>
      <c r="T910" s="682" t="str">
        <f>+_xlfn.XLOOKUP(Tabla4[[#This Row],[ID CLIENTE]],'RESUMEN CLIENTES'!D:D,'RESUMEN CLIENTES'!C:C)</f>
        <v>Ecuador</v>
      </c>
    </row>
    <row r="911" spans="1:20" ht="16">
      <c r="A911" s="305">
        <v>46046</v>
      </c>
      <c r="B911" s="305" t="str">
        <f>+_xlfn.XLOOKUP(Tabla4[[#This Row],[ID CLIENTE]],'RESUMEN CLIENTES'!D:D,'RESUMEN CLIENTES'!A:A)</f>
        <v>Andrea Corpeño López</v>
      </c>
      <c r="C911" s="215" t="s">
        <v>2117</v>
      </c>
      <c r="D911" s="83" t="s">
        <v>84</v>
      </c>
      <c r="E911" s="83" t="s">
        <v>2016</v>
      </c>
      <c r="F911" s="83" t="s">
        <v>2017</v>
      </c>
      <c r="G911" s="114">
        <v>800</v>
      </c>
      <c r="H911" s="85">
        <v>-26.25</v>
      </c>
      <c r="I911" s="115">
        <f t="shared" si="28"/>
        <v>3.2812500000000001E-2</v>
      </c>
      <c r="J911" s="87">
        <f t="shared" si="29"/>
        <v>773.75</v>
      </c>
      <c r="K911" s="87"/>
      <c r="L911" s="87" t="s">
        <v>4672</v>
      </c>
      <c r="M911" s="87"/>
      <c r="N911" s="524"/>
      <c r="O911" s="522">
        <f>+Tabla4[[#This Row],[PAGO NO EURO]]+Tabla4[[#This Row],[CARGO NO EURO]]</f>
        <v>0</v>
      </c>
      <c r="P911" s="524"/>
      <c r="Q911" s="155"/>
      <c r="R911" s="693">
        <f>+_xlfn.XLOOKUP(Tabla4[[#This Row],[ID CLIENTE]],'RESUMEN CLIENTES'!D:D,'RESUMEN CLIENTES'!G:G)</f>
        <v>45658</v>
      </c>
      <c r="S911" s="155" t="str">
        <f>+_xlfn.XLOOKUP(Tabla4[[#This Row],[ID CLIENTE]],'RESUMEN CLIENTES'!D:D,'RESUMEN CLIENTES'!AA:AA)</f>
        <v>-</v>
      </c>
      <c r="T911" s="682" t="str">
        <f>+_xlfn.XLOOKUP(Tabla4[[#This Row],[ID CLIENTE]],'RESUMEN CLIENTES'!D:D,'RESUMEN CLIENTES'!C:C)</f>
        <v>El Salvador</v>
      </c>
    </row>
    <row r="912" spans="1:20" ht="16">
      <c r="A912" s="305">
        <v>46046</v>
      </c>
      <c r="B912" s="305" t="str">
        <f>+_xlfn.XLOOKUP(Tabla4[[#This Row],[ID CLIENTE]],'RESUMEN CLIENTES'!D:D,'RESUMEN CLIENTES'!A:A)</f>
        <v>Christian Rivera Hernandez</v>
      </c>
      <c r="C912" s="215" t="s">
        <v>2195</v>
      </c>
      <c r="D912" s="83" t="s">
        <v>191</v>
      </c>
      <c r="E912" s="83" t="s">
        <v>1971</v>
      </c>
      <c r="F912" s="83" t="s">
        <v>1972</v>
      </c>
      <c r="G912" s="114">
        <v>4802</v>
      </c>
      <c r="H912" s="85">
        <v>-156.32</v>
      </c>
      <c r="I912" s="115">
        <f t="shared" si="28"/>
        <v>3.2553102873802579E-2</v>
      </c>
      <c r="J912" s="87">
        <f t="shared" si="29"/>
        <v>4645.68</v>
      </c>
      <c r="K912" s="87"/>
      <c r="L912" s="87" t="s">
        <v>4672</v>
      </c>
      <c r="M912" s="87"/>
      <c r="N912" s="524"/>
      <c r="O912" s="522">
        <f>+Tabla4[[#This Row],[PAGO NO EURO]]+Tabla4[[#This Row],[CARGO NO EURO]]</f>
        <v>0</v>
      </c>
      <c r="P912" s="524"/>
      <c r="Q912" s="155"/>
      <c r="R912" s="693">
        <f>+_xlfn.XLOOKUP(Tabla4[[#This Row],[ID CLIENTE]],'RESUMEN CLIENTES'!D:D,'RESUMEN CLIENTES'!G:G)</f>
        <v>45777</v>
      </c>
      <c r="S912" s="155" t="str">
        <f>+_xlfn.XLOOKUP(Tabla4[[#This Row],[ID CLIENTE]],'RESUMEN CLIENTES'!D:D,'RESUMEN CLIENTES'!AA:AA)</f>
        <v>B1.1</v>
      </c>
      <c r="T912" s="682" t="str">
        <f>+_xlfn.XLOOKUP(Tabla4[[#This Row],[ID CLIENTE]],'RESUMEN CLIENTES'!D:D,'RESUMEN CLIENTES'!C:C)</f>
        <v>Colombia</v>
      </c>
    </row>
    <row r="913" spans="1:20" ht="16">
      <c r="A913" s="305">
        <v>46046</v>
      </c>
      <c r="B913" s="305" t="str">
        <f>+_xlfn.XLOOKUP(Tabla4[[#This Row],[ID CLIENTE]],'RESUMEN CLIENTES'!D:D,'RESUMEN CLIENTES'!A:A)</f>
        <v>Lina Estrada</v>
      </c>
      <c r="C913" s="215" t="s">
        <v>2197</v>
      </c>
      <c r="D913" s="83" t="s">
        <v>197</v>
      </c>
      <c r="E913" s="83" t="s">
        <v>1984</v>
      </c>
      <c r="F913" s="83" t="s">
        <v>1985</v>
      </c>
      <c r="G913" s="114">
        <v>3000</v>
      </c>
      <c r="H913" s="85">
        <v>-97.75</v>
      </c>
      <c r="I913" s="115">
        <f t="shared" si="28"/>
        <v>3.2583333333333332E-2</v>
      </c>
      <c r="J913" s="87">
        <f t="shared" si="29"/>
        <v>2902.25</v>
      </c>
      <c r="K913" s="87"/>
      <c r="L913" s="87" t="s">
        <v>4672</v>
      </c>
      <c r="M913" s="87"/>
      <c r="N913" s="524"/>
      <c r="O913" s="522">
        <f>+Tabla4[[#This Row],[PAGO NO EURO]]+Tabla4[[#This Row],[CARGO NO EURO]]</f>
        <v>0</v>
      </c>
      <c r="P913" s="524"/>
      <c r="Q913" s="155"/>
      <c r="R913" s="693">
        <f>+_xlfn.XLOOKUP(Tabla4[[#This Row],[ID CLIENTE]],'RESUMEN CLIENTES'!D:D,'RESUMEN CLIENTES'!G:G)</f>
        <v>45777</v>
      </c>
      <c r="S913" s="155" t="str">
        <f>+_xlfn.XLOOKUP(Tabla4[[#This Row],[ID CLIENTE]],'RESUMEN CLIENTES'!D:D,'RESUMEN CLIENTES'!AA:AA)</f>
        <v>B1.1</v>
      </c>
      <c r="T913" s="682" t="str">
        <f>+_xlfn.XLOOKUP(Tabla4[[#This Row],[ID CLIENTE]],'RESUMEN CLIENTES'!D:D,'RESUMEN CLIENTES'!C:C)</f>
        <v>Colombia</v>
      </c>
    </row>
    <row r="914" spans="1:20" ht="16">
      <c r="A914" s="305">
        <v>46047</v>
      </c>
      <c r="B914" s="305" t="str">
        <f>+_xlfn.XLOOKUP(Tabla4[[#This Row],[ID CLIENTE]],'RESUMEN CLIENTES'!D:D,'RESUMEN CLIENTES'!A:A)</f>
        <v>Fernando Alberto Lagos Belmar</v>
      </c>
      <c r="C914" s="215" t="s">
        <v>2491</v>
      </c>
      <c r="D914" s="83" t="s">
        <v>1743</v>
      </c>
      <c r="E914" s="83" t="s">
        <v>1986</v>
      </c>
      <c r="F914" s="83" t="s">
        <v>1987</v>
      </c>
      <c r="G914" s="114">
        <v>1000</v>
      </c>
      <c r="H914" s="85">
        <v>-32.75</v>
      </c>
      <c r="I914" s="115">
        <f t="shared" si="28"/>
        <v>3.2750000000000001E-2</v>
      </c>
      <c r="J914" s="87">
        <f t="shared" si="29"/>
        <v>967.25</v>
      </c>
      <c r="K914" s="87"/>
      <c r="L914" s="87" t="s">
        <v>4672</v>
      </c>
      <c r="M914" s="87"/>
      <c r="N914" s="524"/>
      <c r="O914" s="522">
        <f>+Tabla4[[#This Row],[PAGO NO EURO]]+Tabla4[[#This Row],[CARGO NO EURO]]</f>
        <v>0</v>
      </c>
      <c r="P914" s="524"/>
      <c r="Q914" s="155"/>
      <c r="R914" s="693">
        <f>+_xlfn.XLOOKUP(Tabla4[[#This Row],[ID CLIENTE]],'RESUMEN CLIENTES'!D:D,'RESUMEN CLIENTES'!G:G)</f>
        <v>46017</v>
      </c>
      <c r="S914" s="155" t="str">
        <f>+_xlfn.XLOOKUP(Tabla4[[#This Row],[ID CLIENTE]],'RESUMEN CLIENTES'!D:D,'RESUMEN CLIENTES'!AA:AA)</f>
        <v>A1.1</v>
      </c>
      <c r="T914" s="682" t="str">
        <f>+_xlfn.XLOOKUP(Tabla4[[#This Row],[ID CLIENTE]],'RESUMEN CLIENTES'!D:D,'RESUMEN CLIENTES'!C:C)</f>
        <v>Chile</v>
      </c>
    </row>
    <row r="915" spans="1:20" ht="16">
      <c r="A915" s="305">
        <v>46048</v>
      </c>
      <c r="B915" s="305" t="str">
        <f>+_xlfn.XLOOKUP(Tabla4[[#This Row],[ID CLIENTE]],'RESUMEN CLIENTES'!D:D,'RESUMEN CLIENTES'!A:A)</f>
        <v>Fernanda Constanza Kompai Antu Arellano Guzmán</v>
      </c>
      <c r="C915" s="215" t="s">
        <v>2509</v>
      </c>
      <c r="D915" s="83" t="s">
        <v>1945</v>
      </c>
      <c r="E915" s="83" t="s">
        <v>1990</v>
      </c>
      <c r="F915" s="83" t="s">
        <v>1991</v>
      </c>
      <c r="G915" s="114">
        <v>250</v>
      </c>
      <c r="H915" s="85">
        <v>-8.3800000000000008</v>
      </c>
      <c r="I915" s="115">
        <f t="shared" si="28"/>
        <v>3.3520000000000001E-2</v>
      </c>
      <c r="J915" s="87">
        <f t="shared" si="29"/>
        <v>241.62</v>
      </c>
      <c r="K915" s="87"/>
      <c r="L915" s="87" t="s">
        <v>4672</v>
      </c>
      <c r="M915" s="87"/>
      <c r="N915" s="524"/>
      <c r="O915" s="522">
        <f>+Tabla4[[#This Row],[PAGO NO EURO]]+Tabla4[[#This Row],[CARGO NO EURO]]</f>
        <v>0</v>
      </c>
      <c r="P915" s="524"/>
      <c r="Q915" s="155"/>
      <c r="R915" s="693">
        <f>+_xlfn.XLOOKUP(Tabla4[[#This Row],[ID CLIENTE]],'RESUMEN CLIENTES'!D:D,'RESUMEN CLIENTES'!G:G)</f>
        <v>46041</v>
      </c>
      <c r="S915" s="155" t="str">
        <f>+_xlfn.XLOOKUP(Tabla4[[#This Row],[ID CLIENTE]],'RESUMEN CLIENTES'!D:D,'RESUMEN CLIENTES'!AA:AA)</f>
        <v>A1.1</v>
      </c>
      <c r="T915" s="682" t="str">
        <f>+_xlfn.XLOOKUP(Tabla4[[#This Row],[ID CLIENTE]],'RESUMEN CLIENTES'!D:D,'RESUMEN CLIENTES'!C:C)</f>
        <v>Chile</v>
      </c>
    </row>
    <row r="916" spans="1:20" ht="16">
      <c r="A916" s="305">
        <v>46048</v>
      </c>
      <c r="B916" s="82" t="str">
        <f>+_xlfn.XLOOKUP(Tabla4[[#This Row],[ID CLIENTE]],'RESUMEN CLIENTES'!D:D,'RESUMEN CLIENTES'!A:A)</f>
        <v>María Lucero de Jesús Barrios Sazo</v>
      </c>
      <c r="C916" s="215" t="s">
        <v>2332</v>
      </c>
      <c r="D916" s="83" t="s">
        <v>590</v>
      </c>
      <c r="E916" s="83" t="s">
        <v>2034</v>
      </c>
      <c r="F916" s="83" t="s">
        <v>2035</v>
      </c>
      <c r="G916" s="114">
        <v>700</v>
      </c>
      <c r="H916" s="85">
        <v>-23</v>
      </c>
      <c r="I916" s="115">
        <f t="shared" si="28"/>
        <v>3.2857142857142856E-2</v>
      </c>
      <c r="J916" s="87">
        <f t="shared" si="29"/>
        <v>677</v>
      </c>
      <c r="K916" s="87"/>
      <c r="L916" s="87" t="s">
        <v>4672</v>
      </c>
      <c r="M916" s="87"/>
      <c r="N916" s="524"/>
      <c r="O916" s="524">
        <f>+Tabla4[[#This Row],[PAGO NO EURO]]+Tabla4[[#This Row],[CARGO NO EURO]]</f>
        <v>0</v>
      </c>
      <c r="P916" s="524"/>
      <c r="Q916" s="155"/>
      <c r="R916" s="693">
        <f>+_xlfn.XLOOKUP(Tabla4[[#This Row],[ID CLIENTE]],'RESUMEN CLIENTES'!D:D,'RESUMEN CLIENTES'!G:G)</f>
        <v>45869</v>
      </c>
      <c r="S916" s="155" t="str">
        <f>+_xlfn.XLOOKUP(Tabla4[[#This Row],[ID CLIENTE]],'RESUMEN CLIENTES'!D:D,'RESUMEN CLIENTES'!AA:AA)</f>
        <v>-</v>
      </c>
      <c r="T916" s="682" t="str">
        <f>+_xlfn.XLOOKUP(Tabla4[[#This Row],[ID CLIENTE]],'RESUMEN CLIENTES'!D:D,'RESUMEN CLIENTES'!C:C)</f>
        <v>Guatemala</v>
      </c>
    </row>
    <row r="917" spans="1:20" ht="16">
      <c r="A917" s="305">
        <v>46048</v>
      </c>
      <c r="B917" s="305" t="str">
        <f>+_xlfn.XLOOKUP(Tabla4[[#This Row],[ID CLIENTE]],'RESUMEN CLIENTES'!D:D,'RESUMEN CLIENTES'!A:A)</f>
        <v>Jorge Andres Galgani Muñoz</v>
      </c>
      <c r="C917" s="215" t="s">
        <v>2465</v>
      </c>
      <c r="D917" s="83" t="s">
        <v>1437</v>
      </c>
      <c r="E917" s="83" t="s">
        <v>1974</v>
      </c>
      <c r="F917" s="83" t="s">
        <v>1975</v>
      </c>
      <c r="G917" s="114">
        <v>850</v>
      </c>
      <c r="H917" s="85">
        <v>-27.88</v>
      </c>
      <c r="I917" s="115">
        <f t="shared" ref="I917:I980" si="30">+IFERROR(-(H917)/G917,"")</f>
        <v>3.2799999999999996E-2</v>
      </c>
      <c r="J917" s="87">
        <f t="shared" ref="J917:J980" si="31">+G917+H917</f>
        <v>822.12</v>
      </c>
      <c r="K917" s="87"/>
      <c r="L917" s="87" t="s">
        <v>4672</v>
      </c>
      <c r="M917" s="87"/>
      <c r="N917" s="524"/>
      <c r="O917" s="522">
        <f>+Tabla4[[#This Row],[PAGO NO EURO]]+Tabla4[[#This Row],[CARGO NO EURO]]</f>
        <v>0</v>
      </c>
      <c r="P917" s="524"/>
      <c r="Q917" s="155"/>
      <c r="R917" s="693">
        <f>+_xlfn.XLOOKUP(Tabla4[[#This Row],[ID CLIENTE]],'RESUMEN CLIENTES'!D:D,'RESUMEN CLIENTES'!G:G)</f>
        <v>45982</v>
      </c>
      <c r="S917" s="155" t="str">
        <f>+_xlfn.XLOOKUP(Tabla4[[#This Row],[ID CLIENTE]],'RESUMEN CLIENTES'!D:D,'RESUMEN CLIENTES'!AA:AA)</f>
        <v>A1.1</v>
      </c>
      <c r="T917" s="682" t="str">
        <f>+_xlfn.XLOOKUP(Tabla4[[#This Row],[ID CLIENTE]],'RESUMEN CLIENTES'!D:D,'RESUMEN CLIENTES'!C:C)</f>
        <v>Chile</v>
      </c>
    </row>
    <row r="918" spans="1:20" ht="16">
      <c r="A918" s="305">
        <v>46048</v>
      </c>
      <c r="B918" s="305" t="str">
        <f>+_xlfn.XLOOKUP(Tabla4[[#This Row],[ID CLIENTE]],'RESUMEN CLIENTES'!D:D,'RESUMEN CLIENTES'!A:A)</f>
        <v>Fabiola Del río González</v>
      </c>
      <c r="C918" s="215" t="s">
        <v>2517</v>
      </c>
      <c r="D918" s="83" t="s">
        <v>2518</v>
      </c>
      <c r="E918" s="83" t="s">
        <v>2646</v>
      </c>
      <c r="F918" s="83" t="s">
        <v>2647</v>
      </c>
      <c r="G918" s="114">
        <v>250</v>
      </c>
      <c r="H918" s="85">
        <v>-8.3800000000000008</v>
      </c>
      <c r="I918" s="115">
        <f t="shared" si="30"/>
        <v>3.3520000000000001E-2</v>
      </c>
      <c r="J918" s="87">
        <f t="shared" si="31"/>
        <v>241.62</v>
      </c>
      <c r="K918" s="87"/>
      <c r="L918" s="87" t="s">
        <v>4672</v>
      </c>
      <c r="M918" s="87"/>
      <c r="N918" s="524"/>
      <c r="O918" s="522">
        <f>+Tabla4[[#This Row],[PAGO NO EURO]]+Tabla4[[#This Row],[CARGO NO EURO]]</f>
        <v>0</v>
      </c>
      <c r="P918" s="524"/>
      <c r="Q918" s="155"/>
      <c r="R918" s="693">
        <f>+_xlfn.XLOOKUP(Tabla4[[#This Row],[ID CLIENTE]],'RESUMEN CLIENTES'!D:D,'RESUMEN CLIENTES'!G:G)</f>
        <v>46048</v>
      </c>
      <c r="S918" s="155" t="str">
        <f>+_xlfn.XLOOKUP(Tabla4[[#This Row],[ID CLIENTE]],'RESUMEN CLIENTES'!D:D,'RESUMEN CLIENTES'!AA:AA)</f>
        <v>A1.1</v>
      </c>
      <c r="T918" s="682" t="str">
        <f>+_xlfn.XLOOKUP(Tabla4[[#This Row],[ID CLIENTE]],'RESUMEN CLIENTES'!D:D,'RESUMEN CLIENTES'!C:C)</f>
        <v>México</v>
      </c>
    </row>
    <row r="919" spans="1:20" ht="16">
      <c r="A919" s="305">
        <v>46048</v>
      </c>
      <c r="B919" s="305" t="str">
        <f>+_xlfn.XLOOKUP(Tabla4[[#This Row],[ID CLIENTE]],'RESUMEN CLIENTES'!D:D,'RESUMEN CLIENTES'!A:A)</f>
        <v>Fabián Andrés Sarmiento Auli</v>
      </c>
      <c r="C919" s="215" t="s">
        <v>2520</v>
      </c>
      <c r="D919" s="83" t="s">
        <v>2521</v>
      </c>
      <c r="E919" s="83" t="s">
        <v>2648</v>
      </c>
      <c r="F919" s="83" t="s">
        <v>2649</v>
      </c>
      <c r="G919" s="114">
        <v>650</v>
      </c>
      <c r="H919" s="85">
        <v>-21.38</v>
      </c>
      <c r="I919" s="115">
        <f t="shared" si="30"/>
        <v>3.2892307692307693E-2</v>
      </c>
      <c r="J919" s="87">
        <f t="shared" si="31"/>
        <v>628.62</v>
      </c>
      <c r="K919" s="87"/>
      <c r="L919" s="87" t="s">
        <v>4672</v>
      </c>
      <c r="M919" s="87"/>
      <c r="N919" s="524"/>
      <c r="O919" s="522">
        <f>+Tabla4[[#This Row],[PAGO NO EURO]]+Tabla4[[#This Row],[CARGO NO EURO]]</f>
        <v>0</v>
      </c>
      <c r="P919" s="524"/>
      <c r="Q919" s="155"/>
      <c r="R919" s="693">
        <f>+_xlfn.XLOOKUP(Tabla4[[#This Row],[ID CLIENTE]],'RESUMEN CLIENTES'!D:D,'RESUMEN CLIENTES'!G:G)</f>
        <v>46048</v>
      </c>
      <c r="S919" s="155" t="str">
        <f>+_xlfn.XLOOKUP(Tabla4[[#This Row],[ID CLIENTE]],'RESUMEN CLIENTES'!D:D,'RESUMEN CLIENTES'!AA:AA)</f>
        <v>-</v>
      </c>
      <c r="T919" s="682" t="str">
        <f>+_xlfn.XLOOKUP(Tabla4[[#This Row],[ID CLIENTE]],'RESUMEN CLIENTES'!D:D,'RESUMEN CLIENTES'!C:C)</f>
        <v>Colombia</v>
      </c>
    </row>
    <row r="920" spans="1:20" ht="16">
      <c r="A920" s="305">
        <v>46049</v>
      </c>
      <c r="B920" s="305" t="str">
        <f>+_xlfn.XLOOKUP(Tabla4[[#This Row],[ID CLIENTE]],'RESUMEN CLIENTES'!D:D,'RESUMEN CLIENTES'!A:A)</f>
        <v>Julio Nelson Adaros Moraga</v>
      </c>
      <c r="C920" s="215" t="s">
        <v>2271</v>
      </c>
      <c r="D920" s="83" t="s">
        <v>372</v>
      </c>
      <c r="E920" s="83" t="s">
        <v>1994</v>
      </c>
      <c r="F920" s="83" t="s">
        <v>1995</v>
      </c>
      <c r="G920" s="114">
        <v>1000</v>
      </c>
      <c r="H920" s="85">
        <v>-32.75</v>
      </c>
      <c r="I920" s="115">
        <f t="shared" si="30"/>
        <v>3.2750000000000001E-2</v>
      </c>
      <c r="J920" s="87">
        <f t="shared" si="31"/>
        <v>967.25</v>
      </c>
      <c r="K920" s="87"/>
      <c r="L920" s="87" t="s">
        <v>4672</v>
      </c>
      <c r="M920" s="87"/>
      <c r="N920" s="524"/>
      <c r="O920" s="522">
        <f>+Tabla4[[#This Row],[PAGO NO EURO]]+Tabla4[[#This Row],[CARGO NO EURO]]</f>
        <v>0</v>
      </c>
      <c r="P920" s="524"/>
      <c r="Q920" s="155"/>
      <c r="R920" s="693">
        <f>+_xlfn.XLOOKUP(Tabla4[[#This Row],[ID CLIENTE]],'RESUMEN CLIENTES'!D:D,'RESUMEN CLIENTES'!G:G)</f>
        <v>45836</v>
      </c>
      <c r="S920" s="155" t="str">
        <f>+_xlfn.XLOOKUP(Tabla4[[#This Row],[ID CLIENTE]],'RESUMEN CLIENTES'!D:D,'RESUMEN CLIENTES'!AA:AA)</f>
        <v>A1.1</v>
      </c>
      <c r="T920" s="682" t="str">
        <f>+_xlfn.XLOOKUP(Tabla4[[#This Row],[ID CLIENTE]],'RESUMEN CLIENTES'!D:D,'RESUMEN CLIENTES'!C:C)</f>
        <v>Chile</v>
      </c>
    </row>
    <row r="921" spans="1:20" ht="16">
      <c r="A921" s="305">
        <v>46049</v>
      </c>
      <c r="B921" s="305" t="str">
        <f>+_xlfn.XLOOKUP(Tabla4[[#This Row],[ID CLIENTE]],'RESUMEN CLIENTES'!D:D,'RESUMEN CLIENTES'!A:A)</f>
        <v>Samuel Sebastián Marmolejo Saldarriaga</v>
      </c>
      <c r="C921" s="215" t="s">
        <v>2455</v>
      </c>
      <c r="D921" s="83" t="s">
        <v>1374</v>
      </c>
      <c r="E921" s="83" t="s">
        <v>2005</v>
      </c>
      <c r="F921" s="83" t="s">
        <v>2006</v>
      </c>
      <c r="G921" s="114">
        <v>984</v>
      </c>
      <c r="H921" s="85">
        <v>-32.229999999999997</v>
      </c>
      <c r="I921" s="115">
        <f t="shared" si="30"/>
        <v>3.2754065040650406E-2</v>
      </c>
      <c r="J921" s="87">
        <f t="shared" si="31"/>
        <v>951.77</v>
      </c>
      <c r="K921" s="87"/>
      <c r="L921" s="87" t="s">
        <v>4672</v>
      </c>
      <c r="M921" s="87"/>
      <c r="N921" s="524"/>
      <c r="O921" s="522">
        <f>+Tabla4[[#This Row],[PAGO NO EURO]]+Tabla4[[#This Row],[CARGO NO EURO]]</f>
        <v>0</v>
      </c>
      <c r="P921" s="524"/>
      <c r="Q921" s="155"/>
      <c r="R921" s="693">
        <f>+_xlfn.XLOOKUP(Tabla4[[#This Row],[ID CLIENTE]],'RESUMEN CLIENTES'!D:D,'RESUMEN CLIENTES'!G:G)</f>
        <v>45970</v>
      </c>
      <c r="S921" s="155" t="str">
        <f>+_xlfn.XLOOKUP(Tabla4[[#This Row],[ID CLIENTE]],'RESUMEN CLIENTES'!D:D,'RESUMEN CLIENTES'!AA:AA)</f>
        <v>A1.1</v>
      </c>
      <c r="T921" s="682" t="str">
        <f>+_xlfn.XLOOKUP(Tabla4[[#This Row],[ID CLIENTE]],'RESUMEN CLIENTES'!D:D,'RESUMEN CLIENTES'!C:C)</f>
        <v>Perú</v>
      </c>
    </row>
    <row r="922" spans="1:20" ht="16">
      <c r="A922" s="305">
        <v>46049</v>
      </c>
      <c r="B922" s="305" t="str">
        <f>+_xlfn.XLOOKUP(Tabla4[[#This Row],[ID CLIENTE]],'RESUMEN CLIENTES'!D:D,'RESUMEN CLIENTES'!A:A)</f>
        <v>Angie Pérez Cáceres</v>
      </c>
      <c r="C922" s="215" t="s">
        <v>2321</v>
      </c>
      <c r="D922" s="83" t="s">
        <v>527</v>
      </c>
      <c r="E922" s="83" t="s">
        <v>2049</v>
      </c>
      <c r="F922" s="83" t="s">
        <v>2050</v>
      </c>
      <c r="G922" s="114">
        <v>1000</v>
      </c>
      <c r="H922" s="85">
        <v>-32.75</v>
      </c>
      <c r="I922" s="115">
        <f t="shared" si="30"/>
        <v>3.2750000000000001E-2</v>
      </c>
      <c r="J922" s="87">
        <f t="shared" si="31"/>
        <v>967.25</v>
      </c>
      <c r="K922" s="87"/>
      <c r="L922" s="87" t="s">
        <v>4672</v>
      </c>
      <c r="M922" s="87"/>
      <c r="N922" s="524"/>
      <c r="O922" s="522">
        <f>+Tabla4[[#This Row],[PAGO NO EURO]]+Tabla4[[#This Row],[CARGO NO EURO]]</f>
        <v>0</v>
      </c>
      <c r="P922" s="524"/>
      <c r="Q922" s="155"/>
      <c r="R922" s="693">
        <f>+_xlfn.XLOOKUP(Tabla4[[#This Row],[ID CLIENTE]],'RESUMEN CLIENTES'!D:D,'RESUMEN CLIENTES'!G:G)</f>
        <v>45867</v>
      </c>
      <c r="S922" s="155" t="str">
        <f>+_xlfn.XLOOKUP(Tabla4[[#This Row],[ID CLIENTE]],'RESUMEN CLIENTES'!D:D,'RESUMEN CLIENTES'!AA:AA)</f>
        <v>A1.1</v>
      </c>
      <c r="T922" s="682" t="str">
        <f>+_xlfn.XLOOKUP(Tabla4[[#This Row],[ID CLIENTE]],'RESUMEN CLIENTES'!D:D,'RESUMEN CLIENTES'!C:C)</f>
        <v>Perú</v>
      </c>
    </row>
    <row r="923" spans="1:20" ht="16">
      <c r="A923" s="305">
        <v>46049</v>
      </c>
      <c r="B923" s="305" t="str">
        <f>+_xlfn.XLOOKUP(Tabla4[[#This Row],[ID CLIENTE]],'RESUMEN CLIENTES'!D:D,'RESUMEN CLIENTES'!A:A)</f>
        <v>Julian David Gutierrez Rodriguez</v>
      </c>
      <c r="C923" s="215" t="s">
        <v>2364</v>
      </c>
      <c r="D923" s="83" t="s">
        <v>711</v>
      </c>
      <c r="E923" s="83" t="s">
        <v>1992</v>
      </c>
      <c r="F923" s="83" t="s">
        <v>1993</v>
      </c>
      <c r="G923" s="114">
        <v>500</v>
      </c>
      <c r="H923" s="85">
        <v>-16.5</v>
      </c>
      <c r="I923" s="115">
        <f t="shared" si="30"/>
        <v>3.3000000000000002E-2</v>
      </c>
      <c r="J923" s="87">
        <f t="shared" si="31"/>
        <v>483.5</v>
      </c>
      <c r="K923" s="87"/>
      <c r="L923" s="87" t="s">
        <v>4672</v>
      </c>
      <c r="M923" s="87"/>
      <c r="N923" s="524"/>
      <c r="O923" s="522">
        <f>+Tabla4[[#This Row],[PAGO NO EURO]]+Tabla4[[#This Row],[CARGO NO EURO]]</f>
        <v>0</v>
      </c>
      <c r="P923" s="524"/>
      <c r="Q923" s="155"/>
      <c r="R923" s="693">
        <f>+_xlfn.XLOOKUP(Tabla4[[#This Row],[ID CLIENTE]],'RESUMEN CLIENTES'!D:D,'RESUMEN CLIENTES'!G:G)</f>
        <v>45889</v>
      </c>
      <c r="S923" s="155" t="str">
        <f>+_xlfn.XLOOKUP(Tabla4[[#This Row],[ID CLIENTE]],'RESUMEN CLIENTES'!D:D,'RESUMEN CLIENTES'!AA:AA)</f>
        <v>A1.1</v>
      </c>
      <c r="T923" s="682" t="str">
        <f>+_xlfn.XLOOKUP(Tabla4[[#This Row],[ID CLIENTE]],'RESUMEN CLIENTES'!D:D,'RESUMEN CLIENTES'!C:C)</f>
        <v>Colombia</v>
      </c>
    </row>
    <row r="924" spans="1:20" ht="16">
      <c r="A924" s="305">
        <v>46049</v>
      </c>
      <c r="B924" s="305" t="str">
        <f>+_xlfn.XLOOKUP(Tabla4[[#This Row],[ID CLIENTE]],'RESUMEN CLIENTES'!D:D,'RESUMEN CLIENTES'!A:A)</f>
        <v>Ivan Gonzales Graus</v>
      </c>
      <c r="C924" s="215" t="s">
        <v>2523</v>
      </c>
      <c r="D924" s="83" t="s">
        <v>1996</v>
      </c>
      <c r="E924" s="83" t="s">
        <v>1997</v>
      </c>
      <c r="F924" s="83" t="s">
        <v>1998</v>
      </c>
      <c r="G924" s="323">
        <v>250</v>
      </c>
      <c r="H924" s="85">
        <v>-8.3800000000000008</v>
      </c>
      <c r="I924" s="115">
        <f t="shared" si="30"/>
        <v>3.3520000000000001E-2</v>
      </c>
      <c r="J924" s="87">
        <f t="shared" si="31"/>
        <v>241.62</v>
      </c>
      <c r="K924" s="87"/>
      <c r="L924" s="87" t="s">
        <v>4672</v>
      </c>
      <c r="M924" s="87"/>
      <c r="N924" s="524"/>
      <c r="O924" s="522">
        <f>+Tabla4[[#This Row],[PAGO NO EURO]]+Tabla4[[#This Row],[CARGO NO EURO]]</f>
        <v>0</v>
      </c>
      <c r="P924" s="524"/>
      <c r="Q924" s="155"/>
      <c r="R924" s="693">
        <f>+_xlfn.XLOOKUP(Tabla4[[#This Row],[ID CLIENTE]],'RESUMEN CLIENTES'!D:D,'RESUMEN CLIENTES'!G:G)</f>
        <v>46049</v>
      </c>
      <c r="S924" s="155" t="str">
        <f>+_xlfn.XLOOKUP(Tabla4[[#This Row],[ID CLIENTE]],'RESUMEN CLIENTES'!D:D,'RESUMEN CLIENTES'!AA:AA)</f>
        <v>-</v>
      </c>
      <c r="T924" s="682" t="str">
        <f>+_xlfn.XLOOKUP(Tabla4[[#This Row],[ID CLIENTE]],'RESUMEN CLIENTES'!D:D,'RESUMEN CLIENTES'!C:C)</f>
        <v>Perú</v>
      </c>
    </row>
    <row r="925" spans="1:20" ht="16">
      <c r="A925" s="305">
        <v>46049</v>
      </c>
      <c r="B925" s="305" t="str">
        <f>+_xlfn.XLOOKUP(Tabla4[[#This Row],[ID CLIENTE]],'RESUMEN CLIENTES'!D:D,'RESUMEN CLIENTES'!A:A)</f>
        <v>Hector Armando Daza Mejia</v>
      </c>
      <c r="C925" s="215" t="s">
        <v>2133</v>
      </c>
      <c r="D925" s="83" t="s">
        <v>106</v>
      </c>
      <c r="E925" s="83" t="s">
        <v>2026</v>
      </c>
      <c r="F925" s="83" t="s">
        <v>2027</v>
      </c>
      <c r="G925" s="323">
        <v>1500</v>
      </c>
      <c r="H925" s="85">
        <v>-49</v>
      </c>
      <c r="I925" s="115">
        <f t="shared" si="30"/>
        <v>3.2666666666666663E-2</v>
      </c>
      <c r="J925" s="87">
        <f t="shared" si="31"/>
        <v>1451</v>
      </c>
      <c r="K925" s="308"/>
      <c r="L925" s="308" t="s">
        <v>4672</v>
      </c>
      <c r="M925" s="308"/>
      <c r="N925" s="522"/>
      <c r="O925" s="522">
        <f>+Tabla4[[#This Row],[PAGO NO EURO]]+Tabla4[[#This Row],[CARGO NO EURO]]</f>
        <v>0</v>
      </c>
      <c r="P925" s="522"/>
      <c r="Q925" s="155"/>
      <c r="R925" s="693">
        <f>+_xlfn.XLOOKUP(Tabla4[[#This Row],[ID CLIENTE]],'RESUMEN CLIENTES'!D:D,'RESUMEN CLIENTES'!G:G)</f>
        <v>45726</v>
      </c>
      <c r="S925" s="155" t="str">
        <f>+_xlfn.XLOOKUP(Tabla4[[#This Row],[ID CLIENTE]],'RESUMEN CLIENTES'!D:D,'RESUMEN CLIENTES'!AA:AA)</f>
        <v>B1.2</v>
      </c>
      <c r="T925" s="682" t="str">
        <f>+_xlfn.XLOOKUP(Tabla4[[#This Row],[ID CLIENTE]],'RESUMEN CLIENTES'!D:D,'RESUMEN CLIENTES'!C:C)</f>
        <v>Colombia</v>
      </c>
    </row>
    <row r="926" spans="1:20" ht="16">
      <c r="A926" s="305">
        <v>46049</v>
      </c>
      <c r="B926" s="305" t="str">
        <f>+_xlfn.XLOOKUP(Tabla4[[#This Row],[ID CLIENTE]],'RESUMEN CLIENTES'!D:D,'RESUMEN CLIENTES'!A:A)</f>
        <v>Mauricio Ignacio Alcayaga Romo</v>
      </c>
      <c r="C926" s="215" t="s">
        <v>2251</v>
      </c>
      <c r="D926" s="83" t="s">
        <v>322</v>
      </c>
      <c r="E926" s="83" t="s">
        <v>1980</v>
      </c>
      <c r="F926" s="83" t="s">
        <v>1981</v>
      </c>
      <c r="G926" s="114">
        <v>1000</v>
      </c>
      <c r="H926" s="85">
        <v>-32.75</v>
      </c>
      <c r="I926" s="115">
        <f t="shared" si="30"/>
        <v>3.2750000000000001E-2</v>
      </c>
      <c r="J926" s="87">
        <f t="shared" si="31"/>
        <v>967.25</v>
      </c>
      <c r="K926" s="308"/>
      <c r="L926" s="308" t="s">
        <v>4672</v>
      </c>
      <c r="M926" s="308"/>
      <c r="N926" s="522"/>
      <c r="O926" s="522">
        <f>+Tabla4[[#This Row],[PAGO NO EURO]]+Tabla4[[#This Row],[CARGO NO EURO]]</f>
        <v>0</v>
      </c>
      <c r="P926" s="522"/>
      <c r="Q926" s="155"/>
      <c r="R926" s="693">
        <f>+_xlfn.XLOOKUP(Tabla4[[#This Row],[ID CLIENTE]],'RESUMEN CLIENTES'!D:D,'RESUMEN CLIENTES'!G:G)</f>
        <v>45819</v>
      </c>
      <c r="S926" s="155" t="str">
        <f>+_xlfn.XLOOKUP(Tabla4[[#This Row],[ID CLIENTE]],'RESUMEN CLIENTES'!D:D,'RESUMEN CLIENTES'!AA:AA)</f>
        <v>B2.1</v>
      </c>
      <c r="T926" s="682" t="str">
        <f>+_xlfn.XLOOKUP(Tabla4[[#This Row],[ID CLIENTE]],'RESUMEN CLIENTES'!D:D,'RESUMEN CLIENTES'!C:C)</f>
        <v>Chile</v>
      </c>
    </row>
    <row r="927" spans="1:20" ht="16">
      <c r="A927" s="305">
        <v>46050</v>
      </c>
      <c r="B927" s="305" t="str">
        <f>+_xlfn.XLOOKUP(Tabla4[[#This Row],[ID CLIENTE]],'RESUMEN CLIENTES'!D:D,'RESUMEN CLIENTES'!A:A)</f>
        <v>Jose Marcelo Marroquín Guzmán</v>
      </c>
      <c r="C927" s="215" t="s">
        <v>2121</v>
      </c>
      <c r="D927" s="83" t="s">
        <v>87</v>
      </c>
      <c r="E927" s="83" t="s">
        <v>1978</v>
      </c>
      <c r="F927" s="83" t="s">
        <v>1979</v>
      </c>
      <c r="G927" s="114">
        <v>400</v>
      </c>
      <c r="H927" s="85">
        <v>-13.25</v>
      </c>
      <c r="I927" s="115">
        <f t="shared" si="30"/>
        <v>3.3125000000000002E-2</v>
      </c>
      <c r="J927" s="87">
        <f t="shared" si="31"/>
        <v>386.75</v>
      </c>
      <c r="K927" s="308"/>
      <c r="L927" s="308" t="s">
        <v>4672</v>
      </c>
      <c r="M927" s="308"/>
      <c r="N927" s="522"/>
      <c r="O927" s="522">
        <f>+Tabla4[[#This Row],[PAGO NO EURO]]+Tabla4[[#This Row],[CARGO NO EURO]]</f>
        <v>0</v>
      </c>
      <c r="P927" s="522"/>
      <c r="Q927" s="155"/>
      <c r="R927" s="693">
        <f>+_xlfn.XLOOKUP(Tabla4[[#This Row],[ID CLIENTE]],'RESUMEN CLIENTES'!D:D,'RESUMEN CLIENTES'!G:G)</f>
        <v>45658</v>
      </c>
      <c r="S927" s="155" t="str">
        <f>+_xlfn.XLOOKUP(Tabla4[[#This Row],[ID CLIENTE]],'RESUMEN CLIENTES'!D:D,'RESUMEN CLIENTES'!AA:AA)</f>
        <v>A2.1</v>
      </c>
      <c r="T927" s="682" t="str">
        <f>+_xlfn.XLOOKUP(Tabla4[[#This Row],[ID CLIENTE]],'RESUMEN CLIENTES'!D:D,'RESUMEN CLIENTES'!C:C)</f>
        <v>El Salvador</v>
      </c>
    </row>
    <row r="928" spans="1:20" ht="16">
      <c r="A928" s="305">
        <v>46050</v>
      </c>
      <c r="B928" s="305" t="str">
        <f>+_xlfn.XLOOKUP(Tabla4[[#This Row],[ID CLIENTE]],'RESUMEN CLIENTES'!D:D,'RESUMEN CLIENTES'!A:A)</f>
        <v>Pedro Baltierra Sanchez</v>
      </c>
      <c r="C928" s="215" t="s">
        <v>2525</v>
      </c>
      <c r="D928" s="83" t="s">
        <v>2526</v>
      </c>
      <c r="E928" s="83" t="s">
        <v>2650</v>
      </c>
      <c r="F928" s="83" t="s">
        <v>2651</v>
      </c>
      <c r="G928" s="114">
        <v>250</v>
      </c>
      <c r="H928" s="85">
        <v>-8.3800000000000008</v>
      </c>
      <c r="I928" s="115">
        <f t="shared" si="30"/>
        <v>3.3520000000000001E-2</v>
      </c>
      <c r="J928" s="87">
        <f t="shared" si="31"/>
        <v>241.62</v>
      </c>
      <c r="K928" s="308"/>
      <c r="L928" s="308" t="s">
        <v>4672</v>
      </c>
      <c r="M928" s="308"/>
      <c r="N928" s="522"/>
      <c r="O928" s="522">
        <f>+Tabla4[[#This Row],[PAGO NO EURO]]+Tabla4[[#This Row],[CARGO NO EURO]]</f>
        <v>0</v>
      </c>
      <c r="P928" s="522"/>
      <c r="Q928" s="155"/>
      <c r="R928" s="693">
        <f>+_xlfn.XLOOKUP(Tabla4[[#This Row],[ID CLIENTE]],'RESUMEN CLIENTES'!D:D,'RESUMEN CLIENTES'!G:G)</f>
        <v>46050</v>
      </c>
      <c r="S928" s="155" t="str">
        <f>+_xlfn.XLOOKUP(Tabla4[[#This Row],[ID CLIENTE]],'RESUMEN CLIENTES'!D:D,'RESUMEN CLIENTES'!AA:AA)</f>
        <v>A1.1</v>
      </c>
      <c r="T928" s="682" t="str">
        <f>+_xlfn.XLOOKUP(Tabla4[[#This Row],[ID CLIENTE]],'RESUMEN CLIENTES'!D:D,'RESUMEN CLIENTES'!C:C)</f>
        <v>México</v>
      </c>
    </row>
    <row r="929" spans="1:20" ht="16">
      <c r="A929" s="305">
        <v>46050</v>
      </c>
      <c r="B929" s="305" t="str">
        <f>+_xlfn.XLOOKUP(Tabla4[[#This Row],[ID CLIENTE]],'RESUMEN CLIENTES'!D:D,'RESUMEN CLIENTES'!A:A)</f>
        <v>Laxmi Davi Patel Flores</v>
      </c>
      <c r="C929" s="215" t="s">
        <v>2471</v>
      </c>
      <c r="D929" s="83" t="s">
        <v>1482</v>
      </c>
      <c r="E929" s="83" t="s">
        <v>2003</v>
      </c>
      <c r="F929" s="83" t="s">
        <v>2004</v>
      </c>
      <c r="G929" s="114">
        <v>2750</v>
      </c>
      <c r="H929" s="85">
        <v>-89.63</v>
      </c>
      <c r="I929" s="115">
        <f t="shared" si="30"/>
        <v>3.2592727272727273E-2</v>
      </c>
      <c r="J929" s="87">
        <f t="shared" si="31"/>
        <v>2660.37</v>
      </c>
      <c r="K929" s="308"/>
      <c r="L929" s="308" t="s">
        <v>4672</v>
      </c>
      <c r="M929" s="308"/>
      <c r="N929" s="522"/>
      <c r="O929" s="522">
        <f>+Tabla4[[#This Row],[PAGO NO EURO]]+Tabla4[[#This Row],[CARGO NO EURO]]</f>
        <v>0</v>
      </c>
      <c r="P929" s="522"/>
      <c r="Q929" s="155"/>
      <c r="R929" s="693">
        <f>+_xlfn.XLOOKUP(Tabla4[[#This Row],[ID CLIENTE]],'RESUMEN CLIENTES'!D:D,'RESUMEN CLIENTES'!G:G)</f>
        <v>45988</v>
      </c>
      <c r="S929" s="155" t="str">
        <f>+_xlfn.XLOOKUP(Tabla4[[#This Row],[ID CLIENTE]],'RESUMEN CLIENTES'!D:D,'RESUMEN CLIENTES'!AA:AA)</f>
        <v>A1.1</v>
      </c>
      <c r="T929" s="682" t="str">
        <f>+_xlfn.XLOOKUP(Tabla4[[#This Row],[ID CLIENTE]],'RESUMEN CLIENTES'!D:D,'RESUMEN CLIENTES'!C:C)</f>
        <v>Ecuador</v>
      </c>
    </row>
    <row r="930" spans="1:20" ht="16">
      <c r="A930" s="305">
        <v>46051</v>
      </c>
      <c r="B930" s="305" t="str">
        <f>+_xlfn.XLOOKUP(Tabla4[[#This Row],[ID CLIENTE]],'RESUMEN CLIENTES'!D:D,'RESUMEN CLIENTES'!A:A)</f>
        <v>Ellen Cristina Gerónimo Bonilla</v>
      </c>
      <c r="C930" s="215" t="s">
        <v>2273</v>
      </c>
      <c r="D930" s="83" t="s">
        <v>385</v>
      </c>
      <c r="E930" s="83" t="s">
        <v>2022</v>
      </c>
      <c r="F930" s="83" t="s">
        <v>2023</v>
      </c>
      <c r="G930" s="114">
        <v>600</v>
      </c>
      <c r="H930" s="85">
        <v>-19.75</v>
      </c>
      <c r="I930" s="115">
        <f t="shared" si="30"/>
        <v>3.2916666666666664E-2</v>
      </c>
      <c r="J930" s="87">
        <f t="shared" si="31"/>
        <v>580.25</v>
      </c>
      <c r="K930" s="308"/>
      <c r="L930" s="308" t="s">
        <v>4672</v>
      </c>
      <c r="M930" s="308"/>
      <c r="N930" s="522"/>
      <c r="O930" s="522">
        <f>+Tabla4[[#This Row],[PAGO NO EURO]]+Tabla4[[#This Row],[CARGO NO EURO]]</f>
        <v>0</v>
      </c>
      <c r="P930" s="522"/>
      <c r="Q930" s="155"/>
      <c r="R930" s="693">
        <f>+_xlfn.XLOOKUP(Tabla4[[#This Row],[ID CLIENTE]],'RESUMEN CLIENTES'!D:D,'RESUMEN CLIENTES'!G:G)</f>
        <v>45838</v>
      </c>
      <c r="S930" s="155" t="str">
        <f>+_xlfn.XLOOKUP(Tabla4[[#This Row],[ID CLIENTE]],'RESUMEN CLIENTES'!D:D,'RESUMEN CLIENTES'!AA:AA)</f>
        <v>A1.1</v>
      </c>
      <c r="T930" s="682" t="str">
        <f>+_xlfn.XLOOKUP(Tabla4[[#This Row],[ID CLIENTE]],'RESUMEN CLIENTES'!D:D,'RESUMEN CLIENTES'!C:C)</f>
        <v>República Dominicana</v>
      </c>
    </row>
    <row r="931" spans="1:20" ht="16">
      <c r="A931" s="305">
        <v>46051</v>
      </c>
      <c r="B931" s="305" t="str">
        <f>+_xlfn.XLOOKUP(Tabla4[[#This Row],[ID CLIENTE]],'RESUMEN CLIENTES'!D:D,'RESUMEN CLIENTES'!A:A)</f>
        <v>Bárbara Fuentes</v>
      </c>
      <c r="C931" s="215" t="s">
        <v>2528</v>
      </c>
      <c r="D931" s="83" t="s">
        <v>2011</v>
      </c>
      <c r="E931" s="83" t="s">
        <v>2012</v>
      </c>
      <c r="F931" s="83" t="s">
        <v>2013</v>
      </c>
      <c r="G931" s="114">
        <v>250</v>
      </c>
      <c r="H931" s="85">
        <v>-8.3800000000000008</v>
      </c>
      <c r="I931" s="115">
        <f t="shared" si="30"/>
        <v>3.3520000000000001E-2</v>
      </c>
      <c r="J931" s="87">
        <f t="shared" si="31"/>
        <v>241.62</v>
      </c>
      <c r="K931" s="308"/>
      <c r="L931" s="308" t="s">
        <v>4672</v>
      </c>
      <c r="M931" s="308"/>
      <c r="N931" s="522"/>
      <c r="O931" s="522">
        <f>+Tabla4[[#This Row],[PAGO NO EURO]]+Tabla4[[#This Row],[CARGO NO EURO]]</f>
        <v>0</v>
      </c>
      <c r="P931" s="522"/>
      <c r="Q931" s="155"/>
      <c r="R931" s="693">
        <f>+_xlfn.XLOOKUP(Tabla4[[#This Row],[ID CLIENTE]],'RESUMEN CLIENTES'!D:D,'RESUMEN CLIENTES'!G:G)</f>
        <v>46051</v>
      </c>
      <c r="S931" s="155" t="str">
        <f>+_xlfn.XLOOKUP(Tabla4[[#This Row],[ID CLIENTE]],'RESUMEN CLIENTES'!D:D,'RESUMEN CLIENTES'!AA:AA)</f>
        <v>B1.1</v>
      </c>
      <c r="T931" s="682" t="str">
        <f>+_xlfn.XLOOKUP(Tabla4[[#This Row],[ID CLIENTE]],'RESUMEN CLIENTES'!D:D,'RESUMEN CLIENTES'!C:C)</f>
        <v>Chile</v>
      </c>
    </row>
    <row r="932" spans="1:20" ht="16">
      <c r="A932" s="305">
        <v>46051</v>
      </c>
      <c r="B932" s="305" t="str">
        <f>+_xlfn.XLOOKUP(Tabla4[[#This Row],[ID CLIENTE]],'RESUMEN CLIENTES'!D:D,'RESUMEN CLIENTES'!A:A)</f>
        <v>Miguel Angel Sisalima Shiña</v>
      </c>
      <c r="C932" s="215" t="s">
        <v>2242</v>
      </c>
      <c r="D932" s="83" t="s">
        <v>314</v>
      </c>
      <c r="E932" s="83" t="s">
        <v>2038</v>
      </c>
      <c r="F932" s="83" t="s">
        <v>2039</v>
      </c>
      <c r="G932" s="114">
        <v>1000</v>
      </c>
      <c r="H932" s="85">
        <v>-32.75</v>
      </c>
      <c r="I932" s="115">
        <f t="shared" si="30"/>
        <v>3.2750000000000001E-2</v>
      </c>
      <c r="J932" s="87">
        <f t="shared" si="31"/>
        <v>967.25</v>
      </c>
      <c r="K932" s="308"/>
      <c r="L932" s="308" t="s">
        <v>4672</v>
      </c>
      <c r="M932" s="308"/>
      <c r="N932" s="522"/>
      <c r="O932" s="522">
        <f>+Tabla4[[#This Row],[PAGO NO EURO]]+Tabla4[[#This Row],[CARGO NO EURO]]</f>
        <v>0</v>
      </c>
      <c r="P932" s="522"/>
      <c r="Q932" s="155"/>
      <c r="R932" s="693">
        <f>+_xlfn.XLOOKUP(Tabla4[[#This Row],[ID CLIENTE]],'RESUMEN CLIENTES'!D:D,'RESUMEN CLIENTES'!G:G)</f>
        <v>45816</v>
      </c>
      <c r="S932" s="155" t="str">
        <f>+_xlfn.XLOOKUP(Tabla4[[#This Row],[ID CLIENTE]],'RESUMEN CLIENTES'!D:D,'RESUMEN CLIENTES'!AA:AA)</f>
        <v>A1.1</v>
      </c>
      <c r="T932" s="682" t="str">
        <f>+_xlfn.XLOOKUP(Tabla4[[#This Row],[ID CLIENTE]],'RESUMEN CLIENTES'!D:D,'RESUMEN CLIENTES'!C:C)</f>
        <v>Ecuador</v>
      </c>
    </row>
    <row r="933" spans="1:20" ht="16">
      <c r="A933" s="305">
        <v>46051</v>
      </c>
      <c r="B933" s="305" t="str">
        <f>+_xlfn.XLOOKUP(Tabla4[[#This Row],[ID CLIENTE]],'RESUMEN CLIENTES'!D:D,'RESUMEN CLIENTES'!A:A)</f>
        <v>Luis Manuel Villanueva Contreras</v>
      </c>
      <c r="C933" s="215" t="s">
        <v>2286</v>
      </c>
      <c r="D933" s="83" t="s">
        <v>441</v>
      </c>
      <c r="E933" s="83" t="s">
        <v>2032</v>
      </c>
      <c r="F933" s="83" t="s">
        <v>2033</v>
      </c>
      <c r="G933" s="114">
        <v>1000</v>
      </c>
      <c r="H933" s="85">
        <v>-32.75</v>
      </c>
      <c r="I933" s="115">
        <f t="shared" si="30"/>
        <v>3.2750000000000001E-2</v>
      </c>
      <c r="J933" s="87">
        <f t="shared" si="31"/>
        <v>967.25</v>
      </c>
      <c r="K933" s="308"/>
      <c r="L933" s="308" t="s">
        <v>4672</v>
      </c>
      <c r="M933" s="308"/>
      <c r="N933" s="522"/>
      <c r="O933" s="522">
        <f>+Tabla4[[#This Row],[PAGO NO EURO]]+Tabla4[[#This Row],[CARGO NO EURO]]</f>
        <v>0</v>
      </c>
      <c r="P933" s="522"/>
      <c r="Q933" s="155"/>
      <c r="R933" s="693">
        <f>+_xlfn.XLOOKUP(Tabla4[[#This Row],[ID CLIENTE]],'RESUMEN CLIENTES'!D:D,'RESUMEN CLIENTES'!G:G)</f>
        <v>45845</v>
      </c>
      <c r="S933" s="155" t="str">
        <f>+_xlfn.XLOOKUP(Tabla4[[#This Row],[ID CLIENTE]],'RESUMEN CLIENTES'!D:D,'RESUMEN CLIENTES'!AA:AA)</f>
        <v>A2.1</v>
      </c>
      <c r="T933" s="682" t="str">
        <f>+_xlfn.XLOOKUP(Tabla4[[#This Row],[ID CLIENTE]],'RESUMEN CLIENTES'!D:D,'RESUMEN CLIENTES'!C:C)</f>
        <v>México</v>
      </c>
    </row>
    <row r="934" spans="1:20" ht="16">
      <c r="A934" s="305">
        <v>46051</v>
      </c>
      <c r="B934" s="305" t="str">
        <f>+_xlfn.XLOOKUP(Tabla4[[#This Row],[ID CLIENTE]],'RESUMEN CLIENTES'!D:D,'RESUMEN CLIENTES'!A:A)</f>
        <v>Carlos Josue Escobar Morán</v>
      </c>
      <c r="C934" s="215" t="s">
        <v>2208</v>
      </c>
      <c r="D934" s="83" t="s">
        <v>226</v>
      </c>
      <c r="E934" s="83" t="s">
        <v>2018</v>
      </c>
      <c r="F934" s="83" t="s">
        <v>2019</v>
      </c>
      <c r="G934" s="114">
        <v>500</v>
      </c>
      <c r="H934" s="85">
        <v>-16.5</v>
      </c>
      <c r="I934" s="115">
        <f t="shared" si="30"/>
        <v>3.3000000000000002E-2</v>
      </c>
      <c r="J934" s="87">
        <f t="shared" si="31"/>
        <v>483.5</v>
      </c>
      <c r="K934" s="308"/>
      <c r="L934" s="308" t="s">
        <v>4672</v>
      </c>
      <c r="M934" s="308"/>
      <c r="N934" s="522"/>
      <c r="O934" s="522">
        <f>+Tabla4[[#This Row],[PAGO NO EURO]]+Tabla4[[#This Row],[CARGO NO EURO]]</f>
        <v>0</v>
      </c>
      <c r="P934" s="522"/>
      <c r="Q934" s="155"/>
      <c r="R934" s="693">
        <f>+_xlfn.XLOOKUP(Tabla4[[#This Row],[ID CLIENTE]],'RESUMEN CLIENTES'!D:D,'RESUMEN CLIENTES'!G:G)</f>
        <v>45790</v>
      </c>
      <c r="S934" s="155" t="str">
        <f>+_xlfn.XLOOKUP(Tabla4[[#This Row],[ID CLIENTE]],'RESUMEN CLIENTES'!D:D,'RESUMEN CLIENTES'!AA:AA)</f>
        <v>B1.1</v>
      </c>
      <c r="T934" s="682" t="str">
        <f>+_xlfn.XLOOKUP(Tabla4[[#This Row],[ID CLIENTE]],'RESUMEN CLIENTES'!D:D,'RESUMEN CLIENTES'!C:C)</f>
        <v>El Salvador</v>
      </c>
    </row>
    <row r="935" spans="1:20" ht="16">
      <c r="A935" s="305">
        <v>46051</v>
      </c>
      <c r="B935" s="305" t="str">
        <f>+_xlfn.XLOOKUP(Tabla4[[#This Row],[ID CLIENTE]],'RESUMEN CLIENTES'!D:D,'RESUMEN CLIENTES'!A:A)</f>
        <v>Alejandra Goretti Figueroa Romo</v>
      </c>
      <c r="C935" s="215" t="s">
        <v>2323</v>
      </c>
      <c r="D935" s="83" t="s">
        <v>541</v>
      </c>
      <c r="E935" s="83" t="s">
        <v>2014</v>
      </c>
      <c r="F935" s="83" t="s">
        <v>2015</v>
      </c>
      <c r="G935" s="114">
        <v>1000</v>
      </c>
      <c r="H935" s="85">
        <v>-32.75</v>
      </c>
      <c r="I935" s="115">
        <f t="shared" si="30"/>
        <v>3.2750000000000001E-2</v>
      </c>
      <c r="J935" s="87">
        <f t="shared" si="31"/>
        <v>967.25</v>
      </c>
      <c r="K935" s="308"/>
      <c r="L935" s="308" t="s">
        <v>4672</v>
      </c>
      <c r="M935" s="308"/>
      <c r="N935" s="522"/>
      <c r="O935" s="522">
        <f>+Tabla4[[#This Row],[PAGO NO EURO]]+Tabla4[[#This Row],[CARGO NO EURO]]</f>
        <v>0</v>
      </c>
      <c r="P935" s="522"/>
      <c r="Q935" s="155"/>
      <c r="R935" s="693">
        <f>+_xlfn.XLOOKUP(Tabla4[[#This Row],[ID CLIENTE]],'RESUMEN CLIENTES'!D:D,'RESUMEN CLIENTES'!G:G)</f>
        <v>45867</v>
      </c>
      <c r="S935" s="155" t="str">
        <f>+_xlfn.XLOOKUP(Tabla4[[#This Row],[ID CLIENTE]],'RESUMEN CLIENTES'!D:D,'RESUMEN CLIENTES'!AA:AA)</f>
        <v>A2.2</v>
      </c>
      <c r="T935" s="682" t="str">
        <f>+_xlfn.XLOOKUP(Tabla4[[#This Row],[ID CLIENTE]],'RESUMEN CLIENTES'!D:D,'RESUMEN CLIENTES'!C:C)</f>
        <v>México</v>
      </c>
    </row>
    <row r="936" spans="1:20" ht="16">
      <c r="A936" s="305">
        <v>46051</v>
      </c>
      <c r="B936" s="305" t="str">
        <f>+_xlfn.XLOOKUP(Tabla4[[#This Row],[ID CLIENTE]],'RESUMEN CLIENTES'!D:D,'RESUMEN CLIENTES'!A:A)</f>
        <v>Nathaly Gabriela Henríquez Masín</v>
      </c>
      <c r="C936" s="215" t="s">
        <v>2210</v>
      </c>
      <c r="D936" s="83" t="s">
        <v>229</v>
      </c>
      <c r="E936" s="83" t="s">
        <v>2040</v>
      </c>
      <c r="F936" s="83" t="s">
        <v>2041</v>
      </c>
      <c r="G936" s="114">
        <v>500</v>
      </c>
      <c r="H936" s="85">
        <v>-16.5</v>
      </c>
      <c r="I936" s="115">
        <f t="shared" si="30"/>
        <v>3.3000000000000002E-2</v>
      </c>
      <c r="J936" s="87">
        <f t="shared" si="31"/>
        <v>483.5</v>
      </c>
      <c r="K936" s="308"/>
      <c r="L936" s="308" t="s">
        <v>4672</v>
      </c>
      <c r="M936" s="308"/>
      <c r="N936" s="522"/>
      <c r="O936" s="522">
        <f>+Tabla4[[#This Row],[PAGO NO EURO]]+Tabla4[[#This Row],[CARGO NO EURO]]</f>
        <v>0</v>
      </c>
      <c r="P936" s="522"/>
      <c r="Q936" s="155"/>
      <c r="R936" s="693">
        <f>+_xlfn.XLOOKUP(Tabla4[[#This Row],[ID CLIENTE]],'RESUMEN CLIENTES'!D:D,'RESUMEN CLIENTES'!G:G)</f>
        <v>45790</v>
      </c>
      <c r="S936" s="155" t="str">
        <f>+_xlfn.XLOOKUP(Tabla4[[#This Row],[ID CLIENTE]],'RESUMEN CLIENTES'!D:D,'RESUMEN CLIENTES'!AA:AA)</f>
        <v>null</v>
      </c>
      <c r="T936" s="682" t="str">
        <f>+_xlfn.XLOOKUP(Tabla4[[#This Row],[ID CLIENTE]],'RESUMEN CLIENTES'!D:D,'RESUMEN CLIENTES'!C:C)</f>
        <v>El Salvador</v>
      </c>
    </row>
    <row r="937" spans="1:20" ht="16">
      <c r="A937" s="305">
        <v>46051</v>
      </c>
      <c r="B937" s="305" t="str">
        <f>+_xlfn.XLOOKUP(Tabla4[[#This Row],[ID CLIENTE]],'RESUMEN CLIENTES'!D:D,'RESUMEN CLIENTES'!A:A)</f>
        <v>Rainier Guerrero</v>
      </c>
      <c r="C937" s="215" t="s">
        <v>2263</v>
      </c>
      <c r="D937" s="83" t="s">
        <v>350</v>
      </c>
      <c r="E937" s="83" t="s">
        <v>2042</v>
      </c>
      <c r="F937" s="83" t="s">
        <v>2043</v>
      </c>
      <c r="G937" s="114">
        <v>1000</v>
      </c>
      <c r="H937" s="85">
        <v>-32.75</v>
      </c>
      <c r="I937" s="115">
        <f t="shared" si="30"/>
        <v>3.2750000000000001E-2</v>
      </c>
      <c r="J937" s="87">
        <f t="shared" si="31"/>
        <v>967.25</v>
      </c>
      <c r="K937" s="308"/>
      <c r="L937" s="308" t="s">
        <v>4672</v>
      </c>
      <c r="M937" s="308"/>
      <c r="N937" s="522"/>
      <c r="O937" s="522">
        <f>+Tabla4[[#This Row],[PAGO NO EURO]]+Tabla4[[#This Row],[CARGO NO EURO]]</f>
        <v>0</v>
      </c>
      <c r="P937" s="522"/>
      <c r="Q937" s="155"/>
      <c r="R937" s="693">
        <f>+_xlfn.XLOOKUP(Tabla4[[#This Row],[ID CLIENTE]],'RESUMEN CLIENTES'!D:D,'RESUMEN CLIENTES'!G:G)</f>
        <v>45827</v>
      </c>
      <c r="S937" s="155" t="str">
        <f>+_xlfn.XLOOKUP(Tabla4[[#This Row],[ID CLIENTE]],'RESUMEN CLIENTES'!D:D,'RESUMEN CLIENTES'!AA:AA)</f>
        <v>A1.1</v>
      </c>
      <c r="T937" s="682" t="str">
        <f>+_xlfn.XLOOKUP(Tabla4[[#This Row],[ID CLIENTE]],'RESUMEN CLIENTES'!D:D,'RESUMEN CLIENTES'!C:C)</f>
        <v>México</v>
      </c>
    </row>
    <row r="938" spans="1:20" ht="16">
      <c r="A938" s="305">
        <v>46051</v>
      </c>
      <c r="B938" s="305" t="str">
        <f>+_xlfn.XLOOKUP(Tabla4[[#This Row],[ID CLIENTE]],'RESUMEN CLIENTES'!D:D,'RESUMEN CLIENTES'!A:A)</f>
        <v>Carlos Mersaim Olivares Sandoval</v>
      </c>
      <c r="C938" s="215" t="s">
        <v>2300</v>
      </c>
      <c r="D938" s="83" t="s">
        <v>479</v>
      </c>
      <c r="E938" s="83" t="s">
        <v>2020</v>
      </c>
      <c r="F938" s="83" t="s">
        <v>2021</v>
      </c>
      <c r="G938" s="114">
        <v>1000</v>
      </c>
      <c r="H938" s="85">
        <v>-32.75</v>
      </c>
      <c r="I938" s="115">
        <f t="shared" si="30"/>
        <v>3.2750000000000001E-2</v>
      </c>
      <c r="J938" s="87">
        <f t="shared" si="31"/>
        <v>967.25</v>
      </c>
      <c r="K938" s="308"/>
      <c r="L938" s="308" t="s">
        <v>4672</v>
      </c>
      <c r="M938" s="308"/>
      <c r="N938" s="522"/>
      <c r="O938" s="522">
        <f>+Tabla4[[#This Row],[PAGO NO EURO]]+Tabla4[[#This Row],[CARGO NO EURO]]</f>
        <v>0</v>
      </c>
      <c r="P938" s="522"/>
      <c r="Q938" s="155"/>
      <c r="R938" s="693">
        <f>+_xlfn.XLOOKUP(Tabla4[[#This Row],[ID CLIENTE]],'RESUMEN CLIENTES'!D:D,'RESUMEN CLIENTES'!G:G)</f>
        <v>45852</v>
      </c>
      <c r="S938" s="155" t="str">
        <f>+_xlfn.XLOOKUP(Tabla4[[#This Row],[ID CLIENTE]],'RESUMEN CLIENTES'!D:D,'RESUMEN CLIENTES'!AA:AA)</f>
        <v>A1.1</v>
      </c>
      <c r="T938" s="682" t="str">
        <f>+_xlfn.XLOOKUP(Tabla4[[#This Row],[ID CLIENTE]],'RESUMEN CLIENTES'!D:D,'RESUMEN CLIENTES'!C:C)</f>
        <v>México</v>
      </c>
    </row>
    <row r="939" spans="1:20" ht="16">
      <c r="A939" s="305">
        <v>46052</v>
      </c>
      <c r="B939" s="305" t="str">
        <f>+_xlfn.XLOOKUP(Tabla4[[#This Row],[ID CLIENTE]],'RESUMEN CLIENTES'!D:D,'RESUMEN CLIENTES'!A:A)</f>
        <v>Alan Diego Titiro Casone</v>
      </c>
      <c r="C939" s="215" t="s">
        <v>2191</v>
      </c>
      <c r="D939" s="83" t="s">
        <v>4464</v>
      </c>
      <c r="E939" s="83" t="s">
        <v>4462</v>
      </c>
      <c r="F939" s="83" t="s">
        <v>4463</v>
      </c>
      <c r="G939" s="114">
        <f>+Tabla4[[#This Row],[PAGO NO EURO]]*Tabla4[[#This Row],[CAMBIO]]</f>
        <v>8161.374851114515</v>
      </c>
      <c r="H939" s="85">
        <f>+Tabla4[[#This Row],[CARGO NO EURO]]*Tabla4[[#This Row],[CAMBIO]]</f>
        <v>-310.13177547123439</v>
      </c>
      <c r="I939" s="115">
        <f t="shared" si="30"/>
        <v>3.7999942549983831E-2</v>
      </c>
      <c r="J939" s="87">
        <f t="shared" si="31"/>
        <v>7851.2430756432805</v>
      </c>
      <c r="K939" s="87" t="s">
        <v>2545</v>
      </c>
      <c r="L939" s="87" t="s">
        <v>4675</v>
      </c>
      <c r="M939" s="87" t="s">
        <v>2543</v>
      </c>
      <c r="N939" s="522">
        <v>8633592</v>
      </c>
      <c r="O939" s="523">
        <f>+Tabla4[[#This Row],[PAGO NO EURO]]+Tabla4[[#This Row],[CARGO NO EURO]]</f>
        <v>8305516</v>
      </c>
      <c r="P939" s="523">
        <v>-328076</v>
      </c>
      <c r="Q939" s="155">
        <v>9.4530467169568757E-4</v>
      </c>
      <c r="R939" s="693">
        <f>+_xlfn.XLOOKUP(Tabla4[[#This Row],[ID CLIENTE]],'RESUMEN CLIENTES'!D:D,'RESUMEN CLIENTES'!G:G)</f>
        <v>45775</v>
      </c>
      <c r="S939" s="155" t="str">
        <f>+_xlfn.XLOOKUP(Tabla4[[#This Row],[ID CLIENTE]],'RESUMEN CLIENTES'!D:D,'RESUMEN CLIENTES'!AA:AA)</f>
        <v>A2.2</v>
      </c>
      <c r="T939" s="682" t="str">
        <f>+_xlfn.XLOOKUP(Tabla4[[#This Row],[ID CLIENTE]],'RESUMEN CLIENTES'!D:D,'RESUMEN CLIENTES'!C:C)</f>
        <v>Chile</v>
      </c>
    </row>
    <row r="940" spans="1:20" ht="16">
      <c r="A940" s="305">
        <v>46052</v>
      </c>
      <c r="B940" s="305" t="str">
        <f>+_xlfn.XLOOKUP(Tabla4[[#This Row],[ID CLIENTE]],'RESUMEN CLIENTES'!D:D,'RESUMEN CLIENTES'!A:A)</f>
        <v>Katerine Marianela Verastegui Mendoza</v>
      </c>
      <c r="C940" s="215" t="s">
        <v>2469</v>
      </c>
      <c r="D940" s="83" t="s">
        <v>1461</v>
      </c>
      <c r="E940" s="83" t="s">
        <v>2001</v>
      </c>
      <c r="F940" s="83" t="s">
        <v>2002</v>
      </c>
      <c r="G940" s="114">
        <v>1000</v>
      </c>
      <c r="H940" s="85">
        <v>-32.75</v>
      </c>
      <c r="I940" s="115">
        <f t="shared" si="30"/>
        <v>3.2750000000000001E-2</v>
      </c>
      <c r="J940" s="87">
        <f t="shared" si="31"/>
        <v>967.25</v>
      </c>
      <c r="K940" s="308"/>
      <c r="L940" s="308" t="s">
        <v>4672</v>
      </c>
      <c r="M940" s="308"/>
      <c r="N940" s="306"/>
      <c r="O940" s="516"/>
      <c r="P940" s="306"/>
      <c r="Q940" s="155"/>
      <c r="R940" s="693">
        <f>+_xlfn.XLOOKUP(Tabla4[[#This Row],[ID CLIENTE]],'RESUMEN CLIENTES'!D:D,'RESUMEN CLIENTES'!G:G)</f>
        <v>45988</v>
      </c>
      <c r="S940" s="155" t="str">
        <f>+_xlfn.XLOOKUP(Tabla4[[#This Row],[ID CLIENTE]],'RESUMEN CLIENTES'!D:D,'RESUMEN CLIENTES'!AA:AA)</f>
        <v>A1.1</v>
      </c>
      <c r="T940" s="682" t="str">
        <f>+_xlfn.XLOOKUP(Tabla4[[#This Row],[ID CLIENTE]],'RESUMEN CLIENTES'!D:D,'RESUMEN CLIENTES'!C:C)</f>
        <v>Perú</v>
      </c>
    </row>
    <row r="941" spans="1:20" ht="16">
      <c r="A941" s="305">
        <v>46052</v>
      </c>
      <c r="B941" s="305" t="str">
        <f>+_xlfn.XLOOKUP(Tabla4[[#This Row],[ID CLIENTE]],'RESUMEN CLIENTES'!D:D,'RESUMEN CLIENTES'!A:A)</f>
        <v>Jesica Daniela Paredes Mendoza</v>
      </c>
      <c r="C941" s="215" t="s">
        <v>2530</v>
      </c>
      <c r="D941" s="83" t="s">
        <v>2046</v>
      </c>
      <c r="E941" s="83" t="s">
        <v>2047</v>
      </c>
      <c r="F941" s="83" t="s">
        <v>2048</v>
      </c>
      <c r="G941" s="114">
        <v>250</v>
      </c>
      <c r="H941" s="393">
        <v>-8.3800000000000008</v>
      </c>
      <c r="I941" s="115">
        <f t="shared" si="30"/>
        <v>3.3520000000000001E-2</v>
      </c>
      <c r="J941" s="87">
        <f t="shared" si="31"/>
        <v>241.62</v>
      </c>
      <c r="K941" s="308"/>
      <c r="L941" s="308" t="s">
        <v>4672</v>
      </c>
      <c r="M941" s="308"/>
      <c r="N941" s="306"/>
      <c r="O941" s="516"/>
      <c r="P941" s="306"/>
      <c r="Q941" s="155"/>
      <c r="R941" s="693">
        <f>+_xlfn.XLOOKUP(Tabla4[[#This Row],[ID CLIENTE]],'RESUMEN CLIENTES'!D:D,'RESUMEN CLIENTES'!G:G)</f>
        <v>46052</v>
      </c>
      <c r="S941" s="155" t="str">
        <f>+_xlfn.XLOOKUP(Tabla4[[#This Row],[ID CLIENTE]],'RESUMEN CLIENTES'!D:D,'RESUMEN CLIENTES'!AA:AA)</f>
        <v>A1.1</v>
      </c>
      <c r="T941" s="682" t="str">
        <f>+_xlfn.XLOOKUP(Tabla4[[#This Row],[ID CLIENTE]],'RESUMEN CLIENTES'!D:D,'RESUMEN CLIENTES'!C:C)</f>
        <v>México</v>
      </c>
    </row>
    <row r="942" spans="1:20" ht="16">
      <c r="A942" s="305">
        <v>46053</v>
      </c>
      <c r="B942" s="305" t="str">
        <f>+_xlfn.XLOOKUP(Tabla4[[#This Row],[ID CLIENTE]],'RESUMEN CLIENTES'!D:D,'RESUMEN CLIENTES'!A:A)</f>
        <v>Boris Andrés Silva Véliz</v>
      </c>
      <c r="C942" s="215" t="s">
        <v>2184</v>
      </c>
      <c r="D942" s="83" t="s">
        <v>184</v>
      </c>
      <c r="E942" s="83" t="s">
        <v>2066</v>
      </c>
      <c r="F942" s="83" t="s">
        <v>2067</v>
      </c>
      <c r="G942" s="114">
        <v>695</v>
      </c>
      <c r="H942" s="85">
        <v>-22.84</v>
      </c>
      <c r="I942" s="115">
        <f t="shared" si="30"/>
        <v>3.2863309352517987E-2</v>
      </c>
      <c r="J942" s="87">
        <f t="shared" si="31"/>
        <v>672.16</v>
      </c>
      <c r="K942" s="308"/>
      <c r="L942" s="308" t="s">
        <v>4672</v>
      </c>
      <c r="M942" s="308"/>
      <c r="N942" s="306"/>
      <c r="O942" s="516"/>
      <c r="P942" s="306"/>
      <c r="Q942" s="155"/>
      <c r="R942" s="693">
        <f>+_xlfn.XLOOKUP(Tabla4[[#This Row],[ID CLIENTE]],'RESUMEN CLIENTES'!D:D,'RESUMEN CLIENTES'!G:G)</f>
        <v>45771</v>
      </c>
      <c r="S942" s="155" t="str">
        <f>+_xlfn.XLOOKUP(Tabla4[[#This Row],[ID CLIENTE]],'RESUMEN CLIENTES'!D:D,'RESUMEN CLIENTES'!AA:AA)</f>
        <v>C1.1</v>
      </c>
      <c r="T942" s="682" t="str">
        <f>+_xlfn.XLOOKUP(Tabla4[[#This Row],[ID CLIENTE]],'RESUMEN CLIENTES'!D:D,'RESUMEN CLIENTES'!C:C)</f>
        <v>Chile</v>
      </c>
    </row>
    <row r="943" spans="1:20" ht="16">
      <c r="A943" s="305">
        <v>46053</v>
      </c>
      <c r="B943" s="305" t="str">
        <f>+_xlfn.XLOOKUP(Tabla4[[#This Row],[ID CLIENTE]],'RESUMEN CLIENTES'!D:D,'RESUMEN CLIENTES'!A:A)</f>
        <v>Berenisse Shadia Yarango Garay</v>
      </c>
      <c r="C943" s="215" t="s">
        <v>2497</v>
      </c>
      <c r="D943" s="83" t="s">
        <v>1870</v>
      </c>
      <c r="E943" s="83" t="s">
        <v>1999</v>
      </c>
      <c r="F943" s="83" t="s">
        <v>2000</v>
      </c>
      <c r="G943" s="114">
        <v>2750</v>
      </c>
      <c r="H943" s="85">
        <v>-89.63</v>
      </c>
      <c r="I943" s="115">
        <f t="shared" si="30"/>
        <v>3.2592727272727273E-2</v>
      </c>
      <c r="J943" s="87">
        <f t="shared" si="31"/>
        <v>2660.37</v>
      </c>
      <c r="K943" s="308"/>
      <c r="L943" s="308" t="s">
        <v>4672</v>
      </c>
      <c r="M943" s="308"/>
      <c r="N943" s="306"/>
      <c r="O943" s="516"/>
      <c r="P943" s="306"/>
      <c r="Q943" s="155"/>
      <c r="R943" s="693">
        <f>+_xlfn.XLOOKUP(Tabla4[[#This Row],[ID CLIENTE]],'RESUMEN CLIENTES'!D:D,'RESUMEN CLIENTES'!G:G)</f>
        <v>46029</v>
      </c>
      <c r="S943" s="155" t="str">
        <f>+_xlfn.XLOOKUP(Tabla4[[#This Row],[ID CLIENTE]],'RESUMEN CLIENTES'!D:D,'RESUMEN CLIENTES'!AA:AA)</f>
        <v>A1.1</v>
      </c>
      <c r="T943" s="682" t="str">
        <f>+_xlfn.XLOOKUP(Tabla4[[#This Row],[ID CLIENTE]],'RESUMEN CLIENTES'!D:D,'RESUMEN CLIENTES'!C:C)</f>
        <v>Perú</v>
      </c>
    </row>
    <row r="944" spans="1:20" ht="16">
      <c r="A944" s="305">
        <v>46053</v>
      </c>
      <c r="B944" s="305" t="str">
        <f>+_xlfn.XLOOKUP(Tabla4[[#This Row],[ID CLIENTE]],'RESUMEN CLIENTES'!D:D,'RESUMEN CLIENTES'!A:A)</f>
        <v>María Soledad Tituana Asanza</v>
      </c>
      <c r="C944" s="215" t="s">
        <v>2432</v>
      </c>
      <c r="D944" s="83" t="s">
        <v>1201</v>
      </c>
      <c r="E944" s="83" t="s">
        <v>2036</v>
      </c>
      <c r="F944" s="83" t="s">
        <v>2037</v>
      </c>
      <c r="G944" s="114">
        <v>1000</v>
      </c>
      <c r="H944" s="85">
        <v>-32.75</v>
      </c>
      <c r="I944" s="115">
        <f t="shared" si="30"/>
        <v>3.2750000000000001E-2</v>
      </c>
      <c r="J944" s="87">
        <f t="shared" si="31"/>
        <v>967.25</v>
      </c>
      <c r="K944" s="308"/>
      <c r="L944" s="308" t="s">
        <v>4672</v>
      </c>
      <c r="M944" s="308"/>
      <c r="N944" s="306"/>
      <c r="O944" s="516"/>
      <c r="P944" s="306"/>
      <c r="Q944" s="155"/>
      <c r="R944" s="693">
        <f>+_xlfn.XLOOKUP(Tabla4[[#This Row],[ID CLIENTE]],'RESUMEN CLIENTES'!D:D,'RESUMEN CLIENTES'!G:G)</f>
        <v>45946</v>
      </c>
      <c r="S944" s="155" t="str">
        <f>+_xlfn.XLOOKUP(Tabla4[[#This Row],[ID CLIENTE]],'RESUMEN CLIENTES'!D:D,'RESUMEN CLIENTES'!AA:AA)</f>
        <v>A1.1</v>
      </c>
      <c r="T944" s="682" t="str">
        <f>+_xlfn.XLOOKUP(Tabla4[[#This Row],[ID CLIENTE]],'RESUMEN CLIENTES'!D:D,'RESUMEN CLIENTES'!C:C)</f>
        <v>Ecuador</v>
      </c>
    </row>
    <row r="945" spans="1:20" ht="16">
      <c r="A945" s="305">
        <v>46053</v>
      </c>
      <c r="B945" s="83" t="str">
        <f>+_xlfn.XLOOKUP(Tabla4[[#This Row],[ID CLIENTE]],'RESUMEN CLIENTES'!D:D,'RESUMEN CLIENTES'!A:A)</f>
        <v>Julian Medina</v>
      </c>
      <c r="C945" s="215" t="s">
        <v>2294</v>
      </c>
      <c r="D945" s="83" t="s">
        <v>468</v>
      </c>
      <c r="E945" s="83" t="s">
        <v>2028</v>
      </c>
      <c r="F945" s="83" t="s">
        <v>2029</v>
      </c>
      <c r="G945" s="114">
        <v>2000</v>
      </c>
      <c r="H945" s="85">
        <v>-65.25</v>
      </c>
      <c r="I945" s="115">
        <f t="shared" si="30"/>
        <v>3.2625000000000001E-2</v>
      </c>
      <c r="J945" s="87">
        <f t="shared" si="31"/>
        <v>1934.75</v>
      </c>
      <c r="K945" s="87"/>
      <c r="L945" s="87" t="s">
        <v>4672</v>
      </c>
      <c r="M945" s="87"/>
      <c r="N945" s="87"/>
      <c r="O945" s="517"/>
      <c r="P945" s="87"/>
      <c r="Q945" s="88"/>
      <c r="R945" s="689">
        <f>+_xlfn.XLOOKUP(Tabla4[[#This Row],[ID CLIENTE]],'RESUMEN CLIENTES'!D:D,'RESUMEN CLIENTES'!G:G)</f>
        <v>45848</v>
      </c>
      <c r="S945" s="88" t="str">
        <f>+_xlfn.XLOOKUP(Tabla4[[#This Row],[ID CLIENTE]],'RESUMEN CLIENTES'!D:D,'RESUMEN CLIENTES'!AA:AA)</f>
        <v>B1.1</v>
      </c>
      <c r="T945" s="680" t="str">
        <f>+_xlfn.XLOOKUP(Tabla4[[#This Row],[ID CLIENTE]],'RESUMEN CLIENTES'!D:D,'RESUMEN CLIENTES'!C:C)</f>
        <v>Ecuador</v>
      </c>
    </row>
    <row r="946" spans="1:20" ht="16">
      <c r="A946" s="305">
        <v>46053</v>
      </c>
      <c r="B946" s="83" t="str">
        <f>+_xlfn.XLOOKUP(Tabla4[[#This Row],[ID CLIENTE]],'RESUMEN CLIENTES'!D:D,'RESUMEN CLIENTES'!A:A)</f>
        <v>Julian Medina</v>
      </c>
      <c r="C946" s="215" t="s">
        <v>2294</v>
      </c>
      <c r="D946" s="83" t="s">
        <v>468</v>
      </c>
      <c r="E946" s="83" t="s">
        <v>2030</v>
      </c>
      <c r="F946" s="83" t="s">
        <v>2031</v>
      </c>
      <c r="G946" s="114">
        <v>1700</v>
      </c>
      <c r="H946" s="85">
        <v>-55.5</v>
      </c>
      <c r="I946" s="115">
        <f t="shared" si="30"/>
        <v>3.2647058823529411E-2</v>
      </c>
      <c r="J946" s="87">
        <f t="shared" si="31"/>
        <v>1644.5</v>
      </c>
      <c r="K946" s="87"/>
      <c r="L946" s="87" t="s">
        <v>4672</v>
      </c>
      <c r="M946" s="87"/>
      <c r="N946" s="87"/>
      <c r="O946" s="517"/>
      <c r="P946" s="87"/>
      <c r="Q946" s="88"/>
      <c r="R946" s="689">
        <f>+_xlfn.XLOOKUP(Tabla4[[#This Row],[ID CLIENTE]],'RESUMEN CLIENTES'!D:D,'RESUMEN CLIENTES'!G:G)</f>
        <v>45848</v>
      </c>
      <c r="S946" s="88" t="str">
        <f>+_xlfn.XLOOKUP(Tabla4[[#This Row],[ID CLIENTE]],'RESUMEN CLIENTES'!D:D,'RESUMEN CLIENTES'!AA:AA)</f>
        <v>B1.1</v>
      </c>
      <c r="T946" s="680" t="str">
        <f>+_xlfn.XLOOKUP(Tabla4[[#This Row],[ID CLIENTE]],'RESUMEN CLIENTES'!D:D,'RESUMEN CLIENTES'!C:C)</f>
        <v>Ecuador</v>
      </c>
    </row>
    <row r="947" spans="1:20" ht="16">
      <c r="A947" s="305">
        <v>46054</v>
      </c>
      <c r="B947" s="83" t="str">
        <f>+_xlfn.XLOOKUP(Tabla4[[#This Row],[ID CLIENTE]],'RESUMEN CLIENTES'!D:D,'RESUMEN CLIENTES'!A:A)</f>
        <v>Francisco Salas Barrera</v>
      </c>
      <c r="C947" s="215" t="s">
        <v>2495</v>
      </c>
      <c r="D947" s="83" t="s">
        <v>1761</v>
      </c>
      <c r="E947" s="83" t="s">
        <v>2024</v>
      </c>
      <c r="F947" s="83" t="s">
        <v>2025</v>
      </c>
      <c r="G947" s="114">
        <v>1000</v>
      </c>
      <c r="H947" s="85">
        <v>-32.75</v>
      </c>
      <c r="I947" s="115">
        <f t="shared" si="30"/>
        <v>3.2750000000000001E-2</v>
      </c>
      <c r="J947" s="87">
        <f t="shared" si="31"/>
        <v>967.25</v>
      </c>
      <c r="K947" s="87"/>
      <c r="L947" s="87" t="s">
        <v>4672</v>
      </c>
      <c r="M947" s="87"/>
      <c r="N947" s="87"/>
      <c r="O947" s="517"/>
      <c r="P947" s="87"/>
      <c r="Q947" s="88"/>
      <c r="R947" s="689">
        <f>+_xlfn.XLOOKUP(Tabla4[[#This Row],[ID CLIENTE]],'RESUMEN CLIENTES'!D:D,'RESUMEN CLIENTES'!G:G)</f>
        <v>46021</v>
      </c>
      <c r="S947" s="88" t="str">
        <f>+_xlfn.XLOOKUP(Tabla4[[#This Row],[ID CLIENTE]],'RESUMEN CLIENTES'!D:D,'RESUMEN CLIENTES'!AA:AA)</f>
        <v>A1.1</v>
      </c>
      <c r="T947" s="680" t="str">
        <f>+_xlfn.XLOOKUP(Tabla4[[#This Row],[ID CLIENTE]],'RESUMEN CLIENTES'!D:D,'RESUMEN CLIENTES'!C:C)</f>
        <v>México</v>
      </c>
    </row>
    <row r="948" spans="1:20" ht="16">
      <c r="A948" s="305">
        <v>46054</v>
      </c>
      <c r="B948" s="83" t="str">
        <f>+_xlfn.XLOOKUP(Tabla4[[#This Row],[ID CLIENTE]],'RESUMEN CLIENTES'!D:D,'RESUMEN CLIENTES'!A:A)</f>
        <v>Hugo Nicolás Trávez Morales</v>
      </c>
      <c r="C948" s="215" t="s">
        <v>2156</v>
      </c>
      <c r="D948" s="83" t="s">
        <v>139</v>
      </c>
      <c r="E948" s="83" t="s">
        <v>2044</v>
      </c>
      <c r="F948" s="83" t="s">
        <v>2045</v>
      </c>
      <c r="G948" s="114">
        <v>500</v>
      </c>
      <c r="H948" s="85">
        <v>-16.5</v>
      </c>
      <c r="I948" s="115">
        <f t="shared" si="30"/>
        <v>3.3000000000000002E-2</v>
      </c>
      <c r="J948" s="87">
        <f t="shared" si="31"/>
        <v>483.5</v>
      </c>
      <c r="K948" s="87"/>
      <c r="L948" s="87" t="s">
        <v>4672</v>
      </c>
      <c r="M948" s="87"/>
      <c r="N948" s="87"/>
      <c r="O948" s="517"/>
      <c r="P948" s="87"/>
      <c r="Q948" s="88"/>
      <c r="R948" s="689">
        <f>+_xlfn.XLOOKUP(Tabla4[[#This Row],[ID CLIENTE]],'RESUMEN CLIENTES'!D:D,'RESUMEN CLIENTES'!G:G)</f>
        <v>45747</v>
      </c>
      <c r="S948" s="88" t="str">
        <f>+_xlfn.XLOOKUP(Tabla4[[#This Row],[ID CLIENTE]],'RESUMEN CLIENTES'!D:D,'RESUMEN CLIENTES'!AA:AA)</f>
        <v>null</v>
      </c>
      <c r="T948" s="680" t="str">
        <f>+_xlfn.XLOOKUP(Tabla4[[#This Row],[ID CLIENTE]],'RESUMEN CLIENTES'!D:D,'RESUMEN CLIENTES'!C:C)</f>
        <v>Ecuador</v>
      </c>
    </row>
    <row r="949" spans="1:20" ht="16">
      <c r="A949" s="305">
        <v>46054</v>
      </c>
      <c r="B949" s="83" t="str">
        <f>+_xlfn.XLOOKUP(Tabla4[[#This Row],[ID CLIENTE]],'RESUMEN CLIENTES'!D:D,'RESUMEN CLIENTES'!A:A)</f>
        <v>Constanza Andrea Águila Vergara</v>
      </c>
      <c r="C949" s="215" t="s">
        <v>2441</v>
      </c>
      <c r="D949" s="83" t="s">
        <v>1245</v>
      </c>
      <c r="E949" s="83" t="s">
        <v>2051</v>
      </c>
      <c r="F949" s="83" t="s">
        <v>2052</v>
      </c>
      <c r="G949" s="114">
        <v>850</v>
      </c>
      <c r="H949" s="85">
        <v>-27.88</v>
      </c>
      <c r="I949" s="115">
        <f t="shared" si="30"/>
        <v>3.2799999999999996E-2</v>
      </c>
      <c r="J949" s="87">
        <f t="shared" si="31"/>
        <v>822.12</v>
      </c>
      <c r="K949" s="87"/>
      <c r="L949" s="87" t="s">
        <v>4672</v>
      </c>
      <c r="M949" s="87"/>
      <c r="N949" s="87"/>
      <c r="O949" s="517"/>
      <c r="P949" s="87"/>
      <c r="Q949" s="88"/>
      <c r="R949" s="691">
        <f>+_xlfn.XLOOKUP(Tabla4[[#This Row],[ID CLIENTE]],'RESUMEN CLIENTES'!D:D,'RESUMEN CLIENTES'!G:G)</f>
        <v>45957</v>
      </c>
      <c r="S949" s="98" t="str">
        <f>+_xlfn.XLOOKUP(Tabla4[[#This Row],[ID CLIENTE]],'RESUMEN CLIENTES'!D:D,'RESUMEN CLIENTES'!AA:AA)</f>
        <v>A1.2</v>
      </c>
      <c r="T949" s="681" t="str">
        <f>+_xlfn.XLOOKUP(Tabla4[[#This Row],[ID CLIENTE]],'RESUMEN CLIENTES'!D:D,'RESUMEN CLIENTES'!C:C)</f>
        <v>Chile</v>
      </c>
    </row>
    <row r="950" spans="1:20" ht="16">
      <c r="A950" s="305">
        <v>46054</v>
      </c>
      <c r="B950" s="83" t="str">
        <f>+_xlfn.XLOOKUP(Tabla4[[#This Row],[ID CLIENTE]],'RESUMEN CLIENTES'!D:D,'RESUMEN CLIENTES'!A:A)</f>
        <v>Daniel Flores</v>
      </c>
      <c r="C950" s="215" t="s">
        <v>2430</v>
      </c>
      <c r="D950" s="83" t="s">
        <v>1178</v>
      </c>
      <c r="E950" s="83" t="s">
        <v>2656</v>
      </c>
      <c r="F950" s="83" t="s">
        <v>2657</v>
      </c>
      <c r="G950" s="114">
        <v>850</v>
      </c>
      <c r="H950" s="85">
        <v>-27.88</v>
      </c>
      <c r="I950" s="115">
        <f t="shared" si="30"/>
        <v>3.2799999999999996E-2</v>
      </c>
      <c r="J950" s="87">
        <f t="shared" si="31"/>
        <v>822.12</v>
      </c>
      <c r="K950" s="87"/>
      <c r="L950" s="87" t="s">
        <v>4672</v>
      </c>
      <c r="M950" s="87"/>
      <c r="N950" s="87"/>
      <c r="O950" s="517"/>
      <c r="P950" s="87"/>
      <c r="Q950" s="88"/>
      <c r="R950" s="689">
        <f>+_xlfn.XLOOKUP(Tabla4[[#This Row],[ID CLIENTE]],'RESUMEN CLIENTES'!D:D,'RESUMEN CLIENTES'!G:G)</f>
        <v>45945</v>
      </c>
      <c r="S950" s="88" t="str">
        <f>+_xlfn.XLOOKUP(Tabla4[[#This Row],[ID CLIENTE]],'RESUMEN CLIENTES'!D:D,'RESUMEN CLIENTES'!AA:AA)</f>
        <v>A1.1</v>
      </c>
      <c r="T950" s="680" t="str">
        <f>+_xlfn.XLOOKUP(Tabla4[[#This Row],[ID CLIENTE]],'RESUMEN CLIENTES'!D:D,'RESUMEN CLIENTES'!C:C)</f>
        <v>Ecuador</v>
      </c>
    </row>
    <row r="951" spans="1:20" ht="16">
      <c r="A951" s="305">
        <v>46054</v>
      </c>
      <c r="B951" s="83" t="str">
        <f>+_xlfn.XLOOKUP(Tabla4[[#This Row],[ID CLIENTE]],'RESUMEN CLIENTES'!D:D,'RESUMEN CLIENTES'!A:A)</f>
        <v>Juan Camilo Sanchez Ramirez</v>
      </c>
      <c r="C951" s="215" t="s">
        <v>2227</v>
      </c>
      <c r="D951" s="83" t="s">
        <v>266</v>
      </c>
      <c r="E951" s="83" t="s">
        <v>2652</v>
      </c>
      <c r="F951" s="83" t="s">
        <v>2653</v>
      </c>
      <c r="G951" s="114">
        <v>1000</v>
      </c>
      <c r="H951" s="85">
        <v>-32.75</v>
      </c>
      <c r="I951" s="115">
        <f t="shared" si="30"/>
        <v>3.2750000000000001E-2</v>
      </c>
      <c r="J951" s="87">
        <f t="shared" si="31"/>
        <v>967.25</v>
      </c>
      <c r="K951" s="87"/>
      <c r="L951" s="87" t="s">
        <v>4672</v>
      </c>
      <c r="M951" s="87"/>
      <c r="N951" s="87"/>
      <c r="O951" s="517"/>
      <c r="P951" s="87"/>
      <c r="Q951" s="88"/>
      <c r="R951" s="689">
        <f>+_xlfn.XLOOKUP(Tabla4[[#This Row],[ID CLIENTE]],'RESUMEN CLIENTES'!D:D,'RESUMEN CLIENTES'!G:G)</f>
        <v>45807</v>
      </c>
      <c r="S951" s="88" t="str">
        <f>+_xlfn.XLOOKUP(Tabla4[[#This Row],[ID CLIENTE]],'RESUMEN CLIENTES'!D:D,'RESUMEN CLIENTES'!AA:AA)</f>
        <v>A1.1</v>
      </c>
      <c r="T951" s="680" t="str">
        <f>+_xlfn.XLOOKUP(Tabla4[[#This Row],[ID CLIENTE]],'RESUMEN CLIENTES'!D:D,'RESUMEN CLIENTES'!C:C)</f>
        <v>Colombia</v>
      </c>
    </row>
    <row r="952" spans="1:20" ht="16">
      <c r="A952" s="305">
        <v>46054</v>
      </c>
      <c r="B952" s="93" t="str">
        <f>+_xlfn.XLOOKUP(Tabla4[[#This Row],[ID CLIENTE]],'RESUMEN CLIENTES'!D:D,'RESUMEN CLIENTES'!A:A)</f>
        <v>Gilberto Martiñon Torres</v>
      </c>
      <c r="C952" s="215" t="s">
        <v>2375</v>
      </c>
      <c r="D952" s="93" t="s">
        <v>739</v>
      </c>
      <c r="E952" s="93" t="s">
        <v>2654</v>
      </c>
      <c r="F952" s="83" t="s">
        <v>2655</v>
      </c>
      <c r="G952" s="396">
        <v>700</v>
      </c>
      <c r="H952" s="95">
        <v>-23</v>
      </c>
      <c r="I952" s="397">
        <f t="shared" si="30"/>
        <v>3.2857142857142856E-2</v>
      </c>
      <c r="J952" s="97">
        <f t="shared" si="31"/>
        <v>677</v>
      </c>
      <c r="K952" s="97"/>
      <c r="L952" s="97" t="s">
        <v>4672</v>
      </c>
      <c r="M952" s="97"/>
      <c r="N952" s="97"/>
      <c r="O952" s="518"/>
      <c r="P952" s="97"/>
      <c r="Q952" s="98"/>
      <c r="R952" s="691">
        <f>+_xlfn.XLOOKUP(Tabla4[[#This Row],[ID CLIENTE]],'RESUMEN CLIENTES'!D:D,'RESUMEN CLIENTES'!G:G)</f>
        <v>45896</v>
      </c>
      <c r="S952" s="98" t="str">
        <f>+_xlfn.XLOOKUP(Tabla4[[#This Row],[ID CLIENTE]],'RESUMEN CLIENTES'!D:D,'RESUMEN CLIENTES'!AA:AA)</f>
        <v>A1.1</v>
      </c>
      <c r="T952" s="681" t="str">
        <f>+_xlfn.XLOOKUP(Tabla4[[#This Row],[ID CLIENTE]],'RESUMEN CLIENTES'!D:D,'RESUMEN CLIENTES'!C:C)</f>
        <v>México</v>
      </c>
    </row>
    <row r="953" spans="1:20" ht="16">
      <c r="A953" s="305">
        <v>46055</v>
      </c>
      <c r="B953" s="93" t="str">
        <f>+_xlfn.XLOOKUP(Tabla4[[#This Row],[ID CLIENTE]],'RESUMEN CLIENTES'!D:D,'RESUMEN CLIENTES'!A:A)</f>
        <v>Luis Armando Calderon Manzanera</v>
      </c>
      <c r="C953" s="215" t="s">
        <v>2461</v>
      </c>
      <c r="D953" s="93" t="s">
        <v>1416</v>
      </c>
      <c r="E953" s="93" t="s">
        <v>2658</v>
      </c>
      <c r="F953" s="83" t="s">
        <v>2659</v>
      </c>
      <c r="G953" s="396">
        <v>650</v>
      </c>
      <c r="H953" s="95">
        <v>-21.38</v>
      </c>
      <c r="I953" s="397">
        <f t="shared" si="30"/>
        <v>3.2892307692307693E-2</v>
      </c>
      <c r="J953" s="97">
        <f t="shared" si="31"/>
        <v>628.62</v>
      </c>
      <c r="K953" s="97"/>
      <c r="L953" s="97" t="s">
        <v>4672</v>
      </c>
      <c r="M953" s="97"/>
      <c r="N953" s="97"/>
      <c r="O953" s="518"/>
      <c r="P953" s="97"/>
      <c r="Q953" s="98"/>
      <c r="R953" s="691">
        <f>+_xlfn.XLOOKUP(Tabla4[[#This Row],[ID CLIENTE]],'RESUMEN CLIENTES'!D:D,'RESUMEN CLIENTES'!G:G)</f>
        <v>45979</v>
      </c>
      <c r="S953" s="98" t="str">
        <f>+_xlfn.XLOOKUP(Tabla4[[#This Row],[ID CLIENTE]],'RESUMEN CLIENTES'!D:D,'RESUMEN CLIENTES'!AA:AA)</f>
        <v>A1.1</v>
      </c>
      <c r="T953" s="681" t="str">
        <f>+_xlfn.XLOOKUP(Tabla4[[#This Row],[ID CLIENTE]],'RESUMEN CLIENTES'!D:D,'RESUMEN CLIENTES'!C:C)</f>
        <v>México</v>
      </c>
    </row>
    <row r="954" spans="1:20" ht="16">
      <c r="A954" s="305">
        <v>46055</v>
      </c>
      <c r="B954" s="83" t="str">
        <f>+_xlfn.XLOOKUP(Tabla4[[#This Row],[ID CLIENTE]],'RESUMEN CLIENTES'!D:D,'RESUMEN CLIENTES'!A:A)</f>
        <v>Yefry Onil Santana Marte</v>
      </c>
      <c r="C954" s="215" t="s">
        <v>2284</v>
      </c>
      <c r="D954" s="83" t="s">
        <v>447</v>
      </c>
      <c r="E954" s="83" t="s">
        <v>2060</v>
      </c>
      <c r="F954" s="83" t="s">
        <v>2061</v>
      </c>
      <c r="G954" s="114">
        <v>625</v>
      </c>
      <c r="H954" s="85">
        <v>-20.56</v>
      </c>
      <c r="I954" s="115">
        <f t="shared" si="30"/>
        <v>3.2895999999999995E-2</v>
      </c>
      <c r="J954" s="87">
        <f t="shared" si="31"/>
        <v>604.44000000000005</v>
      </c>
      <c r="K954" s="87"/>
      <c r="L954" s="87" t="s">
        <v>4672</v>
      </c>
      <c r="M954" s="87"/>
      <c r="N954" s="87"/>
      <c r="O954" s="517"/>
      <c r="P954" s="87"/>
      <c r="Q954" s="88"/>
      <c r="R954" s="689">
        <f>+_xlfn.XLOOKUP(Tabla4[[#This Row],[ID CLIENTE]],'RESUMEN CLIENTES'!D:D,'RESUMEN CLIENTES'!G:G)</f>
        <v>45845</v>
      </c>
      <c r="S954" s="88" t="str">
        <f>+_xlfn.XLOOKUP(Tabla4[[#This Row],[ID CLIENTE]],'RESUMEN CLIENTES'!D:D,'RESUMEN CLIENTES'!AA:AA)</f>
        <v>A1.1</v>
      </c>
      <c r="T954" s="680" t="str">
        <f>+_xlfn.XLOOKUP(Tabla4[[#This Row],[ID CLIENTE]],'RESUMEN CLIENTES'!D:D,'RESUMEN CLIENTES'!C:C)</f>
        <v>República Dominicana</v>
      </c>
    </row>
    <row r="955" spans="1:20" ht="16">
      <c r="A955" s="305">
        <v>46055</v>
      </c>
      <c r="B955" s="83" t="str">
        <f>+_xlfn.XLOOKUP(Tabla4[[#This Row],[ID CLIENTE]],'RESUMEN CLIENTES'!D:D,'RESUMEN CLIENTES'!A:A)</f>
        <v>Yefry Onil Santana Marte</v>
      </c>
      <c r="C955" s="215" t="s">
        <v>2284</v>
      </c>
      <c r="D955" s="83" t="s">
        <v>447</v>
      </c>
      <c r="E955" s="83" t="s">
        <v>2062</v>
      </c>
      <c r="F955" s="83" t="s">
        <v>2063</v>
      </c>
      <c r="G955" s="114">
        <v>625</v>
      </c>
      <c r="H955" s="85">
        <v>-20.56</v>
      </c>
      <c r="I955" s="115">
        <f t="shared" si="30"/>
        <v>3.2895999999999995E-2</v>
      </c>
      <c r="J955" s="87">
        <f t="shared" si="31"/>
        <v>604.44000000000005</v>
      </c>
      <c r="K955" s="87"/>
      <c r="L955" s="87" t="s">
        <v>4672</v>
      </c>
      <c r="M955" s="87"/>
      <c r="N955" s="87"/>
      <c r="O955" s="517"/>
      <c r="P955" s="87"/>
      <c r="Q955" s="88"/>
      <c r="R955" s="689">
        <f>+_xlfn.XLOOKUP(Tabla4[[#This Row],[ID CLIENTE]],'RESUMEN CLIENTES'!D:D,'RESUMEN CLIENTES'!G:G)</f>
        <v>45845</v>
      </c>
      <c r="S955" s="88" t="str">
        <f>+_xlfn.XLOOKUP(Tabla4[[#This Row],[ID CLIENTE]],'RESUMEN CLIENTES'!D:D,'RESUMEN CLIENTES'!AA:AA)</f>
        <v>A1.1</v>
      </c>
      <c r="T955" s="680" t="str">
        <f>+_xlfn.XLOOKUP(Tabla4[[#This Row],[ID CLIENTE]],'RESUMEN CLIENTES'!D:D,'RESUMEN CLIENTES'!C:C)</f>
        <v>República Dominicana</v>
      </c>
    </row>
    <row r="956" spans="1:20" ht="16">
      <c r="A956" s="305">
        <v>46055</v>
      </c>
      <c r="B956" s="93" t="str">
        <f>+_xlfn.XLOOKUP(Tabla4[[#This Row],[ID CLIENTE]],'RESUMEN CLIENTES'!D:D,'RESUMEN CLIENTES'!A:A)</f>
        <v>Yefry Onil Santana Marte</v>
      </c>
      <c r="C956" s="215" t="s">
        <v>2284</v>
      </c>
      <c r="D956" s="93" t="s">
        <v>447</v>
      </c>
      <c r="E956" s="93" t="s">
        <v>2064</v>
      </c>
      <c r="F956" s="83" t="s">
        <v>2065</v>
      </c>
      <c r="G956" s="396">
        <v>625</v>
      </c>
      <c r="H956" s="95">
        <v>-20.56</v>
      </c>
      <c r="I956" s="397">
        <f t="shared" si="30"/>
        <v>3.2895999999999995E-2</v>
      </c>
      <c r="J956" s="97">
        <f t="shared" si="31"/>
        <v>604.44000000000005</v>
      </c>
      <c r="K956" s="97"/>
      <c r="L956" s="97" t="s">
        <v>4672</v>
      </c>
      <c r="M956" s="97"/>
      <c r="N956" s="97"/>
      <c r="O956" s="518"/>
      <c r="P956" s="97"/>
      <c r="Q956" s="98"/>
      <c r="R956" s="691">
        <f>+_xlfn.XLOOKUP(Tabla4[[#This Row],[ID CLIENTE]],'RESUMEN CLIENTES'!D:D,'RESUMEN CLIENTES'!G:G)</f>
        <v>45845</v>
      </c>
      <c r="S956" s="98" t="str">
        <f>+_xlfn.XLOOKUP(Tabla4[[#This Row],[ID CLIENTE]],'RESUMEN CLIENTES'!D:D,'RESUMEN CLIENTES'!AA:AA)</f>
        <v>A1.1</v>
      </c>
      <c r="T956" s="681" t="str">
        <f>+_xlfn.XLOOKUP(Tabla4[[#This Row],[ID CLIENTE]],'RESUMEN CLIENTES'!D:D,'RESUMEN CLIENTES'!C:C)</f>
        <v>República Dominicana</v>
      </c>
    </row>
    <row r="957" spans="1:20" ht="16">
      <c r="A957" s="305">
        <v>46055</v>
      </c>
      <c r="B957" s="83" t="str">
        <f>+_xlfn.XLOOKUP(Tabla4[[#This Row],[ID CLIENTE]],'RESUMEN CLIENTES'!D:D,'RESUMEN CLIENTES'!A:A)</f>
        <v>Rodrigo Rivera Ruiz</v>
      </c>
      <c r="C957" s="215" t="s">
        <v>2170</v>
      </c>
      <c r="D957" s="83" t="s">
        <v>159</v>
      </c>
      <c r="E957" s="83" t="s">
        <v>2660</v>
      </c>
      <c r="F957" s="83" t="s">
        <v>2661</v>
      </c>
      <c r="G957" s="114">
        <v>1000</v>
      </c>
      <c r="H957" s="85">
        <v>-32.75</v>
      </c>
      <c r="I957" s="115">
        <f t="shared" si="30"/>
        <v>3.2750000000000001E-2</v>
      </c>
      <c r="J957" s="87">
        <f t="shared" si="31"/>
        <v>967.25</v>
      </c>
      <c r="K957" s="87"/>
      <c r="L957" s="87" t="s">
        <v>4672</v>
      </c>
      <c r="M957" s="87"/>
      <c r="N957" s="87"/>
      <c r="O957" s="517"/>
      <c r="P957" s="87"/>
      <c r="Q957" s="88"/>
      <c r="R957" s="689">
        <f>+_xlfn.XLOOKUP(Tabla4[[#This Row],[ID CLIENTE]],'RESUMEN CLIENTES'!D:D,'RESUMEN CLIENTES'!G:G)</f>
        <v>45757</v>
      </c>
      <c r="S957" s="88" t="str">
        <f>+_xlfn.XLOOKUP(Tabla4[[#This Row],[ID CLIENTE]],'RESUMEN CLIENTES'!D:D,'RESUMEN CLIENTES'!AA:AA)</f>
        <v>A1.1</v>
      </c>
      <c r="T957" s="680" t="str">
        <f>+_xlfn.XLOOKUP(Tabla4[[#This Row],[ID CLIENTE]],'RESUMEN CLIENTES'!D:D,'RESUMEN CLIENTES'!C:C)</f>
        <v>Chile</v>
      </c>
    </row>
    <row r="958" spans="1:20" ht="16">
      <c r="A958" s="305">
        <v>46055</v>
      </c>
      <c r="B958" s="83" t="str">
        <f>+_xlfn.XLOOKUP(Tabla4[[#This Row],[ID CLIENTE]],'RESUMEN CLIENTES'!D:D,'RESUMEN CLIENTES'!A:A)</f>
        <v>Maria Laura Rios Pino</v>
      </c>
      <c r="C958" s="215" t="s">
        <v>2220</v>
      </c>
      <c r="D958" s="83" t="s">
        <v>258</v>
      </c>
      <c r="E958" s="83" t="s">
        <v>2662</v>
      </c>
      <c r="F958" s="83" t="s">
        <v>2663</v>
      </c>
      <c r="G958" s="114">
        <f>+Tabla4[[#This Row],[PAGO NO EURO]]*Tabla4[[#This Row],[CAMBIO]]</f>
        <v>632.69782351948709</v>
      </c>
      <c r="H958" s="85">
        <f>+Tabla4[[#This Row],[CARGO NO EURO]]*Tabla4[[#This Row],[CAMBIO]]</f>
        <v>-20.819976379281254</v>
      </c>
      <c r="I958" s="115">
        <f t="shared" si="30"/>
        <v>3.2906666666666667E-2</v>
      </c>
      <c r="J958" s="87">
        <f t="shared" si="31"/>
        <v>611.87784714020586</v>
      </c>
      <c r="K958" s="87"/>
      <c r="L958" s="87" t="s">
        <v>4672</v>
      </c>
      <c r="M958" s="87" t="s">
        <v>2548</v>
      </c>
      <c r="N958" s="521">
        <v>750</v>
      </c>
      <c r="O958" s="521">
        <f>+Tabla4[[#This Row],[PAGO NO EURO]]+Tabla4[[#This Row],[CARGO NO EURO]]</f>
        <v>725.32</v>
      </c>
      <c r="P958" s="521">
        <v>-24.68</v>
      </c>
      <c r="Q958" s="88">
        <v>0.84359709802598282</v>
      </c>
      <c r="R958" s="689">
        <f>+_xlfn.XLOOKUP(Tabla4[[#This Row],[ID CLIENTE]],'RESUMEN CLIENTES'!D:D,'RESUMEN CLIENTES'!G:G)</f>
        <v>45805</v>
      </c>
      <c r="S958" s="88" t="str">
        <f>+_xlfn.XLOOKUP(Tabla4[[#This Row],[ID CLIENTE]],'RESUMEN CLIENTES'!D:D,'RESUMEN CLIENTES'!AA:AA)</f>
        <v>B1.1</v>
      </c>
      <c r="T958" s="680" t="str">
        <f>+_xlfn.XLOOKUP(Tabla4[[#This Row],[ID CLIENTE]],'RESUMEN CLIENTES'!D:D,'RESUMEN CLIENTES'!C:C)</f>
        <v>Perú</v>
      </c>
    </row>
    <row r="959" spans="1:20" ht="16">
      <c r="A959" s="305">
        <v>46055</v>
      </c>
      <c r="B959" s="83" t="str">
        <f>+_xlfn.XLOOKUP(Tabla4[[#This Row],[ID CLIENTE]],'RESUMEN CLIENTES'!D:D,'RESUMEN CLIENTES'!A:A)</f>
        <v>Diego Alberto Ruiz Cifuentes</v>
      </c>
      <c r="C959" s="215" t="s">
        <v>2487</v>
      </c>
      <c r="D959" s="83" t="s">
        <v>1674</v>
      </c>
      <c r="E959" s="83" t="s">
        <v>2068</v>
      </c>
      <c r="F959" s="83" t="s">
        <v>2069</v>
      </c>
      <c r="G959" s="114">
        <v>1000</v>
      </c>
      <c r="H959" s="85">
        <v>-32.75</v>
      </c>
      <c r="I959" s="115">
        <f t="shared" si="30"/>
        <v>3.2750000000000001E-2</v>
      </c>
      <c r="J959" s="87">
        <f t="shared" si="31"/>
        <v>967.25</v>
      </c>
      <c r="K959" s="87"/>
      <c r="L959" s="87" t="s">
        <v>4672</v>
      </c>
      <c r="M959" s="87"/>
      <c r="N959" s="87"/>
      <c r="O959" s="87"/>
      <c r="P959" s="87"/>
      <c r="Q959" s="88"/>
      <c r="R959" s="689">
        <f>+_xlfn.XLOOKUP(Tabla4[[#This Row],[ID CLIENTE]],'RESUMEN CLIENTES'!D:D,'RESUMEN CLIENTES'!G:G)</f>
        <v>46006</v>
      </c>
      <c r="S959" s="88" t="str">
        <f>+_xlfn.XLOOKUP(Tabla4[[#This Row],[ID CLIENTE]],'RESUMEN CLIENTES'!D:D,'RESUMEN CLIENTES'!AA:AA)</f>
        <v>A2.1</v>
      </c>
      <c r="T959" s="680" t="str">
        <f>+_xlfn.XLOOKUP(Tabla4[[#This Row],[ID CLIENTE]],'RESUMEN CLIENTES'!D:D,'RESUMEN CLIENTES'!C:C)</f>
        <v>Chile</v>
      </c>
    </row>
    <row r="960" spans="1:20" ht="16">
      <c r="A960" s="305">
        <v>46055</v>
      </c>
      <c r="B960" s="83" t="str">
        <f>+_xlfn.XLOOKUP(Tabla4[[#This Row],[ID CLIENTE]],'RESUMEN CLIENTES'!D:D,'RESUMEN CLIENTES'!A:A)</f>
        <v>Jesica Daniela Paredes Mendoza</v>
      </c>
      <c r="C960" s="215" t="s">
        <v>2530</v>
      </c>
      <c r="D960" s="83" t="s">
        <v>2046</v>
      </c>
      <c r="E960" s="83" t="s">
        <v>2664</v>
      </c>
      <c r="F960" s="83" t="s">
        <v>2665</v>
      </c>
      <c r="G960" s="114">
        <v>250</v>
      </c>
      <c r="H960" s="85">
        <v>-8.3800000000000008</v>
      </c>
      <c r="I960" s="115">
        <f t="shared" si="30"/>
        <v>3.3520000000000001E-2</v>
      </c>
      <c r="J960" s="87">
        <f t="shared" si="31"/>
        <v>241.62</v>
      </c>
      <c r="K960" s="87"/>
      <c r="L960" s="87" t="s">
        <v>4672</v>
      </c>
      <c r="M960" s="87"/>
      <c r="N960" s="426"/>
      <c r="O960" s="426"/>
      <c r="P960" s="427"/>
      <c r="Q960" s="88"/>
      <c r="R960" s="689">
        <f>+_xlfn.XLOOKUP(Tabla4[[#This Row],[ID CLIENTE]],'RESUMEN CLIENTES'!D:D,'RESUMEN CLIENTES'!G:G)</f>
        <v>46052</v>
      </c>
      <c r="S960" s="88" t="str">
        <f>+_xlfn.XLOOKUP(Tabla4[[#This Row],[ID CLIENTE]],'RESUMEN CLIENTES'!D:D,'RESUMEN CLIENTES'!AA:AA)</f>
        <v>A1.1</v>
      </c>
      <c r="T960" s="680" t="str">
        <f>+_xlfn.XLOOKUP(Tabla4[[#This Row],[ID CLIENTE]],'RESUMEN CLIENTES'!D:D,'RESUMEN CLIENTES'!C:C)</f>
        <v>México</v>
      </c>
    </row>
    <row r="961" spans="1:20" ht="16">
      <c r="A961" s="305">
        <v>46055</v>
      </c>
      <c r="B961" s="83" t="str">
        <f>+_xlfn.XLOOKUP(Tabla4[[#This Row],[ID CLIENTE]],'RESUMEN CLIENTES'!D:D,'RESUMEN CLIENTES'!A:A)</f>
        <v>Virna Nathaly Montenegro Samaniego</v>
      </c>
      <c r="C961" s="215" t="s">
        <v>2349</v>
      </c>
      <c r="D961" s="83" t="s">
        <v>706</v>
      </c>
      <c r="E961" s="83" t="s">
        <v>4638</v>
      </c>
      <c r="F961" s="83" t="s">
        <v>4639</v>
      </c>
      <c r="G961" s="114">
        <v>1000</v>
      </c>
      <c r="H961" s="85">
        <v>-5</v>
      </c>
      <c r="I961" s="115">
        <f t="shared" si="30"/>
        <v>5.0000000000000001E-3</v>
      </c>
      <c r="J961" s="87">
        <f t="shared" si="31"/>
        <v>995</v>
      </c>
      <c r="K961" s="87"/>
      <c r="L961" s="87" t="s">
        <v>4672</v>
      </c>
      <c r="M961" s="87"/>
      <c r="N961" s="87"/>
      <c r="O961" s="87"/>
      <c r="P961" s="87"/>
      <c r="Q961" s="88"/>
      <c r="R961" s="689">
        <f>+_xlfn.XLOOKUP(Tabla4[[#This Row],[ID CLIENTE]],'RESUMEN CLIENTES'!D:D,'RESUMEN CLIENTES'!G:G)</f>
        <v>45878</v>
      </c>
      <c r="S961" s="88" t="str">
        <f>+_xlfn.XLOOKUP(Tabla4[[#This Row],[ID CLIENTE]],'RESUMEN CLIENTES'!D:D,'RESUMEN CLIENTES'!AA:AA)</f>
        <v>A1 komplett</v>
      </c>
      <c r="T961" s="680" t="str">
        <f>+_xlfn.XLOOKUP(Tabla4[[#This Row],[ID CLIENTE]],'RESUMEN CLIENTES'!D:D,'RESUMEN CLIENTES'!C:C)</f>
        <v>Ecuador</v>
      </c>
    </row>
    <row r="962" spans="1:20" ht="16">
      <c r="A962" s="305">
        <v>46055</v>
      </c>
      <c r="B962" s="83" t="str">
        <f>+_xlfn.XLOOKUP(Tabla4[[#This Row],[ID CLIENTE]],'RESUMEN CLIENTES'!D:D,'RESUMEN CLIENTES'!A:A)</f>
        <v>José Miguel Undurraga Saavedra</v>
      </c>
      <c r="C962" s="215" t="s">
        <v>2269</v>
      </c>
      <c r="D962" s="83" t="s">
        <v>367</v>
      </c>
      <c r="E962" s="83" t="s">
        <v>1889</v>
      </c>
      <c r="F962" s="83" t="s">
        <v>1890</v>
      </c>
      <c r="G962" s="114">
        <v>100</v>
      </c>
      <c r="H962" s="85">
        <v>-3.5</v>
      </c>
      <c r="I962" s="115">
        <f t="shared" si="30"/>
        <v>3.5000000000000003E-2</v>
      </c>
      <c r="J962" s="87">
        <f t="shared" si="31"/>
        <v>96.5</v>
      </c>
      <c r="K962" s="87"/>
      <c r="L962" s="87" t="s">
        <v>4672</v>
      </c>
      <c r="M962" s="87"/>
      <c r="N962" s="426"/>
      <c r="O962" s="426"/>
      <c r="P962" s="427"/>
      <c r="Q962" s="88"/>
      <c r="R962" s="689">
        <f>+_xlfn.XLOOKUP(Tabla4[[#This Row],[ID CLIENTE]],'RESUMEN CLIENTES'!D:D,'RESUMEN CLIENTES'!G:G)</f>
        <v>45833</v>
      </c>
      <c r="S962" s="88" t="str">
        <f>+_xlfn.XLOOKUP(Tabla4[[#This Row],[ID CLIENTE]],'RESUMEN CLIENTES'!D:D,'RESUMEN CLIENTES'!AA:AA)</f>
        <v>A1.1</v>
      </c>
      <c r="T962" s="680" t="str">
        <f>+_xlfn.XLOOKUP(Tabla4[[#This Row],[ID CLIENTE]],'RESUMEN CLIENTES'!D:D,'RESUMEN CLIENTES'!C:C)</f>
        <v>Chile</v>
      </c>
    </row>
    <row r="963" spans="1:20" ht="16">
      <c r="A963" s="305">
        <v>46056</v>
      </c>
      <c r="B963" s="83" t="str">
        <f>+_xlfn.XLOOKUP(Tabla4[[#This Row],[ID CLIENTE]],'RESUMEN CLIENTES'!D:D,'RESUMEN CLIENTES'!A:A)</f>
        <v>Johan Martínez</v>
      </c>
      <c r="C963" s="215" t="s">
        <v>2501</v>
      </c>
      <c r="D963" s="83" t="s">
        <v>1899</v>
      </c>
      <c r="E963" s="83" t="s">
        <v>2666</v>
      </c>
      <c r="F963" s="83" t="s">
        <v>2667</v>
      </c>
      <c r="G963" s="114">
        <v>500</v>
      </c>
      <c r="H963" s="85">
        <v>-16.5</v>
      </c>
      <c r="I963" s="115">
        <f t="shared" si="30"/>
        <v>3.3000000000000002E-2</v>
      </c>
      <c r="J963" s="87">
        <f t="shared" si="31"/>
        <v>483.5</v>
      </c>
      <c r="K963" s="87"/>
      <c r="L963" s="87" t="s">
        <v>4672</v>
      </c>
      <c r="M963" s="87"/>
      <c r="N963" s="87"/>
      <c r="O963" s="87"/>
      <c r="P963" s="87"/>
      <c r="Q963" s="88"/>
      <c r="R963" s="689">
        <f>+_xlfn.XLOOKUP(Tabla4[[#This Row],[ID CLIENTE]],'RESUMEN CLIENTES'!D:D,'RESUMEN CLIENTES'!G:G)</f>
        <v>46033</v>
      </c>
      <c r="S963" s="88" t="str">
        <f>+_xlfn.XLOOKUP(Tabla4[[#This Row],[ID CLIENTE]],'RESUMEN CLIENTES'!D:D,'RESUMEN CLIENTES'!AA:AA)</f>
        <v>A1.1</v>
      </c>
      <c r="T963" s="680" t="str">
        <f>+_xlfn.XLOOKUP(Tabla4[[#This Row],[ID CLIENTE]],'RESUMEN CLIENTES'!D:D,'RESUMEN CLIENTES'!C:C)</f>
        <v>Colombia</v>
      </c>
    </row>
    <row r="964" spans="1:20" ht="16">
      <c r="A964" s="305">
        <v>46056</v>
      </c>
      <c r="B964" s="83" t="str">
        <f>+_xlfn.XLOOKUP(Tabla4[[#This Row],[ID CLIENTE]],'RESUMEN CLIENTES'!D:D,'RESUMEN CLIENTES'!A:A)</f>
        <v>Olguer Ariel Pruna Herrera</v>
      </c>
      <c r="C964" s="215" t="s">
        <v>2353</v>
      </c>
      <c r="D964" s="83" t="s">
        <v>695</v>
      </c>
      <c r="E964" s="83" t="s">
        <v>2053</v>
      </c>
      <c r="F964" s="83" t="s">
        <v>2054</v>
      </c>
      <c r="G964" s="114">
        <v>1000</v>
      </c>
      <c r="H964" s="85">
        <v>-32.75</v>
      </c>
      <c r="I964" s="115">
        <f t="shared" si="30"/>
        <v>3.2750000000000001E-2</v>
      </c>
      <c r="J964" s="87">
        <f t="shared" si="31"/>
        <v>967.25</v>
      </c>
      <c r="K964" s="87"/>
      <c r="L964" s="87" t="s">
        <v>4672</v>
      </c>
      <c r="M964" s="87"/>
      <c r="N964" s="426"/>
      <c r="O964" s="426"/>
      <c r="P964" s="427"/>
      <c r="Q964" s="88"/>
      <c r="R964" s="689">
        <f>+_xlfn.XLOOKUP(Tabla4[[#This Row],[ID CLIENTE]],'RESUMEN CLIENTES'!D:D,'RESUMEN CLIENTES'!G:G)</f>
        <v>45882</v>
      </c>
      <c r="S964" s="88" t="str">
        <f>+_xlfn.XLOOKUP(Tabla4[[#This Row],[ID CLIENTE]],'RESUMEN CLIENTES'!D:D,'RESUMEN CLIENTES'!AA:AA)</f>
        <v>A1.1</v>
      </c>
      <c r="T964" s="680" t="str">
        <f>+_xlfn.XLOOKUP(Tabla4[[#This Row],[ID CLIENTE]],'RESUMEN CLIENTES'!D:D,'RESUMEN CLIENTES'!C:C)</f>
        <v>Ecuador</v>
      </c>
    </row>
    <row r="965" spans="1:20" ht="16">
      <c r="A965" s="305">
        <v>46056</v>
      </c>
      <c r="B965" s="83" t="str">
        <f>+_xlfn.XLOOKUP(Tabla4[[#This Row],[ID CLIENTE]],'RESUMEN CLIENTES'!D:D,'RESUMEN CLIENTES'!A:A)</f>
        <v>María Fernanda Alvar Sepúlveda</v>
      </c>
      <c r="C965" s="215" t="s">
        <v>2123</v>
      </c>
      <c r="D965" s="83" t="s">
        <v>80</v>
      </c>
      <c r="E965" s="83" t="s">
        <v>2668</v>
      </c>
      <c r="F965" s="83" t="s">
        <v>2669</v>
      </c>
      <c r="G965" s="114">
        <v>800</v>
      </c>
      <c r="H965" s="85">
        <v>-26.25</v>
      </c>
      <c r="I965" s="115">
        <f t="shared" si="30"/>
        <v>3.2812500000000001E-2</v>
      </c>
      <c r="J965" s="87">
        <f t="shared" si="31"/>
        <v>773.75</v>
      </c>
      <c r="K965" s="87"/>
      <c r="L965" s="87" t="s">
        <v>4672</v>
      </c>
      <c r="M965" s="87"/>
      <c r="N965" s="87"/>
      <c r="O965" s="87"/>
      <c r="P965" s="87"/>
      <c r="Q965" s="88"/>
      <c r="R965" s="689">
        <f>+_xlfn.XLOOKUP(Tabla4[[#This Row],[ID CLIENTE]],'RESUMEN CLIENTES'!D:D,'RESUMEN CLIENTES'!G:G)</f>
        <v>45684</v>
      </c>
      <c r="S965" s="88" t="str">
        <f>+_xlfn.XLOOKUP(Tabla4[[#This Row],[ID CLIENTE]],'RESUMEN CLIENTES'!D:D,'RESUMEN CLIENTES'!AA:AA)</f>
        <v>A1.1</v>
      </c>
      <c r="T965" s="680" t="str">
        <f>+_xlfn.XLOOKUP(Tabla4[[#This Row],[ID CLIENTE]],'RESUMEN CLIENTES'!D:D,'RESUMEN CLIENTES'!C:C)</f>
        <v>Chile</v>
      </c>
    </row>
    <row r="966" spans="1:20" ht="16">
      <c r="A966" s="305">
        <v>46056</v>
      </c>
      <c r="B966" s="83" t="str">
        <f>+_xlfn.XLOOKUP(Tabla4[[#This Row],[ID CLIENTE]],'RESUMEN CLIENTES'!D:D,'RESUMEN CLIENTES'!A:A)</f>
        <v>Florencia Luján Sapia</v>
      </c>
      <c r="C966" s="215" t="s">
        <v>2393</v>
      </c>
      <c r="D966" s="83" t="s">
        <v>787</v>
      </c>
      <c r="E966" s="83" t="s">
        <v>2670</v>
      </c>
      <c r="F966" s="83" t="s">
        <v>2671</v>
      </c>
      <c r="G966" s="114">
        <v>600</v>
      </c>
      <c r="H966" s="85">
        <v>-19.75</v>
      </c>
      <c r="I966" s="115">
        <f t="shared" si="30"/>
        <v>3.2916666666666664E-2</v>
      </c>
      <c r="J966" s="87">
        <f t="shared" si="31"/>
        <v>580.25</v>
      </c>
      <c r="K966" s="87"/>
      <c r="L966" s="87" t="s">
        <v>4672</v>
      </c>
      <c r="M966" s="87"/>
      <c r="N966" s="426"/>
      <c r="O966" s="426"/>
      <c r="P966" s="427"/>
      <c r="Q966" s="88"/>
      <c r="R966" s="689">
        <f>+_xlfn.XLOOKUP(Tabla4[[#This Row],[ID CLIENTE]],'RESUMEN CLIENTES'!D:D,'RESUMEN CLIENTES'!G:G)</f>
        <v>45900</v>
      </c>
      <c r="S966" s="88" t="str">
        <f>+_xlfn.XLOOKUP(Tabla4[[#This Row],[ID CLIENTE]],'RESUMEN CLIENTES'!D:D,'RESUMEN CLIENTES'!AA:AA)</f>
        <v>A2.1</v>
      </c>
      <c r="T966" s="680" t="str">
        <f>+_xlfn.XLOOKUP(Tabla4[[#This Row],[ID CLIENTE]],'RESUMEN CLIENTES'!D:D,'RESUMEN CLIENTES'!C:C)</f>
        <v>Argentina</v>
      </c>
    </row>
    <row r="967" spans="1:20" ht="16">
      <c r="A967" s="305">
        <v>46056</v>
      </c>
      <c r="B967" s="83" t="str">
        <f>+_xlfn.XLOOKUP(Tabla4[[#This Row],[ID CLIENTE]],'RESUMEN CLIENTES'!D:D,'RESUMEN CLIENTES'!A:A)</f>
        <v>Bryan Israel Jiménez Puente</v>
      </c>
      <c r="C967" s="215" t="s">
        <v>2434</v>
      </c>
      <c r="D967" s="83" t="s">
        <v>1206</v>
      </c>
      <c r="E967" s="83" t="s">
        <v>2672</v>
      </c>
      <c r="F967" s="83" t="s">
        <v>2673</v>
      </c>
      <c r="G967" s="114">
        <v>1000</v>
      </c>
      <c r="H967" s="85">
        <v>-52.29</v>
      </c>
      <c r="I967" s="115">
        <f t="shared" si="30"/>
        <v>5.2289999999999996E-2</v>
      </c>
      <c r="J967" s="87">
        <f t="shared" si="31"/>
        <v>947.71</v>
      </c>
      <c r="K967" s="87"/>
      <c r="L967" s="87" t="s">
        <v>4672</v>
      </c>
      <c r="M967" s="87"/>
      <c r="N967" s="87"/>
      <c r="O967" s="87"/>
      <c r="P967" s="87"/>
      <c r="Q967" s="88"/>
      <c r="R967" s="689">
        <f>+_xlfn.XLOOKUP(Tabla4[[#This Row],[ID CLIENTE]],'RESUMEN CLIENTES'!D:D,'RESUMEN CLIENTES'!G:G)</f>
        <v>45947</v>
      </c>
      <c r="S967" s="88" t="str">
        <f>+_xlfn.XLOOKUP(Tabla4[[#This Row],[ID CLIENTE]],'RESUMEN CLIENTES'!D:D,'RESUMEN CLIENTES'!AA:AA)</f>
        <v>A1.1</v>
      </c>
      <c r="T967" s="680" t="str">
        <f>+_xlfn.XLOOKUP(Tabla4[[#This Row],[ID CLIENTE]],'RESUMEN CLIENTES'!D:D,'RESUMEN CLIENTES'!C:C)</f>
        <v>Ecuador</v>
      </c>
    </row>
    <row r="968" spans="1:20" ht="16">
      <c r="A968" s="305">
        <v>46057</v>
      </c>
      <c r="B968" s="83" t="str">
        <f>+_xlfn.XLOOKUP(Tabla4[[#This Row],[ID CLIENTE]],'RESUMEN CLIENTES'!D:D,'RESUMEN CLIENTES'!A:A)</f>
        <v>Mayra Leonor Rivera Paico</v>
      </c>
      <c r="C968" s="215" t="s">
        <v>2280</v>
      </c>
      <c r="D968" s="83" t="s">
        <v>407</v>
      </c>
      <c r="E968" s="83" t="s">
        <v>4407</v>
      </c>
      <c r="F968" s="83" t="s">
        <v>4408</v>
      </c>
      <c r="G968" s="114">
        <v>1000</v>
      </c>
      <c r="H968" s="85">
        <v>-32.75</v>
      </c>
      <c r="I968" s="115">
        <f t="shared" si="30"/>
        <v>3.2750000000000001E-2</v>
      </c>
      <c r="J968" s="87">
        <f t="shared" si="31"/>
        <v>967.25</v>
      </c>
      <c r="K968" s="87"/>
      <c r="L968" s="87" t="s">
        <v>4672</v>
      </c>
      <c r="M968" s="87"/>
      <c r="N968" s="426"/>
      <c r="O968" s="426"/>
      <c r="P968" s="427"/>
      <c r="Q968" s="88"/>
      <c r="R968" s="689">
        <f>+_xlfn.XLOOKUP(Tabla4[[#This Row],[ID CLIENTE]],'RESUMEN CLIENTES'!D:D,'RESUMEN CLIENTES'!G:G)</f>
        <v>45842</v>
      </c>
      <c r="S968" s="88" t="str">
        <f>+_xlfn.XLOOKUP(Tabla4[[#This Row],[ID CLIENTE]],'RESUMEN CLIENTES'!D:D,'RESUMEN CLIENTES'!AA:AA)</f>
        <v>A1.1</v>
      </c>
      <c r="T968" s="680" t="str">
        <f>+_xlfn.XLOOKUP(Tabla4[[#This Row],[ID CLIENTE]],'RESUMEN CLIENTES'!D:D,'RESUMEN CLIENTES'!C:C)</f>
        <v>Perú</v>
      </c>
    </row>
    <row r="969" spans="1:20" ht="16">
      <c r="A969" s="305">
        <v>46057</v>
      </c>
      <c r="B969" s="83" t="str">
        <f>+_xlfn.XLOOKUP(Tabla4[[#This Row],[ID CLIENTE]],'RESUMEN CLIENTES'!D:D,'RESUMEN CLIENTES'!A:A)</f>
        <v>Ivan Gonzales Graus</v>
      </c>
      <c r="C969" s="215" t="s">
        <v>2523</v>
      </c>
      <c r="D969" s="83" t="s">
        <v>1996</v>
      </c>
      <c r="E969" s="83" t="s">
        <v>4409</v>
      </c>
      <c r="F969" s="83" t="s">
        <v>4410</v>
      </c>
      <c r="G969" s="114">
        <v>750</v>
      </c>
      <c r="H969" s="85">
        <v>-24.63</v>
      </c>
      <c r="I969" s="115">
        <f t="shared" si="30"/>
        <v>3.2840000000000001E-2</v>
      </c>
      <c r="J969" s="87">
        <f t="shared" si="31"/>
        <v>725.37</v>
      </c>
      <c r="K969" s="87"/>
      <c r="L969" s="87" t="s">
        <v>4672</v>
      </c>
      <c r="M969" s="87"/>
      <c r="N969" s="87"/>
      <c r="O969" s="87"/>
      <c r="P969" s="87"/>
      <c r="Q969" s="88"/>
      <c r="R969" s="689">
        <f>+_xlfn.XLOOKUP(Tabla4[[#This Row],[ID CLIENTE]],'RESUMEN CLIENTES'!D:D,'RESUMEN CLIENTES'!G:G)</f>
        <v>46049</v>
      </c>
      <c r="S969" s="88" t="str">
        <f>+_xlfn.XLOOKUP(Tabla4[[#This Row],[ID CLIENTE]],'RESUMEN CLIENTES'!D:D,'RESUMEN CLIENTES'!AA:AA)</f>
        <v>-</v>
      </c>
      <c r="T969" s="680" t="str">
        <f>+_xlfn.XLOOKUP(Tabla4[[#This Row],[ID CLIENTE]],'RESUMEN CLIENTES'!D:D,'RESUMEN CLIENTES'!C:C)</f>
        <v>Perú</v>
      </c>
    </row>
    <row r="970" spans="1:20" ht="16">
      <c r="A970" s="305">
        <v>46057</v>
      </c>
      <c r="B970" s="83" t="str">
        <f>+_xlfn.XLOOKUP(Tabla4[[#This Row],[ID CLIENTE]],'RESUMEN CLIENTES'!D:D,'RESUMEN CLIENTES'!A:A)</f>
        <v>Claudia Nivon Chacón</v>
      </c>
      <c r="C970" s="215" t="s">
        <v>2479</v>
      </c>
      <c r="D970" s="83" t="s">
        <v>1556</v>
      </c>
      <c r="E970" s="83" t="s">
        <v>2058</v>
      </c>
      <c r="F970" s="83" t="s">
        <v>2059</v>
      </c>
      <c r="G970" s="114">
        <v>1136.6300000000001</v>
      </c>
      <c r="H970" s="85">
        <v>-37.19</v>
      </c>
      <c r="I970" s="115">
        <f t="shared" si="30"/>
        <v>3.2719530542040944E-2</v>
      </c>
      <c r="J970" s="87">
        <f t="shared" si="31"/>
        <v>1099.44</v>
      </c>
      <c r="K970" s="87"/>
      <c r="L970" s="87" t="s">
        <v>4672</v>
      </c>
      <c r="M970" s="87"/>
      <c r="N970" s="426"/>
      <c r="O970" s="426"/>
      <c r="P970" s="427"/>
      <c r="Q970" s="88"/>
      <c r="R970" s="689">
        <f>+_xlfn.XLOOKUP(Tabla4[[#This Row],[ID CLIENTE]],'RESUMEN CLIENTES'!D:D,'RESUMEN CLIENTES'!G:G)</f>
        <v>45994</v>
      </c>
      <c r="S970" s="88" t="str">
        <f>+_xlfn.XLOOKUP(Tabla4[[#This Row],[ID CLIENTE]],'RESUMEN CLIENTES'!D:D,'RESUMEN CLIENTES'!AA:AA)</f>
        <v>B1.1</v>
      </c>
      <c r="T970" s="680" t="str">
        <f>+_xlfn.XLOOKUP(Tabla4[[#This Row],[ID CLIENTE]],'RESUMEN CLIENTES'!D:D,'RESUMEN CLIENTES'!C:C)</f>
        <v>México</v>
      </c>
    </row>
    <row r="971" spans="1:20" ht="16">
      <c r="A971" s="305">
        <v>46057</v>
      </c>
      <c r="B971" s="83" t="str">
        <f>+_xlfn.XLOOKUP(Tabla4[[#This Row],[ID CLIENTE]],'RESUMEN CLIENTES'!D:D,'RESUMEN CLIENTES'!A:A)</f>
        <v>Vanessa Villarreal Villareal</v>
      </c>
      <c r="C971" s="215" t="s">
        <v>2404</v>
      </c>
      <c r="D971" s="83" t="s">
        <v>912</v>
      </c>
      <c r="E971" s="83" t="s">
        <v>4411</v>
      </c>
      <c r="F971" s="83" t="s">
        <v>4412</v>
      </c>
      <c r="G971" s="114">
        <v>1000</v>
      </c>
      <c r="H971" s="85">
        <v>-32.75</v>
      </c>
      <c r="I971" s="115">
        <f t="shared" si="30"/>
        <v>3.2750000000000001E-2</v>
      </c>
      <c r="J971" s="87">
        <f t="shared" si="31"/>
        <v>967.25</v>
      </c>
      <c r="K971" s="87"/>
      <c r="L971" s="87" t="s">
        <v>4672</v>
      </c>
      <c r="M971" s="87"/>
      <c r="N971" s="87"/>
      <c r="O971" s="87"/>
      <c r="P971" s="87"/>
      <c r="Q971" s="88"/>
      <c r="R971" s="689">
        <f>+_xlfn.XLOOKUP(Tabla4[[#This Row],[ID CLIENTE]],'RESUMEN CLIENTES'!D:D,'RESUMEN CLIENTES'!G:G)</f>
        <v>45906</v>
      </c>
      <c r="S971" s="88" t="str">
        <f>+_xlfn.XLOOKUP(Tabla4[[#This Row],[ID CLIENTE]],'RESUMEN CLIENTES'!D:D,'RESUMEN CLIENTES'!AA:AA)</f>
        <v>A1.1</v>
      </c>
      <c r="T971" s="680" t="str">
        <f>+_xlfn.XLOOKUP(Tabla4[[#This Row],[ID CLIENTE]],'RESUMEN CLIENTES'!D:D,'RESUMEN CLIENTES'!C:C)</f>
        <v>Ecuador</v>
      </c>
    </row>
    <row r="972" spans="1:20" ht="16">
      <c r="A972" s="305">
        <v>46057</v>
      </c>
      <c r="B972" s="83" t="str">
        <f>+_xlfn.XLOOKUP(Tabla4[[#This Row],[ID CLIENTE]],'RESUMEN CLIENTES'!D:D,'RESUMEN CLIENTES'!A:A)</f>
        <v>Sergio Francisco Garcia Sandoval</v>
      </c>
      <c r="C972" s="215" t="s">
        <v>2235</v>
      </c>
      <c r="D972" s="83" t="s">
        <v>281</v>
      </c>
      <c r="E972" s="83" t="s">
        <v>4435</v>
      </c>
      <c r="F972" s="83" t="s">
        <v>4436</v>
      </c>
      <c r="G972" s="114">
        <v>350</v>
      </c>
      <c r="H972" s="85">
        <v>-1.75</v>
      </c>
      <c r="I972" s="115">
        <f t="shared" si="30"/>
        <v>5.0000000000000001E-3</v>
      </c>
      <c r="J972" s="87">
        <f t="shared" si="31"/>
        <v>348.25</v>
      </c>
      <c r="K972" s="87"/>
      <c r="L972" s="87" t="s">
        <v>4672</v>
      </c>
      <c r="M972" s="87"/>
      <c r="N972" s="426"/>
      <c r="O972" s="426"/>
      <c r="P972" s="427"/>
      <c r="Q972" s="88"/>
      <c r="R972" s="689">
        <f>+_xlfn.XLOOKUP(Tabla4[[#This Row],[ID CLIENTE]],'RESUMEN CLIENTES'!D:D,'RESUMEN CLIENTES'!G:G)</f>
        <v>45812</v>
      </c>
      <c r="S972" s="88" t="str">
        <f>+_xlfn.XLOOKUP(Tabla4[[#This Row],[ID CLIENTE]],'RESUMEN CLIENTES'!D:D,'RESUMEN CLIENTES'!AA:AA)</f>
        <v>A1.1</v>
      </c>
      <c r="T972" s="680" t="str">
        <f>+_xlfn.XLOOKUP(Tabla4[[#This Row],[ID CLIENTE]],'RESUMEN CLIENTES'!D:D,'RESUMEN CLIENTES'!C:C)</f>
        <v>Perú</v>
      </c>
    </row>
    <row r="973" spans="1:20" ht="16">
      <c r="A973" s="305">
        <v>46057</v>
      </c>
      <c r="B973" s="83" t="str">
        <f>+_xlfn.XLOOKUP(Tabla4[[#This Row],[ID CLIENTE]],'RESUMEN CLIENTES'!D:D,'RESUMEN CLIENTES'!A:A)</f>
        <v>Juan Manuel Paranzino</v>
      </c>
      <c r="C973" s="215" t="s">
        <v>2391</v>
      </c>
      <c r="D973" s="83" t="s">
        <v>798</v>
      </c>
      <c r="E973" s="83" t="s">
        <v>2072</v>
      </c>
      <c r="F973" s="83" t="s">
        <v>2073</v>
      </c>
      <c r="G973" s="114">
        <f>+Tabla4[[#This Row],[PAGO NO EURO]]*Tabla4[[#This Row],[CAMBIO]]</f>
        <v>599.97469208705922</v>
      </c>
      <c r="H973" s="85">
        <f>+Tabla4[[#This Row],[CARGO NO EURO]]*Tabla4[[#This Row],[CAMBIO]]</f>
        <v>-19.748608064788257</v>
      </c>
      <c r="I973" s="115">
        <f t="shared" si="30"/>
        <v>3.2915735155579925E-2</v>
      </c>
      <c r="J973" s="87">
        <f t="shared" si="31"/>
        <v>580.22608402227092</v>
      </c>
      <c r="K973" s="87"/>
      <c r="L973" s="87" t="s">
        <v>4672</v>
      </c>
      <c r="M973" s="87" t="s">
        <v>2548</v>
      </c>
      <c r="N973" s="521">
        <v>711.21</v>
      </c>
      <c r="O973" s="523">
        <f>+Tabla4[[#This Row],[PAGO NO EURO]]+Tabla4[[#This Row],[CARGO NO EURO]]</f>
        <v>687.80000000000007</v>
      </c>
      <c r="P973" s="521">
        <v>-23.41</v>
      </c>
      <c r="Q973" s="88">
        <v>0.84359709802598282</v>
      </c>
      <c r="R973" s="689">
        <f>+_xlfn.XLOOKUP(Tabla4[[#This Row],[ID CLIENTE]],'RESUMEN CLIENTES'!D:D,'RESUMEN CLIENTES'!G:G)</f>
        <v>45900</v>
      </c>
      <c r="S973" s="88" t="str">
        <f>+_xlfn.XLOOKUP(Tabla4[[#This Row],[ID CLIENTE]],'RESUMEN CLIENTES'!D:D,'RESUMEN CLIENTES'!AA:AA)</f>
        <v>B1.1</v>
      </c>
      <c r="T973" s="680" t="str">
        <f>+_xlfn.XLOOKUP(Tabla4[[#This Row],[ID CLIENTE]],'RESUMEN CLIENTES'!D:D,'RESUMEN CLIENTES'!C:C)</f>
        <v>Argentina</v>
      </c>
    </row>
    <row r="974" spans="1:20" ht="16">
      <c r="A974" s="305">
        <v>46057</v>
      </c>
      <c r="B974" s="83" t="str">
        <f>+_xlfn.XLOOKUP(Tabla4[[#This Row],[ID CLIENTE]],'RESUMEN CLIENTES'!D:D,'RESUMEN CLIENTES'!A:A)</f>
        <v>Guillermo Alfonso Garvalena Gaxiola</v>
      </c>
      <c r="C974" s="215" t="s">
        <v>2176</v>
      </c>
      <c r="D974" s="83" t="s">
        <v>171</v>
      </c>
      <c r="E974" s="83" t="s">
        <v>4423</v>
      </c>
      <c r="F974" s="83" t="s">
        <v>4424</v>
      </c>
      <c r="G974" s="114">
        <v>200</v>
      </c>
      <c r="H974" s="85">
        <v>-6.75</v>
      </c>
      <c r="I974" s="115">
        <f t="shared" si="30"/>
        <v>3.3750000000000002E-2</v>
      </c>
      <c r="J974" s="87">
        <f t="shared" si="31"/>
        <v>193.25</v>
      </c>
      <c r="K974" s="87"/>
      <c r="L974" s="87" t="s">
        <v>4672</v>
      </c>
      <c r="M974" s="87"/>
      <c r="N974" s="521"/>
      <c r="O974" s="521">
        <f>+Tabla4[[#This Row],[PAGO NO EURO]]+Tabla4[[#This Row],[CARGO NO EURO]]</f>
        <v>0</v>
      </c>
      <c r="P974" s="521"/>
      <c r="Q974" s="88"/>
      <c r="R974" s="689">
        <f>+_xlfn.XLOOKUP(Tabla4[[#This Row],[ID CLIENTE]],'RESUMEN CLIENTES'!D:D,'RESUMEN CLIENTES'!G:G)</f>
        <v>45762</v>
      </c>
      <c r="S974" s="88" t="str">
        <f>+_xlfn.XLOOKUP(Tabla4[[#This Row],[ID CLIENTE]],'RESUMEN CLIENTES'!D:D,'RESUMEN CLIENTES'!AA:AA)</f>
        <v>A2.1</v>
      </c>
      <c r="T974" s="680" t="str">
        <f>+_xlfn.XLOOKUP(Tabla4[[#This Row],[ID CLIENTE]],'RESUMEN CLIENTES'!D:D,'RESUMEN CLIENTES'!C:C)</f>
        <v>México</v>
      </c>
    </row>
    <row r="975" spans="1:20" ht="16">
      <c r="A975" s="305">
        <v>46057</v>
      </c>
      <c r="B975" s="83" t="str">
        <f>+_xlfn.XLOOKUP(Tabla4[[#This Row],[ID CLIENTE]],'RESUMEN CLIENTES'!D:D,'RESUMEN CLIENTES'!A:A)</f>
        <v>Guillermo Alfonso Garvalena Gaxiola</v>
      </c>
      <c r="C975" s="215" t="s">
        <v>2176</v>
      </c>
      <c r="D975" s="83" t="s">
        <v>171</v>
      </c>
      <c r="E975" s="83" t="s">
        <v>4421</v>
      </c>
      <c r="F975" s="83" t="s">
        <v>4422</v>
      </c>
      <c r="G975" s="114">
        <v>500</v>
      </c>
      <c r="H975" s="85">
        <v>-16.5</v>
      </c>
      <c r="I975" s="115">
        <f t="shared" si="30"/>
        <v>3.3000000000000002E-2</v>
      </c>
      <c r="J975" s="87">
        <f t="shared" si="31"/>
        <v>483.5</v>
      </c>
      <c r="K975" s="87"/>
      <c r="L975" s="87" t="s">
        <v>4672</v>
      </c>
      <c r="M975" s="87"/>
      <c r="N975" s="521"/>
      <c r="O975" s="523">
        <f>+Tabla4[[#This Row],[PAGO NO EURO]]+Tabla4[[#This Row],[CARGO NO EURO]]</f>
        <v>0</v>
      </c>
      <c r="P975" s="521"/>
      <c r="Q975" s="88"/>
      <c r="R975" s="689">
        <f>+_xlfn.XLOOKUP(Tabla4[[#This Row],[ID CLIENTE]],'RESUMEN CLIENTES'!D:D,'RESUMEN CLIENTES'!G:G)</f>
        <v>45762</v>
      </c>
      <c r="S975" s="88" t="str">
        <f>+_xlfn.XLOOKUP(Tabla4[[#This Row],[ID CLIENTE]],'RESUMEN CLIENTES'!D:D,'RESUMEN CLIENTES'!AA:AA)</f>
        <v>A2.1</v>
      </c>
      <c r="T975" s="680" t="str">
        <f>+_xlfn.XLOOKUP(Tabla4[[#This Row],[ID CLIENTE]],'RESUMEN CLIENTES'!D:D,'RESUMEN CLIENTES'!C:C)</f>
        <v>México</v>
      </c>
    </row>
    <row r="976" spans="1:20" ht="16">
      <c r="A976" s="305">
        <v>46057</v>
      </c>
      <c r="B976" s="83" t="str">
        <f>+_xlfn.XLOOKUP(Tabla4[[#This Row],[ID CLIENTE]],'RESUMEN CLIENTES'!D:D,'RESUMEN CLIENTES'!A:A)</f>
        <v>Dinorah Gómez Castellanos</v>
      </c>
      <c r="C976" s="215" t="s">
        <v>2168</v>
      </c>
      <c r="D976" s="83" t="s">
        <v>194</v>
      </c>
      <c r="E976" s="83" t="s">
        <v>2070</v>
      </c>
      <c r="F976" s="83" t="s">
        <v>2071</v>
      </c>
      <c r="G976" s="114">
        <v>400</v>
      </c>
      <c r="H976" s="85">
        <v>-13.25</v>
      </c>
      <c r="I976" s="115">
        <f t="shared" si="30"/>
        <v>3.3125000000000002E-2</v>
      </c>
      <c r="J976" s="87">
        <f t="shared" si="31"/>
        <v>386.75</v>
      </c>
      <c r="K976" s="87"/>
      <c r="L976" s="87" t="s">
        <v>4672</v>
      </c>
      <c r="M976" s="87"/>
      <c r="N976" s="521"/>
      <c r="O976" s="521">
        <f>+Tabla4[[#This Row],[PAGO NO EURO]]+Tabla4[[#This Row],[CARGO NO EURO]]</f>
        <v>0</v>
      </c>
      <c r="P976" s="521"/>
      <c r="Q976" s="88"/>
      <c r="R976" s="689">
        <f>+_xlfn.XLOOKUP(Tabla4[[#This Row],[ID CLIENTE]],'RESUMEN CLIENTES'!D:D,'RESUMEN CLIENTES'!G:G)</f>
        <v>45757</v>
      </c>
      <c r="S976" s="88" t="str">
        <f>+_xlfn.XLOOKUP(Tabla4[[#This Row],[ID CLIENTE]],'RESUMEN CLIENTES'!D:D,'RESUMEN CLIENTES'!AA:AA)</f>
        <v>B2.1</v>
      </c>
      <c r="T976" s="680" t="str">
        <f>+_xlfn.XLOOKUP(Tabla4[[#This Row],[ID CLIENTE]],'RESUMEN CLIENTES'!D:D,'RESUMEN CLIENTES'!C:C)</f>
        <v>México</v>
      </c>
    </row>
    <row r="977" spans="1:20" ht="16">
      <c r="A977" s="305">
        <v>46058</v>
      </c>
      <c r="B977" s="83" t="str">
        <f>+_xlfn.XLOOKUP(Tabla4[[#This Row],[ID CLIENTE]],'RESUMEN CLIENTES'!D:D,'RESUMEN CLIENTES'!A:A)</f>
        <v xml:space="preserve">Catalina Ochoa Urrutia
</v>
      </c>
      <c r="C977" s="215" t="s">
        <v>2180</v>
      </c>
      <c r="D977" s="83" t="s">
        <v>168</v>
      </c>
      <c r="E977" s="83" t="s">
        <v>4419</v>
      </c>
      <c r="F977" s="83" t="s">
        <v>4420</v>
      </c>
      <c r="G977" s="114">
        <v>800</v>
      </c>
      <c r="H977" s="85">
        <v>-26.25</v>
      </c>
      <c r="I977" s="115">
        <f t="shared" si="30"/>
        <v>3.2812500000000001E-2</v>
      </c>
      <c r="J977" s="87">
        <f t="shared" si="31"/>
        <v>773.75</v>
      </c>
      <c r="K977" s="87"/>
      <c r="L977" s="87" t="s">
        <v>4672</v>
      </c>
      <c r="M977" s="87"/>
      <c r="N977" s="521"/>
      <c r="O977" s="523">
        <f>+Tabla4[[#This Row],[PAGO NO EURO]]+Tabla4[[#This Row],[CARGO NO EURO]]</f>
        <v>0</v>
      </c>
      <c r="P977" s="521"/>
      <c r="Q977" s="88"/>
      <c r="R977" s="689">
        <f>+_xlfn.XLOOKUP(Tabla4[[#This Row],[ID CLIENTE]],'RESUMEN CLIENTES'!D:D,'RESUMEN CLIENTES'!G:G)</f>
        <v>45762</v>
      </c>
      <c r="S977" s="88" t="str">
        <f>+_xlfn.XLOOKUP(Tabla4[[#This Row],[ID CLIENTE]],'RESUMEN CLIENTES'!D:D,'RESUMEN CLIENTES'!AA:AA)</f>
        <v>B2.1</v>
      </c>
      <c r="T977" s="680" t="str">
        <f>+_xlfn.XLOOKUP(Tabla4[[#This Row],[ID CLIENTE]],'RESUMEN CLIENTES'!D:D,'RESUMEN CLIENTES'!C:C)</f>
        <v>Chile</v>
      </c>
    </row>
    <row r="978" spans="1:20" ht="16">
      <c r="A978" s="305">
        <v>46058</v>
      </c>
      <c r="B978" s="83" t="str">
        <f>+_xlfn.XLOOKUP(Tabla4[[#This Row],[ID CLIENTE]],'RESUMEN CLIENTES'!D:D,'RESUMEN CLIENTES'!A:A)</f>
        <v>Alejandra Leva Vallejo</v>
      </c>
      <c r="C978" s="215" t="s">
        <v>2178</v>
      </c>
      <c r="D978" s="83" t="s">
        <v>165</v>
      </c>
      <c r="E978" s="83" t="s">
        <v>4413</v>
      </c>
      <c r="F978" s="83" t="s">
        <v>4414</v>
      </c>
      <c r="G978" s="114">
        <v>1000</v>
      </c>
      <c r="H978" s="85">
        <v>-32.75</v>
      </c>
      <c r="I978" s="115">
        <f t="shared" si="30"/>
        <v>3.2750000000000001E-2</v>
      </c>
      <c r="J978" s="87">
        <f t="shared" si="31"/>
        <v>967.25</v>
      </c>
      <c r="K978" s="87"/>
      <c r="L978" s="87" t="s">
        <v>4672</v>
      </c>
      <c r="M978" s="87"/>
      <c r="N978" s="521"/>
      <c r="O978" s="521">
        <f>+Tabla4[[#This Row],[PAGO NO EURO]]+Tabla4[[#This Row],[CARGO NO EURO]]</f>
        <v>0</v>
      </c>
      <c r="P978" s="521"/>
      <c r="Q978" s="88"/>
      <c r="R978" s="689">
        <f>+_xlfn.XLOOKUP(Tabla4[[#This Row],[ID CLIENTE]],'RESUMEN CLIENTES'!D:D,'RESUMEN CLIENTES'!G:G)</f>
        <v>45762</v>
      </c>
      <c r="S978" s="88" t="str">
        <f>+_xlfn.XLOOKUP(Tabla4[[#This Row],[ID CLIENTE]],'RESUMEN CLIENTES'!D:D,'RESUMEN CLIENTES'!AA:AA)</f>
        <v>A1.1</v>
      </c>
      <c r="T978" s="680" t="str">
        <f>+_xlfn.XLOOKUP(Tabla4[[#This Row],[ID CLIENTE]],'RESUMEN CLIENTES'!D:D,'RESUMEN CLIENTES'!C:C)</f>
        <v>México</v>
      </c>
    </row>
    <row r="979" spans="1:20" ht="16">
      <c r="A979" s="305">
        <v>46058</v>
      </c>
      <c r="B979" s="83" t="str">
        <f>+_xlfn.XLOOKUP(Tabla4[[#This Row],[ID CLIENTE]],'RESUMEN CLIENTES'!D:D,'RESUMEN CLIENTES'!A:A)</f>
        <v>Bernardita Lobo Zegers</v>
      </c>
      <c r="C979" s="215" t="s">
        <v>2202</v>
      </c>
      <c r="D979" s="83" t="s">
        <v>203</v>
      </c>
      <c r="E979" s="83" t="s">
        <v>4417</v>
      </c>
      <c r="F979" s="83" t="s">
        <v>4418</v>
      </c>
      <c r="G979" s="114">
        <v>800</v>
      </c>
      <c r="H979" s="85">
        <v>-26.25</v>
      </c>
      <c r="I979" s="115">
        <f t="shared" si="30"/>
        <v>3.2812500000000001E-2</v>
      </c>
      <c r="J979" s="87">
        <f t="shared" si="31"/>
        <v>773.75</v>
      </c>
      <c r="K979" s="87"/>
      <c r="L979" s="87" t="s">
        <v>4672</v>
      </c>
      <c r="M979" s="87"/>
      <c r="N979" s="521"/>
      <c r="O979" s="523">
        <f>+Tabla4[[#This Row],[PAGO NO EURO]]+Tabla4[[#This Row],[CARGO NO EURO]]</f>
        <v>0</v>
      </c>
      <c r="P979" s="521"/>
      <c r="Q979" s="88"/>
      <c r="R979" s="689">
        <f>+_xlfn.XLOOKUP(Tabla4[[#This Row],[ID CLIENTE]],'RESUMEN CLIENTES'!D:D,'RESUMEN CLIENTES'!G:G)</f>
        <v>45779</v>
      </c>
      <c r="S979" s="88" t="str">
        <f>+_xlfn.XLOOKUP(Tabla4[[#This Row],[ID CLIENTE]],'RESUMEN CLIENTES'!D:D,'RESUMEN CLIENTES'!AA:AA)</f>
        <v>A1.1</v>
      </c>
      <c r="T979" s="680" t="str">
        <f>+_xlfn.XLOOKUP(Tabla4[[#This Row],[ID CLIENTE]],'RESUMEN CLIENTES'!D:D,'RESUMEN CLIENTES'!C:C)</f>
        <v>México</v>
      </c>
    </row>
    <row r="980" spans="1:20" ht="16">
      <c r="A980" s="305">
        <v>46058</v>
      </c>
      <c r="B980" s="83" t="str">
        <f>+_xlfn.XLOOKUP(Tabla4[[#This Row],[ID CLIENTE]],'RESUMEN CLIENTES'!D:D,'RESUMEN CLIENTES'!A:A)</f>
        <v>Ian Job Lino Durán</v>
      </c>
      <c r="C980" s="215" t="s">
        <v>2135</v>
      </c>
      <c r="D980" s="83" t="s">
        <v>109</v>
      </c>
      <c r="E980" s="83" t="s">
        <v>4425</v>
      </c>
      <c r="F980" s="83" t="s">
        <v>4426</v>
      </c>
      <c r="G980" s="114">
        <v>800</v>
      </c>
      <c r="H980" s="85">
        <v>-26.25</v>
      </c>
      <c r="I980" s="115">
        <f t="shared" si="30"/>
        <v>3.2812500000000001E-2</v>
      </c>
      <c r="J980" s="87">
        <f t="shared" si="31"/>
        <v>773.75</v>
      </c>
      <c r="K980" s="87"/>
      <c r="L980" s="87" t="s">
        <v>4672</v>
      </c>
      <c r="M980" s="87"/>
      <c r="N980" s="521"/>
      <c r="O980" s="521">
        <f>+Tabla4[[#This Row],[PAGO NO EURO]]+Tabla4[[#This Row],[CARGO NO EURO]]</f>
        <v>0</v>
      </c>
      <c r="P980" s="521"/>
      <c r="Q980" s="88"/>
      <c r="R980" s="689">
        <f>+_xlfn.XLOOKUP(Tabla4[[#This Row],[ID CLIENTE]],'RESUMEN CLIENTES'!D:D,'RESUMEN CLIENTES'!G:G)</f>
        <v>45729</v>
      </c>
      <c r="S980" s="88" t="str">
        <f>+_xlfn.XLOOKUP(Tabla4[[#This Row],[ID CLIENTE]],'RESUMEN CLIENTES'!D:D,'RESUMEN CLIENTES'!AA:AA)</f>
        <v>B2.1</v>
      </c>
      <c r="T980" s="680" t="str">
        <f>+_xlfn.XLOOKUP(Tabla4[[#This Row],[ID CLIENTE]],'RESUMEN CLIENTES'!D:D,'RESUMEN CLIENTES'!C:C)</f>
        <v>México</v>
      </c>
    </row>
    <row r="981" spans="1:20" ht="16">
      <c r="A981" s="305">
        <v>46058</v>
      </c>
      <c r="B981" s="83" t="str">
        <f>+_xlfn.XLOOKUP(Tabla4[[#This Row],[ID CLIENTE]],'RESUMEN CLIENTES'!D:D,'RESUMEN CLIENTES'!A:A)</f>
        <v>Vicente Javier Campusano Banse</v>
      </c>
      <c r="C981" s="215" t="s">
        <v>4441</v>
      </c>
      <c r="D981" s="83" t="s">
        <v>4442</v>
      </c>
      <c r="E981" s="83" t="s">
        <v>4460</v>
      </c>
      <c r="F981" s="83" t="s">
        <v>4461</v>
      </c>
      <c r="G981" s="114">
        <v>500</v>
      </c>
      <c r="H981" s="85">
        <v>-7.75</v>
      </c>
      <c r="I981" s="115">
        <f t="shared" ref="I981:I1044" si="32">+IFERROR(-(H981)/G981,"")</f>
        <v>1.55E-2</v>
      </c>
      <c r="J981" s="87">
        <f t="shared" ref="J981:J1044" si="33">+G981+H981</f>
        <v>492.25</v>
      </c>
      <c r="K981" s="87"/>
      <c r="L981" s="87" t="s">
        <v>4672</v>
      </c>
      <c r="M981" s="87"/>
      <c r="N981" s="521"/>
      <c r="O981" s="523">
        <f>+Tabla4[[#This Row],[PAGO NO EURO]]+Tabla4[[#This Row],[CARGO NO EURO]]</f>
        <v>0</v>
      </c>
      <c r="P981" s="521"/>
      <c r="Q981" s="88"/>
      <c r="R981" s="689">
        <f>+_xlfn.XLOOKUP(Tabla4[[#This Row],[ID CLIENTE]],'RESUMEN CLIENTES'!D:D,'RESUMEN CLIENTES'!G:G)</f>
        <v>46058</v>
      </c>
      <c r="S981" s="88" t="str">
        <f>+_xlfn.XLOOKUP(Tabla4[[#This Row],[ID CLIENTE]],'RESUMEN CLIENTES'!D:D,'RESUMEN CLIENTES'!AA:AA)</f>
        <v>-</v>
      </c>
      <c r="T981" s="680" t="str">
        <f>+_xlfn.XLOOKUP(Tabla4[[#This Row],[ID CLIENTE]],'RESUMEN CLIENTES'!D:D,'RESUMEN CLIENTES'!C:C)</f>
        <v>Chile</v>
      </c>
    </row>
    <row r="982" spans="1:20" ht="16">
      <c r="A982" s="305">
        <v>46058</v>
      </c>
      <c r="B982" s="83" t="str">
        <f>+_xlfn.XLOOKUP(Tabla4[[#This Row],[ID CLIENTE]],'RESUMEN CLIENTES'!D:D,'RESUMEN CLIENTES'!A:A)</f>
        <v>Maira Paz Navas Sánchez</v>
      </c>
      <c r="C982" s="215" t="s">
        <v>2362</v>
      </c>
      <c r="D982" s="83" t="s">
        <v>703</v>
      </c>
      <c r="E982" s="83" t="s">
        <v>4429</v>
      </c>
      <c r="F982" s="83" t="s">
        <v>4430</v>
      </c>
      <c r="G982" s="114">
        <v>700</v>
      </c>
      <c r="H982" s="85">
        <v>-23</v>
      </c>
      <c r="I982" s="115">
        <f t="shared" si="32"/>
        <v>3.2857142857142856E-2</v>
      </c>
      <c r="J982" s="87">
        <f t="shared" si="33"/>
        <v>677</v>
      </c>
      <c r="K982" s="87"/>
      <c r="L982" s="87" t="s">
        <v>4672</v>
      </c>
      <c r="M982" s="87"/>
      <c r="N982" s="521"/>
      <c r="O982" s="521">
        <f>+Tabla4[[#This Row],[PAGO NO EURO]]+Tabla4[[#This Row],[CARGO NO EURO]]</f>
        <v>0</v>
      </c>
      <c r="P982" s="521"/>
      <c r="Q982" s="88"/>
      <c r="R982" s="689">
        <f>+_xlfn.XLOOKUP(Tabla4[[#This Row],[ID CLIENTE]],'RESUMEN CLIENTES'!D:D,'RESUMEN CLIENTES'!G:G)</f>
        <v>45888</v>
      </c>
      <c r="S982" s="88" t="str">
        <f>+_xlfn.XLOOKUP(Tabla4[[#This Row],[ID CLIENTE]],'RESUMEN CLIENTES'!D:D,'RESUMEN CLIENTES'!AA:AA)</f>
        <v>A1.1</v>
      </c>
      <c r="T982" s="680" t="str">
        <f>+_xlfn.XLOOKUP(Tabla4[[#This Row],[ID CLIENTE]],'RESUMEN CLIENTES'!D:D,'RESUMEN CLIENTES'!C:C)</f>
        <v>Chile</v>
      </c>
    </row>
    <row r="983" spans="1:20" ht="16">
      <c r="A983" s="305">
        <v>46058</v>
      </c>
      <c r="B983" s="83" t="str">
        <f>+_xlfn.XLOOKUP(Tabla4[[#This Row],[ID CLIENTE]],'RESUMEN CLIENTES'!D:D,'RESUMEN CLIENTES'!A:A)</f>
        <v>Luis Carlos Villa Cortés</v>
      </c>
      <c r="C983" s="215" t="s">
        <v>2406</v>
      </c>
      <c r="D983" s="83" t="s">
        <v>907</v>
      </c>
      <c r="E983" s="83" t="s">
        <v>4437</v>
      </c>
      <c r="F983" s="83" t="s">
        <v>4438</v>
      </c>
      <c r="G983" s="114">
        <v>1000</v>
      </c>
      <c r="H983" s="85">
        <v>-32.75</v>
      </c>
      <c r="I983" s="115">
        <f t="shared" si="32"/>
        <v>3.2750000000000001E-2</v>
      </c>
      <c r="J983" s="87">
        <f t="shared" si="33"/>
        <v>967.25</v>
      </c>
      <c r="K983" s="87"/>
      <c r="L983" s="87" t="s">
        <v>4672</v>
      </c>
      <c r="M983" s="87"/>
      <c r="N983" s="521"/>
      <c r="O983" s="523">
        <f>+Tabla4[[#This Row],[PAGO NO EURO]]+Tabla4[[#This Row],[CARGO NO EURO]]</f>
        <v>0</v>
      </c>
      <c r="P983" s="521"/>
      <c r="Q983" s="88"/>
      <c r="R983" s="689">
        <f>+_xlfn.XLOOKUP(Tabla4[[#This Row],[ID CLIENTE]],'RESUMEN CLIENTES'!D:D,'RESUMEN CLIENTES'!G:G)</f>
        <v>45906</v>
      </c>
      <c r="S983" s="88" t="str">
        <f>+_xlfn.XLOOKUP(Tabla4[[#This Row],[ID CLIENTE]],'RESUMEN CLIENTES'!D:D,'RESUMEN CLIENTES'!AA:AA)</f>
        <v>A1.1</v>
      </c>
      <c r="T983" s="680" t="str">
        <f>+_xlfn.XLOOKUP(Tabla4[[#This Row],[ID CLIENTE]],'RESUMEN CLIENTES'!D:D,'RESUMEN CLIENTES'!C:C)</f>
        <v>México</v>
      </c>
    </row>
    <row r="984" spans="1:20" ht="16">
      <c r="A984" s="305">
        <v>46058</v>
      </c>
      <c r="B984" s="83" t="str">
        <f>+_xlfn.XLOOKUP(Tabla4[[#This Row],[ID CLIENTE]],'RESUMEN CLIENTES'!D:D,'RESUMEN CLIENTES'!A:A)</f>
        <v>Jordan Eliecer Toledo Bravo</v>
      </c>
      <c r="C984" s="215" t="s">
        <v>2158</v>
      </c>
      <c r="D984" s="83" t="s">
        <v>142</v>
      </c>
      <c r="E984" s="83" t="s">
        <v>2078</v>
      </c>
      <c r="F984" s="83" t="s">
        <v>2079</v>
      </c>
      <c r="G984" s="114">
        <v>500</v>
      </c>
      <c r="H984" s="85">
        <v>-16.5</v>
      </c>
      <c r="I984" s="115">
        <f t="shared" si="32"/>
        <v>3.3000000000000002E-2</v>
      </c>
      <c r="J984" s="87">
        <f t="shared" si="33"/>
        <v>483.5</v>
      </c>
      <c r="K984" s="87"/>
      <c r="L984" s="87" t="s">
        <v>4672</v>
      </c>
      <c r="M984" s="87"/>
      <c r="N984" s="521"/>
      <c r="O984" s="521">
        <f>+Tabla4[[#This Row],[PAGO NO EURO]]+Tabla4[[#This Row],[CARGO NO EURO]]</f>
        <v>0</v>
      </c>
      <c r="P984" s="521"/>
      <c r="Q984" s="88"/>
      <c r="R984" s="689">
        <f>+_xlfn.XLOOKUP(Tabla4[[#This Row],[ID CLIENTE]],'RESUMEN CLIENTES'!D:D,'RESUMEN CLIENTES'!G:G)</f>
        <v>45748</v>
      </c>
      <c r="S984" s="88" t="str">
        <f>+_xlfn.XLOOKUP(Tabla4[[#This Row],[ID CLIENTE]],'RESUMEN CLIENTES'!D:D,'RESUMEN CLIENTES'!AA:AA)</f>
        <v>A1.1</v>
      </c>
      <c r="T984" s="680" t="str">
        <f>+_xlfn.XLOOKUP(Tabla4[[#This Row],[ID CLIENTE]],'RESUMEN CLIENTES'!D:D,'RESUMEN CLIENTES'!C:C)</f>
        <v>Chile</v>
      </c>
    </row>
    <row r="985" spans="1:20" ht="16">
      <c r="A985" s="305">
        <v>46058</v>
      </c>
      <c r="B985" s="83" t="str">
        <f>+_xlfn.XLOOKUP(Tabla4[[#This Row],[ID CLIENTE]],'RESUMEN CLIENTES'!D:D,'RESUMEN CLIENTES'!A:A)</f>
        <v>María Fernanda Cid Ramírez</v>
      </c>
      <c r="C985" s="215" t="s">
        <v>2477</v>
      </c>
      <c r="D985" s="83" t="s">
        <v>1551</v>
      </c>
      <c r="E985" s="83" t="s">
        <v>2074</v>
      </c>
      <c r="F985" s="83" t="s">
        <v>2075</v>
      </c>
      <c r="G985" s="114">
        <v>850</v>
      </c>
      <c r="H985" s="85">
        <v>-27.88</v>
      </c>
      <c r="I985" s="115">
        <f t="shared" si="32"/>
        <v>3.2799999999999996E-2</v>
      </c>
      <c r="J985" s="87">
        <f t="shared" si="33"/>
        <v>822.12</v>
      </c>
      <c r="K985" s="87"/>
      <c r="L985" s="87" t="s">
        <v>4672</v>
      </c>
      <c r="M985" s="87"/>
      <c r="N985" s="521"/>
      <c r="O985" s="523">
        <f>+Tabla4[[#This Row],[PAGO NO EURO]]+Tabla4[[#This Row],[CARGO NO EURO]]</f>
        <v>0</v>
      </c>
      <c r="P985" s="521"/>
      <c r="Q985" s="88"/>
      <c r="R985" s="689">
        <f>+_xlfn.XLOOKUP(Tabla4[[#This Row],[ID CLIENTE]],'RESUMEN CLIENTES'!D:D,'RESUMEN CLIENTES'!G:G)</f>
        <v>45993</v>
      </c>
      <c r="S985" s="88" t="str">
        <f>+_xlfn.XLOOKUP(Tabla4[[#This Row],[ID CLIENTE]],'RESUMEN CLIENTES'!D:D,'RESUMEN CLIENTES'!AA:AA)</f>
        <v>-</v>
      </c>
      <c r="T985" s="680" t="str">
        <f>+_xlfn.XLOOKUP(Tabla4[[#This Row],[ID CLIENTE]],'RESUMEN CLIENTES'!D:D,'RESUMEN CLIENTES'!C:C)</f>
        <v>México</v>
      </c>
    </row>
    <row r="986" spans="1:20" ht="16">
      <c r="A986" s="305">
        <v>46058</v>
      </c>
      <c r="B986" s="83" t="str">
        <f>+_xlfn.XLOOKUP(Tabla4[[#This Row],[ID CLIENTE]],'RESUMEN CLIENTES'!D:D,'RESUMEN CLIENTES'!A:A)</f>
        <v>Judith Elizabeth Lopez Sanchez</v>
      </c>
      <c r="C986" s="215" t="s">
        <v>2416</v>
      </c>
      <c r="D986" s="83" t="s">
        <v>955</v>
      </c>
      <c r="E986" s="83" t="s">
        <v>4427</v>
      </c>
      <c r="F986" s="83" t="s">
        <v>4428</v>
      </c>
      <c r="G986" s="114">
        <v>1000</v>
      </c>
      <c r="H986" s="85">
        <v>-32.75</v>
      </c>
      <c r="I986" s="115">
        <f t="shared" si="32"/>
        <v>3.2750000000000001E-2</v>
      </c>
      <c r="J986" s="87">
        <f t="shared" si="33"/>
        <v>967.25</v>
      </c>
      <c r="K986" s="87"/>
      <c r="L986" s="87" t="s">
        <v>4672</v>
      </c>
      <c r="M986" s="87"/>
      <c r="N986" s="521"/>
      <c r="O986" s="521">
        <f>+Tabla4[[#This Row],[PAGO NO EURO]]+Tabla4[[#This Row],[CARGO NO EURO]]</f>
        <v>0</v>
      </c>
      <c r="P986" s="521"/>
      <c r="Q986" s="88"/>
      <c r="R986" s="689">
        <f>+_xlfn.XLOOKUP(Tabla4[[#This Row],[ID CLIENTE]],'RESUMEN CLIENTES'!D:D,'RESUMEN CLIENTES'!G:G)</f>
        <v>45913</v>
      </c>
      <c r="S986" s="88" t="str">
        <f>+_xlfn.XLOOKUP(Tabla4[[#This Row],[ID CLIENTE]],'RESUMEN CLIENTES'!D:D,'RESUMEN CLIENTES'!AA:AA)</f>
        <v>A1.1</v>
      </c>
      <c r="T986" s="680" t="str">
        <f>+_xlfn.XLOOKUP(Tabla4[[#This Row],[ID CLIENTE]],'RESUMEN CLIENTES'!D:D,'RESUMEN CLIENTES'!C:C)</f>
        <v>Perú</v>
      </c>
    </row>
    <row r="987" spans="1:20" ht="16">
      <c r="A987" s="305">
        <v>46058</v>
      </c>
      <c r="B987" s="83" t="str">
        <f>+_xlfn.XLOOKUP(Tabla4[[#This Row],[ID CLIENTE]],'RESUMEN CLIENTES'!D:D,'RESUMEN CLIENTES'!A:A)</f>
        <v>Jose Luis Avilez Casas</v>
      </c>
      <c r="C987" s="215" t="s">
        <v>4453</v>
      </c>
      <c r="D987" s="83" t="s">
        <v>4454</v>
      </c>
      <c r="E987" s="83" t="s">
        <v>4455</v>
      </c>
      <c r="F987" s="83" t="s">
        <v>4456</v>
      </c>
      <c r="G987" s="114">
        <v>250</v>
      </c>
      <c r="H987" s="85">
        <v>-8.3800000000000008</v>
      </c>
      <c r="I987" s="115">
        <f t="shared" si="32"/>
        <v>3.3520000000000001E-2</v>
      </c>
      <c r="J987" s="87">
        <f t="shared" si="33"/>
        <v>241.62</v>
      </c>
      <c r="K987" s="87"/>
      <c r="L987" s="87" t="s">
        <v>4672</v>
      </c>
      <c r="M987" s="87"/>
      <c r="N987" s="521"/>
      <c r="O987" s="523">
        <f>+Tabla4[[#This Row],[PAGO NO EURO]]+Tabla4[[#This Row],[CARGO NO EURO]]</f>
        <v>0</v>
      </c>
      <c r="P987" s="521"/>
      <c r="Q987" s="88"/>
      <c r="R987" s="689">
        <f>+_xlfn.XLOOKUP(Tabla4[[#This Row],[ID CLIENTE]],'RESUMEN CLIENTES'!D:D,'RESUMEN CLIENTES'!G:G)</f>
        <v>46058</v>
      </c>
      <c r="S987" s="88" t="str">
        <f>+_xlfn.XLOOKUP(Tabla4[[#This Row],[ID CLIENTE]],'RESUMEN CLIENTES'!D:D,'RESUMEN CLIENTES'!AA:AA)</f>
        <v>A1.1</v>
      </c>
      <c r="T987" s="680" t="str">
        <f>+_xlfn.XLOOKUP(Tabla4[[#This Row],[ID CLIENTE]],'RESUMEN CLIENTES'!D:D,'RESUMEN CLIENTES'!C:C)</f>
        <v>México</v>
      </c>
    </row>
    <row r="988" spans="1:20" ht="16">
      <c r="A988" s="305">
        <v>46058</v>
      </c>
      <c r="B988" s="83" t="str">
        <f>+_xlfn.XLOOKUP(Tabla4[[#This Row],[ID CLIENTE]],'RESUMEN CLIENTES'!D:D,'RESUMEN CLIENTES'!A:A)</f>
        <v>Jose Luis Avilez Casas</v>
      </c>
      <c r="C988" s="215" t="s">
        <v>4453</v>
      </c>
      <c r="D988" s="83" t="s">
        <v>4454</v>
      </c>
      <c r="E988" s="83" t="s">
        <v>4457</v>
      </c>
      <c r="F988" s="83" t="s">
        <v>4458</v>
      </c>
      <c r="G988" s="114">
        <v>750</v>
      </c>
      <c r="H988" s="85">
        <v>-24.63</v>
      </c>
      <c r="I988" s="115">
        <f t="shared" si="32"/>
        <v>3.2840000000000001E-2</v>
      </c>
      <c r="J988" s="87">
        <f t="shared" si="33"/>
        <v>725.37</v>
      </c>
      <c r="K988" s="87"/>
      <c r="L988" s="87" t="s">
        <v>4672</v>
      </c>
      <c r="M988" s="87"/>
      <c r="N988" s="521"/>
      <c r="O988" s="521">
        <f>+Tabla4[[#This Row],[PAGO NO EURO]]+Tabla4[[#This Row],[CARGO NO EURO]]</f>
        <v>0</v>
      </c>
      <c r="P988" s="521"/>
      <c r="Q988" s="88"/>
      <c r="R988" s="689">
        <f>+_xlfn.XLOOKUP(Tabla4[[#This Row],[ID CLIENTE]],'RESUMEN CLIENTES'!D:D,'RESUMEN CLIENTES'!G:G)</f>
        <v>46058</v>
      </c>
      <c r="S988" s="88" t="str">
        <f>+_xlfn.XLOOKUP(Tabla4[[#This Row],[ID CLIENTE]],'RESUMEN CLIENTES'!D:D,'RESUMEN CLIENTES'!AA:AA)</f>
        <v>A1.1</v>
      </c>
      <c r="T988" s="680" t="str">
        <f>+_xlfn.XLOOKUP(Tabla4[[#This Row],[ID CLIENTE]],'RESUMEN CLIENTES'!D:D,'RESUMEN CLIENTES'!C:C)</f>
        <v>México</v>
      </c>
    </row>
    <row r="989" spans="1:20" ht="16">
      <c r="A989" s="305">
        <v>46058</v>
      </c>
      <c r="B989" s="83" t="str">
        <f>+_xlfn.XLOOKUP(Tabla4[[#This Row],[ID CLIENTE]],'RESUMEN CLIENTES'!D:D,'RESUMEN CLIENTES'!A:A)</f>
        <v>Angel Andres Velastegui Huebla</v>
      </c>
      <c r="C989" s="215" t="s">
        <v>2453</v>
      </c>
      <c r="D989" s="83" t="s">
        <v>1357</v>
      </c>
      <c r="E989" s="83" t="s">
        <v>4415</v>
      </c>
      <c r="F989" s="83" t="s">
        <v>4416</v>
      </c>
      <c r="G989" s="114">
        <v>3700</v>
      </c>
      <c r="H989" s="85">
        <v>-120.5</v>
      </c>
      <c r="I989" s="115">
        <f t="shared" si="32"/>
        <v>3.2567567567567568E-2</v>
      </c>
      <c r="J989" s="87">
        <f t="shared" si="33"/>
        <v>3579.5</v>
      </c>
      <c r="K989" s="87"/>
      <c r="L989" s="87" t="s">
        <v>4672</v>
      </c>
      <c r="M989" s="87"/>
      <c r="N989" s="521"/>
      <c r="O989" s="523">
        <f>+Tabla4[[#This Row],[PAGO NO EURO]]+Tabla4[[#This Row],[CARGO NO EURO]]</f>
        <v>0</v>
      </c>
      <c r="P989" s="521"/>
      <c r="Q989" s="88"/>
      <c r="R989" s="689">
        <f>+_xlfn.XLOOKUP(Tabla4[[#This Row],[ID CLIENTE]],'RESUMEN CLIENTES'!D:D,'RESUMEN CLIENTES'!G:G)</f>
        <v>45967</v>
      </c>
      <c r="S989" s="88" t="str">
        <f>+_xlfn.XLOOKUP(Tabla4[[#This Row],[ID CLIENTE]],'RESUMEN CLIENTES'!D:D,'RESUMEN CLIENTES'!AA:AA)</f>
        <v>A1.1</v>
      </c>
      <c r="T989" s="680" t="str">
        <f>+_xlfn.XLOOKUP(Tabla4[[#This Row],[ID CLIENTE]],'RESUMEN CLIENTES'!D:D,'RESUMEN CLIENTES'!C:C)</f>
        <v>Ecuador</v>
      </c>
    </row>
    <row r="990" spans="1:20" ht="16">
      <c r="A990" s="305">
        <v>46058</v>
      </c>
      <c r="B990" s="83" t="str">
        <f>+_xlfn.XLOOKUP(Tabla4[[#This Row],[ID CLIENTE]],'RESUMEN CLIENTES'!D:D,'RESUMEN CLIENTES'!A:A)</f>
        <v>Bárbara Fuentes</v>
      </c>
      <c r="C990" s="215" t="s">
        <v>2528</v>
      </c>
      <c r="D990" s="83" t="s">
        <v>2011</v>
      </c>
      <c r="E990" s="83" t="s">
        <v>2080</v>
      </c>
      <c r="F990" s="83" t="s">
        <v>2081</v>
      </c>
      <c r="G990" s="114">
        <v>2750</v>
      </c>
      <c r="H990" s="85">
        <v>-89.63</v>
      </c>
      <c r="I990" s="115">
        <f t="shared" si="32"/>
        <v>3.2592727272727273E-2</v>
      </c>
      <c r="J990" s="87">
        <f t="shared" si="33"/>
        <v>2660.37</v>
      </c>
      <c r="K990" s="87"/>
      <c r="L990" s="87" t="s">
        <v>4672</v>
      </c>
      <c r="M990" s="87"/>
      <c r="N990" s="521"/>
      <c r="O990" s="521">
        <f>+Tabla4[[#This Row],[PAGO NO EURO]]+Tabla4[[#This Row],[CARGO NO EURO]]</f>
        <v>0</v>
      </c>
      <c r="P990" s="521"/>
      <c r="Q990" s="88"/>
      <c r="R990" s="689">
        <f>+_xlfn.XLOOKUP(Tabla4[[#This Row],[ID CLIENTE]],'RESUMEN CLIENTES'!D:D,'RESUMEN CLIENTES'!G:G)</f>
        <v>46051</v>
      </c>
      <c r="S990" s="88" t="str">
        <f>+_xlfn.XLOOKUP(Tabla4[[#This Row],[ID CLIENTE]],'RESUMEN CLIENTES'!D:D,'RESUMEN CLIENTES'!AA:AA)</f>
        <v>B1.1</v>
      </c>
      <c r="T990" s="680" t="str">
        <f>+_xlfn.XLOOKUP(Tabla4[[#This Row],[ID CLIENTE]],'RESUMEN CLIENTES'!D:D,'RESUMEN CLIENTES'!C:C)</f>
        <v>Chile</v>
      </c>
    </row>
    <row r="991" spans="1:20" ht="16">
      <c r="A991" s="305">
        <v>46059</v>
      </c>
      <c r="B991" s="83" t="str">
        <f>+_xlfn.XLOOKUP(Tabla4[[#This Row],[ID CLIENTE]],'RESUMEN CLIENTES'!D:D,'RESUMEN CLIENTES'!A:A)</f>
        <v>Mario Arciga Casián</v>
      </c>
      <c r="C991" s="215" t="s">
        <v>2428</v>
      </c>
      <c r="D991" s="83" t="s">
        <v>1155</v>
      </c>
      <c r="E991" s="83" t="s">
        <v>4431</v>
      </c>
      <c r="F991" s="83" t="s">
        <v>4432</v>
      </c>
      <c r="G991" s="114">
        <v>1000</v>
      </c>
      <c r="H991" s="85">
        <v>-32.75</v>
      </c>
      <c r="I991" s="115">
        <f t="shared" si="32"/>
        <v>3.2750000000000001E-2</v>
      </c>
      <c r="J991" s="87">
        <f t="shared" si="33"/>
        <v>967.25</v>
      </c>
      <c r="K991" s="87"/>
      <c r="L991" s="87" t="s">
        <v>4672</v>
      </c>
      <c r="M991" s="87"/>
      <c r="N991" s="521"/>
      <c r="O991" s="523">
        <f>+Tabla4[[#This Row],[PAGO NO EURO]]+Tabla4[[#This Row],[CARGO NO EURO]]</f>
        <v>0</v>
      </c>
      <c r="P991" s="521"/>
      <c r="Q991" s="88"/>
      <c r="R991" s="689">
        <f>+_xlfn.XLOOKUP(Tabla4[[#This Row],[ID CLIENTE]],'RESUMEN CLIENTES'!D:D,'RESUMEN CLIENTES'!G:G)</f>
        <v>45939</v>
      </c>
      <c r="S991" s="88" t="str">
        <f>+_xlfn.XLOOKUP(Tabla4[[#This Row],[ID CLIENTE]],'RESUMEN CLIENTES'!D:D,'RESUMEN CLIENTES'!AA:AA)</f>
        <v>A1 komplett</v>
      </c>
      <c r="T991" s="680" t="str">
        <f>+_xlfn.XLOOKUP(Tabla4[[#This Row],[ID CLIENTE]],'RESUMEN CLIENTES'!D:D,'RESUMEN CLIENTES'!C:C)</f>
        <v>México</v>
      </c>
    </row>
    <row r="992" spans="1:20" ht="16">
      <c r="A992" s="305">
        <v>46059</v>
      </c>
      <c r="B992" s="83" t="str">
        <f>+_xlfn.XLOOKUP(Tabla4[[#This Row],[ID CLIENTE]],'RESUMEN CLIENTES'!D:D,'RESUMEN CLIENTES'!A:A)</f>
        <v>Moira Millaray Schneider Rivera</v>
      </c>
      <c r="C992" s="215" t="s">
        <v>2147</v>
      </c>
      <c r="D992" s="83" t="s">
        <v>129</v>
      </c>
      <c r="E992" s="83" t="s">
        <v>4433</v>
      </c>
      <c r="F992" s="83" t="s">
        <v>4434</v>
      </c>
      <c r="G992" s="114">
        <v>800</v>
      </c>
      <c r="H992" s="85">
        <v>-26.25</v>
      </c>
      <c r="I992" s="115">
        <f t="shared" si="32"/>
        <v>3.2812500000000001E-2</v>
      </c>
      <c r="J992" s="87">
        <f t="shared" si="33"/>
        <v>773.75</v>
      </c>
      <c r="K992" s="87"/>
      <c r="L992" s="87" t="s">
        <v>4672</v>
      </c>
      <c r="M992" s="87"/>
      <c r="N992" s="521"/>
      <c r="O992" s="521">
        <f>+Tabla4[[#This Row],[PAGO NO EURO]]+Tabla4[[#This Row],[CARGO NO EURO]]</f>
        <v>0</v>
      </c>
      <c r="P992" s="521"/>
      <c r="Q992" s="88"/>
      <c r="R992" s="689">
        <f>+_xlfn.XLOOKUP(Tabla4[[#This Row],[ID CLIENTE]],'RESUMEN CLIENTES'!D:D,'RESUMEN CLIENTES'!G:G)</f>
        <v>45740</v>
      </c>
      <c r="S992" s="88" t="str">
        <f>+_xlfn.XLOOKUP(Tabla4[[#This Row],[ID CLIENTE]],'RESUMEN CLIENTES'!D:D,'RESUMEN CLIENTES'!AA:AA)</f>
        <v>null</v>
      </c>
      <c r="T992" s="680" t="str">
        <f>+_xlfn.XLOOKUP(Tabla4[[#This Row],[ID CLIENTE]],'RESUMEN CLIENTES'!D:D,'RESUMEN CLIENTES'!C:C)</f>
        <v>Chile</v>
      </c>
    </row>
    <row r="993" spans="1:20" ht="16">
      <c r="A993" s="305">
        <v>46059</v>
      </c>
      <c r="B993" s="83" t="str">
        <f>+_xlfn.XLOOKUP(Tabla4[[#This Row],[ID CLIENTE]],'RESUMEN CLIENTES'!D:D,'RESUMEN CLIENTES'!A:A)</f>
        <v>Sven Sigurd Biedermann Aberg</v>
      </c>
      <c r="C993" s="215" t="s">
        <v>2182</v>
      </c>
      <c r="D993" s="83" t="s">
        <v>178</v>
      </c>
      <c r="E993" s="83" t="s">
        <v>2076</v>
      </c>
      <c r="F993" s="83" t="s">
        <v>2077</v>
      </c>
      <c r="G993" s="114">
        <v>4000</v>
      </c>
      <c r="H993" s="85">
        <v>-130.25</v>
      </c>
      <c r="I993" s="115">
        <f t="shared" si="32"/>
        <v>3.2562500000000001E-2</v>
      </c>
      <c r="J993" s="87">
        <f t="shared" si="33"/>
        <v>3869.75</v>
      </c>
      <c r="K993" s="87"/>
      <c r="L993" s="87" t="s">
        <v>4672</v>
      </c>
      <c r="M993" s="87"/>
      <c r="N993" s="521"/>
      <c r="O993" s="523">
        <f>+Tabla4[[#This Row],[PAGO NO EURO]]+Tabla4[[#This Row],[CARGO NO EURO]]</f>
        <v>0</v>
      </c>
      <c r="P993" s="521"/>
      <c r="Q993" s="88"/>
      <c r="R993" s="689">
        <f>+_xlfn.XLOOKUP(Tabla4[[#This Row],[ID CLIENTE]],'RESUMEN CLIENTES'!D:D,'RESUMEN CLIENTES'!G:G)</f>
        <v>45769</v>
      </c>
      <c r="S993" s="88" t="str">
        <f>+_xlfn.XLOOKUP(Tabla4[[#This Row],[ID CLIENTE]],'RESUMEN CLIENTES'!D:D,'RESUMEN CLIENTES'!AA:AA)</f>
        <v>null</v>
      </c>
      <c r="T993" s="680" t="str">
        <f>+_xlfn.XLOOKUP(Tabla4[[#This Row],[ID CLIENTE]],'RESUMEN CLIENTES'!D:D,'RESUMEN CLIENTES'!C:C)</f>
        <v>Chile</v>
      </c>
    </row>
    <row r="994" spans="1:20" ht="16">
      <c r="A994" s="305">
        <v>46059</v>
      </c>
      <c r="B994" s="83" t="str">
        <f>+_xlfn.XLOOKUP(Tabla4[[#This Row],[ID CLIENTE]],'RESUMEN CLIENTES'!D:D,'RESUMEN CLIENTES'!A:A)</f>
        <v>Paulina Alejandra Silva Gómez</v>
      </c>
      <c r="C994" s="215" t="s">
        <v>2499</v>
      </c>
      <c r="D994" s="83" t="s">
        <v>1881</v>
      </c>
      <c r="E994" s="83" t="s">
        <v>4473</v>
      </c>
      <c r="F994" s="83" t="s">
        <v>4474</v>
      </c>
      <c r="G994" s="114">
        <v>3700</v>
      </c>
      <c r="H994" s="85">
        <v>-120.5</v>
      </c>
      <c r="I994" s="115">
        <f t="shared" si="32"/>
        <v>3.2567567567567568E-2</v>
      </c>
      <c r="J994" s="87">
        <f t="shared" si="33"/>
        <v>3579.5</v>
      </c>
      <c r="K994" s="87"/>
      <c r="L994" s="87" t="s">
        <v>4672</v>
      </c>
      <c r="M994" s="87"/>
      <c r="N994" s="521"/>
      <c r="O994" s="521">
        <f>+Tabla4[[#This Row],[PAGO NO EURO]]+Tabla4[[#This Row],[CARGO NO EURO]]</f>
        <v>0</v>
      </c>
      <c r="P994" s="521"/>
      <c r="Q994" s="88"/>
      <c r="R994" s="689">
        <f>+_xlfn.XLOOKUP(Tabla4[[#This Row],[ID CLIENTE]],'RESUMEN CLIENTES'!D:D,'RESUMEN CLIENTES'!G:G)</f>
        <v>46031</v>
      </c>
      <c r="S994" s="88" t="str">
        <f>+_xlfn.XLOOKUP(Tabla4[[#This Row],[ID CLIENTE]],'RESUMEN CLIENTES'!D:D,'RESUMEN CLIENTES'!AA:AA)</f>
        <v>-</v>
      </c>
      <c r="T994" s="680" t="str">
        <f>+_xlfn.XLOOKUP(Tabla4[[#This Row],[ID CLIENTE]],'RESUMEN CLIENTES'!D:D,'RESUMEN CLIENTES'!C:C)</f>
        <v>Chile</v>
      </c>
    </row>
    <row r="995" spans="1:20" ht="16">
      <c r="A995" s="305">
        <v>46061</v>
      </c>
      <c r="B995" s="83" t="str">
        <f>+_xlfn.XLOOKUP(Tabla4[[#This Row],[ID CLIENTE]],'RESUMEN CLIENTES'!D:D,'RESUMEN CLIENTES'!A:A)</f>
        <v>Victor Emanuel Hernández Ruíz</v>
      </c>
      <c r="C995" s="215" t="s">
        <v>2141</v>
      </c>
      <c r="D995" s="83" t="s">
        <v>112</v>
      </c>
      <c r="E995" s="83" t="s">
        <v>4475</v>
      </c>
      <c r="F995" s="83" t="s">
        <v>4476</v>
      </c>
      <c r="G995" s="114">
        <v>800</v>
      </c>
      <c r="H995" s="85">
        <v>-26.25</v>
      </c>
      <c r="I995" s="115">
        <f t="shared" si="32"/>
        <v>3.2812500000000001E-2</v>
      </c>
      <c r="J995" s="87">
        <f t="shared" si="33"/>
        <v>773.75</v>
      </c>
      <c r="K995" s="87"/>
      <c r="L995" s="87" t="s">
        <v>4672</v>
      </c>
      <c r="M995" s="87"/>
      <c r="N995" s="521"/>
      <c r="O995" s="523">
        <f>+Tabla4[[#This Row],[PAGO NO EURO]]+Tabla4[[#This Row],[CARGO NO EURO]]</f>
        <v>0</v>
      </c>
      <c r="P995" s="521"/>
      <c r="Q995" s="88"/>
      <c r="R995" s="689">
        <f>+_xlfn.XLOOKUP(Tabla4[[#This Row],[ID CLIENTE]],'RESUMEN CLIENTES'!D:D,'RESUMEN CLIENTES'!G:G)</f>
        <v>45735</v>
      </c>
      <c r="S995" s="88" t="str">
        <f>+_xlfn.XLOOKUP(Tabla4[[#This Row],[ID CLIENTE]],'RESUMEN CLIENTES'!D:D,'RESUMEN CLIENTES'!AA:AA)</f>
        <v>B2.1</v>
      </c>
      <c r="T995" s="680" t="str">
        <f>+_xlfn.XLOOKUP(Tabla4[[#This Row],[ID CLIENTE]],'RESUMEN CLIENTES'!D:D,'RESUMEN CLIENTES'!C:C)</f>
        <v>México</v>
      </c>
    </row>
    <row r="996" spans="1:20" ht="16">
      <c r="A996" s="305">
        <v>46061</v>
      </c>
      <c r="B996" s="83" t="str">
        <f>+_xlfn.XLOOKUP(Tabla4[[#This Row],[ID CLIENTE]],'RESUMEN CLIENTES'!D:D,'RESUMEN CLIENTES'!A:A)</f>
        <v>Diego Alonso Salazar Palacios</v>
      </c>
      <c r="C996" s="215" t="s">
        <v>2216</v>
      </c>
      <c r="D996" s="83" t="s">
        <v>253</v>
      </c>
      <c r="E996" s="83" t="s">
        <v>4477</v>
      </c>
      <c r="F996" s="83" t="s">
        <v>4478</v>
      </c>
      <c r="G996" s="114">
        <v>1000</v>
      </c>
      <c r="H996" s="85">
        <v>-32.75</v>
      </c>
      <c r="I996" s="115">
        <f t="shared" si="32"/>
        <v>3.2750000000000001E-2</v>
      </c>
      <c r="J996" s="87">
        <f t="shared" si="33"/>
        <v>967.25</v>
      </c>
      <c r="K996" s="87"/>
      <c r="L996" s="87" t="s">
        <v>4672</v>
      </c>
      <c r="M996" s="87"/>
      <c r="N996" s="521"/>
      <c r="O996" s="521">
        <f>+Tabla4[[#This Row],[PAGO NO EURO]]+Tabla4[[#This Row],[CARGO NO EURO]]</f>
        <v>0</v>
      </c>
      <c r="P996" s="521"/>
      <c r="Q996" s="88"/>
      <c r="R996" s="689">
        <f>+_xlfn.XLOOKUP(Tabla4[[#This Row],[ID CLIENTE]],'RESUMEN CLIENTES'!D:D,'RESUMEN CLIENTES'!G:G)</f>
        <v>45803</v>
      </c>
      <c r="S996" s="88" t="str">
        <f>+_xlfn.XLOOKUP(Tabla4[[#This Row],[ID CLIENTE]],'RESUMEN CLIENTES'!D:D,'RESUMEN CLIENTES'!AA:AA)</f>
        <v>A1.1</v>
      </c>
      <c r="T996" s="680" t="str">
        <f>+_xlfn.XLOOKUP(Tabla4[[#This Row],[ID CLIENTE]],'RESUMEN CLIENTES'!D:D,'RESUMEN CLIENTES'!C:C)</f>
        <v>Perú</v>
      </c>
    </row>
    <row r="997" spans="1:20" ht="16">
      <c r="A997" s="305">
        <v>46062</v>
      </c>
      <c r="B997" s="83" t="str">
        <f>+_xlfn.XLOOKUP(Tabla4[[#This Row],[ID CLIENTE]],'RESUMEN CLIENTES'!D:D,'RESUMEN CLIENTES'!A:A)</f>
        <v>Marisol Madeleine Ibáñez Paredes</v>
      </c>
      <c r="C997" s="215" t="s">
        <v>4508</v>
      </c>
      <c r="D997" s="83" t="s">
        <v>4509</v>
      </c>
      <c r="E997" s="83" t="s">
        <v>4510</v>
      </c>
      <c r="F997" s="83" t="s">
        <v>4511</v>
      </c>
      <c r="G997" s="114">
        <v>250</v>
      </c>
      <c r="H997" s="85">
        <v>-8.3800000000000008</v>
      </c>
      <c r="I997" s="115">
        <f t="shared" si="32"/>
        <v>3.3520000000000001E-2</v>
      </c>
      <c r="J997" s="87">
        <f t="shared" si="33"/>
        <v>241.62</v>
      </c>
      <c r="K997" s="87"/>
      <c r="L997" s="87" t="s">
        <v>4672</v>
      </c>
      <c r="M997" s="87"/>
      <c r="N997" s="521"/>
      <c r="O997" s="523">
        <f>+Tabla4[[#This Row],[PAGO NO EURO]]+Tabla4[[#This Row],[CARGO NO EURO]]</f>
        <v>0</v>
      </c>
      <c r="P997" s="521"/>
      <c r="Q997" s="88"/>
      <c r="R997" s="689">
        <f>+_xlfn.XLOOKUP(Tabla4[[#This Row],[ID CLIENTE]],'RESUMEN CLIENTES'!D:D,'RESUMEN CLIENTES'!G:G)</f>
        <v>46062</v>
      </c>
      <c r="S997" s="88" t="str">
        <f>+_xlfn.XLOOKUP(Tabla4[[#This Row],[ID CLIENTE]],'RESUMEN CLIENTES'!D:D,'RESUMEN CLIENTES'!AA:AA)</f>
        <v>A2.1</v>
      </c>
      <c r="T997" s="680" t="str">
        <f>+_xlfn.XLOOKUP(Tabla4[[#This Row],[ID CLIENTE]],'RESUMEN CLIENTES'!D:D,'RESUMEN CLIENTES'!C:C)</f>
        <v>Ecuador</v>
      </c>
    </row>
    <row r="998" spans="1:20" ht="16">
      <c r="A998" s="305">
        <v>46062</v>
      </c>
      <c r="B998" s="83" t="str">
        <f>+_xlfn.XLOOKUP(Tabla4[[#This Row],[ID CLIENTE]],'RESUMEN CLIENTES'!D:D,'RESUMEN CLIENTES'!A:A)</f>
        <v>María de los Ángeles Gutiérrez Quevedo</v>
      </c>
      <c r="C998" s="215" t="s">
        <v>2233</v>
      </c>
      <c r="D998" s="83" t="s">
        <v>274</v>
      </c>
      <c r="E998" s="83" t="s">
        <v>4483</v>
      </c>
      <c r="F998" s="83" t="s">
        <v>4484</v>
      </c>
      <c r="G998" s="114">
        <v>1500</v>
      </c>
      <c r="H998" s="85">
        <v>-49</v>
      </c>
      <c r="I998" s="115">
        <f t="shared" si="32"/>
        <v>3.2666666666666663E-2</v>
      </c>
      <c r="J998" s="87">
        <f t="shared" si="33"/>
        <v>1451</v>
      </c>
      <c r="K998" s="87"/>
      <c r="L998" s="87" t="s">
        <v>4672</v>
      </c>
      <c r="M998" s="87"/>
      <c r="N998" s="521"/>
      <c r="O998" s="521">
        <f>+Tabla4[[#This Row],[PAGO NO EURO]]+Tabla4[[#This Row],[CARGO NO EURO]]</f>
        <v>0</v>
      </c>
      <c r="P998" s="521"/>
      <c r="Q998" s="88"/>
      <c r="R998" s="689">
        <f>+_xlfn.XLOOKUP(Tabla4[[#This Row],[ID CLIENTE]],'RESUMEN CLIENTES'!D:D,'RESUMEN CLIENTES'!G:G)</f>
        <v>45810</v>
      </c>
      <c r="S998" s="88" t="str">
        <f>+_xlfn.XLOOKUP(Tabla4[[#This Row],[ID CLIENTE]],'RESUMEN CLIENTES'!D:D,'RESUMEN CLIENTES'!AA:AA)</f>
        <v>A1.1</v>
      </c>
      <c r="T998" s="680" t="str">
        <f>+_xlfn.XLOOKUP(Tabla4[[#This Row],[ID CLIENTE]],'RESUMEN CLIENTES'!D:D,'RESUMEN CLIENTES'!C:C)</f>
        <v>Chile</v>
      </c>
    </row>
    <row r="999" spans="1:20" ht="16">
      <c r="A999" s="305">
        <v>46063</v>
      </c>
      <c r="B999" s="83" t="str">
        <f>+_xlfn.XLOOKUP(Tabla4[[#This Row],[ID CLIENTE]],'RESUMEN CLIENTES'!D:D,'RESUMEN CLIENTES'!A:A)</f>
        <v>Rodrigo Alfonso Busse Hernández</v>
      </c>
      <c r="C999" s="215" t="s">
        <v>2231</v>
      </c>
      <c r="D999" s="83" t="s">
        <v>275</v>
      </c>
      <c r="E999" s="83" t="s">
        <v>4479</v>
      </c>
      <c r="F999" s="83" t="s">
        <v>4480</v>
      </c>
      <c r="G999" s="114">
        <v>1111</v>
      </c>
      <c r="H999" s="85">
        <v>-36.36</v>
      </c>
      <c r="I999" s="115">
        <f t="shared" si="32"/>
        <v>3.272727272727273E-2</v>
      </c>
      <c r="J999" s="87">
        <f t="shared" si="33"/>
        <v>1074.6400000000001</v>
      </c>
      <c r="K999" s="87"/>
      <c r="L999" s="87" t="s">
        <v>4672</v>
      </c>
      <c r="M999" s="87"/>
      <c r="N999" s="521"/>
      <c r="O999" s="523">
        <f>+Tabla4[[#This Row],[PAGO NO EURO]]+Tabla4[[#This Row],[CARGO NO EURO]]</f>
        <v>0</v>
      </c>
      <c r="P999" s="521"/>
      <c r="Q999" s="88"/>
      <c r="R999" s="689">
        <f>+_xlfn.XLOOKUP(Tabla4[[#This Row],[ID CLIENTE]],'RESUMEN CLIENTES'!D:D,'RESUMEN CLIENTES'!G:G)</f>
        <v>45810</v>
      </c>
      <c r="S999" s="88" t="str">
        <f>+_xlfn.XLOOKUP(Tabla4[[#This Row],[ID CLIENTE]],'RESUMEN CLIENTES'!D:D,'RESUMEN CLIENTES'!AA:AA)</f>
        <v>null</v>
      </c>
      <c r="T999" s="680" t="str">
        <f>+_xlfn.XLOOKUP(Tabla4[[#This Row],[ID CLIENTE]],'RESUMEN CLIENTES'!D:D,'RESUMEN CLIENTES'!C:C)</f>
        <v>Chile</v>
      </c>
    </row>
    <row r="1000" spans="1:20" ht="16">
      <c r="A1000" s="305">
        <v>46063</v>
      </c>
      <c r="B1000" s="83" t="str">
        <f>+_xlfn.XLOOKUP(Tabla4[[#This Row],[ID CLIENTE]],'RESUMEN CLIENTES'!D:D,'RESUMEN CLIENTES'!A:A)</f>
        <v>Paola Hitos</v>
      </c>
      <c r="C1000" s="215" t="s">
        <v>2288</v>
      </c>
      <c r="D1000" s="83" t="s">
        <v>455</v>
      </c>
      <c r="E1000" s="83" t="s">
        <v>4481</v>
      </c>
      <c r="F1000" s="83" t="s">
        <v>4482</v>
      </c>
      <c r="G1000" s="114">
        <v>1000</v>
      </c>
      <c r="H1000" s="85">
        <v>-32.75</v>
      </c>
      <c r="I1000" s="115">
        <f t="shared" si="32"/>
        <v>3.2750000000000001E-2</v>
      </c>
      <c r="J1000" s="87">
        <f t="shared" si="33"/>
        <v>967.25</v>
      </c>
      <c r="K1000" s="87"/>
      <c r="L1000" s="87" t="s">
        <v>4672</v>
      </c>
      <c r="M1000" s="87"/>
      <c r="N1000" s="521"/>
      <c r="O1000" s="521">
        <f>+Tabla4[[#This Row],[PAGO NO EURO]]+Tabla4[[#This Row],[CARGO NO EURO]]</f>
        <v>0</v>
      </c>
      <c r="P1000" s="521"/>
      <c r="Q1000" s="88"/>
      <c r="R1000" s="689">
        <f>+_xlfn.XLOOKUP(Tabla4[[#This Row],[ID CLIENTE]],'RESUMEN CLIENTES'!D:D,'RESUMEN CLIENTES'!G:G)</f>
        <v>45846</v>
      </c>
      <c r="S1000" s="88" t="str">
        <f>+_xlfn.XLOOKUP(Tabla4[[#This Row],[ID CLIENTE]],'RESUMEN CLIENTES'!D:D,'RESUMEN CLIENTES'!AA:AA)</f>
        <v>A1.1</v>
      </c>
      <c r="T1000" s="680" t="str">
        <f>+_xlfn.XLOOKUP(Tabla4[[#This Row],[ID CLIENTE]],'RESUMEN CLIENTES'!D:D,'RESUMEN CLIENTES'!C:C)</f>
        <v>México</v>
      </c>
    </row>
    <row r="1001" spans="1:20" ht="16">
      <c r="A1001" s="305">
        <v>46063</v>
      </c>
      <c r="B1001" s="83" t="str">
        <f>+_xlfn.XLOOKUP(Tabla4[[#This Row],[ID CLIENTE]],'RESUMEN CLIENTES'!D:D,'RESUMEN CLIENTES'!A:A)</f>
        <v>Kimberly Chantelle Frey Arteaga</v>
      </c>
      <c r="C1001" s="215" t="s">
        <v>2311</v>
      </c>
      <c r="D1001" s="83" t="s">
        <v>501</v>
      </c>
      <c r="E1001" s="83" t="s">
        <v>4485</v>
      </c>
      <c r="F1001" s="83" t="s">
        <v>4486</v>
      </c>
      <c r="G1001" s="114">
        <v>1000</v>
      </c>
      <c r="H1001" s="85">
        <v>-32.75</v>
      </c>
      <c r="I1001" s="115">
        <f t="shared" si="32"/>
        <v>3.2750000000000001E-2</v>
      </c>
      <c r="J1001" s="87">
        <f t="shared" si="33"/>
        <v>967.25</v>
      </c>
      <c r="K1001" s="87"/>
      <c r="L1001" s="87" t="s">
        <v>4672</v>
      </c>
      <c r="M1001" s="87"/>
      <c r="N1001" s="521"/>
      <c r="O1001" s="523">
        <f>+Tabla4[[#This Row],[PAGO NO EURO]]+Tabla4[[#This Row],[CARGO NO EURO]]</f>
        <v>0</v>
      </c>
      <c r="P1001" s="521"/>
      <c r="Q1001" s="88"/>
      <c r="R1001" s="689">
        <f>+_xlfn.XLOOKUP(Tabla4[[#This Row],[ID CLIENTE]],'RESUMEN CLIENTES'!D:D,'RESUMEN CLIENTES'!G:G)</f>
        <v>45858</v>
      </c>
      <c r="S1001" s="88" t="str">
        <f>+_xlfn.XLOOKUP(Tabla4[[#This Row],[ID CLIENTE]],'RESUMEN CLIENTES'!D:D,'RESUMEN CLIENTES'!AA:AA)</f>
        <v>A1.1</v>
      </c>
      <c r="T1001" s="680" t="str">
        <f>+_xlfn.XLOOKUP(Tabla4[[#This Row],[ID CLIENTE]],'RESUMEN CLIENTES'!D:D,'RESUMEN CLIENTES'!C:C)</f>
        <v>México</v>
      </c>
    </row>
    <row r="1002" spans="1:20" ht="16">
      <c r="A1002" s="305">
        <v>46064</v>
      </c>
      <c r="B1002" s="83" t="str">
        <f>+_xlfn.XLOOKUP(Tabla4[[#This Row],[ID CLIENTE]],'RESUMEN CLIENTES'!D:D,'RESUMEN CLIENTES'!A:A)</f>
        <v>Catalina Andrea Videla Muñoz</v>
      </c>
      <c r="C1002" s="215" t="s">
        <v>2164</v>
      </c>
      <c r="D1002" s="83" t="s">
        <v>156</v>
      </c>
      <c r="E1002" s="83" t="s">
        <v>4533</v>
      </c>
      <c r="F1002" s="83" t="s">
        <v>4534</v>
      </c>
      <c r="G1002" s="114">
        <v>398.54</v>
      </c>
      <c r="H1002" s="85">
        <v>-13.2</v>
      </c>
      <c r="I1002" s="115">
        <f t="shared" si="32"/>
        <v>3.3120891253073714E-2</v>
      </c>
      <c r="J1002" s="87">
        <f t="shared" si="33"/>
        <v>385.34000000000003</v>
      </c>
      <c r="K1002" s="87"/>
      <c r="L1002" s="87" t="s">
        <v>4672</v>
      </c>
      <c r="M1002" s="87"/>
      <c r="N1002" s="521"/>
      <c r="O1002" s="521">
        <f>+Tabla4[[#This Row],[PAGO NO EURO]]+Tabla4[[#This Row],[CARGO NO EURO]]</f>
        <v>0</v>
      </c>
      <c r="P1002" s="521"/>
      <c r="Q1002" s="88"/>
      <c r="R1002" s="689">
        <f>+_xlfn.XLOOKUP(Tabla4[[#This Row],[ID CLIENTE]],'RESUMEN CLIENTES'!D:D,'RESUMEN CLIENTES'!G:G)</f>
        <v>45755</v>
      </c>
      <c r="S1002" s="88" t="str">
        <f>+_xlfn.XLOOKUP(Tabla4[[#This Row],[ID CLIENTE]],'RESUMEN CLIENTES'!D:D,'RESUMEN CLIENTES'!AA:AA)</f>
        <v>B1.3</v>
      </c>
      <c r="T1002" s="680" t="str">
        <f>+_xlfn.XLOOKUP(Tabla4[[#This Row],[ID CLIENTE]],'RESUMEN CLIENTES'!D:D,'RESUMEN CLIENTES'!C:C)</f>
        <v>Chile</v>
      </c>
    </row>
    <row r="1003" spans="1:20" ht="16">
      <c r="A1003" s="305">
        <v>46064</v>
      </c>
      <c r="B1003" s="83" t="str">
        <f>+_xlfn.XLOOKUP(Tabla4[[#This Row],[ID CLIENTE]],'RESUMEN CLIENTES'!D:D,'RESUMEN CLIENTES'!A:A)</f>
        <v>Isaac Ricardo Jimenez Campos</v>
      </c>
      <c r="C1003" s="215" t="s">
        <v>2131</v>
      </c>
      <c r="D1003" s="83" t="s">
        <v>103</v>
      </c>
      <c r="E1003" s="83" t="s">
        <v>4545</v>
      </c>
      <c r="F1003" s="83" t="s">
        <v>4546</v>
      </c>
      <c r="G1003" s="114">
        <v>654</v>
      </c>
      <c r="H1003" s="85">
        <v>-21.51</v>
      </c>
      <c r="I1003" s="115">
        <f t="shared" si="32"/>
        <v>3.2889908256880734E-2</v>
      </c>
      <c r="J1003" s="87">
        <f t="shared" si="33"/>
        <v>632.49</v>
      </c>
      <c r="K1003" s="87"/>
      <c r="L1003" s="87" t="s">
        <v>4672</v>
      </c>
      <c r="M1003" s="87"/>
      <c r="N1003" s="521"/>
      <c r="O1003" s="523">
        <f>+Tabla4[[#This Row],[PAGO NO EURO]]+Tabla4[[#This Row],[CARGO NO EURO]]</f>
        <v>0</v>
      </c>
      <c r="P1003" s="521"/>
      <c r="Q1003" s="88"/>
      <c r="R1003" s="689">
        <f>+_xlfn.XLOOKUP(Tabla4[[#This Row],[ID CLIENTE]],'RESUMEN CLIENTES'!D:D,'RESUMEN CLIENTES'!G:G)</f>
        <v>45725</v>
      </c>
      <c r="S1003" s="88" t="str">
        <f>+_xlfn.XLOOKUP(Tabla4[[#This Row],[ID CLIENTE]],'RESUMEN CLIENTES'!D:D,'RESUMEN CLIENTES'!AA:AA)</f>
        <v>null</v>
      </c>
      <c r="T1003" s="680" t="str">
        <f>+_xlfn.XLOOKUP(Tabla4[[#This Row],[ID CLIENTE]],'RESUMEN CLIENTES'!D:D,'RESUMEN CLIENTES'!C:C)</f>
        <v>México</v>
      </c>
    </row>
    <row r="1004" spans="1:20" ht="16">
      <c r="A1004" s="305">
        <v>46064</v>
      </c>
      <c r="B1004" s="83" t="str">
        <f>+_xlfn.XLOOKUP(Tabla4[[#This Row],[ID CLIENTE]],'RESUMEN CLIENTES'!D:D,'RESUMEN CLIENTES'!A:A)</f>
        <v>Ricardo Ernesto Miño Valencia</v>
      </c>
      <c r="C1004" s="215" t="s">
        <v>2426</v>
      </c>
      <c r="D1004" s="83" t="s">
        <v>1152</v>
      </c>
      <c r="E1004" s="83" t="s">
        <v>4439</v>
      </c>
      <c r="F1004" s="83" t="s">
        <v>4440</v>
      </c>
      <c r="G1004" s="114">
        <v>700</v>
      </c>
      <c r="H1004" s="85">
        <v>0</v>
      </c>
      <c r="I1004" s="115">
        <f t="shared" si="32"/>
        <v>0</v>
      </c>
      <c r="J1004" s="87">
        <f t="shared" si="33"/>
        <v>700</v>
      </c>
      <c r="K1004" s="87"/>
      <c r="L1004" s="87" t="s">
        <v>4672</v>
      </c>
      <c r="M1004" s="87"/>
      <c r="N1004" s="521"/>
      <c r="O1004" s="521">
        <f>+Tabla4[[#This Row],[PAGO NO EURO]]+Tabla4[[#This Row],[CARGO NO EURO]]</f>
        <v>0</v>
      </c>
      <c r="P1004" s="521"/>
      <c r="Q1004" s="88"/>
      <c r="R1004" s="689">
        <f>+_xlfn.XLOOKUP(Tabla4[[#This Row],[ID CLIENTE]],'RESUMEN CLIENTES'!D:D,'RESUMEN CLIENTES'!G:G)</f>
        <v>45938</v>
      </c>
      <c r="S1004" s="88" t="str">
        <f>+_xlfn.XLOOKUP(Tabla4[[#This Row],[ID CLIENTE]],'RESUMEN CLIENTES'!D:D,'RESUMEN CLIENTES'!AA:AA)</f>
        <v>A1.1</v>
      </c>
      <c r="T1004" s="680" t="str">
        <f>+_xlfn.XLOOKUP(Tabla4[[#This Row],[ID CLIENTE]],'RESUMEN CLIENTES'!D:D,'RESUMEN CLIENTES'!C:C)</f>
        <v>Ecuador</v>
      </c>
    </row>
    <row r="1005" spans="1:20" ht="16">
      <c r="A1005" s="305">
        <v>46066</v>
      </c>
      <c r="B1005" s="83" t="str">
        <f>+_xlfn.XLOOKUP(Tabla4[[#This Row],[ID CLIENTE]],'RESUMEN CLIENTES'!D:D,'RESUMEN CLIENTES'!A:A)</f>
        <v>Gerardo Abel Palacios Preciado</v>
      </c>
      <c r="C1005" s="215" t="s">
        <v>2483</v>
      </c>
      <c r="D1005" s="83" t="s">
        <v>1645</v>
      </c>
      <c r="E1005" s="83" t="s">
        <v>4469</v>
      </c>
      <c r="F1005" s="83" t="s">
        <v>4470</v>
      </c>
      <c r="G1005" s="114">
        <v>650</v>
      </c>
      <c r="H1005" s="85">
        <v>-21.38</v>
      </c>
      <c r="I1005" s="115">
        <f t="shared" si="32"/>
        <v>3.2892307692307693E-2</v>
      </c>
      <c r="J1005" s="87">
        <f t="shared" si="33"/>
        <v>628.62</v>
      </c>
      <c r="K1005" s="87"/>
      <c r="L1005" s="87" t="s">
        <v>4672</v>
      </c>
      <c r="M1005" s="87"/>
      <c r="N1005" s="521"/>
      <c r="O1005" s="523">
        <f>+Tabla4[[#This Row],[PAGO NO EURO]]+Tabla4[[#This Row],[CARGO NO EURO]]</f>
        <v>0</v>
      </c>
      <c r="P1005" s="521"/>
      <c r="Q1005" s="88"/>
      <c r="R1005" s="689">
        <f>+_xlfn.XLOOKUP(Tabla4[[#This Row],[ID CLIENTE]],'RESUMEN CLIENTES'!D:D,'RESUMEN CLIENTES'!G:G)</f>
        <v>45999</v>
      </c>
      <c r="S1005" s="88" t="str">
        <f>+_xlfn.XLOOKUP(Tabla4[[#This Row],[ID CLIENTE]],'RESUMEN CLIENTES'!D:D,'RESUMEN CLIENTES'!AA:AA)</f>
        <v>A1.1</v>
      </c>
      <c r="T1005" s="680" t="str">
        <f>+_xlfn.XLOOKUP(Tabla4[[#This Row],[ID CLIENTE]],'RESUMEN CLIENTES'!D:D,'RESUMEN CLIENTES'!C:C)</f>
        <v>México</v>
      </c>
    </row>
    <row r="1006" spans="1:20" ht="16">
      <c r="A1006" s="305">
        <v>46066</v>
      </c>
      <c r="B1006" s="83" t="str">
        <f>+_xlfn.XLOOKUP(Tabla4[[#This Row],[ID CLIENTE]],'RESUMEN CLIENTES'!D:D,'RESUMEN CLIENTES'!A:A)</f>
        <v>Abdon Daniel Carrillo Escobar</v>
      </c>
      <c r="C1006" s="215" t="s">
        <v>2511</v>
      </c>
      <c r="D1006" s="83" t="s">
        <v>2512</v>
      </c>
      <c r="E1006" s="83" t="s">
        <v>4567</v>
      </c>
      <c r="F1006" s="83" t="s">
        <v>4568</v>
      </c>
      <c r="G1006" s="114">
        <f>+Tabla4[[#This Row],[CAMBIO]]*Tabla4[[#This Row],[PAGO NO EURO]]</f>
        <v>2980.6278236485441</v>
      </c>
      <c r="H1006" s="85">
        <v>0</v>
      </c>
      <c r="I1006" s="115">
        <f t="shared" si="32"/>
        <v>0</v>
      </c>
      <c r="J1006" s="87">
        <f t="shared" si="33"/>
        <v>2980.6278236485441</v>
      </c>
      <c r="K1006" s="87" t="s">
        <v>2545</v>
      </c>
      <c r="L1006" s="87" t="s">
        <v>4675</v>
      </c>
      <c r="M1006" s="87" t="s">
        <v>2543</v>
      </c>
      <c r="N1006" s="522">
        <v>3061224</v>
      </c>
      <c r="O1006" s="523">
        <f>+Tabla4[[#This Row],[PAGO NO EURO]]+Tabla4[[#This Row],[CARGO NO EURO]]</f>
        <v>3061224</v>
      </c>
      <c r="P1006" s="521">
        <v>0</v>
      </c>
      <c r="Q1006" s="88">
        <v>9.7367191151269698E-4</v>
      </c>
      <c r="R1006" s="689">
        <f>+_xlfn.XLOOKUP(Tabla4[[#This Row],[ID CLIENTE]],'RESUMEN CLIENTES'!D:D,'RESUMEN CLIENTES'!G:G)</f>
        <v>46043</v>
      </c>
      <c r="S1006" s="88" t="str">
        <f>+_xlfn.XLOOKUP(Tabla4[[#This Row],[ID CLIENTE]],'RESUMEN CLIENTES'!D:D,'RESUMEN CLIENTES'!AA:AA)</f>
        <v>B1.1</v>
      </c>
      <c r="T1006" s="680" t="str">
        <f>+_xlfn.XLOOKUP(Tabla4[[#This Row],[ID CLIENTE]],'RESUMEN CLIENTES'!D:D,'RESUMEN CLIENTES'!C:C)</f>
        <v>Venezuela</v>
      </c>
    </row>
    <row r="1007" spans="1:20" ht="16">
      <c r="A1007" s="305">
        <v>46067</v>
      </c>
      <c r="B1007" s="83" t="str">
        <f>+_xlfn.XLOOKUP(Tabla4[[#This Row],[ID CLIENTE]],'RESUMEN CLIENTES'!D:D,'RESUMEN CLIENTES'!A:A)</f>
        <v>Paulina Alejandra Silva Gómez</v>
      </c>
      <c r="C1007" s="215" t="s">
        <v>2499</v>
      </c>
      <c r="D1007" s="83" t="s">
        <v>1881</v>
      </c>
      <c r="E1007" s="83" t="s">
        <v>4563</v>
      </c>
      <c r="F1007" s="83" t="s">
        <v>4564</v>
      </c>
      <c r="G1007" s="114">
        <v>3700</v>
      </c>
      <c r="H1007" s="85">
        <v>-120.5</v>
      </c>
      <c r="I1007" s="115">
        <f t="shared" si="32"/>
        <v>3.2567567567567568E-2</v>
      </c>
      <c r="J1007" s="87">
        <f t="shared" si="33"/>
        <v>3579.5</v>
      </c>
      <c r="K1007" s="87"/>
      <c r="L1007" s="87" t="s">
        <v>4672</v>
      </c>
      <c r="M1007" s="87"/>
      <c r="N1007" s="521"/>
      <c r="O1007" s="523">
        <f>+Tabla4[[#This Row],[PAGO NO EURO]]+Tabla4[[#This Row],[CARGO NO EURO]]</f>
        <v>0</v>
      </c>
      <c r="P1007" s="521"/>
      <c r="Q1007" s="88"/>
      <c r="R1007" s="689">
        <f>+_xlfn.XLOOKUP(Tabla4[[#This Row],[ID CLIENTE]],'RESUMEN CLIENTES'!D:D,'RESUMEN CLIENTES'!G:G)</f>
        <v>46031</v>
      </c>
      <c r="S1007" s="88" t="str">
        <f>+_xlfn.XLOOKUP(Tabla4[[#This Row],[ID CLIENTE]],'RESUMEN CLIENTES'!D:D,'RESUMEN CLIENTES'!AA:AA)</f>
        <v>-</v>
      </c>
      <c r="T1007" s="680" t="str">
        <f>+_xlfn.XLOOKUP(Tabla4[[#This Row],[ID CLIENTE]],'RESUMEN CLIENTES'!D:D,'RESUMEN CLIENTES'!C:C)</f>
        <v>Chile</v>
      </c>
    </row>
    <row r="1008" spans="1:20" ht="16">
      <c r="A1008" s="305">
        <v>46067</v>
      </c>
      <c r="B1008" s="83" t="str">
        <f>+_xlfn.XLOOKUP(Tabla4[[#This Row],[ID CLIENTE]],'RESUMEN CLIENTES'!D:D,'RESUMEN CLIENTES'!A:A)</f>
        <v>Alina Maria Cervantes Real</v>
      </c>
      <c r="C1008" s="215" t="s">
        <v>2149</v>
      </c>
      <c r="D1008" s="83" t="s">
        <v>187</v>
      </c>
      <c r="E1008" s="83" t="s">
        <v>4561</v>
      </c>
      <c r="F1008" s="83" t="s">
        <v>4562</v>
      </c>
      <c r="G1008" s="114">
        <v>769</v>
      </c>
      <c r="H1008" s="85">
        <v>-25.24</v>
      </c>
      <c r="I1008" s="115">
        <f t="shared" si="32"/>
        <v>3.2821846553966187E-2</v>
      </c>
      <c r="J1008" s="87">
        <f t="shared" si="33"/>
        <v>743.76</v>
      </c>
      <c r="K1008" s="87"/>
      <c r="L1008" s="87" t="s">
        <v>4672</v>
      </c>
      <c r="M1008" s="87"/>
      <c r="N1008" s="521"/>
      <c r="O1008" s="521">
        <f>+Tabla4[[#This Row],[PAGO NO EURO]]+Tabla4[[#This Row],[CARGO NO EURO]]</f>
        <v>0</v>
      </c>
      <c r="P1008" s="521"/>
      <c r="Q1008" s="88"/>
      <c r="R1008" s="689">
        <f>+_xlfn.XLOOKUP(Tabla4[[#This Row],[ID CLIENTE]],'RESUMEN CLIENTES'!D:D,'RESUMEN CLIENTES'!G:G)</f>
        <v>45741</v>
      </c>
      <c r="S1008" s="88" t="str">
        <f>+_xlfn.XLOOKUP(Tabla4[[#This Row],[ID CLIENTE]],'RESUMEN CLIENTES'!D:D,'RESUMEN CLIENTES'!AA:AA)</f>
        <v>B1.1</v>
      </c>
      <c r="T1008" s="680" t="str">
        <f>+_xlfn.XLOOKUP(Tabla4[[#This Row],[ID CLIENTE]],'RESUMEN CLIENTES'!D:D,'RESUMEN CLIENTES'!C:C)</f>
        <v>México</v>
      </c>
    </row>
    <row r="1009" spans="1:21" ht="16">
      <c r="A1009" s="305">
        <v>46067</v>
      </c>
      <c r="B1009" s="83" t="str">
        <f>+_xlfn.XLOOKUP(Tabla4[[#This Row],[ID CLIENTE]],'RESUMEN CLIENTES'!D:D,'RESUMEN CLIENTES'!A:A)</f>
        <v>Gabriel Alejandro Ortega Moreno</v>
      </c>
      <c r="C1009" s="215" t="s">
        <v>2129</v>
      </c>
      <c r="D1009" s="83" t="s">
        <v>95</v>
      </c>
      <c r="E1009" s="83" t="s">
        <v>4535</v>
      </c>
      <c r="F1009" s="83" t="s">
        <v>4536</v>
      </c>
      <c r="G1009" s="114">
        <v>200</v>
      </c>
      <c r="H1009" s="85">
        <v>-6.75</v>
      </c>
      <c r="I1009" s="115">
        <f t="shared" si="32"/>
        <v>3.3750000000000002E-2</v>
      </c>
      <c r="J1009" s="87">
        <f t="shared" si="33"/>
        <v>193.25</v>
      </c>
      <c r="K1009" s="87"/>
      <c r="L1009" s="87" t="s">
        <v>4672</v>
      </c>
      <c r="M1009" s="87"/>
      <c r="N1009" s="521"/>
      <c r="O1009" s="523">
        <f>+Tabla4[[#This Row],[PAGO NO EURO]]+Tabla4[[#This Row],[CARGO NO EURO]]</f>
        <v>0</v>
      </c>
      <c r="P1009" s="521"/>
      <c r="Q1009" s="88"/>
      <c r="R1009" s="689">
        <f>+_xlfn.XLOOKUP(Tabla4[[#This Row],[ID CLIENTE]],'RESUMEN CLIENTES'!D:D,'RESUMEN CLIENTES'!G:G)</f>
        <v>45721</v>
      </c>
      <c r="S1009" s="88" t="str">
        <f>+_xlfn.XLOOKUP(Tabla4[[#This Row],[ID CLIENTE]],'RESUMEN CLIENTES'!D:D,'RESUMEN CLIENTES'!AA:AA)</f>
        <v>B2.1</v>
      </c>
      <c r="T1009" s="680" t="str">
        <f>+_xlfn.XLOOKUP(Tabla4[[#This Row],[ID CLIENTE]],'RESUMEN CLIENTES'!D:D,'RESUMEN CLIENTES'!C:C)</f>
        <v>Ecuador</v>
      </c>
    </row>
    <row r="1010" spans="1:21" ht="16">
      <c r="A1010" s="305">
        <v>46067</v>
      </c>
      <c r="B1010" s="83" t="str">
        <f>+_xlfn.XLOOKUP(Tabla4[[#This Row],[ID CLIENTE]],'RESUMEN CLIENTES'!D:D,'RESUMEN CLIENTES'!A:A)</f>
        <v>Laura Giraldo</v>
      </c>
      <c r="C1010" s="215" t="s">
        <v>2503</v>
      </c>
      <c r="D1010" s="83" t="s">
        <v>1875</v>
      </c>
      <c r="E1010" s="83" t="s">
        <v>4549</v>
      </c>
      <c r="F1010" s="83" t="s">
        <v>4550</v>
      </c>
      <c r="G1010" s="114">
        <v>500</v>
      </c>
      <c r="H1010" s="85">
        <v>-16.5</v>
      </c>
      <c r="I1010" s="115">
        <f t="shared" si="32"/>
        <v>3.3000000000000002E-2</v>
      </c>
      <c r="J1010" s="87">
        <f t="shared" si="33"/>
        <v>483.5</v>
      </c>
      <c r="K1010" s="87"/>
      <c r="L1010" s="87" t="s">
        <v>4672</v>
      </c>
      <c r="M1010" s="87"/>
      <c r="N1010" s="521"/>
      <c r="O1010" s="521">
        <f>+Tabla4[[#This Row],[PAGO NO EURO]]+Tabla4[[#This Row],[CARGO NO EURO]]</f>
        <v>0</v>
      </c>
      <c r="P1010" s="521"/>
      <c r="Q1010" s="88"/>
      <c r="R1010" s="689">
        <f>+_xlfn.XLOOKUP(Tabla4[[#This Row],[ID CLIENTE]],'RESUMEN CLIENTES'!D:D,'RESUMEN CLIENTES'!G:G)</f>
        <v>46035</v>
      </c>
      <c r="S1010" s="88" t="str">
        <f>+_xlfn.XLOOKUP(Tabla4[[#This Row],[ID CLIENTE]],'RESUMEN CLIENTES'!D:D,'RESUMEN CLIENTES'!AA:AA)</f>
        <v>-</v>
      </c>
      <c r="T1010" s="680" t="str">
        <f>+_xlfn.XLOOKUP(Tabla4[[#This Row],[ID CLIENTE]],'RESUMEN CLIENTES'!D:D,'RESUMEN CLIENTES'!C:C)</f>
        <v>Colombia</v>
      </c>
    </row>
    <row r="1011" spans="1:21" ht="16">
      <c r="A1011" s="305">
        <v>46067</v>
      </c>
      <c r="B1011" s="83" t="str">
        <f>+_xlfn.XLOOKUP(Tabla4[[#This Row],[ID CLIENTE]],'RESUMEN CLIENTES'!D:D,'RESUMEN CLIENTES'!A:A)</f>
        <v>Carlos Alberto Suarez Hernandez</v>
      </c>
      <c r="C1011" s="215" t="s">
        <v>2379</v>
      </c>
      <c r="D1011" s="83" t="s">
        <v>751</v>
      </c>
      <c r="E1011" s="83" t="s">
        <v>4573</v>
      </c>
      <c r="F1011" s="83" t="s">
        <v>4574</v>
      </c>
      <c r="G1011" s="114">
        <v>1000</v>
      </c>
      <c r="H1011" s="85">
        <v>-32.75</v>
      </c>
      <c r="I1011" s="115">
        <f t="shared" si="32"/>
        <v>3.2750000000000001E-2</v>
      </c>
      <c r="J1011" s="87">
        <f t="shared" si="33"/>
        <v>967.25</v>
      </c>
      <c r="K1011" s="87"/>
      <c r="L1011" s="87" t="s">
        <v>4672</v>
      </c>
      <c r="M1011" s="87"/>
      <c r="N1011" s="521"/>
      <c r="O1011" s="523">
        <f>+Tabla4[[#This Row],[PAGO NO EURO]]+Tabla4[[#This Row],[CARGO NO EURO]]</f>
        <v>0</v>
      </c>
      <c r="P1011" s="521"/>
      <c r="Q1011" s="88"/>
      <c r="R1011" s="689">
        <f>+_xlfn.XLOOKUP(Tabla4[[#This Row],[ID CLIENTE]],'RESUMEN CLIENTES'!D:D,'RESUMEN CLIENTES'!G:G)</f>
        <v>45898</v>
      </c>
      <c r="S1011" s="88" t="str">
        <f>+_xlfn.XLOOKUP(Tabla4[[#This Row],[ID CLIENTE]],'RESUMEN CLIENTES'!D:D,'RESUMEN CLIENTES'!AA:AA)</f>
        <v>A1.1</v>
      </c>
      <c r="T1011" s="680" t="str">
        <f>+_xlfn.XLOOKUP(Tabla4[[#This Row],[ID CLIENTE]],'RESUMEN CLIENTES'!D:D,'RESUMEN CLIENTES'!C:C)</f>
        <v>Colombia</v>
      </c>
    </row>
    <row r="1012" spans="1:21" ht="16">
      <c r="A1012" s="305">
        <v>46068</v>
      </c>
      <c r="B1012" s="83" t="str">
        <f>+_xlfn.XLOOKUP(Tabla4[[#This Row],[ID CLIENTE]],'RESUMEN CLIENTES'!D:D,'RESUMEN CLIENTES'!A:A)</f>
        <v>Gabriela Kimberlyn Moran Caiza</v>
      </c>
      <c r="C1012" s="215" t="s">
        <v>2127</v>
      </c>
      <c r="D1012" s="83" t="s">
        <v>98</v>
      </c>
      <c r="E1012" s="83" t="s">
        <v>4537</v>
      </c>
      <c r="F1012" s="83" t="s">
        <v>4538</v>
      </c>
      <c r="G1012" s="114">
        <v>100</v>
      </c>
      <c r="H1012" s="85">
        <v>-3.5</v>
      </c>
      <c r="I1012" s="115">
        <f t="shared" si="32"/>
        <v>3.5000000000000003E-2</v>
      </c>
      <c r="J1012" s="87">
        <f t="shared" si="33"/>
        <v>96.5</v>
      </c>
      <c r="K1012" s="87"/>
      <c r="L1012" s="87" t="s">
        <v>4672</v>
      </c>
      <c r="M1012" s="87"/>
      <c r="N1012" s="521"/>
      <c r="O1012" s="521">
        <f>+Tabla4[[#This Row],[PAGO NO EURO]]+Tabla4[[#This Row],[CARGO NO EURO]]</f>
        <v>0</v>
      </c>
      <c r="P1012" s="521"/>
      <c r="Q1012" s="88"/>
      <c r="R1012" s="689">
        <f>+_xlfn.XLOOKUP(Tabla4[[#This Row],[ID CLIENTE]],'RESUMEN CLIENTES'!D:D,'RESUMEN CLIENTES'!G:G)</f>
        <v>45721</v>
      </c>
      <c r="S1012" s="88" t="str">
        <f>+_xlfn.XLOOKUP(Tabla4[[#This Row],[ID CLIENTE]],'RESUMEN CLIENTES'!D:D,'RESUMEN CLIENTES'!AA:AA)</f>
        <v>B2.1</v>
      </c>
      <c r="T1012" s="680" t="str">
        <f>+_xlfn.XLOOKUP(Tabla4[[#This Row],[ID CLIENTE]],'RESUMEN CLIENTES'!D:D,'RESUMEN CLIENTES'!C:C)</f>
        <v>Ecuador</v>
      </c>
    </row>
    <row r="1013" spans="1:21" ht="16">
      <c r="A1013" s="305">
        <v>46069</v>
      </c>
      <c r="B1013" s="83" t="str">
        <f>+_xlfn.XLOOKUP(Tabla4[[#This Row],[ID CLIENTE]],'RESUMEN CLIENTES'!D:D,'RESUMEN CLIENTES'!A:A)</f>
        <v>Jonathan Christian Cardenas Peña</v>
      </c>
      <c r="C1013" s="215" t="s">
        <v>2355</v>
      </c>
      <c r="D1013" s="83" t="s">
        <v>670</v>
      </c>
      <c r="E1013" s="83" t="s">
        <v>4539</v>
      </c>
      <c r="F1013" s="83" t="s">
        <v>4540</v>
      </c>
      <c r="G1013" s="114">
        <v>4000</v>
      </c>
      <c r="H1013" s="85">
        <v>-5</v>
      </c>
      <c r="I1013" s="115">
        <f t="shared" si="32"/>
        <v>1.25E-3</v>
      </c>
      <c r="J1013" s="87">
        <f t="shared" si="33"/>
        <v>3995</v>
      </c>
      <c r="K1013" s="87"/>
      <c r="L1013" s="87" t="s">
        <v>4672</v>
      </c>
      <c r="M1013" s="87"/>
      <c r="N1013" s="521"/>
      <c r="O1013" s="523">
        <f>+Tabla4[[#This Row],[PAGO NO EURO]]+Tabla4[[#This Row],[CARGO NO EURO]]</f>
        <v>0</v>
      </c>
      <c r="P1013" s="521"/>
      <c r="Q1013" s="88"/>
      <c r="R1013" s="689">
        <f>+_xlfn.XLOOKUP(Tabla4[[#This Row],[ID CLIENTE]],'RESUMEN CLIENTES'!D:D,'RESUMEN CLIENTES'!G:G)</f>
        <v>45882</v>
      </c>
      <c r="S1013" s="88" t="str">
        <f>+_xlfn.XLOOKUP(Tabla4[[#This Row],[ID CLIENTE]],'RESUMEN CLIENTES'!D:D,'RESUMEN CLIENTES'!AA:AA)</f>
        <v>A1.2</v>
      </c>
      <c r="T1013" s="680" t="str">
        <f>+_xlfn.XLOOKUP(Tabla4[[#This Row],[ID CLIENTE]],'RESUMEN CLIENTES'!D:D,'RESUMEN CLIENTES'!C:C)</f>
        <v>Ecuador</v>
      </c>
    </row>
    <row r="1014" spans="1:21" ht="16">
      <c r="A1014" s="305">
        <v>46069</v>
      </c>
      <c r="B1014" s="83" t="str">
        <f>+_xlfn.XLOOKUP(Tabla4[[#This Row],[ID CLIENTE]],'RESUMEN CLIENTES'!D:D,'RESUMEN CLIENTES'!A:A)</f>
        <v>Jessica Ayelén Culla Alvarez</v>
      </c>
      <c r="C1014" s="215" t="s">
        <v>2265</v>
      </c>
      <c r="D1014" s="83" t="s">
        <v>362</v>
      </c>
      <c r="E1014" s="83" t="s">
        <v>4547</v>
      </c>
      <c r="F1014" s="83" t="s">
        <v>4548</v>
      </c>
      <c r="G1014" s="114">
        <v>1000</v>
      </c>
      <c r="H1014" s="85">
        <v>-5</v>
      </c>
      <c r="I1014" s="115">
        <f t="shared" si="32"/>
        <v>5.0000000000000001E-3</v>
      </c>
      <c r="J1014" s="87">
        <f t="shared" si="33"/>
        <v>995</v>
      </c>
      <c r="K1014" s="87"/>
      <c r="L1014" s="87" t="s">
        <v>4672</v>
      </c>
      <c r="M1014" s="87"/>
      <c r="N1014" s="521"/>
      <c r="O1014" s="521">
        <f>+Tabla4[[#This Row],[PAGO NO EURO]]+Tabla4[[#This Row],[CARGO NO EURO]]</f>
        <v>0</v>
      </c>
      <c r="P1014" s="521"/>
      <c r="Q1014" s="88"/>
      <c r="R1014" s="689">
        <f>+_xlfn.XLOOKUP(Tabla4[[#This Row],[ID CLIENTE]],'RESUMEN CLIENTES'!D:D,'RESUMEN CLIENTES'!G:G)</f>
        <v>45830</v>
      </c>
      <c r="S1014" s="88" t="str">
        <f>+_xlfn.XLOOKUP(Tabla4[[#This Row],[ID CLIENTE]],'RESUMEN CLIENTES'!D:D,'RESUMEN CLIENTES'!AA:AA)</f>
        <v>B1.1</v>
      </c>
      <c r="T1014" s="680" t="str">
        <f>+_xlfn.XLOOKUP(Tabla4[[#This Row],[ID CLIENTE]],'RESUMEN CLIENTES'!D:D,'RESUMEN CLIENTES'!C:C)</f>
        <v>Argentina</v>
      </c>
    </row>
    <row r="1015" spans="1:21" ht="16">
      <c r="A1015" s="305">
        <v>46069</v>
      </c>
      <c r="B1015" s="83" t="str">
        <f>+_xlfn.XLOOKUP(Tabla4[[#This Row],[ID CLIENTE]],'RESUMEN CLIENTES'!D:D,'RESUMEN CLIENTES'!A:A)</f>
        <v>María Stefania Gelvez Olaya</v>
      </c>
      <c r="C1015" s="215" t="s">
        <v>2383</v>
      </c>
      <c r="D1015" s="83" t="s">
        <v>762</v>
      </c>
      <c r="E1015" s="83" t="s">
        <v>4580</v>
      </c>
      <c r="F1015" s="83" t="s">
        <v>4581</v>
      </c>
      <c r="G1015" s="114">
        <v>1000</v>
      </c>
      <c r="H1015" s="85">
        <v>-32.75</v>
      </c>
      <c r="I1015" s="115">
        <f t="shared" si="32"/>
        <v>3.2750000000000001E-2</v>
      </c>
      <c r="J1015" s="87">
        <f t="shared" si="33"/>
        <v>967.25</v>
      </c>
      <c r="K1015" s="87"/>
      <c r="L1015" s="87" t="s">
        <v>4672</v>
      </c>
      <c r="M1015" s="87"/>
      <c r="N1015" s="521"/>
      <c r="O1015" s="523">
        <f>+Tabla4[[#This Row],[PAGO NO EURO]]+Tabla4[[#This Row],[CARGO NO EURO]]</f>
        <v>0</v>
      </c>
      <c r="P1015" s="521"/>
      <c r="Q1015" s="88"/>
      <c r="R1015" s="689">
        <f>+_xlfn.XLOOKUP(Tabla4[[#This Row],[ID CLIENTE]],'RESUMEN CLIENTES'!D:D,'RESUMEN CLIENTES'!G:G)</f>
        <v>45898</v>
      </c>
      <c r="S1015" s="88" t="str">
        <f>+_xlfn.XLOOKUP(Tabla4[[#This Row],[ID CLIENTE]],'RESUMEN CLIENTES'!D:D,'RESUMEN CLIENTES'!AA:AA)</f>
        <v>A1.1</v>
      </c>
      <c r="T1015" s="680" t="str">
        <f>+_xlfn.XLOOKUP(Tabla4[[#This Row],[ID CLIENTE]],'RESUMEN CLIENTES'!D:D,'RESUMEN CLIENTES'!C:C)</f>
        <v>Colombia</v>
      </c>
    </row>
    <row r="1016" spans="1:21" ht="16">
      <c r="A1016" s="305">
        <v>46069</v>
      </c>
      <c r="B1016" s="83" t="str">
        <f>+_xlfn.XLOOKUP(Tabla4[[#This Row],[ID CLIENTE]],'RESUMEN CLIENTES'!D:D,'RESUMEN CLIENTES'!A:A)</f>
        <v>David Enrique Díaz Mejía</v>
      </c>
      <c r="C1016" s="215" t="s">
        <v>2189</v>
      </c>
      <c r="D1016" s="83" t="s">
        <v>90</v>
      </c>
      <c r="E1016" s="83" t="s">
        <v>4543</v>
      </c>
      <c r="F1016" s="83" t="s">
        <v>4544</v>
      </c>
      <c r="G1016" s="114">
        <v>500</v>
      </c>
      <c r="H1016" s="85">
        <v>0</v>
      </c>
      <c r="I1016" s="115">
        <f t="shared" si="32"/>
        <v>0</v>
      </c>
      <c r="J1016" s="87">
        <f t="shared" si="33"/>
        <v>500</v>
      </c>
      <c r="K1016" s="87"/>
      <c r="L1016" s="87" t="s">
        <v>4672</v>
      </c>
      <c r="M1016" s="87"/>
      <c r="N1016" s="521"/>
      <c r="O1016" s="521">
        <f>+Tabla4[[#This Row],[PAGO NO EURO]]+Tabla4[[#This Row],[CARGO NO EURO]]</f>
        <v>0</v>
      </c>
      <c r="P1016" s="521"/>
      <c r="Q1016" s="88"/>
      <c r="R1016" s="689">
        <f>+_xlfn.XLOOKUP(Tabla4[[#This Row],[ID CLIENTE]],'RESUMEN CLIENTES'!D:D,'RESUMEN CLIENTES'!G:G)</f>
        <v>45774</v>
      </c>
      <c r="S1016" s="88" t="str">
        <f>+_xlfn.XLOOKUP(Tabla4[[#This Row],[ID CLIENTE]],'RESUMEN CLIENTES'!D:D,'RESUMEN CLIENTES'!AA:AA)</f>
        <v>A1.1</v>
      </c>
      <c r="T1016" s="680" t="str">
        <f>+_xlfn.XLOOKUP(Tabla4[[#This Row],[ID CLIENTE]],'RESUMEN CLIENTES'!D:D,'RESUMEN CLIENTES'!C:C)</f>
        <v>Honduras</v>
      </c>
    </row>
    <row r="1017" spans="1:21" ht="16">
      <c r="A1017" s="305">
        <v>46069</v>
      </c>
      <c r="B1017" s="83" t="str">
        <f>+_xlfn.XLOOKUP(Tabla4[[#This Row],[ID CLIENTE]],'RESUMEN CLIENTES'!D:D,'RESUMEN CLIENTES'!A:A)</f>
        <v>Rodrigo Ignacio Rodriguez Frutos</v>
      </c>
      <c r="C1017" s="215" t="s">
        <v>2214</v>
      </c>
      <c r="D1017" s="83" t="s">
        <v>242</v>
      </c>
      <c r="E1017" s="83" t="s">
        <v>4551</v>
      </c>
      <c r="F1017" s="83" t="s">
        <v>4552</v>
      </c>
      <c r="G1017" s="114">
        <v>630</v>
      </c>
      <c r="H1017" s="85">
        <v>0</v>
      </c>
      <c r="I1017" s="115">
        <f t="shared" si="32"/>
        <v>0</v>
      </c>
      <c r="J1017" s="87">
        <f t="shared" si="33"/>
        <v>630</v>
      </c>
      <c r="K1017" s="87"/>
      <c r="L1017" s="87" t="s">
        <v>4672</v>
      </c>
      <c r="M1017" s="87"/>
      <c r="N1017" s="521"/>
      <c r="O1017" s="523">
        <f>+Tabla4[[#This Row],[PAGO NO EURO]]+Tabla4[[#This Row],[CARGO NO EURO]]</f>
        <v>0</v>
      </c>
      <c r="P1017" s="521"/>
      <c r="Q1017" s="88"/>
      <c r="R1017" s="689">
        <f>+_xlfn.XLOOKUP(Tabla4[[#This Row],[ID CLIENTE]],'RESUMEN CLIENTES'!D:D,'RESUMEN CLIENTES'!G:G)</f>
        <v>45798</v>
      </c>
      <c r="S1017" s="88" t="str">
        <f>+_xlfn.XLOOKUP(Tabla4[[#This Row],[ID CLIENTE]],'RESUMEN CLIENTES'!D:D,'RESUMEN CLIENTES'!AA:AA)</f>
        <v>null</v>
      </c>
      <c r="T1017" s="680" t="str">
        <f>+_xlfn.XLOOKUP(Tabla4[[#This Row],[ID CLIENTE]],'RESUMEN CLIENTES'!D:D,'RESUMEN CLIENTES'!C:C)</f>
        <v>México</v>
      </c>
    </row>
    <row r="1018" spans="1:21" ht="16">
      <c r="A1018" s="305">
        <v>46069</v>
      </c>
      <c r="B1018" s="83" t="str">
        <f>+_xlfn.XLOOKUP(Tabla4[[#This Row],[ID CLIENTE]],'RESUMEN CLIENTES'!D:D,'RESUMEN CLIENTES'!A:A)</f>
        <v>Karenn Yadira Tavera Lara</v>
      </c>
      <c r="C1018" s="215" t="s">
        <v>2424</v>
      </c>
      <c r="D1018" s="83" t="s">
        <v>1001</v>
      </c>
      <c r="E1018" s="83" t="s">
        <v>4578</v>
      </c>
      <c r="F1018" s="83" t="s">
        <v>4579</v>
      </c>
      <c r="G1018" s="114">
        <v>1000</v>
      </c>
      <c r="H1018" s="85">
        <v>-32.75</v>
      </c>
      <c r="I1018" s="115">
        <f t="shared" si="32"/>
        <v>3.2750000000000001E-2</v>
      </c>
      <c r="J1018" s="87">
        <f t="shared" si="33"/>
        <v>967.25</v>
      </c>
      <c r="K1018" s="87"/>
      <c r="L1018" s="87" t="s">
        <v>4672</v>
      </c>
      <c r="M1018" s="87"/>
      <c r="N1018" s="521"/>
      <c r="O1018" s="521">
        <f>+Tabla4[[#This Row],[PAGO NO EURO]]+Tabla4[[#This Row],[CARGO NO EURO]]</f>
        <v>0</v>
      </c>
      <c r="P1018" s="521"/>
      <c r="Q1018" s="88"/>
      <c r="R1018" s="689">
        <f>+_xlfn.XLOOKUP(Tabla4[[#This Row],[ID CLIENTE]],'RESUMEN CLIENTES'!D:D,'RESUMEN CLIENTES'!G:G)</f>
        <v>45919</v>
      </c>
      <c r="S1018" s="88" t="str">
        <f>+_xlfn.XLOOKUP(Tabla4[[#This Row],[ID CLIENTE]],'RESUMEN CLIENTES'!D:D,'RESUMEN CLIENTES'!AA:AA)</f>
        <v>A1.1</v>
      </c>
      <c r="T1018" s="680" t="str">
        <f>+_xlfn.XLOOKUP(Tabla4[[#This Row],[ID CLIENTE]],'RESUMEN CLIENTES'!D:D,'RESUMEN CLIENTES'!C:C)</f>
        <v>México</v>
      </c>
    </row>
    <row r="1019" spans="1:21" ht="16">
      <c r="A1019" s="305">
        <v>46070</v>
      </c>
      <c r="B1019" s="83" t="str">
        <f>+_xlfn.XLOOKUP(Tabla4[[#This Row],[ID CLIENTE]],'RESUMEN CLIENTES'!D:D,'RESUMEN CLIENTES'!A:A)</f>
        <v>Marisol Madeleine Ibáñez Paredes</v>
      </c>
      <c r="C1019" s="215" t="s">
        <v>4508</v>
      </c>
      <c r="D1019" s="83" t="s">
        <v>4509</v>
      </c>
      <c r="E1019" s="83" t="s">
        <v>4594</v>
      </c>
      <c r="F1019" s="83" t="s">
        <v>4595</v>
      </c>
      <c r="G1019" s="114">
        <v>1750</v>
      </c>
      <c r="H1019" s="85">
        <v>-57.13</v>
      </c>
      <c r="I1019" s="115">
        <f t="shared" si="32"/>
        <v>3.2645714285714285E-2</v>
      </c>
      <c r="J1019" s="87">
        <f t="shared" si="33"/>
        <v>1692.87</v>
      </c>
      <c r="K1019" s="87"/>
      <c r="L1019" s="87" t="s">
        <v>4672</v>
      </c>
      <c r="M1019" s="87"/>
      <c r="N1019" s="521"/>
      <c r="O1019" s="523">
        <f>+Tabla4[[#This Row],[PAGO NO EURO]]+Tabla4[[#This Row],[CARGO NO EURO]]</f>
        <v>0</v>
      </c>
      <c r="P1019" s="521"/>
      <c r="Q1019" s="88"/>
      <c r="R1019" s="689">
        <f>+_xlfn.XLOOKUP(Tabla4[[#This Row],[ID CLIENTE]],'RESUMEN CLIENTES'!D:D,'RESUMEN CLIENTES'!G:G)</f>
        <v>46062</v>
      </c>
      <c r="S1019" s="88" t="str">
        <f>+_xlfn.XLOOKUP(Tabla4[[#This Row],[ID CLIENTE]],'RESUMEN CLIENTES'!D:D,'RESUMEN CLIENTES'!AA:AA)</f>
        <v>A2.1</v>
      </c>
      <c r="T1019" s="680" t="str">
        <f>+_xlfn.XLOOKUP(Tabla4[[#This Row],[ID CLIENTE]],'RESUMEN CLIENTES'!D:D,'RESUMEN CLIENTES'!C:C)</f>
        <v>Ecuador</v>
      </c>
    </row>
    <row r="1020" spans="1:21" ht="16">
      <c r="A1020" s="305">
        <v>46070</v>
      </c>
      <c r="B1020" s="83" t="str">
        <f>+_xlfn.XLOOKUP(Tabla4[[#This Row],[ID CLIENTE]],'RESUMEN CLIENTES'!D:D,'RESUMEN CLIENTES'!A:A)</f>
        <v>Ivan Gonzales Graus</v>
      </c>
      <c r="C1020" s="215" t="s">
        <v>2523</v>
      </c>
      <c r="D1020" s="83" t="s">
        <v>1996</v>
      </c>
      <c r="E1020" s="83" t="s">
        <v>4556</v>
      </c>
      <c r="F1020" s="83" t="s">
        <v>4557</v>
      </c>
      <c r="G1020" s="114">
        <v>650</v>
      </c>
      <c r="H1020" s="85">
        <v>-21.38</v>
      </c>
      <c r="I1020" s="115">
        <f t="shared" si="32"/>
        <v>3.2892307692307693E-2</v>
      </c>
      <c r="J1020" s="87">
        <f t="shared" si="33"/>
        <v>628.62</v>
      </c>
      <c r="K1020" s="87"/>
      <c r="L1020" s="87" t="s">
        <v>4672</v>
      </c>
      <c r="M1020" s="87"/>
      <c r="N1020" s="521"/>
      <c r="O1020" s="521">
        <f>+Tabla4[[#This Row],[PAGO NO EURO]]+Tabla4[[#This Row],[CARGO NO EURO]]</f>
        <v>0</v>
      </c>
      <c r="P1020" s="521"/>
      <c r="Q1020" s="88"/>
      <c r="R1020" s="689">
        <f>+_xlfn.XLOOKUP(Tabla4[[#This Row],[ID CLIENTE]],'RESUMEN CLIENTES'!D:D,'RESUMEN CLIENTES'!G:G)</f>
        <v>46049</v>
      </c>
      <c r="S1020" s="88" t="str">
        <f>+_xlfn.XLOOKUP(Tabla4[[#This Row],[ID CLIENTE]],'RESUMEN CLIENTES'!D:D,'RESUMEN CLIENTES'!AA:AA)</f>
        <v>-</v>
      </c>
      <c r="T1020" s="680" t="str">
        <f>+_xlfn.XLOOKUP(Tabla4[[#This Row],[ID CLIENTE]],'RESUMEN CLIENTES'!D:D,'RESUMEN CLIENTES'!C:C)</f>
        <v>Perú</v>
      </c>
    </row>
    <row r="1021" spans="1:21" ht="16">
      <c r="A1021" s="305">
        <v>46070</v>
      </c>
      <c r="B1021" s="83" t="str">
        <f>+_xlfn.XLOOKUP(Tabla4[[#This Row],[ID CLIENTE]],'RESUMEN CLIENTES'!D:D,'RESUMEN CLIENTES'!A:A)</f>
        <v>Nancy Gisselle Molinari Cheme</v>
      </c>
      <c r="C1021" s="215" t="s">
        <v>2212</v>
      </c>
      <c r="D1021" s="83" t="s">
        <v>247</v>
      </c>
      <c r="E1021" s="83" t="s">
        <v>4575</v>
      </c>
      <c r="F1021" s="83" t="s">
        <v>4576</v>
      </c>
      <c r="G1021" s="114">
        <v>1000</v>
      </c>
      <c r="H1021" s="85">
        <v>-32.75</v>
      </c>
      <c r="I1021" s="115">
        <f t="shared" si="32"/>
        <v>3.2750000000000001E-2</v>
      </c>
      <c r="J1021" s="87">
        <f t="shared" si="33"/>
        <v>967.25</v>
      </c>
      <c r="K1021" s="87"/>
      <c r="L1021" s="87" t="s">
        <v>4672</v>
      </c>
      <c r="M1021" s="87"/>
      <c r="N1021" s="521"/>
      <c r="O1021" s="523">
        <f>+Tabla4[[#This Row],[PAGO NO EURO]]+Tabla4[[#This Row],[CARGO NO EURO]]</f>
        <v>0</v>
      </c>
      <c r="P1021" s="521"/>
      <c r="Q1021" s="88"/>
      <c r="R1021" s="689">
        <f>+_xlfn.XLOOKUP(Tabla4[[#This Row],[ID CLIENTE]],'RESUMEN CLIENTES'!D:D,'RESUMEN CLIENTES'!G:G)</f>
        <v>45794</v>
      </c>
      <c r="S1021" s="88" t="str">
        <f>+_xlfn.XLOOKUP(Tabla4[[#This Row],[ID CLIENTE]],'RESUMEN CLIENTES'!D:D,'RESUMEN CLIENTES'!AA:AA)</f>
        <v>B1.1</v>
      </c>
      <c r="T1021" s="680" t="str">
        <f>+_xlfn.XLOOKUP(Tabla4[[#This Row],[ID CLIENTE]],'RESUMEN CLIENTES'!D:D,'RESUMEN CLIENTES'!C:C)</f>
        <v>Perú</v>
      </c>
    </row>
    <row r="1022" spans="1:21" ht="16">
      <c r="A1022" s="312">
        <v>46070</v>
      </c>
      <c r="B1022" s="83" t="str">
        <f>+_xlfn.XLOOKUP(Tabla4[[#This Row],[ID CLIENTE]],'RESUMEN CLIENTES'!D:D,'RESUMEN CLIENTES'!A:A)</f>
        <v>Jaime Kevin Mendez Arias</v>
      </c>
      <c r="C1022" s="215" t="s">
        <v>2507</v>
      </c>
      <c r="D1022" s="83" t="s">
        <v>1936</v>
      </c>
      <c r="E1022" s="83" t="s">
        <v>4629</v>
      </c>
      <c r="F1022" s="83" t="s">
        <v>4630</v>
      </c>
      <c r="G1022" s="84">
        <v>1000</v>
      </c>
      <c r="H1022" s="85">
        <v>-32.75</v>
      </c>
      <c r="I1022" s="86">
        <f t="shared" si="32"/>
        <v>3.2750000000000001E-2</v>
      </c>
      <c r="J1022" s="87">
        <f t="shared" si="33"/>
        <v>967.25</v>
      </c>
      <c r="K1022" s="87"/>
      <c r="L1022" s="87" t="s">
        <v>4672</v>
      </c>
      <c r="M1022" s="87"/>
      <c r="N1022" s="521"/>
      <c r="O1022" s="521">
        <f>+Tabla4[[#This Row],[PAGO NO EURO]]+Tabla4[[#This Row],[CARGO NO EURO]]</f>
        <v>0</v>
      </c>
      <c r="P1022" s="521"/>
      <c r="Q1022" s="88"/>
      <c r="R1022" s="692">
        <f>+_xlfn.XLOOKUP(Tabla4[[#This Row],[ID CLIENTE]],'RESUMEN CLIENTES'!D:D,'RESUMEN CLIENTES'!G:G)</f>
        <v>46039</v>
      </c>
      <c r="S1022" s="99" t="str">
        <f>+_xlfn.XLOOKUP(Tabla4[[#This Row],[ID CLIENTE]],'RESUMEN CLIENTES'!D:D,'RESUMEN CLIENTES'!AA:AA)</f>
        <v>B2.1</v>
      </c>
      <c r="T1022" s="680" t="str">
        <f>+_xlfn.XLOOKUP(Tabla4[[#This Row],[ID CLIENTE]],'RESUMEN CLIENTES'!D:D,'RESUMEN CLIENTES'!C:C)</f>
        <v>México</v>
      </c>
    </row>
    <row r="1023" spans="1:21" ht="16">
      <c r="A1023" s="312">
        <v>46070</v>
      </c>
      <c r="B1023" s="83" t="str">
        <f>+_xlfn.XLOOKUP(Tabla4[[#This Row],[ID CLIENTE]],'RESUMEN CLIENTES'!D:D,'RESUMEN CLIENTES'!A:A)</f>
        <v>Jesica Daniela Paredes Mendoza</v>
      </c>
      <c r="C1023" s="215" t="s">
        <v>2530</v>
      </c>
      <c r="D1023" s="83" t="s">
        <v>2046</v>
      </c>
      <c r="E1023" s="83" t="s">
        <v>4636</v>
      </c>
      <c r="F1023" s="83" t="s">
        <v>4637</v>
      </c>
      <c r="G1023" s="84">
        <v>200</v>
      </c>
      <c r="H1023" s="85">
        <v>-6.75</v>
      </c>
      <c r="I1023" s="86">
        <f t="shared" si="32"/>
        <v>3.3750000000000002E-2</v>
      </c>
      <c r="J1023" s="87">
        <f t="shared" si="33"/>
        <v>193.25</v>
      </c>
      <c r="K1023" s="87"/>
      <c r="L1023" s="87" t="s">
        <v>4672</v>
      </c>
      <c r="M1023" s="87"/>
      <c r="N1023" s="521"/>
      <c r="O1023" s="523">
        <f>+Tabla4[[#This Row],[PAGO NO EURO]]+Tabla4[[#This Row],[CARGO NO EURO]]</f>
        <v>0</v>
      </c>
      <c r="P1023" s="521"/>
      <c r="Q1023" s="88"/>
      <c r="R1023" s="692">
        <f>+_xlfn.XLOOKUP(Tabla4[[#This Row],[ID CLIENTE]],'RESUMEN CLIENTES'!D:D,'RESUMEN CLIENTES'!G:G)</f>
        <v>46052</v>
      </c>
      <c r="S1023" s="99" t="str">
        <f>+_xlfn.XLOOKUP(Tabla4[[#This Row],[ID CLIENTE]],'RESUMEN CLIENTES'!D:D,'RESUMEN CLIENTES'!AA:AA)</f>
        <v>A1.1</v>
      </c>
      <c r="T1023" s="680" t="str">
        <f>+_xlfn.XLOOKUP(Tabla4[[#This Row],[ID CLIENTE]],'RESUMEN CLIENTES'!D:D,'RESUMEN CLIENTES'!C:C)</f>
        <v>México</v>
      </c>
    </row>
    <row r="1024" spans="1:21" s="9" customFormat="1" ht="16">
      <c r="A1024" s="312">
        <v>46071</v>
      </c>
      <c r="B1024" s="83" t="str">
        <f>+_xlfn.XLOOKUP(Tabla4[[#This Row],[ID CLIENTE]],'RESUMEN CLIENTES'!D:D,'RESUMEN CLIENTES'!A:A)</f>
        <v>Pedro Baltierra Sanchez</v>
      </c>
      <c r="C1024" s="215" t="s">
        <v>2525</v>
      </c>
      <c r="D1024" s="83" t="s">
        <v>2526</v>
      </c>
      <c r="E1024" s="83" t="s">
        <v>4640</v>
      </c>
      <c r="F1024" s="83" t="s">
        <v>4641</v>
      </c>
      <c r="G1024" s="84">
        <v>250</v>
      </c>
      <c r="H1024" s="85">
        <v>-8.3800000000000008</v>
      </c>
      <c r="I1024" s="86">
        <f t="shared" si="32"/>
        <v>3.3520000000000001E-2</v>
      </c>
      <c r="J1024" s="87">
        <f t="shared" si="33"/>
        <v>241.62</v>
      </c>
      <c r="K1024" s="87"/>
      <c r="L1024" s="87" t="s">
        <v>4672</v>
      </c>
      <c r="M1024" s="87"/>
      <c r="N1024" s="521"/>
      <c r="O1024" s="521">
        <f>+Tabla4[[#This Row],[PAGO NO EURO]]+Tabla4[[#This Row],[CARGO NO EURO]]</f>
        <v>0</v>
      </c>
      <c r="P1024" s="521"/>
      <c r="Q1024" s="88"/>
      <c r="R1024" s="692">
        <f>+_xlfn.XLOOKUP(Tabla4[[#This Row],[ID CLIENTE]],'RESUMEN CLIENTES'!D:D,'RESUMEN CLIENTES'!G:G)</f>
        <v>46050</v>
      </c>
      <c r="S1024" s="99" t="str">
        <f>+_xlfn.XLOOKUP(Tabla4[[#This Row],[ID CLIENTE]],'RESUMEN CLIENTES'!D:D,'RESUMEN CLIENTES'!AA:AA)</f>
        <v>A1.1</v>
      </c>
      <c r="T1024" s="680" t="str">
        <f>+_xlfn.XLOOKUP(Tabla4[[#This Row],[ID CLIENTE]],'RESUMEN CLIENTES'!D:D,'RESUMEN CLIENTES'!C:C)</f>
        <v>México</v>
      </c>
      <c r="U1024" s="528"/>
    </row>
    <row r="1025" spans="1:20" ht="16">
      <c r="A1025" s="312">
        <v>46071</v>
      </c>
      <c r="B1025" s="83" t="str">
        <f>+_xlfn.XLOOKUP(Tabla4[[#This Row],[ID CLIENTE]],'RESUMEN CLIENTES'!D:D,'RESUMEN CLIENTES'!A:A)</f>
        <v>Fabiola Del río González</v>
      </c>
      <c r="C1025" s="215" t="s">
        <v>2517</v>
      </c>
      <c r="D1025" s="83" t="s">
        <v>2518</v>
      </c>
      <c r="E1025" s="83" t="s">
        <v>4642</v>
      </c>
      <c r="F1025" s="83" t="s">
        <v>4643</v>
      </c>
      <c r="G1025" s="84">
        <v>250</v>
      </c>
      <c r="H1025" s="85">
        <v>-8.3800000000000008</v>
      </c>
      <c r="I1025" s="86">
        <f t="shared" si="32"/>
        <v>3.3520000000000001E-2</v>
      </c>
      <c r="J1025" s="87">
        <f t="shared" si="33"/>
        <v>241.62</v>
      </c>
      <c r="K1025" s="87"/>
      <c r="L1025" s="87" t="s">
        <v>4672</v>
      </c>
      <c r="M1025" s="87"/>
      <c r="N1025" s="521"/>
      <c r="O1025" s="523">
        <f>+Tabla4[[#This Row],[PAGO NO EURO]]+Tabla4[[#This Row],[CARGO NO EURO]]</f>
        <v>0</v>
      </c>
      <c r="P1025" s="521"/>
      <c r="Q1025" s="88"/>
      <c r="R1025" s="692">
        <f>+_xlfn.XLOOKUP(Tabla4[[#This Row],[ID CLIENTE]],'RESUMEN CLIENTES'!D:D,'RESUMEN CLIENTES'!G:G)</f>
        <v>46048</v>
      </c>
      <c r="S1025" s="99" t="str">
        <f>+_xlfn.XLOOKUP(Tabla4[[#This Row],[ID CLIENTE]],'RESUMEN CLIENTES'!D:D,'RESUMEN CLIENTES'!AA:AA)</f>
        <v>A1.1</v>
      </c>
      <c r="T1025" s="680" t="str">
        <f>+_xlfn.XLOOKUP(Tabla4[[#This Row],[ID CLIENTE]],'RESUMEN CLIENTES'!D:D,'RESUMEN CLIENTES'!C:C)</f>
        <v>México</v>
      </c>
    </row>
    <row r="1026" spans="1:20" ht="16">
      <c r="A1026" s="305">
        <v>46072</v>
      </c>
      <c r="B1026" s="83" t="str">
        <f>+_xlfn.XLOOKUP(Tabla4[[#This Row],[ID CLIENTE]],'RESUMEN CLIENTES'!D:D,'RESUMEN CLIENTES'!A:A)</f>
        <v>Edipris Flores</v>
      </c>
      <c r="C1026" s="215" t="s">
        <v>4659</v>
      </c>
      <c r="D1026" s="83" t="s">
        <v>4660</v>
      </c>
      <c r="E1026" s="83" t="s">
        <v>4661</v>
      </c>
      <c r="F1026" s="83" t="s">
        <v>4662</v>
      </c>
      <c r="G1026" s="114">
        <v>250</v>
      </c>
      <c r="H1026" s="85">
        <v>-8.3800000000000008</v>
      </c>
      <c r="I1026" s="115">
        <f t="shared" si="32"/>
        <v>3.3520000000000001E-2</v>
      </c>
      <c r="J1026" s="87">
        <f t="shared" si="33"/>
        <v>241.62</v>
      </c>
      <c r="K1026" s="87"/>
      <c r="L1026" s="87" t="s">
        <v>4672</v>
      </c>
      <c r="M1026" s="87"/>
      <c r="N1026" s="521"/>
      <c r="O1026" s="521">
        <f>+Tabla4[[#This Row],[PAGO NO EURO]]+Tabla4[[#This Row],[CARGO NO EURO]]</f>
        <v>0</v>
      </c>
      <c r="P1026" s="521"/>
      <c r="Q1026" s="88"/>
      <c r="R1026" s="689">
        <f>+_xlfn.XLOOKUP(Tabla4[[#This Row],[ID CLIENTE]],'RESUMEN CLIENTES'!D:D,'RESUMEN CLIENTES'!G:G)</f>
        <v>46072</v>
      </c>
      <c r="S1026" s="88" t="str">
        <f>+_xlfn.XLOOKUP(Tabla4[[#This Row],[ID CLIENTE]],'RESUMEN CLIENTES'!D:D,'RESUMEN CLIENTES'!AA:AA)</f>
        <v>A1.1</v>
      </c>
      <c r="T1026" s="680" t="str">
        <f>+_xlfn.XLOOKUP(Tabla4[[#This Row],[ID CLIENTE]],'RESUMEN CLIENTES'!D:D,'RESUMEN CLIENTES'!C:C)</f>
        <v>Chile</v>
      </c>
    </row>
    <row r="1027" spans="1:20" ht="16">
      <c r="A1027" s="305">
        <v>46072</v>
      </c>
      <c r="B1027" s="83" t="str">
        <f>+_xlfn.XLOOKUP(Tabla4[[#This Row],[ID CLIENTE]],'RESUMEN CLIENTES'!D:D,'RESUMEN CLIENTES'!A:A)</f>
        <v>Edipris Flores</v>
      </c>
      <c r="C1027" s="215" t="s">
        <v>4659</v>
      </c>
      <c r="D1027" s="83" t="s">
        <v>4660</v>
      </c>
      <c r="E1027" s="83" t="s">
        <v>4663</v>
      </c>
      <c r="F1027" s="83" t="s">
        <v>4664</v>
      </c>
      <c r="G1027" s="114">
        <v>750</v>
      </c>
      <c r="H1027" s="85">
        <v>-24.63</v>
      </c>
      <c r="I1027" s="115">
        <f t="shared" si="32"/>
        <v>3.2840000000000001E-2</v>
      </c>
      <c r="J1027" s="87">
        <f t="shared" si="33"/>
        <v>725.37</v>
      </c>
      <c r="K1027" s="87"/>
      <c r="L1027" s="87" t="s">
        <v>4672</v>
      </c>
      <c r="M1027" s="87"/>
      <c r="N1027" s="521"/>
      <c r="O1027" s="523">
        <f>+Tabla4[[#This Row],[PAGO NO EURO]]+Tabla4[[#This Row],[CARGO NO EURO]]</f>
        <v>0</v>
      </c>
      <c r="P1027" s="521"/>
      <c r="Q1027" s="88"/>
      <c r="R1027" s="689">
        <f>+_xlfn.XLOOKUP(Tabla4[[#This Row],[ID CLIENTE]],'RESUMEN CLIENTES'!D:D,'RESUMEN CLIENTES'!G:G)</f>
        <v>46072</v>
      </c>
      <c r="S1027" s="88" t="str">
        <f>+_xlfn.XLOOKUP(Tabla4[[#This Row],[ID CLIENTE]],'RESUMEN CLIENTES'!D:D,'RESUMEN CLIENTES'!AA:AA)</f>
        <v>A1.1</v>
      </c>
      <c r="T1027" s="680" t="str">
        <f>+_xlfn.XLOOKUP(Tabla4[[#This Row],[ID CLIENTE]],'RESUMEN CLIENTES'!D:D,'RESUMEN CLIENTES'!C:C)</f>
        <v>Chile</v>
      </c>
    </row>
    <row r="1028" spans="1:20" ht="16">
      <c r="A1028" s="305">
        <v>46073</v>
      </c>
      <c r="B1028" s="529" t="str">
        <f>+_xlfn.XLOOKUP(Tabla4[[#This Row],[ID CLIENTE]],'RESUMEN CLIENTES'!D:D,'RESUMEN CLIENTES'!A:A)</f>
        <v>Fernanda Castro</v>
      </c>
      <c r="C1028" s="215" t="s">
        <v>2218</v>
      </c>
      <c r="D1028" s="83" t="s">
        <v>250</v>
      </c>
      <c r="E1028" s="83" t="s">
        <v>4644</v>
      </c>
      <c r="F1028" s="83" t="s">
        <v>4645</v>
      </c>
      <c r="G1028" s="114">
        <v>1000</v>
      </c>
      <c r="H1028" s="85">
        <v>-32.75</v>
      </c>
      <c r="I1028" s="115">
        <f t="shared" si="32"/>
        <v>3.2750000000000001E-2</v>
      </c>
      <c r="J1028" s="87">
        <f t="shared" si="33"/>
        <v>967.25</v>
      </c>
      <c r="K1028" s="87"/>
      <c r="L1028" s="87"/>
      <c r="M1028" s="87"/>
      <c r="N1028" s="90"/>
      <c r="O1028" s="530">
        <f>+Tabla4[[#This Row],[PAGO NO EURO]]+Tabla4[[#This Row],[CARGO NO EURO]]</f>
        <v>0</v>
      </c>
      <c r="P1028" s="90"/>
      <c r="Q1028" s="88"/>
      <c r="R1028" s="689">
        <f>+_xlfn.XLOOKUP(Tabla4[[#This Row],[ID CLIENTE]],'RESUMEN CLIENTES'!D:D,'RESUMEN CLIENTES'!G:G)</f>
        <v>45803</v>
      </c>
      <c r="S1028" s="88" t="str">
        <f>+_xlfn.XLOOKUP(Tabla4[[#This Row],[ID CLIENTE]],'RESUMEN CLIENTES'!D:D,'RESUMEN CLIENTES'!AA:AA)</f>
        <v>A2.1</v>
      </c>
      <c r="T1028" s="680" t="str">
        <f>+_xlfn.XLOOKUP(Tabla4[[#This Row],[ID CLIENTE]],'RESUMEN CLIENTES'!D:D,'RESUMEN CLIENTES'!C:C)</f>
        <v>Ecuador</v>
      </c>
    </row>
    <row r="1029" spans="1:20" ht="16">
      <c r="A1029" s="305">
        <v>46073</v>
      </c>
      <c r="B1029" s="529" t="str">
        <f>+_xlfn.XLOOKUP(Tabla4[[#This Row],[ID CLIENTE]],'RESUMEN CLIENTES'!D:D,'RESUMEN CLIENTES'!A:A)</f>
        <v>Raúl Ernesto Martínez Orantes</v>
      </c>
      <c r="C1029" s="215" t="s">
        <v>2422</v>
      </c>
      <c r="D1029" s="83" t="s">
        <v>994</v>
      </c>
      <c r="E1029" s="83" t="s">
        <v>4646</v>
      </c>
      <c r="F1029" s="83" t="s">
        <v>4647</v>
      </c>
      <c r="G1029" s="114">
        <v>850</v>
      </c>
      <c r="H1029" s="85">
        <v>-27.88</v>
      </c>
      <c r="I1029" s="115">
        <f t="shared" si="32"/>
        <v>3.2799999999999996E-2</v>
      </c>
      <c r="J1029" s="87">
        <f t="shared" si="33"/>
        <v>822.12</v>
      </c>
      <c r="K1029" s="87"/>
      <c r="L1029" s="87"/>
      <c r="M1029" s="87"/>
      <c r="N1029" s="90"/>
      <c r="O1029" s="530">
        <f>+Tabla4[[#This Row],[PAGO NO EURO]]+Tabla4[[#This Row],[CARGO NO EURO]]</f>
        <v>0</v>
      </c>
      <c r="P1029" s="90"/>
      <c r="Q1029" s="88"/>
      <c r="R1029" s="689">
        <f>+_xlfn.XLOOKUP(Tabla4[[#This Row],[ID CLIENTE]],'RESUMEN CLIENTES'!D:D,'RESUMEN CLIENTES'!G:G)</f>
        <v>45916</v>
      </c>
      <c r="S1029" s="88" t="str">
        <f>+_xlfn.XLOOKUP(Tabla4[[#This Row],[ID CLIENTE]],'RESUMEN CLIENTES'!D:D,'RESUMEN CLIENTES'!AA:AA)</f>
        <v>A1.1</v>
      </c>
      <c r="T1029" s="680" t="str">
        <f>+_xlfn.XLOOKUP(Tabla4[[#This Row],[ID CLIENTE]],'RESUMEN CLIENTES'!D:D,'RESUMEN CLIENTES'!C:C)</f>
        <v>El Salvador</v>
      </c>
    </row>
    <row r="1030" spans="1:20" ht="16">
      <c r="A1030" s="305">
        <v>46073</v>
      </c>
      <c r="B1030" s="529" t="str">
        <f>+_xlfn.XLOOKUP(Tabla4[[#This Row],[ID CLIENTE]],'RESUMEN CLIENTES'!D:D,'RESUMEN CLIENTES'!A:A)</f>
        <v>Paulina Alejandra Silva Gómez</v>
      </c>
      <c r="C1030" s="215" t="s">
        <v>2499</v>
      </c>
      <c r="D1030" s="83" t="s">
        <v>1881</v>
      </c>
      <c r="E1030" s="83" t="s">
        <v>4683</v>
      </c>
      <c r="F1030" s="83" t="s">
        <v>4684</v>
      </c>
      <c r="G1030" s="114">
        <v>1000</v>
      </c>
      <c r="H1030" s="85">
        <v>-52.75</v>
      </c>
      <c r="I1030" s="115">
        <f t="shared" si="32"/>
        <v>5.2749999999999998E-2</v>
      </c>
      <c r="J1030" s="87">
        <f t="shared" si="33"/>
        <v>947.25</v>
      </c>
      <c r="K1030" s="87"/>
      <c r="L1030" s="87"/>
      <c r="M1030" s="87"/>
      <c r="N1030" s="90"/>
      <c r="O1030" s="530">
        <f>+Tabla4[[#This Row],[PAGO NO EURO]]+Tabla4[[#This Row],[CARGO NO EURO]]</f>
        <v>0</v>
      </c>
      <c r="P1030" s="90"/>
      <c r="Q1030" s="88"/>
      <c r="R1030" s="689">
        <f>+_xlfn.XLOOKUP(Tabla4[[#This Row],[ID CLIENTE]],'RESUMEN CLIENTES'!D:D,'RESUMEN CLIENTES'!G:G)</f>
        <v>46031</v>
      </c>
      <c r="S1030" s="88" t="str">
        <f>+_xlfn.XLOOKUP(Tabla4[[#This Row],[ID CLIENTE]],'RESUMEN CLIENTES'!D:D,'RESUMEN CLIENTES'!AA:AA)</f>
        <v>-</v>
      </c>
      <c r="T1030" s="680" t="str">
        <f>+_xlfn.XLOOKUP(Tabla4[[#This Row],[ID CLIENTE]],'RESUMEN CLIENTES'!D:D,'RESUMEN CLIENTES'!C:C)</f>
        <v>Chile</v>
      </c>
    </row>
    <row r="1031" spans="1:20" ht="16">
      <c r="A1031" s="305">
        <v>46073</v>
      </c>
      <c r="B1031" s="529" t="str">
        <f>+_xlfn.XLOOKUP(Tabla4[[#This Row],[ID CLIENTE]],'RESUMEN CLIENTES'!D:D,'RESUMEN CLIENTES'!A:A)</f>
        <v>Paulina Alejandra Silva Gómez</v>
      </c>
      <c r="C1031" s="215" t="s">
        <v>2499</v>
      </c>
      <c r="D1031" s="83" t="s">
        <v>1881</v>
      </c>
      <c r="E1031" s="83" t="s">
        <v>4685</v>
      </c>
      <c r="F1031" s="83" t="s">
        <v>4686</v>
      </c>
      <c r="G1031" s="114">
        <v>1000</v>
      </c>
      <c r="H1031" s="85">
        <v>-52.75</v>
      </c>
      <c r="I1031" s="115">
        <f t="shared" si="32"/>
        <v>5.2749999999999998E-2</v>
      </c>
      <c r="J1031" s="87">
        <f t="shared" si="33"/>
        <v>947.25</v>
      </c>
      <c r="K1031" s="87"/>
      <c r="L1031" s="87"/>
      <c r="M1031" s="87"/>
      <c r="N1031" s="90"/>
      <c r="O1031" s="530">
        <f>+Tabla4[[#This Row],[PAGO NO EURO]]+Tabla4[[#This Row],[CARGO NO EURO]]</f>
        <v>0</v>
      </c>
      <c r="P1031" s="90"/>
      <c r="Q1031" s="88"/>
      <c r="R1031" s="689">
        <f>+_xlfn.XLOOKUP(Tabla4[[#This Row],[ID CLIENTE]],'RESUMEN CLIENTES'!D:D,'RESUMEN CLIENTES'!G:G)</f>
        <v>46031</v>
      </c>
      <c r="S1031" s="88" t="str">
        <f>+_xlfn.XLOOKUP(Tabla4[[#This Row],[ID CLIENTE]],'RESUMEN CLIENTES'!D:D,'RESUMEN CLIENTES'!AA:AA)</f>
        <v>-</v>
      </c>
      <c r="T1031" s="680" t="str">
        <f>+_xlfn.XLOOKUP(Tabla4[[#This Row],[ID CLIENTE]],'RESUMEN CLIENTES'!D:D,'RESUMEN CLIENTES'!C:C)</f>
        <v>Chile</v>
      </c>
    </row>
    <row r="1032" spans="1:20" ht="16">
      <c r="A1032" s="305">
        <v>46074</v>
      </c>
      <c r="B1032" s="529" t="str">
        <f>+_xlfn.XLOOKUP(Tabla4[[#This Row],[ID CLIENTE]],'RESUMEN CLIENTES'!D:D,'RESUMEN CLIENTES'!A:A)</f>
        <v>Astrid Mariam Enamorado Ortega</v>
      </c>
      <c r="C1032" s="215" t="s">
        <v>2339</v>
      </c>
      <c r="D1032" s="83" t="s">
        <v>574</v>
      </c>
      <c r="E1032" s="83" t="s">
        <v>4625</v>
      </c>
      <c r="F1032" s="83" t="s">
        <v>4626</v>
      </c>
      <c r="G1032" s="114">
        <v>1060</v>
      </c>
      <c r="H1032" s="85">
        <v>-34.700000000000003</v>
      </c>
      <c r="I1032" s="115">
        <f t="shared" si="32"/>
        <v>3.2735849056603775E-2</v>
      </c>
      <c r="J1032" s="87">
        <f t="shared" si="33"/>
        <v>1025.3</v>
      </c>
      <c r="K1032" s="87"/>
      <c r="L1032" s="87"/>
      <c r="M1032" s="87"/>
      <c r="N1032" s="90"/>
      <c r="O1032" s="530">
        <f>+Tabla4[[#This Row],[PAGO NO EURO]]+Tabla4[[#This Row],[CARGO NO EURO]]</f>
        <v>0</v>
      </c>
      <c r="P1032" s="90"/>
      <c r="Q1032" s="88"/>
      <c r="R1032" s="689">
        <f>+_xlfn.XLOOKUP(Tabla4[[#This Row],[ID CLIENTE]],'RESUMEN CLIENTES'!D:D,'RESUMEN CLIENTES'!G:G)</f>
        <v>45869</v>
      </c>
      <c r="S1032" s="88" t="str">
        <f>+_xlfn.XLOOKUP(Tabla4[[#This Row],[ID CLIENTE]],'RESUMEN CLIENTES'!D:D,'RESUMEN CLIENTES'!AA:AA)</f>
        <v>B2.1</v>
      </c>
      <c r="T1032" s="680" t="str">
        <f>+_xlfn.XLOOKUP(Tabla4[[#This Row],[ID CLIENTE]],'RESUMEN CLIENTES'!D:D,'RESUMEN CLIENTES'!C:C)</f>
        <v>Honduras</v>
      </c>
    </row>
    <row r="1033" spans="1:20" ht="16">
      <c r="A1033" s="305">
        <v>46074</v>
      </c>
      <c r="B1033" s="529" t="str">
        <f>+_xlfn.XLOOKUP(Tabla4[[#This Row],[ID CLIENTE]],'RESUMEN CLIENTES'!D:D,'RESUMEN CLIENTES'!A:A)</f>
        <v>Andrea Cristina Estrada Morocho</v>
      </c>
      <c r="C1033" s="215" t="s">
        <v>2267</v>
      </c>
      <c r="D1033" s="83" t="s">
        <v>325</v>
      </c>
      <c r="E1033" s="83" t="s">
        <v>4541</v>
      </c>
      <c r="F1033" s="83" t="s">
        <v>4542</v>
      </c>
      <c r="G1033" s="114">
        <v>500</v>
      </c>
      <c r="H1033" s="85">
        <v>-16.5</v>
      </c>
      <c r="I1033" s="115">
        <f t="shared" si="32"/>
        <v>3.3000000000000002E-2</v>
      </c>
      <c r="J1033" s="87">
        <f t="shared" si="33"/>
        <v>483.5</v>
      </c>
      <c r="K1033" s="87"/>
      <c r="L1033" s="87"/>
      <c r="M1033" s="87"/>
      <c r="N1033" s="90"/>
      <c r="O1033" s="530">
        <f>+Tabla4[[#This Row],[PAGO NO EURO]]+Tabla4[[#This Row],[CARGO NO EURO]]</f>
        <v>0</v>
      </c>
      <c r="P1033" s="90"/>
      <c r="Q1033" s="88"/>
      <c r="R1033" s="689">
        <f>+_xlfn.XLOOKUP(Tabla4[[#This Row],[ID CLIENTE]],'RESUMEN CLIENTES'!D:D,'RESUMEN CLIENTES'!G:G)</f>
        <v>45831</v>
      </c>
      <c r="S1033" s="88" t="str">
        <f>+_xlfn.XLOOKUP(Tabla4[[#This Row],[ID CLIENTE]],'RESUMEN CLIENTES'!D:D,'RESUMEN CLIENTES'!AA:AA)</f>
        <v>A1.1</v>
      </c>
      <c r="T1033" s="680" t="str">
        <f>+_xlfn.XLOOKUP(Tabla4[[#This Row],[ID CLIENTE]],'RESUMEN CLIENTES'!D:D,'RESUMEN CLIENTES'!C:C)</f>
        <v>Ecuador</v>
      </c>
    </row>
    <row r="1034" spans="1:20" ht="16">
      <c r="A1034" s="529">
        <v>46076</v>
      </c>
      <c r="B1034" s="529" t="str">
        <f>+_xlfn.XLOOKUP(Tabla4[[#This Row],[ID CLIENTE]],'RESUMEN CLIENTES'!D:D,'RESUMEN CLIENTES'!A:A)</f>
        <v>Bastian Sofjer Peralta</v>
      </c>
      <c r="C1034" s="215" t="s">
        <v>2172</v>
      </c>
      <c r="D1034" s="83" t="s">
        <v>162</v>
      </c>
      <c r="E1034" s="83" t="s">
        <v>4687</v>
      </c>
      <c r="F1034" s="552" t="s">
        <v>4688</v>
      </c>
      <c r="G1034" s="114">
        <v>900</v>
      </c>
      <c r="H1034" s="85">
        <v>-29.5</v>
      </c>
      <c r="I1034" s="115">
        <f t="shared" si="32"/>
        <v>3.2777777777777781E-2</v>
      </c>
      <c r="J1034" s="87">
        <f t="shared" si="33"/>
        <v>870.5</v>
      </c>
      <c r="K1034" s="550"/>
      <c r="L1034" s="87"/>
      <c r="M1034" s="550"/>
      <c r="N1034" s="530"/>
      <c r="O1034" s="530">
        <f>+Tabla4[[#This Row],[PAGO NO EURO]]+Tabla4[[#This Row],[CARGO NO EURO]]</f>
        <v>0</v>
      </c>
      <c r="P1034" s="530"/>
      <c r="Q1034" s="551"/>
      <c r="R1034" s="698">
        <f>+_xlfn.XLOOKUP(Tabla4[[#This Row],[ID CLIENTE]],'RESUMEN CLIENTES'!D:D,'RESUMEN CLIENTES'!G:G)</f>
        <v>45758</v>
      </c>
      <c r="S1034" s="551" t="str">
        <f>+_xlfn.XLOOKUP(Tabla4[[#This Row],[ID CLIENTE]],'RESUMEN CLIENTES'!D:D,'RESUMEN CLIENTES'!AA:AA)</f>
        <v>A1.1</v>
      </c>
      <c r="T1034" s="686" t="str">
        <f>+_xlfn.XLOOKUP(Tabla4[[#This Row],[ID CLIENTE]],'RESUMEN CLIENTES'!D:D,'RESUMEN CLIENTES'!C:C)</f>
        <v>Chile</v>
      </c>
    </row>
    <row r="1035" spans="1:20" ht="16">
      <c r="A1035" s="529">
        <v>46076</v>
      </c>
      <c r="B1035" s="82" t="str">
        <f>+_xlfn.XLOOKUP(Tabla4[[#This Row],[ID CLIENTE]],'RESUMEN CLIENTES'!D:D,'RESUMEN CLIENTES'!A:A)</f>
        <v>Josué Bernardo Reyes Flores</v>
      </c>
      <c r="C1035" s="215" t="s">
        <v>2505</v>
      </c>
      <c r="D1035" s="83" t="s">
        <v>1931</v>
      </c>
      <c r="E1035" s="83" t="s">
        <v>4648</v>
      </c>
      <c r="F1035" s="83" t="s">
        <v>4649</v>
      </c>
      <c r="G1035" s="114">
        <v>1000</v>
      </c>
      <c r="H1035" s="85">
        <v>-32.75</v>
      </c>
      <c r="I1035" s="115">
        <f t="shared" si="32"/>
        <v>3.2750000000000001E-2</v>
      </c>
      <c r="J1035" s="87">
        <f t="shared" si="33"/>
        <v>967.25</v>
      </c>
      <c r="K1035" s="87"/>
      <c r="L1035" s="87"/>
      <c r="M1035" s="87"/>
      <c r="N1035" s="90"/>
      <c r="O1035" s="90">
        <f>+Tabla4[[#This Row],[PAGO NO EURO]]+Tabla4[[#This Row],[CARGO NO EURO]]</f>
        <v>0</v>
      </c>
      <c r="P1035" s="90"/>
      <c r="Q1035" s="88"/>
      <c r="R1035" s="689">
        <f>+_xlfn.XLOOKUP(Tabla4[[#This Row],[ID CLIENTE]],'RESUMEN CLIENTES'!D:D,'RESUMEN CLIENTES'!G:G)</f>
        <v>46039</v>
      </c>
      <c r="S1035" s="88" t="str">
        <f>+_xlfn.XLOOKUP(Tabla4[[#This Row],[ID CLIENTE]],'RESUMEN CLIENTES'!D:D,'RESUMEN CLIENTES'!AA:AA)</f>
        <v>C1.1</v>
      </c>
      <c r="T1035" s="680" t="str">
        <f>+_xlfn.XLOOKUP(Tabla4[[#This Row],[ID CLIENTE]],'RESUMEN CLIENTES'!D:D,'RESUMEN CLIENTES'!C:C)</f>
        <v>México</v>
      </c>
    </row>
    <row r="1036" spans="1:20" ht="16">
      <c r="A1036" s="529">
        <v>46077</v>
      </c>
      <c r="B1036" s="82" t="str">
        <f>+_xlfn.XLOOKUP(Tabla4[[#This Row],[ID CLIENTE]],'RESUMEN CLIENTES'!D:D,'RESUMEN CLIENTES'!A:A)</f>
        <v>Julian David Gutierrez Rodriguez</v>
      </c>
      <c r="C1036" s="215" t="s">
        <v>2364</v>
      </c>
      <c r="D1036" s="83" t="s">
        <v>711</v>
      </c>
      <c r="E1036" s="83" t="s">
        <v>4711</v>
      </c>
      <c r="F1036" s="83" t="s">
        <v>4712</v>
      </c>
      <c r="G1036" s="114">
        <v>500</v>
      </c>
      <c r="H1036" s="85">
        <v>-16.5</v>
      </c>
      <c r="I1036" s="115">
        <f t="shared" si="32"/>
        <v>3.3000000000000002E-2</v>
      </c>
      <c r="J1036" s="87">
        <f t="shared" si="33"/>
        <v>483.5</v>
      </c>
      <c r="K1036" s="87"/>
      <c r="L1036" s="87"/>
      <c r="M1036" s="87"/>
      <c r="N1036" s="90"/>
      <c r="O1036" s="90">
        <f>+Tabla4[[#This Row],[PAGO NO EURO]]+Tabla4[[#This Row],[CARGO NO EURO]]</f>
        <v>0</v>
      </c>
      <c r="P1036" s="90"/>
      <c r="Q1036" s="88"/>
      <c r="R1036" s="689">
        <f>+_xlfn.XLOOKUP(Tabla4[[#This Row],[ID CLIENTE]],'RESUMEN CLIENTES'!D:D,'RESUMEN CLIENTES'!G:G)</f>
        <v>45889</v>
      </c>
      <c r="S1036" s="88" t="str">
        <f>+_xlfn.XLOOKUP(Tabla4[[#This Row],[ID CLIENTE]],'RESUMEN CLIENTES'!D:D,'RESUMEN CLIENTES'!AA:AA)</f>
        <v>A1.1</v>
      </c>
      <c r="T1036" s="680" t="str">
        <f>+_xlfn.XLOOKUP(Tabla4[[#This Row],[ID CLIENTE]],'RESUMEN CLIENTES'!D:D,'RESUMEN CLIENTES'!C:C)</f>
        <v>Colombia</v>
      </c>
    </row>
    <row r="1037" spans="1:20" ht="16">
      <c r="A1037" s="529">
        <v>46077</v>
      </c>
      <c r="B1037" s="556" t="str">
        <f>+_xlfn.XLOOKUP(Tabla4[[#This Row],[ID CLIENTE]],'RESUMEN CLIENTES'!D:D,'RESUMEN CLIENTES'!A:A)</f>
        <v>Keidwin Perez</v>
      </c>
      <c r="C1037" s="215" t="s">
        <v>2337</v>
      </c>
      <c r="D1037" s="83" t="s">
        <v>587</v>
      </c>
      <c r="E1037" s="83" t="s">
        <v>4763</v>
      </c>
      <c r="F1037" s="83" t="s">
        <v>4764</v>
      </c>
      <c r="G1037" s="114">
        <v>750</v>
      </c>
      <c r="H1037" s="85">
        <v>-24.63</v>
      </c>
      <c r="I1037" s="115">
        <f t="shared" si="32"/>
        <v>3.2840000000000001E-2</v>
      </c>
      <c r="J1037" s="87">
        <f t="shared" si="33"/>
        <v>725.37</v>
      </c>
      <c r="K1037" s="87"/>
      <c r="L1037" s="87"/>
      <c r="M1037" s="87"/>
      <c r="N1037" s="90"/>
      <c r="O1037" s="557">
        <f>+Tabla4[[#This Row],[PAGO NO EURO]]+Tabla4[[#This Row],[CARGO NO EURO]]</f>
        <v>0</v>
      </c>
      <c r="P1037" s="90"/>
      <c r="Q1037" s="88"/>
      <c r="R1037" s="689">
        <f>+_xlfn.XLOOKUP(Tabla4[[#This Row],[ID CLIENTE]],'RESUMEN CLIENTES'!D:D,'RESUMEN CLIENTES'!G:G)</f>
        <v>45869</v>
      </c>
      <c r="S1037" s="88" t="str">
        <f>+_xlfn.XLOOKUP(Tabla4[[#This Row],[ID CLIENTE]],'RESUMEN CLIENTES'!D:D,'RESUMEN CLIENTES'!AA:AA)</f>
        <v>null</v>
      </c>
      <c r="T1037" s="680" t="str">
        <f>+_xlfn.XLOOKUP(Tabla4[[#This Row],[ID CLIENTE]],'RESUMEN CLIENTES'!D:D,'RESUMEN CLIENTES'!C:C)</f>
        <v>Colombia</v>
      </c>
    </row>
    <row r="1038" spans="1:20" ht="16">
      <c r="A1038" s="529">
        <v>46077</v>
      </c>
      <c r="B1038" s="556" t="str">
        <f>+_xlfn.XLOOKUP(Tabla4[[#This Row],[ID CLIENTE]],'RESUMEN CLIENTES'!D:D,'RESUMEN CLIENTES'!A:A)</f>
        <v>Maryori Elizabeth Ramos Tapia</v>
      </c>
      <c r="C1038" s="215" t="s">
        <v>2225</v>
      </c>
      <c r="D1038" s="83" t="s">
        <v>261</v>
      </c>
      <c r="E1038" s="83" t="s">
        <v>4666</v>
      </c>
      <c r="F1038" s="83" t="s">
        <v>4667</v>
      </c>
      <c r="G1038" s="114">
        <v>1000</v>
      </c>
      <c r="H1038" s="85">
        <v>-32.75</v>
      </c>
      <c r="I1038" s="115">
        <f t="shared" si="32"/>
        <v>3.2750000000000001E-2</v>
      </c>
      <c r="J1038" s="87">
        <f t="shared" si="33"/>
        <v>967.25</v>
      </c>
      <c r="K1038" s="87"/>
      <c r="L1038" s="87"/>
      <c r="M1038" s="87"/>
      <c r="N1038" s="90"/>
      <c r="O1038" s="557">
        <f>+Tabla4[[#This Row],[PAGO NO EURO]]+Tabla4[[#This Row],[CARGO NO EURO]]</f>
        <v>0</v>
      </c>
      <c r="P1038" s="90"/>
      <c r="Q1038" s="88"/>
      <c r="R1038" s="689">
        <f>+_xlfn.XLOOKUP(Tabla4[[#This Row],[ID CLIENTE]],'RESUMEN CLIENTES'!D:D,'RESUMEN CLIENTES'!G:G)</f>
        <v>45807</v>
      </c>
      <c r="S1038" s="88" t="str">
        <f>+_xlfn.XLOOKUP(Tabla4[[#This Row],[ID CLIENTE]],'RESUMEN CLIENTES'!D:D,'RESUMEN CLIENTES'!AA:AA)</f>
        <v>A1.1</v>
      </c>
      <c r="T1038" s="680" t="str">
        <f>+_xlfn.XLOOKUP(Tabla4[[#This Row],[ID CLIENTE]],'RESUMEN CLIENTES'!D:D,'RESUMEN CLIENTES'!C:C)</f>
        <v>Perú</v>
      </c>
    </row>
    <row r="1039" spans="1:20" ht="16">
      <c r="A1039" s="529">
        <v>46077</v>
      </c>
      <c r="B1039" s="556" t="str">
        <f>+_xlfn.XLOOKUP(Tabla4[[#This Row],[ID CLIENTE]],'RESUMEN CLIENTES'!D:D,'RESUMEN CLIENTES'!A:A)</f>
        <v>Mateo Gabriel Martinez Dávila</v>
      </c>
      <c r="C1039" s="215" t="s">
        <v>2193</v>
      </c>
      <c r="D1039" s="83" t="s">
        <v>200</v>
      </c>
      <c r="E1039" s="83" t="s">
        <v>4627</v>
      </c>
      <c r="F1039" s="83" t="s">
        <v>4628</v>
      </c>
      <c r="G1039" s="114">
        <v>500</v>
      </c>
      <c r="H1039" s="85">
        <v>-16.5</v>
      </c>
      <c r="I1039" s="115">
        <f t="shared" si="32"/>
        <v>3.3000000000000002E-2</v>
      </c>
      <c r="J1039" s="87">
        <f t="shared" si="33"/>
        <v>483.5</v>
      </c>
      <c r="K1039" s="87"/>
      <c r="L1039" s="87"/>
      <c r="M1039" s="87"/>
      <c r="N1039" s="90"/>
      <c r="O1039" s="557">
        <f>+Tabla4[[#This Row],[PAGO NO EURO]]+Tabla4[[#This Row],[CARGO NO EURO]]</f>
        <v>0</v>
      </c>
      <c r="P1039" s="90"/>
      <c r="Q1039" s="88"/>
      <c r="R1039" s="689">
        <f>+_xlfn.XLOOKUP(Tabla4[[#This Row],[ID CLIENTE]],'RESUMEN CLIENTES'!D:D,'RESUMEN CLIENTES'!G:G)</f>
        <v>45777</v>
      </c>
      <c r="S1039" s="88" t="str">
        <f>+_xlfn.XLOOKUP(Tabla4[[#This Row],[ID CLIENTE]],'RESUMEN CLIENTES'!D:D,'RESUMEN CLIENTES'!AA:AA)</f>
        <v>A1.1</v>
      </c>
      <c r="T1039" s="680" t="str">
        <f>+_xlfn.XLOOKUP(Tabla4[[#This Row],[ID CLIENTE]],'RESUMEN CLIENTES'!D:D,'RESUMEN CLIENTES'!C:C)</f>
        <v>Bolivia</v>
      </c>
    </row>
    <row r="1040" spans="1:20" ht="16">
      <c r="A1040" s="529">
        <v>46078</v>
      </c>
      <c r="B1040" s="556" t="str">
        <f>+_xlfn.XLOOKUP(Tabla4[[#This Row],[ID CLIENTE]],'RESUMEN CLIENTES'!D:D,'RESUMEN CLIENTES'!A:A)</f>
        <v>Mauricio Ignacio Alcayaga Romo</v>
      </c>
      <c r="C1040" s="215" t="s">
        <v>2251</v>
      </c>
      <c r="D1040" s="83" t="s">
        <v>322</v>
      </c>
      <c r="E1040" s="83" t="s">
        <v>4691</v>
      </c>
      <c r="F1040" s="83" t="s">
        <v>4692</v>
      </c>
      <c r="G1040" s="114">
        <v>1000</v>
      </c>
      <c r="H1040" s="85">
        <v>-32.75</v>
      </c>
      <c r="I1040" s="115">
        <f t="shared" si="32"/>
        <v>3.2750000000000001E-2</v>
      </c>
      <c r="J1040" s="87">
        <f t="shared" si="33"/>
        <v>967.25</v>
      </c>
      <c r="K1040" s="87"/>
      <c r="L1040" s="87"/>
      <c r="M1040" s="87"/>
      <c r="N1040" s="90"/>
      <c r="O1040" s="557">
        <f>+Tabla4[[#This Row],[PAGO NO EURO]]+Tabla4[[#This Row],[CARGO NO EURO]]</f>
        <v>0</v>
      </c>
      <c r="P1040" s="90"/>
      <c r="Q1040" s="88"/>
      <c r="R1040" s="689">
        <f>+_xlfn.XLOOKUP(Tabla4[[#This Row],[ID CLIENTE]],'RESUMEN CLIENTES'!D:D,'RESUMEN CLIENTES'!G:G)</f>
        <v>45819</v>
      </c>
      <c r="S1040" s="88" t="str">
        <f>+_xlfn.XLOOKUP(Tabla4[[#This Row],[ID CLIENTE]],'RESUMEN CLIENTES'!D:D,'RESUMEN CLIENTES'!AA:AA)</f>
        <v>B2.1</v>
      </c>
      <c r="T1040" s="680" t="str">
        <f>+_xlfn.XLOOKUP(Tabla4[[#This Row],[ID CLIENTE]],'RESUMEN CLIENTES'!D:D,'RESUMEN CLIENTES'!C:C)</f>
        <v>Chile</v>
      </c>
    </row>
    <row r="1041" spans="1:20" ht="16">
      <c r="A1041" s="529">
        <v>46078</v>
      </c>
      <c r="B1041" s="82" t="str">
        <f>+_xlfn.XLOOKUP(Tabla4[[#This Row],[ID CLIENTE]],'RESUMEN CLIENTES'!D:D,'RESUMEN CLIENTES'!A:A)</f>
        <v>Carla Elena Patínez Rondón</v>
      </c>
      <c r="C1041" s="215" t="s">
        <v>4767</v>
      </c>
      <c r="D1041" s="83" t="s">
        <v>4768</v>
      </c>
      <c r="E1041" s="83" t="s">
        <v>4769</v>
      </c>
      <c r="F1041" s="83" t="s">
        <v>4770</v>
      </c>
      <c r="G1041" s="114">
        <v>250</v>
      </c>
      <c r="H1041" s="85">
        <v>-8.3800000000000008</v>
      </c>
      <c r="I1041" s="115">
        <f t="shared" si="32"/>
        <v>3.3520000000000001E-2</v>
      </c>
      <c r="J1041" s="87">
        <f t="shared" si="33"/>
        <v>241.62</v>
      </c>
      <c r="K1041" s="87"/>
      <c r="L1041" s="87"/>
      <c r="M1041" s="87"/>
      <c r="N1041" s="90"/>
      <c r="O1041" s="90">
        <f>+Tabla4[[#This Row],[PAGO NO EURO]]+Tabla4[[#This Row],[CARGO NO EURO]]</f>
        <v>0</v>
      </c>
      <c r="P1041" s="90"/>
      <c r="Q1041" s="88"/>
      <c r="R1041" s="689">
        <f>+_xlfn.XLOOKUP(Tabla4[[#This Row],[ID CLIENTE]],'RESUMEN CLIENTES'!D:D,'RESUMEN CLIENTES'!G:G)</f>
        <v>46078</v>
      </c>
      <c r="S1041" s="88" t="str">
        <f>+_xlfn.XLOOKUP(Tabla4[[#This Row],[ID CLIENTE]],'RESUMEN CLIENTES'!D:D,'RESUMEN CLIENTES'!AA:AA)</f>
        <v>A2.1</v>
      </c>
      <c r="T1041" s="680" t="str">
        <f>+_xlfn.XLOOKUP(Tabla4[[#This Row],[ID CLIENTE]],'RESUMEN CLIENTES'!D:D,'RESUMEN CLIENTES'!C:C)</f>
        <v>Venezuela</v>
      </c>
    </row>
    <row r="1042" spans="1:20" ht="16">
      <c r="A1042" s="529">
        <v>46078</v>
      </c>
      <c r="B1042" s="82" t="str">
        <f>+_xlfn.XLOOKUP(Tabla4[[#This Row],[ID CLIENTE]],'RESUMEN CLIENTES'!D:D,'RESUMEN CLIENTES'!A:A)</f>
        <v>Jorge Andres Galgani Muñoz</v>
      </c>
      <c r="C1042" s="215" t="s">
        <v>2465</v>
      </c>
      <c r="D1042" s="83" t="s">
        <v>1437</v>
      </c>
      <c r="E1042" s="83" t="s">
        <v>4697</v>
      </c>
      <c r="F1042" s="83" t="s">
        <v>4698</v>
      </c>
      <c r="G1042" s="114">
        <v>850</v>
      </c>
      <c r="H1042" s="85">
        <v>-27.88</v>
      </c>
      <c r="I1042" s="115">
        <f t="shared" si="32"/>
        <v>3.2799999999999996E-2</v>
      </c>
      <c r="J1042" s="87">
        <f t="shared" si="33"/>
        <v>822.12</v>
      </c>
      <c r="K1042" s="87"/>
      <c r="L1042" s="87"/>
      <c r="M1042" s="87"/>
      <c r="N1042" s="90"/>
      <c r="O1042" s="90">
        <f>+Tabla4[[#This Row],[PAGO NO EURO]]+Tabla4[[#This Row],[CARGO NO EURO]]</f>
        <v>0</v>
      </c>
      <c r="P1042" s="90"/>
      <c r="Q1042" s="88"/>
      <c r="R1042" s="689">
        <f>+_xlfn.XLOOKUP(Tabla4[[#This Row],[ID CLIENTE]],'RESUMEN CLIENTES'!D:D,'RESUMEN CLIENTES'!G:G)</f>
        <v>45982</v>
      </c>
      <c r="S1042" s="88" t="str">
        <f>+_xlfn.XLOOKUP(Tabla4[[#This Row],[ID CLIENTE]],'RESUMEN CLIENTES'!D:D,'RESUMEN CLIENTES'!AA:AA)</f>
        <v>A1.1</v>
      </c>
      <c r="T1042" s="680" t="str">
        <f>+_xlfn.XLOOKUP(Tabla4[[#This Row],[ID CLIENTE]],'RESUMEN CLIENTES'!D:D,'RESUMEN CLIENTES'!C:C)</f>
        <v>Chile</v>
      </c>
    </row>
    <row r="1043" spans="1:20" ht="16">
      <c r="A1043" s="529">
        <v>46078</v>
      </c>
      <c r="B1043" s="82" t="str">
        <f>+_xlfn.XLOOKUP(Tabla4[[#This Row],[ID CLIENTE]],'RESUMEN CLIENTES'!D:D,'RESUMEN CLIENTES'!A:A)</f>
        <v>Jorge Augusto Cámbara Vargas</v>
      </c>
      <c r="C1043" s="215" t="s">
        <v>2261</v>
      </c>
      <c r="D1043" s="83" t="s">
        <v>333</v>
      </c>
      <c r="E1043" s="83" t="s">
        <v>4689</v>
      </c>
      <c r="F1043" s="83" t="s">
        <v>4690</v>
      </c>
      <c r="G1043" s="114">
        <v>2750</v>
      </c>
      <c r="H1043" s="85">
        <v>-89.63</v>
      </c>
      <c r="I1043" s="115">
        <f t="shared" si="32"/>
        <v>3.2592727272727273E-2</v>
      </c>
      <c r="J1043" s="87">
        <f t="shared" si="33"/>
        <v>2660.37</v>
      </c>
      <c r="K1043" s="87"/>
      <c r="L1043" s="87"/>
      <c r="M1043" s="87"/>
      <c r="N1043" s="90"/>
      <c r="O1043" s="90">
        <f>+Tabla4[[#This Row],[PAGO NO EURO]]+Tabla4[[#This Row],[CARGO NO EURO]]</f>
        <v>0</v>
      </c>
      <c r="P1043" s="90"/>
      <c r="Q1043" s="88"/>
      <c r="R1043" s="689">
        <f>+_xlfn.XLOOKUP(Tabla4[[#This Row],[ID CLIENTE]],'RESUMEN CLIENTES'!D:D,'RESUMEN CLIENTES'!G:G)</f>
        <v>45821</v>
      </c>
      <c r="S1043" s="88" t="str">
        <f>+_xlfn.XLOOKUP(Tabla4[[#This Row],[ID CLIENTE]],'RESUMEN CLIENTES'!D:D,'RESUMEN CLIENTES'!AA:AA)</f>
        <v>B1.1</v>
      </c>
      <c r="T1043" s="680" t="str">
        <f>+_xlfn.XLOOKUP(Tabla4[[#This Row],[ID CLIENTE]],'RESUMEN CLIENTES'!D:D,'RESUMEN CLIENTES'!C:C)</f>
        <v>Guatemala</v>
      </c>
    </row>
    <row r="1044" spans="1:20" ht="16">
      <c r="A1044" s="529">
        <v>46078</v>
      </c>
      <c r="B1044" s="82" t="str">
        <f>+_xlfn.XLOOKUP(Tabla4[[#This Row],[ID CLIENTE]],'RESUMEN CLIENTES'!D:D,'RESUMEN CLIENTES'!A:A)</f>
        <v>Nadya Sofía García Carrasco</v>
      </c>
      <c r="C1044" s="215" t="s">
        <v>2485</v>
      </c>
      <c r="D1044" s="83" t="s">
        <v>1658</v>
      </c>
      <c r="E1044" s="83" t="s">
        <v>4701</v>
      </c>
      <c r="F1044" s="83" t="s">
        <v>4702</v>
      </c>
      <c r="G1044" s="114">
        <v>1000</v>
      </c>
      <c r="H1044" s="85">
        <v>-32.75</v>
      </c>
      <c r="I1044" s="115">
        <f t="shared" si="32"/>
        <v>3.2750000000000001E-2</v>
      </c>
      <c r="J1044" s="87">
        <f t="shared" si="33"/>
        <v>967.25</v>
      </c>
      <c r="K1044" s="87"/>
      <c r="L1044" s="87"/>
      <c r="M1044" s="87"/>
      <c r="N1044" s="90"/>
      <c r="O1044" s="90">
        <f>+Tabla4[[#This Row],[PAGO NO EURO]]+Tabla4[[#This Row],[CARGO NO EURO]]</f>
        <v>0</v>
      </c>
      <c r="P1044" s="90"/>
      <c r="Q1044" s="88"/>
      <c r="R1044" s="689">
        <f>+_xlfn.XLOOKUP(Tabla4[[#This Row],[ID CLIENTE]],'RESUMEN CLIENTES'!D:D,'RESUMEN CLIENTES'!G:G)</f>
        <v>46004</v>
      </c>
      <c r="S1044" s="88" t="str">
        <f>+_xlfn.XLOOKUP(Tabla4[[#This Row],[ID CLIENTE]],'RESUMEN CLIENTES'!D:D,'RESUMEN CLIENTES'!AA:AA)</f>
        <v>A1.1</v>
      </c>
      <c r="T1044" s="680" t="str">
        <f>+_xlfn.XLOOKUP(Tabla4[[#This Row],[ID CLIENTE]],'RESUMEN CLIENTES'!D:D,'RESUMEN CLIENTES'!C:C)</f>
        <v>Ecuador</v>
      </c>
    </row>
    <row r="1045" spans="1:20" ht="16">
      <c r="A1045" s="529">
        <v>46078</v>
      </c>
      <c r="B1045" s="82" t="str">
        <f>+_xlfn.XLOOKUP(Tabla4[[#This Row],[ID CLIENTE]],'RESUMEN CLIENTES'!D:D,'RESUMEN CLIENTES'!A:A)</f>
        <v>Sofia Martínez Restrepo</v>
      </c>
      <c r="C1045" s="215" t="s">
        <v>2366</v>
      </c>
      <c r="D1045" s="83" t="s">
        <v>716</v>
      </c>
      <c r="E1045" s="83" t="s">
        <v>4703</v>
      </c>
      <c r="F1045" s="83" t="s">
        <v>4704</v>
      </c>
      <c r="G1045" s="114">
        <v>1000</v>
      </c>
      <c r="H1045" s="85">
        <v>-32.75</v>
      </c>
      <c r="I1045" s="115">
        <f t="shared" ref="I1045:I1095" si="34">+IFERROR(-(H1045)/G1045,"")</f>
        <v>3.2750000000000001E-2</v>
      </c>
      <c r="J1045" s="87">
        <f t="shared" ref="J1045:J1095" si="35">+G1045+H1045</f>
        <v>967.25</v>
      </c>
      <c r="K1045" s="87"/>
      <c r="L1045" s="87"/>
      <c r="M1045" s="87"/>
      <c r="N1045" s="90"/>
      <c r="O1045" s="90">
        <f>+Tabla4[[#This Row],[PAGO NO EURO]]+Tabla4[[#This Row],[CARGO NO EURO]]</f>
        <v>0</v>
      </c>
      <c r="P1045" s="90"/>
      <c r="Q1045" s="88"/>
      <c r="R1045" s="689">
        <f>+_xlfn.XLOOKUP(Tabla4[[#This Row],[ID CLIENTE]],'RESUMEN CLIENTES'!D:D,'RESUMEN CLIENTES'!G:G)</f>
        <v>45891</v>
      </c>
      <c r="S1045" s="88" t="str">
        <f>+_xlfn.XLOOKUP(Tabla4[[#This Row],[ID CLIENTE]],'RESUMEN CLIENTES'!D:D,'RESUMEN CLIENTES'!AA:AA)</f>
        <v>A1.1</v>
      </c>
      <c r="T1045" s="680" t="str">
        <f>+_xlfn.XLOOKUP(Tabla4[[#This Row],[ID CLIENTE]],'RESUMEN CLIENTES'!D:D,'RESUMEN CLIENTES'!C:C)</f>
        <v>Colombia</v>
      </c>
    </row>
    <row r="1046" spans="1:20" ht="16">
      <c r="A1046" s="529">
        <v>46078</v>
      </c>
      <c r="B1046" s="82" t="str">
        <f>+_xlfn.XLOOKUP(Tabla4[[#This Row],[ID CLIENTE]],'RESUMEN CLIENTES'!D:D,'RESUMEN CLIENTES'!A:A)</f>
        <v>Julio Nelson Adaros Moraga</v>
      </c>
      <c r="C1046" s="215" t="s">
        <v>2271</v>
      </c>
      <c r="D1046" s="83" t="s">
        <v>372</v>
      </c>
      <c r="E1046" s="83" t="s">
        <v>4709</v>
      </c>
      <c r="F1046" s="83" t="s">
        <v>4710</v>
      </c>
      <c r="G1046" s="114">
        <v>1000</v>
      </c>
      <c r="H1046" s="85">
        <v>-32.75</v>
      </c>
      <c r="I1046" s="115">
        <f t="shared" si="34"/>
        <v>3.2750000000000001E-2</v>
      </c>
      <c r="J1046" s="87">
        <f t="shared" si="35"/>
        <v>967.25</v>
      </c>
      <c r="K1046" s="87"/>
      <c r="L1046" s="87"/>
      <c r="M1046" s="87"/>
      <c r="N1046" s="90"/>
      <c r="O1046" s="90">
        <f>+Tabla4[[#This Row],[PAGO NO EURO]]+Tabla4[[#This Row],[CARGO NO EURO]]</f>
        <v>0</v>
      </c>
      <c r="P1046" s="90"/>
      <c r="Q1046" s="88"/>
      <c r="R1046" s="689">
        <f>+_xlfn.XLOOKUP(Tabla4[[#This Row],[ID CLIENTE]],'RESUMEN CLIENTES'!D:D,'RESUMEN CLIENTES'!G:G)</f>
        <v>45836</v>
      </c>
      <c r="S1046" s="88" t="str">
        <f>+_xlfn.XLOOKUP(Tabla4[[#This Row],[ID CLIENTE]],'RESUMEN CLIENTES'!D:D,'RESUMEN CLIENTES'!AA:AA)</f>
        <v>A1.1</v>
      </c>
      <c r="T1046" s="680" t="str">
        <f>+_xlfn.XLOOKUP(Tabla4[[#This Row],[ID CLIENTE]],'RESUMEN CLIENTES'!D:D,'RESUMEN CLIENTES'!C:C)</f>
        <v>Chile</v>
      </c>
    </row>
    <row r="1047" spans="1:20" ht="16">
      <c r="A1047" s="529">
        <v>46078</v>
      </c>
      <c r="B1047" s="556" t="str">
        <f>+_xlfn.XLOOKUP(Tabla4[[#This Row],[ID CLIENTE]],'RESUMEN CLIENTES'!D:D,'RESUMEN CLIENTES'!A:A)</f>
        <v>Christian Rivera Hernandez</v>
      </c>
      <c r="C1047" s="215" t="s">
        <v>2195</v>
      </c>
      <c r="D1047" s="83" t="s">
        <v>191</v>
      </c>
      <c r="E1047" s="83" t="s">
        <v>4695</v>
      </c>
      <c r="F1047" s="83" t="s">
        <v>4696</v>
      </c>
      <c r="G1047" s="114">
        <v>600</v>
      </c>
      <c r="H1047" s="85">
        <v>-19.75</v>
      </c>
      <c r="I1047" s="115">
        <f t="shared" si="34"/>
        <v>3.2916666666666664E-2</v>
      </c>
      <c r="J1047" s="87">
        <f t="shared" si="35"/>
        <v>580.25</v>
      </c>
      <c r="K1047" s="87"/>
      <c r="L1047" s="87"/>
      <c r="M1047" s="87"/>
      <c r="N1047" s="90"/>
      <c r="O1047" s="557">
        <f>+Tabla4[[#This Row],[PAGO NO EURO]]+Tabla4[[#This Row],[CARGO NO EURO]]</f>
        <v>0</v>
      </c>
      <c r="P1047" s="90"/>
      <c r="Q1047" s="88"/>
      <c r="R1047" s="689">
        <f>+_xlfn.XLOOKUP(Tabla4[[#This Row],[ID CLIENTE]],'RESUMEN CLIENTES'!D:D,'RESUMEN CLIENTES'!G:G)</f>
        <v>45777</v>
      </c>
      <c r="S1047" s="88" t="str">
        <f>+_xlfn.XLOOKUP(Tabla4[[#This Row],[ID CLIENTE]],'RESUMEN CLIENTES'!D:D,'RESUMEN CLIENTES'!AA:AA)</f>
        <v>B1.1</v>
      </c>
      <c r="T1047" s="680" t="str">
        <f>+_xlfn.XLOOKUP(Tabla4[[#This Row],[ID CLIENTE]],'RESUMEN CLIENTES'!D:D,'RESUMEN CLIENTES'!C:C)</f>
        <v>Colombia</v>
      </c>
    </row>
    <row r="1048" spans="1:20" ht="16">
      <c r="A1048" s="529">
        <v>46079</v>
      </c>
      <c r="B1048" s="556" t="str">
        <f>+_xlfn.XLOOKUP(Tabla4[[#This Row],[ID CLIENTE]],'RESUMEN CLIENTES'!D:D,'RESUMEN CLIENTES'!A:A)</f>
        <v>Fernando Alberto Lagos Belmar</v>
      </c>
      <c r="C1048" s="215" t="s">
        <v>2491</v>
      </c>
      <c r="D1048" s="83" t="s">
        <v>1743</v>
      </c>
      <c r="E1048" s="83" t="s">
        <v>4705</v>
      </c>
      <c r="F1048" s="83" t="s">
        <v>4706</v>
      </c>
      <c r="G1048" s="114">
        <v>1000</v>
      </c>
      <c r="H1048" s="85">
        <v>-32.75</v>
      </c>
      <c r="I1048" s="115">
        <f t="shared" si="34"/>
        <v>3.2750000000000001E-2</v>
      </c>
      <c r="J1048" s="87">
        <f t="shared" si="35"/>
        <v>967.25</v>
      </c>
      <c r="K1048" s="87"/>
      <c r="L1048" s="87"/>
      <c r="M1048" s="87"/>
      <c r="N1048" s="90"/>
      <c r="O1048" s="557">
        <f>+Tabla4[[#This Row],[PAGO NO EURO]]+Tabla4[[#This Row],[CARGO NO EURO]]</f>
        <v>0</v>
      </c>
      <c r="P1048" s="90"/>
      <c r="Q1048" s="88"/>
      <c r="R1048" s="689">
        <f>+_xlfn.XLOOKUP(Tabla4[[#This Row],[ID CLIENTE]],'RESUMEN CLIENTES'!D:D,'RESUMEN CLIENTES'!G:G)</f>
        <v>46017</v>
      </c>
      <c r="S1048" s="88" t="str">
        <f>+_xlfn.XLOOKUP(Tabla4[[#This Row],[ID CLIENTE]],'RESUMEN CLIENTES'!D:D,'RESUMEN CLIENTES'!AA:AA)</f>
        <v>A1.1</v>
      </c>
      <c r="T1048" s="680" t="str">
        <f>+_xlfn.XLOOKUP(Tabla4[[#This Row],[ID CLIENTE]],'RESUMEN CLIENTES'!D:D,'RESUMEN CLIENTES'!C:C)</f>
        <v>Chile</v>
      </c>
    </row>
    <row r="1049" spans="1:20" ht="16">
      <c r="A1049" s="529">
        <v>46079</v>
      </c>
      <c r="B1049" s="556" t="str">
        <f>+_xlfn.XLOOKUP(Tabla4[[#This Row],[ID CLIENTE]],'RESUMEN CLIENTES'!D:D,'RESUMEN CLIENTES'!A:A)</f>
        <v>Berenisse Shadia Yarango Garay</v>
      </c>
      <c r="C1049" s="215" t="s">
        <v>2497</v>
      </c>
      <c r="D1049" s="83" t="s">
        <v>1870</v>
      </c>
      <c r="E1049" s="83" t="s">
        <v>4724</v>
      </c>
      <c r="F1049" s="83" t="s">
        <v>4725</v>
      </c>
      <c r="G1049" s="114">
        <v>850</v>
      </c>
      <c r="H1049" s="85">
        <v>-27.88</v>
      </c>
      <c r="I1049" s="115">
        <f t="shared" si="34"/>
        <v>3.2799999999999996E-2</v>
      </c>
      <c r="J1049" s="87">
        <f t="shared" si="35"/>
        <v>822.12</v>
      </c>
      <c r="K1049" s="87"/>
      <c r="L1049" s="87"/>
      <c r="M1049" s="87"/>
      <c r="N1049" s="90"/>
      <c r="O1049" s="557">
        <f>+Tabla4[[#This Row],[PAGO NO EURO]]+Tabla4[[#This Row],[CARGO NO EURO]]</f>
        <v>0</v>
      </c>
      <c r="P1049" s="90"/>
      <c r="Q1049" s="88"/>
      <c r="R1049" s="689">
        <f>+_xlfn.XLOOKUP(Tabla4[[#This Row],[ID CLIENTE]],'RESUMEN CLIENTES'!D:D,'RESUMEN CLIENTES'!G:G)</f>
        <v>46029</v>
      </c>
      <c r="S1049" s="88" t="str">
        <f>+_xlfn.XLOOKUP(Tabla4[[#This Row],[ID CLIENTE]],'RESUMEN CLIENTES'!D:D,'RESUMEN CLIENTES'!AA:AA)</f>
        <v>A1.1</v>
      </c>
      <c r="T1049" s="680" t="str">
        <f>+_xlfn.XLOOKUP(Tabla4[[#This Row],[ID CLIENTE]],'RESUMEN CLIENTES'!D:D,'RESUMEN CLIENTES'!C:C)</f>
        <v>Perú</v>
      </c>
    </row>
    <row r="1050" spans="1:20" ht="16">
      <c r="A1050" s="529">
        <v>46079</v>
      </c>
      <c r="B1050" s="556" t="str">
        <f>+_xlfn.XLOOKUP(Tabla4[[#This Row],[ID CLIENTE]],'RESUMEN CLIENTES'!D:D,'RESUMEN CLIENTES'!A:A)</f>
        <v>Angie Pérez Cáceres</v>
      </c>
      <c r="C1050" s="215" t="s">
        <v>2321</v>
      </c>
      <c r="D1050" s="83" t="s">
        <v>527</v>
      </c>
      <c r="E1050" s="83" t="s">
        <v>4722</v>
      </c>
      <c r="F1050" s="83" t="s">
        <v>4723</v>
      </c>
      <c r="G1050" s="114">
        <v>1000</v>
      </c>
      <c r="H1050" s="85">
        <v>-32.75</v>
      </c>
      <c r="I1050" s="115">
        <f t="shared" si="34"/>
        <v>3.2750000000000001E-2</v>
      </c>
      <c r="J1050" s="87">
        <f t="shared" si="35"/>
        <v>967.25</v>
      </c>
      <c r="K1050" s="87"/>
      <c r="L1050" s="87"/>
      <c r="M1050" s="87"/>
      <c r="N1050" s="90"/>
      <c r="O1050" s="557">
        <f>+Tabla4[[#This Row],[PAGO NO EURO]]+Tabla4[[#This Row],[CARGO NO EURO]]</f>
        <v>0</v>
      </c>
      <c r="P1050" s="90"/>
      <c r="Q1050" s="88"/>
      <c r="R1050" s="689">
        <f>+_xlfn.XLOOKUP(Tabla4[[#This Row],[ID CLIENTE]],'RESUMEN CLIENTES'!D:D,'RESUMEN CLIENTES'!G:G)</f>
        <v>45867</v>
      </c>
      <c r="S1050" s="88" t="str">
        <f>+_xlfn.XLOOKUP(Tabla4[[#This Row],[ID CLIENTE]],'RESUMEN CLIENTES'!D:D,'RESUMEN CLIENTES'!AA:AA)</f>
        <v>A1.1</v>
      </c>
      <c r="T1050" s="680" t="str">
        <f>+_xlfn.XLOOKUP(Tabla4[[#This Row],[ID CLIENTE]],'RESUMEN CLIENTES'!D:D,'RESUMEN CLIENTES'!C:C)</f>
        <v>Perú</v>
      </c>
    </row>
    <row r="1051" spans="1:20" ht="16">
      <c r="A1051" s="529">
        <v>46079</v>
      </c>
      <c r="B1051" s="556" t="str">
        <f>+_xlfn.XLOOKUP(Tabla4[[#This Row],[ID CLIENTE]],'RESUMEN CLIENTES'!D:D,'RESUMEN CLIENTES'!A:A)</f>
        <v>Ellen Cristina Gerónimo Bonilla</v>
      </c>
      <c r="C1051" s="215" t="s">
        <v>2273</v>
      </c>
      <c r="D1051" s="83" t="s">
        <v>385</v>
      </c>
      <c r="E1051" s="83" t="s">
        <v>4730</v>
      </c>
      <c r="F1051" s="83" t="s">
        <v>4731</v>
      </c>
      <c r="G1051" s="114">
        <v>600</v>
      </c>
      <c r="H1051" s="85">
        <v>-19.75</v>
      </c>
      <c r="I1051" s="115">
        <f t="shared" si="34"/>
        <v>3.2916666666666664E-2</v>
      </c>
      <c r="J1051" s="87">
        <f t="shared" si="35"/>
        <v>580.25</v>
      </c>
      <c r="K1051" s="87"/>
      <c r="L1051" s="87"/>
      <c r="M1051" s="87"/>
      <c r="N1051" s="90"/>
      <c r="O1051" s="557">
        <f>+Tabla4[[#This Row],[PAGO NO EURO]]+Tabla4[[#This Row],[CARGO NO EURO]]</f>
        <v>0</v>
      </c>
      <c r="P1051" s="90"/>
      <c r="Q1051" s="88"/>
      <c r="R1051" s="689">
        <f>+_xlfn.XLOOKUP(Tabla4[[#This Row],[ID CLIENTE]],'RESUMEN CLIENTES'!D:D,'RESUMEN CLIENTES'!G:G)</f>
        <v>45838</v>
      </c>
      <c r="S1051" s="88" t="str">
        <f>+_xlfn.XLOOKUP(Tabla4[[#This Row],[ID CLIENTE]],'RESUMEN CLIENTES'!D:D,'RESUMEN CLIENTES'!AA:AA)</f>
        <v>A1.1</v>
      </c>
      <c r="T1051" s="680" t="str">
        <f>+_xlfn.XLOOKUP(Tabla4[[#This Row],[ID CLIENTE]],'RESUMEN CLIENTES'!D:D,'RESUMEN CLIENTES'!C:C)</f>
        <v>República Dominicana</v>
      </c>
    </row>
    <row r="1052" spans="1:20" ht="16">
      <c r="A1052" s="529">
        <v>46080</v>
      </c>
      <c r="B1052" s="556" t="str">
        <f>+_xlfn.XLOOKUP(Tabla4[[#This Row],[ID CLIENTE]],'RESUMEN CLIENTES'!D:D,'RESUMEN CLIENTES'!A:A)</f>
        <v>María Lucero de Jesús Barrios Sazo</v>
      </c>
      <c r="C1052" s="215" t="s">
        <v>2332</v>
      </c>
      <c r="D1052" s="83" t="s">
        <v>590</v>
      </c>
      <c r="E1052" s="83" t="s">
        <v>4750</v>
      </c>
      <c r="F1052" s="83" t="s">
        <v>4751</v>
      </c>
      <c r="G1052" s="114">
        <v>700</v>
      </c>
      <c r="H1052" s="85">
        <v>-23</v>
      </c>
      <c r="I1052" s="115">
        <f t="shared" si="34"/>
        <v>3.2857142857142856E-2</v>
      </c>
      <c r="J1052" s="87">
        <f t="shared" si="35"/>
        <v>677</v>
      </c>
      <c r="K1052" s="87"/>
      <c r="L1052" s="87"/>
      <c r="M1052" s="87"/>
      <c r="N1052" s="90"/>
      <c r="O1052" s="557">
        <f>+Tabla4[[#This Row],[PAGO NO EURO]]+Tabla4[[#This Row],[CARGO NO EURO]]</f>
        <v>0</v>
      </c>
      <c r="P1052" s="90"/>
      <c r="Q1052" s="88"/>
      <c r="R1052" s="689">
        <f>+_xlfn.XLOOKUP(Tabla4[[#This Row],[ID CLIENTE]],'RESUMEN CLIENTES'!D:D,'RESUMEN CLIENTES'!G:G)</f>
        <v>45869</v>
      </c>
      <c r="S1052" s="88" t="str">
        <f>+_xlfn.XLOOKUP(Tabla4[[#This Row],[ID CLIENTE]],'RESUMEN CLIENTES'!D:D,'RESUMEN CLIENTES'!AA:AA)</f>
        <v>-</v>
      </c>
      <c r="T1052" s="680" t="str">
        <f>+_xlfn.XLOOKUP(Tabla4[[#This Row],[ID CLIENTE]],'RESUMEN CLIENTES'!D:D,'RESUMEN CLIENTES'!C:C)</f>
        <v>Guatemala</v>
      </c>
    </row>
    <row r="1053" spans="1:20" ht="16">
      <c r="A1053" s="556">
        <v>46080</v>
      </c>
      <c r="B1053" s="556" t="str">
        <f>+_xlfn.XLOOKUP(Tabla4[[#This Row],[ID CLIENTE]],'RESUMEN CLIENTES'!D:D,'RESUMEN CLIENTES'!A:A)</f>
        <v>Hector Armando Daza Mejia</v>
      </c>
      <c r="C1053" s="215" t="s">
        <v>2133</v>
      </c>
      <c r="D1053" s="83" t="s">
        <v>106</v>
      </c>
      <c r="E1053" s="83" t="s">
        <v>4741</v>
      </c>
      <c r="F1053" s="561" t="s">
        <v>4742</v>
      </c>
      <c r="G1053" s="114">
        <v>1500</v>
      </c>
      <c r="H1053" s="85">
        <v>-49</v>
      </c>
      <c r="I1053" s="115">
        <f t="shared" si="34"/>
        <v>3.2666666666666663E-2</v>
      </c>
      <c r="J1053" s="87">
        <f t="shared" si="35"/>
        <v>1451</v>
      </c>
      <c r="K1053" s="559"/>
      <c r="L1053" s="87"/>
      <c r="M1053" s="559"/>
      <c r="N1053" s="557"/>
      <c r="O1053" s="557">
        <f>+Tabla4[[#This Row],[PAGO NO EURO]]+Tabla4[[#This Row],[CARGO NO EURO]]</f>
        <v>0</v>
      </c>
      <c r="P1053" s="557"/>
      <c r="Q1053" s="560"/>
      <c r="R1053" s="699">
        <f>+_xlfn.XLOOKUP(Tabla4[[#This Row],[ID CLIENTE]],'RESUMEN CLIENTES'!D:D,'RESUMEN CLIENTES'!G:G)</f>
        <v>45726</v>
      </c>
      <c r="S1053" s="560" t="str">
        <f>+_xlfn.XLOOKUP(Tabla4[[#This Row],[ID CLIENTE]],'RESUMEN CLIENTES'!D:D,'RESUMEN CLIENTES'!AA:AA)</f>
        <v>B1.2</v>
      </c>
      <c r="T1053" s="687" t="str">
        <f>+_xlfn.XLOOKUP(Tabla4[[#This Row],[ID CLIENTE]],'RESUMEN CLIENTES'!D:D,'RESUMEN CLIENTES'!C:C)</f>
        <v>Colombia</v>
      </c>
    </row>
    <row r="1054" spans="1:20" ht="16">
      <c r="A1054" s="556">
        <v>46080</v>
      </c>
      <c r="B1054" s="556" t="str">
        <f>+_xlfn.XLOOKUP(Tabla4[[#This Row],[ID CLIENTE]],'RESUMEN CLIENTES'!D:D,'RESUMEN CLIENTES'!A:A)</f>
        <v>Elaine Acosta Cabrera</v>
      </c>
      <c r="C1054" s="215" t="s">
        <v>2315</v>
      </c>
      <c r="D1054" s="83" t="s">
        <v>519</v>
      </c>
      <c r="E1054" s="83" t="s">
        <v>4707</v>
      </c>
      <c r="F1054" s="561" t="s">
        <v>4708</v>
      </c>
      <c r="G1054" s="114">
        <v>1000</v>
      </c>
      <c r="H1054" s="85">
        <v>-32.75</v>
      </c>
      <c r="I1054" s="115">
        <f t="shared" si="34"/>
        <v>3.2750000000000001E-2</v>
      </c>
      <c r="J1054" s="87">
        <f t="shared" si="35"/>
        <v>967.25</v>
      </c>
      <c r="K1054" s="559"/>
      <c r="L1054" s="87"/>
      <c r="M1054" s="559"/>
      <c r="N1054" s="557"/>
      <c r="O1054" s="557">
        <f>+Tabla4[[#This Row],[PAGO NO EURO]]+Tabla4[[#This Row],[CARGO NO EURO]]</f>
        <v>0</v>
      </c>
      <c r="P1054" s="557"/>
      <c r="Q1054" s="560"/>
      <c r="R1054" s="699">
        <f>+_xlfn.XLOOKUP(Tabla4[[#This Row],[ID CLIENTE]],'RESUMEN CLIENTES'!D:D,'RESUMEN CLIENTES'!G:G)</f>
        <v>45864</v>
      </c>
      <c r="S1054" s="560" t="str">
        <f>+_xlfn.XLOOKUP(Tabla4[[#This Row],[ID CLIENTE]],'RESUMEN CLIENTES'!D:D,'RESUMEN CLIENTES'!AA:AA)</f>
        <v>A1.1</v>
      </c>
      <c r="T1054" s="687" t="str">
        <f>+_xlfn.XLOOKUP(Tabla4[[#This Row],[ID CLIENTE]],'RESUMEN CLIENTES'!D:D,'RESUMEN CLIENTES'!C:C)</f>
        <v>República Dominicana</v>
      </c>
    </row>
    <row r="1055" spans="1:20" ht="16">
      <c r="A1055" s="556">
        <v>46080</v>
      </c>
      <c r="B1055" s="82" t="str">
        <f>+_xlfn.XLOOKUP(Tabla4[[#This Row],[ID CLIENTE]],'RESUMEN CLIENTES'!D:D,'RESUMEN CLIENTES'!A:A)</f>
        <v>Luis Manuel Villanueva Contreras</v>
      </c>
      <c r="C1055" s="215" t="s">
        <v>2286</v>
      </c>
      <c r="D1055" s="83" t="s">
        <v>441</v>
      </c>
      <c r="E1055" s="83" t="s">
        <v>4748</v>
      </c>
      <c r="F1055" s="83" t="s">
        <v>4749</v>
      </c>
      <c r="G1055" s="114">
        <v>1000</v>
      </c>
      <c r="H1055" s="85">
        <v>-32.75</v>
      </c>
      <c r="I1055" s="115">
        <f t="shared" si="34"/>
        <v>3.2750000000000001E-2</v>
      </c>
      <c r="J1055" s="87">
        <f t="shared" si="35"/>
        <v>967.25</v>
      </c>
      <c r="K1055" s="87"/>
      <c r="L1055" s="87"/>
      <c r="M1055" s="87"/>
      <c r="N1055" s="90"/>
      <c r="O1055" s="90">
        <f>+Tabla4[[#This Row],[PAGO NO EURO]]+Tabla4[[#This Row],[CARGO NO EURO]]</f>
        <v>0</v>
      </c>
      <c r="P1055" s="90"/>
      <c r="Q1055" s="88"/>
      <c r="R1055" s="689">
        <f>+_xlfn.XLOOKUP(Tabla4[[#This Row],[ID CLIENTE]],'RESUMEN CLIENTES'!D:D,'RESUMEN CLIENTES'!G:G)</f>
        <v>45845</v>
      </c>
      <c r="S1055" s="88" t="str">
        <f>+_xlfn.XLOOKUP(Tabla4[[#This Row],[ID CLIENTE]],'RESUMEN CLIENTES'!D:D,'RESUMEN CLIENTES'!AA:AA)</f>
        <v>A2.1</v>
      </c>
      <c r="T1055" s="680" t="str">
        <f>+_xlfn.XLOOKUP(Tabla4[[#This Row],[ID CLIENTE]],'RESUMEN CLIENTES'!D:D,'RESUMEN CLIENTES'!C:C)</f>
        <v>México</v>
      </c>
    </row>
    <row r="1056" spans="1:20" ht="16">
      <c r="A1056" s="556">
        <v>46080</v>
      </c>
      <c r="B1056" s="82" t="str">
        <f>+_xlfn.XLOOKUP(Tabla4[[#This Row],[ID CLIENTE]],'RESUMEN CLIENTES'!D:D,'RESUMEN CLIENTES'!A:A)</f>
        <v>María Soledad Tituana Asanza</v>
      </c>
      <c r="C1056" s="215" t="s">
        <v>2432</v>
      </c>
      <c r="D1056" s="83" t="s">
        <v>1201</v>
      </c>
      <c r="E1056" s="83" t="s">
        <v>4752</v>
      </c>
      <c r="F1056" s="83" t="s">
        <v>4753</v>
      </c>
      <c r="G1056" s="114">
        <v>1000</v>
      </c>
      <c r="H1056" s="85">
        <v>-32.75</v>
      </c>
      <c r="I1056" s="115">
        <f t="shared" si="34"/>
        <v>3.2750000000000001E-2</v>
      </c>
      <c r="J1056" s="87">
        <f t="shared" si="35"/>
        <v>967.25</v>
      </c>
      <c r="K1056" s="87"/>
      <c r="L1056" s="87"/>
      <c r="M1056" s="87"/>
      <c r="N1056" s="90"/>
      <c r="O1056" s="90">
        <f>+Tabla4[[#This Row],[PAGO NO EURO]]+Tabla4[[#This Row],[CARGO NO EURO]]</f>
        <v>0</v>
      </c>
      <c r="P1056" s="90"/>
      <c r="Q1056" s="88"/>
      <c r="R1056" s="689">
        <f>+_xlfn.XLOOKUP(Tabla4[[#This Row],[ID CLIENTE]],'RESUMEN CLIENTES'!D:D,'RESUMEN CLIENTES'!G:G)</f>
        <v>45946</v>
      </c>
      <c r="S1056" s="88" t="str">
        <f>+_xlfn.XLOOKUP(Tabla4[[#This Row],[ID CLIENTE]],'RESUMEN CLIENTES'!D:D,'RESUMEN CLIENTES'!AA:AA)</f>
        <v>A1.1</v>
      </c>
      <c r="T1056" s="680" t="str">
        <f>+_xlfn.XLOOKUP(Tabla4[[#This Row],[ID CLIENTE]],'RESUMEN CLIENTES'!D:D,'RESUMEN CLIENTES'!C:C)</f>
        <v>Ecuador</v>
      </c>
    </row>
    <row r="1057" spans="1:20" ht="16">
      <c r="A1057" s="556">
        <v>46080</v>
      </c>
      <c r="B1057" s="82" t="str">
        <f>+_xlfn.XLOOKUP(Tabla4[[#This Row],[ID CLIENTE]],'RESUMEN CLIENTES'!D:D,'RESUMEN CLIENTES'!A:A)</f>
        <v>Carlos Josue Escobar Morán</v>
      </c>
      <c r="C1057" s="215" t="s">
        <v>2208</v>
      </c>
      <c r="D1057" s="83" t="s">
        <v>226</v>
      </c>
      <c r="E1057" s="83" t="s">
        <v>4726</v>
      </c>
      <c r="F1057" s="83" t="s">
        <v>4727</v>
      </c>
      <c r="G1057" s="114">
        <v>500</v>
      </c>
      <c r="H1057" s="85">
        <v>-16.5</v>
      </c>
      <c r="I1057" s="115">
        <f t="shared" si="34"/>
        <v>3.3000000000000002E-2</v>
      </c>
      <c r="J1057" s="87">
        <f t="shared" si="35"/>
        <v>483.5</v>
      </c>
      <c r="K1057" s="87"/>
      <c r="L1057" s="87"/>
      <c r="M1057" s="87"/>
      <c r="N1057" s="90"/>
      <c r="O1057" s="90">
        <f>+Tabla4[[#This Row],[PAGO NO EURO]]+Tabla4[[#This Row],[CARGO NO EURO]]</f>
        <v>0</v>
      </c>
      <c r="P1057" s="90"/>
      <c r="Q1057" s="88"/>
      <c r="R1057" s="689">
        <f>+_xlfn.XLOOKUP(Tabla4[[#This Row],[ID CLIENTE]],'RESUMEN CLIENTES'!D:D,'RESUMEN CLIENTES'!G:G)</f>
        <v>45790</v>
      </c>
      <c r="S1057" s="88" t="str">
        <f>+_xlfn.XLOOKUP(Tabla4[[#This Row],[ID CLIENTE]],'RESUMEN CLIENTES'!D:D,'RESUMEN CLIENTES'!AA:AA)</f>
        <v>B1.1</v>
      </c>
      <c r="T1057" s="680" t="str">
        <f>+_xlfn.XLOOKUP(Tabla4[[#This Row],[ID CLIENTE]],'RESUMEN CLIENTES'!D:D,'RESUMEN CLIENTES'!C:C)</f>
        <v>El Salvador</v>
      </c>
    </row>
    <row r="1058" spans="1:20" ht="16">
      <c r="A1058" s="556">
        <v>46080</v>
      </c>
      <c r="B1058" s="82" t="str">
        <f>+_xlfn.XLOOKUP(Tabla4[[#This Row],[ID CLIENTE]],'RESUMEN CLIENTES'!D:D,'RESUMEN CLIENTES'!A:A)</f>
        <v>Alejandra Goretti Figueroa Romo</v>
      </c>
      <c r="C1058" s="215" t="s">
        <v>2323</v>
      </c>
      <c r="D1058" s="83" t="s">
        <v>541</v>
      </c>
      <c r="E1058" s="83" t="s">
        <v>4718</v>
      </c>
      <c r="F1058" s="83" t="s">
        <v>4719</v>
      </c>
      <c r="G1058" s="114">
        <v>1000</v>
      </c>
      <c r="H1058" s="85">
        <v>-32.75</v>
      </c>
      <c r="I1058" s="115">
        <f t="shared" si="34"/>
        <v>3.2750000000000001E-2</v>
      </c>
      <c r="J1058" s="87">
        <f t="shared" si="35"/>
        <v>967.25</v>
      </c>
      <c r="K1058" s="87"/>
      <c r="L1058" s="87"/>
      <c r="M1058" s="87"/>
      <c r="N1058" s="90"/>
      <c r="O1058" s="90">
        <f>+Tabla4[[#This Row],[PAGO NO EURO]]+Tabla4[[#This Row],[CARGO NO EURO]]</f>
        <v>0</v>
      </c>
      <c r="P1058" s="90"/>
      <c r="Q1058" s="88"/>
      <c r="R1058" s="689">
        <f>+_xlfn.XLOOKUP(Tabla4[[#This Row],[ID CLIENTE]],'RESUMEN CLIENTES'!D:D,'RESUMEN CLIENTES'!G:G)</f>
        <v>45867</v>
      </c>
      <c r="S1058" s="88" t="str">
        <f>+_xlfn.XLOOKUP(Tabla4[[#This Row],[ID CLIENTE]],'RESUMEN CLIENTES'!D:D,'RESUMEN CLIENTES'!AA:AA)</f>
        <v>A2.2</v>
      </c>
      <c r="T1058" s="680" t="str">
        <f>+_xlfn.XLOOKUP(Tabla4[[#This Row],[ID CLIENTE]],'RESUMEN CLIENTES'!D:D,'RESUMEN CLIENTES'!C:C)</f>
        <v>México</v>
      </c>
    </row>
    <row r="1059" spans="1:20" ht="16">
      <c r="A1059" s="556">
        <v>46080</v>
      </c>
      <c r="B1059" s="82" t="str">
        <f>+_xlfn.XLOOKUP(Tabla4[[#This Row],[ID CLIENTE]],'RESUMEN CLIENTES'!D:D,'RESUMEN CLIENTES'!A:A)</f>
        <v>Maria Laura Rios Pino</v>
      </c>
      <c r="C1059" s="215" t="s">
        <v>2220</v>
      </c>
      <c r="D1059" s="83" t="s">
        <v>258</v>
      </c>
      <c r="E1059" s="83" t="s">
        <v>4815</v>
      </c>
      <c r="F1059" s="83" t="s">
        <v>4816</v>
      </c>
      <c r="G1059" s="114">
        <f>+Tabla4[[#This Row],[PAGO NO EURO]]*Tabla4[[#This Row],[CAMBIO]]</f>
        <v>632.69782351948709</v>
      </c>
      <c r="H1059" s="85">
        <f>+Tabla4[[#This Row],[CARGO NO EURO]]*Tabla4[[#This Row],[CAMBIO]]</f>
        <v>-20.819976379281254</v>
      </c>
      <c r="I1059" s="115">
        <f t="shared" si="34"/>
        <v>3.2906666666666667E-2</v>
      </c>
      <c r="J1059" s="87">
        <f t="shared" si="35"/>
        <v>611.87784714020586</v>
      </c>
      <c r="K1059" s="87"/>
      <c r="L1059" s="87"/>
      <c r="M1059" s="87" t="s">
        <v>2548</v>
      </c>
      <c r="N1059" s="524">
        <v>750</v>
      </c>
      <c r="O1059" s="524">
        <f>+Tabla4[[#This Row],[PAGO NO EURO]]+Tabla4[[#This Row],[CARGO NO EURO]]</f>
        <v>725.32</v>
      </c>
      <c r="P1059" s="524">
        <v>-24.68</v>
      </c>
      <c r="Q1059" s="88">
        <v>0.84359709802598282</v>
      </c>
      <c r="R1059" s="689">
        <f>+_xlfn.XLOOKUP(Tabla4[[#This Row],[ID CLIENTE]],'RESUMEN CLIENTES'!D:D,'RESUMEN CLIENTES'!G:G)</f>
        <v>45805</v>
      </c>
      <c r="S1059" s="88" t="str">
        <f>+_xlfn.XLOOKUP(Tabla4[[#This Row],[ID CLIENTE]],'RESUMEN CLIENTES'!D:D,'RESUMEN CLIENTES'!AA:AA)</f>
        <v>B1.1</v>
      </c>
      <c r="T1059" s="680" t="str">
        <f>+_xlfn.XLOOKUP(Tabla4[[#This Row],[ID CLIENTE]],'RESUMEN CLIENTES'!D:D,'RESUMEN CLIENTES'!C:C)</f>
        <v>Perú</v>
      </c>
    </row>
    <row r="1060" spans="1:20" ht="16">
      <c r="A1060" s="556">
        <v>46081</v>
      </c>
      <c r="B1060" s="82" t="str">
        <f>+_xlfn.XLOOKUP(Tabla4[[#This Row],[ID CLIENTE]],'RESUMEN CLIENTES'!D:D,'RESUMEN CLIENTES'!A:A)</f>
        <v>Carlos Mersaim Olivares Sandoval</v>
      </c>
      <c r="C1060" s="215" t="s">
        <v>2300</v>
      </c>
      <c r="D1060" s="83" t="s">
        <v>479</v>
      </c>
      <c r="E1060" s="83" t="s">
        <v>4728</v>
      </c>
      <c r="F1060" s="83" t="s">
        <v>4729</v>
      </c>
      <c r="G1060" s="114">
        <v>1000</v>
      </c>
      <c r="H1060" s="85">
        <v>-32.75</v>
      </c>
      <c r="I1060" s="115">
        <f t="shared" si="34"/>
        <v>3.2750000000000001E-2</v>
      </c>
      <c r="J1060" s="87">
        <f t="shared" si="35"/>
        <v>967.25</v>
      </c>
      <c r="K1060" s="87"/>
      <c r="L1060" s="87"/>
      <c r="M1060" s="87"/>
      <c r="N1060" s="90"/>
      <c r="O1060" s="90">
        <f>+Tabla4[[#This Row],[PAGO NO EURO]]+Tabla4[[#This Row],[CARGO NO EURO]]</f>
        <v>0</v>
      </c>
      <c r="P1060" s="90"/>
      <c r="Q1060" s="88"/>
      <c r="R1060" s="689">
        <f>+_xlfn.XLOOKUP(Tabla4[[#This Row],[ID CLIENTE]],'RESUMEN CLIENTES'!D:D,'RESUMEN CLIENTES'!G:G)</f>
        <v>45852</v>
      </c>
      <c r="S1060" s="88" t="str">
        <f>+_xlfn.XLOOKUP(Tabla4[[#This Row],[ID CLIENTE]],'RESUMEN CLIENTES'!D:D,'RESUMEN CLIENTES'!AA:AA)</f>
        <v>A1.1</v>
      </c>
      <c r="T1060" s="680" t="str">
        <f>+_xlfn.XLOOKUP(Tabla4[[#This Row],[ID CLIENTE]],'RESUMEN CLIENTES'!D:D,'RESUMEN CLIENTES'!C:C)</f>
        <v>México</v>
      </c>
    </row>
    <row r="1061" spans="1:20" ht="16">
      <c r="A1061" s="556">
        <v>46081</v>
      </c>
      <c r="B1061" s="82" t="str">
        <f>+_xlfn.XLOOKUP(Tabla4[[#This Row],[ID CLIENTE]],'RESUMEN CLIENTES'!D:D,'RESUMEN CLIENTES'!A:A)</f>
        <v>Nathaly Gabriela Henríquez Masín</v>
      </c>
      <c r="C1061" s="215" t="s">
        <v>2210</v>
      </c>
      <c r="D1061" s="83" t="s">
        <v>229</v>
      </c>
      <c r="E1061" s="83" t="s">
        <v>4756</v>
      </c>
      <c r="F1061" s="83" t="s">
        <v>4757</v>
      </c>
      <c r="G1061" s="114">
        <v>500</v>
      </c>
      <c r="H1061" s="85">
        <v>-16.5</v>
      </c>
      <c r="I1061" s="115">
        <f t="shared" si="34"/>
        <v>3.3000000000000002E-2</v>
      </c>
      <c r="J1061" s="87">
        <f t="shared" si="35"/>
        <v>483.5</v>
      </c>
      <c r="K1061" s="87"/>
      <c r="L1061" s="87"/>
      <c r="M1061" s="87"/>
      <c r="N1061" s="90"/>
      <c r="O1061" s="90">
        <f>+Tabla4[[#This Row],[PAGO NO EURO]]+Tabla4[[#This Row],[CARGO NO EURO]]</f>
        <v>0</v>
      </c>
      <c r="P1061" s="90"/>
      <c r="Q1061" s="88"/>
      <c r="R1061" s="689">
        <f>+_xlfn.XLOOKUP(Tabla4[[#This Row],[ID CLIENTE]],'RESUMEN CLIENTES'!D:D,'RESUMEN CLIENTES'!G:G)</f>
        <v>45790</v>
      </c>
      <c r="S1061" s="88" t="str">
        <f>+_xlfn.XLOOKUP(Tabla4[[#This Row],[ID CLIENTE]],'RESUMEN CLIENTES'!D:D,'RESUMEN CLIENTES'!AA:AA)</f>
        <v>null</v>
      </c>
      <c r="T1061" s="680" t="str">
        <f>+_xlfn.XLOOKUP(Tabla4[[#This Row],[ID CLIENTE]],'RESUMEN CLIENTES'!D:D,'RESUMEN CLIENTES'!C:C)</f>
        <v>El Salvador</v>
      </c>
    </row>
    <row r="1062" spans="1:20" ht="16">
      <c r="A1062" s="556">
        <v>46081</v>
      </c>
      <c r="B1062" s="82" t="str">
        <f>+_xlfn.XLOOKUP(Tabla4[[#This Row],[ID CLIENTE]],'RESUMEN CLIENTES'!D:D,'RESUMEN CLIENTES'!A:A)</f>
        <v>Miguel Angel Sisalima Shiña</v>
      </c>
      <c r="C1062" s="215" t="s">
        <v>2242</v>
      </c>
      <c r="D1062" s="83" t="s">
        <v>314</v>
      </c>
      <c r="E1062" s="83" t="s">
        <v>4754</v>
      </c>
      <c r="F1062" s="83" t="s">
        <v>4755</v>
      </c>
      <c r="G1062" s="114">
        <v>1000</v>
      </c>
      <c r="H1062" s="85">
        <v>-32.75</v>
      </c>
      <c r="I1062" s="115">
        <f t="shared" si="34"/>
        <v>3.2750000000000001E-2</v>
      </c>
      <c r="J1062" s="87">
        <f t="shared" si="35"/>
        <v>967.25</v>
      </c>
      <c r="K1062" s="87"/>
      <c r="L1062" s="87"/>
      <c r="M1062" s="87"/>
      <c r="N1062" s="90"/>
      <c r="O1062" s="90">
        <f>+Tabla4[[#This Row],[PAGO NO EURO]]+Tabla4[[#This Row],[CARGO NO EURO]]</f>
        <v>0</v>
      </c>
      <c r="P1062" s="90"/>
      <c r="Q1062" s="88"/>
      <c r="R1062" s="689">
        <f>+_xlfn.XLOOKUP(Tabla4[[#This Row],[ID CLIENTE]],'RESUMEN CLIENTES'!D:D,'RESUMEN CLIENTES'!G:G)</f>
        <v>45816</v>
      </c>
      <c r="S1062" s="88" t="str">
        <f>+_xlfn.XLOOKUP(Tabla4[[#This Row],[ID CLIENTE]],'RESUMEN CLIENTES'!D:D,'RESUMEN CLIENTES'!AA:AA)</f>
        <v>A1.1</v>
      </c>
      <c r="T1062" s="680" t="str">
        <f>+_xlfn.XLOOKUP(Tabla4[[#This Row],[ID CLIENTE]],'RESUMEN CLIENTES'!D:D,'RESUMEN CLIENTES'!C:C)</f>
        <v>Ecuador</v>
      </c>
    </row>
    <row r="1063" spans="1:20" ht="16">
      <c r="A1063" s="556">
        <v>46081</v>
      </c>
      <c r="B1063" s="82" t="str">
        <f>+_xlfn.XLOOKUP(Tabla4[[#This Row],[ID CLIENTE]],'RESUMEN CLIENTES'!D:D,'RESUMEN CLIENTES'!A:A)</f>
        <v>Andrea Corpeño López</v>
      </c>
      <c r="C1063" s="215" t="s">
        <v>2117</v>
      </c>
      <c r="D1063" s="83" t="s">
        <v>84</v>
      </c>
      <c r="E1063" s="83" t="s">
        <v>4720</v>
      </c>
      <c r="F1063" s="83" t="s">
        <v>4721</v>
      </c>
      <c r="G1063" s="114">
        <v>400</v>
      </c>
      <c r="H1063" s="85">
        <v>-13.25</v>
      </c>
      <c r="I1063" s="115">
        <f t="shared" si="34"/>
        <v>3.3125000000000002E-2</v>
      </c>
      <c r="J1063" s="87">
        <f t="shared" si="35"/>
        <v>386.75</v>
      </c>
      <c r="K1063" s="87"/>
      <c r="L1063" s="87"/>
      <c r="M1063" s="87"/>
      <c r="N1063" s="90"/>
      <c r="O1063" s="90">
        <f>+Tabla4[[#This Row],[PAGO NO EURO]]+Tabla4[[#This Row],[CARGO NO EURO]]</f>
        <v>0</v>
      </c>
      <c r="P1063" s="90"/>
      <c r="Q1063" s="88"/>
      <c r="R1063" s="689">
        <f>+_xlfn.XLOOKUP(Tabla4[[#This Row],[ID CLIENTE]],'RESUMEN CLIENTES'!D:D,'RESUMEN CLIENTES'!G:G)</f>
        <v>45658</v>
      </c>
      <c r="S1063" s="88" t="str">
        <f>+_xlfn.XLOOKUP(Tabla4[[#This Row],[ID CLIENTE]],'RESUMEN CLIENTES'!D:D,'RESUMEN CLIENTES'!AA:AA)</f>
        <v>-</v>
      </c>
      <c r="T1063" s="680" t="str">
        <f>+_xlfn.XLOOKUP(Tabla4[[#This Row],[ID CLIENTE]],'RESUMEN CLIENTES'!D:D,'RESUMEN CLIENTES'!C:C)</f>
        <v>El Salvador</v>
      </c>
    </row>
    <row r="1064" spans="1:20" ht="16">
      <c r="A1064" s="556">
        <v>46081</v>
      </c>
      <c r="B1064" s="82" t="str">
        <f>+_xlfn.XLOOKUP(Tabla4[[#This Row],[ID CLIENTE]],'RESUMEN CLIENTES'!D:D,'RESUMEN CLIENTES'!A:A)</f>
        <v>Francisco Salas Barrera</v>
      </c>
      <c r="C1064" s="215" t="s">
        <v>2495</v>
      </c>
      <c r="D1064" s="83" t="s">
        <v>1761</v>
      </c>
      <c r="E1064" s="83" t="s">
        <v>4737</v>
      </c>
      <c r="F1064" s="83" t="s">
        <v>4738</v>
      </c>
      <c r="G1064" s="114">
        <v>1000</v>
      </c>
      <c r="H1064" s="85">
        <v>-32.75</v>
      </c>
      <c r="I1064" s="115">
        <f t="shared" si="34"/>
        <v>3.2750000000000001E-2</v>
      </c>
      <c r="J1064" s="87">
        <f t="shared" si="35"/>
        <v>967.25</v>
      </c>
      <c r="K1064" s="87"/>
      <c r="L1064" s="87"/>
      <c r="M1064" s="87"/>
      <c r="N1064" s="90"/>
      <c r="O1064" s="90">
        <f>+Tabla4[[#This Row],[PAGO NO EURO]]+Tabla4[[#This Row],[CARGO NO EURO]]</f>
        <v>0</v>
      </c>
      <c r="P1064" s="90"/>
      <c r="Q1064" s="88"/>
      <c r="R1064" s="689">
        <f>+_xlfn.XLOOKUP(Tabla4[[#This Row],[ID CLIENTE]],'RESUMEN CLIENTES'!D:D,'RESUMEN CLIENTES'!G:G)</f>
        <v>46021</v>
      </c>
      <c r="S1064" s="88" t="str">
        <f>+_xlfn.XLOOKUP(Tabla4[[#This Row],[ID CLIENTE]],'RESUMEN CLIENTES'!D:D,'RESUMEN CLIENTES'!AA:AA)</f>
        <v>A1.1</v>
      </c>
      <c r="T1064" s="680" t="str">
        <f>+_xlfn.XLOOKUP(Tabla4[[#This Row],[ID CLIENTE]],'RESUMEN CLIENTES'!D:D,'RESUMEN CLIENTES'!C:C)</f>
        <v>México</v>
      </c>
    </row>
    <row r="1065" spans="1:20" ht="16">
      <c r="A1065" s="556">
        <v>46081</v>
      </c>
      <c r="B1065" s="82" t="str">
        <f>+_xlfn.XLOOKUP(Tabla4[[#This Row],[ID CLIENTE]],'RESUMEN CLIENTES'!D:D,'RESUMEN CLIENTES'!A:A)</f>
        <v>Hugo Nicolás Trávez Morales</v>
      </c>
      <c r="C1065" s="215" t="s">
        <v>2156</v>
      </c>
      <c r="D1065" s="83" t="s">
        <v>139</v>
      </c>
      <c r="E1065" s="83" t="s">
        <v>4760</v>
      </c>
      <c r="F1065" s="83" t="s">
        <v>4761</v>
      </c>
      <c r="G1065" s="114">
        <v>500</v>
      </c>
      <c r="H1065" s="85">
        <v>-16.5</v>
      </c>
      <c r="I1065" s="115">
        <f t="shared" si="34"/>
        <v>3.3000000000000002E-2</v>
      </c>
      <c r="J1065" s="87">
        <f t="shared" si="35"/>
        <v>483.5</v>
      </c>
      <c r="K1065" s="87"/>
      <c r="L1065" s="87"/>
      <c r="M1065" s="87"/>
      <c r="N1065" s="90"/>
      <c r="O1065" s="90">
        <f>+Tabla4[[#This Row],[PAGO NO EURO]]+Tabla4[[#This Row],[CARGO NO EURO]]</f>
        <v>0</v>
      </c>
      <c r="P1065" s="90"/>
      <c r="Q1065" s="88"/>
      <c r="R1065" s="689">
        <f>+_xlfn.XLOOKUP(Tabla4[[#This Row],[ID CLIENTE]],'RESUMEN CLIENTES'!D:D,'RESUMEN CLIENTES'!G:G)</f>
        <v>45747</v>
      </c>
      <c r="S1065" s="88" t="str">
        <f>+_xlfn.XLOOKUP(Tabla4[[#This Row],[ID CLIENTE]],'RESUMEN CLIENTES'!D:D,'RESUMEN CLIENTES'!AA:AA)</f>
        <v>null</v>
      </c>
      <c r="T1065" s="680" t="str">
        <f>+_xlfn.XLOOKUP(Tabla4[[#This Row],[ID CLIENTE]],'RESUMEN CLIENTES'!D:D,'RESUMEN CLIENTES'!C:C)</f>
        <v>Ecuador</v>
      </c>
    </row>
    <row r="1066" spans="1:20" ht="16">
      <c r="A1066" s="556">
        <v>46081</v>
      </c>
      <c r="B1066" s="556" t="str">
        <f>+_xlfn.XLOOKUP(Tabla4[[#This Row],[ID CLIENTE]],'RESUMEN CLIENTES'!D:D,'RESUMEN CLIENTES'!A:A)</f>
        <v>Olguer Ariel Pruna Herrera</v>
      </c>
      <c r="C1066" s="215" t="s">
        <v>2353</v>
      </c>
      <c r="D1066" s="83" t="s">
        <v>695</v>
      </c>
      <c r="E1066" s="83" t="s">
        <v>4813</v>
      </c>
      <c r="F1066" s="83" t="s">
        <v>4814</v>
      </c>
      <c r="G1066" s="114">
        <v>1000</v>
      </c>
      <c r="H1066" s="85">
        <v>-32.75</v>
      </c>
      <c r="I1066" s="115">
        <f t="shared" si="34"/>
        <v>3.2750000000000001E-2</v>
      </c>
      <c r="J1066" s="87">
        <f t="shared" si="35"/>
        <v>967.25</v>
      </c>
      <c r="K1066" s="87"/>
      <c r="L1066" s="87"/>
      <c r="M1066" s="87"/>
      <c r="N1066" s="90"/>
      <c r="O1066" s="557">
        <f>+Tabla4[[#This Row],[PAGO NO EURO]]+Tabla4[[#This Row],[CARGO NO EURO]]</f>
        <v>0</v>
      </c>
      <c r="P1066" s="90"/>
      <c r="Q1066" s="88"/>
      <c r="R1066" s="689">
        <f>+_xlfn.XLOOKUP(Tabla4[[#This Row],[ID CLIENTE]],'RESUMEN CLIENTES'!D:D,'RESUMEN CLIENTES'!G:G)</f>
        <v>45882</v>
      </c>
      <c r="S1066" s="88" t="str">
        <f>+_xlfn.XLOOKUP(Tabla4[[#This Row],[ID CLIENTE]],'RESUMEN CLIENTES'!D:D,'RESUMEN CLIENTES'!AA:AA)</f>
        <v>A1.1</v>
      </c>
      <c r="T1066" s="680" t="str">
        <f>+_xlfn.XLOOKUP(Tabla4[[#This Row],[ID CLIENTE]],'RESUMEN CLIENTES'!D:D,'RESUMEN CLIENTES'!C:C)</f>
        <v>Ecuador</v>
      </c>
    </row>
    <row r="1067" spans="1:20" ht="16">
      <c r="A1067" s="556">
        <v>46081</v>
      </c>
      <c r="B1067" s="556" t="str">
        <f>+_xlfn.XLOOKUP(Tabla4[[#This Row],[ID CLIENTE]],'RESUMEN CLIENTES'!D:D,'RESUMEN CLIENTES'!A:A)</f>
        <v>Gilberto Martiñon Torres</v>
      </c>
      <c r="C1067" s="215" t="s">
        <v>2375</v>
      </c>
      <c r="D1067" s="83" t="s">
        <v>739</v>
      </c>
      <c r="E1067" s="83" t="s">
        <v>4739</v>
      </c>
      <c r="F1067" s="83" t="s">
        <v>4740</v>
      </c>
      <c r="G1067" s="114">
        <v>700</v>
      </c>
      <c r="H1067" s="85">
        <v>-23</v>
      </c>
      <c r="I1067" s="115">
        <f t="shared" si="34"/>
        <v>3.2857142857142856E-2</v>
      </c>
      <c r="J1067" s="87">
        <f t="shared" si="35"/>
        <v>677</v>
      </c>
      <c r="K1067" s="87"/>
      <c r="L1067" s="87"/>
      <c r="M1067" s="87"/>
      <c r="N1067" s="90"/>
      <c r="O1067" s="557">
        <f>+Tabla4[[#This Row],[PAGO NO EURO]]+Tabla4[[#This Row],[CARGO NO EURO]]</f>
        <v>0</v>
      </c>
      <c r="P1067" s="90"/>
      <c r="Q1067" s="88"/>
      <c r="R1067" s="689">
        <f>+_xlfn.XLOOKUP(Tabla4[[#This Row],[ID CLIENTE]],'RESUMEN CLIENTES'!D:D,'RESUMEN CLIENTES'!G:G)</f>
        <v>45896</v>
      </c>
      <c r="S1067" s="88" t="str">
        <f>+_xlfn.XLOOKUP(Tabla4[[#This Row],[ID CLIENTE]],'RESUMEN CLIENTES'!D:D,'RESUMEN CLIENTES'!AA:AA)</f>
        <v>A1.1</v>
      </c>
      <c r="T1067" s="680" t="str">
        <f>+_xlfn.XLOOKUP(Tabla4[[#This Row],[ID CLIENTE]],'RESUMEN CLIENTES'!D:D,'RESUMEN CLIENTES'!C:C)</f>
        <v>México</v>
      </c>
    </row>
    <row r="1068" spans="1:20" ht="16">
      <c r="A1068" s="556">
        <v>46081</v>
      </c>
      <c r="B1068" s="556" t="str">
        <f>+_xlfn.XLOOKUP(Tabla4[[#This Row],[ID CLIENTE]],'RESUMEN CLIENTES'!D:D,'RESUMEN CLIENTES'!A:A)</f>
        <v>Juan Camilo Sanchez Ramirez</v>
      </c>
      <c r="C1068" s="215" t="s">
        <v>2227</v>
      </c>
      <c r="D1068" s="83" t="s">
        <v>266</v>
      </c>
      <c r="E1068" s="83" t="s">
        <v>4743</v>
      </c>
      <c r="F1068" s="83" t="s">
        <v>4744</v>
      </c>
      <c r="G1068" s="114">
        <v>1000</v>
      </c>
      <c r="H1068" s="85">
        <v>-32.75</v>
      </c>
      <c r="I1068" s="115">
        <f t="shared" si="34"/>
        <v>3.2750000000000001E-2</v>
      </c>
      <c r="J1068" s="87">
        <f t="shared" si="35"/>
        <v>967.25</v>
      </c>
      <c r="K1068" s="87"/>
      <c r="L1068" s="87"/>
      <c r="M1068" s="87"/>
      <c r="N1068" s="90"/>
      <c r="O1068" s="557">
        <f>+Tabla4[[#This Row],[PAGO NO EURO]]+Tabla4[[#This Row],[CARGO NO EURO]]</f>
        <v>0</v>
      </c>
      <c r="P1068" s="90"/>
      <c r="Q1068" s="88"/>
      <c r="R1068" s="689">
        <f>+_xlfn.XLOOKUP(Tabla4[[#This Row],[ID CLIENTE]],'RESUMEN CLIENTES'!D:D,'RESUMEN CLIENTES'!G:G)</f>
        <v>45807</v>
      </c>
      <c r="S1068" s="88" t="str">
        <f>+_xlfn.XLOOKUP(Tabla4[[#This Row],[ID CLIENTE]],'RESUMEN CLIENTES'!D:D,'RESUMEN CLIENTES'!AA:AA)</f>
        <v>A1.1</v>
      </c>
      <c r="T1068" s="680" t="str">
        <f>+_xlfn.XLOOKUP(Tabla4[[#This Row],[ID CLIENTE]],'RESUMEN CLIENTES'!D:D,'RESUMEN CLIENTES'!C:C)</f>
        <v>Colombia</v>
      </c>
    </row>
    <row r="1069" spans="1:20" ht="16">
      <c r="A1069" s="556">
        <v>46081</v>
      </c>
      <c r="B1069" s="556" t="str">
        <f>+_xlfn.XLOOKUP(Tabla4[[#This Row],[ID CLIENTE]],'RESUMEN CLIENTES'!D:D,'RESUMEN CLIENTES'!A:A)</f>
        <v>Jose Marcelo Marroquín Guzmán</v>
      </c>
      <c r="C1069" s="215" t="s">
        <v>2121</v>
      </c>
      <c r="D1069" s="83" t="s">
        <v>87</v>
      </c>
      <c r="E1069" s="83" t="s">
        <v>4699</v>
      </c>
      <c r="F1069" s="83" t="s">
        <v>4700</v>
      </c>
      <c r="G1069" s="114">
        <v>400</v>
      </c>
      <c r="H1069" s="85">
        <v>-13.25</v>
      </c>
      <c r="I1069" s="115">
        <f t="shared" si="34"/>
        <v>3.3125000000000002E-2</v>
      </c>
      <c r="J1069" s="87">
        <f t="shared" si="35"/>
        <v>386.75</v>
      </c>
      <c r="K1069" s="87"/>
      <c r="L1069" s="87"/>
      <c r="M1069" s="87"/>
      <c r="N1069" s="90"/>
      <c r="O1069" s="557">
        <f>+Tabla4[[#This Row],[PAGO NO EURO]]+Tabla4[[#This Row],[CARGO NO EURO]]</f>
        <v>0</v>
      </c>
      <c r="P1069" s="90"/>
      <c r="Q1069" s="88"/>
      <c r="R1069" s="689">
        <f>+_xlfn.XLOOKUP(Tabla4[[#This Row],[ID CLIENTE]],'RESUMEN CLIENTES'!D:D,'RESUMEN CLIENTES'!G:G)</f>
        <v>45658</v>
      </c>
      <c r="S1069" s="88" t="str">
        <f>+_xlfn.XLOOKUP(Tabla4[[#This Row],[ID CLIENTE]],'RESUMEN CLIENTES'!D:D,'RESUMEN CLIENTES'!AA:AA)</f>
        <v>A2.1</v>
      </c>
      <c r="T1069" s="680" t="str">
        <f>+_xlfn.XLOOKUP(Tabla4[[#This Row],[ID CLIENTE]],'RESUMEN CLIENTES'!D:D,'RESUMEN CLIENTES'!C:C)</f>
        <v>El Salvador</v>
      </c>
    </row>
    <row r="1070" spans="1:20" ht="16">
      <c r="A1070" s="556">
        <v>46082</v>
      </c>
      <c r="B1070" s="556" t="str">
        <f>+_xlfn.XLOOKUP(Tabla4[[#This Row],[ID CLIENTE]],'RESUMEN CLIENTES'!D:D,'RESUMEN CLIENTES'!A:A)</f>
        <v>Constanza Andrea Águila Vergara</v>
      </c>
      <c r="C1070" s="215" t="s">
        <v>2441</v>
      </c>
      <c r="D1070" s="83" t="s">
        <v>1245</v>
      </c>
      <c r="E1070" s="83" t="s">
        <v>4809</v>
      </c>
      <c r="F1070" s="83" t="s">
        <v>4810</v>
      </c>
      <c r="G1070" s="114">
        <v>850</v>
      </c>
      <c r="H1070" s="85">
        <v>-27.88</v>
      </c>
      <c r="I1070" s="115">
        <f t="shared" si="34"/>
        <v>3.2799999999999996E-2</v>
      </c>
      <c r="J1070" s="87">
        <f t="shared" si="35"/>
        <v>822.12</v>
      </c>
      <c r="K1070" s="87"/>
      <c r="L1070" s="87"/>
      <c r="M1070" s="87"/>
      <c r="N1070" s="90"/>
      <c r="O1070" s="557">
        <f>+Tabla4[[#This Row],[PAGO NO EURO]]+Tabla4[[#This Row],[CARGO NO EURO]]</f>
        <v>0</v>
      </c>
      <c r="P1070" s="90"/>
      <c r="Q1070" s="88"/>
      <c r="R1070" s="689">
        <f>+_xlfn.XLOOKUP(Tabla4[[#This Row],[ID CLIENTE]],'RESUMEN CLIENTES'!D:D,'RESUMEN CLIENTES'!G:G)</f>
        <v>45957</v>
      </c>
      <c r="S1070" s="88" t="str">
        <f>+_xlfn.XLOOKUP(Tabla4[[#This Row],[ID CLIENTE]],'RESUMEN CLIENTES'!D:D,'RESUMEN CLIENTES'!AA:AA)</f>
        <v>A1.2</v>
      </c>
      <c r="T1070" s="680" t="str">
        <f>+_xlfn.XLOOKUP(Tabla4[[#This Row],[ID CLIENTE]],'RESUMEN CLIENTES'!D:D,'RESUMEN CLIENTES'!C:C)</f>
        <v>Chile</v>
      </c>
    </row>
    <row r="1071" spans="1:20" ht="16">
      <c r="A1071" s="556">
        <v>46082</v>
      </c>
      <c r="B1071" s="556" t="str">
        <f>+_xlfn.XLOOKUP(Tabla4[[#This Row],[ID CLIENTE]],'RESUMEN CLIENTES'!D:D,'RESUMEN CLIENTES'!A:A)</f>
        <v>Rainier Guerrero</v>
      </c>
      <c r="C1071" s="215" t="s">
        <v>2263</v>
      </c>
      <c r="D1071" s="83" t="s">
        <v>350</v>
      </c>
      <c r="E1071" s="83" t="s">
        <v>4758</v>
      </c>
      <c r="F1071" s="83" t="s">
        <v>4759</v>
      </c>
      <c r="G1071" s="114">
        <v>1000</v>
      </c>
      <c r="H1071" s="85">
        <v>-32.75</v>
      </c>
      <c r="I1071" s="115">
        <f t="shared" si="34"/>
        <v>3.2750000000000001E-2</v>
      </c>
      <c r="J1071" s="87">
        <f t="shared" si="35"/>
        <v>967.25</v>
      </c>
      <c r="K1071" s="87"/>
      <c r="L1071" s="87"/>
      <c r="M1071" s="87"/>
      <c r="N1071" s="90"/>
      <c r="O1071" s="557">
        <f>+Tabla4[[#This Row],[PAGO NO EURO]]+Tabla4[[#This Row],[CARGO NO EURO]]</f>
        <v>0</v>
      </c>
      <c r="P1071" s="90"/>
      <c r="Q1071" s="88"/>
      <c r="R1071" s="689">
        <f>+_xlfn.XLOOKUP(Tabla4[[#This Row],[ID CLIENTE]],'RESUMEN CLIENTES'!D:D,'RESUMEN CLIENTES'!G:G)</f>
        <v>45827</v>
      </c>
      <c r="S1071" s="88" t="str">
        <f>+_xlfn.XLOOKUP(Tabla4[[#This Row],[ID CLIENTE]],'RESUMEN CLIENTES'!D:D,'RESUMEN CLIENTES'!AA:AA)</f>
        <v>A1.1</v>
      </c>
      <c r="T1071" s="680" t="str">
        <f>+_xlfn.XLOOKUP(Tabla4[[#This Row],[ID CLIENTE]],'RESUMEN CLIENTES'!D:D,'RESUMEN CLIENTES'!C:C)</f>
        <v>México</v>
      </c>
    </row>
    <row r="1072" spans="1:20" ht="16">
      <c r="A1072" s="556">
        <v>46083</v>
      </c>
      <c r="B1072" s="556" t="str">
        <f>+_xlfn.XLOOKUP(Tabla4[[#This Row],[ID CLIENTE]],'RESUMEN CLIENTES'!D:D,'RESUMEN CLIENTES'!A:A)</f>
        <v>Luis Armando Calderon Manzanera</v>
      </c>
      <c r="C1072" s="215" t="s">
        <v>2461</v>
      </c>
      <c r="D1072" s="83" t="s">
        <v>1416</v>
      </c>
      <c r="E1072" s="83" t="s">
        <v>4848</v>
      </c>
      <c r="F1072" s="83" t="s">
        <v>4849</v>
      </c>
      <c r="G1072" s="114">
        <v>650</v>
      </c>
      <c r="H1072" s="85">
        <v>-21.38</v>
      </c>
      <c r="I1072" s="115">
        <f t="shared" si="34"/>
        <v>3.2892307692307693E-2</v>
      </c>
      <c r="J1072" s="87">
        <f t="shared" si="35"/>
        <v>628.62</v>
      </c>
      <c r="K1072" s="87"/>
      <c r="L1072" s="87"/>
      <c r="M1072" s="87"/>
      <c r="N1072" s="90"/>
      <c r="O1072" s="557">
        <f>+Tabla4[[#This Row],[PAGO NO EURO]]+Tabla4[[#This Row],[CARGO NO EURO]]</f>
        <v>0</v>
      </c>
      <c r="P1072" s="90"/>
      <c r="Q1072" s="88"/>
      <c r="R1072" s="689">
        <f>+_xlfn.XLOOKUP(Tabla4[[#This Row],[ID CLIENTE]],'RESUMEN CLIENTES'!D:D,'RESUMEN CLIENTES'!G:G)</f>
        <v>45979</v>
      </c>
      <c r="S1072" s="88" t="str">
        <f>+_xlfn.XLOOKUP(Tabla4[[#This Row],[ID CLIENTE]],'RESUMEN CLIENTES'!D:D,'RESUMEN CLIENTES'!AA:AA)</f>
        <v>A1.1</v>
      </c>
      <c r="T1072" s="680" t="str">
        <f>+_xlfn.XLOOKUP(Tabla4[[#This Row],[ID CLIENTE]],'RESUMEN CLIENTES'!D:D,'RESUMEN CLIENTES'!C:C)</f>
        <v>México</v>
      </c>
    </row>
    <row r="1073" spans="1:20" ht="16">
      <c r="A1073" s="556">
        <v>46083</v>
      </c>
      <c r="B1073" s="556" t="str">
        <f>+_xlfn.XLOOKUP(Tabla4[[#This Row],[ID CLIENTE]],'RESUMEN CLIENTES'!D:D,'RESUMEN CLIENTES'!A:A)</f>
        <v>Erick Leonardo Chiriboga Valdiviezo</v>
      </c>
      <c r="C1073" s="215" t="s">
        <v>2341</v>
      </c>
      <c r="D1073" s="83" t="s">
        <v>595</v>
      </c>
      <c r="E1073" s="83" t="s">
        <v>4850</v>
      </c>
      <c r="F1073" s="83" t="s">
        <v>4851</v>
      </c>
      <c r="G1073" s="114">
        <v>1000</v>
      </c>
      <c r="H1073" s="85">
        <v>-32.75</v>
      </c>
      <c r="I1073" s="115">
        <f t="shared" si="34"/>
        <v>3.2750000000000001E-2</v>
      </c>
      <c r="J1073" s="87">
        <f t="shared" si="35"/>
        <v>967.25</v>
      </c>
      <c r="K1073" s="87"/>
      <c r="L1073" s="87"/>
      <c r="M1073" s="87"/>
      <c r="N1073" s="90"/>
      <c r="O1073" s="557">
        <f>+Tabla4[[#This Row],[PAGO NO EURO]]+Tabla4[[#This Row],[CARGO NO EURO]]</f>
        <v>0</v>
      </c>
      <c r="P1073" s="90"/>
      <c r="Q1073" s="88"/>
      <c r="R1073" s="689">
        <f>+_xlfn.XLOOKUP(Tabla4[[#This Row],[ID CLIENTE]],'RESUMEN CLIENTES'!D:D,'RESUMEN CLIENTES'!G:G)</f>
        <v>45870</v>
      </c>
      <c r="S1073" s="88" t="str">
        <f>+_xlfn.XLOOKUP(Tabla4[[#This Row],[ID CLIENTE]],'RESUMEN CLIENTES'!D:D,'RESUMEN CLIENTES'!AA:AA)</f>
        <v>A1.1</v>
      </c>
      <c r="T1073" s="680" t="str">
        <f>+_xlfn.XLOOKUP(Tabla4[[#This Row],[ID CLIENTE]],'RESUMEN CLIENTES'!D:D,'RESUMEN CLIENTES'!C:C)</f>
        <v>Ecuador</v>
      </c>
    </row>
    <row r="1074" spans="1:20" ht="16">
      <c r="A1074" s="556">
        <v>46083</v>
      </c>
      <c r="B1074" s="556" t="str">
        <f>+_xlfn.XLOOKUP(Tabla4[[#This Row],[ID CLIENTE]],'RESUMEN CLIENTES'!D:D,'RESUMEN CLIENTES'!A:A)</f>
        <v xml:space="preserve">Catalina Ochoa Urrutia
</v>
      </c>
      <c r="C1074" s="215" t="s">
        <v>2180</v>
      </c>
      <c r="D1074" s="83" t="s">
        <v>168</v>
      </c>
      <c r="E1074" s="83" t="s">
        <v>4879</v>
      </c>
      <c r="F1074" s="561" t="s">
        <v>4880</v>
      </c>
      <c r="G1074" s="114">
        <v>800</v>
      </c>
      <c r="H1074" s="85">
        <v>-26.25</v>
      </c>
      <c r="I1074" s="115">
        <f t="shared" si="34"/>
        <v>3.2812500000000001E-2</v>
      </c>
      <c r="J1074" s="87">
        <f t="shared" si="35"/>
        <v>773.75</v>
      </c>
      <c r="K1074" s="559"/>
      <c r="L1074" s="87"/>
      <c r="M1074" s="559"/>
      <c r="N1074" s="557"/>
      <c r="O1074" s="557">
        <f>+Tabla4[[#This Row],[PAGO NO EURO]]+Tabla4[[#This Row],[CARGO NO EURO]]</f>
        <v>0</v>
      </c>
      <c r="P1074" s="557"/>
      <c r="Q1074" s="560"/>
      <c r="R1074" s="699">
        <f>+_xlfn.XLOOKUP(Tabla4[[#This Row],[ID CLIENTE]],'RESUMEN CLIENTES'!D:D,'RESUMEN CLIENTES'!G:G)</f>
        <v>45762</v>
      </c>
      <c r="S1074" s="560" t="str">
        <f>+_xlfn.XLOOKUP(Tabla4[[#This Row],[ID CLIENTE]],'RESUMEN CLIENTES'!D:D,'RESUMEN CLIENTES'!AA:AA)</f>
        <v>B2.1</v>
      </c>
      <c r="T1074" s="687" t="str">
        <f>+_xlfn.XLOOKUP(Tabla4[[#This Row],[ID CLIENTE]],'RESUMEN CLIENTES'!D:D,'RESUMEN CLIENTES'!C:C)</f>
        <v>Chile</v>
      </c>
    </row>
    <row r="1075" spans="1:20" ht="16">
      <c r="A1075" s="556">
        <v>46083</v>
      </c>
      <c r="B1075" s="556" t="str">
        <f>+_xlfn.XLOOKUP(Tabla4[[#This Row],[ID CLIENTE]],'RESUMEN CLIENTES'!D:D,'RESUMEN CLIENTES'!A:A)</f>
        <v>Bryan Israel Jiménez Puente</v>
      </c>
      <c r="C1075" s="215" t="s">
        <v>2434</v>
      </c>
      <c r="D1075" s="83" t="s">
        <v>1206</v>
      </c>
      <c r="E1075" s="83" t="s">
        <v>4900</v>
      </c>
      <c r="F1075" s="561" t="s">
        <v>4901</v>
      </c>
      <c r="G1075" s="114">
        <v>920</v>
      </c>
      <c r="H1075" s="85">
        <v>-48.15</v>
      </c>
      <c r="I1075" s="115">
        <f t="shared" si="34"/>
        <v>5.2336956521739128E-2</v>
      </c>
      <c r="J1075" s="87">
        <f t="shared" si="35"/>
        <v>871.85</v>
      </c>
      <c r="K1075" s="559"/>
      <c r="L1075" s="87"/>
      <c r="M1075" s="559"/>
      <c r="N1075" s="557"/>
      <c r="O1075" s="557">
        <f>+Tabla4[[#This Row],[PAGO NO EURO]]+Tabla4[[#This Row],[CARGO NO EURO]]</f>
        <v>0</v>
      </c>
      <c r="P1075" s="557"/>
      <c r="Q1075" s="560"/>
      <c r="R1075" s="699">
        <f>+_xlfn.XLOOKUP(Tabla4[[#This Row],[ID CLIENTE]],'RESUMEN CLIENTES'!D:D,'RESUMEN CLIENTES'!G:G)</f>
        <v>45947</v>
      </c>
      <c r="S1075" s="560" t="str">
        <f>+_xlfn.XLOOKUP(Tabla4[[#This Row],[ID CLIENTE]],'RESUMEN CLIENTES'!D:D,'RESUMEN CLIENTES'!AA:AA)</f>
        <v>A1.1</v>
      </c>
      <c r="T1075" s="687" t="str">
        <f>+_xlfn.XLOOKUP(Tabla4[[#This Row],[ID CLIENTE]],'RESUMEN CLIENTES'!D:D,'RESUMEN CLIENTES'!C:C)</f>
        <v>Ecuador</v>
      </c>
    </row>
    <row r="1076" spans="1:20" ht="16">
      <c r="A1076" s="556">
        <v>46083</v>
      </c>
      <c r="B1076" s="556" t="str">
        <f>+_xlfn.XLOOKUP(Tabla4[[#This Row],[ID CLIENTE]],'RESUMEN CLIENTES'!D:D,'RESUMEN CLIENTES'!A:A)</f>
        <v>Rodrigo Rivera Ruiz</v>
      </c>
      <c r="C1076" s="215" t="s">
        <v>2170</v>
      </c>
      <c r="D1076" s="83" t="s">
        <v>159</v>
      </c>
      <c r="E1076" s="83" t="s">
        <v>4918</v>
      </c>
      <c r="F1076" s="561" t="s">
        <v>4919</v>
      </c>
      <c r="G1076" s="114">
        <v>800</v>
      </c>
      <c r="H1076" s="85">
        <v>-26.25</v>
      </c>
      <c r="I1076" s="115">
        <f t="shared" si="34"/>
        <v>3.2812500000000001E-2</v>
      </c>
      <c r="J1076" s="87">
        <f t="shared" si="35"/>
        <v>773.75</v>
      </c>
      <c r="K1076" s="559"/>
      <c r="L1076" s="87"/>
      <c r="M1076" s="559"/>
      <c r="N1076" s="557"/>
      <c r="O1076" s="557">
        <f>+Tabla4[[#This Row],[PAGO NO EURO]]+Tabla4[[#This Row],[CARGO NO EURO]]</f>
        <v>0</v>
      </c>
      <c r="P1076" s="557"/>
      <c r="Q1076" s="560"/>
      <c r="R1076" s="699">
        <f>+_xlfn.XLOOKUP(Tabla4[[#This Row],[ID CLIENTE]],'RESUMEN CLIENTES'!D:D,'RESUMEN CLIENTES'!G:G)</f>
        <v>45757</v>
      </c>
      <c r="S1076" s="560" t="str">
        <f>+_xlfn.XLOOKUP(Tabla4[[#This Row],[ID CLIENTE]],'RESUMEN CLIENTES'!D:D,'RESUMEN CLIENTES'!AA:AA)</f>
        <v>A1.1</v>
      </c>
      <c r="T1076" s="687" t="str">
        <f>+_xlfn.XLOOKUP(Tabla4[[#This Row],[ID CLIENTE]],'RESUMEN CLIENTES'!D:D,'RESUMEN CLIENTES'!C:C)</f>
        <v>Chile</v>
      </c>
    </row>
    <row r="1077" spans="1:20" ht="16">
      <c r="A1077" s="556">
        <v>46083</v>
      </c>
      <c r="B1077" s="556" t="str">
        <f>+_xlfn.XLOOKUP(Tabla4[[#This Row],[ID CLIENTE]],'RESUMEN CLIENTES'!D:D,'RESUMEN CLIENTES'!A:A)</f>
        <v>Diego Alberto Ruiz Cifuentes</v>
      </c>
      <c r="C1077" s="215" t="s">
        <v>2487</v>
      </c>
      <c r="D1077" s="83" t="s">
        <v>1674</v>
      </c>
      <c r="E1077" s="83" t="s">
        <v>4902</v>
      </c>
      <c r="F1077" s="561" t="s">
        <v>4903</v>
      </c>
      <c r="G1077" s="114">
        <v>1000</v>
      </c>
      <c r="H1077" s="85">
        <v>-32.75</v>
      </c>
      <c r="I1077" s="115">
        <f t="shared" si="34"/>
        <v>3.2750000000000001E-2</v>
      </c>
      <c r="J1077" s="87">
        <f t="shared" si="35"/>
        <v>967.25</v>
      </c>
      <c r="K1077" s="559"/>
      <c r="L1077" s="87"/>
      <c r="M1077" s="559"/>
      <c r="N1077" s="557"/>
      <c r="O1077" s="557">
        <f>+Tabla4[[#This Row],[PAGO NO EURO]]+Tabla4[[#This Row],[CARGO NO EURO]]</f>
        <v>0</v>
      </c>
      <c r="P1077" s="557"/>
      <c r="Q1077" s="560"/>
      <c r="R1077" s="699">
        <f>+_xlfn.XLOOKUP(Tabla4[[#This Row],[ID CLIENTE]],'RESUMEN CLIENTES'!D:D,'RESUMEN CLIENTES'!G:G)</f>
        <v>46006</v>
      </c>
      <c r="S1077" s="560" t="str">
        <f>+_xlfn.XLOOKUP(Tabla4[[#This Row],[ID CLIENTE]],'RESUMEN CLIENTES'!D:D,'RESUMEN CLIENTES'!AA:AA)</f>
        <v>A2.1</v>
      </c>
      <c r="T1077" s="687" t="str">
        <f>+_xlfn.XLOOKUP(Tabla4[[#This Row],[ID CLIENTE]],'RESUMEN CLIENTES'!D:D,'RESUMEN CLIENTES'!C:C)</f>
        <v>Chile</v>
      </c>
    </row>
    <row r="1078" spans="1:20" ht="16">
      <c r="A1078" s="556">
        <v>46083</v>
      </c>
      <c r="B1078" s="556" t="str">
        <f>+_xlfn.XLOOKUP(Tabla4[[#This Row],[ID CLIENTE]],'RESUMEN CLIENTES'!D:D,'RESUMEN CLIENTES'!A:A)</f>
        <v>Boris Andrés Silva Véliz</v>
      </c>
      <c r="C1078" s="215" t="s">
        <v>2184</v>
      </c>
      <c r="D1078" s="83" t="s">
        <v>184</v>
      </c>
      <c r="E1078" s="83" t="s">
        <v>4890</v>
      </c>
      <c r="F1078" s="561" t="s">
        <v>4891</v>
      </c>
      <c r="G1078" s="114">
        <v>695</v>
      </c>
      <c r="H1078" s="85">
        <v>-22.84</v>
      </c>
      <c r="I1078" s="115">
        <f t="shared" si="34"/>
        <v>3.2863309352517987E-2</v>
      </c>
      <c r="J1078" s="87">
        <f t="shared" si="35"/>
        <v>672.16</v>
      </c>
      <c r="K1078" s="559"/>
      <c r="L1078" s="87"/>
      <c r="M1078" s="559"/>
      <c r="N1078" s="557"/>
      <c r="O1078" s="557">
        <f>+Tabla4[[#This Row],[PAGO NO EURO]]+Tabla4[[#This Row],[CARGO NO EURO]]</f>
        <v>0</v>
      </c>
      <c r="P1078" s="557"/>
      <c r="Q1078" s="560"/>
      <c r="R1078" s="699">
        <f>+_xlfn.XLOOKUP(Tabla4[[#This Row],[ID CLIENTE]],'RESUMEN CLIENTES'!D:D,'RESUMEN CLIENTES'!G:G)</f>
        <v>45771</v>
      </c>
      <c r="S1078" s="560" t="str">
        <f>+_xlfn.XLOOKUP(Tabla4[[#This Row],[ID CLIENTE]],'RESUMEN CLIENTES'!D:D,'RESUMEN CLIENTES'!AA:AA)</f>
        <v>C1.1</v>
      </c>
      <c r="T1078" s="687" t="str">
        <f>+_xlfn.XLOOKUP(Tabla4[[#This Row],[ID CLIENTE]],'RESUMEN CLIENTES'!D:D,'RESUMEN CLIENTES'!C:C)</f>
        <v>Chile</v>
      </c>
    </row>
    <row r="1079" spans="1:20" ht="16">
      <c r="A1079" s="556">
        <v>46084</v>
      </c>
      <c r="B1079" s="556" t="str">
        <f>+_xlfn.XLOOKUP(Tabla4[[#This Row],[ID CLIENTE]],'RESUMEN CLIENTES'!D:D,'RESUMEN CLIENTES'!A:A)</f>
        <v>Johan Martínez</v>
      </c>
      <c r="C1079" s="215" t="s">
        <v>2501</v>
      </c>
      <c r="D1079" s="83" t="s">
        <v>1899</v>
      </c>
      <c r="E1079" s="83" t="s">
        <v>4807</v>
      </c>
      <c r="F1079" s="561" t="s">
        <v>4808</v>
      </c>
      <c r="G1079" s="114">
        <v>500</v>
      </c>
      <c r="H1079" s="85">
        <v>-16.5</v>
      </c>
      <c r="I1079" s="115">
        <f t="shared" si="34"/>
        <v>3.3000000000000002E-2</v>
      </c>
      <c r="J1079" s="87">
        <f t="shared" si="35"/>
        <v>483.5</v>
      </c>
      <c r="K1079" s="559"/>
      <c r="L1079" s="87"/>
      <c r="M1079" s="559"/>
      <c r="N1079" s="557"/>
      <c r="O1079" s="557">
        <f>+Tabla4[[#This Row],[PAGO NO EURO]]+Tabla4[[#This Row],[CARGO NO EURO]]</f>
        <v>0</v>
      </c>
      <c r="P1079" s="557"/>
      <c r="Q1079" s="560"/>
      <c r="R1079" s="699">
        <f>+_xlfn.XLOOKUP(Tabla4[[#This Row],[ID CLIENTE]],'RESUMEN CLIENTES'!D:D,'RESUMEN CLIENTES'!G:G)</f>
        <v>46033</v>
      </c>
      <c r="S1079" s="560" t="str">
        <f>+_xlfn.XLOOKUP(Tabla4[[#This Row],[ID CLIENTE]],'RESUMEN CLIENTES'!D:D,'RESUMEN CLIENTES'!AA:AA)</f>
        <v>A1.1</v>
      </c>
      <c r="T1079" s="687" t="str">
        <f>+_xlfn.XLOOKUP(Tabla4[[#This Row],[ID CLIENTE]],'RESUMEN CLIENTES'!D:D,'RESUMEN CLIENTES'!C:C)</f>
        <v>Colombia</v>
      </c>
    </row>
    <row r="1080" spans="1:20" ht="16">
      <c r="A1080" s="556">
        <v>46084</v>
      </c>
      <c r="B1080" s="556" t="str">
        <f>+_xlfn.XLOOKUP(Tabla4[[#This Row],[ID CLIENTE]],'RESUMEN CLIENTES'!D:D,'RESUMEN CLIENTES'!A:A)</f>
        <v>Jessenia Mishell Mosquera Olivo</v>
      </c>
      <c r="C1080" s="215" t="s">
        <v>5986</v>
      </c>
      <c r="D1080" s="83" t="s">
        <v>5987</v>
      </c>
      <c r="E1080" s="83" t="s">
        <v>5988</v>
      </c>
      <c r="F1080" s="561" t="s">
        <v>5989</v>
      </c>
      <c r="G1080" s="114">
        <v>500</v>
      </c>
      <c r="H1080" s="85">
        <v>-16.5</v>
      </c>
      <c r="I1080" s="115">
        <f t="shared" si="34"/>
        <v>3.3000000000000002E-2</v>
      </c>
      <c r="J1080" s="87">
        <f t="shared" si="35"/>
        <v>483.5</v>
      </c>
      <c r="K1080" s="559"/>
      <c r="L1080" s="87"/>
      <c r="M1080" s="559"/>
      <c r="N1080" s="557"/>
      <c r="O1080" s="557">
        <f>+Tabla4[[#This Row],[PAGO NO EURO]]+Tabla4[[#This Row],[CARGO NO EURO]]</f>
        <v>0</v>
      </c>
      <c r="P1080" s="557"/>
      <c r="Q1080" s="560"/>
      <c r="R1080" s="699">
        <f>+_xlfn.XLOOKUP(Tabla4[[#This Row],[ID CLIENTE]],'RESUMEN CLIENTES'!D:D,'RESUMEN CLIENTES'!G:G)</f>
        <v>46084</v>
      </c>
      <c r="S1080" s="560" t="str">
        <f>+_xlfn.XLOOKUP(Tabla4[[#This Row],[ID CLIENTE]],'RESUMEN CLIENTES'!D:D,'RESUMEN CLIENTES'!AA:AA)</f>
        <v>null</v>
      </c>
      <c r="T1080" s="687" t="str">
        <f>+_xlfn.XLOOKUP(Tabla4[[#This Row],[ID CLIENTE]],'RESUMEN CLIENTES'!D:D,'RESUMEN CLIENTES'!C:C)</f>
        <v>Ecuador</v>
      </c>
    </row>
    <row r="1081" spans="1:20" ht="16">
      <c r="A1081" s="556">
        <v>46084</v>
      </c>
      <c r="B1081" s="556" t="str">
        <f>+_xlfn.XLOOKUP(Tabla4[[#This Row],[ID CLIENTE]],'RESUMEN CLIENTES'!D:D,'RESUMEN CLIENTES'!A:A)</f>
        <v>Daniel Flores</v>
      </c>
      <c r="C1081" s="215" t="s">
        <v>2430</v>
      </c>
      <c r="D1081" s="83" t="s">
        <v>1178</v>
      </c>
      <c r="E1081" s="83" t="s">
        <v>4811</v>
      </c>
      <c r="F1081" s="83" t="s">
        <v>4812</v>
      </c>
      <c r="G1081" s="114">
        <v>850</v>
      </c>
      <c r="H1081" s="85">
        <v>-27.88</v>
      </c>
      <c r="I1081" s="115">
        <f t="shared" si="34"/>
        <v>3.2799999999999996E-2</v>
      </c>
      <c r="J1081" s="87">
        <f t="shared" si="35"/>
        <v>822.12</v>
      </c>
      <c r="K1081" s="559"/>
      <c r="L1081" s="87"/>
      <c r="M1081" s="559"/>
      <c r="N1081" s="557"/>
      <c r="O1081" s="557">
        <f>+Tabla4[[#This Row],[PAGO NO EURO]]+Tabla4[[#This Row],[CARGO NO EURO]]</f>
        <v>0</v>
      </c>
      <c r="P1081" s="557"/>
      <c r="Q1081" s="560"/>
      <c r="R1081" s="699">
        <f>+_xlfn.XLOOKUP(Tabla4[[#This Row],[ID CLIENTE]],'RESUMEN CLIENTES'!D:D,'RESUMEN CLIENTES'!G:G)</f>
        <v>45945</v>
      </c>
      <c r="S1081" s="560" t="str">
        <f>+_xlfn.XLOOKUP(Tabla4[[#This Row],[ID CLIENTE]],'RESUMEN CLIENTES'!D:D,'RESUMEN CLIENTES'!AA:AA)</f>
        <v>A1.1</v>
      </c>
      <c r="T1081" s="687" t="str">
        <f>+_xlfn.XLOOKUP(Tabla4[[#This Row],[ID CLIENTE]],'RESUMEN CLIENTES'!D:D,'RESUMEN CLIENTES'!C:C)</f>
        <v>Ecuador</v>
      </c>
    </row>
    <row r="1082" spans="1:20" ht="16">
      <c r="A1082" s="556">
        <v>46084</v>
      </c>
      <c r="B1082" s="556" t="str">
        <f>+_xlfn.XLOOKUP(Tabla4[[#This Row],[ID CLIENTE]],'RESUMEN CLIENTES'!D:D,'RESUMEN CLIENTES'!A:A)</f>
        <v>Ari Sifuentes Becerra</v>
      </c>
      <c r="C1082" s="215" t="s">
        <v>6034</v>
      </c>
      <c r="D1082" s="83" t="s">
        <v>6035</v>
      </c>
      <c r="E1082" s="83" t="s">
        <v>6036</v>
      </c>
      <c r="F1082" s="83" t="s">
        <v>6037</v>
      </c>
      <c r="G1082" s="114">
        <v>2750</v>
      </c>
      <c r="H1082" s="85">
        <v>-89.63</v>
      </c>
      <c r="I1082" s="115">
        <f t="shared" si="34"/>
        <v>3.2592727272727273E-2</v>
      </c>
      <c r="J1082" s="87">
        <f t="shared" si="35"/>
        <v>2660.37</v>
      </c>
      <c r="K1082" s="559"/>
      <c r="L1082" s="87"/>
      <c r="M1082" s="559"/>
      <c r="N1082" s="557"/>
      <c r="O1082" s="557">
        <f>+Tabla4[[#This Row],[PAGO NO EURO]]+Tabla4[[#This Row],[CARGO NO EURO]]</f>
        <v>0</v>
      </c>
      <c r="P1082" s="557"/>
      <c r="Q1082" s="560"/>
      <c r="R1082" s="699">
        <f>+_xlfn.XLOOKUP(Tabla4[[#This Row],[ID CLIENTE]],'RESUMEN CLIENTES'!D:D,'RESUMEN CLIENTES'!G:G)</f>
        <v>46084</v>
      </c>
      <c r="S1082" s="560" t="str">
        <f>+_xlfn.XLOOKUP(Tabla4[[#This Row],[ID CLIENTE]],'RESUMEN CLIENTES'!D:D,'RESUMEN CLIENTES'!AA:AA)</f>
        <v>null</v>
      </c>
      <c r="T1082" s="687" t="str">
        <f>+_xlfn.XLOOKUP(Tabla4[[#This Row],[ID CLIENTE]],'RESUMEN CLIENTES'!D:D,'RESUMEN CLIENTES'!C:C)</f>
        <v>México</v>
      </c>
    </row>
    <row r="1083" spans="1:20" ht="16">
      <c r="A1083" s="556">
        <v>46084</v>
      </c>
      <c r="B1083" s="556" t="str">
        <f>+_xlfn.XLOOKUP(Tabla4[[#This Row],[ID CLIENTE]],'RESUMEN CLIENTES'!D:D,'RESUMEN CLIENTES'!A:A)</f>
        <v>Dinorah Gómez Castellanos</v>
      </c>
      <c r="C1083" s="215" t="s">
        <v>2168</v>
      </c>
      <c r="D1083" s="83" t="s">
        <v>194</v>
      </c>
      <c r="E1083" s="83" t="s">
        <v>4910</v>
      </c>
      <c r="F1083" s="83" t="s">
        <v>4911</v>
      </c>
      <c r="G1083" s="114">
        <v>300</v>
      </c>
      <c r="H1083" s="85">
        <v>-10</v>
      </c>
      <c r="I1083" s="115">
        <f t="shared" si="34"/>
        <v>3.3333333333333333E-2</v>
      </c>
      <c r="J1083" s="87">
        <f t="shared" si="35"/>
        <v>290</v>
      </c>
      <c r="K1083" s="559"/>
      <c r="L1083" s="87"/>
      <c r="M1083" s="559"/>
      <c r="N1083" s="557"/>
      <c r="O1083" s="557">
        <f>+Tabla4[[#This Row],[PAGO NO EURO]]+Tabla4[[#This Row],[CARGO NO EURO]]</f>
        <v>0</v>
      </c>
      <c r="P1083" s="557"/>
      <c r="Q1083" s="560"/>
      <c r="R1083" s="699">
        <f>+_xlfn.XLOOKUP(Tabla4[[#This Row],[ID CLIENTE]],'RESUMEN CLIENTES'!D:D,'RESUMEN CLIENTES'!G:G)</f>
        <v>45757</v>
      </c>
      <c r="S1083" s="560" t="str">
        <f>+_xlfn.XLOOKUP(Tabla4[[#This Row],[ID CLIENTE]],'RESUMEN CLIENTES'!D:D,'RESUMEN CLIENTES'!AA:AA)</f>
        <v>B2.1</v>
      </c>
      <c r="T1083" s="687" t="str">
        <f>+_xlfn.XLOOKUP(Tabla4[[#This Row],[ID CLIENTE]],'RESUMEN CLIENTES'!D:D,'RESUMEN CLIENTES'!C:C)</f>
        <v>México</v>
      </c>
    </row>
    <row r="1084" spans="1:20" ht="16">
      <c r="A1084" s="556">
        <v>46084</v>
      </c>
      <c r="B1084" s="556" t="str">
        <f>+_xlfn.XLOOKUP(Tabla4[[#This Row],[ID CLIENTE]],'RESUMEN CLIENTES'!D:D,'RESUMEN CLIENTES'!A:A)</f>
        <v>Ari Sifuentes Becerra</v>
      </c>
      <c r="C1084" s="215" t="s">
        <v>6034</v>
      </c>
      <c r="D1084" s="83" t="s">
        <v>6035</v>
      </c>
      <c r="E1084" s="83" t="s">
        <v>6038</v>
      </c>
      <c r="F1084" s="83" t="s">
        <v>6039</v>
      </c>
      <c r="G1084" s="114">
        <v>250</v>
      </c>
      <c r="H1084" s="85">
        <v>-8.3800000000000008</v>
      </c>
      <c r="I1084" s="115">
        <f t="shared" si="34"/>
        <v>3.3520000000000001E-2</v>
      </c>
      <c r="J1084" s="87">
        <f t="shared" si="35"/>
        <v>241.62</v>
      </c>
      <c r="K1084" s="559"/>
      <c r="L1084" s="87"/>
      <c r="M1084" s="559"/>
      <c r="N1084" s="557"/>
      <c r="O1084" s="557">
        <f>+Tabla4[[#This Row],[PAGO NO EURO]]+Tabla4[[#This Row],[CARGO NO EURO]]</f>
        <v>0</v>
      </c>
      <c r="P1084" s="557"/>
      <c r="Q1084" s="560"/>
      <c r="R1084" s="699">
        <f>+_xlfn.XLOOKUP(Tabla4[[#This Row],[ID CLIENTE]],'RESUMEN CLIENTES'!D:D,'RESUMEN CLIENTES'!G:G)</f>
        <v>46084</v>
      </c>
      <c r="S1084" s="560" t="str">
        <f>+_xlfn.XLOOKUP(Tabla4[[#This Row],[ID CLIENTE]],'RESUMEN CLIENTES'!D:D,'RESUMEN CLIENTES'!AA:AA)</f>
        <v>null</v>
      </c>
      <c r="T1084" s="687" t="str">
        <f>+_xlfn.XLOOKUP(Tabla4[[#This Row],[ID CLIENTE]],'RESUMEN CLIENTES'!D:D,'RESUMEN CLIENTES'!C:C)</f>
        <v>México</v>
      </c>
    </row>
    <row r="1085" spans="1:20" ht="16">
      <c r="A1085" s="556">
        <v>46085</v>
      </c>
      <c r="B1085" s="556" t="str">
        <f>+_xlfn.XLOOKUP(Tabla4[[#This Row],[ID CLIENTE]],'RESUMEN CLIENTES'!D:D,'RESUMEN CLIENTES'!A:A)</f>
        <v>Guillermo Alfonso Garvalena Gaxiola</v>
      </c>
      <c r="C1085" s="215" t="s">
        <v>2176</v>
      </c>
      <c r="D1085" s="83" t="s">
        <v>171</v>
      </c>
      <c r="E1085" s="83" t="s">
        <v>4914</v>
      </c>
      <c r="F1085" s="83" t="s">
        <v>4915</v>
      </c>
      <c r="G1085" s="114">
        <v>500</v>
      </c>
      <c r="H1085" s="85">
        <v>-16.5</v>
      </c>
      <c r="I1085" s="115">
        <f t="shared" si="34"/>
        <v>3.3000000000000002E-2</v>
      </c>
      <c r="J1085" s="87">
        <f t="shared" si="35"/>
        <v>483.5</v>
      </c>
      <c r="K1085" s="559"/>
      <c r="L1085" s="87"/>
      <c r="M1085" s="559"/>
      <c r="N1085" s="557"/>
      <c r="O1085" s="557">
        <f>+Tabla4[[#This Row],[PAGO NO EURO]]+Tabla4[[#This Row],[CARGO NO EURO]]</f>
        <v>0</v>
      </c>
      <c r="P1085" s="557"/>
      <c r="Q1085" s="560"/>
      <c r="R1085" s="699">
        <f>+_xlfn.XLOOKUP(Tabla4[[#This Row],[ID CLIENTE]],'RESUMEN CLIENTES'!D:D,'RESUMEN CLIENTES'!G:G)</f>
        <v>45762</v>
      </c>
      <c r="S1085" s="560" t="str">
        <f>+_xlfn.XLOOKUP(Tabla4[[#This Row],[ID CLIENTE]],'RESUMEN CLIENTES'!D:D,'RESUMEN CLIENTES'!AA:AA)</f>
        <v>A2.1</v>
      </c>
      <c r="T1085" s="687" t="str">
        <f>+_xlfn.XLOOKUP(Tabla4[[#This Row],[ID CLIENTE]],'RESUMEN CLIENTES'!D:D,'RESUMEN CLIENTES'!C:C)</f>
        <v>México</v>
      </c>
    </row>
    <row r="1086" spans="1:20" ht="16">
      <c r="A1086" s="556">
        <v>46085</v>
      </c>
      <c r="B1086" s="556" t="str">
        <f>+_xlfn.XLOOKUP(Tabla4[[#This Row],[ID CLIENTE]],'RESUMEN CLIENTES'!D:D,'RESUMEN CLIENTES'!A:A)</f>
        <v>Guillermo Alfonso Garvalena Gaxiola</v>
      </c>
      <c r="C1086" s="215" t="s">
        <v>2176</v>
      </c>
      <c r="D1086" s="83" t="s">
        <v>171</v>
      </c>
      <c r="E1086" s="83" t="s">
        <v>4916</v>
      </c>
      <c r="F1086" s="83" t="s">
        <v>4917</v>
      </c>
      <c r="G1086" s="114">
        <v>200</v>
      </c>
      <c r="H1086" s="85">
        <v>-6.75</v>
      </c>
      <c r="I1086" s="115">
        <f t="shared" si="34"/>
        <v>3.3750000000000002E-2</v>
      </c>
      <c r="J1086" s="87">
        <f t="shared" si="35"/>
        <v>193.25</v>
      </c>
      <c r="K1086" s="559"/>
      <c r="L1086" s="87"/>
      <c r="M1086" s="559"/>
      <c r="N1086" s="557"/>
      <c r="O1086" s="557">
        <f>+Tabla4[[#This Row],[PAGO NO EURO]]+Tabla4[[#This Row],[CARGO NO EURO]]</f>
        <v>0</v>
      </c>
      <c r="P1086" s="557"/>
      <c r="Q1086" s="560"/>
      <c r="R1086" s="699">
        <f>+_xlfn.XLOOKUP(Tabla4[[#This Row],[ID CLIENTE]],'RESUMEN CLIENTES'!D:D,'RESUMEN CLIENTES'!G:G)</f>
        <v>45762</v>
      </c>
      <c r="S1086" s="560" t="str">
        <f>+_xlfn.XLOOKUP(Tabla4[[#This Row],[ID CLIENTE]],'RESUMEN CLIENTES'!D:D,'RESUMEN CLIENTES'!AA:AA)</f>
        <v>A2.1</v>
      </c>
      <c r="T1086" s="687" t="str">
        <f>+_xlfn.XLOOKUP(Tabla4[[#This Row],[ID CLIENTE]],'RESUMEN CLIENTES'!D:D,'RESUMEN CLIENTES'!C:C)</f>
        <v>México</v>
      </c>
    </row>
    <row r="1087" spans="1:20" ht="16">
      <c r="A1087" s="556">
        <v>46085</v>
      </c>
      <c r="B1087" s="556" t="str">
        <f>+_xlfn.XLOOKUP(Tabla4[[#This Row],[ID CLIENTE]],'RESUMEN CLIENTES'!D:D,'RESUMEN CLIENTES'!A:A)</f>
        <v>Mayra Leonor Rivera Paico</v>
      </c>
      <c r="C1087" s="215" t="s">
        <v>2280</v>
      </c>
      <c r="D1087" s="83" t="s">
        <v>407</v>
      </c>
      <c r="E1087" s="83" t="s">
        <v>4855</v>
      </c>
      <c r="F1087" s="83" t="s">
        <v>4856</v>
      </c>
      <c r="G1087" s="114">
        <v>1000</v>
      </c>
      <c r="H1087" s="85">
        <v>-32.75</v>
      </c>
      <c r="I1087" s="115">
        <f t="shared" si="34"/>
        <v>3.2750000000000001E-2</v>
      </c>
      <c r="J1087" s="87">
        <f t="shared" si="35"/>
        <v>967.25</v>
      </c>
      <c r="K1087" s="559"/>
      <c r="L1087" s="87"/>
      <c r="M1087" s="559"/>
      <c r="N1087" s="557"/>
      <c r="O1087" s="557">
        <f>+Tabla4[[#This Row],[PAGO NO EURO]]+Tabla4[[#This Row],[CARGO NO EURO]]</f>
        <v>0</v>
      </c>
      <c r="P1087" s="557"/>
      <c r="Q1087" s="560"/>
      <c r="R1087" s="699">
        <f>+_xlfn.XLOOKUP(Tabla4[[#This Row],[ID CLIENTE]],'RESUMEN CLIENTES'!D:D,'RESUMEN CLIENTES'!G:G)</f>
        <v>45842</v>
      </c>
      <c r="S1087" s="560" t="str">
        <f>+_xlfn.XLOOKUP(Tabla4[[#This Row],[ID CLIENTE]],'RESUMEN CLIENTES'!D:D,'RESUMEN CLIENTES'!AA:AA)</f>
        <v>A1.1</v>
      </c>
      <c r="T1087" s="687" t="str">
        <f>+_xlfn.XLOOKUP(Tabla4[[#This Row],[ID CLIENTE]],'RESUMEN CLIENTES'!D:D,'RESUMEN CLIENTES'!C:C)</f>
        <v>Perú</v>
      </c>
    </row>
    <row r="1088" spans="1:20" ht="16">
      <c r="A1088" s="556">
        <v>46085</v>
      </c>
      <c r="B1088" s="556" t="str">
        <f>+_xlfn.XLOOKUP(Tabla4[[#This Row],[ID CLIENTE]],'RESUMEN CLIENTES'!D:D,'RESUMEN CLIENTES'!A:A)</f>
        <v>Diego Alonso Salazar Palacios</v>
      </c>
      <c r="C1088" s="215" t="s">
        <v>2216</v>
      </c>
      <c r="D1088" s="83" t="s">
        <v>253</v>
      </c>
      <c r="E1088" s="83" t="s">
        <v>6040</v>
      </c>
      <c r="F1088" s="83" t="s">
        <v>6041</v>
      </c>
      <c r="G1088" s="114">
        <v>1000</v>
      </c>
      <c r="H1088" s="85">
        <v>-32.75</v>
      </c>
      <c r="I1088" s="115">
        <f t="shared" si="34"/>
        <v>3.2750000000000001E-2</v>
      </c>
      <c r="J1088" s="87">
        <f t="shared" si="35"/>
        <v>967.25</v>
      </c>
      <c r="K1088" s="559"/>
      <c r="L1088" s="87"/>
      <c r="M1088" s="559"/>
      <c r="N1088" s="557"/>
      <c r="O1088" s="557">
        <f>+Tabla4[[#This Row],[PAGO NO EURO]]+Tabla4[[#This Row],[CARGO NO EURO]]</f>
        <v>0</v>
      </c>
      <c r="P1088" s="557"/>
      <c r="Q1088" s="560"/>
      <c r="R1088" s="699">
        <f>+_xlfn.XLOOKUP(Tabla4[[#This Row],[ID CLIENTE]],'RESUMEN CLIENTES'!D:D,'RESUMEN CLIENTES'!G:G)</f>
        <v>45803</v>
      </c>
      <c r="S1088" s="560" t="str">
        <f>+_xlfn.XLOOKUP(Tabla4[[#This Row],[ID CLIENTE]],'RESUMEN CLIENTES'!D:D,'RESUMEN CLIENTES'!AA:AA)</f>
        <v>A1.1</v>
      </c>
      <c r="T1088" s="687" t="str">
        <f>+_xlfn.XLOOKUP(Tabla4[[#This Row],[ID CLIENTE]],'RESUMEN CLIENTES'!D:D,'RESUMEN CLIENTES'!C:C)</f>
        <v>Perú</v>
      </c>
    </row>
    <row r="1089" spans="1:20" ht="16">
      <c r="A1089" s="556">
        <v>46085</v>
      </c>
      <c r="B1089" s="556" t="str">
        <f>+_xlfn.XLOOKUP(Tabla4[[#This Row],[ID CLIENTE]],'RESUMEN CLIENTES'!D:D,'RESUMEN CLIENTES'!A:A)</f>
        <v>Marquelle Zerecero Morcksharpe</v>
      </c>
      <c r="C1089" s="215" t="s">
        <v>6042</v>
      </c>
      <c r="D1089" s="83" t="s">
        <v>6043</v>
      </c>
      <c r="E1089" s="83" t="s">
        <v>6044</v>
      </c>
      <c r="F1089" s="83" t="s">
        <v>6045</v>
      </c>
      <c r="G1089" s="114">
        <v>250</v>
      </c>
      <c r="H1089" s="85">
        <v>-8.3800000000000008</v>
      </c>
      <c r="I1089" s="115">
        <f t="shared" si="34"/>
        <v>3.3520000000000001E-2</v>
      </c>
      <c r="J1089" s="87">
        <f t="shared" si="35"/>
        <v>241.62</v>
      </c>
      <c r="K1089" s="559"/>
      <c r="L1089" s="87"/>
      <c r="M1089" s="559"/>
      <c r="N1089" s="557"/>
      <c r="O1089" s="557">
        <f>+Tabla4[[#This Row],[PAGO NO EURO]]+Tabla4[[#This Row],[CARGO NO EURO]]</f>
        <v>0</v>
      </c>
      <c r="P1089" s="557"/>
      <c r="Q1089" s="560"/>
      <c r="R1089" s="699">
        <f>+_xlfn.XLOOKUP(Tabla4[[#This Row],[ID CLIENTE]],'RESUMEN CLIENTES'!D:D,'RESUMEN CLIENTES'!G:G)</f>
        <v>46085</v>
      </c>
      <c r="S1089" s="560" t="str">
        <f>+_xlfn.XLOOKUP(Tabla4[[#This Row],[ID CLIENTE]],'RESUMEN CLIENTES'!D:D,'RESUMEN CLIENTES'!AA:AA)</f>
        <v>null</v>
      </c>
      <c r="T1089" s="687" t="str">
        <f>+_xlfn.XLOOKUP(Tabla4[[#This Row],[ID CLIENTE]],'RESUMEN CLIENTES'!D:D,'RESUMEN CLIENTES'!C:C)</f>
        <v>México</v>
      </c>
    </row>
    <row r="1090" spans="1:20" ht="16">
      <c r="A1090" s="556">
        <v>46085</v>
      </c>
      <c r="B1090" s="556" t="str">
        <f>+_xlfn.XLOOKUP(Tabla4[[#This Row],[ID CLIENTE]],'RESUMEN CLIENTES'!D:D,'RESUMEN CLIENTES'!A:A)</f>
        <v>Florencia Luján Sapia</v>
      </c>
      <c r="C1090" s="215" t="s">
        <v>2393</v>
      </c>
      <c r="D1090" s="83" t="s">
        <v>787</v>
      </c>
      <c r="E1090" s="83" t="s">
        <v>4912</v>
      </c>
      <c r="F1090" s="83" t="s">
        <v>4913</v>
      </c>
      <c r="G1090" s="114">
        <v>600</v>
      </c>
      <c r="H1090" s="85">
        <v>-19.75</v>
      </c>
      <c r="I1090" s="115">
        <f t="shared" si="34"/>
        <v>3.2916666666666664E-2</v>
      </c>
      <c r="J1090" s="87">
        <f t="shared" si="35"/>
        <v>580.25</v>
      </c>
      <c r="K1090" s="559"/>
      <c r="L1090" s="87"/>
      <c r="M1090" s="559"/>
      <c r="N1090" s="557"/>
      <c r="O1090" s="557">
        <f>+Tabla4[[#This Row],[PAGO NO EURO]]+Tabla4[[#This Row],[CARGO NO EURO]]</f>
        <v>0</v>
      </c>
      <c r="P1090" s="557"/>
      <c r="Q1090" s="560"/>
      <c r="R1090" s="699">
        <f>+_xlfn.XLOOKUP(Tabla4[[#This Row],[ID CLIENTE]],'RESUMEN CLIENTES'!D:D,'RESUMEN CLIENTES'!G:G)</f>
        <v>45900</v>
      </c>
      <c r="S1090" s="560" t="str">
        <f>+_xlfn.XLOOKUP(Tabla4[[#This Row],[ID CLIENTE]],'RESUMEN CLIENTES'!D:D,'RESUMEN CLIENTES'!AA:AA)</f>
        <v>A2.1</v>
      </c>
      <c r="T1090" s="687" t="str">
        <f>+_xlfn.XLOOKUP(Tabla4[[#This Row],[ID CLIENTE]],'RESUMEN CLIENTES'!D:D,'RESUMEN CLIENTES'!C:C)</f>
        <v>Argentina</v>
      </c>
    </row>
    <row r="1091" spans="1:20" ht="16">
      <c r="A1091" s="556">
        <v>46085</v>
      </c>
      <c r="B1091" s="556" t="str">
        <f>+_xlfn.XLOOKUP(Tabla4[[#This Row],[ID CLIENTE]],'RESUMEN CLIENTES'!D:D,'RESUMEN CLIENTES'!A:A)</f>
        <v>Claudia Nivon Chacón</v>
      </c>
      <c r="C1091" s="215" t="s">
        <v>2479</v>
      </c>
      <c r="D1091" s="83" t="s">
        <v>1556</v>
      </c>
      <c r="E1091" s="83" t="s">
        <v>4853</v>
      </c>
      <c r="F1091" s="83" t="s">
        <v>4854</v>
      </c>
      <c r="G1091" s="114">
        <v>1136.6300000000001</v>
      </c>
      <c r="H1091" s="85">
        <v>-37.19</v>
      </c>
      <c r="I1091" s="115">
        <f t="shared" si="34"/>
        <v>3.2719530542040944E-2</v>
      </c>
      <c r="J1091" s="87">
        <f t="shared" si="35"/>
        <v>1099.44</v>
      </c>
      <c r="K1091" s="559"/>
      <c r="L1091" s="87"/>
      <c r="M1091" s="559"/>
      <c r="N1091" s="557"/>
      <c r="O1091" s="557">
        <f>+Tabla4[[#This Row],[PAGO NO EURO]]+Tabla4[[#This Row],[CARGO NO EURO]]</f>
        <v>0</v>
      </c>
      <c r="P1091" s="557"/>
      <c r="Q1091" s="560"/>
      <c r="R1091" s="699">
        <f>+_xlfn.XLOOKUP(Tabla4[[#This Row],[ID CLIENTE]],'RESUMEN CLIENTES'!D:D,'RESUMEN CLIENTES'!G:G)</f>
        <v>45994</v>
      </c>
      <c r="S1091" s="560" t="str">
        <f>+_xlfn.XLOOKUP(Tabla4[[#This Row],[ID CLIENTE]],'RESUMEN CLIENTES'!D:D,'RESUMEN CLIENTES'!AA:AA)</f>
        <v>B1.1</v>
      </c>
      <c r="T1091" s="687" t="str">
        <f>+_xlfn.XLOOKUP(Tabla4[[#This Row],[ID CLIENTE]],'RESUMEN CLIENTES'!D:D,'RESUMEN CLIENTES'!C:C)</f>
        <v>México</v>
      </c>
    </row>
    <row r="1092" spans="1:20" ht="16">
      <c r="A1092" s="556">
        <v>46085</v>
      </c>
      <c r="B1092" s="556" t="str">
        <f>+_xlfn.XLOOKUP(Tabla4[[#This Row],[ID CLIENTE]],'RESUMEN CLIENTES'!D:D,'RESUMEN CLIENTES'!A:A)</f>
        <v>Judith Elizabeth Lopez Sanchez</v>
      </c>
      <c r="C1092" s="215" t="s">
        <v>2416</v>
      </c>
      <c r="D1092" s="83" t="s">
        <v>955</v>
      </c>
      <c r="E1092" s="83" t="s">
        <v>4920</v>
      </c>
      <c r="F1092" s="83" t="s">
        <v>4921</v>
      </c>
      <c r="G1092" s="114">
        <v>1000</v>
      </c>
      <c r="H1092" s="85">
        <v>-32.75</v>
      </c>
      <c r="I1092" s="115">
        <f t="shared" si="34"/>
        <v>3.2750000000000001E-2</v>
      </c>
      <c r="J1092" s="87">
        <f t="shared" si="35"/>
        <v>967.25</v>
      </c>
      <c r="K1092" s="559"/>
      <c r="L1092" s="87"/>
      <c r="M1092" s="559"/>
      <c r="N1092" s="557"/>
      <c r="O1092" s="557">
        <f>+Tabla4[[#This Row],[PAGO NO EURO]]+Tabla4[[#This Row],[CARGO NO EURO]]</f>
        <v>0</v>
      </c>
      <c r="P1092" s="557"/>
      <c r="Q1092" s="560"/>
      <c r="R1092" s="699">
        <f>+_xlfn.XLOOKUP(Tabla4[[#This Row],[ID CLIENTE]],'RESUMEN CLIENTES'!D:D,'RESUMEN CLIENTES'!G:G)</f>
        <v>45913</v>
      </c>
      <c r="S1092" s="560" t="str">
        <f>+_xlfn.XLOOKUP(Tabla4[[#This Row],[ID CLIENTE]],'RESUMEN CLIENTES'!D:D,'RESUMEN CLIENTES'!AA:AA)</f>
        <v>A1.1</v>
      </c>
      <c r="T1092" s="687" t="str">
        <f>+_xlfn.XLOOKUP(Tabla4[[#This Row],[ID CLIENTE]],'RESUMEN CLIENTES'!D:D,'RESUMEN CLIENTES'!C:C)</f>
        <v>Perú</v>
      </c>
    </row>
    <row r="1093" spans="1:20" ht="16">
      <c r="A1093" s="556">
        <v>46085</v>
      </c>
      <c r="B1093" s="556" t="str">
        <f>+_xlfn.XLOOKUP(Tabla4[[#This Row],[ID CLIENTE]],'RESUMEN CLIENTES'!D:D,'RESUMEN CLIENTES'!A:A)</f>
        <v>Jose Luis Avilez Casas</v>
      </c>
      <c r="C1093" s="215" t="s">
        <v>4453</v>
      </c>
      <c r="D1093" s="83" t="s">
        <v>4454</v>
      </c>
      <c r="E1093" s="83" t="s">
        <v>4892</v>
      </c>
      <c r="F1093" s="83" t="s">
        <v>4893</v>
      </c>
      <c r="G1093" s="114">
        <v>1000</v>
      </c>
      <c r="H1093" s="85">
        <v>-32.75</v>
      </c>
      <c r="I1093" s="115">
        <f t="shared" si="34"/>
        <v>3.2750000000000001E-2</v>
      </c>
      <c r="J1093" s="87">
        <f t="shared" si="35"/>
        <v>967.25</v>
      </c>
      <c r="K1093" s="559"/>
      <c r="L1093" s="87"/>
      <c r="M1093" s="559"/>
      <c r="N1093" s="557"/>
      <c r="O1093" s="557">
        <f>+Tabla4[[#This Row],[PAGO NO EURO]]+Tabla4[[#This Row],[CARGO NO EURO]]</f>
        <v>0</v>
      </c>
      <c r="P1093" s="557"/>
      <c r="Q1093" s="560"/>
      <c r="R1093" s="699">
        <f>+_xlfn.XLOOKUP(Tabla4[[#This Row],[ID CLIENTE]],'RESUMEN CLIENTES'!D:D,'RESUMEN CLIENTES'!G:G)</f>
        <v>46058</v>
      </c>
      <c r="S1093" s="560" t="str">
        <f>+_xlfn.XLOOKUP(Tabla4[[#This Row],[ID CLIENTE]],'RESUMEN CLIENTES'!D:D,'RESUMEN CLIENTES'!AA:AA)</f>
        <v>A1.1</v>
      </c>
      <c r="T1093" s="687" t="str">
        <f>+_xlfn.XLOOKUP(Tabla4[[#This Row],[ID CLIENTE]],'RESUMEN CLIENTES'!D:D,'RESUMEN CLIENTES'!C:C)</f>
        <v>México</v>
      </c>
    </row>
    <row r="1094" spans="1:20" ht="16">
      <c r="A1094" s="556">
        <v>46085</v>
      </c>
      <c r="B1094" s="556" t="str">
        <f>+_xlfn.XLOOKUP(Tabla4[[#This Row],[ID CLIENTE]],'RESUMEN CLIENTES'!D:D,'RESUMEN CLIENTES'!A:A)</f>
        <v>María Fernanda Alvar Sepúlveda</v>
      </c>
      <c r="C1094" s="215" t="s">
        <v>2123</v>
      </c>
      <c r="D1094" s="83" t="s">
        <v>80</v>
      </c>
      <c r="E1094" s="83" t="s">
        <v>4882</v>
      </c>
      <c r="F1094" s="83" t="s">
        <v>4883</v>
      </c>
      <c r="G1094" s="114">
        <v>514</v>
      </c>
      <c r="H1094" s="85">
        <v>-16.96</v>
      </c>
      <c r="I1094" s="115">
        <f t="shared" si="34"/>
        <v>3.2996108949416347E-2</v>
      </c>
      <c r="J1094" s="87">
        <f t="shared" si="35"/>
        <v>497.04</v>
      </c>
      <c r="K1094" s="559"/>
      <c r="L1094" s="87"/>
      <c r="M1094" s="559"/>
      <c r="N1094" s="557"/>
      <c r="O1094" s="557">
        <f>+Tabla4[[#This Row],[PAGO NO EURO]]+Tabla4[[#This Row],[CARGO NO EURO]]</f>
        <v>0</v>
      </c>
      <c r="P1094" s="557"/>
      <c r="Q1094" s="560"/>
      <c r="R1094" s="699">
        <f>+_xlfn.XLOOKUP(Tabla4[[#This Row],[ID CLIENTE]],'RESUMEN CLIENTES'!D:D,'RESUMEN CLIENTES'!G:G)</f>
        <v>45684</v>
      </c>
      <c r="S1094" s="560" t="str">
        <f>+_xlfn.XLOOKUP(Tabla4[[#This Row],[ID CLIENTE]],'RESUMEN CLIENTES'!D:D,'RESUMEN CLIENTES'!AA:AA)</f>
        <v>A1.1</v>
      </c>
      <c r="T1094" s="687" t="str">
        <f>+_xlfn.XLOOKUP(Tabla4[[#This Row],[ID CLIENTE]],'RESUMEN CLIENTES'!D:D,'RESUMEN CLIENTES'!C:C)</f>
        <v>Chile</v>
      </c>
    </row>
    <row r="1095" spans="1:20" ht="16">
      <c r="A1095" s="556">
        <v>46085</v>
      </c>
      <c r="B1095" s="556" t="str">
        <f>+_xlfn.XLOOKUP(Tabla4[[#This Row],[ID CLIENTE]],'RESUMEN CLIENTES'!D:D,'RESUMEN CLIENTES'!A:A)</f>
        <v>Sergio Francisco Garcia Sandoval</v>
      </c>
      <c r="C1095" s="215" t="s">
        <v>2235</v>
      </c>
      <c r="D1095" s="83" t="s">
        <v>281</v>
      </c>
      <c r="E1095" s="83" t="s">
        <v>4930</v>
      </c>
      <c r="F1095" s="83" t="s">
        <v>4931</v>
      </c>
      <c r="G1095" s="114">
        <v>350</v>
      </c>
      <c r="H1095" s="85">
        <v>-1.75</v>
      </c>
      <c r="I1095" s="115">
        <f t="shared" si="34"/>
        <v>5.0000000000000001E-3</v>
      </c>
      <c r="J1095" s="87">
        <f t="shared" si="35"/>
        <v>348.25</v>
      </c>
      <c r="K1095" s="559"/>
      <c r="L1095" s="87"/>
      <c r="M1095" s="559"/>
      <c r="N1095" s="557"/>
      <c r="O1095" s="557">
        <f>+Tabla4[[#This Row],[PAGO NO EURO]]+Tabla4[[#This Row],[CARGO NO EURO]]</f>
        <v>0</v>
      </c>
      <c r="P1095" s="557"/>
      <c r="Q1095" s="560"/>
      <c r="R1095" s="699">
        <f>+_xlfn.XLOOKUP(Tabla4[[#This Row],[ID CLIENTE]],'RESUMEN CLIENTES'!D:D,'RESUMEN CLIENTES'!G:G)</f>
        <v>45812</v>
      </c>
      <c r="S1095" s="560" t="str">
        <f>+_xlfn.XLOOKUP(Tabla4[[#This Row],[ID CLIENTE]],'RESUMEN CLIENTES'!D:D,'RESUMEN CLIENTES'!AA:AA)</f>
        <v>A1.1</v>
      </c>
      <c r="T1095" s="687" t="str">
        <f>+_xlfn.XLOOKUP(Tabla4[[#This Row],[ID CLIENTE]],'RESUMEN CLIENTES'!D:D,'RESUMEN CLIENTES'!C:C)</f>
        <v>Perú</v>
      </c>
    </row>
    <row r="1096" spans="1:20" ht="16">
      <c r="A1096" s="556">
        <v>46086</v>
      </c>
      <c r="B1096" s="82" t="str">
        <f>+_xlfn.XLOOKUP(Tabla4[[#This Row],[ID CLIENTE]],'RESUMEN CLIENTES'!D:D,'RESUMEN CLIENTES'!A:A)</f>
        <v>Marquelle Zerecero Morcksharpe</v>
      </c>
      <c r="C1096" s="215" t="s">
        <v>6042</v>
      </c>
      <c r="D1096" s="83" t="s">
        <v>6043</v>
      </c>
      <c r="E1096" s="83" t="s">
        <v>6544</v>
      </c>
      <c r="F1096" s="83" t="s">
        <v>6545</v>
      </c>
      <c r="G1096" s="114">
        <v>2750</v>
      </c>
      <c r="H1096" s="85">
        <v>-89.63</v>
      </c>
      <c r="I1096" s="115">
        <f t="shared" ref="I1096" si="36">+IFERROR(-(H1096)/G1096,"")</f>
        <v>3.2592727272727273E-2</v>
      </c>
      <c r="J1096" s="87">
        <f t="shared" ref="J1096" si="37">+G1096+H1096</f>
        <v>2660.37</v>
      </c>
      <c r="K1096" s="87"/>
      <c r="L1096" s="87"/>
      <c r="M1096" s="87"/>
      <c r="N1096" s="90"/>
      <c r="O1096" s="90">
        <f>+Tabla4[[#This Row],[PAGO NO EURO]]+Tabla4[[#This Row],[CARGO NO EURO]]</f>
        <v>0</v>
      </c>
      <c r="P1096" s="90"/>
      <c r="Q1096" s="88"/>
      <c r="R1096" s="689">
        <f>+_xlfn.XLOOKUP(Tabla4[[#This Row],[ID CLIENTE]],'RESUMEN CLIENTES'!D:D,'RESUMEN CLIENTES'!G:G)</f>
        <v>46085</v>
      </c>
      <c r="S1096" s="88" t="str">
        <f>+_xlfn.XLOOKUP(Tabla4[[#This Row],[ID CLIENTE]],'RESUMEN CLIENTES'!D:D,'RESUMEN CLIENTES'!AA:AA)</f>
        <v>null</v>
      </c>
      <c r="T1096" s="680" t="str">
        <f>+_xlfn.XLOOKUP(Tabla4[[#This Row],[ID CLIENTE]],'RESUMEN CLIENTES'!D:D,'RESUMEN CLIENTES'!C:C)</f>
        <v>México</v>
      </c>
    </row>
    <row r="1097" spans="1:20" ht="16">
      <c r="A1097" s="556">
        <v>46086</v>
      </c>
      <c r="B1097" s="556" t="str">
        <f>+_xlfn.XLOOKUP(Tabla4[[#This Row],[ID CLIENTE]],'RESUMEN CLIENTES'!D:D,'RESUMEN CLIENTES'!A:A)</f>
        <v>Victor Emanuel Hernández Ruíz</v>
      </c>
      <c r="C1097" s="215" t="s">
        <v>2141</v>
      </c>
      <c r="D1097" s="83" t="s">
        <v>112</v>
      </c>
      <c r="E1097" s="83" t="s">
        <v>4932</v>
      </c>
      <c r="F1097" s="83" t="s">
        <v>4933</v>
      </c>
      <c r="G1097" s="114">
        <v>800</v>
      </c>
      <c r="H1097" s="85">
        <v>-26.25</v>
      </c>
      <c r="I1097" s="115">
        <f>+IFERROR(-(H1097)/G1097,"")</f>
        <v>3.2812500000000001E-2</v>
      </c>
      <c r="J1097" s="87">
        <f>+G1097+H1097</f>
        <v>773.75</v>
      </c>
      <c r="K1097" s="87"/>
      <c r="L1097" s="87"/>
      <c r="M1097" s="87"/>
      <c r="N1097" s="90"/>
      <c r="O1097" s="557">
        <f>+Tabla4[[#This Row],[PAGO NO EURO]]+Tabla4[[#This Row],[CARGO NO EURO]]</f>
        <v>0</v>
      </c>
      <c r="P1097" s="90"/>
      <c r="Q1097" s="88"/>
      <c r="R1097" s="689">
        <f>+_xlfn.XLOOKUP(Tabla4[[#This Row],[ID CLIENTE]],'RESUMEN CLIENTES'!D:D,'RESUMEN CLIENTES'!G:G)</f>
        <v>45735</v>
      </c>
      <c r="S1097" s="88" t="str">
        <f>+_xlfn.XLOOKUP(Tabla4[[#This Row],[ID CLIENTE]],'RESUMEN CLIENTES'!D:D,'RESUMEN CLIENTES'!AA:AA)</f>
        <v>B2.1</v>
      </c>
      <c r="T1097" s="680" t="str">
        <f>+_xlfn.XLOOKUP(Tabla4[[#This Row],[ID CLIENTE]],'RESUMEN CLIENTES'!D:D,'RESUMEN CLIENTES'!C:C)</f>
        <v>México</v>
      </c>
    </row>
    <row r="1098" spans="1:20" ht="16">
      <c r="A1098" s="556">
        <v>46086</v>
      </c>
      <c r="B1098" s="82" t="str">
        <f>+_xlfn.XLOOKUP(Tabla4[[#This Row],[ID CLIENTE]],'RESUMEN CLIENTES'!D:D,'RESUMEN CLIENTES'!A:A)</f>
        <v>Alejandra Leva Vallejo</v>
      </c>
      <c r="C1098" s="215" t="s">
        <v>2178</v>
      </c>
      <c r="D1098" s="83" t="s">
        <v>165</v>
      </c>
      <c r="E1098" s="83" t="s">
        <v>4894</v>
      </c>
      <c r="F1098" s="83" t="s">
        <v>4895</v>
      </c>
      <c r="G1098" s="114">
        <v>1000</v>
      </c>
      <c r="H1098" s="85">
        <v>-32.75</v>
      </c>
      <c r="I1098" s="115">
        <f t="shared" ref="I1098:I1101" si="38">+IFERROR(-(H1098)/G1098,"")</f>
        <v>3.2750000000000001E-2</v>
      </c>
      <c r="J1098" s="87">
        <f t="shared" ref="J1098:J1101" si="39">+G1098+H1098</f>
        <v>967.25</v>
      </c>
      <c r="K1098" s="87"/>
      <c r="L1098" s="87"/>
      <c r="M1098" s="87"/>
      <c r="N1098" s="90"/>
      <c r="O1098" s="90">
        <f>+Tabla4[[#This Row],[PAGO NO EURO]]+Tabla4[[#This Row],[CARGO NO EURO]]</f>
        <v>0</v>
      </c>
      <c r="P1098" s="90"/>
      <c r="Q1098" s="88"/>
      <c r="R1098" s="689">
        <f>+_xlfn.XLOOKUP(Tabla4[[#This Row],[ID CLIENTE]],'RESUMEN CLIENTES'!D:D,'RESUMEN CLIENTES'!G:G)</f>
        <v>45762</v>
      </c>
      <c r="S1098" s="88" t="str">
        <f>+_xlfn.XLOOKUP(Tabla4[[#This Row],[ID CLIENTE]],'RESUMEN CLIENTES'!D:D,'RESUMEN CLIENTES'!AA:AA)</f>
        <v>A1.1</v>
      </c>
      <c r="T1098" s="680" t="str">
        <f>+_xlfn.XLOOKUP(Tabla4[[#This Row],[ID CLIENTE]],'RESUMEN CLIENTES'!D:D,'RESUMEN CLIENTES'!C:C)</f>
        <v>México</v>
      </c>
    </row>
    <row r="1099" spans="1:20" ht="16">
      <c r="A1099" s="556">
        <v>46086</v>
      </c>
      <c r="B1099" s="82" t="str">
        <f>+_xlfn.XLOOKUP(Tabla4[[#This Row],[ID CLIENTE]],'RESUMEN CLIENTES'!D:D,'RESUMEN CLIENTES'!A:A)</f>
        <v>Angel Andres Velastegui Huebla</v>
      </c>
      <c r="C1099" s="215" t="s">
        <v>2453</v>
      </c>
      <c r="D1099" s="83" t="s">
        <v>1357</v>
      </c>
      <c r="E1099" s="83" t="s">
        <v>4896</v>
      </c>
      <c r="F1099" s="83" t="s">
        <v>4897</v>
      </c>
      <c r="G1099" s="114">
        <v>3700</v>
      </c>
      <c r="H1099" s="85">
        <v>-120.5</v>
      </c>
      <c r="I1099" s="115">
        <f t="shared" si="38"/>
        <v>3.2567567567567568E-2</v>
      </c>
      <c r="J1099" s="87">
        <f t="shared" si="39"/>
        <v>3579.5</v>
      </c>
      <c r="K1099" s="87"/>
      <c r="L1099" s="87"/>
      <c r="M1099" s="87"/>
      <c r="N1099" s="90"/>
      <c r="O1099" s="90">
        <f>+Tabla4[[#This Row],[PAGO NO EURO]]+Tabla4[[#This Row],[CARGO NO EURO]]</f>
        <v>0</v>
      </c>
      <c r="P1099" s="90"/>
      <c r="Q1099" s="88"/>
      <c r="R1099" s="689">
        <f>+_xlfn.XLOOKUP(Tabla4[[#This Row],[ID CLIENTE]],'RESUMEN CLIENTES'!D:D,'RESUMEN CLIENTES'!G:G)</f>
        <v>45967</v>
      </c>
      <c r="S1099" s="88" t="str">
        <f>+_xlfn.XLOOKUP(Tabla4[[#This Row],[ID CLIENTE]],'RESUMEN CLIENTES'!D:D,'RESUMEN CLIENTES'!AA:AA)</f>
        <v>A1.1</v>
      </c>
      <c r="T1099" s="680" t="str">
        <f>+_xlfn.XLOOKUP(Tabla4[[#This Row],[ID CLIENTE]],'RESUMEN CLIENTES'!D:D,'RESUMEN CLIENTES'!C:C)</f>
        <v>Ecuador</v>
      </c>
    </row>
    <row r="1100" spans="1:20" ht="16">
      <c r="A1100" s="556">
        <v>46086</v>
      </c>
      <c r="B1100" s="82" t="str">
        <f>+_xlfn.XLOOKUP(Tabla4[[#This Row],[ID CLIENTE]],'RESUMEN CLIENTES'!D:D,'RESUMEN CLIENTES'!A:A)</f>
        <v>Bernardita Lobo Zegers</v>
      </c>
      <c r="C1100" s="215" t="s">
        <v>2202</v>
      </c>
      <c r="D1100" s="83" t="s">
        <v>203</v>
      </c>
      <c r="E1100" s="83" t="s">
        <v>4898</v>
      </c>
      <c r="F1100" s="83" t="s">
        <v>4899</v>
      </c>
      <c r="G1100" s="114">
        <v>800</v>
      </c>
      <c r="H1100" s="85">
        <v>-26.25</v>
      </c>
      <c r="I1100" s="115">
        <f t="shared" si="38"/>
        <v>3.2812500000000001E-2</v>
      </c>
      <c r="J1100" s="87">
        <f t="shared" si="39"/>
        <v>773.75</v>
      </c>
      <c r="K1100" s="87"/>
      <c r="L1100" s="87"/>
      <c r="M1100" s="87"/>
      <c r="N1100" s="90"/>
      <c r="O1100" s="90">
        <f>+Tabla4[[#This Row],[PAGO NO EURO]]+Tabla4[[#This Row],[CARGO NO EURO]]</f>
        <v>0</v>
      </c>
      <c r="P1100" s="90"/>
      <c r="Q1100" s="88"/>
      <c r="R1100" s="689">
        <f>+_xlfn.XLOOKUP(Tabla4[[#This Row],[ID CLIENTE]],'RESUMEN CLIENTES'!D:D,'RESUMEN CLIENTES'!G:G)</f>
        <v>45779</v>
      </c>
      <c r="S1100" s="88" t="str">
        <f>+_xlfn.XLOOKUP(Tabla4[[#This Row],[ID CLIENTE]],'RESUMEN CLIENTES'!D:D,'RESUMEN CLIENTES'!AA:AA)</f>
        <v>A1.1</v>
      </c>
      <c r="T1100" s="680" t="str">
        <f>+_xlfn.XLOOKUP(Tabla4[[#This Row],[ID CLIENTE]],'RESUMEN CLIENTES'!D:D,'RESUMEN CLIENTES'!C:C)</f>
        <v>México</v>
      </c>
    </row>
    <row r="1101" spans="1:20" ht="16">
      <c r="A1101" s="556">
        <v>46086</v>
      </c>
      <c r="B1101" s="82" t="str">
        <f>+_xlfn.XLOOKUP(Tabla4[[#This Row],[ID CLIENTE]],'RESUMEN CLIENTES'!D:D,'RESUMEN CLIENTES'!A:A)</f>
        <v>Maira Paz Navas Sánchez</v>
      </c>
      <c r="C1101" s="215" t="s">
        <v>2362</v>
      </c>
      <c r="D1101" s="83" t="s">
        <v>703</v>
      </c>
      <c r="E1101" s="83" t="s">
        <v>4922</v>
      </c>
      <c r="F1101" s="83" t="s">
        <v>4923</v>
      </c>
      <c r="G1101" s="114">
        <v>700</v>
      </c>
      <c r="H1101" s="85">
        <v>-23</v>
      </c>
      <c r="I1101" s="115">
        <f t="shared" si="38"/>
        <v>3.2857142857142856E-2</v>
      </c>
      <c r="J1101" s="87">
        <f t="shared" si="39"/>
        <v>677</v>
      </c>
      <c r="K1101" s="87"/>
      <c r="L1101" s="87"/>
      <c r="M1101" s="87"/>
      <c r="N1101" s="90"/>
      <c r="O1101" s="90">
        <f>+Tabla4[[#This Row],[PAGO NO EURO]]+Tabla4[[#This Row],[CARGO NO EURO]]</f>
        <v>0</v>
      </c>
      <c r="P1101" s="90"/>
      <c r="Q1101" s="88"/>
      <c r="R1101" s="691">
        <f>+_xlfn.XLOOKUP(Tabla4[[#This Row],[ID CLIENTE]],'RESUMEN CLIENTES'!D:D,'RESUMEN CLIENTES'!G:G)</f>
        <v>45888</v>
      </c>
      <c r="S1101" s="98" t="str">
        <f>+_xlfn.XLOOKUP(Tabla4[[#This Row],[ID CLIENTE]],'RESUMEN CLIENTES'!D:D,'RESUMEN CLIENTES'!AA:AA)</f>
        <v>A1.1</v>
      </c>
      <c r="T1101" s="681" t="str">
        <f>+_xlfn.XLOOKUP(Tabla4[[#This Row],[ID CLIENTE]],'RESUMEN CLIENTES'!D:D,'RESUMEN CLIENTES'!C:C)</f>
        <v>Chile</v>
      </c>
    </row>
    <row r="1102" spans="1:20" ht="16">
      <c r="A1102" s="556">
        <v>46086</v>
      </c>
      <c r="B1102" s="556" t="str">
        <f>+_xlfn.XLOOKUP(Tabla4[[#This Row],[ID CLIENTE]],'RESUMEN CLIENTES'!D:D,'RESUMEN CLIENTES'!A:A)</f>
        <v>Mario Arciga Casián</v>
      </c>
      <c r="C1102" s="215" t="s">
        <v>2428</v>
      </c>
      <c r="D1102" s="83" t="s">
        <v>1155</v>
      </c>
      <c r="E1102" s="83" t="s">
        <v>4926</v>
      </c>
      <c r="F1102" s="83" t="s">
        <v>4927</v>
      </c>
      <c r="G1102" s="114">
        <v>1000</v>
      </c>
      <c r="H1102" s="85">
        <v>-32.75</v>
      </c>
      <c r="I1102" s="115">
        <f>+IFERROR(-(H1102)/G1102,"")</f>
        <v>3.2750000000000001E-2</v>
      </c>
      <c r="J1102" s="87">
        <f>+G1102+H1102</f>
        <v>967.25</v>
      </c>
      <c r="K1102" s="87"/>
      <c r="L1102" s="87"/>
      <c r="M1102" s="87"/>
      <c r="N1102" s="90"/>
      <c r="O1102" s="557">
        <f>+Tabla4[[#This Row],[PAGO NO EURO]]+Tabla4[[#This Row],[CARGO NO EURO]]</f>
        <v>0</v>
      </c>
      <c r="P1102" s="90"/>
      <c r="Q1102" s="88"/>
      <c r="R1102" s="692">
        <f>+_xlfn.XLOOKUP(Tabla4[[#This Row],[ID CLIENTE]],'RESUMEN CLIENTES'!D:D,'RESUMEN CLIENTES'!G:G)</f>
        <v>45939</v>
      </c>
      <c r="S1102" s="99" t="str">
        <f>+_xlfn.XLOOKUP(Tabla4[[#This Row],[ID CLIENTE]],'RESUMEN CLIENTES'!D:D,'RESUMEN CLIENTES'!AA:AA)</f>
        <v>A1 komplett</v>
      </c>
      <c r="T1102" s="680" t="str">
        <f>+_xlfn.XLOOKUP(Tabla4[[#This Row],[ID CLIENTE]],'RESUMEN CLIENTES'!D:D,'RESUMEN CLIENTES'!C:C)</f>
        <v>México</v>
      </c>
    </row>
    <row r="1103" spans="1:20" ht="16">
      <c r="A1103" s="556">
        <v>46087</v>
      </c>
      <c r="B1103" s="556" t="str">
        <f>+_xlfn.XLOOKUP(Tabla4[[#This Row],[ID CLIENTE]],'RESUMEN CLIENTES'!D:D,'RESUMEN CLIENTES'!A:A)</f>
        <v>María Fernanda Cid Ramírez</v>
      </c>
      <c r="C1103" s="215" t="s">
        <v>2477</v>
      </c>
      <c r="D1103" s="83" t="s">
        <v>1551</v>
      </c>
      <c r="E1103" s="83" t="s">
        <v>4924</v>
      </c>
      <c r="F1103" s="83" t="s">
        <v>4925</v>
      </c>
      <c r="G1103" s="114">
        <v>850</v>
      </c>
      <c r="H1103" s="85">
        <v>-27.88</v>
      </c>
      <c r="I1103" s="115">
        <f t="shared" ref="I1103:I1104" si="40">+IFERROR(-(H1103)/G1103,"")</f>
        <v>3.2799999999999996E-2</v>
      </c>
      <c r="J1103" s="87">
        <f t="shared" ref="J1103:J1104" si="41">+G1103+H1103</f>
        <v>822.12</v>
      </c>
      <c r="K1103" s="87"/>
      <c r="L1103" s="87"/>
      <c r="M1103" s="87"/>
      <c r="N1103" s="90"/>
      <c r="O1103" s="557">
        <f>+Tabla4[[#This Row],[PAGO NO EURO]]+Tabla4[[#This Row],[CARGO NO EURO]]</f>
        <v>0</v>
      </c>
      <c r="P1103" s="90"/>
      <c r="Q1103" s="88"/>
      <c r="R1103" s="711">
        <f>+_xlfn.XLOOKUP(Tabla4[[#This Row],[ID CLIENTE]],'RESUMEN CLIENTES'!D:D,'RESUMEN CLIENTES'!G:G)</f>
        <v>45993</v>
      </c>
      <c r="S1103" s="712" t="str">
        <f>+_xlfn.XLOOKUP(Tabla4[[#This Row],[ID CLIENTE]],'RESUMEN CLIENTES'!D:D,'RESUMEN CLIENTES'!AA:AA)</f>
        <v>-</v>
      </c>
      <c r="T1103" s="713" t="str">
        <f>+_xlfn.XLOOKUP(Tabla4[[#This Row],[ID CLIENTE]],'RESUMEN CLIENTES'!D:D,'RESUMEN CLIENTES'!C:C)</f>
        <v>México</v>
      </c>
    </row>
    <row r="1104" spans="1:20" ht="16">
      <c r="A1104" s="556">
        <v>46087</v>
      </c>
      <c r="B1104" s="556" t="str">
        <f>+_xlfn.XLOOKUP(Tabla4[[#This Row],[ID CLIENTE]],'RESUMEN CLIENTES'!D:D,'RESUMEN CLIENTES'!A:A)</f>
        <v>Bárbara Fuentes</v>
      </c>
      <c r="C1104" s="215" t="s">
        <v>2528</v>
      </c>
      <c r="D1104" s="83" t="s">
        <v>2011</v>
      </c>
      <c r="E1104" s="83" t="s">
        <v>5974</v>
      </c>
      <c r="F1104" s="83" t="s">
        <v>5975</v>
      </c>
      <c r="G1104" s="114">
        <v>1000</v>
      </c>
      <c r="H1104" s="85">
        <v>-32.75</v>
      </c>
      <c r="I1104" s="115">
        <f t="shared" si="40"/>
        <v>3.2750000000000001E-2</v>
      </c>
      <c r="J1104" s="87">
        <f t="shared" si="41"/>
        <v>967.25</v>
      </c>
      <c r="K1104" s="87"/>
      <c r="L1104" s="87"/>
      <c r="M1104" s="87"/>
      <c r="N1104" s="90"/>
      <c r="O1104" s="557">
        <f>+Tabla4[[#This Row],[PAGO NO EURO]]+Tabla4[[#This Row],[CARGO NO EURO]]</f>
        <v>0</v>
      </c>
      <c r="P1104" s="90"/>
      <c r="Q1104" s="88"/>
      <c r="R1104" s="692">
        <f>+_xlfn.XLOOKUP(Tabla4[[#This Row],[ID CLIENTE]],'RESUMEN CLIENTES'!D:D,'RESUMEN CLIENTES'!G:G)</f>
        <v>46051</v>
      </c>
      <c r="S1104" s="99" t="str">
        <f>+_xlfn.XLOOKUP(Tabla4[[#This Row],[ID CLIENTE]],'RESUMEN CLIENTES'!D:D,'RESUMEN CLIENTES'!AA:AA)</f>
        <v>B1.1</v>
      </c>
      <c r="T1104" s="680" t="str">
        <f>+_xlfn.XLOOKUP(Tabla4[[#This Row],[ID CLIENTE]],'RESUMEN CLIENTES'!D:D,'RESUMEN CLIENTES'!C:C)</f>
        <v>Chile</v>
      </c>
    </row>
    <row r="1105" spans="1:20" ht="16">
      <c r="A1105" s="556">
        <v>46087</v>
      </c>
      <c r="B1105" s="556" t="str">
        <f>+_xlfn.XLOOKUP(Tabla4[[#This Row],[ID CLIENTE]],'RESUMEN CLIENTES'!D:D,'RESUMEN CLIENTES'!A:A)</f>
        <v>Stiben Lopez Vargas</v>
      </c>
      <c r="C1105" s="215" t="s">
        <v>6695</v>
      </c>
      <c r="D1105" s="83" t="s">
        <v>6696</v>
      </c>
      <c r="E1105" s="83" t="s">
        <v>6697</v>
      </c>
      <c r="F1105" s="561" t="s">
        <v>6698</v>
      </c>
      <c r="G1105" s="114">
        <v>250</v>
      </c>
      <c r="H1105" s="85">
        <v>-8.3800000000000008</v>
      </c>
      <c r="I1105" s="115">
        <f>+IFERROR(-(H1105)/G1105,"")</f>
        <v>3.3520000000000001E-2</v>
      </c>
      <c r="J1105" s="87">
        <f>+G1105+H1105</f>
        <v>241.62</v>
      </c>
      <c r="K1105" s="559"/>
      <c r="L1105" s="87"/>
      <c r="M1105" s="559"/>
      <c r="N1105" s="557"/>
      <c r="O1105" s="557">
        <f>+Tabla4[[#This Row],[PAGO NO EURO]]+Tabla4[[#This Row],[CARGO NO EURO]]</f>
        <v>0</v>
      </c>
      <c r="P1105" s="557"/>
      <c r="Q1105" s="560"/>
      <c r="R1105" s="711">
        <f>+_xlfn.XLOOKUP(Tabla4[[#This Row],[ID CLIENTE]],'RESUMEN CLIENTES'!D:D,'RESUMEN CLIENTES'!G:G)</f>
        <v>46087</v>
      </c>
      <c r="S1105" s="712" t="str">
        <f>+_xlfn.XLOOKUP(Tabla4[[#This Row],[ID CLIENTE]],'RESUMEN CLIENTES'!D:D,'RESUMEN CLIENTES'!AA:AA)</f>
        <v>null</v>
      </c>
      <c r="T1105" s="713" t="str">
        <f>+_xlfn.XLOOKUP(Tabla4[[#This Row],[ID CLIENTE]],'RESUMEN CLIENTES'!D:D,'RESUMEN CLIENTES'!C:C)</f>
        <v>Colombia</v>
      </c>
    </row>
    <row r="1106" spans="1:20" ht="16">
      <c r="A1106" s="556">
        <v>46087</v>
      </c>
      <c r="B1106" s="82" t="str">
        <f>+_xlfn.XLOOKUP(Tabla4[[#This Row],[ID CLIENTE]],'RESUMEN CLIENTES'!D:D,'RESUMEN CLIENTES'!A:A)</f>
        <v>Juan Manuel Paranzino</v>
      </c>
      <c r="C1106" s="215" t="s">
        <v>2391</v>
      </c>
      <c r="D1106" s="83" t="s">
        <v>798</v>
      </c>
      <c r="E1106" s="83" t="s">
        <v>6548</v>
      </c>
      <c r="F1106" s="83" t="s">
        <v>6549</v>
      </c>
      <c r="G1106" s="114">
        <f>+Tabla4[[#This Row],[PAGO NO EURO]]*Tabla4[[#This Row],[CAMBIO]]</f>
        <v>588.28905060077841</v>
      </c>
      <c r="H1106" s="85">
        <f>+Tabla4[[#This Row],[CARGO NO EURO]]*Tabla4[[#This Row],[CAMBIO]]</f>
        <v>-19.377221188018275</v>
      </c>
      <c r="I1106" s="115">
        <f t="shared" ref="I1106:I1107" si="42">+IFERROR(-(H1106)/G1106,"")</f>
        <v>3.2938265922559114E-2</v>
      </c>
      <c r="J1106" s="87">
        <f t="shared" ref="J1106:J1107" si="43">+G1106+H1106</f>
        <v>568.91182941276008</v>
      </c>
      <c r="K1106" s="87"/>
      <c r="L1106" s="87"/>
      <c r="M1106" s="87" t="s">
        <v>2548</v>
      </c>
      <c r="N1106" s="90">
        <v>695.24</v>
      </c>
      <c r="O1106" s="90">
        <f>+Tabla4[[#This Row],[PAGO NO EURO]]+Tabla4[[#This Row],[CARGO NO EURO]]</f>
        <v>672.34</v>
      </c>
      <c r="P1106" s="90">
        <v>-22.9</v>
      </c>
      <c r="Q1106" s="88">
        <v>0.8461668641056016</v>
      </c>
      <c r="R1106" s="689">
        <f>+_xlfn.XLOOKUP(Tabla4[[#This Row],[ID CLIENTE]],'RESUMEN CLIENTES'!D:D,'RESUMEN CLIENTES'!G:G)</f>
        <v>45900</v>
      </c>
      <c r="S1106" s="88" t="str">
        <f>+_xlfn.XLOOKUP(Tabla4[[#This Row],[ID CLIENTE]],'RESUMEN CLIENTES'!D:D,'RESUMEN CLIENTES'!AA:AA)</f>
        <v>B1.1</v>
      </c>
      <c r="T1106" s="724" t="str">
        <f>+_xlfn.XLOOKUP(Tabla4[[#This Row],[ID CLIENTE]],'RESUMEN CLIENTES'!D:D,'RESUMEN CLIENTES'!C:C)</f>
        <v>Argentina</v>
      </c>
    </row>
    <row r="1107" spans="1:20" ht="16">
      <c r="A1107" s="556">
        <v>46087</v>
      </c>
      <c r="B1107" s="82" t="str">
        <f>+_xlfn.XLOOKUP(Tabla4[[#This Row],[ID CLIENTE]],'RESUMEN CLIENTES'!D:D,'RESUMEN CLIENTES'!A:A)</f>
        <v>Moira Millaray Schneider Rivera</v>
      </c>
      <c r="C1107" s="215" t="s">
        <v>2147</v>
      </c>
      <c r="D1107" s="83" t="s">
        <v>129</v>
      </c>
      <c r="E1107" s="83" t="s">
        <v>4928</v>
      </c>
      <c r="F1107" s="83" t="s">
        <v>4929</v>
      </c>
      <c r="G1107" s="114">
        <v>800</v>
      </c>
      <c r="H1107" s="85">
        <v>-26.25</v>
      </c>
      <c r="I1107" s="115">
        <f t="shared" si="42"/>
        <v>3.2812500000000001E-2</v>
      </c>
      <c r="J1107" s="87">
        <f t="shared" si="43"/>
        <v>773.75</v>
      </c>
      <c r="K1107" s="87"/>
      <c r="L1107" s="87"/>
      <c r="M1107" s="87"/>
      <c r="N1107" s="90"/>
      <c r="O1107" s="90">
        <f>+Tabla4[[#This Row],[PAGO NO EURO]]+Tabla4[[#This Row],[CARGO NO EURO]]</f>
        <v>0</v>
      </c>
      <c r="P1107" s="90"/>
      <c r="Q1107" s="88"/>
      <c r="R1107" s="689">
        <f>+_xlfn.XLOOKUP(Tabla4[[#This Row],[ID CLIENTE]],'RESUMEN CLIENTES'!D:D,'RESUMEN CLIENTES'!G:G)</f>
        <v>45740</v>
      </c>
      <c r="S1107" s="88" t="str">
        <f>+_xlfn.XLOOKUP(Tabla4[[#This Row],[ID CLIENTE]],'RESUMEN CLIENTES'!D:D,'RESUMEN CLIENTES'!AA:AA)</f>
        <v>null</v>
      </c>
      <c r="T1107" s="724" t="str">
        <f>+_xlfn.XLOOKUP(Tabla4[[#This Row],[ID CLIENTE]],'RESUMEN CLIENTES'!D:D,'RESUMEN CLIENTES'!C:C)</f>
        <v>Chile</v>
      </c>
    </row>
    <row r="1108" spans="1:20" ht="16">
      <c r="A1108" s="556">
        <v>46088</v>
      </c>
      <c r="B1108" s="82" t="str">
        <f>+_xlfn.XLOOKUP(Tabla4[[#This Row],[ID CLIENTE]],'RESUMEN CLIENTES'!D:D,'RESUMEN CLIENTES'!A:A)</f>
        <v>Luis Carlos Villa Cortés</v>
      </c>
      <c r="C1108" s="215" t="s">
        <v>2406</v>
      </c>
      <c r="D1108" s="83" t="s">
        <v>907</v>
      </c>
      <c r="E1108" s="83" t="s">
        <v>5980</v>
      </c>
      <c r="F1108" s="83" t="s">
        <v>5981</v>
      </c>
      <c r="G1108" s="114">
        <v>1000</v>
      </c>
      <c r="H1108" s="85">
        <v>-32.75</v>
      </c>
      <c r="I1108" s="115">
        <f t="shared" ref="I1108:I1112" si="44">+IFERROR(-(H1108)/G1108,"")</f>
        <v>3.2750000000000001E-2</v>
      </c>
      <c r="J1108" s="87">
        <f t="shared" ref="J1108:J1112" si="45">+G1108+H1108</f>
        <v>967.25</v>
      </c>
      <c r="K1108" s="87"/>
      <c r="L1108" s="87"/>
      <c r="M1108" s="87"/>
      <c r="N1108" s="90"/>
      <c r="O1108" s="90">
        <f>+Tabla4[[#This Row],[PAGO NO EURO]]+Tabla4[[#This Row],[CARGO NO EURO]]</f>
        <v>0</v>
      </c>
      <c r="P1108" s="90"/>
      <c r="Q1108" s="88"/>
      <c r="R1108" s="689">
        <f>+_xlfn.XLOOKUP(Tabla4[[#This Row],[ID CLIENTE]],'RESUMEN CLIENTES'!D:D,'RESUMEN CLIENTES'!G:G)</f>
        <v>45906</v>
      </c>
      <c r="S1108" s="88" t="str">
        <f>+_xlfn.XLOOKUP(Tabla4[[#This Row],[ID CLIENTE]],'RESUMEN CLIENTES'!D:D,'RESUMEN CLIENTES'!AA:AA)</f>
        <v>A1.1</v>
      </c>
      <c r="T1108" s="724" t="str">
        <f>+_xlfn.XLOOKUP(Tabla4[[#This Row],[ID CLIENTE]],'RESUMEN CLIENTES'!D:D,'RESUMEN CLIENTES'!C:C)</f>
        <v>México</v>
      </c>
    </row>
    <row r="1109" spans="1:20">
      <c r="A1109" s="556">
        <v>46088</v>
      </c>
      <c r="B1109" s="82" t="str">
        <f>+_xlfn.XLOOKUP(Tabla4[[#This Row],[ID CLIENTE]],'RESUMEN CLIENTES'!D:D,'RESUMEN CLIENTES'!A:A)</f>
        <v>Yefry Onil Santana Marte</v>
      </c>
      <c r="C1109" s="215" t="s">
        <v>2284</v>
      </c>
      <c r="D1109" s="83" t="s">
        <v>447</v>
      </c>
      <c r="E1109" s="83" t="s">
        <v>4857</v>
      </c>
      <c r="F1109" s="83" t="s">
        <v>4858</v>
      </c>
      <c r="G1109" s="114">
        <v>625</v>
      </c>
      <c r="H1109" s="85">
        <v>-20.56</v>
      </c>
      <c r="I1109" s="115">
        <f t="shared" si="44"/>
        <v>3.2895999999999995E-2</v>
      </c>
      <c r="J1109" s="87">
        <f t="shared" si="45"/>
        <v>604.44000000000005</v>
      </c>
      <c r="K1109" s="87"/>
      <c r="L1109" s="87"/>
      <c r="M1109" s="87"/>
      <c r="N1109" s="90"/>
      <c r="O1109" s="90">
        <f>+Tabla4[[#This Row],[PAGO NO EURO]]+Tabla4[[#This Row],[CARGO NO EURO]]</f>
        <v>0</v>
      </c>
      <c r="P1109" s="90"/>
      <c r="Q1109" s="88"/>
      <c r="R1109" s="689">
        <f>+_xlfn.XLOOKUP(Tabla4[[#This Row],[ID CLIENTE]],'RESUMEN CLIENTES'!D:D,'RESUMEN CLIENTES'!G:G)</f>
        <v>45845</v>
      </c>
      <c r="S1109" s="88" t="str">
        <f>+_xlfn.XLOOKUP(Tabla4[[#This Row],[ID CLIENTE]],'RESUMEN CLIENTES'!D:D,'RESUMEN CLIENTES'!AA:AA)</f>
        <v>A1.1</v>
      </c>
      <c r="T1109" s="726" t="str">
        <f>+_xlfn.XLOOKUP(Tabla4[[#This Row],[ID CLIENTE]],'RESUMEN CLIENTES'!D:D,'RESUMEN CLIENTES'!C:C)</f>
        <v>República Dominicana</v>
      </c>
    </row>
    <row r="1110" spans="1:20">
      <c r="A1110" s="556">
        <v>46088</v>
      </c>
      <c r="B1110" s="82" t="str">
        <f>+_xlfn.XLOOKUP(Tabla4[[#This Row],[ID CLIENTE]],'RESUMEN CLIENTES'!D:D,'RESUMEN CLIENTES'!A:A)</f>
        <v>Yefry Onil Santana Marte</v>
      </c>
      <c r="C1110" s="215" t="s">
        <v>2284</v>
      </c>
      <c r="D1110" s="83" t="s">
        <v>447</v>
      </c>
      <c r="E1110" s="83" t="s">
        <v>4859</v>
      </c>
      <c r="F1110" s="83" t="s">
        <v>4860</v>
      </c>
      <c r="G1110" s="114">
        <v>625</v>
      </c>
      <c r="H1110" s="85">
        <v>-20.56</v>
      </c>
      <c r="I1110" s="115">
        <f t="shared" si="44"/>
        <v>3.2895999999999995E-2</v>
      </c>
      <c r="J1110" s="87">
        <f t="shared" si="45"/>
        <v>604.44000000000005</v>
      </c>
      <c r="K1110" s="87"/>
      <c r="L1110" s="87"/>
      <c r="M1110" s="87"/>
      <c r="N1110" s="90"/>
      <c r="O1110" s="90">
        <f>+Tabla4[[#This Row],[PAGO NO EURO]]+Tabla4[[#This Row],[CARGO NO EURO]]</f>
        <v>0</v>
      </c>
      <c r="P1110" s="90"/>
      <c r="Q1110" s="88"/>
      <c r="R1110" s="689">
        <f>+_xlfn.XLOOKUP(Tabla4[[#This Row],[ID CLIENTE]],'RESUMEN CLIENTES'!D:D,'RESUMEN CLIENTES'!G:G)</f>
        <v>45845</v>
      </c>
      <c r="S1110" s="88" t="str">
        <f>+_xlfn.XLOOKUP(Tabla4[[#This Row],[ID CLIENTE]],'RESUMEN CLIENTES'!D:D,'RESUMEN CLIENTES'!AA:AA)</f>
        <v>A1.1</v>
      </c>
      <c r="T1110" s="726" t="str">
        <f>+_xlfn.XLOOKUP(Tabla4[[#This Row],[ID CLIENTE]],'RESUMEN CLIENTES'!D:D,'RESUMEN CLIENTES'!C:C)</f>
        <v>República Dominicana</v>
      </c>
    </row>
    <row r="1111" spans="1:20">
      <c r="A1111" s="556">
        <v>46088</v>
      </c>
      <c r="B1111" s="82" t="str">
        <f>+_xlfn.XLOOKUP(Tabla4[[#This Row],[ID CLIENTE]],'RESUMEN CLIENTES'!D:D,'RESUMEN CLIENTES'!A:A)</f>
        <v>Yefry Onil Santana Marte</v>
      </c>
      <c r="C1111" s="215" t="s">
        <v>2284</v>
      </c>
      <c r="D1111" s="83" t="s">
        <v>447</v>
      </c>
      <c r="E1111" s="83" t="s">
        <v>4861</v>
      </c>
      <c r="F1111" s="83" t="s">
        <v>4862</v>
      </c>
      <c r="G1111" s="114">
        <v>625</v>
      </c>
      <c r="H1111" s="85">
        <v>-20.56</v>
      </c>
      <c r="I1111" s="115">
        <f t="shared" si="44"/>
        <v>3.2895999999999995E-2</v>
      </c>
      <c r="J1111" s="87">
        <f t="shared" si="45"/>
        <v>604.44000000000005</v>
      </c>
      <c r="K1111" s="87"/>
      <c r="L1111" s="87"/>
      <c r="M1111" s="87"/>
      <c r="N1111" s="90"/>
      <c r="O1111" s="90">
        <f>+Tabla4[[#This Row],[PAGO NO EURO]]+Tabla4[[#This Row],[CARGO NO EURO]]</f>
        <v>0</v>
      </c>
      <c r="P1111" s="90"/>
      <c r="Q1111" s="88"/>
      <c r="R1111" s="689">
        <f>+_xlfn.XLOOKUP(Tabla4[[#This Row],[ID CLIENTE]],'RESUMEN CLIENTES'!D:D,'RESUMEN CLIENTES'!G:G)</f>
        <v>45845</v>
      </c>
      <c r="S1111" s="88" t="str">
        <f>+_xlfn.XLOOKUP(Tabla4[[#This Row],[ID CLIENTE]],'RESUMEN CLIENTES'!D:D,'RESUMEN CLIENTES'!AA:AA)</f>
        <v>A1.1</v>
      </c>
      <c r="T1111" s="726" t="str">
        <f>+_xlfn.XLOOKUP(Tabla4[[#This Row],[ID CLIENTE]],'RESUMEN CLIENTES'!D:D,'RESUMEN CLIENTES'!C:C)</f>
        <v>República Dominicana</v>
      </c>
    </row>
    <row r="1112" spans="1:20" ht="16">
      <c r="A1112" s="556">
        <v>46088</v>
      </c>
      <c r="B1112" s="82" t="str">
        <f>+_xlfn.XLOOKUP(Tabla4[[#This Row],[ID CLIENTE]],'RESUMEN CLIENTES'!D:D,'RESUMEN CLIENTES'!A:A)</f>
        <v>Jesica Daniela Paredes Mendoza</v>
      </c>
      <c r="C1112" s="215" t="s">
        <v>2530</v>
      </c>
      <c r="D1112" s="83" t="s">
        <v>2046</v>
      </c>
      <c r="E1112" s="83" t="s">
        <v>4634</v>
      </c>
      <c r="F1112" s="83" t="s">
        <v>4635</v>
      </c>
      <c r="G1112" s="114">
        <v>300</v>
      </c>
      <c r="H1112" s="85">
        <v>-10</v>
      </c>
      <c r="I1112" s="115">
        <f t="shared" si="44"/>
        <v>3.3333333333333333E-2</v>
      </c>
      <c r="J1112" s="87">
        <f t="shared" si="45"/>
        <v>290</v>
      </c>
      <c r="K1112" s="87"/>
      <c r="L1112" s="87"/>
      <c r="M1112" s="87"/>
      <c r="N1112" s="90"/>
      <c r="O1112" s="90">
        <f>+Tabla4[[#This Row],[PAGO NO EURO]]+Tabla4[[#This Row],[CARGO NO EURO]]</f>
        <v>0</v>
      </c>
      <c r="P1112" s="90"/>
      <c r="Q1112" s="88"/>
      <c r="R1112" s="689">
        <f>+_xlfn.XLOOKUP(Tabla4[[#This Row],[ID CLIENTE]],'RESUMEN CLIENTES'!D:D,'RESUMEN CLIENTES'!G:G)</f>
        <v>46052</v>
      </c>
      <c r="S1112" s="88" t="str">
        <f>+_xlfn.XLOOKUP(Tabla4[[#This Row],[ID CLIENTE]],'RESUMEN CLIENTES'!D:D,'RESUMEN CLIENTES'!AA:AA)</f>
        <v>A1.1</v>
      </c>
      <c r="T1112" s="724" t="str">
        <f>+_xlfn.XLOOKUP(Tabla4[[#This Row],[ID CLIENTE]],'RESUMEN CLIENTES'!D:D,'RESUMEN CLIENTES'!C:C)</f>
        <v>México</v>
      </c>
    </row>
    <row r="1113" spans="1:20" ht="16">
      <c r="A1113" s="556">
        <v>46088</v>
      </c>
      <c r="B1113" s="82" t="str">
        <f>+_xlfn.XLOOKUP(Tabla4[[#This Row],[ID CLIENTE]],'RESUMEN CLIENTES'!D:D,'RESUMEN CLIENTES'!A:A)</f>
        <v>Jordan Eliecer Toledo Bravo</v>
      </c>
      <c r="C1113" s="215" t="s">
        <v>2158</v>
      </c>
      <c r="D1113" s="83" t="s">
        <v>142</v>
      </c>
      <c r="E1113" s="83" t="s">
        <v>5972</v>
      </c>
      <c r="F1113" s="83" t="s">
        <v>5973</v>
      </c>
      <c r="G1113" s="114">
        <v>500</v>
      </c>
      <c r="H1113" s="85">
        <v>-16.5</v>
      </c>
      <c r="I1113" s="115">
        <f>+IFERROR(-(H1113)/G1113,"")</f>
        <v>3.3000000000000002E-2</v>
      </c>
      <c r="J1113" s="87">
        <f>+G1113+H1113</f>
        <v>483.5</v>
      </c>
      <c r="K1113" s="87"/>
      <c r="L1113" s="87"/>
      <c r="M1113" s="87"/>
      <c r="N1113" s="90"/>
      <c r="O1113" s="90">
        <f>+Tabla4[[#This Row],[PAGO NO EURO]]+Tabla4[[#This Row],[CARGO NO EURO]]</f>
        <v>0</v>
      </c>
      <c r="P1113" s="90"/>
      <c r="Q1113" s="88"/>
      <c r="R1113" s="689">
        <f>+_xlfn.XLOOKUP(Tabla4[[#This Row],[ID CLIENTE]],'RESUMEN CLIENTES'!D:D,'RESUMEN CLIENTES'!G:G)</f>
        <v>45748</v>
      </c>
      <c r="S1113" s="88" t="str">
        <f>+_xlfn.XLOOKUP(Tabla4[[#This Row],[ID CLIENTE]],'RESUMEN CLIENTES'!D:D,'RESUMEN CLIENTES'!AA:AA)</f>
        <v>A1.1</v>
      </c>
      <c r="T1113" s="724" t="str">
        <f>+_xlfn.XLOOKUP(Tabla4[[#This Row],[ID CLIENTE]],'RESUMEN CLIENTES'!D:D,'RESUMEN CLIENTES'!C:C)</f>
        <v>Chile</v>
      </c>
    </row>
    <row r="1114" spans="1:20">
      <c r="A1114" s="47"/>
      <c r="B1114" s="47"/>
      <c r="C1114" s="27"/>
      <c r="D1114" s="27"/>
      <c r="E1114" s="27"/>
      <c r="F1114" s="27"/>
      <c r="G1114" s="48"/>
      <c r="H1114" s="49"/>
      <c r="I1114" s="50" t="str">
        <f t="shared" ref="I1114:I1120" si="46">+IFERROR(-(H1114)/G1114,"")</f>
        <v/>
      </c>
      <c r="J1114" s="51"/>
      <c r="K1114" s="51"/>
      <c r="L1114" s="51"/>
      <c r="M1114" s="51"/>
      <c r="N1114" s="525"/>
      <c r="O1114" s="525"/>
      <c r="P1114" s="525"/>
      <c r="Q1114" s="52"/>
      <c r="R1114" s="700"/>
      <c r="S1114" s="52"/>
      <c r="T1114" s="248"/>
    </row>
    <row r="1115" spans="1:20">
      <c r="A1115" s="47"/>
      <c r="B1115" s="47"/>
      <c r="C1115" s="27"/>
      <c r="D1115" s="27"/>
      <c r="E1115" s="27"/>
      <c r="F1115" s="27"/>
      <c r="G1115" s="48"/>
      <c r="H1115" s="49"/>
      <c r="I1115" s="50" t="str">
        <f t="shared" si="46"/>
        <v/>
      </c>
      <c r="J1115" s="51"/>
      <c r="K1115" s="51"/>
      <c r="L1115" s="51"/>
      <c r="M1115" s="51"/>
      <c r="N1115" s="525"/>
      <c r="O1115" s="525"/>
      <c r="P1115" s="525"/>
      <c r="Q1115" s="52"/>
      <c r="R1115" s="700"/>
      <c r="S1115" s="52"/>
      <c r="T1115" s="248"/>
    </row>
    <row r="1116" spans="1:20">
      <c r="A1116" s="47"/>
      <c r="B1116" s="47"/>
      <c r="C1116" s="27"/>
      <c r="D1116" s="27" t="s">
        <v>40</v>
      </c>
      <c r="E1116" s="27"/>
      <c r="F1116" s="558"/>
      <c r="G1116" s="48"/>
      <c r="H1116" s="49"/>
      <c r="I1116" s="50" t="str">
        <f>+IFERROR(-(H1116)/G1116,"")</f>
        <v/>
      </c>
      <c r="J1116" s="51"/>
      <c r="K1116" s="51"/>
      <c r="L1116" s="51"/>
      <c r="M1116" s="51"/>
      <c r="N1116" s="525"/>
      <c r="O1116" s="525"/>
      <c r="P1116" s="525"/>
      <c r="Q1116" s="52"/>
      <c r="R1116" s="700"/>
      <c r="S1116" s="52"/>
      <c r="T1116" s="248"/>
    </row>
    <row r="1117" spans="1:20">
      <c r="A1117" s="47"/>
      <c r="B1117" s="47"/>
      <c r="C1117" s="27"/>
      <c r="D1117" s="27"/>
      <c r="E1117" s="27"/>
      <c r="F1117" s="27"/>
      <c r="G1117" s="48"/>
      <c r="H1117" s="49"/>
      <c r="I1117" s="50" t="str">
        <f t="shared" si="46"/>
        <v/>
      </c>
      <c r="J1117" s="51"/>
      <c r="K1117" s="51"/>
      <c r="L1117" s="51"/>
      <c r="M1117" s="51"/>
      <c r="N1117" s="525"/>
      <c r="O1117" s="525"/>
      <c r="P1117" s="525"/>
      <c r="Q1117" s="52"/>
      <c r="R1117" s="700"/>
      <c r="S1117" s="52"/>
      <c r="T1117" s="248"/>
    </row>
    <row r="1118" spans="1:20">
      <c r="A1118" s="47"/>
      <c r="B1118" s="47"/>
      <c r="C1118" s="27"/>
      <c r="D1118" s="27"/>
      <c r="E1118" s="27"/>
      <c r="F1118" s="27"/>
      <c r="G1118" s="48"/>
      <c r="H1118" s="49"/>
      <c r="I1118" s="50" t="str">
        <f t="shared" si="46"/>
        <v/>
      </c>
      <c r="J1118" s="51"/>
      <c r="K1118" s="51"/>
      <c r="L1118" s="51"/>
      <c r="M1118" s="51"/>
      <c r="N1118" s="525"/>
      <c r="O1118" s="525"/>
      <c r="P1118" s="525"/>
      <c r="Q1118" s="52"/>
      <c r="R1118" s="700"/>
      <c r="S1118" s="52"/>
      <c r="T1118" s="248"/>
    </row>
    <row r="1119" spans="1:20">
      <c r="A1119" s="47"/>
      <c r="B1119" s="47"/>
      <c r="C1119" s="27"/>
      <c r="D1119" s="27"/>
      <c r="E1119" s="27"/>
      <c r="F1119" s="27"/>
      <c r="G1119" s="48"/>
      <c r="H1119" s="49"/>
      <c r="I1119" s="50" t="str">
        <f t="shared" si="46"/>
        <v/>
      </c>
      <c r="J1119" s="51"/>
      <c r="K1119" s="51"/>
      <c r="L1119" s="51"/>
      <c r="M1119" s="51"/>
      <c r="N1119" s="525"/>
      <c r="O1119" s="525"/>
      <c r="P1119" s="525"/>
      <c r="Q1119" s="52"/>
      <c r="R1119" s="700"/>
      <c r="S1119" s="52"/>
      <c r="T1119" s="248"/>
    </row>
    <row r="1120" spans="1:20">
      <c r="A1120" s="47"/>
      <c r="B1120" s="47"/>
      <c r="C1120" s="27"/>
      <c r="D1120" s="27"/>
      <c r="E1120" s="27"/>
      <c r="F1120" s="27"/>
      <c r="G1120" s="48"/>
      <c r="H1120" s="49"/>
      <c r="I1120" s="50" t="str">
        <f t="shared" si="46"/>
        <v/>
      </c>
      <c r="J1120" s="51"/>
      <c r="K1120" s="51"/>
      <c r="L1120" s="51"/>
      <c r="M1120" s="51"/>
      <c r="N1120" s="525"/>
      <c r="O1120" s="525"/>
      <c r="P1120" s="525"/>
      <c r="Q1120" s="52"/>
      <c r="R1120" s="700"/>
      <c r="S1120" s="52"/>
      <c r="T1120" s="248"/>
    </row>
    <row r="1121" spans="1:20">
      <c r="A1121" s="47"/>
      <c r="B1121" s="47"/>
      <c r="C1121" s="27"/>
      <c r="D1121" s="27"/>
      <c r="E1121" s="27"/>
      <c r="F1121" s="27"/>
      <c r="G1121" s="48"/>
      <c r="H1121" s="49"/>
      <c r="I1121" s="50" t="str">
        <f t="shared" ref="I1121:I1152" si="47">+IFERROR(-(H1121)/G1121,"")</f>
        <v/>
      </c>
      <c r="J1121" s="51"/>
      <c r="K1121" s="51"/>
      <c r="L1121" s="51"/>
      <c r="M1121" s="51"/>
      <c r="N1121" s="525"/>
      <c r="O1121" s="525"/>
      <c r="P1121" s="525"/>
      <c r="Q1121" s="52"/>
      <c r="R1121" s="700"/>
      <c r="S1121" s="52"/>
      <c r="T1121" s="248"/>
    </row>
    <row r="1122" spans="1:20">
      <c r="A1122" s="47"/>
      <c r="B1122" s="47"/>
      <c r="C1122" s="27"/>
      <c r="D1122" s="27"/>
      <c r="E1122" s="27"/>
      <c r="F1122" s="27"/>
      <c r="G1122" s="48"/>
      <c r="H1122" s="49"/>
      <c r="I1122" s="50" t="str">
        <f t="shared" si="47"/>
        <v/>
      </c>
      <c r="J1122" s="51"/>
      <c r="K1122" s="51"/>
      <c r="L1122" s="51"/>
      <c r="M1122" s="51"/>
      <c r="N1122" s="525"/>
      <c r="O1122" s="525"/>
      <c r="P1122" s="525"/>
      <c r="Q1122" s="52"/>
      <c r="R1122" s="700"/>
      <c r="S1122" s="52"/>
      <c r="T1122" s="248"/>
    </row>
    <row r="1123" spans="1:20">
      <c r="A1123" s="47"/>
      <c r="B1123" s="47"/>
      <c r="C1123" s="27"/>
      <c r="D1123" s="27"/>
      <c r="E1123" s="27"/>
      <c r="F1123" s="27"/>
      <c r="G1123" s="48"/>
      <c r="H1123" s="49"/>
      <c r="I1123" s="50" t="str">
        <f t="shared" si="47"/>
        <v/>
      </c>
      <c r="J1123" s="51"/>
      <c r="K1123" s="51"/>
      <c r="L1123" s="51"/>
      <c r="M1123" s="51"/>
      <c r="N1123" s="525"/>
      <c r="O1123" s="525"/>
      <c r="P1123" s="525"/>
      <c r="Q1123" s="52"/>
      <c r="R1123" s="700"/>
      <c r="S1123" s="52"/>
      <c r="T1123" s="248"/>
    </row>
    <row r="1124" spans="1:20">
      <c r="A1124" s="47"/>
      <c r="B1124" s="47"/>
      <c r="C1124" s="27"/>
      <c r="D1124" s="27"/>
      <c r="E1124" s="27"/>
      <c r="F1124" s="27"/>
      <c r="G1124" s="48"/>
      <c r="H1124" s="49"/>
      <c r="I1124" s="50" t="str">
        <f t="shared" si="47"/>
        <v/>
      </c>
      <c r="J1124" s="51"/>
      <c r="K1124" s="51"/>
      <c r="L1124" s="51"/>
      <c r="M1124" s="51"/>
      <c r="N1124" s="525"/>
      <c r="O1124" s="525"/>
      <c r="P1124" s="525"/>
      <c r="Q1124" s="52"/>
      <c r="R1124" s="700"/>
      <c r="S1124" s="52"/>
      <c r="T1124" s="248"/>
    </row>
    <row r="1125" spans="1:20">
      <c r="A1125" s="47"/>
      <c r="B1125" s="47"/>
      <c r="C1125" s="27"/>
      <c r="D1125" s="27"/>
      <c r="E1125" s="27"/>
      <c r="F1125" s="27"/>
      <c r="G1125" s="48"/>
      <c r="H1125" s="49"/>
      <c r="I1125" s="50" t="str">
        <f t="shared" si="47"/>
        <v/>
      </c>
      <c r="J1125" s="51"/>
      <c r="K1125" s="51"/>
      <c r="L1125" s="51"/>
      <c r="M1125" s="51"/>
      <c r="N1125" s="525"/>
      <c r="O1125" s="525"/>
      <c r="P1125" s="525"/>
      <c r="Q1125" s="52"/>
      <c r="R1125" s="700"/>
      <c r="S1125" s="52"/>
      <c r="T1125" s="248"/>
    </row>
    <row r="1126" spans="1:20">
      <c r="A1126" s="47"/>
      <c r="B1126" s="47"/>
      <c r="C1126" s="27"/>
      <c r="D1126" s="27"/>
      <c r="E1126" s="27"/>
      <c r="F1126" s="27"/>
      <c r="G1126" s="48"/>
      <c r="H1126" s="49"/>
      <c r="I1126" s="50" t="str">
        <f t="shared" si="47"/>
        <v/>
      </c>
      <c r="J1126" s="51"/>
      <c r="K1126" s="51"/>
      <c r="L1126" s="51"/>
      <c r="M1126" s="51"/>
      <c r="N1126" s="525"/>
      <c r="O1126" s="525"/>
      <c r="P1126" s="525"/>
      <c r="Q1126" s="52"/>
      <c r="R1126" s="700"/>
      <c r="S1126" s="52"/>
      <c r="T1126" s="248"/>
    </row>
    <row r="1127" spans="1:20">
      <c r="A1127" s="47"/>
      <c r="B1127" s="47"/>
      <c r="C1127" s="27"/>
      <c r="D1127" s="27"/>
      <c r="E1127" s="27"/>
      <c r="F1127" s="27"/>
      <c r="G1127" s="48"/>
      <c r="H1127" s="49"/>
      <c r="I1127" s="50" t="str">
        <f t="shared" si="47"/>
        <v/>
      </c>
      <c r="J1127" s="51"/>
      <c r="K1127" s="51"/>
      <c r="L1127" s="51"/>
      <c r="M1127" s="51"/>
      <c r="N1127" s="525"/>
      <c r="O1127" s="525"/>
      <c r="P1127" s="525"/>
      <c r="Q1127" s="52"/>
      <c r="R1127" s="700"/>
      <c r="S1127" s="52"/>
      <c r="T1127" s="248"/>
    </row>
    <row r="1128" spans="1:20">
      <c r="A1128" s="47"/>
      <c r="B1128" s="47"/>
      <c r="C1128" s="27"/>
      <c r="D1128" s="27"/>
      <c r="E1128" s="27"/>
      <c r="F1128" s="27"/>
      <c r="G1128" s="48"/>
      <c r="H1128" s="49"/>
      <c r="I1128" s="50" t="str">
        <f t="shared" si="47"/>
        <v/>
      </c>
      <c r="J1128" s="51"/>
      <c r="K1128" s="51"/>
      <c r="L1128" s="51"/>
      <c r="M1128" s="51"/>
      <c r="N1128" s="525"/>
      <c r="O1128" s="525"/>
      <c r="P1128" s="525"/>
      <c r="Q1128" s="52"/>
      <c r="R1128" s="700"/>
      <c r="S1128" s="52"/>
      <c r="T1128" s="248"/>
    </row>
    <row r="1129" spans="1:20">
      <c r="A1129" s="47"/>
      <c r="B1129" s="47"/>
      <c r="C1129" s="27"/>
      <c r="D1129" s="27"/>
      <c r="E1129" s="27"/>
      <c r="F1129" s="27"/>
      <c r="G1129" s="48"/>
      <c r="H1129" s="49"/>
      <c r="I1129" s="50" t="str">
        <f t="shared" si="47"/>
        <v/>
      </c>
      <c r="J1129" s="51"/>
      <c r="K1129" s="51"/>
      <c r="L1129" s="51"/>
      <c r="M1129" s="51"/>
      <c r="N1129" s="525"/>
      <c r="O1129" s="525"/>
      <c r="P1129" s="525"/>
      <c r="Q1129" s="52"/>
      <c r="R1129" s="700"/>
      <c r="S1129" s="52"/>
      <c r="T1129" s="248"/>
    </row>
    <row r="1130" spans="1:20">
      <c r="A1130" s="47"/>
      <c r="B1130" s="47"/>
      <c r="C1130" s="27"/>
      <c r="D1130" s="27"/>
      <c r="E1130" s="27"/>
      <c r="F1130" s="27"/>
      <c r="G1130" s="48"/>
      <c r="H1130" s="49"/>
      <c r="I1130" s="50" t="str">
        <f t="shared" si="47"/>
        <v/>
      </c>
      <c r="J1130" s="51"/>
      <c r="K1130" s="51"/>
      <c r="L1130" s="51"/>
      <c r="M1130" s="51"/>
      <c r="N1130" s="525"/>
      <c r="O1130" s="525"/>
      <c r="P1130" s="525"/>
      <c r="Q1130" s="52"/>
      <c r="R1130" s="700"/>
      <c r="S1130" s="52"/>
      <c r="T1130" s="248"/>
    </row>
    <row r="1131" spans="1:20">
      <c r="A1131" s="47"/>
      <c r="B1131" s="47"/>
      <c r="C1131" s="27"/>
      <c r="D1131" s="27"/>
      <c r="E1131" s="27"/>
      <c r="F1131" s="27"/>
      <c r="G1131" s="48"/>
      <c r="H1131" s="49"/>
      <c r="I1131" s="50" t="str">
        <f t="shared" si="47"/>
        <v/>
      </c>
      <c r="J1131" s="51"/>
      <c r="K1131" s="51"/>
      <c r="L1131" s="51"/>
      <c r="M1131" s="51"/>
      <c r="N1131" s="525"/>
      <c r="O1131" s="525"/>
      <c r="P1131" s="525"/>
      <c r="Q1131" s="52"/>
      <c r="R1131" s="700"/>
      <c r="S1131" s="52"/>
      <c r="T1131" s="248"/>
    </row>
    <row r="1132" spans="1:20">
      <c r="A1132" s="47"/>
      <c r="B1132" s="47"/>
      <c r="C1132" s="27"/>
      <c r="D1132" s="27"/>
      <c r="E1132" s="27"/>
      <c r="F1132" s="27"/>
      <c r="G1132" s="48"/>
      <c r="H1132" s="49"/>
      <c r="I1132" s="50" t="str">
        <f t="shared" si="47"/>
        <v/>
      </c>
      <c r="J1132" s="51"/>
      <c r="K1132" s="51"/>
      <c r="L1132" s="51"/>
      <c r="M1132" s="51"/>
      <c r="N1132" s="525"/>
      <c r="O1132" s="525"/>
      <c r="P1132" s="525"/>
      <c r="Q1132" s="52"/>
      <c r="R1132" s="700"/>
      <c r="S1132" s="52"/>
      <c r="T1132" s="248"/>
    </row>
    <row r="1133" spans="1:20">
      <c r="A1133" s="47"/>
      <c r="B1133" s="47"/>
      <c r="C1133" s="27"/>
      <c r="D1133" s="27"/>
      <c r="E1133" s="27"/>
      <c r="F1133" s="27"/>
      <c r="G1133" s="48"/>
      <c r="H1133" s="49"/>
      <c r="I1133" s="50" t="str">
        <f t="shared" si="47"/>
        <v/>
      </c>
      <c r="J1133" s="51"/>
      <c r="K1133" s="51"/>
      <c r="L1133" s="51"/>
      <c r="M1133" s="51"/>
      <c r="N1133" s="525"/>
      <c r="O1133" s="525"/>
      <c r="P1133" s="525"/>
      <c r="Q1133" s="52"/>
      <c r="R1133" s="700"/>
      <c r="S1133" s="52"/>
      <c r="T1133" s="248"/>
    </row>
    <row r="1134" spans="1:20">
      <c r="A1134" s="47"/>
      <c r="B1134" s="47"/>
      <c r="C1134" s="27"/>
      <c r="D1134" s="27"/>
      <c r="E1134" s="27"/>
      <c r="F1134" s="27"/>
      <c r="G1134" s="48"/>
      <c r="H1134" s="49"/>
      <c r="I1134" s="50" t="str">
        <f t="shared" si="47"/>
        <v/>
      </c>
      <c r="J1134" s="51"/>
      <c r="K1134" s="51"/>
      <c r="L1134" s="51"/>
      <c r="M1134" s="51"/>
      <c r="N1134" s="525"/>
      <c r="O1134" s="525"/>
      <c r="P1134" s="525"/>
      <c r="Q1134" s="52"/>
      <c r="R1134" s="700"/>
      <c r="S1134" s="52"/>
      <c r="T1134" s="248"/>
    </row>
    <row r="1135" spans="1:20">
      <c r="A1135" s="47"/>
      <c r="B1135" s="47"/>
      <c r="C1135" s="27"/>
      <c r="D1135" s="27"/>
      <c r="E1135" s="27"/>
      <c r="F1135" s="27"/>
      <c r="G1135" s="48"/>
      <c r="H1135" s="49"/>
      <c r="I1135" s="50" t="str">
        <f t="shared" si="47"/>
        <v/>
      </c>
      <c r="J1135" s="51"/>
      <c r="K1135" s="51"/>
      <c r="L1135" s="51"/>
      <c r="M1135" s="51"/>
      <c r="N1135" s="525"/>
      <c r="O1135" s="525"/>
      <c r="P1135" s="525"/>
      <c r="Q1135" s="52"/>
      <c r="R1135" s="700"/>
      <c r="S1135" s="52"/>
      <c r="T1135" s="248"/>
    </row>
    <row r="1136" spans="1:20">
      <c r="A1136" s="47"/>
      <c r="B1136" s="47"/>
      <c r="C1136" s="27"/>
      <c r="D1136" s="27"/>
      <c r="E1136" s="27"/>
      <c r="F1136" s="27"/>
      <c r="G1136" s="48"/>
      <c r="H1136" s="49"/>
      <c r="I1136" s="50" t="str">
        <f t="shared" si="47"/>
        <v/>
      </c>
      <c r="J1136" s="51"/>
      <c r="K1136" s="51"/>
      <c r="L1136" s="51"/>
      <c r="M1136" s="51"/>
      <c r="N1136" s="525"/>
      <c r="O1136" s="525"/>
      <c r="P1136" s="525"/>
      <c r="Q1136" s="52"/>
      <c r="R1136" s="700"/>
      <c r="S1136" s="52"/>
      <c r="T1136" s="248"/>
    </row>
    <row r="1137" spans="1:20">
      <c r="A1137" s="47"/>
      <c r="B1137" s="47"/>
      <c r="C1137" s="27"/>
      <c r="D1137" s="27"/>
      <c r="E1137" s="27"/>
      <c r="F1137" s="27"/>
      <c r="G1137" s="48"/>
      <c r="H1137" s="49"/>
      <c r="I1137" s="50" t="str">
        <f t="shared" si="47"/>
        <v/>
      </c>
      <c r="J1137" s="51"/>
      <c r="K1137" s="51"/>
      <c r="L1137" s="51"/>
      <c r="M1137" s="51"/>
      <c r="N1137" s="525"/>
      <c r="O1137" s="525"/>
      <c r="P1137" s="525"/>
      <c r="Q1137" s="52"/>
      <c r="R1137" s="700"/>
      <c r="S1137" s="52"/>
      <c r="T1137" s="248"/>
    </row>
    <row r="1138" spans="1:20">
      <c r="A1138" s="47"/>
      <c r="B1138" s="47"/>
      <c r="C1138" s="27"/>
      <c r="D1138" s="27"/>
      <c r="E1138" s="27"/>
      <c r="F1138" s="27"/>
      <c r="G1138" s="48"/>
      <c r="H1138" s="49"/>
      <c r="I1138" s="50" t="str">
        <f t="shared" si="47"/>
        <v/>
      </c>
      <c r="J1138" s="51"/>
      <c r="K1138" s="51"/>
      <c r="L1138" s="51"/>
      <c r="M1138" s="51"/>
      <c r="N1138" s="525"/>
      <c r="O1138" s="525"/>
      <c r="P1138" s="525"/>
      <c r="Q1138" s="52"/>
      <c r="R1138" s="700"/>
      <c r="S1138" s="52"/>
      <c r="T1138" s="248"/>
    </row>
    <row r="1139" spans="1:20">
      <c r="A1139" s="47"/>
      <c r="B1139" s="47"/>
      <c r="C1139" s="27"/>
      <c r="D1139" s="27"/>
      <c r="E1139" s="27"/>
      <c r="F1139" s="27"/>
      <c r="G1139" s="48"/>
      <c r="H1139" s="49"/>
      <c r="I1139" s="50" t="str">
        <f t="shared" si="47"/>
        <v/>
      </c>
      <c r="J1139" s="51"/>
      <c r="K1139" s="51"/>
      <c r="L1139" s="51"/>
      <c r="M1139" s="51"/>
      <c r="N1139" s="525"/>
      <c r="O1139" s="525"/>
      <c r="P1139" s="525"/>
      <c r="Q1139" s="52"/>
      <c r="R1139" s="700"/>
      <c r="S1139" s="52"/>
      <c r="T1139" s="248"/>
    </row>
    <row r="1140" spans="1:20">
      <c r="A1140" s="47"/>
      <c r="B1140" s="47"/>
      <c r="C1140" s="27"/>
      <c r="D1140" s="27"/>
      <c r="E1140" s="27"/>
      <c r="F1140" s="27"/>
      <c r="G1140" s="48"/>
      <c r="H1140" s="49"/>
      <c r="I1140" s="50" t="str">
        <f t="shared" si="47"/>
        <v/>
      </c>
      <c r="J1140" s="51"/>
      <c r="K1140" s="51"/>
      <c r="L1140" s="51"/>
      <c r="M1140" s="51"/>
      <c r="N1140" s="525"/>
      <c r="O1140" s="525"/>
      <c r="P1140" s="525"/>
      <c r="Q1140" s="52"/>
      <c r="R1140" s="700"/>
      <c r="S1140" s="52"/>
      <c r="T1140" s="248"/>
    </row>
    <row r="1141" spans="1:20">
      <c r="A1141" s="47"/>
      <c r="B1141" s="47"/>
      <c r="C1141" s="27"/>
      <c r="D1141" s="27"/>
      <c r="E1141" s="27"/>
      <c r="F1141" s="27"/>
      <c r="G1141" s="48"/>
      <c r="H1141" s="49"/>
      <c r="I1141" s="50" t="str">
        <f t="shared" si="47"/>
        <v/>
      </c>
      <c r="J1141" s="51"/>
      <c r="K1141" s="51"/>
      <c r="L1141" s="51"/>
      <c r="M1141" s="51"/>
      <c r="N1141" s="525"/>
      <c r="O1141" s="525"/>
      <c r="P1141" s="525"/>
      <c r="Q1141" s="52"/>
      <c r="R1141" s="700"/>
      <c r="S1141" s="52"/>
      <c r="T1141" s="248"/>
    </row>
    <row r="1142" spans="1:20">
      <c r="A1142" s="47"/>
      <c r="B1142" s="47"/>
      <c r="C1142" s="27"/>
      <c r="D1142" s="27"/>
      <c r="E1142" s="27"/>
      <c r="F1142" s="27"/>
      <c r="G1142" s="48"/>
      <c r="H1142" s="49"/>
      <c r="I1142" s="50" t="str">
        <f t="shared" si="47"/>
        <v/>
      </c>
      <c r="J1142" s="51"/>
      <c r="K1142" s="51"/>
      <c r="L1142" s="51"/>
      <c r="M1142" s="51"/>
      <c r="N1142" s="525"/>
      <c r="O1142" s="525"/>
      <c r="P1142" s="525"/>
      <c r="Q1142" s="52"/>
      <c r="R1142" s="700"/>
      <c r="S1142" s="52"/>
      <c r="T1142" s="248"/>
    </row>
    <row r="1143" spans="1:20">
      <c r="A1143" s="47"/>
      <c r="B1143" s="47"/>
      <c r="C1143" s="27"/>
      <c r="D1143" s="27"/>
      <c r="E1143" s="27"/>
      <c r="F1143" s="27"/>
      <c r="G1143" s="48"/>
      <c r="H1143" s="49"/>
      <c r="I1143" s="50" t="str">
        <f t="shared" si="47"/>
        <v/>
      </c>
      <c r="J1143" s="51"/>
      <c r="K1143" s="51"/>
      <c r="L1143" s="51"/>
      <c r="M1143" s="51"/>
      <c r="N1143" s="525"/>
      <c r="O1143" s="525"/>
      <c r="P1143" s="525"/>
      <c r="Q1143" s="52"/>
      <c r="R1143" s="700"/>
      <c r="S1143" s="52"/>
      <c r="T1143" s="248"/>
    </row>
    <row r="1144" spans="1:20">
      <c r="A1144" s="47"/>
      <c r="B1144" s="47"/>
      <c r="C1144" s="27"/>
      <c r="D1144" s="27"/>
      <c r="E1144" s="27"/>
      <c r="F1144" s="27"/>
      <c r="G1144" s="48"/>
      <c r="H1144" s="49"/>
      <c r="I1144" s="50" t="str">
        <f t="shared" si="47"/>
        <v/>
      </c>
      <c r="J1144" s="51"/>
      <c r="K1144" s="51"/>
      <c r="L1144" s="51"/>
      <c r="M1144" s="51"/>
      <c r="N1144" s="525"/>
      <c r="O1144" s="525"/>
      <c r="P1144" s="525"/>
      <c r="Q1144" s="52"/>
      <c r="R1144" s="700"/>
      <c r="S1144" s="52"/>
      <c r="T1144" s="248"/>
    </row>
    <row r="1145" spans="1:20">
      <c r="A1145" s="47"/>
      <c r="B1145" s="47"/>
      <c r="C1145" s="27"/>
      <c r="D1145" s="27"/>
      <c r="E1145" s="27"/>
      <c r="F1145" s="27"/>
      <c r="G1145" s="48"/>
      <c r="H1145" s="49"/>
      <c r="I1145" s="50" t="str">
        <f t="shared" si="47"/>
        <v/>
      </c>
      <c r="J1145" s="51"/>
      <c r="K1145" s="51"/>
      <c r="L1145" s="51"/>
      <c r="M1145" s="51"/>
      <c r="N1145" s="525"/>
      <c r="O1145" s="525"/>
      <c r="P1145" s="525"/>
      <c r="Q1145" s="52"/>
      <c r="R1145" s="700"/>
      <c r="S1145" s="52"/>
      <c r="T1145" s="248"/>
    </row>
    <row r="1146" spans="1:20">
      <c r="A1146" s="47"/>
      <c r="B1146" s="47"/>
      <c r="C1146" s="27"/>
      <c r="D1146" s="27"/>
      <c r="E1146" s="27"/>
      <c r="F1146" s="27"/>
      <c r="G1146" s="48"/>
      <c r="H1146" s="49"/>
      <c r="I1146" s="50" t="str">
        <f t="shared" si="47"/>
        <v/>
      </c>
      <c r="J1146" s="51"/>
      <c r="K1146" s="51"/>
      <c r="L1146" s="51"/>
      <c r="M1146" s="51"/>
      <c r="N1146" s="525"/>
      <c r="O1146" s="525"/>
      <c r="P1146" s="525"/>
      <c r="Q1146" s="52"/>
      <c r="R1146" s="700"/>
      <c r="S1146" s="52"/>
      <c r="T1146" s="248"/>
    </row>
    <row r="1147" spans="1:20">
      <c r="A1147" s="47"/>
      <c r="B1147" s="47"/>
      <c r="C1147" s="27"/>
      <c r="D1147" s="27"/>
      <c r="E1147" s="27"/>
      <c r="F1147" s="27"/>
      <c r="G1147" s="48"/>
      <c r="H1147" s="49"/>
      <c r="I1147" s="50" t="str">
        <f t="shared" si="47"/>
        <v/>
      </c>
      <c r="J1147" s="51"/>
      <c r="K1147" s="51"/>
      <c r="L1147" s="51"/>
      <c r="M1147" s="51"/>
      <c r="N1147" s="525"/>
      <c r="O1147" s="525"/>
      <c r="P1147" s="525"/>
      <c r="Q1147" s="52"/>
      <c r="R1147" s="700"/>
      <c r="S1147" s="52"/>
      <c r="T1147" s="248"/>
    </row>
    <row r="1148" spans="1:20">
      <c r="A1148" s="47"/>
      <c r="B1148" s="47"/>
      <c r="C1148" s="27"/>
      <c r="D1148" s="27"/>
      <c r="E1148" s="27"/>
      <c r="F1148" s="27"/>
      <c r="G1148" s="48"/>
      <c r="H1148" s="49"/>
      <c r="I1148" s="50" t="str">
        <f t="shared" si="47"/>
        <v/>
      </c>
      <c r="J1148" s="51"/>
      <c r="K1148" s="51"/>
      <c r="L1148" s="51"/>
      <c r="M1148" s="51"/>
      <c r="N1148" s="525"/>
      <c r="O1148" s="525"/>
      <c r="P1148" s="525"/>
      <c r="Q1148" s="52"/>
      <c r="R1148" s="700"/>
      <c r="S1148" s="52"/>
      <c r="T1148" s="248"/>
    </row>
    <row r="1149" spans="1:20">
      <c r="A1149" s="47"/>
      <c r="B1149" s="47"/>
      <c r="C1149" s="27"/>
      <c r="D1149" s="27"/>
      <c r="E1149" s="27"/>
      <c r="F1149" s="27"/>
      <c r="G1149" s="48"/>
      <c r="H1149" s="49"/>
      <c r="I1149" s="50" t="str">
        <f t="shared" si="47"/>
        <v/>
      </c>
      <c r="J1149" s="51"/>
      <c r="K1149" s="51"/>
      <c r="L1149" s="51"/>
      <c r="M1149" s="51"/>
      <c r="N1149" s="525"/>
      <c r="O1149" s="525"/>
      <c r="P1149" s="525"/>
      <c r="Q1149" s="52"/>
      <c r="R1149" s="700"/>
      <c r="S1149" s="52"/>
      <c r="T1149" s="248"/>
    </row>
    <row r="1150" spans="1:20">
      <c r="A1150" s="47"/>
      <c r="B1150" s="47"/>
      <c r="C1150" s="27"/>
      <c r="D1150" s="27"/>
      <c r="E1150" s="27"/>
      <c r="F1150" s="27"/>
      <c r="G1150" s="48"/>
      <c r="H1150" s="49"/>
      <c r="I1150" s="50" t="str">
        <f t="shared" si="47"/>
        <v/>
      </c>
      <c r="J1150" s="51"/>
      <c r="K1150" s="51"/>
      <c r="L1150" s="51"/>
      <c r="M1150" s="51"/>
      <c r="N1150" s="525"/>
      <c r="O1150" s="525"/>
      <c r="P1150" s="525"/>
      <c r="Q1150" s="52"/>
      <c r="R1150" s="700"/>
      <c r="S1150" s="52"/>
      <c r="T1150" s="248"/>
    </row>
    <row r="1151" spans="1:20">
      <c r="A1151" s="47"/>
      <c r="B1151" s="47"/>
      <c r="C1151" s="27"/>
      <c r="D1151" s="27"/>
      <c r="E1151" s="27"/>
      <c r="F1151" s="27"/>
      <c r="G1151" s="48"/>
      <c r="H1151" s="49"/>
      <c r="I1151" s="50" t="str">
        <f t="shared" si="47"/>
        <v/>
      </c>
      <c r="J1151" s="51"/>
      <c r="K1151" s="51"/>
      <c r="L1151" s="51"/>
      <c r="M1151" s="51"/>
      <c r="N1151" s="525"/>
      <c r="O1151" s="525"/>
      <c r="P1151" s="525"/>
      <c r="Q1151" s="52"/>
      <c r="R1151" s="700"/>
      <c r="S1151" s="52"/>
      <c r="T1151" s="248"/>
    </row>
    <row r="1152" spans="1:20">
      <c r="A1152" s="47"/>
      <c r="B1152" s="47"/>
      <c r="C1152" s="27"/>
      <c r="D1152" s="27"/>
      <c r="E1152" s="27"/>
      <c r="F1152" s="27"/>
      <c r="G1152" s="48"/>
      <c r="H1152" s="49"/>
      <c r="I1152" s="50" t="str">
        <f t="shared" si="47"/>
        <v/>
      </c>
      <c r="J1152" s="51"/>
      <c r="K1152" s="51"/>
      <c r="L1152" s="51"/>
      <c r="M1152" s="51"/>
      <c r="N1152" s="525"/>
      <c r="O1152" s="525"/>
      <c r="P1152" s="525"/>
      <c r="Q1152" s="52"/>
      <c r="R1152" s="700"/>
      <c r="S1152" s="52"/>
      <c r="T1152" s="248"/>
    </row>
    <row r="1153" spans="1:20">
      <c r="A1153" s="47"/>
      <c r="B1153" s="47"/>
      <c r="C1153" s="27"/>
      <c r="D1153" s="27"/>
      <c r="E1153" s="27"/>
      <c r="F1153" s="27"/>
      <c r="G1153" s="48"/>
      <c r="H1153" s="49"/>
      <c r="I1153" s="50" t="str">
        <f t="shared" ref="I1153:I1154" si="48">+IFERROR(-(H1153)/G1153,"")</f>
        <v/>
      </c>
      <c r="J1153" s="51"/>
      <c r="K1153" s="51"/>
      <c r="L1153" s="51"/>
      <c r="M1153" s="51"/>
      <c r="N1153" s="525"/>
      <c r="O1153" s="525"/>
      <c r="P1153" s="525"/>
      <c r="Q1153" s="52"/>
      <c r="R1153" s="700"/>
      <c r="S1153" s="52"/>
      <c r="T1153" s="248"/>
    </row>
    <row r="1154" spans="1:20">
      <c r="A1154" s="47"/>
      <c r="B1154" s="47"/>
      <c r="C1154" s="27"/>
      <c r="D1154" s="27"/>
      <c r="E1154" s="27"/>
      <c r="F1154" s="27"/>
      <c r="G1154" s="48"/>
      <c r="H1154" s="49"/>
      <c r="I1154" s="50" t="str">
        <f t="shared" si="48"/>
        <v/>
      </c>
      <c r="J1154" s="51"/>
      <c r="K1154" s="51"/>
      <c r="L1154" s="51"/>
      <c r="M1154" s="51"/>
      <c r="N1154" s="525"/>
      <c r="O1154" s="525"/>
      <c r="P1154" s="525"/>
      <c r="Q1154" s="52"/>
      <c r="R1154" s="700"/>
      <c r="S1154" s="52"/>
      <c r="T1154" s="248"/>
    </row>
  </sheetData>
  <phoneticPr fontId="7" type="noConversion"/>
  <hyperlinks>
    <hyperlink ref="C106" r:id="rId1" xr:uid="{2A729218-40FF-4591-B6A7-6B4BC297B98C}"/>
    <hyperlink ref="C113" r:id="rId2" xr:uid="{4F11ED99-C4E0-4290-9EC0-7E139B213BBF}"/>
    <hyperlink ref="C118" r:id="rId3" xr:uid="{B57BD445-91B6-429C-87FB-CFD12300B444}"/>
    <hyperlink ref="C120" r:id="rId4" xr:uid="{94F07A96-B940-4CBB-89A2-1D080EA455C5}"/>
    <hyperlink ref="C122" r:id="rId5" xr:uid="{9093ECD0-D60D-4A65-AB64-DB7411C6033B}"/>
    <hyperlink ref="C123" r:id="rId6" xr:uid="{8313DCCE-1A03-4112-B134-729E76DD912C}"/>
    <hyperlink ref="C121" r:id="rId7" xr:uid="{B47AC7E5-72B6-42E2-B813-E25739258BBA}"/>
    <hyperlink ref="C125" r:id="rId8" xr:uid="{0B48D186-302B-49C0-BC29-7C7B1162171D}"/>
    <hyperlink ref="C130" r:id="rId9" xr:uid="{9DF22535-A68F-4F31-8E99-BAC18B681483}"/>
    <hyperlink ref="C132" r:id="rId10" xr:uid="{88653F7D-61FC-47E2-B5D0-FB69040DA23B}"/>
    <hyperlink ref="C133" r:id="rId11" xr:uid="{80BEFA0F-99DA-4E0B-9C3B-835B41C576A3}"/>
    <hyperlink ref="C134" r:id="rId12" xr:uid="{C0D54169-80CB-4260-A4B3-677A498E58EA}"/>
    <hyperlink ref="C135" r:id="rId13" xr:uid="{55E51986-80EC-46A5-8D4A-723B4D2951CE}"/>
    <hyperlink ref="C137" r:id="rId14" xr:uid="{EA56EF61-2DF6-4FAC-B3E5-6D1B8EE9FEEB}"/>
    <hyperlink ref="C138" r:id="rId15" xr:uid="{EF9FFBD2-7E0B-4587-A119-921FA59594AF}"/>
    <hyperlink ref="C229" r:id="rId16" xr:uid="{74660905-D23F-4F60-823D-2E371ED00C3B}"/>
    <hyperlink ref="C243" r:id="rId17" xr:uid="{57026576-0AD8-40C9-9E6A-7FD6FCB61761}"/>
    <hyperlink ref="C246" r:id="rId18" xr:uid="{31798741-A504-4DDC-8908-988517684A3A}"/>
    <hyperlink ref="C231" r:id="rId19" xr:uid="{43F2B866-0A4E-4BAA-9B16-C1707EC56321}"/>
    <hyperlink ref="C946" r:id="rId20" xr:uid="{CB5D95A8-E7EC-0948-9674-4A47E0AEF79A}"/>
  </hyperlinks>
  <pageMargins left="0.7" right="0.7" top="0.75" bottom="0.75" header="0.3" footer="0.3"/>
  <pageSetup paperSize="9" orientation="portrait" r:id="rId21"/>
  <legacyDrawing r:id="rId22"/>
  <tableParts count="1">
    <tablePart r:id="rId2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262DA-ECD3-4D1E-B259-84E27BA37101}">
  <dimension ref="A1:R2958"/>
  <sheetViews>
    <sheetView zoomScale="77" zoomScaleNormal="65" workbookViewId="0">
      <pane xSplit="1" ySplit="1" topLeftCell="B1087" activePane="bottomRight" state="frozen"/>
      <selection pane="topRight" activeCell="B1" sqref="B1"/>
      <selection pane="bottomLeft" activeCell="A2" sqref="A2"/>
      <selection pane="bottomRight" activeCell="J1114" sqref="J1114"/>
    </sheetView>
  </sheetViews>
  <sheetFormatPr baseColWidth="10" defaultColWidth="11.5" defaultRowHeight="15"/>
  <cols>
    <col min="1" max="1" width="21.5" style="15" bestFit="1" customWidth="1"/>
    <col min="2" max="2" width="37" style="15" customWidth="1"/>
    <col min="3" max="3" width="0.1640625" style="15" hidden="1" customWidth="1"/>
    <col min="4" max="4" width="14.83203125" style="169" bestFit="1" customWidth="1"/>
    <col min="5" max="5" width="0.1640625" style="71" hidden="1" customWidth="1"/>
    <col min="6" max="6" width="6" style="71" customWidth="1"/>
    <col min="7" max="7" width="11.33203125" style="169" bestFit="1" customWidth="1"/>
    <col min="8" max="8" width="8.83203125" style="169" customWidth="1"/>
    <col min="9" max="9" width="13.6640625" style="16" customWidth="1"/>
    <col min="10" max="10" width="32.1640625" style="15" bestFit="1" customWidth="1"/>
    <col min="11" max="11" width="14.83203125" style="15" customWidth="1"/>
    <col min="12" max="12" width="11.5" style="169" customWidth="1"/>
    <col min="13" max="13" width="8" style="54" customWidth="1"/>
    <col min="14" max="14" width="12.1640625" style="209" customWidth="1"/>
    <col min="15" max="15" width="43.33203125" style="15" customWidth="1"/>
    <col min="16" max="16" width="11.5" style="15"/>
    <col min="17" max="17" width="10.5" style="15" bestFit="1" customWidth="1"/>
    <col min="18" max="16384" width="11.5" style="15"/>
  </cols>
  <sheetData>
    <row r="1" spans="1:15" s="104" customFormat="1" ht="20.75" customHeight="1">
      <c r="A1" s="175" t="s">
        <v>66</v>
      </c>
      <c r="B1" s="104" t="s">
        <v>67</v>
      </c>
      <c r="C1" s="104" t="s">
        <v>0</v>
      </c>
      <c r="D1" s="104" t="s">
        <v>68</v>
      </c>
      <c r="E1" s="102" t="s">
        <v>69</v>
      </c>
      <c r="F1" s="102" t="s">
        <v>70</v>
      </c>
      <c r="G1" s="104" t="s">
        <v>71</v>
      </c>
      <c r="H1" s="104" t="s">
        <v>72</v>
      </c>
      <c r="I1" s="105" t="s">
        <v>73</v>
      </c>
      <c r="J1" s="104" t="s">
        <v>74</v>
      </c>
      <c r="K1" s="104" t="s">
        <v>75</v>
      </c>
      <c r="L1" s="104" t="s">
        <v>76</v>
      </c>
      <c r="M1" s="103" t="s">
        <v>77</v>
      </c>
      <c r="N1" s="208" t="s">
        <v>78</v>
      </c>
      <c r="O1" s="104" t="s">
        <v>79</v>
      </c>
    </row>
    <row r="2" spans="1:15" ht="14.75" customHeight="1">
      <c r="A2" s="320" t="s">
        <v>80</v>
      </c>
      <c r="B2" t="str">
        <f>+_xlfn.XLOOKUP(Tabla6[[#This Row],[ID CLIENTE]],'RESUMEN CLIENTES'!D:D,'RESUMEN CLIENTES'!A:A)</f>
        <v>María Fernanda Alvar Sepúlveda</v>
      </c>
      <c r="C2" t="str">
        <f>+_xlfn.XLOOKUP(Tabla6[[#This Row],[ID CLIENTE]],'RESUMEN CLIENTES'!D:D,'RESUMEN CLIENTES'!C:C)</f>
        <v>Chile</v>
      </c>
      <c r="D2" s="44" t="str">
        <f>+_xlfn.XLOOKUP(Tabla6[[#This Row],[ID CLIENTE]],'RESUMEN CLIENTES'!D:D,'RESUMEN CLIENTES'!M:M)</f>
        <v>OK</v>
      </c>
      <c r="E2" s="72">
        <f>+_xlfn.XLOOKUP(Tabla6[[#This Row],[NOMBRE]],'RESUMEN CLIENTES'!A:A,'RESUMEN CLIENTES'!X:X)</f>
        <v>5</v>
      </c>
      <c r="F2" s="72">
        <f>+_xlfn.XLOOKUP(Tabla6[[#This Row],[ID CLIENTE]],'RESUMEN CLIENTES'!D:D,'RESUMEN CLIENTES'!W:W)</f>
        <v>1</v>
      </c>
      <c r="G2" s="17">
        <v>45627</v>
      </c>
      <c r="H2" s="44" t="s">
        <v>81</v>
      </c>
      <c r="I2" s="2">
        <v>560</v>
      </c>
      <c r="J2" s="20" t="s">
        <v>82</v>
      </c>
      <c r="K2" t="s">
        <v>83</v>
      </c>
      <c r="L2" s="44" t="str" cm="1">
        <f t="array" ref="L2">+_xlfn.IFS(COUNTIF(INGRESOS!E:E,Tabla6[[#This Row],[ID FACTURA]])=1,"PAGADA",Tabla6[[#This Row],[ID FACTURA]]&lt;&gt;0,"EMITIDA",Tabla6[[#This Row],[ID FACTURA]]=0,"POR EMITIR")</f>
        <v>PAGADA</v>
      </c>
      <c r="M2" s="55">
        <f>+IF(Tabla6[[#This Row],[ESTADO FACTURA]]="PAGADA",Tabla6[[#This Row],[FECHA]]-_xlfn.XLOOKUP(Tabla6[[#This Row],[N° FACTURA]],INGRESOS!F:F,INGRESOS!A:A),"-")</f>
        <v>-57</v>
      </c>
      <c r="N2" s="2"/>
      <c r="O2"/>
    </row>
    <row r="3" spans="1:15" ht="14.75" customHeight="1">
      <c r="A3" s="320" t="s">
        <v>80</v>
      </c>
      <c r="B3" t="str">
        <f>+_xlfn.XLOOKUP(Tabla6[[#This Row],[ID CLIENTE]],'RESUMEN CLIENTES'!D:D,'RESUMEN CLIENTES'!A:A)</f>
        <v>María Fernanda Alvar Sepúlveda</v>
      </c>
      <c r="C3" t="str">
        <f>+_xlfn.XLOOKUP(Tabla6[[#This Row],[ID CLIENTE]],'RESUMEN CLIENTES'!D:D,'RESUMEN CLIENTES'!C:C)</f>
        <v>Chile</v>
      </c>
      <c r="D3" s="44" t="str">
        <f>+_xlfn.XLOOKUP(Tabla6[[#This Row],[ID CLIENTE]],'RESUMEN CLIENTES'!D:D,'RESUMEN CLIENTES'!M:M)</f>
        <v>OK</v>
      </c>
      <c r="E3" s="72">
        <f>+_xlfn.XLOOKUP(Tabla6[[#This Row],[NOMBRE]],'RESUMEN CLIENTES'!A:A,'RESUMEN CLIENTES'!X:X)</f>
        <v>5</v>
      </c>
      <c r="F3" s="72">
        <f>+_xlfn.XLOOKUP(Tabla6[[#This Row],[ID CLIENTE]],'RESUMEN CLIENTES'!D:D,'RESUMEN CLIENTES'!W:W)</f>
        <v>1</v>
      </c>
      <c r="G3" s="17">
        <v>45658</v>
      </c>
      <c r="H3" s="44" t="s">
        <v>81</v>
      </c>
      <c r="I3" s="2">
        <v>3398.06</v>
      </c>
      <c r="J3" s="20" t="s">
        <v>82</v>
      </c>
      <c r="K3" t="s">
        <v>83</v>
      </c>
      <c r="L3" s="44" t="str" cm="1">
        <f t="array" ref="L3">+_xlfn.IFS(COUNTIF(INGRESOS!E:E,Tabla6[[#This Row],[ID FACTURA]])=1,"PAGADA",Tabla6[[#This Row],[ID FACTURA]]&lt;&gt;0,"EMITIDA",Tabla6[[#This Row],[ID FACTURA]]=0,"POR EMITIR")</f>
        <v>PAGADA</v>
      </c>
      <c r="M3" s="55">
        <f>+IF(Tabla6[[#This Row],[ESTADO FACTURA]]="PAGADA",Tabla6[[#This Row],[FECHA]]-_xlfn.XLOOKUP(Tabla6[[#This Row],[N° FACTURA]],INGRESOS!F:F,INGRESOS!A:A),"-")</f>
        <v>-26</v>
      </c>
      <c r="N3" s="2"/>
      <c r="O3"/>
    </row>
    <row r="4" spans="1:15" ht="14.75" customHeight="1">
      <c r="A4" s="320" t="s">
        <v>84</v>
      </c>
      <c r="B4" t="str">
        <f>+_xlfn.XLOOKUP(Tabla6[[#This Row],[ID CLIENTE]],'RESUMEN CLIENTES'!D:D,'RESUMEN CLIENTES'!A:A)</f>
        <v>Andrea Corpeño López</v>
      </c>
      <c r="C4" t="str">
        <f>+_xlfn.XLOOKUP(Tabla6[[#This Row],[ID CLIENTE]],'RESUMEN CLIENTES'!D:D,'RESUMEN CLIENTES'!C:C)</f>
        <v>El Salvador</v>
      </c>
      <c r="D4" s="44" t="str">
        <f>+_xlfn.XLOOKUP(Tabla6[[#This Row],[ID CLIENTE]],'RESUMEN CLIENTES'!D:D,'RESUMEN CLIENTES'!M:M)</f>
        <v>OK</v>
      </c>
      <c r="E4" s="72">
        <f>+_xlfn.XLOOKUP(Tabla6[[#This Row],[NOMBRE]],'RESUMEN CLIENTES'!A:A,'RESUMEN CLIENTES'!X:X)</f>
        <v>-0.81818181818181823</v>
      </c>
      <c r="F4" s="72">
        <f>+_xlfn.XLOOKUP(Tabla6[[#This Row],[ID CLIENTE]],'RESUMEN CLIENTES'!D:D,'RESUMEN CLIENTES'!W:W)</f>
        <v>0</v>
      </c>
      <c r="G4" s="17">
        <v>45689</v>
      </c>
      <c r="H4" s="44" t="s">
        <v>81</v>
      </c>
      <c r="I4" s="2">
        <v>2985</v>
      </c>
      <c r="J4" s="20" t="s">
        <v>85</v>
      </c>
      <c r="K4" t="s">
        <v>86</v>
      </c>
      <c r="L4" s="44" t="str" cm="1">
        <f t="array" ref="L4">+_xlfn.IFS(COUNTIF(INGRESOS!E:E,Tabla6[[#This Row],[ID FACTURA]])=1,"PAGADA",Tabla6[[#This Row],[ID FACTURA]]&lt;&gt;0,"EMITIDA",Tabla6[[#This Row],[ID FACTURA]]=0,"POR EMITIR")</f>
        <v>PAGADA</v>
      </c>
      <c r="M4" s="55">
        <f>+IF(Tabla6[[#This Row],[ESTADO FACTURA]]="PAGADA",Tabla6[[#This Row],[FECHA]]-_xlfn.XLOOKUP(Tabla6[[#This Row],[N° FACTURA]],INGRESOS!F:F,INGRESOS!A:A),"-")</f>
        <v>31</v>
      </c>
      <c r="N4" s="2"/>
      <c r="O4"/>
    </row>
    <row r="5" spans="1:15" ht="14.75" customHeight="1">
      <c r="A5" s="320" t="s">
        <v>87</v>
      </c>
      <c r="B5" t="str">
        <f>+_xlfn.XLOOKUP(Tabla6[[#This Row],[ID CLIENTE]],'RESUMEN CLIENTES'!D:D,'RESUMEN CLIENTES'!A:A)</f>
        <v>Jose Marcelo Marroquín Guzmán</v>
      </c>
      <c r="C5" t="str">
        <f>+_xlfn.XLOOKUP(Tabla6[[#This Row],[ID CLIENTE]],'RESUMEN CLIENTES'!D:D,'RESUMEN CLIENTES'!C:C)</f>
        <v>El Salvador</v>
      </c>
      <c r="D5" s="44" t="str">
        <f>+_xlfn.XLOOKUP(Tabla6[[#This Row],[ID CLIENTE]],'RESUMEN CLIENTES'!D:D,'RESUMEN CLIENTES'!M:M)</f>
        <v>OK</v>
      </c>
      <c r="E5" s="72">
        <f>+_xlfn.XLOOKUP(Tabla6[[#This Row],[NOMBRE]],'RESUMEN CLIENTES'!A:A,'RESUMEN CLIENTES'!X:X)</f>
        <v>-1.5833333333333333</v>
      </c>
      <c r="F5" s="72">
        <f>+_xlfn.XLOOKUP(Tabla6[[#This Row],[ID CLIENTE]],'RESUMEN CLIENTES'!D:D,'RESUMEN CLIENTES'!W:W)</f>
        <v>1</v>
      </c>
      <c r="G5" s="17">
        <v>45689</v>
      </c>
      <c r="H5" s="44" t="s">
        <v>81</v>
      </c>
      <c r="I5" s="2">
        <v>3000</v>
      </c>
      <c r="J5" s="20" t="s">
        <v>88</v>
      </c>
      <c r="K5" t="s">
        <v>89</v>
      </c>
      <c r="L5" s="44" t="str" cm="1">
        <f t="array" ref="L5">+_xlfn.IFS(COUNTIF(INGRESOS!E:E,Tabla6[[#This Row],[ID FACTURA]])=1,"PAGADA",Tabla6[[#This Row],[ID FACTURA]]&lt;&gt;0,"EMITIDA",Tabla6[[#This Row],[ID FACTURA]]=0,"POR EMITIR")</f>
        <v>PAGADA</v>
      </c>
      <c r="M5" s="55">
        <f>+IF(Tabla6[[#This Row],[ESTADO FACTURA]]="PAGADA",Tabla6[[#This Row],[FECHA]]-_xlfn.XLOOKUP(Tabla6[[#This Row],[N° FACTURA]],INGRESOS!F:F,INGRESOS!A:A),"-")</f>
        <v>31</v>
      </c>
      <c r="N5" s="2"/>
      <c r="O5"/>
    </row>
    <row r="6" spans="1:15" ht="14.75" customHeight="1">
      <c r="A6" s="320" t="s">
        <v>90</v>
      </c>
      <c r="B6" t="str">
        <f>+_xlfn.XLOOKUP(Tabla6[[#This Row],[ID CLIENTE]],'RESUMEN CLIENTES'!D:D,'RESUMEN CLIENTES'!A:A)</f>
        <v>David Enrique Díaz Mejía</v>
      </c>
      <c r="C6" t="str">
        <f>+_xlfn.XLOOKUP(Tabla6[[#This Row],[ID CLIENTE]],'RESUMEN CLIENTES'!D:D,'RESUMEN CLIENTES'!C:C)</f>
        <v>Honduras</v>
      </c>
      <c r="D6" s="44" t="str">
        <f>+_xlfn.XLOOKUP(Tabla6[[#This Row],[ID CLIENTE]],'RESUMEN CLIENTES'!D:D,'RESUMEN CLIENTES'!M:M)</f>
        <v>OK</v>
      </c>
      <c r="E6" s="72">
        <f>+_xlfn.XLOOKUP(Tabla6[[#This Row],[NOMBRE]],'RESUMEN CLIENTES'!A:A,'RESUMEN CLIENTES'!X:X)</f>
        <v>-15.217592592592862</v>
      </c>
      <c r="F6" s="72">
        <f>+_xlfn.XLOOKUP(Tabla6[[#This Row],[ID CLIENTE]],'RESUMEN CLIENTES'!D:D,'RESUMEN CLIENTES'!W:W)</f>
        <v>1</v>
      </c>
      <c r="G6" s="17">
        <v>45695</v>
      </c>
      <c r="H6" s="44" t="s">
        <v>81</v>
      </c>
      <c r="I6" s="2">
        <v>1500</v>
      </c>
      <c r="J6" s="20" t="s">
        <v>91</v>
      </c>
      <c r="K6" t="s">
        <v>92</v>
      </c>
      <c r="L6" s="44" t="str" cm="1">
        <f t="array" ref="L6">+_xlfn.IFS(COUNTIF(INGRESOS!E:E,Tabla6[[#This Row],[ID FACTURA]])=1,"PAGADA",Tabla6[[#This Row],[ID FACTURA]]&lt;&gt;0,"EMITIDA",Tabla6[[#This Row],[ID FACTURA]]=0,"POR EMITIR")</f>
        <v>PAGADA</v>
      </c>
      <c r="M6" s="55">
        <f>+IF(Tabla6[[#This Row],[ESTADO FACTURA]]="PAGADA",Tabla6[[#This Row],[FECHA]]-_xlfn.XLOOKUP(Tabla6[[#This Row],[N° FACTURA]],INGRESOS!F:F,INGRESOS!A:A),"-")</f>
        <v>-79</v>
      </c>
      <c r="N6" s="2"/>
      <c r="O6"/>
    </row>
    <row r="7" spans="1:15" ht="14.75" customHeight="1">
      <c r="A7" s="320" t="s">
        <v>84</v>
      </c>
      <c r="B7" t="str">
        <f>+_xlfn.XLOOKUP(Tabla6[[#This Row],[ID CLIENTE]],'RESUMEN CLIENTES'!D:D,'RESUMEN CLIENTES'!A:A)</f>
        <v>Andrea Corpeño López</v>
      </c>
      <c r="C7" t="str">
        <f>+_xlfn.XLOOKUP(Tabla6[[#This Row],[ID CLIENTE]],'RESUMEN CLIENTES'!D:D,'RESUMEN CLIENTES'!C:C)</f>
        <v>El Salvador</v>
      </c>
      <c r="D7" s="44" t="str">
        <f>+_xlfn.XLOOKUP(Tabla6[[#This Row],[ID CLIENTE]],'RESUMEN CLIENTES'!D:D,'RESUMEN CLIENTES'!M:M)</f>
        <v>OK</v>
      </c>
      <c r="E7" s="72">
        <f>+_xlfn.XLOOKUP(Tabla6[[#This Row],[NOMBRE]],'RESUMEN CLIENTES'!A:A,'RESUMEN CLIENTES'!X:X)</f>
        <v>-0.81818181818181823</v>
      </c>
      <c r="F7" s="72">
        <f>+_xlfn.XLOOKUP(Tabla6[[#This Row],[ID CLIENTE]],'RESUMEN CLIENTES'!D:D,'RESUMEN CLIENTES'!W:W)</f>
        <v>0</v>
      </c>
      <c r="G7" s="17">
        <v>45721</v>
      </c>
      <c r="H7" s="44" t="s">
        <v>81</v>
      </c>
      <c r="I7" s="2">
        <v>400</v>
      </c>
      <c r="J7" s="20" t="s">
        <v>93</v>
      </c>
      <c r="K7" t="s">
        <v>94</v>
      </c>
      <c r="L7" s="44" t="str" cm="1">
        <f t="array" ref="L7">+_xlfn.IFS(COUNTIF(INGRESOS!E:E,Tabla6[[#This Row],[ID FACTURA]])=1,"PAGADA",Tabla6[[#This Row],[ID FACTURA]]&lt;&gt;0,"EMITIDA",Tabla6[[#This Row],[ID FACTURA]]=0,"POR EMITIR")</f>
        <v>PAGADA</v>
      </c>
      <c r="M7" s="55">
        <f>+IF(Tabla6[[#This Row],[ESTADO FACTURA]]="PAGADA",Tabla6[[#This Row],[FECHA]]-_xlfn.XLOOKUP(Tabla6[[#This Row],[N° FACTURA]],INGRESOS!F:F,INGRESOS!A:A),"-")</f>
        <v>-19</v>
      </c>
      <c r="N7" s="2"/>
      <c r="O7"/>
    </row>
    <row r="8" spans="1:15" ht="14.75" customHeight="1">
      <c r="A8" s="320" t="s">
        <v>95</v>
      </c>
      <c r="B8" t="str">
        <f>+_xlfn.XLOOKUP(Tabla6[[#This Row],[ID CLIENTE]],'RESUMEN CLIENTES'!D:D,'RESUMEN CLIENTES'!A:A)</f>
        <v>Gabriel Alejandro Ortega Moreno</v>
      </c>
      <c r="C8" t="str">
        <f>+_xlfn.XLOOKUP(Tabla6[[#This Row],[ID CLIENTE]],'RESUMEN CLIENTES'!D:D,'RESUMEN CLIENTES'!C:C)</f>
        <v>Ecuador</v>
      </c>
      <c r="D8" s="44" t="str">
        <f>+_xlfn.XLOOKUP(Tabla6[[#This Row],[ID CLIENTE]],'RESUMEN CLIENTES'!D:D,'RESUMEN CLIENTES'!M:M)</f>
        <v>OK</v>
      </c>
      <c r="E8" s="72">
        <f>+_xlfn.XLOOKUP(Tabla6[[#This Row],[NOMBRE]],'RESUMEN CLIENTES'!A:A,'RESUMEN CLIENTES'!X:X)</f>
        <v>-0.1111111111111111</v>
      </c>
      <c r="F8" s="72">
        <f>+_xlfn.XLOOKUP(Tabla6[[#This Row],[ID CLIENTE]],'RESUMEN CLIENTES'!D:D,'RESUMEN CLIENTES'!W:W)</f>
        <v>0</v>
      </c>
      <c r="G8" s="17">
        <v>45721</v>
      </c>
      <c r="H8" s="44" t="s">
        <v>81</v>
      </c>
      <c r="I8" s="2">
        <v>3500</v>
      </c>
      <c r="J8" s="20" t="s">
        <v>96</v>
      </c>
      <c r="K8" t="s">
        <v>97</v>
      </c>
      <c r="L8" s="44" t="str" cm="1">
        <f t="array" ref="L8">+_xlfn.IFS(COUNTIF(INGRESOS!E:E,Tabla6[[#This Row],[ID FACTURA]])=1,"PAGADA",Tabla6[[#This Row],[ID FACTURA]]&lt;&gt;0,"EMITIDA",Tabla6[[#This Row],[ID FACTURA]]=0,"POR EMITIR")</f>
        <v>PAGADA</v>
      </c>
      <c r="M8" s="55">
        <f>+IF(Tabla6[[#This Row],[ESTADO FACTURA]]="PAGADA",Tabla6[[#This Row],[FECHA]]-_xlfn.XLOOKUP(Tabla6[[#This Row],[N° FACTURA]],INGRESOS!F:F,INGRESOS!A:A),"-")</f>
        <v>0</v>
      </c>
      <c r="N8" s="2"/>
      <c r="O8"/>
    </row>
    <row r="9" spans="1:15" ht="14.75" customHeight="1">
      <c r="A9" s="320" t="s">
        <v>98</v>
      </c>
      <c r="B9" t="str">
        <f>+_xlfn.XLOOKUP(Tabla6[[#This Row],[ID CLIENTE]],'RESUMEN CLIENTES'!D:D,'RESUMEN CLIENTES'!A:A)</f>
        <v>Gabriela Kimberlyn Moran Caiza</v>
      </c>
      <c r="C9" t="str">
        <f>+_xlfn.XLOOKUP(Tabla6[[#This Row],[ID CLIENTE]],'RESUMEN CLIENTES'!D:D,'RESUMEN CLIENTES'!C:C)</f>
        <v>Ecuador</v>
      </c>
      <c r="D9" s="44" t="str">
        <f>+_xlfn.XLOOKUP(Tabla6[[#This Row],[ID CLIENTE]],'RESUMEN CLIENTES'!D:D,'RESUMEN CLIENTES'!M:M)</f>
        <v>OK</v>
      </c>
      <c r="E9" s="72">
        <f>+_xlfn.XLOOKUP(Tabla6[[#This Row],[NOMBRE]],'RESUMEN CLIENTES'!A:A,'RESUMEN CLIENTES'!X:X)</f>
        <v>-1.25</v>
      </c>
      <c r="F9" s="72">
        <f>+_xlfn.XLOOKUP(Tabla6[[#This Row],[ID CLIENTE]],'RESUMEN CLIENTES'!D:D,'RESUMEN CLIENTES'!W:W)</f>
        <v>0</v>
      </c>
      <c r="G9" s="17">
        <v>45721</v>
      </c>
      <c r="H9" s="44" t="s">
        <v>81</v>
      </c>
      <c r="I9" s="2">
        <v>1500</v>
      </c>
      <c r="J9" s="20" t="s">
        <v>99</v>
      </c>
      <c r="K9" t="s">
        <v>100</v>
      </c>
      <c r="L9" s="44" t="str" cm="1">
        <f t="array" ref="L9">+_xlfn.IFS(COUNTIF(INGRESOS!E:E,Tabla6[[#This Row],[ID FACTURA]])=1,"PAGADA",Tabla6[[#This Row],[ID FACTURA]]&lt;&gt;0,"EMITIDA",Tabla6[[#This Row],[ID FACTURA]]=0,"POR EMITIR")</f>
        <v>PAGADA</v>
      </c>
      <c r="M9" s="55">
        <f>+IF(Tabla6[[#This Row],[ESTADO FACTURA]]="PAGADA",Tabla6[[#This Row],[FECHA]]-_xlfn.XLOOKUP(Tabla6[[#This Row],[N° FACTURA]],INGRESOS!F:F,INGRESOS!A:A),"-")</f>
        <v>0</v>
      </c>
      <c r="N9" s="2"/>
      <c r="O9"/>
    </row>
    <row r="10" spans="1:15" ht="14.75" customHeight="1">
      <c r="A10" s="320" t="s">
        <v>87</v>
      </c>
      <c r="B10" t="str">
        <f>+_xlfn.XLOOKUP(Tabla6[[#This Row],[ID CLIENTE]],'RESUMEN CLIENTES'!D:D,'RESUMEN CLIENTES'!A:A)</f>
        <v>Jose Marcelo Marroquín Guzmán</v>
      </c>
      <c r="C10" t="str">
        <f>+_xlfn.XLOOKUP(Tabla6[[#This Row],[ID CLIENTE]],'RESUMEN CLIENTES'!D:D,'RESUMEN CLIENTES'!C:C)</f>
        <v>El Salvador</v>
      </c>
      <c r="D10" s="44" t="str">
        <f>+_xlfn.XLOOKUP(Tabla6[[#This Row],[ID CLIENTE]],'RESUMEN CLIENTES'!D:D,'RESUMEN CLIENTES'!M:M)</f>
        <v>OK</v>
      </c>
      <c r="E10" s="72">
        <f>+_xlfn.XLOOKUP(Tabla6[[#This Row],[NOMBRE]],'RESUMEN CLIENTES'!A:A,'RESUMEN CLIENTES'!X:X)</f>
        <v>-1.5833333333333333</v>
      </c>
      <c r="F10" s="72">
        <f>+_xlfn.XLOOKUP(Tabla6[[#This Row],[ID CLIENTE]],'RESUMEN CLIENTES'!D:D,'RESUMEN CLIENTES'!W:W)</f>
        <v>1</v>
      </c>
      <c r="G10" s="17">
        <v>45721</v>
      </c>
      <c r="H10" s="44" t="s">
        <v>81</v>
      </c>
      <c r="I10" s="2">
        <v>400</v>
      </c>
      <c r="J10" s="20" t="s">
        <v>101</v>
      </c>
      <c r="K10" t="s">
        <v>102</v>
      </c>
      <c r="L10" s="44" t="str" cm="1">
        <f t="array" ref="L10">+_xlfn.IFS(COUNTIF(INGRESOS!E:E,Tabla6[[#This Row],[ID FACTURA]])=1,"PAGADA",Tabla6[[#This Row],[ID FACTURA]]&lt;&gt;0,"EMITIDA",Tabla6[[#This Row],[ID FACTURA]]=0,"POR EMITIR")</f>
        <v>PAGADA</v>
      </c>
      <c r="M10" s="55">
        <f>+IF(Tabla6[[#This Row],[ESTADO FACTURA]]="PAGADA",Tabla6[[#This Row],[FECHA]]-_xlfn.XLOOKUP(Tabla6[[#This Row],[N° FACTURA]],INGRESOS!F:F,INGRESOS!A:A),"-")</f>
        <v>-19</v>
      </c>
      <c r="N10" s="2"/>
      <c r="O10"/>
    </row>
    <row r="11" spans="1:15" ht="14.75" customHeight="1">
      <c r="A11" s="320" t="s">
        <v>80</v>
      </c>
      <c r="B11" t="str">
        <f>+_xlfn.XLOOKUP(Tabla6[[#This Row],[ID CLIENTE]],'RESUMEN CLIENTES'!D:D,'RESUMEN CLIENTES'!A:A)</f>
        <v>María Fernanda Alvar Sepúlveda</v>
      </c>
      <c r="C11" t="str">
        <f>+_xlfn.XLOOKUP(Tabla6[[#This Row],[ID CLIENTE]],'RESUMEN CLIENTES'!D:D,'RESUMEN CLIENTES'!C:C)</f>
        <v>Chile</v>
      </c>
      <c r="D11" s="44" t="str">
        <f>+_xlfn.XLOOKUP(Tabla6[[#This Row],[ID CLIENTE]],'RESUMEN CLIENTES'!D:D,'RESUMEN CLIENTES'!M:M)</f>
        <v>OK</v>
      </c>
      <c r="E11" s="72">
        <f>+_xlfn.XLOOKUP(Tabla6[[#This Row],[NOMBRE]],'RESUMEN CLIENTES'!A:A,'RESUMEN CLIENTES'!X:X)</f>
        <v>5</v>
      </c>
      <c r="F11" s="72">
        <f>+_xlfn.XLOOKUP(Tabla6[[#This Row],[ID CLIENTE]],'RESUMEN CLIENTES'!D:D,'RESUMEN CLIENTES'!W:W)</f>
        <v>1</v>
      </c>
      <c r="G11" s="17">
        <v>45721</v>
      </c>
      <c r="H11" s="44" t="s">
        <v>81</v>
      </c>
      <c r="I11" s="2">
        <v>582.52</v>
      </c>
      <c r="J11" s="20" t="s">
        <v>82</v>
      </c>
      <c r="K11" t="s">
        <v>83</v>
      </c>
      <c r="L11" s="44" t="str" cm="1">
        <f t="array" ref="L11">+_xlfn.IFS(COUNTIF(INGRESOS!E:E,Tabla6[[#This Row],[ID FACTURA]])=1,"PAGADA",Tabla6[[#This Row],[ID FACTURA]]&lt;&gt;0,"EMITIDA",Tabla6[[#This Row],[ID FACTURA]]=0,"POR EMITIR")</f>
        <v>PAGADA</v>
      </c>
      <c r="M11" s="55">
        <f>+IF(Tabla6[[#This Row],[ESTADO FACTURA]]="PAGADA",Tabla6[[#This Row],[FECHA]]-_xlfn.XLOOKUP(Tabla6[[#This Row],[N° FACTURA]],INGRESOS!F:F,INGRESOS!A:A),"-")</f>
        <v>37</v>
      </c>
      <c r="N11" s="2"/>
      <c r="O11"/>
    </row>
    <row r="12" spans="1:15" ht="14.75" customHeight="1">
      <c r="A12" s="320" t="s">
        <v>103</v>
      </c>
      <c r="B12" t="str">
        <f>+_xlfn.XLOOKUP(Tabla6[[#This Row],[ID CLIENTE]],'RESUMEN CLIENTES'!D:D,'RESUMEN CLIENTES'!A:A)</f>
        <v>Isaac Ricardo Jimenez Campos</v>
      </c>
      <c r="C12" t="str">
        <f>+_xlfn.XLOOKUP(Tabla6[[#This Row],[ID CLIENTE]],'RESUMEN CLIENTES'!D:D,'RESUMEN CLIENTES'!C:C)</f>
        <v>México</v>
      </c>
      <c r="D12" s="44" t="str">
        <f>+_xlfn.XLOOKUP(Tabla6[[#This Row],[ID CLIENTE]],'RESUMEN CLIENTES'!D:D,'RESUMEN CLIENTES'!M:M)</f>
        <v>OK</v>
      </c>
      <c r="E12" s="72">
        <f>+_xlfn.XLOOKUP(Tabla6[[#This Row],[NOMBRE]],'RESUMEN CLIENTES'!A:A,'RESUMEN CLIENTES'!X:X)</f>
        <v>0.5</v>
      </c>
      <c r="F12" s="72">
        <f>+_xlfn.XLOOKUP(Tabla6[[#This Row],[ID CLIENTE]],'RESUMEN CLIENTES'!D:D,'RESUMEN CLIENTES'!W:W)</f>
        <v>1</v>
      </c>
      <c r="G12" s="17">
        <v>45725</v>
      </c>
      <c r="H12" s="44" t="s">
        <v>81</v>
      </c>
      <c r="I12" s="2">
        <v>1000</v>
      </c>
      <c r="J12" s="20" t="s">
        <v>104</v>
      </c>
      <c r="K12" t="s">
        <v>105</v>
      </c>
      <c r="L12" s="44" t="str" cm="1">
        <f t="array" ref="L12">+_xlfn.IFS(COUNTIF(INGRESOS!E:E,Tabla6[[#This Row],[ID FACTURA]])=1,"PAGADA",Tabla6[[#This Row],[ID FACTURA]]&lt;&gt;0,"EMITIDA",Tabla6[[#This Row],[ID FACTURA]]=0,"POR EMITIR")</f>
        <v>PAGADA</v>
      </c>
      <c r="M12" s="55">
        <f>+IF(Tabla6[[#This Row],[ESTADO FACTURA]]="PAGADA",Tabla6[[#This Row],[FECHA]]-_xlfn.XLOOKUP(Tabla6[[#This Row],[N° FACTURA]],INGRESOS!F:F,INGRESOS!A:A),"-")</f>
        <v>0</v>
      </c>
      <c r="N12" s="2"/>
      <c r="O12"/>
    </row>
    <row r="13" spans="1:15" ht="14.75" customHeight="1">
      <c r="A13" s="320" t="s">
        <v>106</v>
      </c>
      <c r="B13" t="str">
        <f>+_xlfn.XLOOKUP(Tabla6[[#This Row],[ID CLIENTE]],'RESUMEN CLIENTES'!D:D,'RESUMEN CLIENTES'!A:A)</f>
        <v>Hector Armando Daza Mejia</v>
      </c>
      <c r="C13" t="str">
        <f>+_xlfn.XLOOKUP(Tabla6[[#This Row],[ID CLIENTE]],'RESUMEN CLIENTES'!D:D,'RESUMEN CLIENTES'!C:C)</f>
        <v>Colombia</v>
      </c>
      <c r="D13" s="44" t="str">
        <f>+_xlfn.XLOOKUP(Tabla6[[#This Row],[ID CLIENTE]],'RESUMEN CLIENTES'!D:D,'RESUMEN CLIENTES'!M:M)</f>
        <v>OK</v>
      </c>
      <c r="E13" s="72">
        <f>+_xlfn.XLOOKUP(Tabla6[[#This Row],[NOMBRE]],'RESUMEN CLIENTES'!A:A,'RESUMEN CLIENTES'!X:X)</f>
        <v>1.1111111111111112</v>
      </c>
      <c r="F13" s="72">
        <f>+_xlfn.XLOOKUP(Tabla6[[#This Row],[ID CLIENTE]],'RESUMEN CLIENTES'!D:D,'RESUMEN CLIENTES'!W:W)</f>
        <v>0</v>
      </c>
      <c r="G13" s="17">
        <v>45726</v>
      </c>
      <c r="H13" s="44" t="s">
        <v>81</v>
      </c>
      <c r="I13" s="2">
        <v>1500</v>
      </c>
      <c r="J13" s="20" t="s">
        <v>107</v>
      </c>
      <c r="K13" t="s">
        <v>108</v>
      </c>
      <c r="L13" s="44" t="str" cm="1">
        <f t="array" ref="L13">+_xlfn.IFS(COUNTIF(INGRESOS!E:E,Tabla6[[#This Row],[ID FACTURA]])=1,"PAGADA",Tabla6[[#This Row],[ID FACTURA]]&lt;&gt;0,"EMITIDA",Tabla6[[#This Row],[ID FACTURA]]=0,"POR EMITIR")</f>
        <v>PAGADA</v>
      </c>
      <c r="M13" s="55">
        <f>+IF(Tabla6[[#This Row],[ESTADO FACTURA]]="PAGADA",Tabla6[[#This Row],[FECHA]]-_xlfn.XLOOKUP(Tabla6[[#This Row],[N° FACTURA]],INGRESOS!F:F,INGRESOS!A:A),"-")</f>
        <v>0</v>
      </c>
      <c r="N13" s="2"/>
      <c r="O13"/>
    </row>
    <row r="14" spans="1:15" ht="14.75" customHeight="1">
      <c r="A14" s="320" t="s">
        <v>109</v>
      </c>
      <c r="B14" t="str">
        <f>+_xlfn.XLOOKUP(Tabla6[[#This Row],[ID CLIENTE]],'RESUMEN CLIENTES'!D:D,'RESUMEN CLIENTES'!A:A)</f>
        <v>Ian Job Lino Durán</v>
      </c>
      <c r="C14" t="str">
        <f>+_xlfn.XLOOKUP(Tabla6[[#This Row],[ID CLIENTE]],'RESUMEN CLIENTES'!D:D,'RESUMEN CLIENTES'!C:C)</f>
        <v>México</v>
      </c>
      <c r="D14" s="44" t="str">
        <f>+_xlfn.XLOOKUP(Tabla6[[#This Row],[ID CLIENTE]],'RESUMEN CLIENTES'!D:D,'RESUMEN CLIENTES'!M:M)</f>
        <v>OK</v>
      </c>
      <c r="E14" s="72">
        <f>+_xlfn.XLOOKUP(Tabla6[[#This Row],[NOMBRE]],'RESUMEN CLIENTES'!A:A,'RESUMEN CLIENTES'!X:X)</f>
        <v>0.1</v>
      </c>
      <c r="F14" s="72">
        <f>+_xlfn.XLOOKUP(Tabla6[[#This Row],[ID CLIENTE]],'RESUMEN CLIENTES'!D:D,'RESUMEN CLIENTES'!W:W)</f>
        <v>1</v>
      </c>
      <c r="G14" s="17">
        <v>45729</v>
      </c>
      <c r="H14" s="44" t="s">
        <v>81</v>
      </c>
      <c r="I14" s="2">
        <v>1500</v>
      </c>
      <c r="J14" s="20" t="s">
        <v>110</v>
      </c>
      <c r="K14" t="s">
        <v>111</v>
      </c>
      <c r="L14" s="44" t="str" cm="1">
        <f t="array" ref="L14">+_xlfn.IFS(COUNTIF(INGRESOS!E:E,Tabla6[[#This Row],[ID FACTURA]])=1,"PAGADA",Tabla6[[#This Row],[ID FACTURA]]&lt;&gt;0,"EMITIDA",Tabla6[[#This Row],[ID FACTURA]]=0,"POR EMITIR")</f>
        <v>PAGADA</v>
      </c>
      <c r="M14" s="55">
        <f>+IF(Tabla6[[#This Row],[ESTADO FACTURA]]="PAGADA",Tabla6[[#This Row],[FECHA]]-_xlfn.XLOOKUP(Tabla6[[#This Row],[N° FACTURA]],INGRESOS!F:F,INGRESOS!A:A),"-")</f>
        <v>0</v>
      </c>
      <c r="N14" s="2"/>
      <c r="O14"/>
    </row>
    <row r="15" spans="1:15" ht="14.75" customHeight="1">
      <c r="A15" s="320" t="s">
        <v>112</v>
      </c>
      <c r="B15" t="str">
        <f>+_xlfn.XLOOKUP(Tabla6[[#This Row],[ID CLIENTE]],'RESUMEN CLIENTES'!D:D,'RESUMEN CLIENTES'!A:A)</f>
        <v>Victor Emanuel Hernández Ruíz</v>
      </c>
      <c r="C15" t="str">
        <f>+_xlfn.XLOOKUP(Tabla6[[#This Row],[ID CLIENTE]],'RESUMEN CLIENTES'!D:D,'RESUMEN CLIENTES'!C:C)</f>
        <v>México</v>
      </c>
      <c r="D15" s="44" t="str">
        <f>+_xlfn.XLOOKUP(Tabla6[[#This Row],[ID CLIENTE]],'RESUMEN CLIENTES'!D:D,'RESUMEN CLIENTES'!M:M)</f>
        <v>OK</v>
      </c>
      <c r="E15" s="72">
        <f>+_xlfn.XLOOKUP(Tabla6[[#This Row],[NOMBRE]],'RESUMEN CLIENTES'!A:A,'RESUMEN CLIENTES'!X:X)</f>
        <v>-1.2727272727272727</v>
      </c>
      <c r="F15" s="72">
        <f>+_xlfn.XLOOKUP(Tabla6[[#This Row],[ID CLIENTE]],'RESUMEN CLIENTES'!D:D,'RESUMEN CLIENTES'!W:W)</f>
        <v>1</v>
      </c>
      <c r="G15" s="17">
        <v>45735</v>
      </c>
      <c r="H15" s="44" t="s">
        <v>81</v>
      </c>
      <c r="I15" s="2">
        <v>3000</v>
      </c>
      <c r="J15" s="20" t="s">
        <v>113</v>
      </c>
      <c r="K15" t="s">
        <v>114</v>
      </c>
      <c r="L15" s="44" t="str" cm="1">
        <f t="array" ref="L15">+_xlfn.IFS(COUNTIF(INGRESOS!E:E,Tabla6[[#This Row],[ID FACTURA]])=1,"PAGADA",Tabla6[[#This Row],[ID FACTURA]]&lt;&gt;0,"EMITIDA",Tabla6[[#This Row],[ID FACTURA]]=0,"POR EMITIR")</f>
        <v>PAGADA</v>
      </c>
      <c r="M15" s="55">
        <f>+IF(Tabla6[[#This Row],[ESTADO FACTURA]]="PAGADA",Tabla6[[#This Row],[FECHA]]-_xlfn.XLOOKUP(Tabla6[[#This Row],[N° FACTURA]],INGRESOS!F:F,INGRESOS!A:A),"-")</f>
        <v>0</v>
      </c>
      <c r="N15" s="2"/>
      <c r="O15"/>
    </row>
    <row r="16" spans="1:15" ht="14.75" customHeight="1">
      <c r="A16" s="320" t="s">
        <v>115</v>
      </c>
      <c r="B16" t="str">
        <f>+_xlfn.XLOOKUP(Tabla6[[#This Row],[ID CLIENTE]],'RESUMEN CLIENTES'!D:D,'RESUMEN CLIENTES'!A:A)</f>
        <v>David Hernández Viveros</v>
      </c>
      <c r="C16" t="str">
        <f>+_xlfn.XLOOKUP(Tabla6[[#This Row],[ID CLIENTE]],'RESUMEN CLIENTES'!D:D,'RESUMEN CLIENTES'!C:C)</f>
        <v>México</v>
      </c>
      <c r="D16" s="44" t="str">
        <f>+_xlfn.XLOOKUP(Tabla6[[#This Row],[ID CLIENTE]],'RESUMEN CLIENTES'!D:D,'RESUMEN CLIENTES'!M:M)</f>
        <v>OK</v>
      </c>
      <c r="E16" s="72">
        <f>+_xlfn.XLOOKUP(Tabla6[[#This Row],[NOMBRE]],'RESUMEN CLIENTES'!A:A,'RESUMEN CLIENTES'!X:X)</f>
        <v>-0.5</v>
      </c>
      <c r="F16" s="72">
        <f>+_xlfn.XLOOKUP(Tabla6[[#This Row],[ID CLIENTE]],'RESUMEN CLIENTES'!D:D,'RESUMEN CLIENTES'!W:W)</f>
        <v>1</v>
      </c>
      <c r="G16" s="17">
        <v>45737</v>
      </c>
      <c r="H16" s="44" t="s">
        <v>81</v>
      </c>
      <c r="I16" s="2">
        <v>1500</v>
      </c>
      <c r="J16" s="20" t="s">
        <v>116</v>
      </c>
      <c r="K16" t="s">
        <v>117</v>
      </c>
      <c r="L16" s="44" t="str" cm="1">
        <f t="array" ref="L16">+_xlfn.IFS(COUNTIF(INGRESOS!E:E,Tabla6[[#This Row],[ID FACTURA]])=1,"PAGADA",Tabla6[[#This Row],[ID FACTURA]]&lt;&gt;0,"EMITIDA",Tabla6[[#This Row],[ID FACTURA]]=0,"POR EMITIR")</f>
        <v>PAGADA</v>
      </c>
      <c r="M16" s="55">
        <f>+IF(Tabla6[[#This Row],[ESTADO FACTURA]]="PAGADA",Tabla6[[#This Row],[FECHA]]-_xlfn.XLOOKUP(Tabla6[[#This Row],[N° FACTURA]],INGRESOS!F:F,INGRESOS!A:A),"-")</f>
        <v>0</v>
      </c>
      <c r="N16" s="2"/>
      <c r="O16"/>
    </row>
    <row r="17" spans="1:15" ht="14.75" customHeight="1">
      <c r="A17" s="320" t="s">
        <v>118</v>
      </c>
      <c r="B17" t="str">
        <f>+_xlfn.XLOOKUP(Tabla6[[#This Row],[ID CLIENTE]],'RESUMEN CLIENTES'!D:D,'RESUMEN CLIENTES'!A:A)</f>
        <v>Camila Sanchez Aravena</v>
      </c>
      <c r="C17" t="str">
        <f>+_xlfn.XLOOKUP(Tabla6[[#This Row],[ID CLIENTE]],'RESUMEN CLIENTES'!D:D,'RESUMEN CLIENTES'!C:C)</f>
        <v>Chile</v>
      </c>
      <c r="D17" s="44" t="str">
        <f>+_xlfn.XLOOKUP(Tabla6[[#This Row],[ID CLIENTE]],'RESUMEN CLIENTES'!D:D,'RESUMEN CLIENTES'!M:M)</f>
        <v>OK</v>
      </c>
      <c r="E17" s="72">
        <f>+_xlfn.XLOOKUP(Tabla6[[#This Row],[NOMBRE]],'RESUMEN CLIENTES'!A:A,'RESUMEN CLIENTES'!X:X)</f>
        <v>-1</v>
      </c>
      <c r="F17" s="72">
        <f>+_xlfn.XLOOKUP(Tabla6[[#This Row],[ID CLIENTE]],'RESUMEN CLIENTES'!D:D,'RESUMEN CLIENTES'!W:W)</f>
        <v>1</v>
      </c>
      <c r="G17" s="17">
        <v>45740</v>
      </c>
      <c r="H17" s="44" t="s">
        <v>81</v>
      </c>
      <c r="I17" s="2">
        <v>10500</v>
      </c>
      <c r="J17" s="20" t="s">
        <v>119</v>
      </c>
      <c r="K17" t="s">
        <v>120</v>
      </c>
      <c r="L17" s="44" t="str" cm="1">
        <f t="array" ref="L17">+_xlfn.IFS(COUNTIF(INGRESOS!E:E,Tabla6[[#This Row],[ID FACTURA]])=1,"PAGADA",Tabla6[[#This Row],[ID FACTURA]]&lt;&gt;0,"EMITIDA",Tabla6[[#This Row],[ID FACTURA]]=0,"POR EMITIR")</f>
        <v>PAGADA</v>
      </c>
      <c r="M17" s="55">
        <v>0</v>
      </c>
      <c r="N17" s="2"/>
      <c r="O17"/>
    </row>
    <row r="18" spans="1:15" ht="14.75" customHeight="1">
      <c r="A18" s="320" t="s">
        <v>122</v>
      </c>
      <c r="B18" t="str">
        <f>+_xlfn.XLOOKUP(Tabla6[[#This Row],[ID CLIENTE]],'RESUMEN CLIENTES'!D:D,'RESUMEN CLIENTES'!A:A)</f>
        <v>Daniela Harbst Tassara</v>
      </c>
      <c r="C18" t="str">
        <f>+_xlfn.XLOOKUP(Tabla6[[#This Row],[ID CLIENTE]],'RESUMEN CLIENTES'!D:D,'RESUMEN CLIENTES'!C:C)</f>
        <v>Chile</v>
      </c>
      <c r="D18" s="44" t="str">
        <f>+_xlfn.XLOOKUP(Tabla6[[#This Row],[ID CLIENTE]],'RESUMEN CLIENTES'!D:D,'RESUMEN CLIENTES'!M:M)</f>
        <v>OK</v>
      </c>
      <c r="E18" s="72">
        <f>+_xlfn.XLOOKUP(Tabla6[[#This Row],[NOMBRE]],'RESUMEN CLIENTES'!A:A,'RESUMEN CLIENTES'!X:X)</f>
        <v>1</v>
      </c>
      <c r="F18" s="72">
        <f>+_xlfn.XLOOKUP(Tabla6[[#This Row],[ID CLIENTE]],'RESUMEN CLIENTES'!D:D,'RESUMEN CLIENTES'!W:W)</f>
        <v>0</v>
      </c>
      <c r="G18" s="17">
        <v>45740</v>
      </c>
      <c r="H18" s="44" t="s">
        <v>81</v>
      </c>
      <c r="I18" s="2">
        <v>3000</v>
      </c>
      <c r="J18" s="20" t="s">
        <v>123</v>
      </c>
      <c r="K18" t="s">
        <v>124</v>
      </c>
      <c r="L18" s="44" t="s">
        <v>121</v>
      </c>
      <c r="M18" s="55" t="s">
        <v>125</v>
      </c>
      <c r="N18" s="2"/>
      <c r="O18" t="s">
        <v>126</v>
      </c>
    </row>
    <row r="19" spans="1:15" ht="14.75" customHeight="1">
      <c r="A19" s="320" t="s">
        <v>90</v>
      </c>
      <c r="B19" t="str">
        <f>+_xlfn.XLOOKUP(Tabla6[[#This Row],[ID CLIENTE]],'RESUMEN CLIENTES'!D:D,'RESUMEN CLIENTES'!A:A)</f>
        <v>David Enrique Díaz Mejía</v>
      </c>
      <c r="C19" t="str">
        <f>+_xlfn.XLOOKUP(Tabla6[[#This Row],[ID CLIENTE]],'RESUMEN CLIENTES'!D:D,'RESUMEN CLIENTES'!C:C)</f>
        <v>Honduras</v>
      </c>
      <c r="D19" s="44" t="str">
        <f>+_xlfn.XLOOKUP(Tabla6[[#This Row],[ID CLIENTE]],'RESUMEN CLIENTES'!D:D,'RESUMEN CLIENTES'!M:M)</f>
        <v>OK</v>
      </c>
      <c r="E19" s="72">
        <f>+_xlfn.XLOOKUP(Tabla6[[#This Row],[NOMBRE]],'RESUMEN CLIENTES'!A:A,'RESUMEN CLIENTES'!X:X)</f>
        <v>-15.217592592592862</v>
      </c>
      <c r="F19" s="72">
        <f>+_xlfn.XLOOKUP(Tabla6[[#This Row],[ID CLIENTE]],'RESUMEN CLIENTES'!D:D,'RESUMEN CLIENTES'!W:W)</f>
        <v>1</v>
      </c>
      <c r="G19" s="17">
        <v>45740</v>
      </c>
      <c r="H19" s="44" t="s">
        <v>81</v>
      </c>
      <c r="I19" s="2">
        <v>1500</v>
      </c>
      <c r="J19" s="20" t="s">
        <v>127</v>
      </c>
      <c r="K19" t="s">
        <v>128</v>
      </c>
      <c r="L19" s="44" t="str" cm="1">
        <f t="array" ref="L19">+_xlfn.IFS(COUNTIF(INGRESOS!E:E,Tabla6[[#This Row],[ID FACTURA]])=1,"PAGADA",Tabla6[[#This Row],[ID FACTURA]]&lt;&gt;0,"EMITIDA",Tabla6[[#This Row],[ID FACTURA]]=0,"POR EMITIR")</f>
        <v>PAGADA</v>
      </c>
      <c r="M19" s="55">
        <f>+IF(Tabla6[[#This Row],[ESTADO FACTURA]]="PAGADA",Tabla6[[#This Row],[FECHA]]-_xlfn.XLOOKUP(Tabla6[[#This Row],[N° FACTURA]],INGRESOS!F:F,INGRESOS!A:A),"-")</f>
        <v>-53</v>
      </c>
      <c r="N19" s="2"/>
      <c r="O19"/>
    </row>
    <row r="20" spans="1:15" ht="14.75" customHeight="1">
      <c r="A20" s="320" t="s">
        <v>129</v>
      </c>
      <c r="B20" t="str">
        <f>+_xlfn.XLOOKUP(Tabla6[[#This Row],[ID CLIENTE]],'RESUMEN CLIENTES'!D:D,'RESUMEN CLIENTES'!A:A)</f>
        <v>Moira Millaray Schneider Rivera</v>
      </c>
      <c r="C20" t="str">
        <f>+_xlfn.XLOOKUP(Tabla6[[#This Row],[ID CLIENTE]],'RESUMEN CLIENTES'!D:D,'RESUMEN CLIENTES'!C:C)</f>
        <v>Chile</v>
      </c>
      <c r="D20" s="44" t="str">
        <f>+_xlfn.XLOOKUP(Tabla6[[#This Row],[ID CLIENTE]],'RESUMEN CLIENTES'!D:D,'RESUMEN CLIENTES'!M:M)</f>
        <v>OK</v>
      </c>
      <c r="E20" s="72">
        <f>+_xlfn.XLOOKUP(Tabla6[[#This Row],[NOMBRE]],'RESUMEN CLIENTES'!A:A,'RESUMEN CLIENTES'!X:X)</f>
        <v>0</v>
      </c>
      <c r="F20" s="72">
        <f>+_xlfn.XLOOKUP(Tabla6[[#This Row],[ID CLIENTE]],'RESUMEN CLIENTES'!D:D,'RESUMEN CLIENTES'!W:W)</f>
        <v>1</v>
      </c>
      <c r="G20" s="17">
        <v>45740</v>
      </c>
      <c r="H20" s="44" t="s">
        <v>81</v>
      </c>
      <c r="I20" s="2">
        <v>1500</v>
      </c>
      <c r="J20" s="20" t="s">
        <v>130</v>
      </c>
      <c r="K20" t="s">
        <v>131</v>
      </c>
      <c r="L20" s="44" t="str" cm="1">
        <f t="array" ref="L20">+_xlfn.IFS(COUNTIF(INGRESOS!E:E,Tabla6[[#This Row],[ID FACTURA]])=1,"PAGADA",Tabla6[[#This Row],[ID FACTURA]]&lt;&gt;0,"EMITIDA",Tabla6[[#This Row],[ID FACTURA]]=0,"POR EMITIR")</f>
        <v>PAGADA</v>
      </c>
      <c r="M20" s="55">
        <f>+IF(Tabla6[[#This Row],[ESTADO FACTURA]]="PAGADA",Tabla6[[#This Row],[FECHA]]-_xlfn.XLOOKUP(Tabla6[[#This Row],[N° FACTURA]],INGRESOS!F:F,INGRESOS!A:A),"-")</f>
        <v>0</v>
      </c>
      <c r="N20" s="2"/>
      <c r="O20"/>
    </row>
    <row r="21" spans="1:15" ht="14.75" customHeight="1">
      <c r="A21" s="320" t="s">
        <v>187</v>
      </c>
      <c r="B21" t="str">
        <f>+_xlfn.XLOOKUP(Tabla6[[#This Row],[ID CLIENTE]],'RESUMEN CLIENTES'!D:D,'RESUMEN CLIENTES'!A:A)</f>
        <v>Alina Maria Cervantes Real</v>
      </c>
      <c r="C21" t="str">
        <f>+_xlfn.XLOOKUP(Tabla6[[#This Row],[ID CLIENTE]],'RESUMEN CLIENTES'!D:D,'RESUMEN CLIENTES'!C:C)</f>
        <v>México</v>
      </c>
      <c r="D21" s="44" t="str">
        <f>+_xlfn.XLOOKUP(Tabla6[[#This Row],[ID CLIENTE]],'RESUMEN CLIENTES'!D:D,'RESUMEN CLIENTES'!M:M)</f>
        <v>OK</v>
      </c>
      <c r="E21" s="72">
        <f>+_xlfn.XLOOKUP(Tabla6[[#This Row],[NOMBRE]],'RESUMEN CLIENTES'!A:A,'RESUMEN CLIENTES'!X:X)</f>
        <v>21.583333333333332</v>
      </c>
      <c r="F21" s="72">
        <f>+_xlfn.XLOOKUP(Tabla6[[#This Row],[ID CLIENTE]],'RESUMEN CLIENTES'!D:D,'RESUMEN CLIENTES'!W:W)</f>
        <v>1</v>
      </c>
      <c r="G21" s="17">
        <v>45741</v>
      </c>
      <c r="H21" s="44" t="s">
        <v>81</v>
      </c>
      <c r="I21" s="2">
        <v>1000</v>
      </c>
      <c r="J21" s="20" t="s">
        <v>2546</v>
      </c>
      <c r="K21" t="s">
        <v>2547</v>
      </c>
      <c r="L21" s="44" t="str" cm="1">
        <f t="array" ref="L21">+_xlfn.IFS(COUNTIF(INGRESOS!E:E,Tabla6[[#This Row],[ID FACTURA]])=1,"PAGADA",Tabla6[[#This Row],[ID FACTURA]]&lt;&gt;0,"EMITIDA",Tabla6[[#This Row],[ID FACTURA]]=0,"POR EMITIR")</f>
        <v>PAGADA</v>
      </c>
      <c r="M21" s="55">
        <f>+IF(Tabla6[[#This Row],[ESTADO FACTURA]]="PAGADA",Tabla6[[#This Row],[FECHA]]-_xlfn.XLOOKUP(Tabla6[[#This Row],[N° FACTURA]],INGRESOS!F:F,INGRESOS!A:A),"-")</f>
        <v>0</v>
      </c>
      <c r="N21" s="2"/>
      <c r="O21"/>
    </row>
    <row r="22" spans="1:15" ht="14.75" customHeight="1">
      <c r="A22" s="320" t="s">
        <v>132</v>
      </c>
      <c r="B22" t="str">
        <f>+_xlfn.XLOOKUP(Tabla6[[#This Row],[ID CLIENTE]],'RESUMEN CLIENTES'!D:D,'RESUMEN CLIENTES'!A:A)</f>
        <v>Katherine Salomé Herráez Maldonado</v>
      </c>
      <c r="C22" t="str">
        <f>+_xlfn.XLOOKUP(Tabla6[[#This Row],[ID CLIENTE]],'RESUMEN CLIENTES'!D:D,'RESUMEN CLIENTES'!C:C)</f>
        <v>Ecuador</v>
      </c>
      <c r="D22" s="44" t="str">
        <f>+_xlfn.XLOOKUP(Tabla6[[#This Row],[ID CLIENTE]],'RESUMEN CLIENTES'!D:D,'RESUMEN CLIENTES'!M:M)</f>
        <v>SUSPENDIDO</v>
      </c>
      <c r="E22" s="72">
        <f>+_xlfn.XLOOKUP(Tabla6[[#This Row],[NOMBRE]],'RESUMEN CLIENTES'!A:A,'RESUMEN CLIENTES'!X:X)</f>
        <v>0</v>
      </c>
      <c r="F22" s="72">
        <f>+_xlfn.XLOOKUP(Tabla6[[#This Row],[ID CLIENTE]],'RESUMEN CLIENTES'!D:D,'RESUMEN CLIENTES'!W:W)</f>
        <v>0</v>
      </c>
      <c r="G22" s="17">
        <v>45742</v>
      </c>
      <c r="H22" s="44" t="s">
        <v>81</v>
      </c>
      <c r="I22" s="2">
        <v>500</v>
      </c>
      <c r="J22" s="20" t="s">
        <v>133</v>
      </c>
      <c r="K22" t="s">
        <v>134</v>
      </c>
      <c r="L22" s="44" t="str" cm="1">
        <f t="array" ref="L22">+_xlfn.IFS(COUNTIF(INGRESOS!E:E,Tabla6[[#This Row],[ID FACTURA]])=1,"PAGADA",Tabla6[[#This Row],[ID FACTURA]]&lt;&gt;0,"EMITIDA",Tabla6[[#This Row],[ID FACTURA]]=0,"POR EMITIR")</f>
        <v>PAGADA</v>
      </c>
      <c r="M22" s="55">
        <f>+IF(Tabla6[[#This Row],[ESTADO FACTURA]]="PAGADA",Tabla6[[#This Row],[FECHA]]-_xlfn.XLOOKUP(Tabla6[[#This Row],[N° FACTURA]],INGRESOS!F:F,INGRESOS!A:A),"-")</f>
        <v>0</v>
      </c>
      <c r="N22" s="2"/>
      <c r="O22" t="s">
        <v>135</v>
      </c>
    </row>
    <row r="23" spans="1:15" ht="14.75" customHeight="1">
      <c r="A23" s="320" t="s">
        <v>136</v>
      </c>
      <c r="B23" t="str">
        <f>+_xlfn.XLOOKUP(Tabla6[[#This Row],[ID CLIENTE]],'RESUMEN CLIENTES'!D:D,'RESUMEN CLIENTES'!A:A)</f>
        <v>Juan Pablo Martínez Cabello</v>
      </c>
      <c r="C23" t="str">
        <f>+_xlfn.XLOOKUP(Tabla6[[#This Row],[ID CLIENTE]],'RESUMEN CLIENTES'!D:D,'RESUMEN CLIENTES'!C:C)</f>
        <v>Chile</v>
      </c>
      <c r="D23" s="44" t="str">
        <f>+_xlfn.XLOOKUP(Tabla6[[#This Row],[ID CLIENTE]],'RESUMEN CLIENTES'!D:D,'RESUMEN CLIENTES'!M:M)</f>
        <v>OK</v>
      </c>
      <c r="E23" s="72">
        <f>+_xlfn.XLOOKUP(Tabla6[[#This Row],[NOMBRE]],'RESUMEN CLIENTES'!A:A,'RESUMEN CLIENTES'!X:X)</f>
        <v>1.5714285714285714</v>
      </c>
      <c r="F23" s="72">
        <f>+_xlfn.XLOOKUP(Tabla6[[#This Row],[ID CLIENTE]],'RESUMEN CLIENTES'!D:D,'RESUMEN CLIENTES'!W:W)</f>
        <v>1</v>
      </c>
      <c r="G23" s="17">
        <v>45743</v>
      </c>
      <c r="H23" s="44" t="s">
        <v>81</v>
      </c>
      <c r="I23" s="2">
        <v>4000</v>
      </c>
      <c r="J23" s="20" t="s">
        <v>137</v>
      </c>
      <c r="K23" t="s">
        <v>138</v>
      </c>
      <c r="L23" s="44" t="str" cm="1">
        <f t="array" ref="L23">+_xlfn.IFS(COUNTIF(INGRESOS!E:E,Tabla6[[#This Row],[ID FACTURA]])=1,"PAGADA",Tabla6[[#This Row],[ID FACTURA]]&lt;&gt;0,"EMITIDA",Tabla6[[#This Row],[ID FACTURA]]=0,"POR EMITIR")</f>
        <v>PAGADA</v>
      </c>
      <c r="M23" s="55">
        <f>+IF(Tabla6[[#This Row],[ESTADO FACTURA]]="PAGADA",Tabla6[[#This Row],[FECHA]]-_xlfn.XLOOKUP(Tabla6[[#This Row],[N° FACTURA]],INGRESOS!F:F,INGRESOS!A:A),"-")</f>
        <v>0</v>
      </c>
      <c r="N23" s="2"/>
      <c r="O23"/>
    </row>
    <row r="24" spans="1:15" ht="14.75" customHeight="1">
      <c r="A24" s="320" t="s">
        <v>139</v>
      </c>
      <c r="B24" t="str">
        <f>+_xlfn.XLOOKUP(Tabla6[[#This Row],[ID CLIENTE]],'RESUMEN CLIENTES'!D:D,'RESUMEN CLIENTES'!A:A)</f>
        <v>Hugo Nicolás Trávez Morales</v>
      </c>
      <c r="C24" t="str">
        <f>+_xlfn.XLOOKUP(Tabla6[[#This Row],[ID CLIENTE]],'RESUMEN CLIENTES'!D:D,'RESUMEN CLIENTES'!C:C)</f>
        <v>Ecuador</v>
      </c>
      <c r="D24" s="44" t="str">
        <f>+_xlfn.XLOOKUP(Tabla6[[#This Row],[ID CLIENTE]],'RESUMEN CLIENTES'!D:D,'RESUMEN CLIENTES'!M:M)</f>
        <v>OK</v>
      </c>
      <c r="E24" s="72">
        <f>+_xlfn.XLOOKUP(Tabla6[[#This Row],[NOMBRE]],'RESUMEN CLIENTES'!A:A,'RESUMEN CLIENTES'!X:X)</f>
        <v>0</v>
      </c>
      <c r="F24" s="72">
        <f>+_xlfn.XLOOKUP(Tabla6[[#This Row],[ID CLIENTE]],'RESUMEN CLIENTES'!D:D,'RESUMEN CLIENTES'!W:W)</f>
        <v>0</v>
      </c>
      <c r="G24" s="17">
        <v>45747</v>
      </c>
      <c r="H24" s="44" t="s">
        <v>81</v>
      </c>
      <c r="I24" s="2">
        <v>250</v>
      </c>
      <c r="J24" s="20" t="s">
        <v>140</v>
      </c>
      <c r="K24" t="s">
        <v>141</v>
      </c>
      <c r="L24" s="44" t="str" cm="1">
        <f t="array" ref="L24">+_xlfn.IFS(COUNTIF(INGRESOS!E:E,Tabla6[[#This Row],[ID FACTURA]])=1,"PAGADA",Tabla6[[#This Row],[ID FACTURA]]&lt;&gt;0,"EMITIDA",Tabla6[[#This Row],[ID FACTURA]]=0,"POR EMITIR")</f>
        <v>PAGADA</v>
      </c>
      <c r="M24" s="55">
        <f>+IF(Tabla6[[#This Row],[ESTADO FACTURA]]="PAGADA",Tabla6[[#This Row],[FECHA]]-_xlfn.XLOOKUP(Tabla6[[#This Row],[N° FACTURA]],INGRESOS!F:F,INGRESOS!A:A),"-")</f>
        <v>0</v>
      </c>
      <c r="N24" s="2"/>
      <c r="O24"/>
    </row>
    <row r="25" spans="1:15" ht="14.75" customHeight="1">
      <c r="A25" s="320" t="s">
        <v>142</v>
      </c>
      <c r="B25" t="str">
        <f>+_xlfn.XLOOKUP(Tabla6[[#This Row],[ID CLIENTE]],'RESUMEN CLIENTES'!D:D,'RESUMEN CLIENTES'!A:A)</f>
        <v>Jordan Eliecer Toledo Bravo</v>
      </c>
      <c r="C25" t="str">
        <f>+_xlfn.XLOOKUP(Tabla6[[#This Row],[ID CLIENTE]],'RESUMEN CLIENTES'!D:D,'RESUMEN CLIENTES'!C:C)</f>
        <v>Chile</v>
      </c>
      <c r="D25" s="44" t="str">
        <f>+_xlfn.XLOOKUP(Tabla6[[#This Row],[ID CLIENTE]],'RESUMEN CLIENTES'!D:D,'RESUMEN CLIENTES'!M:M)</f>
        <v>OK</v>
      </c>
      <c r="E25" s="72">
        <f>+_xlfn.XLOOKUP(Tabla6[[#This Row],[NOMBRE]],'RESUMEN CLIENTES'!A:A,'RESUMEN CLIENTES'!X:X)</f>
        <v>-1.6153846153846154</v>
      </c>
      <c r="F25" s="72">
        <f>+_xlfn.XLOOKUP(Tabla6[[#This Row],[ID CLIENTE]],'RESUMEN CLIENTES'!D:D,'RESUMEN CLIENTES'!W:W)</f>
        <v>0</v>
      </c>
      <c r="G25" s="17">
        <v>45748</v>
      </c>
      <c r="H25" s="44" t="s">
        <v>81</v>
      </c>
      <c r="I25" s="2">
        <v>2159.8735548129703</v>
      </c>
      <c r="J25" s="20" t="s">
        <v>143</v>
      </c>
      <c r="K25" t="s">
        <v>144</v>
      </c>
      <c r="L25" s="44" t="str" cm="1">
        <f t="array" ref="L25">+_xlfn.IFS(COUNTIF(INGRESOS!E:E,Tabla6[[#This Row],[ID FACTURA]])=1,"PAGADA",Tabla6[[#This Row],[ID FACTURA]]&lt;&gt;0,"EMITIDA",Tabla6[[#This Row],[ID FACTURA]]=0,"POR EMITIR")</f>
        <v>PAGADA</v>
      </c>
      <c r="M25" s="55">
        <f>+IF(Tabla6[[#This Row],[ESTADO FACTURA]]="PAGADA",Tabla6[[#This Row],[FECHA]]-_xlfn.XLOOKUP(Tabla6[[#This Row],[N° FACTURA]],INGRESOS!F:F,INGRESOS!A:A),"-")</f>
        <v>0</v>
      </c>
      <c r="N25" s="2"/>
      <c r="O25" t="s">
        <v>145</v>
      </c>
    </row>
    <row r="26" spans="1:15" ht="14.75" customHeight="1">
      <c r="A26" s="320" t="s">
        <v>142</v>
      </c>
      <c r="B26" t="str">
        <f>+_xlfn.XLOOKUP(Tabla6[[#This Row],[ID CLIENTE]],'RESUMEN CLIENTES'!D:D,'RESUMEN CLIENTES'!A:A)</f>
        <v>Jordan Eliecer Toledo Bravo</v>
      </c>
      <c r="C26" t="str">
        <f>+_xlfn.XLOOKUP(Tabla6[[#This Row],[ID CLIENTE]],'RESUMEN CLIENTES'!D:D,'RESUMEN CLIENTES'!C:C)</f>
        <v>Chile</v>
      </c>
      <c r="D26" s="44" t="str">
        <f>+_xlfn.XLOOKUP(Tabla6[[#This Row],[ID CLIENTE]],'RESUMEN CLIENTES'!D:D,'RESUMEN CLIENTES'!M:M)</f>
        <v>OK</v>
      </c>
      <c r="E26" s="72">
        <f>+_xlfn.XLOOKUP(Tabla6[[#This Row],[NOMBRE]],'RESUMEN CLIENTES'!A:A,'RESUMEN CLIENTES'!X:X)</f>
        <v>-1.6153846153846154</v>
      </c>
      <c r="F26" s="72">
        <f>+_xlfn.XLOOKUP(Tabla6[[#This Row],[ID CLIENTE]],'RESUMEN CLIENTES'!D:D,'RESUMEN CLIENTES'!W:W)</f>
        <v>0</v>
      </c>
      <c r="G26" s="17">
        <v>45748</v>
      </c>
      <c r="H26" s="44" t="s">
        <v>81</v>
      </c>
      <c r="I26" s="2">
        <v>4319.7480352861676</v>
      </c>
      <c r="J26" s="20" t="s">
        <v>146</v>
      </c>
      <c r="K26" t="s">
        <v>147</v>
      </c>
      <c r="L26" s="44" t="str" cm="1">
        <f t="array" ref="L26">+_xlfn.IFS(COUNTIF(INGRESOS!E:E,Tabla6[[#This Row],[ID FACTURA]])=1,"PAGADA",Tabla6[[#This Row],[ID FACTURA]]&lt;&gt;0,"EMITIDA",Tabla6[[#This Row],[ID FACTURA]]=0,"POR EMITIR")</f>
        <v>PAGADA</v>
      </c>
      <c r="M26" s="55">
        <f>+IF(Tabla6[[#This Row],[ESTADO FACTURA]]="PAGADA",Tabla6[[#This Row],[FECHA]]-_xlfn.XLOOKUP(Tabla6[[#This Row],[N° FACTURA]],INGRESOS!F:F,INGRESOS!A:A),"-")</f>
        <v>0</v>
      </c>
      <c r="N26" s="2"/>
      <c r="O26" t="s">
        <v>145</v>
      </c>
    </row>
    <row r="27" spans="1:15" ht="14.75" customHeight="1">
      <c r="A27" s="320" t="s">
        <v>84</v>
      </c>
      <c r="B27" t="str">
        <f>+_xlfn.XLOOKUP(Tabla6[[#This Row],[ID CLIENTE]],'RESUMEN CLIENTES'!D:D,'RESUMEN CLIENTES'!A:A)</f>
        <v>Andrea Corpeño López</v>
      </c>
      <c r="C27" t="str">
        <f>+_xlfn.XLOOKUP(Tabla6[[#This Row],[ID CLIENTE]],'RESUMEN CLIENTES'!D:D,'RESUMEN CLIENTES'!C:C)</f>
        <v>El Salvador</v>
      </c>
      <c r="D27" s="44" t="str">
        <f>+_xlfn.XLOOKUP(Tabla6[[#This Row],[ID CLIENTE]],'RESUMEN CLIENTES'!D:D,'RESUMEN CLIENTES'!M:M)</f>
        <v>OK</v>
      </c>
      <c r="E27" s="72">
        <f>+_xlfn.XLOOKUP(Tabla6[[#This Row],[NOMBRE]],'RESUMEN CLIENTES'!A:A,'RESUMEN CLIENTES'!X:X)</f>
        <v>-0.81818181818181823</v>
      </c>
      <c r="F27" s="72">
        <f>+_xlfn.XLOOKUP(Tabla6[[#This Row],[ID CLIENTE]],'RESUMEN CLIENTES'!D:D,'RESUMEN CLIENTES'!W:W)</f>
        <v>0</v>
      </c>
      <c r="G27" s="17">
        <v>45752</v>
      </c>
      <c r="H27" s="44" t="s">
        <v>81</v>
      </c>
      <c r="I27" s="2">
        <v>400</v>
      </c>
      <c r="J27" s="20" t="s">
        <v>148</v>
      </c>
      <c r="K27" t="s">
        <v>149</v>
      </c>
      <c r="L27" s="44" t="str" cm="1">
        <f t="array" ref="L27">+_xlfn.IFS(COUNTIF(INGRESOS!E:E,Tabla6[[#This Row],[ID FACTURA]])=1,"PAGADA",Tabla6[[#This Row],[ID FACTURA]]&lt;&gt;0,"EMITIDA",Tabla6[[#This Row],[ID FACTURA]]=0,"POR EMITIR")</f>
        <v>PAGADA</v>
      </c>
      <c r="M27" s="55">
        <f>+IF(Tabla6[[#This Row],[ESTADO FACTURA]]="PAGADA",Tabla6[[#This Row],[FECHA]]-_xlfn.XLOOKUP(Tabla6[[#This Row],[N° FACTURA]],INGRESOS!F:F,INGRESOS!A:A),"-")</f>
        <v>-19</v>
      </c>
      <c r="N27" s="2"/>
      <c r="O27"/>
    </row>
    <row r="28" spans="1:15" ht="14.75" customHeight="1">
      <c r="A28" s="320" t="s">
        <v>118</v>
      </c>
      <c r="B28" t="str">
        <f>+_xlfn.XLOOKUP(Tabla6[[#This Row],[ID CLIENTE]],'RESUMEN CLIENTES'!D:D,'RESUMEN CLIENTES'!A:A)</f>
        <v>Camila Sanchez Aravena</v>
      </c>
      <c r="C28" t="str">
        <f>+_xlfn.XLOOKUP(Tabla6[[#This Row],[ID CLIENTE]],'RESUMEN CLIENTES'!D:D,'RESUMEN CLIENTES'!C:C)</f>
        <v>Chile</v>
      </c>
      <c r="D28" s="44" t="str">
        <f>+_xlfn.XLOOKUP(Tabla6[[#This Row],[ID CLIENTE]],'RESUMEN CLIENTES'!D:D,'RESUMEN CLIENTES'!M:M)</f>
        <v>OK</v>
      </c>
      <c r="E28" s="72">
        <f>+_xlfn.XLOOKUP(Tabla6[[#This Row],[NOMBRE]],'RESUMEN CLIENTES'!A:A,'RESUMEN CLIENTES'!X:X)</f>
        <v>-1</v>
      </c>
      <c r="F28" s="72">
        <f>+_xlfn.XLOOKUP(Tabla6[[#This Row],[ID CLIENTE]],'RESUMEN CLIENTES'!D:D,'RESUMEN CLIENTES'!W:W)</f>
        <v>1</v>
      </c>
      <c r="G28" s="17">
        <v>45752</v>
      </c>
      <c r="H28" s="44" t="s">
        <v>81</v>
      </c>
      <c r="I28" s="2">
        <v>600</v>
      </c>
      <c r="J28" s="20" t="s">
        <v>150</v>
      </c>
      <c r="K28" t="s">
        <v>151</v>
      </c>
      <c r="L28" s="44" t="str" cm="1">
        <f t="array" ref="L28">+_xlfn.IFS(COUNTIF(INGRESOS!E:E,Tabla6[[#This Row],[ID FACTURA]])=1,"PAGADA",Tabla6[[#This Row],[ID FACTURA]]&lt;&gt;0,"EMITIDA",Tabla6[[#This Row],[ID FACTURA]]=0,"POR EMITIR")</f>
        <v>PAGADA</v>
      </c>
      <c r="M28" s="55">
        <v>0</v>
      </c>
      <c r="N28" s="2"/>
      <c r="O28"/>
    </row>
    <row r="29" spans="1:15" ht="14.75" customHeight="1">
      <c r="A29" s="320" t="s">
        <v>87</v>
      </c>
      <c r="B29" t="str">
        <f>+_xlfn.XLOOKUP(Tabla6[[#This Row],[ID CLIENTE]],'RESUMEN CLIENTES'!D:D,'RESUMEN CLIENTES'!A:A)</f>
        <v>Jose Marcelo Marroquín Guzmán</v>
      </c>
      <c r="C29" t="str">
        <f>+_xlfn.XLOOKUP(Tabla6[[#This Row],[ID CLIENTE]],'RESUMEN CLIENTES'!D:D,'RESUMEN CLIENTES'!C:C)</f>
        <v>El Salvador</v>
      </c>
      <c r="D29" s="44" t="str">
        <f>+_xlfn.XLOOKUP(Tabla6[[#This Row],[ID CLIENTE]],'RESUMEN CLIENTES'!D:D,'RESUMEN CLIENTES'!M:M)</f>
        <v>OK</v>
      </c>
      <c r="E29" s="72">
        <f>+_xlfn.XLOOKUP(Tabla6[[#This Row],[NOMBRE]],'RESUMEN CLIENTES'!A:A,'RESUMEN CLIENTES'!X:X)</f>
        <v>-1.5833333333333333</v>
      </c>
      <c r="F29" s="72">
        <f>+_xlfn.XLOOKUP(Tabla6[[#This Row],[ID CLIENTE]],'RESUMEN CLIENTES'!D:D,'RESUMEN CLIENTES'!W:W)</f>
        <v>1</v>
      </c>
      <c r="G29" s="17">
        <v>45752</v>
      </c>
      <c r="H29" s="44" t="s">
        <v>81</v>
      </c>
      <c r="I29" s="2">
        <v>400</v>
      </c>
      <c r="J29" s="20" t="s">
        <v>152</v>
      </c>
      <c r="K29" t="s">
        <v>153</v>
      </c>
      <c r="L29" s="44" t="str" cm="1">
        <f t="array" ref="L29">+_xlfn.IFS(COUNTIF(INGRESOS!E:E,Tabla6[[#This Row],[ID FACTURA]])=1,"PAGADA",Tabla6[[#This Row],[ID FACTURA]]&lt;&gt;0,"EMITIDA",Tabla6[[#This Row],[ID FACTURA]]=0,"POR EMITIR")</f>
        <v>PAGADA</v>
      </c>
      <c r="M29" s="55">
        <f>+IF(Tabla6[[#This Row],[ESTADO FACTURA]]="PAGADA",Tabla6[[#This Row],[FECHA]]-_xlfn.XLOOKUP(Tabla6[[#This Row],[N° FACTURA]],INGRESOS!F:F,INGRESOS!A:A),"-")</f>
        <v>-19</v>
      </c>
      <c r="N29" s="2"/>
      <c r="O29"/>
    </row>
    <row r="30" spans="1:15" ht="14.75" customHeight="1">
      <c r="A30" s="320" t="s">
        <v>80</v>
      </c>
      <c r="B30" t="str">
        <f>+_xlfn.XLOOKUP(Tabla6[[#This Row],[ID CLIENTE]],'RESUMEN CLIENTES'!D:D,'RESUMEN CLIENTES'!A:A)</f>
        <v>María Fernanda Alvar Sepúlveda</v>
      </c>
      <c r="C30" t="str">
        <f>+_xlfn.XLOOKUP(Tabla6[[#This Row],[ID CLIENTE]],'RESUMEN CLIENTES'!D:D,'RESUMEN CLIENTES'!C:C)</f>
        <v>Chile</v>
      </c>
      <c r="D30" s="44" t="str">
        <f>+_xlfn.XLOOKUP(Tabla6[[#This Row],[ID CLIENTE]],'RESUMEN CLIENTES'!D:D,'RESUMEN CLIENTES'!M:M)</f>
        <v>OK</v>
      </c>
      <c r="E30" s="72">
        <f>+_xlfn.XLOOKUP(Tabla6[[#This Row],[NOMBRE]],'RESUMEN CLIENTES'!A:A,'RESUMEN CLIENTES'!X:X)</f>
        <v>5</v>
      </c>
      <c r="F30" s="72">
        <f>+_xlfn.XLOOKUP(Tabla6[[#This Row],[ID CLIENTE]],'RESUMEN CLIENTES'!D:D,'RESUMEN CLIENTES'!W:W)</f>
        <v>1</v>
      </c>
      <c r="G30" s="17">
        <v>45752</v>
      </c>
      <c r="H30" s="44" t="s">
        <v>81</v>
      </c>
      <c r="I30" s="2">
        <v>582.52</v>
      </c>
      <c r="J30" s="20" t="s">
        <v>82</v>
      </c>
      <c r="K30" t="s">
        <v>83</v>
      </c>
      <c r="L30" s="44" t="str" cm="1">
        <f t="array" ref="L30">+_xlfn.IFS(COUNTIF(INGRESOS!E:E,Tabla6[[#This Row],[ID FACTURA]])=1,"PAGADA",Tabla6[[#This Row],[ID FACTURA]]&lt;&gt;0,"EMITIDA",Tabla6[[#This Row],[ID FACTURA]]=0,"POR EMITIR")</f>
        <v>PAGADA</v>
      </c>
      <c r="M30" s="55">
        <f>+IF(Tabla6[[#This Row],[ESTADO FACTURA]]="PAGADA",Tabla6[[#This Row],[FECHA]]-_xlfn.XLOOKUP(Tabla6[[#This Row],[N° FACTURA]],INGRESOS!F:F,INGRESOS!A:A),"-")</f>
        <v>68</v>
      </c>
      <c r="N30" s="2"/>
      <c r="O30"/>
    </row>
    <row r="31" spans="1:15" ht="14.75" customHeight="1">
      <c r="A31" s="320" t="s">
        <v>109</v>
      </c>
      <c r="B31" t="str">
        <f>+_xlfn.XLOOKUP(Tabla6[[#This Row],[ID CLIENTE]],'RESUMEN CLIENTES'!D:D,'RESUMEN CLIENTES'!A:A)</f>
        <v>Ian Job Lino Durán</v>
      </c>
      <c r="C31" t="str">
        <f>+_xlfn.XLOOKUP(Tabla6[[#This Row],[ID CLIENTE]],'RESUMEN CLIENTES'!D:D,'RESUMEN CLIENTES'!C:C)</f>
        <v>México</v>
      </c>
      <c r="D31" s="44" t="str">
        <f>+_xlfn.XLOOKUP(Tabla6[[#This Row],[ID CLIENTE]],'RESUMEN CLIENTES'!D:D,'RESUMEN CLIENTES'!M:M)</f>
        <v>OK</v>
      </c>
      <c r="E31" s="72">
        <f>+_xlfn.XLOOKUP(Tabla6[[#This Row],[NOMBRE]],'RESUMEN CLIENTES'!A:A,'RESUMEN CLIENTES'!X:X)</f>
        <v>0.1</v>
      </c>
      <c r="F31" s="72">
        <f>+_xlfn.XLOOKUP(Tabla6[[#This Row],[ID CLIENTE]],'RESUMEN CLIENTES'!D:D,'RESUMEN CLIENTES'!W:W)</f>
        <v>1</v>
      </c>
      <c r="G31" s="17">
        <v>45754</v>
      </c>
      <c r="H31" s="44" t="s">
        <v>81</v>
      </c>
      <c r="I31" s="2">
        <v>2500</v>
      </c>
      <c r="J31" s="20" t="s">
        <v>154</v>
      </c>
      <c r="K31" t="s">
        <v>155</v>
      </c>
      <c r="L31" s="44" t="str" cm="1">
        <f t="array" ref="L31">+_xlfn.IFS(COUNTIF(INGRESOS!E:E,Tabla6[[#This Row],[ID FACTURA]])=1,"PAGADA",Tabla6[[#This Row],[ID FACTURA]]&lt;&gt;0,"EMITIDA",Tabla6[[#This Row],[ID FACTURA]]=0,"POR EMITIR")</f>
        <v>PAGADA</v>
      </c>
      <c r="M31" s="55">
        <f>+IF(Tabla6[[#This Row],[ESTADO FACTURA]]="PAGADA",Tabla6[[#This Row],[FECHA]]-_xlfn.XLOOKUP(Tabla6[[#This Row],[N° FACTURA]],INGRESOS!F:F,INGRESOS!A:A),"-")</f>
        <v>0</v>
      </c>
      <c r="N31" s="2"/>
      <c r="O31"/>
    </row>
    <row r="32" spans="1:15" ht="14.75" customHeight="1">
      <c r="A32" s="320" t="s">
        <v>156</v>
      </c>
      <c r="B32" t="str">
        <f>+_xlfn.XLOOKUP(Tabla6[[#This Row],[ID CLIENTE]],'RESUMEN CLIENTES'!D:D,'RESUMEN CLIENTES'!A:A)</f>
        <v>Catalina Andrea Videla Muñoz</v>
      </c>
      <c r="C32" t="str">
        <f>+_xlfn.XLOOKUP(Tabla6[[#This Row],[ID CLIENTE]],'RESUMEN CLIENTES'!D:D,'RESUMEN CLIENTES'!C:C)</f>
        <v>Chile</v>
      </c>
      <c r="D32" s="44" t="str">
        <f>+_xlfn.XLOOKUP(Tabla6[[#This Row],[ID CLIENTE]],'RESUMEN CLIENTES'!D:D,'RESUMEN CLIENTES'!M:M)</f>
        <v>OK</v>
      </c>
      <c r="E32" s="72">
        <f>+_xlfn.XLOOKUP(Tabla6[[#This Row],[NOMBRE]],'RESUMEN CLIENTES'!A:A,'RESUMEN CLIENTES'!X:X)</f>
        <v>1.5454545454545454</v>
      </c>
      <c r="F32" s="72">
        <f>+_xlfn.XLOOKUP(Tabla6[[#This Row],[ID CLIENTE]],'RESUMEN CLIENTES'!D:D,'RESUMEN CLIENTES'!W:W)</f>
        <v>1</v>
      </c>
      <c r="G32" s="17">
        <v>45755</v>
      </c>
      <c r="H32" s="44" t="s">
        <v>81</v>
      </c>
      <c r="I32" s="2">
        <v>3000</v>
      </c>
      <c r="J32" s="20" t="s">
        <v>157</v>
      </c>
      <c r="K32" t="s">
        <v>158</v>
      </c>
      <c r="L32" s="44" t="str" cm="1">
        <f t="array" ref="L32">+_xlfn.IFS(COUNTIF(INGRESOS!E:E,Tabla6[[#This Row],[ID FACTURA]])=1,"PAGADA",Tabla6[[#This Row],[ID FACTURA]]&lt;&gt;0,"EMITIDA",Tabla6[[#This Row],[ID FACTURA]]=0,"POR EMITIR")</f>
        <v>PAGADA</v>
      </c>
      <c r="M32" s="55">
        <f>+IF(Tabla6[[#This Row],[ESTADO FACTURA]]="PAGADA",Tabla6[[#This Row],[FECHA]]-_xlfn.XLOOKUP(Tabla6[[#This Row],[N° FACTURA]],INGRESOS!F:F,INGRESOS!A:A),"-")</f>
        <v>0</v>
      </c>
      <c r="N32" s="2"/>
      <c r="O32"/>
    </row>
    <row r="33" spans="1:15" ht="14.75" customHeight="1">
      <c r="A33" s="320" t="s">
        <v>159</v>
      </c>
      <c r="B33" t="str">
        <f>+_xlfn.XLOOKUP(Tabla6[[#This Row],[ID CLIENTE]],'RESUMEN CLIENTES'!D:D,'RESUMEN CLIENTES'!A:A)</f>
        <v>Rodrigo Rivera Ruiz</v>
      </c>
      <c r="C33" t="str">
        <f>+_xlfn.XLOOKUP(Tabla6[[#This Row],[ID CLIENTE]],'RESUMEN CLIENTES'!D:D,'RESUMEN CLIENTES'!C:C)</f>
        <v>Chile</v>
      </c>
      <c r="D33" s="44" t="str">
        <f>+_xlfn.XLOOKUP(Tabla6[[#This Row],[ID CLIENTE]],'RESUMEN CLIENTES'!D:D,'RESUMEN CLIENTES'!M:M)</f>
        <v>OK</v>
      </c>
      <c r="E33" s="72">
        <f>+_xlfn.XLOOKUP(Tabla6[[#This Row],[NOMBRE]],'RESUMEN CLIENTES'!A:A,'RESUMEN CLIENTES'!X:X)</f>
        <v>0.8</v>
      </c>
      <c r="F33" s="72">
        <f>+_xlfn.XLOOKUP(Tabla6[[#This Row],[ID CLIENTE]],'RESUMEN CLIENTES'!D:D,'RESUMEN CLIENTES'!W:W)</f>
        <v>1</v>
      </c>
      <c r="G33" s="17">
        <v>45757</v>
      </c>
      <c r="H33" s="44" t="s">
        <v>81</v>
      </c>
      <c r="I33" s="2">
        <v>4000</v>
      </c>
      <c r="J33" s="20" t="s">
        <v>160</v>
      </c>
      <c r="K33" t="s">
        <v>161</v>
      </c>
      <c r="L33" s="44" t="str" cm="1">
        <f t="array" ref="L33">+_xlfn.IFS(COUNTIF(INGRESOS!E:E,Tabla6[[#This Row],[ID FACTURA]])=1,"PAGADA",Tabla6[[#This Row],[ID FACTURA]]&lt;&gt;0,"EMITIDA",Tabla6[[#This Row],[ID FACTURA]]=0,"POR EMITIR")</f>
        <v>PAGADA</v>
      </c>
      <c r="M33" s="55">
        <f>+IF(Tabla6[[#This Row],[ESTADO FACTURA]]="PAGADA",Tabla6[[#This Row],[FECHA]]-_xlfn.XLOOKUP(Tabla6[[#This Row],[N° FACTURA]],INGRESOS!F:F,INGRESOS!A:A),"-")</f>
        <v>0</v>
      </c>
      <c r="N33" s="2"/>
      <c r="O33"/>
    </row>
    <row r="34" spans="1:15" ht="14.75" customHeight="1">
      <c r="A34" s="320" t="s">
        <v>162</v>
      </c>
      <c r="B34" t="str">
        <f>+_xlfn.XLOOKUP(Tabla6[[#This Row],[ID CLIENTE]],'RESUMEN CLIENTES'!D:D,'RESUMEN CLIENTES'!A:A)</f>
        <v>Bastian Sofjer Peralta</v>
      </c>
      <c r="C34" t="str">
        <f>+_xlfn.XLOOKUP(Tabla6[[#This Row],[ID CLIENTE]],'RESUMEN CLIENTES'!D:D,'RESUMEN CLIENTES'!C:C)</f>
        <v>Chile</v>
      </c>
      <c r="D34" s="44" t="str">
        <f>+_xlfn.XLOOKUP(Tabla6[[#This Row],[ID CLIENTE]],'RESUMEN CLIENTES'!D:D,'RESUMEN CLIENTES'!M:M)</f>
        <v>OK</v>
      </c>
      <c r="E34" s="72">
        <f>+_xlfn.XLOOKUP(Tabla6[[#This Row],[NOMBRE]],'RESUMEN CLIENTES'!A:A,'RESUMEN CLIENTES'!X:X)</f>
        <v>4.125</v>
      </c>
      <c r="F34" s="72">
        <f>+_xlfn.XLOOKUP(Tabla6[[#This Row],[ID CLIENTE]],'RESUMEN CLIENTES'!D:D,'RESUMEN CLIENTES'!W:W)</f>
        <v>1</v>
      </c>
      <c r="G34" s="17">
        <v>45758</v>
      </c>
      <c r="H34" s="44" t="s">
        <v>81</v>
      </c>
      <c r="I34" s="2">
        <v>4000</v>
      </c>
      <c r="J34" s="20" t="s">
        <v>163</v>
      </c>
      <c r="K34" t="s">
        <v>164</v>
      </c>
      <c r="L34" s="44" t="str" cm="1">
        <f t="array" ref="L34">+_xlfn.IFS(COUNTIF(INGRESOS!E:E,Tabla6[[#This Row],[ID FACTURA]])=1,"PAGADA",Tabla6[[#This Row],[ID FACTURA]]&lt;&gt;0,"EMITIDA",Tabla6[[#This Row],[ID FACTURA]]=0,"POR EMITIR")</f>
        <v>PAGADA</v>
      </c>
      <c r="M34" s="55">
        <f>+IF(Tabla6[[#This Row],[ESTADO FACTURA]]="PAGADA",Tabla6[[#This Row],[FECHA]]-_xlfn.XLOOKUP(Tabla6[[#This Row],[N° FACTURA]],INGRESOS!F:F,INGRESOS!A:A),"-")</f>
        <v>0</v>
      </c>
      <c r="N34" s="2"/>
      <c r="O34"/>
    </row>
    <row r="35" spans="1:15" ht="14.75" customHeight="1">
      <c r="A35" s="320" t="s">
        <v>165</v>
      </c>
      <c r="B35" t="str">
        <f>+_xlfn.XLOOKUP(Tabla6[[#This Row],[ID CLIENTE]],'RESUMEN CLIENTES'!D:D,'RESUMEN CLIENTES'!A:A)</f>
        <v>Alejandra Leva Vallejo</v>
      </c>
      <c r="C35" t="str">
        <f>+_xlfn.XLOOKUP(Tabla6[[#This Row],[ID CLIENTE]],'RESUMEN CLIENTES'!D:D,'RESUMEN CLIENTES'!C:C)</f>
        <v>México</v>
      </c>
      <c r="D35" s="44" t="str">
        <f>+_xlfn.XLOOKUP(Tabla6[[#This Row],[ID CLIENTE]],'RESUMEN CLIENTES'!D:D,'RESUMEN CLIENTES'!M:M)</f>
        <v>OK</v>
      </c>
      <c r="E35" s="72">
        <f>+_xlfn.XLOOKUP(Tabla6[[#This Row],[NOMBRE]],'RESUMEN CLIENTES'!A:A,'RESUMEN CLIENTES'!X:X)</f>
        <v>0</v>
      </c>
      <c r="F35" s="72">
        <f>+_xlfn.XLOOKUP(Tabla6[[#This Row],[ID CLIENTE]],'RESUMEN CLIENTES'!D:D,'RESUMEN CLIENTES'!W:W)</f>
        <v>1</v>
      </c>
      <c r="G35" s="17">
        <v>45762</v>
      </c>
      <c r="H35" s="44" t="s">
        <v>81</v>
      </c>
      <c r="I35" s="2">
        <v>4000</v>
      </c>
      <c r="J35" s="20" t="s">
        <v>166</v>
      </c>
      <c r="K35" t="s">
        <v>167</v>
      </c>
      <c r="L35" s="44" t="str" cm="1">
        <f t="array" ref="L35">+_xlfn.IFS(COUNTIF(INGRESOS!E:E,Tabla6[[#This Row],[ID FACTURA]])=1,"PAGADA",Tabla6[[#This Row],[ID FACTURA]]&lt;&gt;0,"EMITIDA",Tabla6[[#This Row],[ID FACTURA]]=0,"POR EMITIR")</f>
        <v>PAGADA</v>
      </c>
      <c r="M35" s="55">
        <f>+IF(Tabla6[[#This Row],[ESTADO FACTURA]]="PAGADA",Tabla6[[#This Row],[FECHA]]-_xlfn.XLOOKUP(Tabla6[[#This Row],[N° FACTURA]],INGRESOS!F:F,INGRESOS!A:A),"-")</f>
        <v>0</v>
      </c>
      <c r="N35" s="2"/>
      <c r="O35"/>
    </row>
    <row r="36" spans="1:15" ht="14.75" customHeight="1">
      <c r="A36" s="320" t="s">
        <v>168</v>
      </c>
      <c r="B36" t="str">
        <f>+_xlfn.XLOOKUP(Tabla6[[#This Row],[ID CLIENTE]],'RESUMEN CLIENTES'!D:D,'RESUMEN CLIENTES'!A:A)</f>
        <v xml:space="preserve">Catalina Ochoa Urrutia
</v>
      </c>
      <c r="C36" t="str">
        <f>+_xlfn.XLOOKUP(Tabla6[[#This Row],[ID CLIENTE]],'RESUMEN CLIENTES'!D:D,'RESUMEN CLIENTES'!C:C)</f>
        <v>Chile</v>
      </c>
      <c r="D36" s="44" t="str">
        <f>+_xlfn.XLOOKUP(Tabla6[[#This Row],[ID CLIENTE]],'RESUMEN CLIENTES'!D:D,'RESUMEN CLIENTES'!M:M)</f>
        <v>OK</v>
      </c>
      <c r="E36" s="72">
        <f>+_xlfn.XLOOKUP(Tabla6[[#This Row],[NOMBRE]],'RESUMEN CLIENTES'!A:A,'RESUMEN CLIENTES'!X:X)</f>
        <v>0.75</v>
      </c>
      <c r="F36" s="72">
        <f>+_xlfn.XLOOKUP(Tabla6[[#This Row],[ID CLIENTE]],'RESUMEN CLIENTES'!D:D,'RESUMEN CLIENTES'!W:W)</f>
        <v>1</v>
      </c>
      <c r="G36" s="17">
        <v>45762</v>
      </c>
      <c r="H36" s="44" t="s">
        <v>81</v>
      </c>
      <c r="I36" s="2">
        <v>1500</v>
      </c>
      <c r="J36" s="20" t="s">
        <v>169</v>
      </c>
      <c r="K36" t="s">
        <v>170</v>
      </c>
      <c r="L36" s="44" t="str" cm="1">
        <f t="array" ref="L36">+_xlfn.IFS(COUNTIF(INGRESOS!E:E,Tabla6[[#This Row],[ID FACTURA]])=1,"PAGADA",Tabla6[[#This Row],[ID FACTURA]]&lt;&gt;0,"EMITIDA",Tabla6[[#This Row],[ID FACTURA]]=0,"POR EMITIR")</f>
        <v>PAGADA</v>
      </c>
      <c r="M36" s="55">
        <f>+IF(Tabla6[[#This Row],[ESTADO FACTURA]]="PAGADA",Tabla6[[#This Row],[FECHA]]-_xlfn.XLOOKUP(Tabla6[[#This Row],[N° FACTURA]],INGRESOS!F:F,INGRESOS!A:A),"-")</f>
        <v>0</v>
      </c>
      <c r="N36" s="2"/>
      <c r="O36"/>
    </row>
    <row r="37" spans="1:15" ht="14.75" customHeight="1">
      <c r="A37" s="320" t="s">
        <v>171</v>
      </c>
      <c r="B37" t="str">
        <f>+_xlfn.XLOOKUP(Tabla6[[#This Row],[ID CLIENTE]],'RESUMEN CLIENTES'!D:D,'RESUMEN CLIENTES'!A:A)</f>
        <v>Guillermo Alfonso Garvalena Gaxiola</v>
      </c>
      <c r="C37" t="str">
        <f>+_xlfn.XLOOKUP(Tabla6[[#This Row],[ID CLIENTE]],'RESUMEN CLIENTES'!D:D,'RESUMEN CLIENTES'!C:C)</f>
        <v>México</v>
      </c>
      <c r="D37" s="44" t="str">
        <f>+_xlfn.XLOOKUP(Tabla6[[#This Row],[ID CLIENTE]],'RESUMEN CLIENTES'!D:D,'RESUMEN CLIENTES'!M:M)</f>
        <v>OK</v>
      </c>
      <c r="E37" s="72">
        <f>+_xlfn.XLOOKUP(Tabla6[[#This Row],[NOMBRE]],'RESUMEN CLIENTES'!A:A,'RESUMEN CLIENTES'!X:X)</f>
        <v>1.173913043478261</v>
      </c>
      <c r="F37" s="72">
        <f>+_xlfn.XLOOKUP(Tabla6[[#This Row],[ID CLIENTE]],'RESUMEN CLIENTES'!D:D,'RESUMEN CLIENTES'!W:W)</f>
        <v>1</v>
      </c>
      <c r="G37" s="17">
        <v>45762</v>
      </c>
      <c r="H37" s="44" t="s">
        <v>81</v>
      </c>
      <c r="I37" s="2">
        <v>1000</v>
      </c>
      <c r="J37" s="20" t="s">
        <v>172</v>
      </c>
      <c r="K37" t="s">
        <v>173</v>
      </c>
      <c r="L37" s="44" t="str" cm="1">
        <f t="array" ref="L37">+_xlfn.IFS(COUNTIF(INGRESOS!E:E,Tabla6[[#This Row],[ID FACTURA]])=1,"PAGADA",Tabla6[[#This Row],[ID FACTURA]]&lt;&gt;0,"EMITIDA",Tabla6[[#This Row],[ID FACTURA]]=0,"POR EMITIR")</f>
        <v>PAGADA</v>
      </c>
      <c r="M37" s="55">
        <f>+IF(Tabla6[[#This Row],[ESTADO FACTURA]]="PAGADA",Tabla6[[#This Row],[FECHA]]-_xlfn.XLOOKUP(Tabla6[[#This Row],[N° FACTURA]],INGRESOS!F:F,INGRESOS!A:A),"-")</f>
        <v>0</v>
      </c>
      <c r="N37" s="2"/>
      <c r="O37"/>
    </row>
    <row r="38" spans="1:15" ht="14.75" customHeight="1">
      <c r="A38" s="320" t="s">
        <v>103</v>
      </c>
      <c r="B38" t="str">
        <f>+_xlfn.XLOOKUP(Tabla6[[#This Row],[ID CLIENTE]],'RESUMEN CLIENTES'!D:D,'RESUMEN CLIENTES'!A:A)</f>
        <v>Isaac Ricardo Jimenez Campos</v>
      </c>
      <c r="C38" t="str">
        <f>+_xlfn.XLOOKUP(Tabla6[[#This Row],[ID CLIENTE]],'RESUMEN CLIENTES'!D:D,'RESUMEN CLIENTES'!C:C)</f>
        <v>México</v>
      </c>
      <c r="D38" s="44" t="str">
        <f>+_xlfn.XLOOKUP(Tabla6[[#This Row],[ID CLIENTE]],'RESUMEN CLIENTES'!D:D,'RESUMEN CLIENTES'!M:M)</f>
        <v>OK</v>
      </c>
      <c r="E38" s="72">
        <f>+_xlfn.XLOOKUP(Tabla6[[#This Row],[NOMBRE]],'RESUMEN CLIENTES'!A:A,'RESUMEN CLIENTES'!X:X)</f>
        <v>0.5</v>
      </c>
      <c r="F38" s="72">
        <f>+_xlfn.XLOOKUP(Tabla6[[#This Row],[ID CLIENTE]],'RESUMEN CLIENTES'!D:D,'RESUMEN CLIENTES'!W:W)</f>
        <v>1</v>
      </c>
      <c r="G38" s="17">
        <v>45762</v>
      </c>
      <c r="H38" s="44" t="s">
        <v>81</v>
      </c>
      <c r="I38" s="2">
        <v>654</v>
      </c>
      <c r="J38" s="20" t="s">
        <v>174</v>
      </c>
      <c r="K38" t="s">
        <v>175</v>
      </c>
      <c r="L38" s="44" t="str" cm="1">
        <f t="array" ref="L38">+_xlfn.IFS(COUNTIF(INGRESOS!E:E,Tabla6[[#This Row],[ID FACTURA]])=1,"PAGADA",Tabla6[[#This Row],[ID FACTURA]]&lt;&gt;0,"EMITIDA",Tabla6[[#This Row],[ID FACTURA]]=0,"POR EMITIR")</f>
        <v>PAGADA</v>
      </c>
      <c r="M38" s="55">
        <f>+IF(Tabla6[[#This Row],[ESTADO FACTURA]]="PAGADA",Tabla6[[#This Row],[FECHA]]-_xlfn.XLOOKUP(Tabla6[[#This Row],[N° FACTURA]],INGRESOS!F:F,INGRESOS!A:A),"-")</f>
        <v>0</v>
      </c>
      <c r="N38" s="2"/>
      <c r="O38"/>
    </row>
    <row r="39" spans="1:15" ht="14.75" customHeight="1">
      <c r="A39" s="320" t="s">
        <v>168</v>
      </c>
      <c r="B39" t="str">
        <f>+_xlfn.XLOOKUP(Tabla6[[#This Row],[ID CLIENTE]],'RESUMEN CLIENTES'!D:D,'RESUMEN CLIENTES'!A:A)</f>
        <v xml:space="preserve">Catalina Ochoa Urrutia
</v>
      </c>
      <c r="C39" t="str">
        <f>+_xlfn.XLOOKUP(Tabla6[[#This Row],[ID CLIENTE]],'RESUMEN CLIENTES'!D:D,'RESUMEN CLIENTES'!C:C)</f>
        <v>Chile</v>
      </c>
      <c r="D39" s="44" t="str">
        <f>+_xlfn.XLOOKUP(Tabla6[[#This Row],[ID CLIENTE]],'RESUMEN CLIENTES'!D:D,'RESUMEN CLIENTES'!M:M)</f>
        <v>OK</v>
      </c>
      <c r="E39" s="72">
        <f>+_xlfn.XLOOKUP(Tabla6[[#This Row],[NOMBRE]],'RESUMEN CLIENTES'!A:A,'RESUMEN CLIENTES'!X:X)</f>
        <v>0.75</v>
      </c>
      <c r="F39" s="72">
        <f>+_xlfn.XLOOKUP(Tabla6[[#This Row],[ID CLIENTE]],'RESUMEN CLIENTES'!D:D,'RESUMEN CLIENTES'!W:W)</f>
        <v>1</v>
      </c>
      <c r="G39" s="17">
        <v>45769</v>
      </c>
      <c r="H39" s="44" t="s">
        <v>81</v>
      </c>
      <c r="I39" s="2">
        <v>2500</v>
      </c>
      <c r="J39" s="20" t="s">
        <v>176</v>
      </c>
      <c r="K39" t="s">
        <v>177</v>
      </c>
      <c r="L39" s="44" t="str" cm="1">
        <f t="array" ref="L39">+_xlfn.IFS(COUNTIF(INGRESOS!E:E,Tabla6[[#This Row],[ID FACTURA]])=1,"PAGADA",Tabla6[[#This Row],[ID FACTURA]]&lt;&gt;0,"EMITIDA",Tabla6[[#This Row],[ID FACTURA]]=0,"POR EMITIR")</f>
        <v>PAGADA</v>
      </c>
      <c r="M39" s="55">
        <f>+IF(Tabla6[[#This Row],[ESTADO FACTURA]]="PAGADA",Tabla6[[#This Row],[FECHA]]-_xlfn.XLOOKUP(Tabla6[[#This Row],[N° FACTURA]],INGRESOS!F:F,INGRESOS!A:A),"-")</f>
        <v>0</v>
      </c>
      <c r="N39" s="2"/>
      <c r="O39"/>
    </row>
    <row r="40" spans="1:15" ht="14.75" customHeight="1">
      <c r="A40" s="320" t="s">
        <v>178</v>
      </c>
      <c r="B40" t="str">
        <f>+_xlfn.XLOOKUP(Tabla6[[#This Row],[ID CLIENTE]],'RESUMEN CLIENTES'!D:D,'RESUMEN CLIENTES'!A:A)</f>
        <v>Sven Sigurd Biedermann Aberg</v>
      </c>
      <c r="C40" t="str">
        <f>+_xlfn.XLOOKUP(Tabla6[[#This Row],[ID CLIENTE]],'RESUMEN CLIENTES'!D:D,'RESUMEN CLIENTES'!C:C)</f>
        <v>Chile</v>
      </c>
      <c r="D40" s="44" t="str">
        <f>+_xlfn.XLOOKUP(Tabla6[[#This Row],[ID CLIENTE]],'RESUMEN CLIENTES'!D:D,'RESUMEN CLIENTES'!M:M)</f>
        <v>OK</v>
      </c>
      <c r="E40" s="72">
        <f>+_xlfn.XLOOKUP(Tabla6[[#This Row],[NOMBRE]],'RESUMEN CLIENTES'!A:A,'RESUMEN CLIENTES'!X:X)</f>
        <v>-0.33333333333333331</v>
      </c>
      <c r="F40" s="72">
        <f>+_xlfn.XLOOKUP(Tabla6[[#This Row],[ID CLIENTE]],'RESUMEN CLIENTES'!D:D,'RESUMEN CLIENTES'!W:W)</f>
        <v>0</v>
      </c>
      <c r="G40" s="17">
        <v>45769</v>
      </c>
      <c r="H40" s="44" t="s">
        <v>81</v>
      </c>
      <c r="I40" s="2">
        <v>1000</v>
      </c>
      <c r="J40" s="20" t="s">
        <v>179</v>
      </c>
      <c r="K40" t="s">
        <v>180</v>
      </c>
      <c r="L40" s="44" t="str" cm="1">
        <f t="array" ref="L40">+_xlfn.IFS(COUNTIF(INGRESOS!E:E,Tabla6[[#This Row],[ID FACTURA]])=1,"PAGADA",Tabla6[[#This Row],[ID FACTURA]]&lt;&gt;0,"EMITIDA",Tabla6[[#This Row],[ID FACTURA]]=0,"POR EMITIR")</f>
        <v>PAGADA</v>
      </c>
      <c r="M40" s="55">
        <f>+IF(Tabla6[[#This Row],[ESTADO FACTURA]]="PAGADA",Tabla6[[#This Row],[FECHA]]-_xlfn.XLOOKUP(Tabla6[[#This Row],[N° FACTURA]],INGRESOS!F:F,INGRESOS!A:A),"-")</f>
        <v>0</v>
      </c>
      <c r="N40" s="2"/>
      <c r="O40"/>
    </row>
    <row r="41" spans="1:15" ht="14.75" customHeight="1">
      <c r="A41" s="320" t="s">
        <v>184</v>
      </c>
      <c r="B41" t="str">
        <f>+_xlfn.XLOOKUP(Tabla6[[#This Row],[ID CLIENTE]],'RESUMEN CLIENTES'!D:D,'RESUMEN CLIENTES'!A:A)</f>
        <v>Boris Andrés Silva Véliz</v>
      </c>
      <c r="C41" t="str">
        <f>+_xlfn.XLOOKUP(Tabla6[[#This Row],[ID CLIENTE]],'RESUMEN CLIENTES'!D:D,'RESUMEN CLIENTES'!C:C)</f>
        <v>Chile</v>
      </c>
      <c r="D41" s="44" t="str">
        <f>+_xlfn.XLOOKUP(Tabla6[[#This Row],[ID CLIENTE]],'RESUMEN CLIENTES'!D:D,'RESUMEN CLIENTES'!M:M)</f>
        <v>OK</v>
      </c>
      <c r="E41" s="72">
        <f>+_xlfn.XLOOKUP(Tabla6[[#This Row],[NOMBRE]],'RESUMEN CLIENTES'!A:A,'RESUMEN CLIENTES'!X:X)</f>
        <v>2.1111111111111112</v>
      </c>
      <c r="F41" s="72">
        <f>+_xlfn.XLOOKUP(Tabla6[[#This Row],[ID CLIENTE]],'RESUMEN CLIENTES'!D:D,'RESUMEN CLIENTES'!W:W)</f>
        <v>0</v>
      </c>
      <c r="G41" s="17">
        <v>45771</v>
      </c>
      <c r="H41" s="44" t="s">
        <v>81</v>
      </c>
      <c r="I41" s="2">
        <v>2043.8577815626998</v>
      </c>
      <c r="J41" s="20" t="s">
        <v>185</v>
      </c>
      <c r="K41" t="s">
        <v>186</v>
      </c>
      <c r="L41" s="44" t="str" cm="1">
        <f t="array" ref="L41">+_xlfn.IFS(COUNTIF(INGRESOS!E:E,Tabla6[[#This Row],[ID FACTURA]])=1,"PAGADA",Tabla6[[#This Row],[ID FACTURA]]&lt;&gt;0,"EMITIDA",Tabla6[[#This Row],[ID FACTURA]]=0,"POR EMITIR")</f>
        <v>PAGADA</v>
      </c>
      <c r="M41" s="55">
        <f>+IF(Tabla6[[#This Row],[ESTADO FACTURA]]="PAGADA",Tabla6[[#This Row],[FECHA]]-_xlfn.XLOOKUP(Tabla6[[#This Row],[N° FACTURA]],INGRESOS!F:F,INGRESOS!A:A),"-")</f>
        <v>0</v>
      </c>
      <c r="N41" s="2"/>
      <c r="O41"/>
    </row>
    <row r="42" spans="1:15" ht="14.75" customHeight="1">
      <c r="A42" s="320" t="s">
        <v>181</v>
      </c>
      <c r="B42" t="str">
        <f>+_xlfn.XLOOKUP(Tabla6[[#This Row],[ID CLIENTE]],'RESUMEN CLIENTES'!D:D,'RESUMEN CLIENTES'!A:A)</f>
        <v>Juan Carlos Ramirez Chavez</v>
      </c>
      <c r="C42" t="str">
        <f>+_xlfn.XLOOKUP(Tabla6[[#This Row],[ID CLIENTE]],'RESUMEN CLIENTES'!D:D,'RESUMEN CLIENTES'!C:C)</f>
        <v>Perú</v>
      </c>
      <c r="D42" s="44" t="str">
        <f>+_xlfn.XLOOKUP(Tabla6[[#This Row],[ID CLIENTE]],'RESUMEN CLIENTES'!D:D,'RESUMEN CLIENTES'!M:M)</f>
        <v>OK</v>
      </c>
      <c r="E42" s="72">
        <f>+_xlfn.XLOOKUP(Tabla6[[#This Row],[NOMBRE]],'RESUMEN CLIENTES'!A:A,'RESUMEN CLIENTES'!X:X)</f>
        <v>0</v>
      </c>
      <c r="F42" s="72">
        <f>+_xlfn.XLOOKUP(Tabla6[[#This Row],[ID CLIENTE]],'RESUMEN CLIENTES'!D:D,'RESUMEN CLIENTES'!W:W)</f>
        <v>0</v>
      </c>
      <c r="G42" s="17">
        <v>45772</v>
      </c>
      <c r="H42" s="44" t="s">
        <v>81</v>
      </c>
      <c r="I42" s="2">
        <v>3000</v>
      </c>
      <c r="J42" s="20" t="s">
        <v>182</v>
      </c>
      <c r="K42" t="s">
        <v>183</v>
      </c>
      <c r="L42" s="44" t="str" cm="1">
        <f t="array" ref="L42">+_xlfn.IFS(COUNTIF(INGRESOS!E:E,Tabla6[[#This Row],[ID FACTURA]])=1,"PAGADA",Tabla6[[#This Row],[ID FACTURA]]&lt;&gt;0,"EMITIDA",Tabla6[[#This Row],[ID FACTURA]]=0,"POR EMITIR")</f>
        <v>PAGADA</v>
      </c>
      <c r="M42" s="55">
        <f>+IF(Tabla6[[#This Row],[ESTADO FACTURA]]="PAGADA",Tabla6[[#This Row],[FECHA]]-_xlfn.XLOOKUP(Tabla6[[#This Row],[N° FACTURA]],INGRESOS!F:F,INGRESOS!A:A),"-")</f>
        <v>0</v>
      </c>
      <c r="N42" s="2"/>
      <c r="O42"/>
    </row>
    <row r="43" spans="1:15" ht="14.75" customHeight="1">
      <c r="A43" s="320" t="s">
        <v>188</v>
      </c>
      <c r="B43" t="str">
        <f>+_xlfn.XLOOKUP(Tabla6[[#This Row],[ID CLIENTE]],'RESUMEN CLIENTES'!D:D,'RESUMEN CLIENTES'!A:A)</f>
        <v>Marco Tulio Negrete Aceves</v>
      </c>
      <c r="C43" t="str">
        <f>+_xlfn.XLOOKUP(Tabla6[[#This Row],[ID CLIENTE]],'RESUMEN CLIENTES'!D:D,'RESUMEN CLIENTES'!C:C)</f>
        <v>México</v>
      </c>
      <c r="D43" s="44" t="str">
        <f>+_xlfn.XLOOKUP(Tabla6[[#This Row],[ID CLIENTE]],'RESUMEN CLIENTES'!D:D,'RESUMEN CLIENTES'!M:M)</f>
        <v>OK</v>
      </c>
      <c r="E43" s="72">
        <f>+_xlfn.XLOOKUP(Tabla6[[#This Row],[NOMBRE]],'RESUMEN CLIENTES'!A:A,'RESUMEN CLIENTES'!X:X)</f>
        <v>2.625</v>
      </c>
      <c r="F43" s="72">
        <f>+_xlfn.XLOOKUP(Tabla6[[#This Row],[ID CLIENTE]],'RESUMEN CLIENTES'!D:D,'RESUMEN CLIENTES'!W:W)</f>
        <v>1</v>
      </c>
      <c r="G43" s="17">
        <v>45774</v>
      </c>
      <c r="H43" s="44" t="s">
        <v>81</v>
      </c>
      <c r="I43" s="2">
        <v>2500</v>
      </c>
      <c r="J43" s="20" t="s">
        <v>189</v>
      </c>
      <c r="K43" t="s">
        <v>190</v>
      </c>
      <c r="L43" s="44" t="str" cm="1">
        <f t="array" ref="L43">+_xlfn.IFS(COUNTIF(INGRESOS!E:E,Tabla6[[#This Row],[ID FACTURA]])=1,"PAGADA",Tabla6[[#This Row],[ID FACTURA]]&lt;&gt;0,"EMITIDA",Tabla6[[#This Row],[ID FACTURA]]=0,"POR EMITIR")</f>
        <v>PAGADA</v>
      </c>
      <c r="M43" s="55">
        <f>+IF(Tabla6[[#This Row],[ESTADO FACTURA]]="PAGADA",Tabla6[[#This Row],[FECHA]]-_xlfn.XLOOKUP(Tabla6[[#This Row],[N° FACTURA]],INGRESOS!F:F,INGRESOS!A:A),"-")</f>
        <v>17</v>
      </c>
      <c r="N43" s="2"/>
      <c r="O43"/>
    </row>
    <row r="44" spans="1:15" ht="14.75" customHeight="1">
      <c r="A44" s="320" t="s">
        <v>4464</v>
      </c>
      <c r="B44" t="str">
        <f>+_xlfn.XLOOKUP(Tabla6[[#This Row],[ID CLIENTE]],'RESUMEN CLIENTES'!D:D,'RESUMEN CLIENTES'!A:A)</f>
        <v>Alan Diego Titiro Casone</v>
      </c>
      <c r="C44" t="str">
        <f>+_xlfn.XLOOKUP(Tabla6[[#This Row],[ID CLIENTE]],'RESUMEN CLIENTES'!D:D,'RESUMEN CLIENTES'!C:C)</f>
        <v>Chile</v>
      </c>
      <c r="D44" s="44" t="str">
        <f>+_xlfn.XLOOKUP(Tabla6[[#This Row],[ID CLIENTE]],'RESUMEN CLIENTES'!D:D,'RESUMEN CLIENTES'!M:M)</f>
        <v>OK</v>
      </c>
      <c r="E44" s="72">
        <f>+_xlfn.XLOOKUP(Tabla6[[#This Row],[NOMBRE]],'RESUMEN CLIENTES'!A:A,'RESUMEN CLIENTES'!X:X)</f>
        <v>0</v>
      </c>
      <c r="F44" s="72">
        <f>+_xlfn.XLOOKUP(Tabla6[[#This Row],[ID CLIENTE]],'RESUMEN CLIENTES'!D:D,'RESUMEN CLIENTES'!W:W)</f>
        <v>0</v>
      </c>
      <c r="G44" s="17">
        <v>45775</v>
      </c>
      <c r="H44" s="44" t="s">
        <v>81</v>
      </c>
      <c r="I44" s="2">
        <v>7562.3655999999992</v>
      </c>
      <c r="J44" s="20" t="s">
        <v>4465</v>
      </c>
      <c r="K44" t="s">
        <v>4466</v>
      </c>
      <c r="L44" s="44" t="str" cm="1">
        <f t="array" ref="L44">+_xlfn.IFS(COUNTIF(INGRESOS!E:E,Tabla6[[#This Row],[ID FACTURA]])=1,"PAGADA",Tabla6[[#This Row],[ID FACTURA]]&lt;&gt;0,"EMITIDA",Tabla6[[#This Row],[ID FACTURA]]=0,"POR EMITIR")</f>
        <v>PAGADA</v>
      </c>
      <c r="M44" s="55">
        <f>+IF(Tabla6[[#This Row],[ESTADO FACTURA]]="PAGADA",Tabla6[[#This Row],[FECHA]]-_xlfn.XLOOKUP(Tabla6[[#This Row],[N° FACTURA]],INGRESOS!F:F,INGRESOS!A:A),"-")</f>
        <v>0</v>
      </c>
      <c r="N44" s="2"/>
      <c r="O44"/>
    </row>
    <row r="45" spans="1:15" ht="14.75" customHeight="1">
      <c r="A45" s="320" t="s">
        <v>191</v>
      </c>
      <c r="B45" t="str">
        <f>+_xlfn.XLOOKUP(Tabla6[[#This Row],[ID CLIENTE]],'RESUMEN CLIENTES'!D:D,'RESUMEN CLIENTES'!A:A)</f>
        <v>Christian Rivera Hernandez</v>
      </c>
      <c r="C45" t="str">
        <f>+_xlfn.XLOOKUP(Tabla6[[#This Row],[ID CLIENTE]],'RESUMEN CLIENTES'!D:D,'RESUMEN CLIENTES'!C:C)</f>
        <v>Colombia</v>
      </c>
      <c r="D45" s="169" t="str">
        <f>+_xlfn.XLOOKUP(Tabla6[[#This Row],[ID CLIENTE]],'RESUMEN CLIENTES'!D:D,'RESUMEN CLIENTES'!M:M)</f>
        <v>OK</v>
      </c>
      <c r="E45" s="71">
        <f>+_xlfn.XLOOKUP(Tabla6[[#This Row],[NOMBRE]],'RESUMEN CLIENTES'!A:A,'RESUMEN CLIENTES'!X:X)</f>
        <v>0.75</v>
      </c>
      <c r="F45" s="71">
        <f>+_xlfn.XLOOKUP(Tabla6[[#This Row],[ID CLIENTE]],'RESUMEN CLIENTES'!D:D,'RESUMEN CLIENTES'!W:W)</f>
        <v>1</v>
      </c>
      <c r="G45" s="17">
        <v>45777</v>
      </c>
      <c r="H45" s="169" t="s">
        <v>81</v>
      </c>
      <c r="I45" s="2">
        <v>2600</v>
      </c>
      <c r="J45" s="20" t="s">
        <v>192</v>
      </c>
      <c r="K45" t="s">
        <v>193</v>
      </c>
      <c r="L45" s="44" t="str" cm="1">
        <f t="array" ref="L45">+_xlfn.IFS(COUNTIF(INGRESOS!E:E,Tabla6[[#This Row],[ID FACTURA]])=1,"PAGADA",Tabla6[[#This Row],[ID FACTURA]]&lt;&gt;0,"EMITIDA",Tabla6[[#This Row],[ID FACTURA]]=0,"POR EMITIR")</f>
        <v>PAGADA</v>
      </c>
      <c r="M45" s="55">
        <f>+IF(Tabla6[[#This Row],[ESTADO FACTURA]]="PAGADA",Tabla6[[#This Row],[FECHA]]-_xlfn.XLOOKUP(Tabla6[[#This Row],[N° FACTURA]],INGRESOS!F:F,INGRESOS!A:A),"-")</f>
        <v>0</v>
      </c>
      <c r="N45" s="2"/>
      <c r="O45"/>
    </row>
    <row r="46" spans="1:15" ht="14.75" customHeight="1">
      <c r="A46" s="320" t="s">
        <v>194</v>
      </c>
      <c r="B46" t="str">
        <f>+_xlfn.XLOOKUP(Tabla6[[#This Row],[ID CLIENTE]],'RESUMEN CLIENTES'!D:D,'RESUMEN CLIENTES'!A:A)</f>
        <v>Dinorah Gómez Castellanos</v>
      </c>
      <c r="C46" t="str">
        <f>+_xlfn.XLOOKUP(Tabla6[[#This Row],[ID CLIENTE]],'RESUMEN CLIENTES'!D:D,'RESUMEN CLIENTES'!C:C)</f>
        <v>México</v>
      </c>
      <c r="D46" s="44" t="str">
        <f>+_xlfn.XLOOKUP(Tabla6[[#This Row],[ID CLIENTE]],'RESUMEN CLIENTES'!D:D,'RESUMEN CLIENTES'!M:M)</f>
        <v>OK</v>
      </c>
      <c r="E46" s="72">
        <f>+_xlfn.XLOOKUP(Tabla6[[#This Row],[NOMBRE]],'RESUMEN CLIENTES'!A:A,'RESUMEN CLIENTES'!X:X)</f>
        <v>2.75</v>
      </c>
      <c r="F46" s="72">
        <f>+_xlfn.XLOOKUP(Tabla6[[#This Row],[ID CLIENTE]],'RESUMEN CLIENTES'!D:D,'RESUMEN CLIENTES'!W:W)</f>
        <v>0</v>
      </c>
      <c r="G46" s="17">
        <v>45777</v>
      </c>
      <c r="H46" s="44" t="s">
        <v>81</v>
      </c>
      <c r="I46" s="2">
        <v>2500</v>
      </c>
      <c r="J46" s="20" t="s">
        <v>195</v>
      </c>
      <c r="K46" t="s">
        <v>196</v>
      </c>
      <c r="L46" s="44" t="str" cm="1">
        <f t="array" ref="L46">+_xlfn.IFS(COUNTIF(INGRESOS!E:E,Tabla6[[#This Row],[ID FACTURA]])=1,"PAGADA",Tabla6[[#This Row],[ID FACTURA]]&lt;&gt;0,"EMITIDA",Tabla6[[#This Row],[ID FACTURA]]=0,"POR EMITIR")</f>
        <v>PAGADA</v>
      </c>
      <c r="M46" s="55">
        <f>+IF(Tabla6[[#This Row],[ESTADO FACTURA]]="PAGADA",Tabla6[[#This Row],[FECHA]]-_xlfn.XLOOKUP(Tabla6[[#This Row],[N° FACTURA]],INGRESOS!F:F,INGRESOS!A:A),"-")</f>
        <v>20</v>
      </c>
      <c r="N46" s="2"/>
      <c r="O46"/>
    </row>
    <row r="47" spans="1:15" ht="14.75" customHeight="1">
      <c r="A47" s="320" t="s">
        <v>197</v>
      </c>
      <c r="B47" t="str">
        <f>+_xlfn.XLOOKUP(Tabla6[[#This Row],[ID CLIENTE]],'RESUMEN CLIENTES'!D:D,'RESUMEN CLIENTES'!A:A)</f>
        <v>Lina Estrada</v>
      </c>
      <c r="C47" t="str">
        <f>+_xlfn.XLOOKUP(Tabla6[[#This Row],[ID CLIENTE]],'RESUMEN CLIENTES'!D:D,'RESUMEN CLIENTES'!C:C)</f>
        <v>Colombia</v>
      </c>
      <c r="D47" s="169" t="str">
        <f>+_xlfn.XLOOKUP(Tabla6[[#This Row],[ID CLIENTE]],'RESUMEN CLIENTES'!D:D,'RESUMEN CLIENTES'!M:M)</f>
        <v>¡REGULARIZAR!</v>
      </c>
      <c r="E47" s="71">
        <f>+_xlfn.XLOOKUP(Tabla6[[#This Row],[NOMBRE]],'RESUMEN CLIENTES'!A:A,'RESUMEN CLIENTES'!X:X)</f>
        <v>0.5</v>
      </c>
      <c r="F47" s="71">
        <f>+_xlfn.XLOOKUP(Tabla6[[#This Row],[ID CLIENTE]],'RESUMEN CLIENTES'!D:D,'RESUMEN CLIENTES'!W:W)</f>
        <v>0</v>
      </c>
      <c r="G47" s="17">
        <v>45777</v>
      </c>
      <c r="H47" s="169" t="s">
        <v>81</v>
      </c>
      <c r="I47" s="2">
        <v>2600</v>
      </c>
      <c r="J47" s="20" t="s">
        <v>198</v>
      </c>
      <c r="K47" t="s">
        <v>199</v>
      </c>
      <c r="L47" s="44" t="str" cm="1">
        <f t="array" ref="L47">+_xlfn.IFS(COUNTIF(INGRESOS!E:E,Tabla6[[#This Row],[ID FACTURA]])=1,"PAGADA",Tabla6[[#This Row],[ID FACTURA]]&lt;&gt;0,"EMITIDA",Tabla6[[#This Row],[ID FACTURA]]=0,"POR EMITIR")</f>
        <v>PAGADA</v>
      </c>
      <c r="M47" s="55">
        <f>+IF(Tabla6[[#This Row],[ESTADO FACTURA]]="PAGADA",Tabla6[[#This Row],[FECHA]]-_xlfn.XLOOKUP(Tabla6[[#This Row],[N° FACTURA]],INGRESOS!F:F,INGRESOS!A:A),"-")</f>
        <v>0</v>
      </c>
      <c r="N47" s="2"/>
      <c r="O47"/>
    </row>
    <row r="48" spans="1:15" ht="14.75" customHeight="1">
      <c r="A48" s="320" t="s">
        <v>200</v>
      </c>
      <c r="B48" t="str">
        <f>+_xlfn.XLOOKUP(Tabla6[[#This Row],[ID CLIENTE]],'RESUMEN CLIENTES'!D:D,'RESUMEN CLIENTES'!A:A)</f>
        <v>Mateo Gabriel Martinez Dávila</v>
      </c>
      <c r="C48" t="str">
        <f>+_xlfn.XLOOKUP(Tabla6[[#This Row],[ID CLIENTE]],'RESUMEN CLIENTES'!D:D,'RESUMEN CLIENTES'!C:C)</f>
        <v>Bolivia</v>
      </c>
      <c r="D48" s="169" t="str">
        <f>+_xlfn.XLOOKUP(Tabla6[[#This Row],[ID CLIENTE]],'RESUMEN CLIENTES'!D:D,'RESUMEN CLIENTES'!M:M)</f>
        <v>OK</v>
      </c>
      <c r="E48" s="71">
        <f>+_xlfn.XLOOKUP(Tabla6[[#This Row],[NOMBRE]],'RESUMEN CLIENTES'!A:A,'RESUMEN CLIENTES'!X:X)</f>
        <v>-0.5</v>
      </c>
      <c r="F48" s="71">
        <f>+_xlfn.XLOOKUP(Tabla6[[#This Row],[ID CLIENTE]],'RESUMEN CLIENTES'!D:D,'RESUMEN CLIENTES'!W:W)</f>
        <v>0</v>
      </c>
      <c r="G48" s="17">
        <v>45777</v>
      </c>
      <c r="H48" s="169" t="s">
        <v>81</v>
      </c>
      <c r="I48" s="2">
        <v>497.07213670150236</v>
      </c>
      <c r="J48" s="20" t="s">
        <v>201</v>
      </c>
      <c r="K48" t="s">
        <v>202</v>
      </c>
      <c r="L48" s="44" t="str" cm="1">
        <f t="array" ref="L48">+_xlfn.IFS(COUNTIF(INGRESOS!E:E,Tabla6[[#This Row],[ID FACTURA]])=1,"PAGADA",Tabla6[[#This Row],[ID FACTURA]]&lt;&gt;0,"EMITIDA",Tabla6[[#This Row],[ID FACTURA]]=0,"POR EMITIR")</f>
        <v>PAGADA</v>
      </c>
      <c r="M48" s="54">
        <f>+IF(Tabla6[[#This Row],[ESTADO FACTURA]]="PAGADA",Tabla6[[#This Row],[FECHA]]-_xlfn.XLOOKUP(Tabla6[[#This Row],[N° FACTURA]],INGRESOS!F:F,INGRESOS!A:A),"-")</f>
        <v>0</v>
      </c>
      <c r="O48"/>
    </row>
    <row r="49" spans="1:15" ht="14.75" customHeight="1">
      <c r="A49" s="320" t="s">
        <v>203</v>
      </c>
      <c r="B49" t="str">
        <f>+_xlfn.XLOOKUP(Tabla6[[#This Row],[ID CLIENTE]],'RESUMEN CLIENTES'!D:D,'RESUMEN CLIENTES'!A:A)</f>
        <v>Bernardita Lobo Zegers</v>
      </c>
      <c r="C49" t="str">
        <f>+_xlfn.XLOOKUP(Tabla6[[#This Row],[ID CLIENTE]],'RESUMEN CLIENTES'!D:D,'RESUMEN CLIENTES'!C:C)</f>
        <v>México</v>
      </c>
      <c r="D49" s="44" t="str">
        <f>+_xlfn.XLOOKUP(Tabla6[[#This Row],[ID CLIENTE]],'RESUMEN CLIENTES'!D:D,'RESUMEN CLIENTES'!M:M)</f>
        <v>OK</v>
      </c>
      <c r="E49" s="72">
        <f>+_xlfn.XLOOKUP(Tabla6[[#This Row],[NOMBRE]],'RESUMEN CLIENTES'!A:A,'RESUMEN CLIENTES'!X:X)</f>
        <v>-0.8</v>
      </c>
      <c r="F49" s="72">
        <f>+_xlfn.XLOOKUP(Tabla6[[#This Row],[ID CLIENTE]],'RESUMEN CLIENTES'!D:D,'RESUMEN CLIENTES'!W:W)</f>
        <v>1</v>
      </c>
      <c r="G49" s="17">
        <v>45779</v>
      </c>
      <c r="H49" s="44" t="s">
        <v>81</v>
      </c>
      <c r="I49" s="2">
        <v>4000</v>
      </c>
      <c r="J49" s="20" t="s">
        <v>204</v>
      </c>
      <c r="K49" t="s">
        <v>205</v>
      </c>
      <c r="L49" s="44" t="str" cm="1">
        <f t="array" ref="L49">+_xlfn.IFS(COUNTIF(INGRESOS!E:E,Tabla6[[#This Row],[ID FACTURA]])=1,"PAGADA",Tabla6[[#This Row],[ID FACTURA]]&lt;&gt;0,"EMITIDA",Tabla6[[#This Row],[ID FACTURA]]=0,"POR EMITIR")</f>
        <v>PAGADA</v>
      </c>
      <c r="M49" s="55">
        <f>+IF(Tabla6[[#This Row],[ESTADO FACTURA]]="PAGADA",Tabla6[[#This Row],[FECHA]]-_xlfn.XLOOKUP(Tabla6[[#This Row],[N° FACTURA]],INGRESOS!F:F,INGRESOS!A:A),"-")</f>
        <v>0</v>
      </c>
      <c r="N49" s="2"/>
      <c r="O49"/>
    </row>
    <row r="50" spans="1:15" ht="14.75" customHeight="1">
      <c r="A50" s="320" t="s">
        <v>129</v>
      </c>
      <c r="B50" t="str">
        <f>+_xlfn.XLOOKUP(Tabla6[[#This Row],[ID CLIENTE]],'RESUMEN CLIENTES'!D:D,'RESUMEN CLIENTES'!A:A)</f>
        <v>Moira Millaray Schneider Rivera</v>
      </c>
      <c r="C50" t="str">
        <f>+_xlfn.XLOOKUP(Tabla6[[#This Row],[ID CLIENTE]],'RESUMEN CLIENTES'!D:D,'RESUMEN CLIENTES'!C:C)</f>
        <v>Chile</v>
      </c>
      <c r="D50" s="44" t="str">
        <f>+_xlfn.XLOOKUP(Tabla6[[#This Row],[ID CLIENTE]],'RESUMEN CLIENTES'!D:D,'RESUMEN CLIENTES'!M:M)</f>
        <v>OK</v>
      </c>
      <c r="E50" s="72">
        <f>+_xlfn.XLOOKUP(Tabla6[[#This Row],[NOMBRE]],'RESUMEN CLIENTES'!A:A,'RESUMEN CLIENTES'!X:X)</f>
        <v>0</v>
      </c>
      <c r="F50" s="72">
        <f>+_xlfn.XLOOKUP(Tabla6[[#This Row],[ID CLIENTE]],'RESUMEN CLIENTES'!D:D,'RESUMEN CLIENTES'!W:W)</f>
        <v>1</v>
      </c>
      <c r="G50" s="17">
        <v>45779</v>
      </c>
      <c r="H50" s="44" t="s">
        <v>81</v>
      </c>
      <c r="I50" s="2">
        <v>2500</v>
      </c>
      <c r="J50" s="20" t="s">
        <v>206</v>
      </c>
      <c r="K50" t="s">
        <v>207</v>
      </c>
      <c r="L50" s="44" t="str" cm="1">
        <f t="array" ref="L50">+_xlfn.IFS(COUNTIF(INGRESOS!E:E,Tabla6[[#This Row],[ID FACTURA]])=1,"PAGADA",Tabla6[[#This Row],[ID FACTURA]]&lt;&gt;0,"EMITIDA",Tabla6[[#This Row],[ID FACTURA]]=0,"POR EMITIR")</f>
        <v>PAGADA</v>
      </c>
      <c r="M50" s="55">
        <f>+IF(Tabla6[[#This Row],[ESTADO FACTURA]]="PAGADA",Tabla6[[#This Row],[FECHA]]-_xlfn.XLOOKUP(Tabla6[[#This Row],[N° FACTURA]],INGRESOS!F:F,INGRESOS!A:A),"-")</f>
        <v>0</v>
      </c>
      <c r="N50" s="2"/>
      <c r="O50"/>
    </row>
    <row r="51" spans="1:15" ht="14.75" customHeight="1">
      <c r="A51" s="320" t="s">
        <v>118</v>
      </c>
      <c r="B51" t="str">
        <f>+_xlfn.XLOOKUP(Tabla6[[#This Row],[ID CLIENTE]],'RESUMEN CLIENTES'!D:D,'RESUMEN CLIENTES'!A:A)</f>
        <v>Camila Sanchez Aravena</v>
      </c>
      <c r="C51" t="str">
        <f>+_xlfn.XLOOKUP(Tabla6[[#This Row],[ID CLIENTE]],'RESUMEN CLIENTES'!D:D,'RESUMEN CLIENTES'!C:C)</f>
        <v>Chile</v>
      </c>
      <c r="D51" s="44" t="str">
        <f>+_xlfn.XLOOKUP(Tabla6[[#This Row],[ID CLIENTE]],'RESUMEN CLIENTES'!D:D,'RESUMEN CLIENTES'!M:M)</f>
        <v>OK</v>
      </c>
      <c r="E51" s="72">
        <f>+_xlfn.XLOOKUP(Tabla6[[#This Row],[NOMBRE]],'RESUMEN CLIENTES'!A:A,'RESUMEN CLIENTES'!X:X)</f>
        <v>-1</v>
      </c>
      <c r="F51" s="72">
        <f>+_xlfn.XLOOKUP(Tabla6[[#This Row],[ID CLIENTE]],'RESUMEN CLIENTES'!D:D,'RESUMEN CLIENTES'!W:W)</f>
        <v>1</v>
      </c>
      <c r="G51" s="17">
        <v>45782</v>
      </c>
      <c r="H51" s="44" t="s">
        <v>81</v>
      </c>
      <c r="I51" s="2">
        <v>600</v>
      </c>
      <c r="J51" s="20" t="s">
        <v>208</v>
      </c>
      <c r="K51" t="s">
        <v>209</v>
      </c>
      <c r="L51" s="44" t="str" cm="1">
        <f t="array" ref="L51">+_xlfn.IFS(COUNTIF(INGRESOS!E:E,Tabla6[[#This Row],[ID FACTURA]])=1,"PAGADA",Tabla6[[#This Row],[ID FACTURA]]&lt;&gt;0,"EMITIDA",Tabla6[[#This Row],[ID FACTURA]]=0,"POR EMITIR")</f>
        <v>PAGADA</v>
      </c>
      <c r="M51" s="55">
        <f>+IF(Tabla6[[#This Row],[ESTADO FACTURA]]="PAGADA",Tabla6[[#This Row],[FECHA]]-_xlfn.XLOOKUP(Tabla6[[#This Row],[N° FACTURA]],INGRESOS!F:F,INGRESOS!A:A),"-")</f>
        <v>-8</v>
      </c>
      <c r="N51" s="2"/>
      <c r="O51"/>
    </row>
    <row r="52" spans="1:15" ht="14.75" customHeight="1">
      <c r="A52" s="320" t="s">
        <v>194</v>
      </c>
      <c r="B52" t="str">
        <f>+_xlfn.XLOOKUP(Tabla6[[#This Row],[ID CLIENTE]],'RESUMEN CLIENTES'!D:D,'RESUMEN CLIENTES'!A:A)</f>
        <v>Dinorah Gómez Castellanos</v>
      </c>
      <c r="C52" t="str">
        <f>+_xlfn.XLOOKUP(Tabla6[[#This Row],[ID CLIENTE]],'RESUMEN CLIENTES'!D:D,'RESUMEN CLIENTES'!C:C)</f>
        <v>México</v>
      </c>
      <c r="D52" s="44" t="str">
        <f>+_xlfn.XLOOKUP(Tabla6[[#This Row],[ID CLIENTE]],'RESUMEN CLIENTES'!D:D,'RESUMEN CLIENTES'!M:M)</f>
        <v>OK</v>
      </c>
      <c r="E52" s="72">
        <f>+_xlfn.XLOOKUP(Tabla6[[#This Row],[NOMBRE]],'RESUMEN CLIENTES'!A:A,'RESUMEN CLIENTES'!X:X)</f>
        <v>2.75</v>
      </c>
      <c r="F52" s="72">
        <f>+_xlfn.XLOOKUP(Tabla6[[#This Row],[ID CLIENTE]],'RESUMEN CLIENTES'!D:D,'RESUMEN CLIENTES'!W:W)</f>
        <v>0</v>
      </c>
      <c r="G52" s="17">
        <v>45782</v>
      </c>
      <c r="H52" s="44" t="s">
        <v>81</v>
      </c>
      <c r="I52" s="2">
        <v>1500</v>
      </c>
      <c r="J52" s="20" t="s">
        <v>210</v>
      </c>
      <c r="K52" t="s">
        <v>211</v>
      </c>
      <c r="L52" s="44" t="str" cm="1">
        <f t="array" ref="L52">+_xlfn.IFS(COUNTIF(INGRESOS!E:E,Tabla6[[#This Row],[ID FACTURA]])=1,"PAGADA",Tabla6[[#This Row],[ID FACTURA]]&lt;&gt;0,"EMITIDA",Tabla6[[#This Row],[ID FACTURA]]=0,"POR EMITIR")</f>
        <v>PAGADA</v>
      </c>
      <c r="M52" s="55">
        <f>+IF(Tabla6[[#This Row],[ESTADO FACTURA]]="PAGADA",Tabla6[[#This Row],[FECHA]]-_xlfn.XLOOKUP(Tabla6[[#This Row],[N° FACTURA]],INGRESOS!F:F,INGRESOS!A:A),"-")</f>
        <v>1</v>
      </c>
      <c r="N52" s="2"/>
      <c r="O52"/>
    </row>
    <row r="53" spans="1:15" ht="14.75" customHeight="1">
      <c r="A53" s="320" t="s">
        <v>142</v>
      </c>
      <c r="B53" t="str">
        <f>+_xlfn.XLOOKUP(Tabla6[[#This Row],[ID CLIENTE]],'RESUMEN CLIENTES'!D:D,'RESUMEN CLIENTES'!A:A)</f>
        <v>Jordan Eliecer Toledo Bravo</v>
      </c>
      <c r="C53" t="str">
        <f>+_xlfn.XLOOKUP(Tabla6[[#This Row],[ID CLIENTE]],'RESUMEN CLIENTES'!D:D,'RESUMEN CLIENTES'!C:C)</f>
        <v>Chile</v>
      </c>
      <c r="D53" s="44" t="str">
        <f>+_xlfn.XLOOKUP(Tabla6[[#This Row],[ID CLIENTE]],'RESUMEN CLIENTES'!D:D,'RESUMEN CLIENTES'!M:M)</f>
        <v>OK</v>
      </c>
      <c r="E53" s="72">
        <f>+_xlfn.XLOOKUP(Tabla6[[#This Row],[NOMBRE]],'RESUMEN CLIENTES'!A:A,'RESUMEN CLIENTES'!X:X)</f>
        <v>-1.6153846153846154</v>
      </c>
      <c r="F53" s="72">
        <f>+_xlfn.XLOOKUP(Tabla6[[#This Row],[ID CLIENTE]],'RESUMEN CLIENTES'!D:D,'RESUMEN CLIENTES'!W:W)</f>
        <v>0</v>
      </c>
      <c r="G53" s="17">
        <v>45782</v>
      </c>
      <c r="H53" s="44" t="s">
        <v>81</v>
      </c>
      <c r="I53" s="2">
        <v>600</v>
      </c>
      <c r="J53" s="20" t="s">
        <v>212</v>
      </c>
      <c r="K53" t="s">
        <v>213</v>
      </c>
      <c r="L53" s="44" t="str" cm="1">
        <f t="array" ref="L53">+_xlfn.IFS(COUNTIF(INGRESOS!E:E,Tabla6[[#This Row],[ID FACTURA]])=1,"PAGADA",Tabla6[[#This Row],[ID FACTURA]]&lt;&gt;0,"EMITIDA",Tabla6[[#This Row],[ID FACTURA]]=0,"POR EMITIR")</f>
        <v>PAGADA</v>
      </c>
      <c r="M53" s="55">
        <f>+IF(Tabla6[[#This Row],[ESTADO FACTURA]]="PAGADA",Tabla6[[#This Row],[FECHA]]-_xlfn.XLOOKUP(Tabla6[[#This Row],[N° FACTURA]],INGRESOS!F:F,INGRESOS!A:A),"-")</f>
        <v>-9</v>
      </c>
      <c r="N53" s="2"/>
      <c r="O53"/>
    </row>
    <row r="54" spans="1:15" ht="14.75" customHeight="1">
      <c r="A54" s="320" t="s">
        <v>188</v>
      </c>
      <c r="B54" t="str">
        <f>+_xlfn.XLOOKUP(Tabla6[[#This Row],[ID CLIENTE]],'RESUMEN CLIENTES'!D:D,'RESUMEN CLIENTES'!A:A)</f>
        <v>Marco Tulio Negrete Aceves</v>
      </c>
      <c r="C54" t="str">
        <f>+_xlfn.XLOOKUP(Tabla6[[#This Row],[ID CLIENTE]],'RESUMEN CLIENTES'!D:D,'RESUMEN CLIENTES'!C:C)</f>
        <v>México</v>
      </c>
      <c r="D54" s="44" t="str">
        <f>+_xlfn.XLOOKUP(Tabla6[[#This Row],[ID CLIENTE]],'RESUMEN CLIENTES'!D:D,'RESUMEN CLIENTES'!M:M)</f>
        <v>OK</v>
      </c>
      <c r="E54" s="72">
        <f>+_xlfn.XLOOKUP(Tabla6[[#This Row],[NOMBRE]],'RESUMEN CLIENTES'!A:A,'RESUMEN CLIENTES'!X:X)</f>
        <v>2.625</v>
      </c>
      <c r="F54" s="72">
        <f>+_xlfn.XLOOKUP(Tabla6[[#This Row],[ID CLIENTE]],'RESUMEN CLIENTES'!D:D,'RESUMEN CLIENTES'!W:W)</f>
        <v>1</v>
      </c>
      <c r="G54" s="17">
        <v>45782</v>
      </c>
      <c r="H54" s="44" t="s">
        <v>81</v>
      </c>
      <c r="I54" s="2">
        <v>1500</v>
      </c>
      <c r="J54" s="20" t="s">
        <v>216</v>
      </c>
      <c r="K54" t="s">
        <v>217</v>
      </c>
      <c r="L54" s="44" t="str" cm="1">
        <f t="array" ref="L54">+_xlfn.IFS(COUNTIF(INGRESOS!E:E,Tabla6[[#This Row],[ID FACTURA]])=1,"PAGADA",Tabla6[[#This Row],[ID FACTURA]]&lt;&gt;0,"EMITIDA",Tabla6[[#This Row],[ID FACTURA]]=0,"POR EMITIR")</f>
        <v>PAGADA</v>
      </c>
      <c r="M54" s="55">
        <f>+IF(Tabla6[[#This Row],[ESTADO FACTURA]]="PAGADA",Tabla6[[#This Row],[FECHA]]-_xlfn.XLOOKUP(Tabla6[[#This Row],[N° FACTURA]],INGRESOS!F:F,INGRESOS!A:A),"-")</f>
        <v>1</v>
      </c>
      <c r="N54" s="2"/>
      <c r="O54"/>
    </row>
    <row r="55" spans="1:15" ht="14.75" customHeight="1">
      <c r="A55" s="320" t="s">
        <v>181</v>
      </c>
      <c r="B55" t="str">
        <f>+_xlfn.XLOOKUP(Tabla6[[#This Row],[ID CLIENTE]],'RESUMEN CLIENTES'!D:D,'RESUMEN CLIENTES'!A:A)</f>
        <v>Juan Carlos Ramirez Chavez</v>
      </c>
      <c r="C55" t="str">
        <f>+_xlfn.XLOOKUP(Tabla6[[#This Row],[ID CLIENTE]],'RESUMEN CLIENTES'!D:D,'RESUMEN CLIENTES'!C:C)</f>
        <v>Perú</v>
      </c>
      <c r="D55" s="44" t="str">
        <f>+_xlfn.XLOOKUP(Tabla6[[#This Row],[ID CLIENTE]],'RESUMEN CLIENTES'!D:D,'RESUMEN CLIENTES'!M:M)</f>
        <v>OK</v>
      </c>
      <c r="E55" s="72">
        <f>+_xlfn.XLOOKUP(Tabla6[[#This Row],[NOMBRE]],'RESUMEN CLIENTES'!A:A,'RESUMEN CLIENTES'!X:X)</f>
        <v>0</v>
      </c>
      <c r="F55" s="72">
        <f>+_xlfn.XLOOKUP(Tabla6[[#This Row],[ID CLIENTE]],'RESUMEN CLIENTES'!D:D,'RESUMEN CLIENTES'!W:W)</f>
        <v>0</v>
      </c>
      <c r="G55" s="17">
        <v>45783</v>
      </c>
      <c r="H55" s="44" t="s">
        <v>81</v>
      </c>
      <c r="I55" s="2">
        <v>1000</v>
      </c>
      <c r="J55" s="20" t="s">
        <v>214</v>
      </c>
      <c r="K55" t="s">
        <v>215</v>
      </c>
      <c r="L55" s="44" t="str" cm="1">
        <f t="array" ref="L55">+_xlfn.IFS(COUNTIF(INGRESOS!E:E,Tabla6[[#This Row],[ID FACTURA]])=1,"PAGADA",Tabla6[[#This Row],[ID FACTURA]]&lt;&gt;0,"EMITIDA",Tabla6[[#This Row],[ID FACTURA]]=0,"POR EMITIR")</f>
        <v>PAGADA</v>
      </c>
      <c r="M55" s="55">
        <f>+IF(Tabla6[[#This Row],[ESTADO FACTURA]]="PAGADA",Tabla6[[#This Row],[FECHA]]-_xlfn.XLOOKUP(Tabla6[[#This Row],[N° FACTURA]],INGRESOS!F:F,INGRESOS!A:A),"-")</f>
        <v>0</v>
      </c>
      <c r="N55" s="2"/>
      <c r="O55"/>
    </row>
    <row r="56" spans="1:15" ht="14.75" customHeight="1">
      <c r="A56" s="320" t="s">
        <v>218</v>
      </c>
      <c r="B56" t="str">
        <f>+_xlfn.XLOOKUP(Tabla6[[#This Row],[ID CLIENTE]],'RESUMEN CLIENTES'!D:D,'RESUMEN CLIENTES'!A:A)</f>
        <v>Laura Margarita Cepeda Garrido</v>
      </c>
      <c r="C56" t="str">
        <f>+_xlfn.XLOOKUP(Tabla6[[#This Row],[ID CLIENTE]],'RESUMEN CLIENTES'!D:D,'RESUMEN CLIENTES'!C:C)</f>
        <v>Colombia</v>
      </c>
      <c r="D56" s="44" t="str">
        <f>+_xlfn.XLOOKUP(Tabla6[[#This Row],[ID CLIENTE]],'RESUMEN CLIENTES'!D:D,'RESUMEN CLIENTES'!M:M)</f>
        <v>ELIMINADO</v>
      </c>
      <c r="E56" s="72">
        <f>+_xlfn.XLOOKUP(Tabla6[[#This Row],[NOMBRE]],'RESUMEN CLIENTES'!A:A,'RESUMEN CLIENTES'!X:X)</f>
        <v>-0.2</v>
      </c>
      <c r="F56" s="72">
        <f>+_xlfn.XLOOKUP(Tabla6[[#This Row],[ID CLIENTE]],'RESUMEN CLIENTES'!D:D,'RESUMEN CLIENTES'!W:W)</f>
        <v>0</v>
      </c>
      <c r="G56" s="17">
        <v>45786</v>
      </c>
      <c r="H56" s="44" t="s">
        <v>81</v>
      </c>
      <c r="I56" s="2">
        <v>600</v>
      </c>
      <c r="J56" s="20" t="s">
        <v>219</v>
      </c>
      <c r="K56" t="s">
        <v>220</v>
      </c>
      <c r="L56" s="44" t="str" cm="1">
        <f t="array" ref="L56">+_xlfn.IFS(COUNTIF(INGRESOS!E:E,Tabla6[[#This Row],[ID FACTURA]])=1,"PAGADA",Tabla6[[#This Row],[ID FACTURA]]&lt;&gt;0,"EMITIDA",Tabla6[[#This Row],[ID FACTURA]]=0,"POR EMITIR")</f>
        <v>PAGADA</v>
      </c>
      <c r="M56" s="55">
        <f>+IF(Tabla6[[#This Row],[ESTADO FACTURA]]="PAGADA",Tabla6[[#This Row],[FECHA]]-_xlfn.XLOOKUP(Tabla6[[#This Row],[N° FACTURA]],INGRESOS!F:F,INGRESOS!A:A),"-")</f>
        <v>0</v>
      </c>
      <c r="N56" s="2"/>
      <c r="O56"/>
    </row>
    <row r="57" spans="1:15" ht="14.75" customHeight="1">
      <c r="A57" s="320" t="s">
        <v>221</v>
      </c>
      <c r="B57" t="str">
        <f>+_xlfn.XLOOKUP(Tabla6[[#This Row],[ID CLIENTE]],'RESUMEN CLIENTES'!D:D,'RESUMEN CLIENTES'!A:A)</f>
        <v>Angel Martin Alarcon Macias</v>
      </c>
      <c r="C57" t="str">
        <f>+_xlfn.XLOOKUP(Tabla6[[#This Row],[ID CLIENTE]],'RESUMEN CLIENTES'!D:D,'RESUMEN CLIENTES'!C:C)</f>
        <v>Ecuador</v>
      </c>
      <c r="D57" s="44" t="str">
        <f>+_xlfn.XLOOKUP(Tabla6[[#This Row],[ID CLIENTE]],'RESUMEN CLIENTES'!D:D,'RESUMEN CLIENTES'!M:M)</f>
        <v>¡REGULARIZAR!</v>
      </c>
      <c r="E57" s="72">
        <f>+_xlfn.XLOOKUP(Tabla6[[#This Row],[NOMBRE]],'RESUMEN CLIENTES'!A:A,'RESUMEN CLIENTES'!X:X)</f>
        <v>-0.5</v>
      </c>
      <c r="F57" s="72">
        <f>+_xlfn.XLOOKUP(Tabla6[[#This Row],[ID CLIENTE]],'RESUMEN CLIENTES'!D:D,'RESUMEN CLIENTES'!W:W)</f>
        <v>0</v>
      </c>
      <c r="G57" s="17">
        <v>45787</v>
      </c>
      <c r="H57" s="44" t="s">
        <v>81</v>
      </c>
      <c r="I57" s="2">
        <v>2000</v>
      </c>
      <c r="J57" s="20" t="s">
        <v>222</v>
      </c>
      <c r="K57" t="s">
        <v>223</v>
      </c>
      <c r="L57" s="44" t="str" cm="1">
        <f t="array" ref="L57">+_xlfn.IFS(COUNTIF(INGRESOS!E:E,Tabla6[[#This Row],[ID FACTURA]])=1,"PAGADA",Tabla6[[#This Row],[ID FACTURA]]&lt;&gt;0,"EMITIDA",Tabla6[[#This Row],[ID FACTURA]]=0,"POR EMITIR")</f>
        <v>PAGADA</v>
      </c>
      <c r="M57" s="55">
        <f>+IF(Tabla6[[#This Row],[ESTADO FACTURA]]="PAGADA",Tabla6[[#This Row],[FECHA]]-_xlfn.XLOOKUP(Tabla6[[#This Row],[N° FACTURA]],INGRESOS!F:F,INGRESOS!A:A),"-")</f>
        <v>0</v>
      </c>
      <c r="N57" s="2"/>
      <c r="O57"/>
    </row>
    <row r="58" spans="1:15" ht="14.75" customHeight="1">
      <c r="A58" s="320" t="s">
        <v>115</v>
      </c>
      <c r="B58" t="str">
        <f>+_xlfn.XLOOKUP(Tabla6[[#This Row],[ID CLIENTE]],'RESUMEN CLIENTES'!D:D,'RESUMEN CLIENTES'!A:A)</f>
        <v>David Hernández Viveros</v>
      </c>
      <c r="C58" t="str">
        <f>+_xlfn.XLOOKUP(Tabla6[[#This Row],[ID CLIENTE]],'RESUMEN CLIENTES'!D:D,'RESUMEN CLIENTES'!C:C)</f>
        <v>México</v>
      </c>
      <c r="D58" s="44" t="str">
        <f>+_xlfn.XLOOKUP(Tabla6[[#This Row],[ID CLIENTE]],'RESUMEN CLIENTES'!D:D,'RESUMEN CLIENTES'!M:M)</f>
        <v>OK</v>
      </c>
      <c r="E58" s="72">
        <f>+_xlfn.XLOOKUP(Tabla6[[#This Row],[NOMBRE]],'RESUMEN CLIENTES'!A:A,'RESUMEN CLIENTES'!X:X)</f>
        <v>-0.5</v>
      </c>
      <c r="F58" s="72">
        <f>+_xlfn.XLOOKUP(Tabla6[[#This Row],[ID CLIENTE]],'RESUMEN CLIENTES'!D:D,'RESUMEN CLIENTES'!W:W)</f>
        <v>1</v>
      </c>
      <c r="G58" s="17">
        <v>45788</v>
      </c>
      <c r="H58" s="44" t="s">
        <v>81</v>
      </c>
      <c r="I58" s="2">
        <v>2500</v>
      </c>
      <c r="J58" s="20" t="s">
        <v>224</v>
      </c>
      <c r="K58" t="s">
        <v>225</v>
      </c>
      <c r="L58" s="44" t="str" cm="1">
        <f t="array" ref="L58">+_xlfn.IFS(COUNTIF(INGRESOS!E:E,Tabla6[[#This Row],[ID FACTURA]])=1,"PAGADA",Tabla6[[#This Row],[ID FACTURA]]&lt;&gt;0,"EMITIDA",Tabla6[[#This Row],[ID FACTURA]]=0,"POR EMITIR")</f>
        <v>PAGADA</v>
      </c>
      <c r="M58" s="55">
        <f>+IF(Tabla6[[#This Row],[ESTADO FACTURA]]="PAGADA",Tabla6[[#This Row],[FECHA]]-_xlfn.XLOOKUP(Tabla6[[#This Row],[N° FACTURA]],INGRESOS!F:F,INGRESOS!A:A),"-")</f>
        <v>-10</v>
      </c>
      <c r="N58" s="2"/>
      <c r="O58"/>
    </row>
    <row r="59" spans="1:15" ht="14.75" customHeight="1">
      <c r="A59" s="320" t="s">
        <v>226</v>
      </c>
      <c r="B59" t="str">
        <f>+_xlfn.XLOOKUP(Tabla6[[#This Row],[ID CLIENTE]],'RESUMEN CLIENTES'!D:D,'RESUMEN CLIENTES'!A:A)</f>
        <v>Carlos Josue Escobar Morán</v>
      </c>
      <c r="C59" t="str">
        <f>+_xlfn.XLOOKUP(Tabla6[[#This Row],[ID CLIENTE]],'RESUMEN CLIENTES'!D:D,'RESUMEN CLIENTES'!C:C)</f>
        <v>El Salvador</v>
      </c>
      <c r="D59" s="44" t="str">
        <f>+_xlfn.XLOOKUP(Tabla6[[#This Row],[ID CLIENTE]],'RESUMEN CLIENTES'!D:D,'RESUMEN CLIENTES'!M:M)</f>
        <v>OK</v>
      </c>
      <c r="E59" s="72">
        <f>+_xlfn.XLOOKUP(Tabla6[[#This Row],[NOMBRE]],'RESUMEN CLIENTES'!A:A,'RESUMEN CLIENTES'!X:X)</f>
        <v>0.8</v>
      </c>
      <c r="F59" s="72">
        <f>+_xlfn.XLOOKUP(Tabla6[[#This Row],[ID CLIENTE]],'RESUMEN CLIENTES'!D:D,'RESUMEN CLIENTES'!W:W)</f>
        <v>0</v>
      </c>
      <c r="G59" s="17">
        <v>45790</v>
      </c>
      <c r="H59" s="44" t="s">
        <v>81</v>
      </c>
      <c r="I59" s="2">
        <v>2000</v>
      </c>
      <c r="J59" s="20" t="s">
        <v>227</v>
      </c>
      <c r="K59" t="s">
        <v>228</v>
      </c>
      <c r="L59" s="44" t="str" cm="1">
        <f t="array" ref="L59">+_xlfn.IFS(COUNTIF(INGRESOS!E:E,Tabla6[[#This Row],[ID FACTURA]])=1,"PAGADA",Tabla6[[#This Row],[ID FACTURA]]&lt;&gt;0,"EMITIDA",Tabla6[[#This Row],[ID FACTURA]]=0,"POR EMITIR")</f>
        <v>PAGADA</v>
      </c>
      <c r="M59" s="55">
        <f>+IF(Tabla6[[#This Row],[ESTADO FACTURA]]="PAGADA",Tabla6[[#This Row],[FECHA]]-_xlfn.XLOOKUP(Tabla6[[#This Row],[N° FACTURA]],INGRESOS!F:F,INGRESOS!A:A),"-")</f>
        <v>0</v>
      </c>
      <c r="N59" s="2"/>
      <c r="O59"/>
    </row>
    <row r="60" spans="1:15" ht="14.75" customHeight="1">
      <c r="A60" s="320" t="s">
        <v>181</v>
      </c>
      <c r="B60" t="str">
        <f>+_xlfn.XLOOKUP(Tabla6[[#This Row],[ID CLIENTE]],'RESUMEN CLIENTES'!D:D,'RESUMEN CLIENTES'!A:A)</f>
        <v>Juan Carlos Ramirez Chavez</v>
      </c>
      <c r="C60" s="15" t="str">
        <f>+_xlfn.XLOOKUP(Tabla6[[#This Row],[ID CLIENTE]],'RESUMEN CLIENTES'!D:D,'RESUMEN CLIENTES'!C:C)</f>
        <v>Perú</v>
      </c>
      <c r="D60" s="169" t="str">
        <f>+_xlfn.XLOOKUP(Tabla6[[#This Row],[ID CLIENTE]],'RESUMEN CLIENTES'!D:D,'RESUMEN CLIENTES'!M:M)</f>
        <v>OK</v>
      </c>
      <c r="E60" s="71">
        <f>+_xlfn.XLOOKUP(Tabla6[[#This Row],[NOMBRE]],'RESUMEN CLIENTES'!A:A,'RESUMEN CLIENTES'!X:X)</f>
        <v>0</v>
      </c>
      <c r="F60" s="71">
        <f>+_xlfn.XLOOKUP(Tabla6[[#This Row],[ID CLIENTE]],'RESUMEN CLIENTES'!D:D,'RESUMEN CLIENTES'!W:W)</f>
        <v>0</v>
      </c>
      <c r="G60" s="17">
        <v>45790</v>
      </c>
      <c r="H60" s="169" t="s">
        <v>81</v>
      </c>
      <c r="I60" s="2">
        <v>1000</v>
      </c>
      <c r="J60" s="20" t="s">
        <v>2554</v>
      </c>
      <c r="K60" t="s">
        <v>2555</v>
      </c>
      <c r="L60" s="44" t="str" cm="1">
        <f t="array" ref="L60">+_xlfn.IFS(COUNTIF(INGRESOS!E:E,Tabla6[[#This Row],[ID FACTURA]])=1,"PAGADA",Tabla6[[#This Row],[ID FACTURA]]&lt;&gt;0,"EMITIDA",Tabla6[[#This Row],[ID FACTURA]]=0,"POR EMITIR")</f>
        <v>PAGADA</v>
      </c>
      <c r="M60" s="54">
        <f>+IF(Tabla6[[#This Row],[ESTADO FACTURA]]="PAGADA",Tabla6[[#This Row],[FECHA]]-_xlfn.XLOOKUP(Tabla6[[#This Row],[N° FACTURA]],INGRESOS!F:F,INGRESOS!A:A),"-")</f>
        <v>0</v>
      </c>
      <c r="O60"/>
    </row>
    <row r="61" spans="1:15" ht="14.75" customHeight="1">
      <c r="A61" s="320" t="s">
        <v>229</v>
      </c>
      <c r="B61" t="str">
        <f>+_xlfn.XLOOKUP(Tabla6[[#This Row],[ID CLIENTE]],'RESUMEN CLIENTES'!D:D,'RESUMEN CLIENTES'!A:A)</f>
        <v>Nathaly Gabriela Henríquez Masín</v>
      </c>
      <c r="C61" t="str">
        <f>+_xlfn.XLOOKUP(Tabla6[[#This Row],[ID CLIENTE]],'RESUMEN CLIENTES'!D:D,'RESUMEN CLIENTES'!C:C)</f>
        <v>El Salvador</v>
      </c>
      <c r="D61" s="44" t="str">
        <f>+_xlfn.XLOOKUP(Tabla6[[#This Row],[ID CLIENTE]],'RESUMEN CLIENTES'!D:D,'RESUMEN CLIENTES'!M:M)</f>
        <v>OK</v>
      </c>
      <c r="E61" s="72">
        <f>+_xlfn.XLOOKUP(Tabla6[[#This Row],[NOMBRE]],'RESUMEN CLIENTES'!A:A,'RESUMEN CLIENTES'!X:X)</f>
        <v>0.7</v>
      </c>
      <c r="F61" s="72">
        <f>+_xlfn.XLOOKUP(Tabla6[[#This Row],[ID CLIENTE]],'RESUMEN CLIENTES'!D:D,'RESUMEN CLIENTES'!W:W)</f>
        <v>0</v>
      </c>
      <c r="G61" s="17">
        <v>45790</v>
      </c>
      <c r="H61" s="44" t="s">
        <v>81</v>
      </c>
      <c r="I61" s="2">
        <v>2000</v>
      </c>
      <c r="J61" s="20" t="s">
        <v>230</v>
      </c>
      <c r="K61" t="s">
        <v>231</v>
      </c>
      <c r="L61" s="44" t="str" cm="1">
        <f t="array" ref="L61">+_xlfn.IFS(COUNTIF(INGRESOS!E:E,Tabla6[[#This Row],[ID FACTURA]])=1,"PAGADA",Tabla6[[#This Row],[ID FACTURA]]&lt;&gt;0,"EMITIDA",Tabla6[[#This Row],[ID FACTURA]]=0,"POR EMITIR")</f>
        <v>PAGADA</v>
      </c>
      <c r="M61" s="55">
        <f>+IF(Tabla6[[#This Row],[ESTADO FACTURA]]="PAGADA",Tabla6[[#This Row],[FECHA]]-_xlfn.XLOOKUP(Tabla6[[#This Row],[N° FACTURA]],INGRESOS!F:F,INGRESOS!A:A),"-")</f>
        <v>0</v>
      </c>
      <c r="N61" s="2"/>
      <c r="O61"/>
    </row>
    <row r="62" spans="1:15" ht="14.75" customHeight="1">
      <c r="A62" s="320" t="s">
        <v>187</v>
      </c>
      <c r="B62" t="str">
        <f>+_xlfn.XLOOKUP(Tabla6[[#This Row],[ID CLIENTE]],'RESUMEN CLIENTES'!D:D,'RESUMEN CLIENTES'!A:A)</f>
        <v>Alina Maria Cervantes Real</v>
      </c>
      <c r="C62" t="str">
        <f>+_xlfn.XLOOKUP(Tabla6[[#This Row],[ID CLIENTE]],'RESUMEN CLIENTES'!D:D,'RESUMEN CLIENTES'!C:C)</f>
        <v>México</v>
      </c>
      <c r="D62" s="44" t="str">
        <f>+_xlfn.XLOOKUP(Tabla6[[#This Row],[ID CLIENTE]],'RESUMEN CLIENTES'!D:D,'RESUMEN CLIENTES'!M:M)</f>
        <v>OK</v>
      </c>
      <c r="E62" s="72">
        <f>+_xlfn.XLOOKUP(Tabla6[[#This Row],[NOMBRE]],'RESUMEN CLIENTES'!A:A,'RESUMEN CLIENTES'!X:X)</f>
        <v>21.583333333333332</v>
      </c>
      <c r="F62" s="72">
        <f>+_xlfn.XLOOKUP(Tabla6[[#This Row],[ID CLIENTE]],'RESUMEN CLIENTES'!D:D,'RESUMEN CLIENTES'!W:W)</f>
        <v>1</v>
      </c>
      <c r="G62" s="17">
        <v>45792</v>
      </c>
      <c r="H62" s="44" t="s">
        <v>81</v>
      </c>
      <c r="I62" s="2">
        <v>1500</v>
      </c>
      <c r="J62" s="20" t="s">
        <v>2558</v>
      </c>
      <c r="K62" t="s">
        <v>2559</v>
      </c>
      <c r="L62" s="44" t="str" cm="1">
        <f t="array" ref="L62">+_xlfn.IFS(COUNTIF(INGRESOS!E:E,Tabla6[[#This Row],[ID FACTURA]])=1,"PAGADA",Tabla6[[#This Row],[ID FACTURA]]&lt;&gt;0,"EMITIDA",Tabla6[[#This Row],[ID FACTURA]]=0,"POR EMITIR")</f>
        <v>PAGADA</v>
      </c>
      <c r="M62" s="55">
        <f>+IF(Tabla6[[#This Row],[ESTADO FACTURA]]="PAGADA",Tabla6[[#This Row],[FECHA]]-_xlfn.XLOOKUP(Tabla6[[#This Row],[N° FACTURA]],INGRESOS!F:F,INGRESOS!A:A),"-")</f>
        <v>-1</v>
      </c>
      <c r="N62" s="2"/>
      <c r="O62"/>
    </row>
    <row r="63" spans="1:15" ht="14.75" customHeight="1">
      <c r="A63" s="320" t="s">
        <v>156</v>
      </c>
      <c r="B63" t="str">
        <f>+_xlfn.XLOOKUP(Tabla6[[#This Row],[ID CLIENTE]],'RESUMEN CLIENTES'!D:D,'RESUMEN CLIENTES'!A:A)</f>
        <v>Catalina Andrea Videla Muñoz</v>
      </c>
      <c r="C63" t="str">
        <f>+_xlfn.XLOOKUP(Tabla6[[#This Row],[ID CLIENTE]],'RESUMEN CLIENTES'!D:D,'RESUMEN CLIENTES'!C:C)</f>
        <v>Chile</v>
      </c>
      <c r="D63" s="44" t="str">
        <f>+_xlfn.XLOOKUP(Tabla6[[#This Row],[ID CLIENTE]],'RESUMEN CLIENTES'!D:D,'RESUMEN CLIENTES'!M:M)</f>
        <v>OK</v>
      </c>
      <c r="E63" s="72">
        <f>+_xlfn.XLOOKUP(Tabla6[[#This Row],[NOMBRE]],'RESUMEN CLIENTES'!A:A,'RESUMEN CLIENTES'!X:X)</f>
        <v>1.5454545454545454</v>
      </c>
      <c r="F63" s="72">
        <f>+_xlfn.XLOOKUP(Tabla6[[#This Row],[ID CLIENTE]],'RESUMEN CLIENTES'!D:D,'RESUMEN CLIENTES'!W:W)</f>
        <v>1</v>
      </c>
      <c r="G63" s="17">
        <v>45792</v>
      </c>
      <c r="H63" s="44" t="s">
        <v>81</v>
      </c>
      <c r="I63" s="2">
        <v>1250</v>
      </c>
      <c r="J63" s="20" t="s">
        <v>232</v>
      </c>
      <c r="K63" t="s">
        <v>233</v>
      </c>
      <c r="L63" s="44" t="str" cm="1">
        <f t="array" ref="L63">+_xlfn.IFS(COUNTIF(INGRESOS!E:E,Tabla6[[#This Row],[ID FACTURA]])=1,"PAGADA",Tabla6[[#This Row],[ID FACTURA]]&lt;&gt;0,"EMITIDA",Tabla6[[#This Row],[ID FACTURA]]=0,"POR EMITIR")</f>
        <v>PAGADA</v>
      </c>
      <c r="M63" s="55">
        <f>+IF(Tabla6[[#This Row],[ESTADO FACTURA]]="PAGADA",Tabla6[[#This Row],[FECHA]]-_xlfn.XLOOKUP(Tabla6[[#This Row],[N° FACTURA]],INGRESOS!F:F,INGRESOS!A:A),"-")</f>
        <v>3</v>
      </c>
      <c r="N63" s="2"/>
      <c r="O63"/>
    </row>
    <row r="64" spans="1:15" ht="14.75" customHeight="1">
      <c r="A64" s="320" t="s">
        <v>95</v>
      </c>
      <c r="B64" t="str">
        <f>+_xlfn.XLOOKUP(Tabla6[[#This Row],[ID CLIENTE]],'RESUMEN CLIENTES'!D:D,'RESUMEN CLIENTES'!A:A)</f>
        <v>Gabriel Alejandro Ortega Moreno</v>
      </c>
      <c r="C64" t="str">
        <f>+_xlfn.XLOOKUP(Tabla6[[#This Row],[ID CLIENTE]],'RESUMEN CLIENTES'!D:D,'RESUMEN CLIENTES'!C:C)</f>
        <v>Ecuador</v>
      </c>
      <c r="D64" s="44" t="str">
        <f>+_xlfn.XLOOKUP(Tabla6[[#This Row],[ID CLIENTE]],'RESUMEN CLIENTES'!D:D,'RESUMEN CLIENTES'!M:M)</f>
        <v>OK</v>
      </c>
      <c r="E64" s="72">
        <f>+_xlfn.XLOOKUP(Tabla6[[#This Row],[NOMBRE]],'RESUMEN CLIENTES'!A:A,'RESUMEN CLIENTES'!X:X)</f>
        <v>-0.1111111111111111</v>
      </c>
      <c r="F64" s="72">
        <f>+_xlfn.XLOOKUP(Tabla6[[#This Row],[ID CLIENTE]],'RESUMEN CLIENTES'!D:D,'RESUMEN CLIENTES'!W:W)</f>
        <v>0</v>
      </c>
      <c r="G64" s="17">
        <v>45792</v>
      </c>
      <c r="H64" s="44" t="s">
        <v>81</v>
      </c>
      <c r="I64" s="2">
        <v>1000</v>
      </c>
      <c r="J64" s="20" t="s">
        <v>234</v>
      </c>
      <c r="K64" t="s">
        <v>235</v>
      </c>
      <c r="L64" s="44" t="str" cm="1">
        <f t="array" ref="L64">+_xlfn.IFS(COUNTIF(INGRESOS!E:E,Tabla6[[#This Row],[ID FACTURA]])=1,"PAGADA",Tabla6[[#This Row],[ID FACTURA]]&lt;&gt;0,"EMITIDA",Tabla6[[#This Row],[ID FACTURA]]=0,"POR EMITIR")</f>
        <v>PAGADA</v>
      </c>
      <c r="M64" s="55">
        <f>+IF(Tabla6[[#This Row],[ESTADO FACTURA]]="PAGADA",Tabla6[[#This Row],[FECHA]]-_xlfn.XLOOKUP(Tabla6[[#This Row],[N° FACTURA]],INGRESOS!F:F,INGRESOS!A:A),"-")</f>
        <v>1</v>
      </c>
      <c r="N64" s="2"/>
      <c r="O64"/>
    </row>
    <row r="65" spans="1:15" ht="14.75" customHeight="1">
      <c r="A65" s="320" t="s">
        <v>98</v>
      </c>
      <c r="B65" t="str">
        <f>+_xlfn.XLOOKUP(Tabla6[[#This Row],[ID CLIENTE]],'RESUMEN CLIENTES'!D:D,'RESUMEN CLIENTES'!A:A)</f>
        <v>Gabriela Kimberlyn Moran Caiza</v>
      </c>
      <c r="C65" t="str">
        <f>+_xlfn.XLOOKUP(Tabla6[[#This Row],[ID CLIENTE]],'RESUMEN CLIENTES'!D:D,'RESUMEN CLIENTES'!C:C)</f>
        <v>Ecuador</v>
      </c>
      <c r="D65" s="44" t="str">
        <f>+_xlfn.XLOOKUP(Tabla6[[#This Row],[ID CLIENTE]],'RESUMEN CLIENTES'!D:D,'RESUMEN CLIENTES'!M:M)</f>
        <v>OK</v>
      </c>
      <c r="E65" s="72">
        <f>+_xlfn.XLOOKUP(Tabla6[[#This Row],[NOMBRE]],'RESUMEN CLIENTES'!A:A,'RESUMEN CLIENTES'!X:X)</f>
        <v>-1.25</v>
      </c>
      <c r="F65" s="72">
        <f>+_xlfn.XLOOKUP(Tabla6[[#This Row],[ID CLIENTE]],'RESUMEN CLIENTES'!D:D,'RESUMEN CLIENTES'!W:W)</f>
        <v>0</v>
      </c>
      <c r="G65" s="17">
        <v>45792</v>
      </c>
      <c r="H65" s="44" t="s">
        <v>81</v>
      </c>
      <c r="I65" s="2">
        <v>500</v>
      </c>
      <c r="J65" s="20" t="s">
        <v>236</v>
      </c>
      <c r="K65" t="s">
        <v>237</v>
      </c>
      <c r="L65" s="44" t="str" cm="1">
        <f t="array" ref="L65">+_xlfn.IFS(COUNTIF(INGRESOS!E:E,Tabla6[[#This Row],[ID FACTURA]])=1,"PAGADA",Tabla6[[#This Row],[ID FACTURA]]&lt;&gt;0,"EMITIDA",Tabla6[[#This Row],[ID FACTURA]]=0,"POR EMITIR")</f>
        <v>PAGADA</v>
      </c>
      <c r="M65" s="55">
        <f>+IF(Tabla6[[#This Row],[ESTADO FACTURA]]="PAGADA",Tabla6[[#This Row],[FECHA]]-_xlfn.XLOOKUP(Tabla6[[#This Row],[N° FACTURA]],INGRESOS!F:F,INGRESOS!A:A),"-")</f>
        <v>1</v>
      </c>
      <c r="N65" s="2"/>
      <c r="O65"/>
    </row>
    <row r="66" spans="1:15" ht="14.75" customHeight="1">
      <c r="A66" s="320" t="s">
        <v>103</v>
      </c>
      <c r="B66" t="str">
        <f>+_xlfn.XLOOKUP(Tabla6[[#This Row],[ID CLIENTE]],'RESUMEN CLIENTES'!D:D,'RESUMEN CLIENTES'!A:A)</f>
        <v>Isaac Ricardo Jimenez Campos</v>
      </c>
      <c r="C66" t="str">
        <f>+_xlfn.XLOOKUP(Tabla6[[#This Row],[ID CLIENTE]],'RESUMEN CLIENTES'!D:D,'RESUMEN CLIENTES'!C:C)</f>
        <v>México</v>
      </c>
      <c r="D66" s="44" t="str">
        <f>+_xlfn.XLOOKUP(Tabla6[[#This Row],[ID CLIENTE]],'RESUMEN CLIENTES'!D:D,'RESUMEN CLIENTES'!M:M)</f>
        <v>OK</v>
      </c>
      <c r="E66" s="72">
        <f>+_xlfn.XLOOKUP(Tabla6[[#This Row],[NOMBRE]],'RESUMEN CLIENTES'!A:A,'RESUMEN CLIENTES'!X:X)</f>
        <v>0.5</v>
      </c>
      <c r="F66" s="72">
        <f>+_xlfn.XLOOKUP(Tabla6[[#This Row],[ID CLIENTE]],'RESUMEN CLIENTES'!D:D,'RESUMEN CLIENTES'!W:W)</f>
        <v>1</v>
      </c>
      <c r="G66" s="17">
        <v>45792</v>
      </c>
      <c r="H66" s="44" t="s">
        <v>81</v>
      </c>
      <c r="I66" s="2">
        <v>654</v>
      </c>
      <c r="J66" s="20" t="s">
        <v>238</v>
      </c>
      <c r="K66" t="s">
        <v>239</v>
      </c>
      <c r="L66" s="44" t="str" cm="1">
        <f t="array" ref="L66">+_xlfn.IFS(COUNTIF(INGRESOS!E:E,Tabla6[[#This Row],[ID FACTURA]])=1,"PAGADA",Tabla6[[#This Row],[ID FACTURA]]&lt;&gt;0,"EMITIDA",Tabla6[[#This Row],[ID FACTURA]]=0,"POR EMITIR")</f>
        <v>PAGADA</v>
      </c>
      <c r="M66" s="55">
        <f>+IF(Tabla6[[#This Row],[ESTADO FACTURA]]="PAGADA",Tabla6[[#This Row],[FECHA]]-_xlfn.XLOOKUP(Tabla6[[#This Row],[N° FACTURA]],INGRESOS!F:F,INGRESOS!A:A),"-")</f>
        <v>1</v>
      </c>
      <c r="N66" s="2"/>
      <c r="O66"/>
    </row>
    <row r="67" spans="1:15" ht="14.75" customHeight="1">
      <c r="A67" s="320" t="s">
        <v>181</v>
      </c>
      <c r="B67" t="str">
        <f>+_xlfn.XLOOKUP(Tabla6[[#This Row],[ID CLIENTE]],'RESUMEN CLIENTES'!D:D,'RESUMEN CLIENTES'!A:A)</f>
        <v>Juan Carlos Ramirez Chavez</v>
      </c>
      <c r="C67" t="str">
        <f>+_xlfn.XLOOKUP(Tabla6[[#This Row],[ID CLIENTE]],'RESUMEN CLIENTES'!D:D,'RESUMEN CLIENTES'!C:C)</f>
        <v>Perú</v>
      </c>
      <c r="D67" s="44" t="str">
        <f>+_xlfn.XLOOKUP(Tabla6[[#This Row],[ID CLIENTE]],'RESUMEN CLIENTES'!D:D,'RESUMEN CLIENTES'!M:M)</f>
        <v>OK</v>
      </c>
      <c r="E67" s="72">
        <f>+_xlfn.XLOOKUP(Tabla6[[#This Row],[NOMBRE]],'RESUMEN CLIENTES'!A:A,'RESUMEN CLIENTES'!X:X)</f>
        <v>0</v>
      </c>
      <c r="F67" s="72">
        <f>+_xlfn.XLOOKUP(Tabla6[[#This Row],[ID CLIENTE]],'RESUMEN CLIENTES'!D:D,'RESUMEN CLIENTES'!W:W)</f>
        <v>0</v>
      </c>
      <c r="G67" s="17">
        <v>45792</v>
      </c>
      <c r="H67" s="44" t="s">
        <v>81</v>
      </c>
      <c r="I67" s="2">
        <v>2000</v>
      </c>
      <c r="J67" s="20" t="s">
        <v>2556</v>
      </c>
      <c r="K67" t="s">
        <v>2557</v>
      </c>
      <c r="L67" s="44" t="str" cm="1">
        <f t="array" ref="L67">+_xlfn.IFS(COUNTIF(INGRESOS!E:E,Tabla6[[#This Row],[ID FACTURA]])=1,"PAGADA",Tabla6[[#This Row],[ID FACTURA]]&lt;&gt;0,"EMITIDA",Tabla6[[#This Row],[ID FACTURA]]=0,"POR EMITIR")</f>
        <v>PAGADA</v>
      </c>
      <c r="M67" s="55">
        <f>+IF(Tabla6[[#This Row],[ESTADO FACTURA]]="PAGADA",Tabla6[[#This Row],[FECHA]]-_xlfn.XLOOKUP(Tabla6[[#This Row],[N° FACTURA]],INGRESOS!F:F,INGRESOS!A:A),"-")</f>
        <v>0</v>
      </c>
      <c r="N67" s="2"/>
      <c r="O67"/>
    </row>
    <row r="68" spans="1:15" ht="14.75" customHeight="1">
      <c r="A68" s="320" t="s">
        <v>136</v>
      </c>
      <c r="B68" t="str">
        <f>+_xlfn.XLOOKUP(Tabla6[[#This Row],[ID CLIENTE]],'RESUMEN CLIENTES'!D:D,'RESUMEN CLIENTES'!A:A)</f>
        <v>Juan Pablo Martínez Cabello</v>
      </c>
      <c r="C68" t="str">
        <f>+_xlfn.XLOOKUP(Tabla6[[#This Row],[ID CLIENTE]],'RESUMEN CLIENTES'!D:D,'RESUMEN CLIENTES'!C:C)</f>
        <v>Chile</v>
      </c>
      <c r="D68" s="44" t="str">
        <f>+_xlfn.XLOOKUP(Tabla6[[#This Row],[ID CLIENTE]],'RESUMEN CLIENTES'!D:D,'RESUMEN CLIENTES'!M:M)</f>
        <v>OK</v>
      </c>
      <c r="E68" s="72">
        <f>+_xlfn.XLOOKUP(Tabla6[[#This Row],[NOMBRE]],'RESUMEN CLIENTES'!A:A,'RESUMEN CLIENTES'!X:X)</f>
        <v>1.5714285714285714</v>
      </c>
      <c r="F68" s="72">
        <f>+_xlfn.XLOOKUP(Tabla6[[#This Row],[ID CLIENTE]],'RESUMEN CLIENTES'!D:D,'RESUMEN CLIENTES'!W:W)</f>
        <v>1</v>
      </c>
      <c r="G68" s="17">
        <v>45792</v>
      </c>
      <c r="H68" s="44" t="s">
        <v>81</v>
      </c>
      <c r="I68" s="2">
        <v>1000</v>
      </c>
      <c r="J68" s="20" t="s">
        <v>240</v>
      </c>
      <c r="K68" t="s">
        <v>241</v>
      </c>
      <c r="L68" s="44" t="str" cm="1">
        <f t="array" ref="L68">+_xlfn.IFS(COUNTIF(INGRESOS!E:E,Tabla6[[#This Row],[ID FACTURA]])=1,"PAGADA",Tabla6[[#This Row],[ID FACTURA]]&lt;&gt;0,"EMITIDA",Tabla6[[#This Row],[ID FACTURA]]=0,"POR EMITIR")</f>
        <v>PAGADA</v>
      </c>
      <c r="M68" s="55">
        <f>+IF(Tabla6[[#This Row],[ESTADO FACTURA]]="PAGADA",Tabla6[[#This Row],[FECHA]]-_xlfn.XLOOKUP(Tabla6[[#This Row],[N° FACTURA]],INGRESOS!F:F,INGRESOS!A:A),"-")</f>
        <v>1</v>
      </c>
      <c r="N68" s="2"/>
      <c r="O68"/>
    </row>
    <row r="69" spans="1:15" ht="14.75" customHeight="1">
      <c r="A69" s="320" t="s">
        <v>242</v>
      </c>
      <c r="B69" t="str">
        <f>+_xlfn.XLOOKUP(Tabla6[[#This Row],[ID CLIENTE]],'RESUMEN CLIENTES'!D:D,'RESUMEN CLIENTES'!A:A)</f>
        <v>Rodrigo Ignacio Rodriguez Frutos</v>
      </c>
      <c r="C69" t="str">
        <f>+_xlfn.XLOOKUP(Tabla6[[#This Row],[ID CLIENTE]],'RESUMEN CLIENTES'!D:D,'RESUMEN CLIENTES'!C:C)</f>
        <v>México</v>
      </c>
      <c r="D69" s="44" t="str">
        <f>+_xlfn.XLOOKUP(Tabla6[[#This Row],[ID CLIENTE]],'RESUMEN CLIENTES'!D:D,'RESUMEN CLIENTES'!M:M)</f>
        <v>OK</v>
      </c>
      <c r="E69" s="72">
        <f>+_xlfn.XLOOKUP(Tabla6[[#This Row],[NOMBRE]],'RESUMEN CLIENTES'!A:A,'RESUMEN CLIENTES'!X:X)</f>
        <v>-1.4285714285714286</v>
      </c>
      <c r="F69" s="72">
        <f>+_xlfn.XLOOKUP(Tabla6[[#This Row],[ID CLIENTE]],'RESUMEN CLIENTES'!D:D,'RESUMEN CLIENTES'!W:W)</f>
        <v>1</v>
      </c>
      <c r="G69" s="17">
        <v>45792</v>
      </c>
      <c r="H69" s="44" t="s">
        <v>81</v>
      </c>
      <c r="I69" s="2">
        <v>4000</v>
      </c>
      <c r="J69" s="20" t="s">
        <v>243</v>
      </c>
      <c r="K69" t="s">
        <v>244</v>
      </c>
      <c r="L69" s="44" t="str" cm="1">
        <f t="array" ref="L69">+_xlfn.IFS(COUNTIF(INGRESOS!E:E,Tabla6[[#This Row],[ID FACTURA]])=1,"PAGADA",Tabla6[[#This Row],[ID FACTURA]]&lt;&gt;0,"EMITIDA",Tabla6[[#This Row],[ID FACTURA]]=0,"POR EMITIR")</f>
        <v>PAGADA</v>
      </c>
      <c r="M69" s="55">
        <f>+IF(Tabla6[[#This Row],[ESTADO FACTURA]]="PAGADA",Tabla6[[#This Row],[FECHA]]-_xlfn.XLOOKUP(Tabla6[[#This Row],[N° FACTURA]],INGRESOS!F:F,INGRESOS!A:A),"-")</f>
        <v>-6</v>
      </c>
      <c r="N69" s="2"/>
      <c r="O69"/>
    </row>
    <row r="70" spans="1:15" ht="14.75" customHeight="1">
      <c r="A70" s="320" t="s">
        <v>90</v>
      </c>
      <c r="B70" t="str">
        <f>+_xlfn.XLOOKUP(Tabla6[[#This Row],[ID CLIENTE]],'RESUMEN CLIENTES'!D:D,'RESUMEN CLIENTES'!A:A)</f>
        <v>David Enrique Díaz Mejía</v>
      </c>
      <c r="C70" t="str">
        <f>+_xlfn.XLOOKUP(Tabla6[[#This Row],[ID CLIENTE]],'RESUMEN CLIENTES'!D:D,'RESUMEN CLIENTES'!C:C)</f>
        <v>Honduras</v>
      </c>
      <c r="D70" s="44" t="str">
        <f>+_xlfn.XLOOKUP(Tabla6[[#This Row],[ID CLIENTE]],'RESUMEN CLIENTES'!D:D,'RESUMEN CLIENTES'!M:M)</f>
        <v>OK</v>
      </c>
      <c r="E70" s="72">
        <f>+_xlfn.XLOOKUP(Tabla6[[#This Row],[NOMBRE]],'RESUMEN CLIENTES'!A:A,'RESUMEN CLIENTES'!X:X)</f>
        <v>-15.217592592592862</v>
      </c>
      <c r="F70" s="72">
        <f>+_xlfn.XLOOKUP(Tabla6[[#This Row],[ID CLIENTE]],'RESUMEN CLIENTES'!D:D,'RESUMEN CLIENTES'!W:W)</f>
        <v>1</v>
      </c>
      <c r="G70" s="17">
        <v>45793</v>
      </c>
      <c r="H70" s="44" t="s">
        <v>81</v>
      </c>
      <c r="I70" s="2">
        <v>1500</v>
      </c>
      <c r="J70" s="20" t="s">
        <v>245</v>
      </c>
      <c r="K70" t="s">
        <v>246</v>
      </c>
      <c r="L70" s="44" t="str" cm="1">
        <f t="array" ref="L70">+_xlfn.IFS(COUNTIF(INGRESOS!E:E,Tabla6[[#This Row],[ID FACTURA]])=1,"PAGADA",Tabla6[[#This Row],[ID FACTURA]]&lt;&gt;0,"EMITIDA",Tabla6[[#This Row],[ID FACTURA]]=0,"POR EMITIR")</f>
        <v>PAGADA</v>
      </c>
      <c r="M70" s="55">
        <f>+IF(Tabla6[[#This Row],[ESTADO FACTURA]]="PAGADA",Tabla6[[#This Row],[FECHA]]-_xlfn.XLOOKUP(Tabla6[[#This Row],[N° FACTURA]],INGRESOS!F:F,INGRESOS!A:A),"-")</f>
        <v>0</v>
      </c>
      <c r="N70" s="2"/>
      <c r="O70"/>
    </row>
    <row r="71" spans="1:15" ht="14.75" customHeight="1">
      <c r="A71" s="320" t="s">
        <v>247</v>
      </c>
      <c r="B71" t="str">
        <f>+_xlfn.XLOOKUP(Tabla6[[#This Row],[ID CLIENTE]],'RESUMEN CLIENTES'!D:D,'RESUMEN CLIENTES'!A:A)</f>
        <v>Nancy Gisselle Molinari Cheme</v>
      </c>
      <c r="C71" t="str">
        <f>+_xlfn.XLOOKUP(Tabla6[[#This Row],[ID CLIENTE]],'RESUMEN CLIENTES'!D:D,'RESUMEN CLIENTES'!C:C)</f>
        <v>Perú</v>
      </c>
      <c r="D71" s="44" t="str">
        <f>+_xlfn.XLOOKUP(Tabla6[[#This Row],[ID CLIENTE]],'RESUMEN CLIENTES'!D:D,'RESUMEN CLIENTES'!M:M)</f>
        <v>OK</v>
      </c>
      <c r="E71" s="72">
        <f>+_xlfn.XLOOKUP(Tabla6[[#This Row],[NOMBRE]],'RESUMEN CLIENTES'!A:A,'RESUMEN CLIENTES'!X:X)</f>
        <v>0.9</v>
      </c>
      <c r="F71" s="72">
        <f>+_xlfn.XLOOKUP(Tabla6[[#This Row],[ID CLIENTE]],'RESUMEN CLIENTES'!D:D,'RESUMEN CLIENTES'!W:W)</f>
        <v>1</v>
      </c>
      <c r="G71" s="17">
        <v>45795</v>
      </c>
      <c r="H71" s="44" t="s">
        <v>81</v>
      </c>
      <c r="I71" s="2">
        <v>1000</v>
      </c>
      <c r="J71" s="20" t="s">
        <v>248</v>
      </c>
      <c r="K71" t="s">
        <v>249</v>
      </c>
      <c r="L71" s="44" t="str" cm="1">
        <f t="array" ref="L71">+_xlfn.IFS(COUNTIF(INGRESOS!E:E,Tabla6[[#This Row],[ID FACTURA]])=1,"PAGADA",Tabla6[[#This Row],[ID FACTURA]]&lt;&gt;0,"EMITIDA",Tabla6[[#This Row],[ID FACTURA]]=0,"POR EMITIR")</f>
        <v>PAGADA</v>
      </c>
      <c r="M71" s="55">
        <f>+IF(Tabla6[[#This Row],[ESTADO FACTURA]]="PAGADA",Tabla6[[#This Row],[FECHA]]-_xlfn.XLOOKUP(Tabla6[[#This Row],[N° FACTURA]],INGRESOS!F:F,INGRESOS!A:A),"-")</f>
        <v>1</v>
      </c>
      <c r="N71" s="2"/>
      <c r="O71"/>
    </row>
    <row r="72" spans="1:15" ht="14.75" customHeight="1">
      <c r="A72" s="320" t="s">
        <v>181</v>
      </c>
      <c r="B72" t="str">
        <f>+_xlfn.XLOOKUP(Tabla6[[#This Row],[ID CLIENTE]],'RESUMEN CLIENTES'!D:D,'RESUMEN CLIENTES'!A:A)</f>
        <v>Juan Carlos Ramirez Chavez</v>
      </c>
      <c r="C72" s="15" t="str">
        <f>+_xlfn.XLOOKUP(Tabla6[[#This Row],[ID CLIENTE]],'RESUMEN CLIENTES'!D:D,'RESUMEN CLIENTES'!C:C)</f>
        <v>Perú</v>
      </c>
      <c r="D72" s="169" t="str">
        <f>+_xlfn.XLOOKUP(Tabla6[[#This Row],[ID CLIENTE]],'RESUMEN CLIENTES'!D:D,'RESUMEN CLIENTES'!M:M)</f>
        <v>OK</v>
      </c>
      <c r="E72" s="71">
        <f>+_xlfn.XLOOKUP(Tabla6[[#This Row],[NOMBRE]],'RESUMEN CLIENTES'!A:A,'RESUMEN CLIENTES'!X:X)</f>
        <v>0</v>
      </c>
      <c r="F72" s="71">
        <f>+_xlfn.XLOOKUP(Tabla6[[#This Row],[ID CLIENTE]],'RESUMEN CLIENTES'!D:D,'RESUMEN CLIENTES'!W:W)</f>
        <v>0</v>
      </c>
      <c r="G72" s="17">
        <v>45796</v>
      </c>
      <c r="H72" s="169" t="s">
        <v>81</v>
      </c>
      <c r="I72" s="2">
        <v>2000</v>
      </c>
      <c r="J72" s="20" t="s">
        <v>2560</v>
      </c>
      <c r="K72" t="s">
        <v>2561</v>
      </c>
      <c r="L72" s="44" t="str" cm="1">
        <f t="array" ref="L72">+_xlfn.IFS(COUNTIF(INGRESOS!E:E,Tabla6[[#This Row],[ID FACTURA]])=1,"PAGADA",Tabla6[[#This Row],[ID FACTURA]]&lt;&gt;0,"EMITIDA",Tabla6[[#This Row],[ID FACTURA]]=0,"POR EMITIR")</f>
        <v>PAGADA</v>
      </c>
      <c r="M72" s="54">
        <f>+IF(Tabla6[[#This Row],[ESTADO FACTURA]]="PAGADA",Tabla6[[#This Row],[FECHA]]-_xlfn.XLOOKUP(Tabla6[[#This Row],[N° FACTURA]],INGRESOS!F:F,INGRESOS!A:A),"-")</f>
        <v>0</v>
      </c>
      <c r="O72"/>
    </row>
    <row r="73" spans="1:15" ht="14.75" customHeight="1">
      <c r="A73" s="320" t="s">
        <v>250</v>
      </c>
      <c r="B73" t="str">
        <f>+_xlfn.XLOOKUP(Tabla6[[#This Row],[ID CLIENTE]],'RESUMEN CLIENTES'!D:D,'RESUMEN CLIENTES'!A:A)</f>
        <v>Fernanda Castro</v>
      </c>
      <c r="C73" t="str">
        <f>+_xlfn.XLOOKUP(Tabla6[[#This Row],[ID CLIENTE]],'RESUMEN CLIENTES'!D:D,'RESUMEN CLIENTES'!C:C)</f>
        <v>Ecuador</v>
      </c>
      <c r="D73" s="44" t="str">
        <f>+_xlfn.XLOOKUP(Tabla6[[#This Row],[ID CLIENTE]],'RESUMEN CLIENTES'!D:D,'RESUMEN CLIENTES'!M:M)</f>
        <v>OK</v>
      </c>
      <c r="E73" s="72">
        <f>+_xlfn.XLOOKUP(Tabla6[[#This Row],[NOMBRE]],'RESUMEN CLIENTES'!A:A,'RESUMEN CLIENTES'!X:X)</f>
        <v>0</v>
      </c>
      <c r="F73" s="72">
        <f>+_xlfn.XLOOKUP(Tabla6[[#This Row],[ID CLIENTE]],'RESUMEN CLIENTES'!D:D,'RESUMEN CLIENTES'!W:W)</f>
        <v>1</v>
      </c>
      <c r="G73" s="17">
        <v>45800</v>
      </c>
      <c r="H73" s="44" t="s">
        <v>81</v>
      </c>
      <c r="I73" s="2">
        <v>2000</v>
      </c>
      <c r="J73" s="20" t="s">
        <v>251</v>
      </c>
      <c r="K73" t="s">
        <v>252</v>
      </c>
      <c r="L73" s="44" t="str" cm="1">
        <f t="array" ref="L73">+_xlfn.IFS(COUNTIF(INGRESOS!E:E,Tabla6[[#This Row],[ID FACTURA]])=1,"PAGADA",Tabla6[[#This Row],[ID FACTURA]]&lt;&gt;0,"EMITIDA",Tabla6[[#This Row],[ID FACTURA]]=0,"POR EMITIR")</f>
        <v>PAGADA</v>
      </c>
      <c r="M73" s="55">
        <f>+IF(Tabla6[[#This Row],[ESTADO FACTURA]]="PAGADA",Tabla6[[#This Row],[FECHA]]-_xlfn.XLOOKUP(Tabla6[[#This Row],[N° FACTURA]],INGRESOS!F:F,INGRESOS!A:A),"-")</f>
        <v>-3</v>
      </c>
      <c r="N73" s="2"/>
      <c r="O73"/>
    </row>
    <row r="74" spans="1:15" ht="14.75" customHeight="1">
      <c r="A74" s="320" t="s">
        <v>253</v>
      </c>
      <c r="B74" t="str">
        <f>+_xlfn.XLOOKUP(Tabla6[[#This Row],[ID CLIENTE]],'RESUMEN CLIENTES'!D:D,'RESUMEN CLIENTES'!A:A)</f>
        <v>Diego Alonso Salazar Palacios</v>
      </c>
      <c r="C74" t="str">
        <f>+_xlfn.XLOOKUP(Tabla6[[#This Row],[ID CLIENTE]],'RESUMEN CLIENTES'!D:D,'RESUMEN CLIENTES'!C:C)</f>
        <v>Perú</v>
      </c>
      <c r="D74" s="44" t="str">
        <f>+_xlfn.XLOOKUP(Tabla6[[#This Row],[ID CLIENTE]],'RESUMEN CLIENTES'!D:D,'RESUMEN CLIENTES'!M:M)</f>
        <v>OK</v>
      </c>
      <c r="E74" s="72">
        <f>+_xlfn.XLOOKUP(Tabla6[[#This Row],[NOMBRE]],'RESUMEN CLIENTES'!A:A,'RESUMEN CLIENTES'!X:X)</f>
        <v>0.18560606059988707</v>
      </c>
      <c r="F74" s="72">
        <f>+_xlfn.XLOOKUP(Tabla6[[#This Row],[ID CLIENTE]],'RESUMEN CLIENTES'!D:D,'RESUMEN CLIENTES'!W:W)</f>
        <v>1</v>
      </c>
      <c r="G74" s="17">
        <v>45803</v>
      </c>
      <c r="H74" s="44" t="s">
        <v>81</v>
      </c>
      <c r="I74" s="2">
        <v>250</v>
      </c>
      <c r="J74" s="20" t="s">
        <v>254</v>
      </c>
      <c r="K74" t="s">
        <v>255</v>
      </c>
      <c r="L74" s="44" t="str" cm="1">
        <f t="array" ref="L74">+_xlfn.IFS(COUNTIF(INGRESOS!E:E,Tabla6[[#This Row],[ID FACTURA]])=1,"PAGADA",Tabla6[[#This Row],[ID FACTURA]]&lt;&gt;0,"EMITIDA",Tabla6[[#This Row],[ID FACTURA]]=0,"POR EMITIR")</f>
        <v>PAGADA</v>
      </c>
      <c r="M74" s="55">
        <f>+IF(Tabla6[[#This Row],[ESTADO FACTURA]]="PAGADA",Tabla6[[#This Row],[FECHA]]-_xlfn.XLOOKUP(Tabla6[[#This Row],[N° FACTURA]],INGRESOS!F:F,INGRESOS!A:A),"-")</f>
        <v>0</v>
      </c>
      <c r="N74" s="2"/>
      <c r="O74"/>
    </row>
    <row r="75" spans="1:15" ht="14.75" customHeight="1">
      <c r="A75" s="320" t="s">
        <v>171</v>
      </c>
      <c r="B75" t="str">
        <f>+_xlfn.XLOOKUP(Tabla6[[#This Row],[ID CLIENTE]],'RESUMEN CLIENTES'!D:D,'RESUMEN CLIENTES'!A:A)</f>
        <v>Guillermo Alfonso Garvalena Gaxiola</v>
      </c>
      <c r="C75" t="str">
        <f>+_xlfn.XLOOKUP(Tabla6[[#This Row],[ID CLIENTE]],'RESUMEN CLIENTES'!D:D,'RESUMEN CLIENTES'!C:C)</f>
        <v>México</v>
      </c>
      <c r="D75" s="44" t="str">
        <f>+_xlfn.XLOOKUP(Tabla6[[#This Row],[ID CLIENTE]],'RESUMEN CLIENTES'!D:D,'RESUMEN CLIENTES'!M:M)</f>
        <v>OK</v>
      </c>
      <c r="E75" s="72">
        <f>+_xlfn.XLOOKUP(Tabla6[[#This Row],[NOMBRE]],'RESUMEN CLIENTES'!A:A,'RESUMEN CLIENTES'!X:X)</f>
        <v>1.173913043478261</v>
      </c>
      <c r="F75" s="72">
        <f>+_xlfn.XLOOKUP(Tabla6[[#This Row],[ID CLIENTE]],'RESUMEN CLIENTES'!D:D,'RESUMEN CLIENTES'!W:W)</f>
        <v>1</v>
      </c>
      <c r="G75" s="17">
        <v>45805</v>
      </c>
      <c r="H75" s="44" t="s">
        <v>81</v>
      </c>
      <c r="I75" s="2">
        <v>1000</v>
      </c>
      <c r="J75" s="20" t="s">
        <v>256</v>
      </c>
      <c r="K75" t="s">
        <v>257</v>
      </c>
      <c r="L75" s="44" t="str" cm="1">
        <f t="array" ref="L75">+_xlfn.IFS(COUNTIF(INGRESOS!E:E,Tabla6[[#This Row],[ID FACTURA]])=1,"PAGADA",Tabla6[[#This Row],[ID FACTURA]]&lt;&gt;0,"EMITIDA",Tabla6[[#This Row],[ID FACTURA]]=0,"POR EMITIR")</f>
        <v>PAGADA</v>
      </c>
      <c r="M75" s="55">
        <f>+IF(Tabla6[[#This Row],[ESTADO FACTURA]]="PAGADA",Tabla6[[#This Row],[FECHA]]-_xlfn.XLOOKUP(Tabla6[[#This Row],[N° FACTURA]],INGRESOS!F:F,INGRESOS!A:A),"-")</f>
        <v>0</v>
      </c>
      <c r="N75" s="2"/>
      <c r="O75"/>
    </row>
    <row r="76" spans="1:15" ht="14.75" customHeight="1">
      <c r="A76" s="320" t="s">
        <v>181</v>
      </c>
      <c r="B76" t="str">
        <f>+_xlfn.XLOOKUP(Tabla6[[#This Row],[ID CLIENTE]],'RESUMEN CLIENTES'!D:D,'RESUMEN CLIENTES'!A:A)</f>
        <v>Juan Carlos Ramirez Chavez</v>
      </c>
      <c r="C76" s="15" t="str">
        <f>+_xlfn.XLOOKUP(Tabla6[[#This Row],[ID CLIENTE]],'RESUMEN CLIENTES'!D:D,'RESUMEN CLIENTES'!C:C)</f>
        <v>Perú</v>
      </c>
      <c r="D76" s="169" t="str">
        <f>+_xlfn.XLOOKUP(Tabla6[[#This Row],[ID CLIENTE]],'RESUMEN CLIENTES'!D:D,'RESUMEN CLIENTES'!M:M)</f>
        <v>OK</v>
      </c>
      <c r="E76" s="71">
        <f>+_xlfn.XLOOKUP(Tabla6[[#This Row],[NOMBRE]],'RESUMEN CLIENTES'!A:A,'RESUMEN CLIENTES'!X:X)</f>
        <v>0</v>
      </c>
      <c r="F76" s="71">
        <f>+_xlfn.XLOOKUP(Tabla6[[#This Row],[ID CLIENTE]],'RESUMEN CLIENTES'!D:D,'RESUMEN CLIENTES'!W:W)</f>
        <v>0</v>
      </c>
      <c r="G76" s="17">
        <v>45805</v>
      </c>
      <c r="H76" s="169" t="s">
        <v>81</v>
      </c>
      <c r="I76" s="2">
        <v>2000</v>
      </c>
      <c r="J76" s="20" t="s">
        <v>269</v>
      </c>
      <c r="K76" t="s">
        <v>270</v>
      </c>
      <c r="L76" s="44" t="str" cm="1">
        <f t="array" ref="L76">+_xlfn.IFS(COUNTIF(INGRESOS!E:E,Tabla6[[#This Row],[ID FACTURA]])=1,"PAGADA",Tabla6[[#This Row],[ID FACTURA]]&lt;&gt;0,"EMITIDA",Tabla6[[#This Row],[ID FACTURA]]=0,"POR EMITIR")</f>
        <v>PAGADA</v>
      </c>
      <c r="M76" s="54">
        <f>+IF(Tabla6[[#This Row],[ESTADO FACTURA]]="PAGADA",Tabla6[[#This Row],[FECHA]]-_xlfn.XLOOKUP(Tabla6[[#This Row],[N° FACTURA]],INGRESOS!F:F,INGRESOS!A:A),"-")</f>
        <v>0</v>
      </c>
      <c r="O76"/>
    </row>
    <row r="77" spans="1:15" ht="14.75" customHeight="1">
      <c r="A77" s="320" t="s">
        <v>258</v>
      </c>
      <c r="B77" t="str">
        <f>+_xlfn.XLOOKUP(Tabla6[[#This Row],[ID CLIENTE]],'RESUMEN CLIENTES'!D:D,'RESUMEN CLIENTES'!A:A)</f>
        <v>Maria Laura Rios Pino</v>
      </c>
      <c r="C77" t="str">
        <f>+_xlfn.XLOOKUP(Tabla6[[#This Row],[ID CLIENTE]],'RESUMEN CLIENTES'!D:D,'RESUMEN CLIENTES'!C:C)</f>
        <v>Perú</v>
      </c>
      <c r="D77" s="44" t="str">
        <f>+_xlfn.XLOOKUP(Tabla6[[#This Row],[ID CLIENTE]],'RESUMEN CLIENTES'!D:D,'RESUMEN CLIENTES'!M:M)</f>
        <v>OK</v>
      </c>
      <c r="E77" s="72">
        <f>+_xlfn.XLOOKUP(Tabla6[[#This Row],[NOMBRE]],'RESUMEN CLIENTES'!A:A,'RESUMEN CLIENTES'!X:X)</f>
        <v>1.4545454545454546</v>
      </c>
      <c r="F77" s="72">
        <f>+_xlfn.XLOOKUP(Tabla6[[#This Row],[ID CLIENTE]],'RESUMEN CLIENTES'!D:D,'RESUMEN CLIENTES'!W:W)</f>
        <v>0</v>
      </c>
      <c r="G77" s="17">
        <v>45805</v>
      </c>
      <c r="H77" s="44" t="s">
        <v>81</v>
      </c>
      <c r="I77" s="19">
        <v>284</v>
      </c>
      <c r="J77" s="20" t="s">
        <v>259</v>
      </c>
      <c r="K77" t="s">
        <v>260</v>
      </c>
      <c r="L77" s="44" t="str" cm="1">
        <f t="array" ref="L77">+_xlfn.IFS(COUNTIF(INGRESOS!E:E,Tabla6[[#This Row],[ID FACTURA]])=1,"PAGADA",Tabla6[[#This Row],[ID FACTURA]]&lt;&gt;0,"EMITIDA",Tabla6[[#This Row],[ID FACTURA]]=0,"POR EMITIR")</f>
        <v>PAGADA</v>
      </c>
      <c r="M77" s="55">
        <f>+IF(Tabla6[[#This Row],[ESTADO FACTURA]]="PAGADA",Tabla6[[#This Row],[FECHA]]-_xlfn.XLOOKUP(Tabla6[[#This Row],[N° FACTURA]],INGRESOS!F:F,INGRESOS!A:A),"-")</f>
        <v>0</v>
      </c>
      <c r="N77" s="19"/>
      <c r="O77"/>
    </row>
    <row r="78" spans="1:15" ht="14.75" customHeight="1">
      <c r="A78" s="320" t="s">
        <v>261</v>
      </c>
      <c r="B78" t="str">
        <f>+_xlfn.XLOOKUP(Tabla6[[#This Row],[ID CLIENTE]],'RESUMEN CLIENTES'!D:D,'RESUMEN CLIENTES'!A:A)</f>
        <v>Maryori Elizabeth Ramos Tapia</v>
      </c>
      <c r="C78" t="str">
        <f>+_xlfn.XLOOKUP(Tabla6[[#This Row],[ID CLIENTE]],'RESUMEN CLIENTES'!D:D,'RESUMEN CLIENTES'!C:C)</f>
        <v>Perú</v>
      </c>
      <c r="D78" s="44" t="str">
        <f>+_xlfn.XLOOKUP(Tabla6[[#This Row],[ID CLIENTE]],'RESUMEN CLIENTES'!D:D,'RESUMEN CLIENTES'!M:M)</f>
        <v>OK</v>
      </c>
      <c r="E78" s="72">
        <f>+_xlfn.XLOOKUP(Tabla6[[#This Row],[NOMBRE]],'RESUMEN CLIENTES'!A:A,'RESUMEN CLIENTES'!X:X)</f>
        <v>-0.88425925925952875</v>
      </c>
      <c r="F78" s="72">
        <f>+_xlfn.XLOOKUP(Tabla6[[#This Row],[ID CLIENTE]],'RESUMEN CLIENTES'!D:D,'RESUMEN CLIENTES'!W:W)</f>
        <v>1</v>
      </c>
      <c r="G78" s="17">
        <v>45806</v>
      </c>
      <c r="H78" s="44" t="s">
        <v>81</v>
      </c>
      <c r="I78" s="2">
        <v>250</v>
      </c>
      <c r="J78" s="20" t="s">
        <v>262</v>
      </c>
      <c r="K78" t="s">
        <v>263</v>
      </c>
      <c r="L78" s="44" t="str" cm="1">
        <f t="array" ref="L78">+_xlfn.IFS(COUNTIF(INGRESOS!E:E,Tabla6[[#This Row],[ID FACTURA]])=1,"PAGADA",Tabla6[[#This Row],[ID FACTURA]]&lt;&gt;0,"EMITIDA",Tabla6[[#This Row],[ID FACTURA]]=0,"POR EMITIR")</f>
        <v>PAGADA</v>
      </c>
      <c r="M78" s="55">
        <f>+IF(Tabla6[[#This Row],[ESTADO FACTURA]]="PAGADA",Tabla6[[#This Row],[FECHA]]-_xlfn.XLOOKUP(Tabla6[[#This Row],[N° FACTURA]],INGRESOS!F:F,INGRESOS!A:A),"-")</f>
        <v>-1</v>
      </c>
      <c r="N78" s="2"/>
      <c r="O78"/>
    </row>
    <row r="79" spans="1:15" ht="14.75" customHeight="1">
      <c r="A79" s="320" t="s">
        <v>139</v>
      </c>
      <c r="B79" t="str">
        <f>+_xlfn.XLOOKUP(Tabla6[[#This Row],[ID CLIENTE]],'RESUMEN CLIENTES'!D:D,'RESUMEN CLIENTES'!A:A)</f>
        <v>Hugo Nicolás Trávez Morales</v>
      </c>
      <c r="C79" t="str">
        <f>+_xlfn.XLOOKUP(Tabla6[[#This Row],[ID CLIENTE]],'RESUMEN CLIENTES'!D:D,'RESUMEN CLIENTES'!C:C)</f>
        <v>Ecuador</v>
      </c>
      <c r="D79" s="44" t="str">
        <f>+_xlfn.XLOOKUP(Tabla6[[#This Row],[ID CLIENTE]],'RESUMEN CLIENTES'!D:D,'RESUMEN CLIENTES'!M:M)</f>
        <v>OK</v>
      </c>
      <c r="E79" s="72">
        <f>+_xlfn.XLOOKUP(Tabla6[[#This Row],[NOMBRE]],'RESUMEN CLIENTES'!A:A,'RESUMEN CLIENTES'!X:X)</f>
        <v>0</v>
      </c>
      <c r="F79" s="72">
        <f>+_xlfn.XLOOKUP(Tabla6[[#This Row],[ID CLIENTE]],'RESUMEN CLIENTES'!D:D,'RESUMEN CLIENTES'!W:W)</f>
        <v>0</v>
      </c>
      <c r="G79" s="17">
        <v>45807</v>
      </c>
      <c r="H79" s="44" t="s">
        <v>81</v>
      </c>
      <c r="I79" s="2">
        <v>750</v>
      </c>
      <c r="J79" s="20" t="s">
        <v>264</v>
      </c>
      <c r="K79" t="s">
        <v>265</v>
      </c>
      <c r="L79" s="44" t="str" cm="1">
        <f t="array" ref="L79">+_xlfn.IFS(COUNTIF(INGRESOS!E:E,Tabla6[[#This Row],[ID FACTURA]])=1,"PAGADA",Tabla6[[#This Row],[ID FACTURA]]&lt;&gt;0,"EMITIDA",Tabla6[[#This Row],[ID FACTURA]]=0,"POR EMITIR")</f>
        <v>PAGADA</v>
      </c>
      <c r="M79" s="55">
        <f>+IF(Tabla6[[#This Row],[ESTADO FACTURA]]="PAGADA",Tabla6[[#This Row],[FECHA]]-_xlfn.XLOOKUP(Tabla6[[#This Row],[N° FACTURA]],INGRESOS!F:F,INGRESOS!A:A),"-")</f>
        <v>0</v>
      </c>
      <c r="N79" s="2"/>
      <c r="O79"/>
    </row>
    <row r="80" spans="1:15" ht="14.75" customHeight="1">
      <c r="A80" s="320" t="s">
        <v>266</v>
      </c>
      <c r="B80" t="str">
        <f>+_xlfn.XLOOKUP(Tabla6[[#This Row],[ID CLIENTE]],'RESUMEN CLIENTES'!D:D,'RESUMEN CLIENTES'!A:A)</f>
        <v>Juan Camilo Sanchez Ramirez</v>
      </c>
      <c r="C80" t="str">
        <f>+_xlfn.XLOOKUP(Tabla6[[#This Row],[ID CLIENTE]],'RESUMEN CLIENTES'!D:D,'RESUMEN CLIENTES'!C:C)</f>
        <v>Colombia</v>
      </c>
      <c r="D80" s="44" t="str">
        <f>+_xlfn.XLOOKUP(Tabla6[[#This Row],[ID CLIENTE]],'RESUMEN CLIENTES'!D:D,'RESUMEN CLIENTES'!M:M)</f>
        <v>OK</v>
      </c>
      <c r="E80" s="72">
        <f>+_xlfn.XLOOKUP(Tabla6[[#This Row],[NOMBRE]],'RESUMEN CLIENTES'!A:A,'RESUMEN CLIENTES'!X:X)</f>
        <v>0.2</v>
      </c>
      <c r="F80" s="72">
        <f>+_xlfn.XLOOKUP(Tabla6[[#This Row],[ID CLIENTE]],'RESUMEN CLIENTES'!D:D,'RESUMEN CLIENTES'!W:W)</f>
        <v>0</v>
      </c>
      <c r="G80" s="17">
        <v>45807</v>
      </c>
      <c r="H80" s="44" t="s">
        <v>81</v>
      </c>
      <c r="I80" s="2">
        <v>2000</v>
      </c>
      <c r="J80" s="20" t="s">
        <v>267</v>
      </c>
      <c r="K80" t="s">
        <v>268</v>
      </c>
      <c r="L80" s="44" t="str" cm="1">
        <f t="array" ref="L80">+_xlfn.IFS(COUNTIF(INGRESOS!E:E,Tabla6[[#This Row],[ID FACTURA]])=1,"PAGADA",Tabla6[[#This Row],[ID FACTURA]]&lt;&gt;0,"EMITIDA",Tabla6[[#This Row],[ID FACTURA]]=0,"POR EMITIR")</f>
        <v>PAGADA</v>
      </c>
      <c r="M80" s="55">
        <f>+IF(Tabla6[[#This Row],[ESTADO FACTURA]]="PAGADA",Tabla6[[#This Row],[FECHA]]-_xlfn.XLOOKUP(Tabla6[[#This Row],[N° FACTURA]],INGRESOS!F:F,INGRESOS!A:A),"-")</f>
        <v>0</v>
      </c>
      <c r="N80" s="2"/>
      <c r="O80"/>
    </row>
    <row r="81" spans="1:15" ht="14.75" customHeight="1">
      <c r="A81" s="320" t="s">
        <v>271</v>
      </c>
      <c r="B81" t="str">
        <f>+_xlfn.XLOOKUP(Tabla6[[#This Row],[ID CLIENTE]],'RESUMEN CLIENTES'!D:D,'RESUMEN CLIENTES'!A:A)</f>
        <v>Manuel Francisco Sulbaran Fandiño</v>
      </c>
      <c r="C81" t="str">
        <f>+_xlfn.XLOOKUP(Tabla6[[#This Row],[ID CLIENTE]],'RESUMEN CLIENTES'!D:D,'RESUMEN CLIENTES'!C:C)</f>
        <v>Colombia</v>
      </c>
      <c r="D81" s="44" t="str">
        <f>+_xlfn.XLOOKUP(Tabla6[[#This Row],[ID CLIENTE]],'RESUMEN CLIENTES'!D:D,'RESUMEN CLIENTES'!M:M)</f>
        <v>OK</v>
      </c>
      <c r="E81" s="72">
        <f>+_xlfn.XLOOKUP(Tabla6[[#This Row],[NOMBRE]],'RESUMEN CLIENTES'!A:A,'RESUMEN CLIENTES'!X:X)</f>
        <v>0.5</v>
      </c>
      <c r="F81" s="72">
        <f>+_xlfn.XLOOKUP(Tabla6[[#This Row],[ID CLIENTE]],'RESUMEN CLIENTES'!D:D,'RESUMEN CLIENTES'!W:W)</f>
        <v>0</v>
      </c>
      <c r="G81" s="17">
        <v>45807</v>
      </c>
      <c r="H81" s="44" t="s">
        <v>81</v>
      </c>
      <c r="I81" s="2">
        <v>5000</v>
      </c>
      <c r="J81" s="20" t="s">
        <v>272</v>
      </c>
      <c r="K81" t="s">
        <v>273</v>
      </c>
      <c r="L81" s="44" t="str" cm="1">
        <f t="array" ref="L81">+_xlfn.IFS(COUNTIF(INGRESOS!E:E,Tabla6[[#This Row],[ID FACTURA]])=1,"PAGADA",Tabla6[[#This Row],[ID FACTURA]]&lt;&gt;0,"EMITIDA",Tabla6[[#This Row],[ID FACTURA]]=0,"POR EMITIR")</f>
        <v>PAGADA</v>
      </c>
      <c r="M81" s="55">
        <f>+IF(Tabla6[[#This Row],[ESTADO FACTURA]]="PAGADA",Tabla6[[#This Row],[FECHA]]-_xlfn.XLOOKUP(Tabla6[[#This Row],[N° FACTURA]],INGRESOS!F:F,INGRESOS!A:A),"-")</f>
        <v>0</v>
      </c>
      <c r="N81" s="2"/>
      <c r="O81"/>
    </row>
    <row r="82" spans="1:15" ht="14.75" customHeight="1">
      <c r="A82" s="320" t="s">
        <v>816</v>
      </c>
      <c r="B82" t="str">
        <f>+_xlfn.XLOOKUP(Tabla6[[#This Row],[ID CLIENTE]],'RESUMEN CLIENTES'!D:D,'RESUMEN CLIENTES'!A:A)</f>
        <v>Nataly Elizabeth Elias Berrios</v>
      </c>
      <c r="C82" t="str">
        <f>+_xlfn.XLOOKUP(Tabla6[[#This Row],[ID CLIENTE]],'RESUMEN CLIENTES'!D:D,'RESUMEN CLIENTES'!C:C)</f>
        <v>Bolivia</v>
      </c>
      <c r="D82" s="44" t="str">
        <f>+_xlfn.XLOOKUP(Tabla6[[#This Row],[ID CLIENTE]],'RESUMEN CLIENTES'!D:D,'RESUMEN CLIENTES'!M:M)</f>
        <v>¡REGULARIZAR!</v>
      </c>
      <c r="E82" s="72">
        <f>+_xlfn.XLOOKUP(Tabla6[[#This Row],[NOMBRE]],'RESUMEN CLIENTES'!A:A,'RESUMEN CLIENTES'!X:X)</f>
        <v>0</v>
      </c>
      <c r="F82" s="72">
        <f>+_xlfn.XLOOKUP(Tabla6[[#This Row],[ID CLIENTE]],'RESUMEN CLIENTES'!D:D,'RESUMEN CLIENTES'!W:W)</f>
        <v>0</v>
      </c>
      <c r="G82" s="17">
        <v>45807</v>
      </c>
      <c r="H82" s="44" t="s">
        <v>81</v>
      </c>
      <c r="I82" s="2">
        <v>3990</v>
      </c>
      <c r="J82" s="20" t="s">
        <v>2566</v>
      </c>
      <c r="K82" t="s">
        <v>2567</v>
      </c>
      <c r="L82" s="44" t="str" cm="1">
        <f t="array" ref="L82">+_xlfn.IFS(COUNTIF(INGRESOS!E:E,Tabla6[[#This Row],[ID FACTURA]])=1,"PAGADA",Tabla6[[#This Row],[ID FACTURA]]&lt;&gt;0,"EMITIDA",Tabla6[[#This Row],[ID FACTURA]]=0,"POR EMITIR")</f>
        <v>PAGADA</v>
      </c>
      <c r="M82" s="55">
        <f>+IF(Tabla6[[#This Row],[ESTADO FACTURA]]="PAGADA",Tabla6[[#This Row],[FECHA]]-_xlfn.XLOOKUP(Tabla6[[#This Row],[N° FACTURA]],INGRESOS!F:F,INGRESOS!A:A),"-")</f>
        <v>0</v>
      </c>
      <c r="N82" s="2"/>
      <c r="O82"/>
    </row>
    <row r="83" spans="1:15" ht="14.75" customHeight="1">
      <c r="A83" s="320" t="s">
        <v>274</v>
      </c>
      <c r="B83" t="str">
        <f>+_xlfn.XLOOKUP(Tabla6[[#This Row],[ID CLIENTE]],'RESUMEN CLIENTES'!D:D,'RESUMEN CLIENTES'!A:A)</f>
        <v>María de los Ángeles Gutiérrez Quevedo</v>
      </c>
      <c r="C83" t="str">
        <f>+_xlfn.XLOOKUP(Tabla6[[#This Row],[ID CLIENTE]],'RESUMEN CLIENTES'!D:D,'RESUMEN CLIENTES'!C:C)</f>
        <v>Chile</v>
      </c>
      <c r="D83" s="44" t="str">
        <f>+_xlfn.XLOOKUP(Tabla6[[#This Row],[ID CLIENTE]],'RESUMEN CLIENTES'!D:D,'RESUMEN CLIENTES'!M:M)</f>
        <v>OK</v>
      </c>
      <c r="E83" s="72">
        <f>+_xlfn.XLOOKUP(Tabla6[[#This Row],[NOMBRE]],'RESUMEN CLIENTES'!A:A,'RESUMEN CLIENTES'!X:X)</f>
        <v>0.22222222222222221</v>
      </c>
      <c r="F83" s="72">
        <f>+_xlfn.XLOOKUP(Tabla6[[#This Row],[ID CLIENTE]],'RESUMEN CLIENTES'!D:D,'RESUMEN CLIENTES'!W:W)</f>
        <v>1</v>
      </c>
      <c r="G83" s="17">
        <v>45810</v>
      </c>
      <c r="H83" s="44" t="s">
        <v>81</v>
      </c>
      <c r="I83" s="2">
        <v>1530.47</v>
      </c>
      <c r="J83" s="20" t="s">
        <v>4789</v>
      </c>
      <c r="K83" t="s">
        <v>4790</v>
      </c>
      <c r="L83" s="44" t="str" cm="1">
        <f t="array" ref="L83">+_xlfn.IFS(COUNTIF(INGRESOS!E:E,Tabla6[[#This Row],[ID FACTURA]])=1,"PAGADA",Tabla6[[#This Row],[ID FACTURA]]&lt;&gt;0,"EMITIDA",Tabla6[[#This Row],[ID FACTURA]]=0,"POR EMITIR")</f>
        <v>PAGADA</v>
      </c>
      <c r="M83" s="55">
        <f>+IF(Tabla6[[#This Row],[ESTADO FACTURA]]="PAGADA",Tabla6[[#This Row],[FECHA]]-_xlfn.XLOOKUP(Tabla6[[#This Row],[N° FACTURA]],INGRESOS!F:F,INGRESOS!A:A),"-")</f>
        <v>0</v>
      </c>
      <c r="N83" s="2"/>
      <c r="O83"/>
    </row>
    <row r="84" spans="1:15" ht="14.75" customHeight="1">
      <c r="A84" s="320" t="s">
        <v>200</v>
      </c>
      <c r="B84" t="str">
        <f>+_xlfn.XLOOKUP(Tabla6[[#This Row],[ID CLIENTE]],'RESUMEN CLIENTES'!D:D,'RESUMEN CLIENTES'!A:A)</f>
        <v>Mateo Gabriel Martinez Dávila</v>
      </c>
      <c r="C84" t="str">
        <f>+_xlfn.XLOOKUP(Tabla6[[#This Row],[ID CLIENTE]],'RESUMEN CLIENTES'!D:D,'RESUMEN CLIENTES'!C:C)</f>
        <v>Bolivia</v>
      </c>
      <c r="D84" s="169" t="str">
        <f>+_xlfn.XLOOKUP(Tabla6[[#This Row],[ID CLIENTE]],'RESUMEN CLIENTES'!D:D,'RESUMEN CLIENTES'!M:M)</f>
        <v>OK</v>
      </c>
      <c r="E84" s="71">
        <f>+_xlfn.XLOOKUP(Tabla6[[#This Row],[NOMBRE]],'RESUMEN CLIENTES'!A:A,'RESUMEN CLIENTES'!X:X)</f>
        <v>-0.5</v>
      </c>
      <c r="F84" s="71">
        <f>+_xlfn.XLOOKUP(Tabla6[[#This Row],[ID CLIENTE]],'RESUMEN CLIENTES'!D:D,'RESUMEN CLIENTES'!W:W)</f>
        <v>0</v>
      </c>
      <c r="G84" s="17">
        <v>45810</v>
      </c>
      <c r="H84" s="169" t="s">
        <v>81</v>
      </c>
      <c r="I84" s="2">
        <v>3875.4071201310321</v>
      </c>
      <c r="J84" s="20" t="s">
        <v>276</v>
      </c>
      <c r="K84" t="s">
        <v>277</v>
      </c>
      <c r="L84" s="44" t="str" cm="1">
        <f t="array" ref="L84">+_xlfn.IFS(COUNTIF(INGRESOS!E:E,Tabla6[[#This Row],[ID FACTURA]])=1,"PAGADA",Tabla6[[#This Row],[ID FACTURA]]&lt;&gt;0,"EMITIDA",Tabla6[[#This Row],[ID FACTURA]]=0,"POR EMITIR")</f>
        <v>PAGADA</v>
      </c>
      <c r="M84" s="54">
        <f>+IF(Tabla6[[#This Row],[ESTADO FACTURA]]="PAGADA",Tabla6[[#This Row],[FECHA]]-_xlfn.XLOOKUP(Tabla6[[#This Row],[N° FACTURA]],INGRESOS!F:F,INGRESOS!A:A),"-")</f>
        <v>0</v>
      </c>
      <c r="O84"/>
    </row>
    <row r="85" spans="1:15" ht="14.75" customHeight="1">
      <c r="A85" s="320" t="s">
        <v>816</v>
      </c>
      <c r="B85" t="str">
        <f>+_xlfn.XLOOKUP(Tabla6[[#This Row],[ID CLIENTE]],'RESUMEN CLIENTES'!D:D,'RESUMEN CLIENTES'!A:A)</f>
        <v>Nataly Elizabeth Elias Berrios</v>
      </c>
      <c r="C85" s="15" t="str">
        <f>+_xlfn.XLOOKUP(Tabla6[[#This Row],[ID CLIENTE]],'RESUMEN CLIENTES'!D:D,'RESUMEN CLIENTES'!C:C)</f>
        <v>Bolivia</v>
      </c>
      <c r="D85" s="169" t="str">
        <f>+_xlfn.XLOOKUP(Tabla6[[#This Row],[ID CLIENTE]],'RESUMEN CLIENTES'!D:D,'RESUMEN CLIENTES'!M:M)</f>
        <v>¡REGULARIZAR!</v>
      </c>
      <c r="E85" s="71">
        <f>+_xlfn.XLOOKUP(Tabla6[[#This Row],[NOMBRE]],'RESUMEN CLIENTES'!A:A,'RESUMEN CLIENTES'!X:X)</f>
        <v>0</v>
      </c>
      <c r="F85" s="71">
        <f>+_xlfn.XLOOKUP(Tabla6[[#This Row],[ID CLIENTE]],'RESUMEN CLIENTES'!D:D,'RESUMEN CLIENTES'!W:W)</f>
        <v>0</v>
      </c>
      <c r="G85" s="17">
        <v>45810</v>
      </c>
      <c r="H85" s="169" t="s">
        <v>81</v>
      </c>
      <c r="I85" s="2">
        <v>340</v>
      </c>
      <c r="J85" s="20" t="s">
        <v>4797</v>
      </c>
      <c r="K85" t="s">
        <v>4798</v>
      </c>
      <c r="L85" s="44" t="str" cm="1">
        <f t="array" ref="L85">+_xlfn.IFS(COUNTIF(INGRESOS!E:E,Tabla6[[#This Row],[ID FACTURA]])=1,"PAGADA",Tabla6[[#This Row],[ID FACTURA]]&lt;&gt;0,"EMITIDA",Tabla6[[#This Row],[ID FACTURA]]=0,"POR EMITIR")</f>
        <v>PAGADA</v>
      </c>
      <c r="M85" s="54">
        <f>+IF(Tabla6[[#This Row],[ESTADO FACTURA]]="PAGADA",Tabla6[[#This Row],[FECHA]]-_xlfn.XLOOKUP(Tabla6[[#This Row],[N° FACTURA]],INGRESOS!F:F,INGRESOS!A:A),"-")</f>
        <v>0</v>
      </c>
      <c r="O85"/>
    </row>
    <row r="86" spans="1:15" ht="14.75" customHeight="1">
      <c r="A86" s="320" t="s">
        <v>275</v>
      </c>
      <c r="B86" t="str">
        <f>+_xlfn.XLOOKUP(Tabla6[[#This Row],[ID CLIENTE]],'RESUMEN CLIENTES'!D:D,'RESUMEN CLIENTES'!A:A)</f>
        <v>Rodrigo Alfonso Busse Hernández</v>
      </c>
      <c r="C86" t="str">
        <f>+_xlfn.XLOOKUP(Tabla6[[#This Row],[ID CLIENTE]],'RESUMEN CLIENTES'!D:D,'RESUMEN CLIENTES'!C:C)</f>
        <v>Chile</v>
      </c>
      <c r="D86" s="44" t="str">
        <f>+_xlfn.XLOOKUP(Tabla6[[#This Row],[ID CLIENTE]],'RESUMEN CLIENTES'!D:D,'RESUMEN CLIENTES'!M:M)</f>
        <v>OK</v>
      </c>
      <c r="E86" s="72">
        <f>+_xlfn.XLOOKUP(Tabla6[[#This Row],[NOMBRE]],'RESUMEN CLIENTES'!A:A,'RESUMEN CLIENTES'!X:X)</f>
        <v>0.33333333333333331</v>
      </c>
      <c r="F86" s="72">
        <f>+_xlfn.XLOOKUP(Tabla6[[#This Row],[ID CLIENTE]],'RESUMEN CLIENTES'!D:D,'RESUMEN CLIENTES'!W:W)</f>
        <v>1</v>
      </c>
      <c r="G86" s="17">
        <v>45810</v>
      </c>
      <c r="H86" s="44" t="s">
        <v>81</v>
      </c>
      <c r="I86" s="2">
        <v>1111</v>
      </c>
      <c r="J86" s="20" t="s">
        <v>4794</v>
      </c>
      <c r="K86" t="s">
        <v>4795</v>
      </c>
      <c r="L86" s="44" t="str" cm="1">
        <f t="array" ref="L86">+_xlfn.IFS(COUNTIF(INGRESOS!E:E,Tabla6[[#This Row],[ID FACTURA]])=1,"PAGADA",Tabla6[[#This Row],[ID FACTURA]]&lt;&gt;0,"EMITIDA",Tabla6[[#This Row],[ID FACTURA]]=0,"POR EMITIR")</f>
        <v>PAGADA</v>
      </c>
      <c r="M86" s="55">
        <f>+IF(Tabla6[[#This Row],[ESTADO FACTURA]]="PAGADA",Tabla6[[#This Row],[FECHA]]-_xlfn.XLOOKUP(Tabla6[[#This Row],[N° FACTURA]],INGRESOS!F:F,INGRESOS!A:A),"-")</f>
        <v>0</v>
      </c>
      <c r="N86" s="2"/>
      <c r="O86"/>
    </row>
    <row r="87" spans="1:15" ht="14.75" customHeight="1">
      <c r="A87" s="320" t="s">
        <v>181</v>
      </c>
      <c r="B87" t="str">
        <f>+_xlfn.XLOOKUP(Tabla6[[#This Row],[ID CLIENTE]],'RESUMEN CLIENTES'!D:D,'RESUMEN CLIENTES'!A:A)</f>
        <v>Juan Carlos Ramirez Chavez</v>
      </c>
      <c r="C87" s="15" t="str">
        <f>+_xlfn.XLOOKUP(Tabla6[[#This Row],[ID CLIENTE]],'RESUMEN CLIENTES'!D:D,'RESUMEN CLIENTES'!C:C)</f>
        <v>Perú</v>
      </c>
      <c r="D87" s="169" t="str">
        <f>+_xlfn.XLOOKUP(Tabla6[[#This Row],[ID CLIENTE]],'RESUMEN CLIENTES'!D:D,'RESUMEN CLIENTES'!M:M)</f>
        <v>OK</v>
      </c>
      <c r="E87" s="71">
        <f>+_xlfn.XLOOKUP(Tabla6[[#This Row],[NOMBRE]],'RESUMEN CLIENTES'!A:A,'RESUMEN CLIENTES'!X:X)</f>
        <v>0</v>
      </c>
      <c r="F87" s="71">
        <f>+_xlfn.XLOOKUP(Tabla6[[#This Row],[ID CLIENTE]],'RESUMEN CLIENTES'!D:D,'RESUMEN CLIENTES'!W:W)</f>
        <v>0</v>
      </c>
      <c r="G87" s="17">
        <v>45812</v>
      </c>
      <c r="H87" s="169" t="s">
        <v>81</v>
      </c>
      <c r="I87" s="2">
        <v>2000</v>
      </c>
      <c r="J87" s="20" t="s">
        <v>2569</v>
      </c>
      <c r="K87" t="s">
        <v>2570</v>
      </c>
      <c r="L87" s="44" t="str" cm="1">
        <f t="array" ref="L87">+_xlfn.IFS(COUNTIF(INGRESOS!E:E,Tabla6[[#This Row],[ID FACTURA]])=1,"PAGADA",Tabla6[[#This Row],[ID FACTURA]]&lt;&gt;0,"EMITIDA",Tabla6[[#This Row],[ID FACTURA]]=0,"POR EMITIR")</f>
        <v>PAGADA</v>
      </c>
      <c r="M87" s="54">
        <f>+IF(Tabla6[[#This Row],[ESTADO FACTURA]]="PAGADA",Tabla6[[#This Row],[FECHA]]-_xlfn.XLOOKUP(Tabla6[[#This Row],[N° FACTURA]],INGRESOS!F:F,INGRESOS!A:A),"-")</f>
        <v>0</v>
      </c>
      <c r="O87"/>
    </row>
    <row r="88" spans="1:15" ht="14.75" customHeight="1">
      <c r="A88" s="320" t="s">
        <v>278</v>
      </c>
      <c r="B88" t="str">
        <f>+_xlfn.XLOOKUP(Tabla6[[#This Row],[ID CLIENTE]],'RESUMEN CLIENTES'!D:D,'RESUMEN CLIENTES'!A:A)</f>
        <v>Liliana María Moreno Martinez</v>
      </c>
      <c r="C88" t="str">
        <f>+_xlfn.XLOOKUP(Tabla6[[#This Row],[ID CLIENTE]],'RESUMEN CLIENTES'!D:D,'RESUMEN CLIENTES'!C:C)</f>
        <v>El Salvador</v>
      </c>
      <c r="D88" s="44" t="str">
        <f>+_xlfn.XLOOKUP(Tabla6[[#This Row],[ID CLIENTE]],'RESUMEN CLIENTES'!D:D,'RESUMEN CLIENTES'!M:M)</f>
        <v>ELIMINADO</v>
      </c>
      <c r="E88" s="72">
        <f>+_xlfn.XLOOKUP(Tabla6[[#This Row],[NOMBRE]],'RESUMEN CLIENTES'!A:A,'RESUMEN CLIENTES'!X:X)</f>
        <v>-1.4444444444444444</v>
      </c>
      <c r="F88" s="72">
        <f>+_xlfn.XLOOKUP(Tabla6[[#This Row],[ID CLIENTE]],'RESUMEN CLIENTES'!D:D,'RESUMEN CLIENTES'!W:W)</f>
        <v>0</v>
      </c>
      <c r="G88" s="17">
        <v>45812</v>
      </c>
      <c r="H88" s="44" t="s">
        <v>81</v>
      </c>
      <c r="I88" s="2">
        <v>1000</v>
      </c>
      <c r="J88" s="20" t="s">
        <v>279</v>
      </c>
      <c r="K88" t="s">
        <v>280</v>
      </c>
      <c r="L88" s="44" t="str" cm="1">
        <f t="array" ref="L88">+_xlfn.IFS(COUNTIF(INGRESOS!E:E,Tabla6[[#This Row],[ID FACTURA]])=1,"PAGADA",Tabla6[[#This Row],[ID FACTURA]]&lt;&gt;0,"EMITIDA",Tabla6[[#This Row],[ID FACTURA]]=0,"POR EMITIR")</f>
        <v>PAGADA</v>
      </c>
      <c r="M88" s="55">
        <f>+IF(Tabla6[[#This Row],[ESTADO FACTURA]]="PAGADA",Tabla6[[#This Row],[FECHA]]-_xlfn.XLOOKUP(Tabla6[[#This Row],[N° FACTURA]],INGRESOS!F:F,INGRESOS!A:A),"-")</f>
        <v>0</v>
      </c>
      <c r="N88" s="2"/>
      <c r="O88"/>
    </row>
    <row r="89" spans="1:15" ht="14.75" customHeight="1">
      <c r="A89" s="320" t="s">
        <v>281</v>
      </c>
      <c r="B89" t="str">
        <f>+_xlfn.XLOOKUP(Tabla6[[#This Row],[ID CLIENTE]],'RESUMEN CLIENTES'!D:D,'RESUMEN CLIENTES'!A:A)</f>
        <v>Sergio Francisco Garcia Sandoval</v>
      </c>
      <c r="C89" t="str">
        <f>+_xlfn.XLOOKUP(Tabla6[[#This Row],[ID CLIENTE]],'RESUMEN CLIENTES'!D:D,'RESUMEN CLIENTES'!C:C)</f>
        <v>Perú</v>
      </c>
      <c r="D89" s="44" t="str">
        <f>+_xlfn.XLOOKUP(Tabla6[[#This Row],[ID CLIENTE]],'RESUMEN CLIENTES'!D:D,'RESUMEN CLIENTES'!M:M)</f>
        <v>OK</v>
      </c>
      <c r="E89" s="72">
        <f>+_xlfn.XLOOKUP(Tabla6[[#This Row],[NOMBRE]],'RESUMEN CLIENTES'!A:A,'RESUMEN CLIENTES'!X:X)</f>
        <v>0.88888888888888884</v>
      </c>
      <c r="F89" s="72">
        <f>+_xlfn.XLOOKUP(Tabla6[[#This Row],[ID CLIENTE]],'RESUMEN CLIENTES'!D:D,'RESUMEN CLIENTES'!W:W)</f>
        <v>1</v>
      </c>
      <c r="G89" s="17">
        <v>45812</v>
      </c>
      <c r="H89" s="44" t="s">
        <v>81</v>
      </c>
      <c r="I89" s="2">
        <v>1500</v>
      </c>
      <c r="J89" s="20" t="s">
        <v>282</v>
      </c>
      <c r="K89" t="s">
        <v>283</v>
      </c>
      <c r="L89" s="44" t="str" cm="1">
        <f t="array" ref="L89">+_xlfn.IFS(COUNTIF(INGRESOS!E:E,Tabla6[[#This Row],[ID FACTURA]])=1,"PAGADA",Tabla6[[#This Row],[ID FACTURA]]&lt;&gt;0,"EMITIDA",Tabla6[[#This Row],[ID FACTURA]]=0,"POR EMITIR")</f>
        <v>PAGADA</v>
      </c>
      <c r="M89" s="55">
        <f>+IF(Tabla6[[#This Row],[ESTADO FACTURA]]="PAGADA",Tabla6[[#This Row],[FECHA]]-_xlfn.XLOOKUP(Tabla6[[#This Row],[N° FACTURA]],INGRESOS!F:F,INGRESOS!A:A),"-")</f>
        <v>0</v>
      </c>
      <c r="N89" s="2"/>
      <c r="O89"/>
    </row>
    <row r="90" spans="1:15" ht="14.75" customHeight="1">
      <c r="A90" s="320" t="s">
        <v>165</v>
      </c>
      <c r="B90" t="str">
        <f>+_xlfn.XLOOKUP(Tabla6[[#This Row],[ID CLIENTE]],'RESUMEN CLIENTES'!D:D,'RESUMEN CLIENTES'!A:A)</f>
        <v>Alejandra Leva Vallejo</v>
      </c>
      <c r="C90" t="str">
        <f>+_xlfn.XLOOKUP(Tabla6[[#This Row],[ID CLIENTE]],'RESUMEN CLIENTES'!D:D,'RESUMEN CLIENTES'!C:C)</f>
        <v>México</v>
      </c>
      <c r="D90" s="44" t="str">
        <f>+_xlfn.XLOOKUP(Tabla6[[#This Row],[ID CLIENTE]],'RESUMEN CLIENTES'!D:D,'RESUMEN CLIENTES'!M:M)</f>
        <v>OK</v>
      </c>
      <c r="E90" s="72">
        <f>+_xlfn.XLOOKUP(Tabla6[[#This Row],[NOMBRE]],'RESUMEN CLIENTES'!A:A,'RESUMEN CLIENTES'!X:X)</f>
        <v>0</v>
      </c>
      <c r="F90" s="72">
        <f>+_xlfn.XLOOKUP(Tabla6[[#This Row],[ID CLIENTE]],'RESUMEN CLIENTES'!D:D,'RESUMEN CLIENTES'!W:W)</f>
        <v>1</v>
      </c>
      <c r="G90" s="17">
        <v>45813</v>
      </c>
      <c r="H90" s="44" t="s">
        <v>81</v>
      </c>
      <c r="I90" s="2">
        <v>1000</v>
      </c>
      <c r="J90" s="20" t="s">
        <v>284</v>
      </c>
      <c r="K90" t="s">
        <v>285</v>
      </c>
      <c r="L90" s="44" t="str" cm="1">
        <f t="array" ref="L90">+_xlfn.IFS(COUNTIF(INGRESOS!E:E,Tabla6[[#This Row],[ID FACTURA]])=1,"PAGADA",Tabla6[[#This Row],[ID FACTURA]]&lt;&gt;0,"EMITIDA",Tabla6[[#This Row],[ID FACTURA]]=0,"POR EMITIR")</f>
        <v>PAGADA</v>
      </c>
      <c r="M90" s="55">
        <f>+IF(Tabla6[[#This Row],[ESTADO FACTURA]]="PAGADA",Tabla6[[#This Row],[FECHA]]-_xlfn.XLOOKUP(Tabla6[[#This Row],[N° FACTURA]],INGRESOS!F:F,INGRESOS!A:A),"-")</f>
        <v>2</v>
      </c>
      <c r="N90" s="2"/>
      <c r="O90"/>
    </row>
    <row r="91" spans="1:15" ht="14.75" customHeight="1">
      <c r="A91" s="320" t="s">
        <v>184</v>
      </c>
      <c r="B91" t="str">
        <f>+_xlfn.XLOOKUP(Tabla6[[#This Row],[ID CLIENTE]],'RESUMEN CLIENTES'!D:D,'RESUMEN CLIENTES'!A:A)</f>
        <v>Boris Andrés Silva Véliz</v>
      </c>
      <c r="C91" t="str">
        <f>+_xlfn.XLOOKUP(Tabla6[[#This Row],[ID CLIENTE]],'RESUMEN CLIENTES'!D:D,'RESUMEN CLIENTES'!C:C)</f>
        <v>Chile</v>
      </c>
      <c r="D91" s="44" t="str">
        <f>+_xlfn.XLOOKUP(Tabla6[[#This Row],[ID CLIENTE]],'RESUMEN CLIENTES'!D:D,'RESUMEN CLIENTES'!M:M)</f>
        <v>OK</v>
      </c>
      <c r="E91" s="72">
        <f>+_xlfn.XLOOKUP(Tabla6[[#This Row],[NOMBRE]],'RESUMEN CLIENTES'!A:A,'RESUMEN CLIENTES'!X:X)</f>
        <v>2.1111111111111112</v>
      </c>
      <c r="F91" s="72">
        <f>+_xlfn.XLOOKUP(Tabla6[[#This Row],[ID CLIENTE]],'RESUMEN CLIENTES'!D:D,'RESUMEN CLIENTES'!W:W)</f>
        <v>0</v>
      </c>
      <c r="G91" s="17">
        <v>45813</v>
      </c>
      <c r="H91" s="44" t="s">
        <v>81</v>
      </c>
      <c r="I91" s="2">
        <v>695</v>
      </c>
      <c r="J91" s="20" t="s">
        <v>286</v>
      </c>
      <c r="K91" t="s">
        <v>287</v>
      </c>
      <c r="L91" s="44" t="str" cm="1">
        <f t="array" ref="L91">+_xlfn.IFS(COUNTIF(INGRESOS!E:E,Tabla6[[#This Row],[ID FACTURA]])=1,"PAGADA",Tabla6[[#This Row],[ID FACTURA]]&lt;&gt;0,"EMITIDA",Tabla6[[#This Row],[ID FACTURA]]=0,"POR EMITIR")</f>
        <v>PAGADA</v>
      </c>
      <c r="M91" s="55">
        <f>+IF(Tabla6[[#This Row],[ESTADO FACTURA]]="PAGADA",Tabla6[[#This Row],[FECHA]]-_xlfn.XLOOKUP(Tabla6[[#This Row],[N° FACTURA]],INGRESOS!F:F,INGRESOS!A:A),"-")</f>
        <v>3</v>
      </c>
      <c r="N91" s="2"/>
      <c r="O91"/>
    </row>
    <row r="92" spans="1:15" ht="14.75" customHeight="1">
      <c r="A92" s="320" t="s">
        <v>118</v>
      </c>
      <c r="B92" t="str">
        <f>+_xlfn.XLOOKUP(Tabla6[[#This Row],[ID CLIENTE]],'RESUMEN CLIENTES'!D:D,'RESUMEN CLIENTES'!A:A)</f>
        <v>Camila Sanchez Aravena</v>
      </c>
      <c r="C92" t="str">
        <f>+_xlfn.XLOOKUP(Tabla6[[#This Row],[ID CLIENTE]],'RESUMEN CLIENTES'!D:D,'RESUMEN CLIENTES'!C:C)</f>
        <v>Chile</v>
      </c>
      <c r="D92" s="44" t="str">
        <f>+_xlfn.XLOOKUP(Tabla6[[#This Row],[ID CLIENTE]],'RESUMEN CLIENTES'!D:D,'RESUMEN CLIENTES'!M:M)</f>
        <v>OK</v>
      </c>
      <c r="E92" s="72">
        <f>+_xlfn.XLOOKUP(Tabla6[[#This Row],[NOMBRE]],'RESUMEN CLIENTES'!A:A,'RESUMEN CLIENTES'!X:X)</f>
        <v>-1</v>
      </c>
      <c r="F92" s="72">
        <f>+_xlfn.XLOOKUP(Tabla6[[#This Row],[ID CLIENTE]],'RESUMEN CLIENTES'!D:D,'RESUMEN CLIENTES'!W:W)</f>
        <v>1</v>
      </c>
      <c r="G92" s="17">
        <v>45813</v>
      </c>
      <c r="H92" s="44" t="s">
        <v>81</v>
      </c>
      <c r="I92" s="2">
        <v>600</v>
      </c>
      <c r="J92" s="20" t="s">
        <v>288</v>
      </c>
      <c r="K92" t="s">
        <v>289</v>
      </c>
      <c r="L92" s="44" t="str" cm="1">
        <f t="array" ref="L92">+_xlfn.IFS(COUNTIF(INGRESOS!E:E,Tabla6[[#This Row],[ID FACTURA]])=1,"PAGADA",Tabla6[[#This Row],[ID FACTURA]]&lt;&gt;0,"EMITIDA",Tabla6[[#This Row],[ID FACTURA]]=0,"POR EMITIR")</f>
        <v>PAGADA</v>
      </c>
      <c r="M92" s="55">
        <f>+IF(Tabla6[[#This Row],[ESTADO FACTURA]]="PAGADA",Tabla6[[#This Row],[FECHA]]-_xlfn.XLOOKUP(Tabla6[[#This Row],[N° FACTURA]],INGRESOS!F:F,INGRESOS!A:A),"-")</f>
        <v>2</v>
      </c>
      <c r="N92" s="2"/>
      <c r="O92"/>
    </row>
    <row r="93" spans="1:15" ht="14.75" customHeight="1">
      <c r="A93" s="320" t="s">
        <v>168</v>
      </c>
      <c r="B93" t="str">
        <f>+_xlfn.XLOOKUP(Tabla6[[#This Row],[ID CLIENTE]],'RESUMEN CLIENTES'!D:D,'RESUMEN CLIENTES'!A:A)</f>
        <v xml:space="preserve">Catalina Ochoa Urrutia
</v>
      </c>
      <c r="C93" t="str">
        <f>+_xlfn.XLOOKUP(Tabla6[[#This Row],[ID CLIENTE]],'RESUMEN CLIENTES'!D:D,'RESUMEN CLIENTES'!C:C)</f>
        <v>Chile</v>
      </c>
      <c r="D93" s="44" t="str">
        <f>+_xlfn.XLOOKUP(Tabla6[[#This Row],[ID CLIENTE]],'RESUMEN CLIENTES'!D:D,'RESUMEN CLIENTES'!M:M)</f>
        <v>OK</v>
      </c>
      <c r="E93" s="72">
        <f>+_xlfn.XLOOKUP(Tabla6[[#This Row],[NOMBRE]],'RESUMEN CLIENTES'!A:A,'RESUMEN CLIENTES'!X:X)</f>
        <v>0.75</v>
      </c>
      <c r="F93" s="72">
        <f>+_xlfn.XLOOKUP(Tabla6[[#This Row],[ID CLIENTE]],'RESUMEN CLIENTES'!D:D,'RESUMEN CLIENTES'!W:W)</f>
        <v>1</v>
      </c>
      <c r="G93" s="17">
        <v>45813</v>
      </c>
      <c r="H93" s="44" t="s">
        <v>81</v>
      </c>
      <c r="I93" s="2">
        <v>1500</v>
      </c>
      <c r="J93" s="20" t="s">
        <v>290</v>
      </c>
      <c r="K93" t="s">
        <v>291</v>
      </c>
      <c r="L93" s="44" t="str" cm="1">
        <f t="array" ref="L93">+_xlfn.IFS(COUNTIF(INGRESOS!E:E,Tabla6[[#This Row],[ID FACTURA]])=1,"PAGADA",Tabla6[[#This Row],[ID FACTURA]]&lt;&gt;0,"EMITIDA",Tabla6[[#This Row],[ID FACTURA]]=0,"POR EMITIR")</f>
        <v>PAGADA</v>
      </c>
      <c r="M93" s="55">
        <f>+IF(Tabla6[[#This Row],[ESTADO FACTURA]]="PAGADA",Tabla6[[#This Row],[FECHA]]-_xlfn.XLOOKUP(Tabla6[[#This Row],[N° FACTURA]],INGRESOS!F:F,INGRESOS!A:A),"-")</f>
        <v>1</v>
      </c>
      <c r="N93" s="2"/>
      <c r="O93"/>
    </row>
    <row r="94" spans="1:15" ht="14.75" customHeight="1">
      <c r="A94" s="320" t="s">
        <v>122</v>
      </c>
      <c r="B94" t="str">
        <f>+_xlfn.XLOOKUP(Tabla6[[#This Row],[ID CLIENTE]],'RESUMEN CLIENTES'!D:D,'RESUMEN CLIENTES'!A:A)</f>
        <v>Daniela Harbst Tassara</v>
      </c>
      <c r="C94" t="str">
        <f>+_xlfn.XLOOKUP(Tabla6[[#This Row],[ID CLIENTE]],'RESUMEN CLIENTES'!D:D,'RESUMEN CLIENTES'!C:C)</f>
        <v>Chile</v>
      </c>
      <c r="D94" s="44" t="str">
        <f>+_xlfn.XLOOKUP(Tabla6[[#This Row],[ID CLIENTE]],'RESUMEN CLIENTES'!D:D,'RESUMEN CLIENTES'!M:M)</f>
        <v>OK</v>
      </c>
      <c r="E94" s="72">
        <f>+_xlfn.XLOOKUP(Tabla6[[#This Row],[NOMBRE]],'RESUMEN CLIENTES'!A:A,'RESUMEN CLIENTES'!X:X)</f>
        <v>1</v>
      </c>
      <c r="F94" s="72">
        <f>+_xlfn.XLOOKUP(Tabla6[[#This Row],[ID CLIENTE]],'RESUMEN CLIENTES'!D:D,'RESUMEN CLIENTES'!W:W)</f>
        <v>0</v>
      </c>
      <c r="G94" s="17">
        <v>45813</v>
      </c>
      <c r="H94" s="44" t="s">
        <v>81</v>
      </c>
      <c r="I94" s="2">
        <v>8000</v>
      </c>
      <c r="J94" s="20" t="s">
        <v>292</v>
      </c>
      <c r="K94" t="s">
        <v>293</v>
      </c>
      <c r="L94" s="44" t="s">
        <v>121</v>
      </c>
      <c r="M94" s="55">
        <f>+IF(Tabla6[[#This Row],[ESTADO FACTURA]]="PAGADA",Tabla6[[#This Row],[FECHA]]-_xlfn.XLOOKUP(Tabla6[[#This Row],[N° FACTURA]],INGRESOS!F:F,INGRESOS!A:A),"-")</f>
        <v>1</v>
      </c>
      <c r="N94" s="2"/>
      <c r="O94" t="s">
        <v>126</v>
      </c>
    </row>
    <row r="95" spans="1:15" ht="14.75" customHeight="1">
      <c r="A95" s="320" t="s">
        <v>194</v>
      </c>
      <c r="B95" t="str">
        <f>+_xlfn.XLOOKUP(Tabla6[[#This Row],[ID CLIENTE]],'RESUMEN CLIENTES'!D:D,'RESUMEN CLIENTES'!A:A)</f>
        <v>Dinorah Gómez Castellanos</v>
      </c>
      <c r="C95" t="str">
        <f>+_xlfn.XLOOKUP(Tabla6[[#This Row],[ID CLIENTE]],'RESUMEN CLIENTES'!D:D,'RESUMEN CLIENTES'!C:C)</f>
        <v>México</v>
      </c>
      <c r="D95" s="44" t="str">
        <f>+_xlfn.XLOOKUP(Tabla6[[#This Row],[ID CLIENTE]],'RESUMEN CLIENTES'!D:D,'RESUMEN CLIENTES'!M:M)</f>
        <v>OK</v>
      </c>
      <c r="E95" s="72">
        <f>+_xlfn.XLOOKUP(Tabla6[[#This Row],[NOMBRE]],'RESUMEN CLIENTES'!A:A,'RESUMEN CLIENTES'!X:X)</f>
        <v>2.75</v>
      </c>
      <c r="F95" s="72">
        <f>+_xlfn.XLOOKUP(Tabla6[[#This Row],[ID CLIENTE]],'RESUMEN CLIENTES'!D:D,'RESUMEN CLIENTES'!W:W)</f>
        <v>0</v>
      </c>
      <c r="G95" s="17">
        <v>45813</v>
      </c>
      <c r="H95" s="44" t="s">
        <v>81</v>
      </c>
      <c r="I95" s="2">
        <v>1500</v>
      </c>
      <c r="J95" s="20" t="s">
        <v>294</v>
      </c>
      <c r="K95" t="s">
        <v>295</v>
      </c>
      <c r="L95" s="44" t="str" cm="1">
        <f t="array" ref="L95">+_xlfn.IFS(COUNTIF(INGRESOS!E:E,Tabla6[[#This Row],[ID FACTURA]])=1,"PAGADA",Tabla6[[#This Row],[ID FACTURA]]&lt;&gt;0,"EMITIDA",Tabla6[[#This Row],[ID FACTURA]]=0,"POR EMITIR")</f>
        <v>PAGADA</v>
      </c>
      <c r="M95" s="55">
        <f>+IF(Tabla6[[#This Row],[ESTADO FACTURA]]="PAGADA",Tabla6[[#This Row],[FECHA]]-_xlfn.XLOOKUP(Tabla6[[#This Row],[N° FACTURA]],INGRESOS!F:F,INGRESOS!A:A),"-")</f>
        <v>0</v>
      </c>
      <c r="N95" s="2"/>
      <c r="O95"/>
    </row>
    <row r="96" spans="1:15" ht="14.75" customHeight="1">
      <c r="A96" s="320" t="s">
        <v>109</v>
      </c>
      <c r="B96" t="str">
        <f>+_xlfn.XLOOKUP(Tabla6[[#This Row],[ID CLIENTE]],'RESUMEN CLIENTES'!D:D,'RESUMEN CLIENTES'!A:A)</f>
        <v>Ian Job Lino Durán</v>
      </c>
      <c r="C96" t="str">
        <f>+_xlfn.XLOOKUP(Tabla6[[#This Row],[ID CLIENTE]],'RESUMEN CLIENTES'!D:D,'RESUMEN CLIENTES'!C:C)</f>
        <v>México</v>
      </c>
      <c r="D96" s="44" t="str">
        <f>+_xlfn.XLOOKUP(Tabla6[[#This Row],[ID CLIENTE]],'RESUMEN CLIENTES'!D:D,'RESUMEN CLIENTES'!M:M)</f>
        <v>OK</v>
      </c>
      <c r="E96" s="72">
        <f>+_xlfn.XLOOKUP(Tabla6[[#This Row],[NOMBRE]],'RESUMEN CLIENTES'!A:A,'RESUMEN CLIENTES'!X:X)</f>
        <v>0.1</v>
      </c>
      <c r="F96" s="72">
        <f>+_xlfn.XLOOKUP(Tabla6[[#This Row],[ID CLIENTE]],'RESUMEN CLIENTES'!D:D,'RESUMEN CLIENTES'!W:W)</f>
        <v>1</v>
      </c>
      <c r="G96" s="17">
        <v>45813</v>
      </c>
      <c r="H96" s="44" t="s">
        <v>81</v>
      </c>
      <c r="I96" s="2">
        <v>1500</v>
      </c>
      <c r="J96" s="20" t="s">
        <v>296</v>
      </c>
      <c r="K96" t="s">
        <v>297</v>
      </c>
      <c r="L96" s="44" t="str" cm="1">
        <f t="array" ref="L96">+_xlfn.IFS(COUNTIF(INGRESOS!E:E,Tabla6[[#This Row],[ID FACTURA]])=1,"PAGADA",Tabla6[[#This Row],[ID FACTURA]]&lt;&gt;0,"EMITIDA",Tabla6[[#This Row],[ID FACTURA]]=0,"POR EMITIR")</f>
        <v>PAGADA</v>
      </c>
      <c r="M96" s="55">
        <f>+IF(Tabla6[[#This Row],[ESTADO FACTURA]]="PAGADA",Tabla6[[#This Row],[FECHA]]-_xlfn.XLOOKUP(Tabla6[[#This Row],[N° FACTURA]],INGRESOS!F:F,INGRESOS!A:A),"-")</f>
        <v>1</v>
      </c>
      <c r="N96" s="2"/>
      <c r="O96"/>
    </row>
    <row r="97" spans="1:15" ht="14.75" customHeight="1">
      <c r="A97" s="320" t="s">
        <v>142</v>
      </c>
      <c r="B97" t="str">
        <f>+_xlfn.XLOOKUP(Tabla6[[#This Row],[ID CLIENTE]],'RESUMEN CLIENTES'!D:D,'RESUMEN CLIENTES'!A:A)</f>
        <v>Jordan Eliecer Toledo Bravo</v>
      </c>
      <c r="C97" t="str">
        <f>+_xlfn.XLOOKUP(Tabla6[[#This Row],[ID CLIENTE]],'RESUMEN CLIENTES'!D:D,'RESUMEN CLIENTES'!C:C)</f>
        <v>Chile</v>
      </c>
      <c r="D97" s="44" t="str">
        <f>+_xlfn.XLOOKUP(Tabla6[[#This Row],[ID CLIENTE]],'RESUMEN CLIENTES'!D:D,'RESUMEN CLIENTES'!M:M)</f>
        <v>OK</v>
      </c>
      <c r="E97" s="72">
        <f>+_xlfn.XLOOKUP(Tabla6[[#This Row],[NOMBRE]],'RESUMEN CLIENTES'!A:A,'RESUMEN CLIENTES'!X:X)</f>
        <v>-1.6153846153846154</v>
      </c>
      <c r="F97" s="72">
        <f>+_xlfn.XLOOKUP(Tabla6[[#This Row],[ID CLIENTE]],'RESUMEN CLIENTES'!D:D,'RESUMEN CLIENTES'!W:W)</f>
        <v>0</v>
      </c>
      <c r="G97" s="17">
        <v>45813</v>
      </c>
      <c r="H97" s="44" t="s">
        <v>81</v>
      </c>
      <c r="I97" s="2">
        <v>400</v>
      </c>
      <c r="J97" s="20" t="s">
        <v>298</v>
      </c>
      <c r="K97" t="s">
        <v>299</v>
      </c>
      <c r="L97" s="44" t="str" cm="1">
        <f t="array" ref="L97">+_xlfn.IFS(COUNTIF(INGRESOS!E:E,Tabla6[[#This Row],[ID FACTURA]])=1,"PAGADA",Tabla6[[#This Row],[ID FACTURA]]&lt;&gt;0,"EMITIDA",Tabla6[[#This Row],[ID FACTURA]]=0,"POR EMITIR")</f>
        <v>PAGADA</v>
      </c>
      <c r="M97" s="55">
        <f>+IF(Tabla6[[#This Row],[ESTADO FACTURA]]="PAGADA",Tabla6[[#This Row],[FECHA]]-_xlfn.XLOOKUP(Tabla6[[#This Row],[N° FACTURA]],INGRESOS!F:F,INGRESOS!A:A),"-")</f>
        <v>-2</v>
      </c>
      <c r="N97" s="2"/>
      <c r="O97"/>
    </row>
    <row r="98" spans="1:15" ht="14.75" customHeight="1">
      <c r="A98" s="320" t="s">
        <v>188</v>
      </c>
      <c r="B98" t="str">
        <f>+_xlfn.XLOOKUP(Tabla6[[#This Row],[ID CLIENTE]],'RESUMEN CLIENTES'!D:D,'RESUMEN CLIENTES'!A:A)</f>
        <v>Marco Tulio Negrete Aceves</v>
      </c>
      <c r="C98" t="str">
        <f>+_xlfn.XLOOKUP(Tabla6[[#This Row],[ID CLIENTE]],'RESUMEN CLIENTES'!D:D,'RESUMEN CLIENTES'!C:C)</f>
        <v>México</v>
      </c>
      <c r="D98" s="44" t="str">
        <f>+_xlfn.XLOOKUP(Tabla6[[#This Row],[ID CLIENTE]],'RESUMEN CLIENTES'!D:D,'RESUMEN CLIENTES'!M:M)</f>
        <v>OK</v>
      </c>
      <c r="E98" s="72">
        <f>+_xlfn.XLOOKUP(Tabla6[[#This Row],[NOMBRE]],'RESUMEN CLIENTES'!A:A,'RESUMEN CLIENTES'!X:X)</f>
        <v>2.625</v>
      </c>
      <c r="F98" s="72">
        <f>+_xlfn.XLOOKUP(Tabla6[[#This Row],[ID CLIENTE]],'RESUMEN CLIENTES'!D:D,'RESUMEN CLIENTES'!W:W)</f>
        <v>1</v>
      </c>
      <c r="G98" s="17">
        <v>45813</v>
      </c>
      <c r="H98" s="44" t="s">
        <v>81</v>
      </c>
      <c r="I98" s="2">
        <v>1500</v>
      </c>
      <c r="J98" s="20" t="s">
        <v>300</v>
      </c>
      <c r="K98" t="s">
        <v>301</v>
      </c>
      <c r="L98" s="44" t="str" cm="1">
        <f t="array" ref="L98">+_xlfn.IFS(COUNTIF(INGRESOS!E:E,Tabla6[[#This Row],[ID FACTURA]])=1,"PAGADA",Tabla6[[#This Row],[ID FACTURA]]&lt;&gt;0,"EMITIDA",Tabla6[[#This Row],[ID FACTURA]]=0,"POR EMITIR")</f>
        <v>PAGADA</v>
      </c>
      <c r="M98" s="55">
        <f>+IF(Tabla6[[#This Row],[ESTADO FACTURA]]="PAGADA",Tabla6[[#This Row],[FECHA]]-_xlfn.XLOOKUP(Tabla6[[#This Row],[N° FACTURA]],INGRESOS!F:F,INGRESOS!A:A),"-")</f>
        <v>2</v>
      </c>
      <c r="N98" s="2"/>
      <c r="O98"/>
    </row>
    <row r="99" spans="1:15" ht="14.75" customHeight="1">
      <c r="A99" s="320" t="s">
        <v>129</v>
      </c>
      <c r="B99" t="str">
        <f>+_xlfn.XLOOKUP(Tabla6[[#This Row],[ID CLIENTE]],'RESUMEN CLIENTES'!D:D,'RESUMEN CLIENTES'!A:A)</f>
        <v>Moira Millaray Schneider Rivera</v>
      </c>
      <c r="C99" t="str">
        <f>+_xlfn.XLOOKUP(Tabla6[[#This Row],[ID CLIENTE]],'RESUMEN CLIENTES'!D:D,'RESUMEN CLIENTES'!C:C)</f>
        <v>Chile</v>
      </c>
      <c r="D99" s="44" t="str">
        <f>+_xlfn.XLOOKUP(Tabla6[[#This Row],[ID CLIENTE]],'RESUMEN CLIENTES'!D:D,'RESUMEN CLIENTES'!M:M)</f>
        <v>OK</v>
      </c>
      <c r="E99" s="72">
        <f>+_xlfn.XLOOKUP(Tabla6[[#This Row],[NOMBRE]],'RESUMEN CLIENTES'!A:A,'RESUMEN CLIENTES'!X:X)</f>
        <v>0</v>
      </c>
      <c r="F99" s="72">
        <f>+_xlfn.XLOOKUP(Tabla6[[#This Row],[ID CLIENTE]],'RESUMEN CLIENTES'!D:D,'RESUMEN CLIENTES'!W:W)</f>
        <v>1</v>
      </c>
      <c r="G99" s="17">
        <v>45813</v>
      </c>
      <c r="H99" s="44" t="s">
        <v>81</v>
      </c>
      <c r="I99" s="2">
        <v>1000</v>
      </c>
      <c r="J99" s="20" t="s">
        <v>302</v>
      </c>
      <c r="K99" t="s">
        <v>303</v>
      </c>
      <c r="L99" s="44" t="str" cm="1">
        <f t="array" ref="L99">+_xlfn.IFS(COUNTIF(INGRESOS!E:E,Tabla6[[#This Row],[ID FACTURA]])=1,"PAGADA",Tabla6[[#This Row],[ID FACTURA]]&lt;&gt;0,"EMITIDA",Tabla6[[#This Row],[ID FACTURA]]=0,"POR EMITIR")</f>
        <v>PAGADA</v>
      </c>
      <c r="M99" s="55">
        <f>+IF(Tabla6[[#This Row],[ESTADO FACTURA]]="PAGADA",Tabla6[[#This Row],[FECHA]]-_xlfn.XLOOKUP(Tabla6[[#This Row],[N° FACTURA]],INGRESOS!F:F,INGRESOS!A:A),"-")</f>
        <v>-1</v>
      </c>
      <c r="N99" s="2"/>
      <c r="O99"/>
    </row>
    <row r="100" spans="1:15" ht="14.75" customHeight="1">
      <c r="A100" s="320" t="s">
        <v>178</v>
      </c>
      <c r="B100" t="str">
        <f>+_xlfn.XLOOKUP(Tabla6[[#This Row],[ID CLIENTE]],'RESUMEN CLIENTES'!D:D,'RESUMEN CLIENTES'!A:A)</f>
        <v>Sven Sigurd Biedermann Aberg</v>
      </c>
      <c r="C100" t="str">
        <f>+_xlfn.XLOOKUP(Tabla6[[#This Row],[ID CLIENTE]],'RESUMEN CLIENTES'!D:D,'RESUMEN CLIENTES'!C:C)</f>
        <v>Chile</v>
      </c>
      <c r="D100" s="44" t="str">
        <f>+_xlfn.XLOOKUP(Tabla6[[#This Row],[ID CLIENTE]],'RESUMEN CLIENTES'!D:D,'RESUMEN CLIENTES'!M:M)</f>
        <v>OK</v>
      </c>
      <c r="E100" s="72">
        <f>+_xlfn.XLOOKUP(Tabla6[[#This Row],[NOMBRE]],'RESUMEN CLIENTES'!A:A,'RESUMEN CLIENTES'!X:X)</f>
        <v>-0.33333333333333331</v>
      </c>
      <c r="F100" s="72">
        <f>+_xlfn.XLOOKUP(Tabla6[[#This Row],[ID CLIENTE]],'RESUMEN CLIENTES'!D:D,'RESUMEN CLIENTES'!W:W)</f>
        <v>0</v>
      </c>
      <c r="G100" s="17">
        <v>45813</v>
      </c>
      <c r="H100" s="44" t="s">
        <v>81</v>
      </c>
      <c r="I100" s="2">
        <v>3000</v>
      </c>
      <c r="J100" s="20" t="s">
        <v>304</v>
      </c>
      <c r="K100" t="s">
        <v>305</v>
      </c>
      <c r="L100" s="44" t="str" cm="1">
        <f t="array" ref="L100">+_xlfn.IFS(COUNTIF(INGRESOS!E:E,Tabla6[[#This Row],[ID FACTURA]])=1,"PAGADA",Tabla6[[#This Row],[ID FACTURA]]&lt;&gt;0,"EMITIDA",Tabla6[[#This Row],[ID FACTURA]]=0,"POR EMITIR")</f>
        <v>PAGADA</v>
      </c>
      <c r="M100" s="55">
        <f>+IF(Tabla6[[#This Row],[ESTADO FACTURA]]="PAGADA",Tabla6[[#This Row],[FECHA]]-_xlfn.XLOOKUP(Tabla6[[#This Row],[N° FACTURA]],INGRESOS!F:F,INGRESOS!A:A),"-")</f>
        <v>0</v>
      </c>
      <c r="N100" s="2"/>
      <c r="O100"/>
    </row>
    <row r="101" spans="1:15" ht="14.75" customHeight="1">
      <c r="A101" s="320" t="s">
        <v>112</v>
      </c>
      <c r="B101" t="str">
        <f>+_xlfn.XLOOKUP(Tabla6[[#This Row],[ID CLIENTE]],'RESUMEN CLIENTES'!D:D,'RESUMEN CLIENTES'!A:A)</f>
        <v>Victor Emanuel Hernández Ruíz</v>
      </c>
      <c r="C101" t="str">
        <f>+_xlfn.XLOOKUP(Tabla6[[#This Row],[ID CLIENTE]],'RESUMEN CLIENTES'!D:D,'RESUMEN CLIENTES'!C:C)</f>
        <v>México</v>
      </c>
      <c r="D101" s="44" t="str">
        <f>+_xlfn.XLOOKUP(Tabla6[[#This Row],[ID CLIENTE]],'RESUMEN CLIENTES'!D:D,'RESUMEN CLIENTES'!M:M)</f>
        <v>OK</v>
      </c>
      <c r="E101" s="72">
        <f>+_xlfn.XLOOKUP(Tabla6[[#This Row],[NOMBRE]],'RESUMEN CLIENTES'!A:A,'RESUMEN CLIENTES'!X:X)</f>
        <v>-1.2727272727272727</v>
      </c>
      <c r="F101" s="72">
        <f>+_xlfn.XLOOKUP(Tabla6[[#This Row],[ID CLIENTE]],'RESUMEN CLIENTES'!D:D,'RESUMEN CLIENTES'!W:W)</f>
        <v>1</v>
      </c>
      <c r="G101" s="17">
        <v>45813</v>
      </c>
      <c r="H101" s="44" t="s">
        <v>81</v>
      </c>
      <c r="I101" s="2">
        <v>1000</v>
      </c>
      <c r="J101" s="20" t="s">
        <v>306</v>
      </c>
      <c r="K101" t="s">
        <v>307</v>
      </c>
      <c r="L101" s="44" t="str" cm="1">
        <f t="array" ref="L101">+_xlfn.IFS(COUNTIF(INGRESOS!E:E,Tabla6[[#This Row],[ID FACTURA]])=1,"PAGADA",Tabla6[[#This Row],[ID FACTURA]]&lt;&gt;0,"EMITIDA",Tabla6[[#This Row],[ID FACTURA]]=0,"POR EMITIR")</f>
        <v>PAGADA</v>
      </c>
      <c r="M101" s="55">
        <f>+IF(Tabla6[[#This Row],[ESTADO FACTURA]]="PAGADA",Tabla6[[#This Row],[FECHA]]-_xlfn.XLOOKUP(Tabla6[[#This Row],[N° FACTURA]],INGRESOS!F:F,INGRESOS!A:A),"-")</f>
        <v>-2</v>
      </c>
      <c r="N101" s="2"/>
      <c r="O101"/>
    </row>
    <row r="102" spans="1:15" ht="14.75" customHeight="1">
      <c r="A102" s="320" t="s">
        <v>278</v>
      </c>
      <c r="B102" t="str">
        <f>+_xlfn.XLOOKUP(Tabla6[[#This Row],[ID CLIENTE]],'RESUMEN CLIENTES'!D:D,'RESUMEN CLIENTES'!A:A)</f>
        <v>Liliana María Moreno Martinez</v>
      </c>
      <c r="C102" t="str">
        <f>+_xlfn.XLOOKUP(Tabla6[[#This Row],[ID CLIENTE]],'RESUMEN CLIENTES'!D:D,'RESUMEN CLIENTES'!C:C)</f>
        <v>El Salvador</v>
      </c>
      <c r="D102" s="44" t="str">
        <f>+_xlfn.XLOOKUP(Tabla6[[#This Row],[ID CLIENTE]],'RESUMEN CLIENTES'!D:D,'RESUMEN CLIENTES'!M:M)</f>
        <v>ELIMINADO</v>
      </c>
      <c r="E102" s="72">
        <f>+_xlfn.XLOOKUP(Tabla6[[#This Row],[NOMBRE]],'RESUMEN CLIENTES'!A:A,'RESUMEN CLIENTES'!X:X)</f>
        <v>-1.4444444444444444</v>
      </c>
      <c r="F102" s="72">
        <f>+_xlfn.XLOOKUP(Tabla6[[#This Row],[ID CLIENTE]],'RESUMEN CLIENTES'!D:D,'RESUMEN CLIENTES'!W:W)</f>
        <v>0</v>
      </c>
      <c r="G102" s="17">
        <v>45814</v>
      </c>
      <c r="H102" s="44" t="s">
        <v>81</v>
      </c>
      <c r="I102" s="2">
        <v>1000</v>
      </c>
      <c r="J102" s="20" t="s">
        <v>4805</v>
      </c>
      <c r="K102" t="s">
        <v>4806</v>
      </c>
      <c r="L102" s="44" t="str" cm="1">
        <f t="array" ref="L102">+_xlfn.IFS(COUNTIF(INGRESOS!E:E,Tabla6[[#This Row],[ID FACTURA]])=1,"PAGADA",Tabla6[[#This Row],[ID FACTURA]]&lt;&gt;0,"EMITIDA",Tabla6[[#This Row],[ID FACTURA]]=0,"POR EMITIR")</f>
        <v>PAGADA</v>
      </c>
      <c r="M102" s="55">
        <f>+IF(Tabla6[[#This Row],[ESTADO FACTURA]]="PAGADA",Tabla6[[#This Row],[FECHA]]-_xlfn.XLOOKUP(Tabla6[[#This Row],[N° FACTURA]],INGRESOS!F:F,INGRESOS!A:A),"-")</f>
        <v>0</v>
      </c>
      <c r="N102" s="2"/>
      <c r="O102"/>
    </row>
    <row r="103" spans="1:15" ht="14.75" customHeight="1">
      <c r="A103" s="320" t="s">
        <v>278</v>
      </c>
      <c r="B103" t="str">
        <f>+_xlfn.XLOOKUP(Tabla6[[#This Row],[ID CLIENTE]],'RESUMEN CLIENTES'!D:D,'RESUMEN CLIENTES'!A:A)</f>
        <v>Liliana María Moreno Martinez</v>
      </c>
      <c r="C103" t="str">
        <f>+_xlfn.XLOOKUP(Tabla6[[#This Row],[ID CLIENTE]],'RESUMEN CLIENTES'!D:D,'RESUMEN CLIENTES'!C:C)</f>
        <v>El Salvador</v>
      </c>
      <c r="D103" s="44" t="str">
        <f>+_xlfn.XLOOKUP(Tabla6[[#This Row],[ID CLIENTE]],'RESUMEN CLIENTES'!D:D,'RESUMEN CLIENTES'!M:M)</f>
        <v>ELIMINADO</v>
      </c>
      <c r="E103" s="72">
        <f>+_xlfn.XLOOKUP(Tabla6[[#This Row],[NOMBRE]],'RESUMEN CLIENTES'!A:A,'RESUMEN CLIENTES'!X:X)</f>
        <v>-1.4444444444444444</v>
      </c>
      <c r="F103" s="72">
        <f>+_xlfn.XLOOKUP(Tabla6[[#This Row],[ID CLIENTE]],'RESUMEN CLIENTES'!D:D,'RESUMEN CLIENTES'!W:W)</f>
        <v>0</v>
      </c>
      <c r="G103" s="17">
        <v>45814</v>
      </c>
      <c r="H103" s="44" t="s">
        <v>81</v>
      </c>
      <c r="I103" s="2">
        <v>1000</v>
      </c>
      <c r="J103" s="20" t="s">
        <v>308</v>
      </c>
      <c r="K103" t="s">
        <v>309</v>
      </c>
      <c r="L103" s="44" t="str" cm="1">
        <f t="array" ref="L103">+_xlfn.IFS(COUNTIF(INGRESOS!E:E,Tabla6[[#This Row],[ID FACTURA]])=1,"PAGADA",Tabla6[[#This Row],[ID FACTURA]]&lt;&gt;0,"EMITIDA",Tabla6[[#This Row],[ID FACTURA]]=0,"POR EMITIR")</f>
        <v>PAGADA</v>
      </c>
      <c r="M103" s="55">
        <f>+IF(Tabla6[[#This Row],[ESTADO FACTURA]]="PAGADA",Tabla6[[#This Row],[FECHA]]-_xlfn.XLOOKUP(Tabla6[[#This Row],[N° FACTURA]],INGRESOS!F:F,INGRESOS!A:A),"-")</f>
        <v>0</v>
      </c>
      <c r="N103" s="2"/>
      <c r="O103"/>
    </row>
    <row r="104" spans="1:15" ht="14.75" customHeight="1">
      <c r="A104" s="320" t="s">
        <v>253</v>
      </c>
      <c r="B104" t="str">
        <f>+_xlfn.XLOOKUP(Tabla6[[#This Row],[ID CLIENTE]],'RESUMEN CLIENTES'!D:D,'RESUMEN CLIENTES'!A:A)</f>
        <v>Diego Alonso Salazar Palacios</v>
      </c>
      <c r="C104" t="str">
        <f>+_xlfn.XLOOKUP(Tabla6[[#This Row],[ID CLIENTE]],'RESUMEN CLIENTES'!D:D,'RESUMEN CLIENTES'!C:C)</f>
        <v>Perú</v>
      </c>
      <c r="D104" s="44" t="str">
        <f>+_xlfn.XLOOKUP(Tabla6[[#This Row],[ID CLIENTE]],'RESUMEN CLIENTES'!D:D,'RESUMEN CLIENTES'!M:M)</f>
        <v>OK</v>
      </c>
      <c r="E104" s="72">
        <f>+_xlfn.XLOOKUP(Tabla6[[#This Row],[NOMBRE]],'RESUMEN CLIENTES'!A:A,'RESUMEN CLIENTES'!X:X)</f>
        <v>0.18560606059988707</v>
      </c>
      <c r="F104" s="72">
        <f>+_xlfn.XLOOKUP(Tabla6[[#This Row],[ID CLIENTE]],'RESUMEN CLIENTES'!D:D,'RESUMEN CLIENTES'!W:W)</f>
        <v>1</v>
      </c>
      <c r="G104" s="17">
        <v>45816</v>
      </c>
      <c r="H104" s="44" t="s">
        <v>81</v>
      </c>
      <c r="I104" s="2">
        <v>1750</v>
      </c>
      <c r="J104" s="20" t="s">
        <v>310</v>
      </c>
      <c r="K104" t="s">
        <v>311</v>
      </c>
      <c r="L104" s="44" t="str" cm="1">
        <f t="array" ref="L104">+_xlfn.IFS(COUNTIF(INGRESOS!E:E,Tabla6[[#This Row],[ID FACTURA]])=1,"PAGADA",Tabla6[[#This Row],[ID FACTURA]]&lt;&gt;0,"EMITIDA",Tabla6[[#This Row],[ID FACTURA]]=0,"POR EMITIR")</f>
        <v>PAGADA</v>
      </c>
      <c r="M104" s="55">
        <f>+IF(Tabla6[[#This Row],[ESTADO FACTURA]]="PAGADA",Tabla6[[#This Row],[FECHA]]-_xlfn.XLOOKUP(Tabla6[[#This Row],[N° FACTURA]],INGRESOS!F:F,INGRESOS!A:A),"-")</f>
        <v>0</v>
      </c>
      <c r="N104" s="2"/>
      <c r="O104"/>
    </row>
    <row r="105" spans="1:15" ht="14.75" customHeight="1">
      <c r="A105" s="320" t="s">
        <v>278</v>
      </c>
      <c r="B105" t="str">
        <f>+_xlfn.XLOOKUP(Tabla6[[#This Row],[ID CLIENTE]],'RESUMEN CLIENTES'!D:D,'RESUMEN CLIENTES'!A:A)</f>
        <v>Liliana María Moreno Martinez</v>
      </c>
      <c r="C105" t="str">
        <f>+_xlfn.XLOOKUP(Tabla6[[#This Row],[ID CLIENTE]],'RESUMEN CLIENTES'!D:D,'RESUMEN CLIENTES'!C:C)</f>
        <v>El Salvador</v>
      </c>
      <c r="D105" s="44" t="str">
        <f>+_xlfn.XLOOKUP(Tabla6[[#This Row],[ID CLIENTE]],'RESUMEN CLIENTES'!D:D,'RESUMEN CLIENTES'!M:M)</f>
        <v>ELIMINADO</v>
      </c>
      <c r="E105" s="72">
        <f>+_xlfn.XLOOKUP(Tabla6[[#This Row],[NOMBRE]],'RESUMEN CLIENTES'!A:A,'RESUMEN CLIENTES'!X:X)</f>
        <v>-1.4444444444444444</v>
      </c>
      <c r="F105" s="72">
        <f>+_xlfn.XLOOKUP(Tabla6[[#This Row],[ID CLIENTE]],'RESUMEN CLIENTES'!D:D,'RESUMEN CLIENTES'!W:W)</f>
        <v>0</v>
      </c>
      <c r="G105" s="17">
        <v>45816</v>
      </c>
      <c r="H105" s="44" t="s">
        <v>81</v>
      </c>
      <c r="I105" s="2">
        <v>1000</v>
      </c>
      <c r="J105" s="20" t="s">
        <v>312</v>
      </c>
      <c r="K105" t="s">
        <v>313</v>
      </c>
      <c r="L105" s="44" t="str" cm="1">
        <f t="array" ref="L105">+_xlfn.IFS(COUNTIF(INGRESOS!E:E,Tabla6[[#This Row],[ID FACTURA]])=1,"PAGADA",Tabla6[[#This Row],[ID FACTURA]]&lt;&gt;0,"EMITIDA",Tabla6[[#This Row],[ID FACTURA]]=0,"POR EMITIR")</f>
        <v>PAGADA</v>
      </c>
      <c r="M105" s="55">
        <f>+IF(Tabla6[[#This Row],[ESTADO FACTURA]]="PAGADA",Tabla6[[#This Row],[FECHA]]-_xlfn.XLOOKUP(Tabla6[[#This Row],[N° FACTURA]],INGRESOS!F:F,INGRESOS!A:A),"-")</f>
        <v>0</v>
      </c>
      <c r="N105" s="2"/>
      <c r="O105"/>
    </row>
    <row r="106" spans="1:15" ht="14.75" customHeight="1">
      <c r="A106" s="320" t="s">
        <v>314</v>
      </c>
      <c r="B106" t="str">
        <f>+_xlfn.XLOOKUP(Tabla6[[#This Row],[ID CLIENTE]],'RESUMEN CLIENTES'!D:D,'RESUMEN CLIENTES'!A:A)</f>
        <v>Miguel Angel Sisalima Shiña</v>
      </c>
      <c r="C106" t="str">
        <f>+_xlfn.XLOOKUP(Tabla6[[#This Row],[ID CLIENTE]],'RESUMEN CLIENTES'!D:D,'RESUMEN CLIENTES'!C:C)</f>
        <v>Ecuador</v>
      </c>
      <c r="D106" s="44" t="str">
        <f>+_xlfn.XLOOKUP(Tabla6[[#This Row],[ID CLIENTE]],'RESUMEN CLIENTES'!D:D,'RESUMEN CLIENTES'!M:M)</f>
        <v>OK</v>
      </c>
      <c r="E106" s="72">
        <f>+_xlfn.XLOOKUP(Tabla6[[#This Row],[NOMBRE]],'RESUMEN CLIENTES'!A:A,'RESUMEN CLIENTES'!X:X)</f>
        <v>0.6</v>
      </c>
      <c r="F106" s="72">
        <f>+_xlfn.XLOOKUP(Tabla6[[#This Row],[ID CLIENTE]],'RESUMEN CLIENTES'!D:D,'RESUMEN CLIENTES'!W:W)</f>
        <v>0</v>
      </c>
      <c r="G106" s="17">
        <v>45816</v>
      </c>
      <c r="H106" s="44" t="s">
        <v>81</v>
      </c>
      <c r="I106" s="2">
        <v>250</v>
      </c>
      <c r="J106" s="20" t="s">
        <v>315</v>
      </c>
      <c r="K106" t="s">
        <v>316</v>
      </c>
      <c r="L106" s="44" t="str" cm="1">
        <f t="array" ref="L106">+_xlfn.IFS(COUNTIF(INGRESOS!E:E,Tabla6[[#This Row],[ID FACTURA]])=1,"PAGADA",Tabla6[[#This Row],[ID FACTURA]]&lt;&gt;0,"EMITIDA",Tabla6[[#This Row],[ID FACTURA]]=0,"POR EMITIR")</f>
        <v>PAGADA</v>
      </c>
      <c r="M106" s="55">
        <f>+IF(Tabla6[[#This Row],[ESTADO FACTURA]]="PAGADA",Tabla6[[#This Row],[FECHA]]-_xlfn.XLOOKUP(Tabla6[[#This Row],[N° FACTURA]],INGRESOS!F:F,INGRESOS!A:A),"-")</f>
        <v>0</v>
      </c>
      <c r="N106" s="2"/>
      <c r="O106"/>
    </row>
    <row r="107" spans="1:15" ht="14.75" customHeight="1">
      <c r="A107" s="320" t="s">
        <v>319</v>
      </c>
      <c r="B107" t="str">
        <f>+_xlfn.XLOOKUP(Tabla6[[#This Row],[ID CLIENTE]],'RESUMEN CLIENTES'!D:D,'RESUMEN CLIENTES'!A:A)</f>
        <v>Brandon Alcantara Gallegos</v>
      </c>
      <c r="C107" t="str">
        <f>+_xlfn.XLOOKUP(Tabla6[[#This Row],[ID CLIENTE]],'RESUMEN CLIENTES'!D:D,'RESUMEN CLIENTES'!C:C)</f>
        <v>México</v>
      </c>
      <c r="D107" s="44" t="str">
        <f>+_xlfn.XLOOKUP(Tabla6[[#This Row],[ID CLIENTE]],'RESUMEN CLIENTES'!D:D,'RESUMEN CLIENTES'!M:M)</f>
        <v>SUSPENDIDO</v>
      </c>
      <c r="E107" s="72">
        <f>+_xlfn.XLOOKUP(Tabla6[[#This Row],[NOMBRE]],'RESUMEN CLIENTES'!A:A,'RESUMEN CLIENTES'!X:X)</f>
        <v>0</v>
      </c>
      <c r="F107" s="72">
        <f>+_xlfn.XLOOKUP(Tabla6[[#This Row],[ID CLIENTE]],'RESUMEN CLIENTES'!D:D,'RESUMEN CLIENTES'!W:W)</f>
        <v>0</v>
      </c>
      <c r="G107" s="17">
        <v>45819</v>
      </c>
      <c r="H107" s="44" t="s">
        <v>81</v>
      </c>
      <c r="I107" s="2">
        <v>1000</v>
      </c>
      <c r="J107" s="20" t="s">
        <v>320</v>
      </c>
      <c r="K107" t="s">
        <v>321</v>
      </c>
      <c r="L107" s="44" t="str" cm="1">
        <f t="array" ref="L107">+_xlfn.IFS(COUNTIF(INGRESOS!E:E,Tabla6[[#This Row],[ID FACTURA]])=1,"PAGADA",Tabla6[[#This Row],[ID FACTURA]]&lt;&gt;0,"EMITIDA",Tabla6[[#This Row],[ID FACTURA]]=0,"POR EMITIR")</f>
        <v>PAGADA</v>
      </c>
      <c r="M107" s="55">
        <f>+IF(Tabla6[[#This Row],[ESTADO FACTURA]]="PAGADA",Tabla6[[#This Row],[FECHA]]-_xlfn.XLOOKUP(Tabla6[[#This Row],[N° FACTURA]],INGRESOS!F:F,INGRESOS!A:A),"-")</f>
        <v>0</v>
      </c>
      <c r="N107" s="2"/>
      <c r="O107"/>
    </row>
    <row r="108" spans="1:15" ht="14.75" customHeight="1">
      <c r="A108" s="320" t="s">
        <v>322</v>
      </c>
      <c r="B108" t="str">
        <f>+_xlfn.XLOOKUP(Tabla6[[#This Row],[ID CLIENTE]],'RESUMEN CLIENTES'!D:D,'RESUMEN CLIENTES'!A:A)</f>
        <v>Mauricio Ignacio Alcayaga Romo</v>
      </c>
      <c r="C108" t="str">
        <f>+_xlfn.XLOOKUP(Tabla6[[#This Row],[ID CLIENTE]],'RESUMEN CLIENTES'!D:D,'RESUMEN CLIENTES'!C:C)</f>
        <v>Chile</v>
      </c>
      <c r="D108" s="44" t="str">
        <f>+_xlfn.XLOOKUP(Tabla6[[#This Row],[ID CLIENTE]],'RESUMEN CLIENTES'!D:D,'RESUMEN CLIENTES'!M:M)</f>
        <v>OK</v>
      </c>
      <c r="E108" s="72">
        <f>+_xlfn.XLOOKUP(Tabla6[[#This Row],[NOMBRE]],'RESUMEN CLIENTES'!A:A,'RESUMEN CLIENTES'!X:X)</f>
        <v>-0.3</v>
      </c>
      <c r="F108" s="72">
        <f>+_xlfn.XLOOKUP(Tabla6[[#This Row],[ID CLIENTE]],'RESUMEN CLIENTES'!D:D,'RESUMEN CLIENTES'!W:W)</f>
        <v>0</v>
      </c>
      <c r="G108" s="17">
        <v>45819</v>
      </c>
      <c r="H108" s="44" t="s">
        <v>81</v>
      </c>
      <c r="I108" s="2">
        <v>250</v>
      </c>
      <c r="J108" s="20" t="s">
        <v>323</v>
      </c>
      <c r="K108" t="s">
        <v>324</v>
      </c>
      <c r="L108" s="44" t="str" cm="1">
        <f t="array" ref="L108">+_xlfn.IFS(COUNTIF(INGRESOS!E:E,Tabla6[[#This Row],[ID FACTURA]])=1,"PAGADA",Tabla6[[#This Row],[ID FACTURA]]&lt;&gt;0,"EMITIDA",Tabla6[[#This Row],[ID FACTURA]]=0,"POR EMITIR")</f>
        <v>PAGADA</v>
      </c>
      <c r="M108" s="55">
        <f>+IF(Tabla6[[#This Row],[ESTADO FACTURA]]="PAGADA",Tabla6[[#This Row],[FECHA]]-_xlfn.XLOOKUP(Tabla6[[#This Row],[N° FACTURA]],INGRESOS!F:F,INGRESOS!A:A),"-")</f>
        <v>0</v>
      </c>
      <c r="N108" s="2"/>
      <c r="O108"/>
    </row>
    <row r="109" spans="1:15" ht="14.75" customHeight="1">
      <c r="A109" s="320" t="s">
        <v>325</v>
      </c>
      <c r="B109" t="str">
        <f>+_xlfn.XLOOKUP(Tabla6[[#This Row],[ID CLIENTE]],'RESUMEN CLIENTES'!D:D,'RESUMEN CLIENTES'!A:A)</f>
        <v>Andrea Cristina Estrada Morocho</v>
      </c>
      <c r="C109" t="str">
        <f>+_xlfn.XLOOKUP(Tabla6[[#This Row],[ID CLIENTE]],'RESUMEN CLIENTES'!D:D,'RESUMEN CLIENTES'!C:C)</f>
        <v>Ecuador</v>
      </c>
      <c r="D109" s="44" t="str">
        <f>+_xlfn.XLOOKUP(Tabla6[[#This Row],[ID CLIENTE]],'RESUMEN CLIENTES'!D:D,'RESUMEN CLIENTES'!M:M)</f>
        <v>OK</v>
      </c>
      <c r="E109" s="72">
        <f>+_xlfn.XLOOKUP(Tabla6[[#This Row],[NOMBRE]],'RESUMEN CLIENTES'!A:A,'RESUMEN CLIENTES'!X:X)</f>
        <v>-3.6666666666666665</v>
      </c>
      <c r="F109" s="72">
        <f>+_xlfn.XLOOKUP(Tabla6[[#This Row],[ID CLIENTE]],'RESUMEN CLIENTES'!D:D,'RESUMEN CLIENTES'!W:W)</f>
        <v>1</v>
      </c>
      <c r="G109" s="17">
        <v>45820</v>
      </c>
      <c r="H109" s="44" t="s">
        <v>81</v>
      </c>
      <c r="I109" s="2">
        <v>500</v>
      </c>
      <c r="J109" s="20" t="s">
        <v>326</v>
      </c>
      <c r="K109" t="s">
        <v>327</v>
      </c>
      <c r="L109" s="44" t="str" cm="1">
        <f t="array" ref="L109">+_xlfn.IFS(COUNTIF(INGRESOS!E:E,Tabla6[[#This Row],[ID FACTURA]])=1,"PAGADA",Tabla6[[#This Row],[ID FACTURA]]&lt;&gt;0,"EMITIDA",Tabla6[[#This Row],[ID FACTURA]]=0,"POR EMITIR")</f>
        <v>PAGADA</v>
      </c>
      <c r="M109" s="55">
        <f>+IF(Tabla6[[#This Row],[ESTADO FACTURA]]="PAGADA",Tabla6[[#This Row],[FECHA]]-_xlfn.XLOOKUP(Tabla6[[#This Row],[N° FACTURA]],INGRESOS!F:F,INGRESOS!A:A),"-")</f>
        <v>-11</v>
      </c>
      <c r="N109" s="2"/>
      <c r="O109"/>
    </row>
    <row r="110" spans="1:15" ht="14.75" customHeight="1">
      <c r="A110" s="320" t="s">
        <v>319</v>
      </c>
      <c r="B110" t="str">
        <f>+_xlfn.XLOOKUP(Tabla6[[#This Row],[ID CLIENTE]],'RESUMEN CLIENTES'!D:D,'RESUMEN CLIENTES'!A:A)</f>
        <v>Brandon Alcantara Gallegos</v>
      </c>
      <c r="C110" t="str">
        <f>+_xlfn.XLOOKUP(Tabla6[[#This Row],[ID CLIENTE]],'RESUMEN CLIENTES'!D:D,'RESUMEN CLIENTES'!C:C)</f>
        <v>México</v>
      </c>
      <c r="D110" s="44" t="str">
        <f>+_xlfn.XLOOKUP(Tabla6[[#This Row],[ID CLIENTE]],'RESUMEN CLIENTES'!D:D,'RESUMEN CLIENTES'!M:M)</f>
        <v>SUSPENDIDO</v>
      </c>
      <c r="E110" s="72">
        <f>+_xlfn.XLOOKUP(Tabla6[[#This Row],[NOMBRE]],'RESUMEN CLIENTES'!A:A,'RESUMEN CLIENTES'!X:X)</f>
        <v>0</v>
      </c>
      <c r="F110" s="72">
        <f>+_xlfn.XLOOKUP(Tabla6[[#This Row],[ID CLIENTE]],'RESUMEN CLIENTES'!D:D,'RESUMEN CLIENTES'!W:W)</f>
        <v>0</v>
      </c>
      <c r="G110" s="17">
        <v>45820</v>
      </c>
      <c r="H110" s="44" t="s">
        <v>81</v>
      </c>
      <c r="I110" s="2">
        <v>1000</v>
      </c>
      <c r="J110" s="20" t="s">
        <v>328</v>
      </c>
      <c r="K110" t="s">
        <v>329</v>
      </c>
      <c r="L110" s="44" t="str" cm="1">
        <f t="array" ref="L110">+_xlfn.IFS(COUNTIF(INGRESOS!E:E,Tabla6[[#This Row],[ID FACTURA]])=1,"PAGADA",Tabla6[[#This Row],[ID FACTURA]]&lt;&gt;0,"EMITIDA",Tabla6[[#This Row],[ID FACTURA]]=0,"POR EMITIR")</f>
        <v>PAGADA</v>
      </c>
      <c r="M110" s="55">
        <f>+IF(Tabla6[[#This Row],[ESTADO FACTURA]]="PAGADA",Tabla6[[#This Row],[FECHA]]-_xlfn.XLOOKUP(Tabla6[[#This Row],[N° FACTURA]],INGRESOS!F:F,INGRESOS!A:A),"-")</f>
        <v>0</v>
      </c>
      <c r="N110" s="2"/>
      <c r="O110"/>
    </row>
    <row r="111" spans="1:15" ht="14.75" customHeight="1">
      <c r="A111" s="320" t="s">
        <v>330</v>
      </c>
      <c r="B111" t="str">
        <f>+_xlfn.XLOOKUP(Tabla6[[#This Row],[ID CLIENTE]],'RESUMEN CLIENTES'!D:D,'RESUMEN CLIENTES'!A:A)</f>
        <v>Jorge Andrés Barrera Vásquez</v>
      </c>
      <c r="C111" t="str">
        <f>+_xlfn.XLOOKUP(Tabla6[[#This Row],[ID CLIENTE]],'RESUMEN CLIENTES'!D:D,'RESUMEN CLIENTES'!C:C)</f>
        <v>Ecuador</v>
      </c>
      <c r="D111" s="44" t="str">
        <f>+_xlfn.XLOOKUP(Tabla6[[#This Row],[ID CLIENTE]],'RESUMEN CLIENTES'!D:D,'RESUMEN CLIENTES'!M:M)</f>
        <v>ELIMINADO</v>
      </c>
      <c r="E111" s="72">
        <f>+_xlfn.XLOOKUP(Tabla6[[#This Row],[NOMBRE]],'RESUMEN CLIENTES'!A:A,'RESUMEN CLIENTES'!X:X)</f>
        <v>0</v>
      </c>
      <c r="F111" s="72">
        <f>+_xlfn.XLOOKUP(Tabla6[[#This Row],[ID CLIENTE]],'RESUMEN CLIENTES'!D:D,'RESUMEN CLIENTES'!W:W)</f>
        <v>0</v>
      </c>
      <c r="G111" s="17">
        <v>45820</v>
      </c>
      <c r="H111" s="44" t="s">
        <v>81</v>
      </c>
      <c r="I111" s="2">
        <v>250</v>
      </c>
      <c r="J111" s="20" t="s">
        <v>331</v>
      </c>
      <c r="K111" t="s">
        <v>332</v>
      </c>
      <c r="L111" s="44" t="str" cm="1">
        <f t="array" ref="L111">+_xlfn.IFS(COUNTIF(INGRESOS!E:E,Tabla6[[#This Row],[ID FACTURA]])=1,"PAGADA",Tabla6[[#This Row],[ID FACTURA]]&lt;&gt;0,"EMITIDA",Tabla6[[#This Row],[ID FACTURA]]=0,"POR EMITIR")</f>
        <v>PAGADA</v>
      </c>
      <c r="M111" s="55">
        <f>+IF(Tabla6[[#This Row],[ESTADO FACTURA]]="PAGADA",Tabla6[[#This Row],[FECHA]]-_xlfn.XLOOKUP(Tabla6[[#This Row],[N° FACTURA]],INGRESOS!F:F,INGRESOS!A:A),"-")</f>
        <v>0</v>
      </c>
      <c r="N111" s="2"/>
      <c r="O111"/>
    </row>
    <row r="112" spans="1:15" ht="14.75" customHeight="1">
      <c r="A112" s="320" t="s">
        <v>333</v>
      </c>
      <c r="B112" t="str">
        <f>+_xlfn.XLOOKUP(Tabla6[[#This Row],[ID CLIENTE]],'RESUMEN CLIENTES'!D:D,'RESUMEN CLIENTES'!A:A)</f>
        <v>Jorge Augusto Cámbara Vargas</v>
      </c>
      <c r="C112" t="str">
        <f>+_xlfn.XLOOKUP(Tabla6[[#This Row],[ID CLIENTE]],'RESUMEN CLIENTES'!D:D,'RESUMEN CLIENTES'!C:C)</f>
        <v>Guatemala</v>
      </c>
      <c r="D112" s="44" t="str">
        <f>+_xlfn.XLOOKUP(Tabla6[[#This Row],[ID CLIENTE]],'RESUMEN CLIENTES'!D:D,'RESUMEN CLIENTES'!M:M)</f>
        <v>OK</v>
      </c>
      <c r="E112" s="72">
        <f>+_xlfn.XLOOKUP(Tabla6[[#This Row],[NOMBRE]],'RESUMEN CLIENTES'!A:A,'RESUMEN CLIENTES'!X:X)</f>
        <v>0.1157407407331953</v>
      </c>
      <c r="F112" s="72">
        <f>+_xlfn.XLOOKUP(Tabla6[[#This Row],[ID CLIENTE]],'RESUMEN CLIENTES'!D:D,'RESUMEN CLIENTES'!W:W)</f>
        <v>1</v>
      </c>
      <c r="G112" s="17">
        <v>45821</v>
      </c>
      <c r="H112" s="44" t="s">
        <v>81</v>
      </c>
      <c r="I112" s="2">
        <v>500</v>
      </c>
      <c r="J112" s="20" t="s">
        <v>334</v>
      </c>
      <c r="K112" t="s">
        <v>335</v>
      </c>
      <c r="L112" s="44" t="str" cm="1">
        <f t="array" ref="L112">+_xlfn.IFS(COUNTIF(INGRESOS!E:E,Tabla6[[#This Row],[ID FACTURA]])=1,"PAGADA",Tabla6[[#This Row],[ID FACTURA]]&lt;&gt;0,"EMITIDA",Tabla6[[#This Row],[ID FACTURA]]=0,"POR EMITIR")</f>
        <v>PAGADA</v>
      </c>
      <c r="M112" s="55">
        <f>+IF(Tabla6[[#This Row],[ESTADO FACTURA]]="PAGADA",Tabla6[[#This Row],[FECHA]]-_xlfn.XLOOKUP(Tabla6[[#This Row],[N° FACTURA]],INGRESOS!F:F,INGRESOS!A:A),"-")</f>
        <v>0</v>
      </c>
      <c r="N112" s="2"/>
      <c r="O112"/>
    </row>
    <row r="113" spans="1:15" ht="14.75" customHeight="1">
      <c r="A113" s="320" t="s">
        <v>258</v>
      </c>
      <c r="B113" t="str">
        <f>+_xlfn.XLOOKUP(Tabla6[[#This Row],[ID CLIENTE]],'RESUMEN CLIENTES'!D:D,'RESUMEN CLIENTES'!A:A)</f>
        <v>Maria Laura Rios Pino</v>
      </c>
      <c r="C113" t="str">
        <f>+_xlfn.XLOOKUP(Tabla6[[#This Row],[ID CLIENTE]],'RESUMEN CLIENTES'!D:D,'RESUMEN CLIENTES'!C:C)</f>
        <v>Perú</v>
      </c>
      <c r="D113" s="44" t="str">
        <f>+_xlfn.XLOOKUP(Tabla6[[#This Row],[ID CLIENTE]],'RESUMEN CLIENTES'!D:D,'RESUMEN CLIENTES'!M:M)</f>
        <v>OK</v>
      </c>
      <c r="E113" s="72">
        <f>+_xlfn.XLOOKUP(Tabla6[[#This Row],[NOMBRE]],'RESUMEN CLIENTES'!A:A,'RESUMEN CLIENTES'!X:X)</f>
        <v>1.4545454545454546</v>
      </c>
      <c r="F113" s="72">
        <f>+_xlfn.XLOOKUP(Tabla6[[#This Row],[ID CLIENTE]],'RESUMEN CLIENTES'!D:D,'RESUMEN CLIENTES'!W:W)</f>
        <v>0</v>
      </c>
      <c r="G113" s="17">
        <v>45821</v>
      </c>
      <c r="H113" s="44" t="s">
        <v>81</v>
      </c>
      <c r="I113" s="19">
        <v>1000</v>
      </c>
      <c r="J113" s="20" t="s">
        <v>336</v>
      </c>
      <c r="K113" t="s">
        <v>337</v>
      </c>
      <c r="L113" s="44" t="str" cm="1">
        <f t="array" ref="L113">+_xlfn.IFS(COUNTIF(INGRESOS!E:E,Tabla6[[#This Row],[ID FACTURA]])=1,"PAGADA",Tabla6[[#This Row],[ID FACTURA]]&lt;&gt;0,"EMITIDA",Tabla6[[#This Row],[ID FACTURA]]=0,"POR EMITIR")</f>
        <v>PAGADA</v>
      </c>
      <c r="M113" s="55">
        <f>+IF(Tabla6[[#This Row],[ESTADO FACTURA]]="PAGADA",Tabla6[[#This Row],[FECHA]]-_xlfn.XLOOKUP(Tabla6[[#This Row],[N° FACTURA]],INGRESOS!F:F,INGRESOS!A:A),"-")</f>
        <v>-1</v>
      </c>
      <c r="N113" s="19"/>
      <c r="O113"/>
    </row>
    <row r="114" spans="1:15" ht="14.75" customHeight="1">
      <c r="A114" s="320" t="s">
        <v>187</v>
      </c>
      <c r="B114" t="str">
        <f>+_xlfn.XLOOKUP(Tabla6[[#This Row],[ID CLIENTE]],'RESUMEN CLIENTES'!D:D,'RESUMEN CLIENTES'!A:A)</f>
        <v>Alina Maria Cervantes Real</v>
      </c>
      <c r="C114" t="str">
        <f>+_xlfn.XLOOKUP(Tabla6[[#This Row],[ID CLIENTE]],'RESUMEN CLIENTES'!D:D,'RESUMEN CLIENTES'!C:C)</f>
        <v>México</v>
      </c>
      <c r="D114" s="44" t="str">
        <f>+_xlfn.XLOOKUP(Tabla6[[#This Row],[ID CLIENTE]],'RESUMEN CLIENTES'!D:D,'RESUMEN CLIENTES'!M:M)</f>
        <v>OK</v>
      </c>
      <c r="E114" s="72">
        <f>+_xlfn.XLOOKUP(Tabla6[[#This Row],[NOMBRE]],'RESUMEN CLIENTES'!A:A,'RESUMEN CLIENTES'!X:X)</f>
        <v>21.583333333333332</v>
      </c>
      <c r="F114" s="72">
        <f>+_xlfn.XLOOKUP(Tabla6[[#This Row],[ID CLIENTE]],'RESUMEN CLIENTES'!D:D,'RESUMEN CLIENTES'!W:W)</f>
        <v>1</v>
      </c>
      <c r="G114" s="17">
        <v>45823</v>
      </c>
      <c r="H114" s="44" t="s">
        <v>81</v>
      </c>
      <c r="I114" s="2">
        <v>700</v>
      </c>
      <c r="J114" s="20" t="s">
        <v>2562</v>
      </c>
      <c r="K114" t="s">
        <v>2563</v>
      </c>
      <c r="L114" s="44" t="str" cm="1">
        <f t="array" ref="L114">+_xlfn.IFS(COUNTIF(INGRESOS!E:E,Tabla6[[#This Row],[ID FACTURA]])=1,"PAGADA",Tabla6[[#This Row],[ID FACTURA]]&lt;&gt;0,"EMITIDA",Tabla6[[#This Row],[ID FACTURA]]=0,"POR EMITIR")</f>
        <v>PAGADA</v>
      </c>
      <c r="M114" s="55">
        <f>+IF(Tabla6[[#This Row],[ESTADO FACTURA]]="PAGADA",Tabla6[[#This Row],[FECHA]]-_xlfn.XLOOKUP(Tabla6[[#This Row],[N° FACTURA]],INGRESOS!F:F,INGRESOS!A:A),"-")</f>
        <v>18</v>
      </c>
      <c r="N114" s="2"/>
      <c r="O114"/>
    </row>
    <row r="115" spans="1:15" ht="14.75" customHeight="1">
      <c r="A115" s="320" t="s">
        <v>156</v>
      </c>
      <c r="B115" t="str">
        <f>+_xlfn.XLOOKUP(Tabla6[[#This Row],[ID CLIENTE]],'RESUMEN CLIENTES'!D:D,'RESUMEN CLIENTES'!A:A)</f>
        <v>Catalina Andrea Videla Muñoz</v>
      </c>
      <c r="C115" t="str">
        <f>+_xlfn.XLOOKUP(Tabla6[[#This Row],[ID CLIENTE]],'RESUMEN CLIENTES'!D:D,'RESUMEN CLIENTES'!C:C)</f>
        <v>Chile</v>
      </c>
      <c r="D115" s="44" t="str">
        <f>+_xlfn.XLOOKUP(Tabla6[[#This Row],[ID CLIENTE]],'RESUMEN CLIENTES'!D:D,'RESUMEN CLIENTES'!M:M)</f>
        <v>OK</v>
      </c>
      <c r="E115" s="72">
        <f>+_xlfn.XLOOKUP(Tabla6[[#This Row],[NOMBRE]],'RESUMEN CLIENTES'!A:A,'RESUMEN CLIENTES'!X:X)</f>
        <v>1.5454545454545454</v>
      </c>
      <c r="F115" s="72">
        <f>+_xlfn.XLOOKUP(Tabla6[[#This Row],[ID CLIENTE]],'RESUMEN CLIENTES'!D:D,'RESUMEN CLIENTES'!W:W)</f>
        <v>1</v>
      </c>
      <c r="G115" s="17">
        <v>45823</v>
      </c>
      <c r="H115" s="44" t="s">
        <v>81</v>
      </c>
      <c r="I115" s="2">
        <v>1250</v>
      </c>
      <c r="J115" s="20" t="s">
        <v>340</v>
      </c>
      <c r="K115" t="s">
        <v>341</v>
      </c>
      <c r="L115" s="44" t="str" cm="1">
        <f t="array" ref="L115">+_xlfn.IFS(COUNTIF(INGRESOS!E:E,Tabla6[[#This Row],[ID FACTURA]])=1,"PAGADA",Tabla6[[#This Row],[ID FACTURA]]&lt;&gt;0,"EMITIDA",Tabla6[[#This Row],[ID FACTURA]]=0,"POR EMITIR")</f>
        <v>PAGADA</v>
      </c>
      <c r="M115" s="55">
        <f>+IF(Tabla6[[#This Row],[ESTADO FACTURA]]="PAGADA",Tabla6[[#This Row],[FECHA]]-_xlfn.XLOOKUP(Tabla6[[#This Row],[N° FACTURA]],INGRESOS!F:F,INGRESOS!A:A),"-")</f>
        <v>-1</v>
      </c>
      <c r="N115" s="2"/>
      <c r="O115"/>
    </row>
    <row r="116" spans="1:15" ht="14.75" customHeight="1">
      <c r="A116" s="320" t="s">
        <v>95</v>
      </c>
      <c r="B116" t="str">
        <f>+_xlfn.XLOOKUP(Tabla6[[#This Row],[ID CLIENTE]],'RESUMEN CLIENTES'!D:D,'RESUMEN CLIENTES'!A:A)</f>
        <v>Gabriel Alejandro Ortega Moreno</v>
      </c>
      <c r="C116" t="str">
        <f>+_xlfn.XLOOKUP(Tabla6[[#This Row],[ID CLIENTE]],'RESUMEN CLIENTES'!D:D,'RESUMEN CLIENTES'!C:C)</f>
        <v>Ecuador</v>
      </c>
      <c r="D116" s="44" t="str">
        <f>+_xlfn.XLOOKUP(Tabla6[[#This Row],[ID CLIENTE]],'RESUMEN CLIENTES'!D:D,'RESUMEN CLIENTES'!M:M)</f>
        <v>OK</v>
      </c>
      <c r="E116" s="72">
        <f>+_xlfn.XLOOKUP(Tabla6[[#This Row],[NOMBRE]],'RESUMEN CLIENTES'!A:A,'RESUMEN CLIENTES'!X:X)</f>
        <v>-0.1111111111111111</v>
      </c>
      <c r="F116" s="72">
        <f>+_xlfn.XLOOKUP(Tabla6[[#This Row],[ID CLIENTE]],'RESUMEN CLIENTES'!D:D,'RESUMEN CLIENTES'!W:W)</f>
        <v>0</v>
      </c>
      <c r="G116" s="17">
        <v>45823</v>
      </c>
      <c r="H116" s="44" t="s">
        <v>81</v>
      </c>
      <c r="I116" s="2">
        <v>1000</v>
      </c>
      <c r="J116" s="20" t="s">
        <v>342</v>
      </c>
      <c r="K116" t="s">
        <v>343</v>
      </c>
      <c r="L116" s="44" t="str" cm="1">
        <f t="array" ref="L116">+_xlfn.IFS(COUNTIF(INGRESOS!E:E,Tabla6[[#This Row],[ID FACTURA]])=1,"PAGADA",Tabla6[[#This Row],[ID FACTURA]]&lt;&gt;0,"EMITIDA",Tabla6[[#This Row],[ID FACTURA]]=0,"POR EMITIR")</f>
        <v>PAGADA</v>
      </c>
      <c r="M116" s="55">
        <f>+IF(Tabla6[[#This Row],[ESTADO FACTURA]]="PAGADA",Tabla6[[#This Row],[FECHA]]-_xlfn.XLOOKUP(Tabla6[[#This Row],[N° FACTURA]],INGRESOS!F:F,INGRESOS!A:A),"-")</f>
        <v>-2</v>
      </c>
      <c r="N116" s="2"/>
      <c r="O116"/>
    </row>
    <row r="117" spans="1:15" ht="14.75" customHeight="1">
      <c r="A117" s="320" t="s">
        <v>98</v>
      </c>
      <c r="B117" t="str">
        <f>+_xlfn.XLOOKUP(Tabla6[[#This Row],[ID CLIENTE]],'RESUMEN CLIENTES'!D:D,'RESUMEN CLIENTES'!A:A)</f>
        <v>Gabriela Kimberlyn Moran Caiza</v>
      </c>
      <c r="C117" t="str">
        <f>+_xlfn.XLOOKUP(Tabla6[[#This Row],[ID CLIENTE]],'RESUMEN CLIENTES'!D:D,'RESUMEN CLIENTES'!C:C)</f>
        <v>Ecuador</v>
      </c>
      <c r="D117" s="44" t="str">
        <f>+_xlfn.XLOOKUP(Tabla6[[#This Row],[ID CLIENTE]],'RESUMEN CLIENTES'!D:D,'RESUMEN CLIENTES'!M:M)</f>
        <v>OK</v>
      </c>
      <c r="E117" s="72">
        <f>+_xlfn.XLOOKUP(Tabla6[[#This Row],[NOMBRE]],'RESUMEN CLIENTES'!A:A,'RESUMEN CLIENTES'!X:X)</f>
        <v>-1.25</v>
      </c>
      <c r="F117" s="72">
        <f>+_xlfn.XLOOKUP(Tabla6[[#This Row],[ID CLIENTE]],'RESUMEN CLIENTES'!D:D,'RESUMEN CLIENTES'!W:W)</f>
        <v>0</v>
      </c>
      <c r="G117" s="17">
        <v>45823</v>
      </c>
      <c r="H117" s="44" t="s">
        <v>81</v>
      </c>
      <c r="I117" s="2">
        <v>500</v>
      </c>
      <c r="J117" s="20" t="s">
        <v>344</v>
      </c>
      <c r="K117" t="s">
        <v>345</v>
      </c>
      <c r="L117" s="44" t="str" cm="1">
        <f t="array" ref="L117">+_xlfn.IFS(COUNTIF(INGRESOS!E:E,Tabla6[[#This Row],[ID FACTURA]])=1,"PAGADA",Tabla6[[#This Row],[ID FACTURA]]&lt;&gt;0,"EMITIDA",Tabla6[[#This Row],[ID FACTURA]]=0,"POR EMITIR")</f>
        <v>PAGADA</v>
      </c>
      <c r="M117" s="55">
        <f>+IF(Tabla6[[#This Row],[ESTADO FACTURA]]="PAGADA",Tabla6[[#This Row],[FECHA]]-_xlfn.XLOOKUP(Tabla6[[#This Row],[N° FACTURA]],INGRESOS!F:F,INGRESOS!A:A),"-")</f>
        <v>-2</v>
      </c>
      <c r="N117" s="2"/>
      <c r="O117"/>
    </row>
    <row r="118" spans="1:15" ht="14.75" customHeight="1">
      <c r="A118" s="320" t="s">
        <v>103</v>
      </c>
      <c r="B118" t="str">
        <f>+_xlfn.XLOOKUP(Tabla6[[#This Row],[ID CLIENTE]],'RESUMEN CLIENTES'!D:D,'RESUMEN CLIENTES'!A:A)</f>
        <v>Isaac Ricardo Jimenez Campos</v>
      </c>
      <c r="C118" t="str">
        <f>+_xlfn.XLOOKUP(Tabla6[[#This Row],[ID CLIENTE]],'RESUMEN CLIENTES'!D:D,'RESUMEN CLIENTES'!C:C)</f>
        <v>México</v>
      </c>
      <c r="D118" s="44" t="str">
        <f>+_xlfn.XLOOKUP(Tabla6[[#This Row],[ID CLIENTE]],'RESUMEN CLIENTES'!D:D,'RESUMEN CLIENTES'!M:M)</f>
        <v>OK</v>
      </c>
      <c r="E118" s="72">
        <f>+_xlfn.XLOOKUP(Tabla6[[#This Row],[NOMBRE]],'RESUMEN CLIENTES'!A:A,'RESUMEN CLIENTES'!X:X)</f>
        <v>0.5</v>
      </c>
      <c r="F118" s="72">
        <f>+_xlfn.XLOOKUP(Tabla6[[#This Row],[ID CLIENTE]],'RESUMEN CLIENTES'!D:D,'RESUMEN CLIENTES'!W:W)</f>
        <v>1</v>
      </c>
      <c r="G118" s="17">
        <v>45823</v>
      </c>
      <c r="H118" s="44" t="s">
        <v>81</v>
      </c>
      <c r="I118" s="2">
        <v>654</v>
      </c>
      <c r="J118" s="20" t="s">
        <v>346</v>
      </c>
      <c r="K118" t="s">
        <v>347</v>
      </c>
      <c r="L118" s="44" t="str" cm="1">
        <f t="array" ref="L118">+_xlfn.IFS(COUNTIF(INGRESOS!E:E,Tabla6[[#This Row],[ID FACTURA]])=1,"PAGADA",Tabla6[[#This Row],[ID FACTURA]]&lt;&gt;0,"EMITIDA",Tabla6[[#This Row],[ID FACTURA]]=0,"POR EMITIR")</f>
        <v>PAGADA</v>
      </c>
      <c r="M118" s="55">
        <f>+IF(Tabla6[[#This Row],[ESTADO FACTURA]]="PAGADA",Tabla6[[#This Row],[FECHA]]-_xlfn.XLOOKUP(Tabla6[[#This Row],[N° FACTURA]],INGRESOS!F:F,INGRESOS!A:A),"-")</f>
        <v>0</v>
      </c>
      <c r="N118" s="2"/>
      <c r="O118"/>
    </row>
    <row r="119" spans="1:15" ht="14.75" customHeight="1">
      <c r="A119" s="320" t="s">
        <v>136</v>
      </c>
      <c r="B119" t="str">
        <f>+_xlfn.XLOOKUP(Tabla6[[#This Row],[ID CLIENTE]],'RESUMEN CLIENTES'!D:D,'RESUMEN CLIENTES'!A:A)</f>
        <v>Juan Pablo Martínez Cabello</v>
      </c>
      <c r="C119" t="str">
        <f>+_xlfn.XLOOKUP(Tabla6[[#This Row],[ID CLIENTE]],'RESUMEN CLIENTES'!D:D,'RESUMEN CLIENTES'!C:C)</f>
        <v>Chile</v>
      </c>
      <c r="D119" s="44" t="str">
        <f>+_xlfn.XLOOKUP(Tabla6[[#This Row],[ID CLIENTE]],'RESUMEN CLIENTES'!D:D,'RESUMEN CLIENTES'!M:M)</f>
        <v>OK</v>
      </c>
      <c r="E119" s="72">
        <f>+_xlfn.XLOOKUP(Tabla6[[#This Row],[NOMBRE]],'RESUMEN CLIENTES'!A:A,'RESUMEN CLIENTES'!X:X)</f>
        <v>1.5714285714285714</v>
      </c>
      <c r="F119" s="72">
        <f>+_xlfn.XLOOKUP(Tabla6[[#This Row],[ID CLIENTE]],'RESUMEN CLIENTES'!D:D,'RESUMEN CLIENTES'!W:W)</f>
        <v>1</v>
      </c>
      <c r="G119" s="17">
        <v>45823</v>
      </c>
      <c r="H119" s="44" t="s">
        <v>81</v>
      </c>
      <c r="I119" s="2">
        <v>1000</v>
      </c>
      <c r="J119" s="20" t="s">
        <v>348</v>
      </c>
      <c r="K119" t="s">
        <v>349</v>
      </c>
      <c r="L119" s="44" t="str" cm="1">
        <f t="array" ref="L119">+_xlfn.IFS(COUNTIF(INGRESOS!E:E,Tabla6[[#This Row],[ID FACTURA]])=1,"PAGADA",Tabla6[[#This Row],[ID FACTURA]]&lt;&gt;0,"EMITIDA",Tabla6[[#This Row],[ID FACTURA]]=0,"POR EMITIR")</f>
        <v>PAGADA</v>
      </c>
      <c r="M119" s="55">
        <f>+IF(Tabla6[[#This Row],[ESTADO FACTURA]]="PAGADA",Tabla6[[#This Row],[FECHA]]-_xlfn.XLOOKUP(Tabla6[[#This Row],[N° FACTURA]],INGRESOS!F:F,INGRESOS!A:A),"-")</f>
        <v>0</v>
      </c>
      <c r="N119" s="2"/>
      <c r="O119"/>
    </row>
    <row r="120" spans="1:15" ht="14.75" customHeight="1">
      <c r="A120" s="320" t="s">
        <v>242</v>
      </c>
      <c r="B120" t="str">
        <f>+_xlfn.XLOOKUP(Tabla6[[#This Row],[ID CLIENTE]],'RESUMEN CLIENTES'!D:D,'RESUMEN CLIENTES'!A:A)</f>
        <v>Rodrigo Ignacio Rodriguez Frutos</v>
      </c>
      <c r="C120" t="str">
        <f>+_xlfn.XLOOKUP(Tabla6[[#This Row],[ID CLIENTE]],'RESUMEN CLIENTES'!D:D,'RESUMEN CLIENTES'!C:C)</f>
        <v>México</v>
      </c>
      <c r="D120" s="44" t="str">
        <f>+_xlfn.XLOOKUP(Tabla6[[#This Row],[ID CLIENTE]],'RESUMEN CLIENTES'!D:D,'RESUMEN CLIENTES'!M:M)</f>
        <v>OK</v>
      </c>
      <c r="E120" s="72">
        <f>+_xlfn.XLOOKUP(Tabla6[[#This Row],[NOMBRE]],'RESUMEN CLIENTES'!A:A,'RESUMEN CLIENTES'!X:X)</f>
        <v>-1.4285714285714286</v>
      </c>
      <c r="F120" s="72">
        <f>+_xlfn.XLOOKUP(Tabla6[[#This Row],[ID CLIENTE]],'RESUMEN CLIENTES'!D:D,'RESUMEN CLIENTES'!W:W)</f>
        <v>1</v>
      </c>
      <c r="G120" s="17">
        <v>45823</v>
      </c>
      <c r="H120" s="44" t="s">
        <v>81</v>
      </c>
      <c r="I120" s="2">
        <v>2000</v>
      </c>
      <c r="J120" s="20" t="s">
        <v>2575</v>
      </c>
      <c r="K120" t="s">
        <v>2576</v>
      </c>
      <c r="L120" s="44" t="str" cm="1">
        <f t="array" ref="L120">+_xlfn.IFS(COUNTIF(INGRESOS!E:E,Tabla6[[#This Row],[ID FACTURA]])=1,"PAGADA",Tabla6[[#This Row],[ID FACTURA]]&lt;&gt;0,"EMITIDA",Tabla6[[#This Row],[ID FACTURA]]=0,"POR EMITIR")</f>
        <v>PAGADA</v>
      </c>
      <c r="M120" s="55">
        <f>+IF(Tabla6[[#This Row],[ESTADO FACTURA]]="PAGADA",Tabla6[[#This Row],[FECHA]]-_xlfn.XLOOKUP(Tabla6[[#This Row],[N° FACTURA]],INGRESOS!F:F,INGRESOS!A:A),"-")</f>
        <v>3</v>
      </c>
      <c r="N120" s="2"/>
      <c r="O120"/>
    </row>
    <row r="121" spans="1:15" ht="14.75" customHeight="1">
      <c r="A121" s="320" t="s">
        <v>350</v>
      </c>
      <c r="B121" t="str">
        <f>+_xlfn.XLOOKUP(Tabla6[[#This Row],[ID CLIENTE]],'RESUMEN CLIENTES'!D:D,'RESUMEN CLIENTES'!A:A)</f>
        <v>Rainier Guerrero</v>
      </c>
      <c r="C121" t="str">
        <f>+_xlfn.XLOOKUP(Tabla6[[#This Row],[ID CLIENTE]],'RESUMEN CLIENTES'!D:D,'RESUMEN CLIENTES'!C:C)</f>
        <v>México</v>
      </c>
      <c r="D121" s="44" t="str">
        <f>+_xlfn.XLOOKUP(Tabla6[[#This Row],[ID CLIENTE]],'RESUMEN CLIENTES'!D:D,'RESUMEN CLIENTES'!M:M)</f>
        <v>OK</v>
      </c>
      <c r="E121" s="72">
        <f>+_xlfn.XLOOKUP(Tabla6[[#This Row],[NOMBRE]],'RESUMEN CLIENTES'!A:A,'RESUMEN CLIENTES'!X:X)</f>
        <v>-0.3</v>
      </c>
      <c r="F121" s="72">
        <f>+_xlfn.XLOOKUP(Tabla6[[#This Row],[ID CLIENTE]],'RESUMEN CLIENTES'!D:D,'RESUMEN CLIENTES'!W:W)</f>
        <v>1</v>
      </c>
      <c r="G121" s="17">
        <v>45825</v>
      </c>
      <c r="H121" s="44" t="s">
        <v>81</v>
      </c>
      <c r="I121" s="2">
        <v>250</v>
      </c>
      <c r="J121" s="20" t="s">
        <v>351</v>
      </c>
      <c r="K121" t="s">
        <v>352</v>
      </c>
      <c r="L121" s="44" t="str" cm="1">
        <f t="array" ref="L121">+_xlfn.IFS(COUNTIF(INGRESOS!E:E,Tabla6[[#This Row],[ID FACTURA]])=1,"PAGADA",Tabla6[[#This Row],[ID FACTURA]]&lt;&gt;0,"EMITIDA",Tabla6[[#This Row],[ID FACTURA]]=0,"POR EMITIR")</f>
        <v>PAGADA</v>
      </c>
      <c r="M121" s="55">
        <f>+IF(Tabla6[[#This Row],[ESTADO FACTURA]]="PAGADA",Tabla6[[#This Row],[FECHA]]-_xlfn.XLOOKUP(Tabla6[[#This Row],[N° FACTURA]],INGRESOS!F:F,INGRESOS!A:A),"-")</f>
        <v>-2</v>
      </c>
      <c r="N121" s="2"/>
      <c r="O121"/>
    </row>
    <row r="122" spans="1:15" ht="14.75" customHeight="1">
      <c r="A122" s="320" t="s">
        <v>247</v>
      </c>
      <c r="B122" t="str">
        <f>+_xlfn.XLOOKUP(Tabla6[[#This Row],[ID CLIENTE]],'RESUMEN CLIENTES'!D:D,'RESUMEN CLIENTES'!A:A)</f>
        <v>Nancy Gisselle Molinari Cheme</v>
      </c>
      <c r="C122" t="str">
        <f>+_xlfn.XLOOKUP(Tabla6[[#This Row],[ID CLIENTE]],'RESUMEN CLIENTES'!D:D,'RESUMEN CLIENTES'!C:C)</f>
        <v>Perú</v>
      </c>
      <c r="D122" s="44" t="str">
        <f>+_xlfn.XLOOKUP(Tabla6[[#This Row],[ID CLIENTE]],'RESUMEN CLIENTES'!D:D,'RESUMEN CLIENTES'!M:M)</f>
        <v>OK</v>
      </c>
      <c r="E122" s="72">
        <f>+_xlfn.XLOOKUP(Tabla6[[#This Row],[NOMBRE]],'RESUMEN CLIENTES'!A:A,'RESUMEN CLIENTES'!X:X)</f>
        <v>0.9</v>
      </c>
      <c r="F122" s="72">
        <f>+_xlfn.XLOOKUP(Tabla6[[#This Row],[ID CLIENTE]],'RESUMEN CLIENTES'!D:D,'RESUMEN CLIENTES'!W:W)</f>
        <v>1</v>
      </c>
      <c r="G122" s="17">
        <v>45826</v>
      </c>
      <c r="H122" s="44" t="s">
        <v>81</v>
      </c>
      <c r="I122" s="2">
        <v>1000</v>
      </c>
      <c r="J122" s="20" t="s">
        <v>353</v>
      </c>
      <c r="K122" t="s">
        <v>354</v>
      </c>
      <c r="L122" s="44" t="str" cm="1">
        <f t="array" ref="L122">+_xlfn.IFS(COUNTIF(INGRESOS!E:E,Tabla6[[#This Row],[ID FACTURA]])=1,"PAGADA",Tabla6[[#This Row],[ID FACTURA]]&lt;&gt;0,"EMITIDA",Tabla6[[#This Row],[ID FACTURA]]=0,"POR EMITIR")</f>
        <v>PAGADA</v>
      </c>
      <c r="M122" s="55">
        <f>+IF(Tabla6[[#This Row],[ESTADO FACTURA]]="PAGADA",Tabla6[[#This Row],[FECHA]]-_xlfn.XLOOKUP(Tabla6[[#This Row],[N° FACTURA]],INGRESOS!F:F,INGRESOS!A:A),"-")</f>
        <v>2</v>
      </c>
      <c r="N122" s="2"/>
      <c r="O122"/>
    </row>
    <row r="123" spans="1:15" ht="14.75" customHeight="1">
      <c r="A123" s="320" t="s">
        <v>84</v>
      </c>
      <c r="B123" t="str">
        <f>+_xlfn.XLOOKUP(Tabla6[[#This Row],[ID CLIENTE]],'RESUMEN CLIENTES'!D:D,'RESUMEN CLIENTES'!A:A)</f>
        <v>Andrea Corpeño López</v>
      </c>
      <c r="C123" t="str">
        <f>+_xlfn.XLOOKUP(Tabla6[[#This Row],[ID CLIENTE]],'RESUMEN CLIENTES'!D:D,'RESUMEN CLIENTES'!C:C)</f>
        <v>El Salvador</v>
      </c>
      <c r="D123" s="44" t="str">
        <f>+_xlfn.XLOOKUP(Tabla6[[#This Row],[ID CLIENTE]],'RESUMEN CLIENTES'!D:D,'RESUMEN CLIENTES'!M:M)</f>
        <v>OK</v>
      </c>
      <c r="E123" s="72">
        <f>+_xlfn.XLOOKUP(Tabla6[[#This Row],[NOMBRE]],'RESUMEN CLIENTES'!A:A,'RESUMEN CLIENTES'!X:X)</f>
        <v>-0.81818181818181823</v>
      </c>
      <c r="F123" s="72">
        <f>+_xlfn.XLOOKUP(Tabla6[[#This Row],[ID CLIENTE]],'RESUMEN CLIENTES'!D:D,'RESUMEN CLIENTES'!W:W)</f>
        <v>0</v>
      </c>
      <c r="G123" s="17">
        <v>45830</v>
      </c>
      <c r="H123" s="44" t="s">
        <v>81</v>
      </c>
      <c r="I123" s="2">
        <v>513</v>
      </c>
      <c r="J123" s="20" t="s">
        <v>355</v>
      </c>
      <c r="K123" t="s">
        <v>356</v>
      </c>
      <c r="L123" s="44" t="str" cm="1">
        <f t="array" ref="L123">+_xlfn.IFS(COUNTIF(INGRESOS!E:E,Tabla6[[#This Row],[ID FACTURA]])=1,"PAGADA",Tabla6[[#This Row],[ID FACTURA]]&lt;&gt;0,"EMITIDA",Tabla6[[#This Row],[ID FACTURA]]=0,"POR EMITIR")</f>
        <v>PAGADA</v>
      </c>
      <c r="M123" s="55">
        <f>+IF(Tabla6[[#This Row],[ESTADO FACTURA]]="PAGADA",Tabla6[[#This Row],[FECHA]]-_xlfn.XLOOKUP(Tabla6[[#This Row],[N° FACTURA]],INGRESOS!F:F,INGRESOS!A:A),"-")</f>
        <v>-2</v>
      </c>
      <c r="N123" s="2"/>
      <c r="O123"/>
    </row>
    <row r="124" spans="1:15" ht="14.75" customHeight="1">
      <c r="A124" s="320" t="s">
        <v>87</v>
      </c>
      <c r="B124" t="str">
        <f>+_xlfn.XLOOKUP(Tabla6[[#This Row],[ID CLIENTE]],'RESUMEN CLIENTES'!D:D,'RESUMEN CLIENTES'!A:A)</f>
        <v>Jose Marcelo Marroquín Guzmán</v>
      </c>
      <c r="C124" t="str">
        <f>+_xlfn.XLOOKUP(Tabla6[[#This Row],[ID CLIENTE]],'RESUMEN CLIENTES'!D:D,'RESUMEN CLIENTES'!C:C)</f>
        <v>El Salvador</v>
      </c>
      <c r="D124" s="44" t="str">
        <f>+_xlfn.XLOOKUP(Tabla6[[#This Row],[ID CLIENTE]],'RESUMEN CLIENTES'!D:D,'RESUMEN CLIENTES'!M:M)</f>
        <v>OK</v>
      </c>
      <c r="E124" s="72">
        <f>+_xlfn.XLOOKUP(Tabla6[[#This Row],[NOMBRE]],'RESUMEN CLIENTES'!A:A,'RESUMEN CLIENTES'!X:X)</f>
        <v>-1.5833333333333333</v>
      </c>
      <c r="F124" s="72">
        <f>+_xlfn.XLOOKUP(Tabla6[[#This Row],[ID CLIENTE]],'RESUMEN CLIENTES'!D:D,'RESUMEN CLIENTES'!W:W)</f>
        <v>1</v>
      </c>
      <c r="G124" s="17">
        <v>45830</v>
      </c>
      <c r="H124" s="44" t="s">
        <v>81</v>
      </c>
      <c r="I124" s="2">
        <v>513</v>
      </c>
      <c r="J124" s="20" t="s">
        <v>357</v>
      </c>
      <c r="K124" t="s">
        <v>358</v>
      </c>
      <c r="L124" s="44" t="str" cm="1">
        <f t="array" ref="L124">+_xlfn.IFS(COUNTIF(INGRESOS!E:E,Tabla6[[#This Row],[ID FACTURA]])=1,"PAGADA",Tabla6[[#This Row],[ID FACTURA]]&lt;&gt;0,"EMITIDA",Tabla6[[#This Row],[ID FACTURA]]=0,"POR EMITIR")</f>
        <v>PAGADA</v>
      </c>
      <c r="M124" s="55">
        <f>+IF(Tabla6[[#This Row],[ESTADO FACTURA]]="PAGADA",Tabla6[[#This Row],[FECHA]]-_xlfn.XLOOKUP(Tabla6[[#This Row],[N° FACTURA]],INGRESOS!F:F,INGRESOS!A:A),"-")</f>
        <v>-1</v>
      </c>
      <c r="N124" s="2"/>
      <c r="O124" t="s">
        <v>359</v>
      </c>
    </row>
    <row r="125" spans="1:15" ht="14.75" customHeight="1">
      <c r="A125" s="320" t="s">
        <v>250</v>
      </c>
      <c r="B125" t="str">
        <f>+_xlfn.XLOOKUP(Tabla6[[#This Row],[ID CLIENTE]],'RESUMEN CLIENTES'!D:D,'RESUMEN CLIENTES'!A:A)</f>
        <v>Fernanda Castro</v>
      </c>
      <c r="C125" t="str">
        <f>+_xlfn.XLOOKUP(Tabla6[[#This Row],[ID CLIENTE]],'RESUMEN CLIENTES'!D:D,'RESUMEN CLIENTES'!C:C)</f>
        <v>Ecuador</v>
      </c>
      <c r="D125" s="44" t="str">
        <f>+_xlfn.XLOOKUP(Tabla6[[#This Row],[ID CLIENTE]],'RESUMEN CLIENTES'!D:D,'RESUMEN CLIENTES'!M:M)</f>
        <v>OK</v>
      </c>
      <c r="E125" s="72">
        <f>+_xlfn.XLOOKUP(Tabla6[[#This Row],[NOMBRE]],'RESUMEN CLIENTES'!A:A,'RESUMEN CLIENTES'!X:X)</f>
        <v>0</v>
      </c>
      <c r="F125" s="72">
        <f>+_xlfn.XLOOKUP(Tabla6[[#This Row],[ID CLIENTE]],'RESUMEN CLIENTES'!D:D,'RESUMEN CLIENTES'!W:W)</f>
        <v>1</v>
      </c>
      <c r="G125" s="17">
        <v>45831</v>
      </c>
      <c r="H125" s="44" t="s">
        <v>81</v>
      </c>
      <c r="I125" s="2">
        <v>1000</v>
      </c>
      <c r="J125" s="20" t="s">
        <v>360</v>
      </c>
      <c r="K125" t="s">
        <v>361</v>
      </c>
      <c r="L125" s="44" t="str" cm="1">
        <f t="array" ref="L125">+_xlfn.IFS(COUNTIF(INGRESOS!E:E,Tabla6[[#This Row],[ID FACTURA]])=1,"PAGADA",Tabla6[[#This Row],[ID FACTURA]]&lt;&gt;0,"EMITIDA",Tabla6[[#This Row],[ID FACTURA]]=0,"POR EMITIR")</f>
        <v>PAGADA</v>
      </c>
      <c r="M125" s="55">
        <f>+IF(Tabla6[[#This Row],[ESTADO FACTURA]]="PAGADA",Tabla6[[#This Row],[FECHA]]-_xlfn.XLOOKUP(Tabla6[[#This Row],[N° FACTURA]],INGRESOS!F:F,INGRESOS!A:A),"-")</f>
        <v>-1</v>
      </c>
      <c r="N125" s="2"/>
      <c r="O125"/>
    </row>
    <row r="126" spans="1:15" ht="14.75" customHeight="1">
      <c r="A126" s="320" t="s">
        <v>362</v>
      </c>
      <c r="B126" t="str">
        <f>+_xlfn.XLOOKUP(Tabla6[[#This Row],[ID CLIENTE]],'RESUMEN CLIENTES'!D:D,'RESUMEN CLIENTES'!A:A)</f>
        <v>Jessica Ayelén Culla Alvarez</v>
      </c>
      <c r="C126" t="str">
        <f>+_xlfn.XLOOKUP(Tabla6[[#This Row],[ID CLIENTE]],'RESUMEN CLIENTES'!D:D,'RESUMEN CLIENTES'!C:C)</f>
        <v>Argentina</v>
      </c>
      <c r="D126" s="44" t="str">
        <f>+_xlfn.XLOOKUP(Tabla6[[#This Row],[ID CLIENTE]],'RESUMEN CLIENTES'!D:D,'RESUMEN CLIENTES'!M:M)</f>
        <v>OK</v>
      </c>
      <c r="E126" s="72">
        <f>+_xlfn.XLOOKUP(Tabla6[[#This Row],[NOMBRE]],'RESUMEN CLIENTES'!A:A,'RESUMEN CLIENTES'!X:X)</f>
        <v>-2.1538461538461537</v>
      </c>
      <c r="F126" s="72">
        <f>+_xlfn.XLOOKUP(Tabla6[[#This Row],[ID CLIENTE]],'RESUMEN CLIENTES'!D:D,'RESUMEN CLIENTES'!W:W)</f>
        <v>1</v>
      </c>
      <c r="G126" s="17">
        <v>45831</v>
      </c>
      <c r="H126" s="44" t="s">
        <v>81</v>
      </c>
      <c r="I126" s="2">
        <v>250</v>
      </c>
      <c r="J126" s="20" t="s">
        <v>363</v>
      </c>
      <c r="K126" t="s">
        <v>364</v>
      </c>
      <c r="L126" s="44" t="str" cm="1">
        <f t="array" ref="L126">+_xlfn.IFS(COUNTIF(INGRESOS!E:E,Tabla6[[#This Row],[ID FACTURA]])=1,"PAGADA",Tabla6[[#This Row],[ID FACTURA]]&lt;&gt;0,"EMITIDA",Tabla6[[#This Row],[ID FACTURA]]=0,"POR EMITIR")</f>
        <v>PAGADA</v>
      </c>
      <c r="M126" s="55">
        <f>+IF(Tabla6[[#This Row],[ESTADO FACTURA]]="PAGADA",Tabla6[[#This Row],[FECHA]]-_xlfn.XLOOKUP(Tabla6[[#This Row],[N° FACTURA]],INGRESOS!F:F,INGRESOS!A:A),"-")</f>
        <v>1</v>
      </c>
      <c r="N126" s="2"/>
      <c r="O126"/>
    </row>
    <row r="127" spans="1:15" ht="14.75" customHeight="1">
      <c r="A127" s="320" t="s">
        <v>266</v>
      </c>
      <c r="B127" t="str">
        <f>+_xlfn.XLOOKUP(Tabla6[[#This Row],[ID CLIENTE]],'RESUMEN CLIENTES'!D:D,'RESUMEN CLIENTES'!A:A)</f>
        <v>Juan Camilo Sanchez Ramirez</v>
      </c>
      <c r="C127" t="str">
        <f>+_xlfn.XLOOKUP(Tabla6[[#This Row],[ID CLIENTE]],'RESUMEN CLIENTES'!D:D,'RESUMEN CLIENTES'!C:C)</f>
        <v>Colombia</v>
      </c>
      <c r="D127" s="44" t="str">
        <f>+_xlfn.XLOOKUP(Tabla6[[#This Row],[ID CLIENTE]],'RESUMEN CLIENTES'!D:D,'RESUMEN CLIENTES'!M:M)</f>
        <v>OK</v>
      </c>
      <c r="E127" s="72">
        <f>+_xlfn.XLOOKUP(Tabla6[[#This Row],[NOMBRE]],'RESUMEN CLIENTES'!A:A,'RESUMEN CLIENTES'!X:X)</f>
        <v>0.2</v>
      </c>
      <c r="F127" s="72">
        <f>+_xlfn.XLOOKUP(Tabla6[[#This Row],[ID CLIENTE]],'RESUMEN CLIENTES'!D:D,'RESUMEN CLIENTES'!W:W)</f>
        <v>0</v>
      </c>
      <c r="G127" s="17">
        <v>45832</v>
      </c>
      <c r="H127" s="44" t="s">
        <v>81</v>
      </c>
      <c r="I127" s="2">
        <v>2000</v>
      </c>
      <c r="J127" s="20" t="s">
        <v>365</v>
      </c>
      <c r="K127" s="21" t="s">
        <v>366</v>
      </c>
      <c r="L127" s="44" t="str" cm="1">
        <f t="array" ref="L127">+_xlfn.IFS(COUNTIF(INGRESOS!E:E,Tabla6[[#This Row],[ID FACTURA]])=1,"PAGADA",Tabla6[[#This Row],[ID FACTURA]]&lt;&gt;0,"EMITIDA",Tabla6[[#This Row],[ID FACTURA]]=0,"POR EMITIR")</f>
        <v>PAGADA</v>
      </c>
      <c r="M127" s="55">
        <f>+IF(Tabla6[[#This Row],[ESTADO FACTURA]]="PAGADA",Tabla6[[#This Row],[FECHA]]-_xlfn.XLOOKUP(Tabla6[[#This Row],[N° FACTURA]],INGRESOS!F:F,INGRESOS!A:A),"-")</f>
        <v>0</v>
      </c>
      <c r="N127" s="2"/>
      <c r="O127"/>
    </row>
    <row r="128" spans="1:15" ht="14.75" customHeight="1">
      <c r="A128" s="321" t="s">
        <v>367</v>
      </c>
      <c r="B128" t="str">
        <f>+_xlfn.XLOOKUP(Tabla6[[#This Row],[ID CLIENTE]],'RESUMEN CLIENTES'!D:D,'RESUMEN CLIENTES'!A:A)</f>
        <v>José Miguel Undurraga Saavedra</v>
      </c>
      <c r="C128" t="str">
        <f>+_xlfn.XLOOKUP(Tabla6[[#This Row],[ID CLIENTE]],'RESUMEN CLIENTES'!D:D,'RESUMEN CLIENTES'!C:C)</f>
        <v>Chile</v>
      </c>
      <c r="D128" s="169" t="str">
        <f>+_xlfn.XLOOKUP(Tabla6[[#This Row],[ID CLIENTE]],'RESUMEN CLIENTES'!D:D,'RESUMEN CLIENTES'!M:M)</f>
        <v>OK</v>
      </c>
      <c r="E128" s="71">
        <f>+_xlfn.XLOOKUP(Tabla6[[#This Row],[NOMBRE]],'RESUMEN CLIENTES'!A:A,'RESUMEN CLIENTES'!X:X)</f>
        <v>-11.5</v>
      </c>
      <c r="F128" s="71">
        <f>+_xlfn.XLOOKUP(Tabla6[[#This Row],[ID CLIENTE]],'RESUMEN CLIENTES'!D:D,'RESUMEN CLIENTES'!W:W)</f>
        <v>0</v>
      </c>
      <c r="G128" s="17">
        <v>45833</v>
      </c>
      <c r="H128" s="169" t="s">
        <v>81</v>
      </c>
      <c r="I128" s="2">
        <v>4000</v>
      </c>
      <c r="J128" s="20" t="s">
        <v>368</v>
      </c>
      <c r="K128" t="s">
        <v>369</v>
      </c>
      <c r="L128" s="44" t="str" cm="1">
        <f t="array" ref="L128">+_xlfn.IFS(COUNTIF(INGRESOS!E:E,Tabla6[[#This Row],[ID FACTURA]])=1,"PAGADA",Tabla6[[#This Row],[ID FACTURA]]&lt;&gt;0,"EMITIDA",Tabla6[[#This Row],[ID FACTURA]]=0,"POR EMITIR")</f>
        <v>PAGADA</v>
      </c>
      <c r="M128" s="54">
        <f>+IF(Tabla6[[#This Row],[ESTADO FACTURA]]="PAGADA",Tabla6[[#This Row],[FECHA]]-_xlfn.XLOOKUP(Tabla6[[#This Row],[N° FACTURA]],INGRESOS!F:F,INGRESOS!A:A),"-")</f>
        <v>0</v>
      </c>
      <c r="O128"/>
    </row>
    <row r="129" spans="1:15" ht="14.75" customHeight="1">
      <c r="A129" s="320" t="s">
        <v>322</v>
      </c>
      <c r="B129" t="str">
        <f>+_xlfn.XLOOKUP(Tabla6[[#This Row],[ID CLIENTE]],'RESUMEN CLIENTES'!D:D,'RESUMEN CLIENTES'!A:A)</f>
        <v>Mauricio Ignacio Alcayaga Romo</v>
      </c>
      <c r="C129" t="str">
        <f>+_xlfn.XLOOKUP(Tabla6[[#This Row],[ID CLIENTE]],'RESUMEN CLIENTES'!D:D,'RESUMEN CLIENTES'!C:C)</f>
        <v>Chile</v>
      </c>
      <c r="D129" s="44" t="str">
        <f>+_xlfn.XLOOKUP(Tabla6[[#This Row],[ID CLIENTE]],'RESUMEN CLIENTES'!D:D,'RESUMEN CLIENTES'!M:M)</f>
        <v>OK</v>
      </c>
      <c r="E129" s="72">
        <f>+_xlfn.XLOOKUP(Tabla6[[#This Row],[NOMBRE]],'RESUMEN CLIENTES'!A:A,'RESUMEN CLIENTES'!X:X)</f>
        <v>-0.3</v>
      </c>
      <c r="F129" s="72">
        <f>+_xlfn.XLOOKUP(Tabla6[[#This Row],[ID CLIENTE]],'RESUMEN CLIENTES'!D:D,'RESUMEN CLIENTES'!W:W)</f>
        <v>0</v>
      </c>
      <c r="G129" s="17">
        <v>45833</v>
      </c>
      <c r="H129" s="44" t="s">
        <v>81</v>
      </c>
      <c r="I129" s="2">
        <v>1750</v>
      </c>
      <c r="J129" s="20" t="s">
        <v>370</v>
      </c>
      <c r="K129" t="s">
        <v>371</v>
      </c>
      <c r="L129" s="44" t="str" cm="1">
        <f t="array" ref="L129">+_xlfn.IFS(COUNTIF(INGRESOS!E:E,Tabla6[[#This Row],[ID FACTURA]])=1,"PAGADA",Tabla6[[#This Row],[ID FACTURA]]&lt;&gt;0,"EMITIDA",Tabla6[[#This Row],[ID FACTURA]]=0,"POR EMITIR")</f>
        <v>PAGADA</v>
      </c>
      <c r="M129" s="55">
        <f>+IF(Tabla6[[#This Row],[ESTADO FACTURA]]="PAGADA",Tabla6[[#This Row],[FECHA]]-_xlfn.XLOOKUP(Tabla6[[#This Row],[N° FACTURA]],INGRESOS!F:F,INGRESOS!A:A),"-")</f>
        <v>0</v>
      </c>
      <c r="N129" s="2"/>
      <c r="O129"/>
    </row>
    <row r="130" spans="1:15" ht="14.75" customHeight="1">
      <c r="A130" s="320" t="s">
        <v>372</v>
      </c>
      <c r="B130" t="str">
        <f>+_xlfn.XLOOKUP(Tabla6[[#This Row],[ID CLIENTE]],'RESUMEN CLIENTES'!D:D,'RESUMEN CLIENTES'!A:A)</f>
        <v>Julio Nelson Adaros Moraga</v>
      </c>
      <c r="C130" t="str">
        <f>+_xlfn.XLOOKUP(Tabla6[[#This Row],[ID CLIENTE]],'RESUMEN CLIENTES'!D:D,'RESUMEN CLIENTES'!C:C)</f>
        <v>Chile</v>
      </c>
      <c r="D130" s="44" t="str">
        <f>+_xlfn.XLOOKUP(Tabla6[[#This Row],[ID CLIENTE]],'RESUMEN CLIENTES'!D:D,'RESUMEN CLIENTES'!M:M)</f>
        <v>OK</v>
      </c>
      <c r="E130" s="72">
        <f>+_xlfn.XLOOKUP(Tabla6[[#This Row],[NOMBRE]],'RESUMEN CLIENTES'!A:A,'RESUMEN CLIENTES'!X:X)</f>
        <v>1</v>
      </c>
      <c r="F130" s="72">
        <f>+_xlfn.XLOOKUP(Tabla6[[#This Row],[ID CLIENTE]],'RESUMEN CLIENTES'!D:D,'RESUMEN CLIENTES'!W:W)</f>
        <v>1</v>
      </c>
      <c r="G130" s="17">
        <v>45835</v>
      </c>
      <c r="H130" s="44" t="s">
        <v>81</v>
      </c>
      <c r="I130" s="2">
        <v>4000</v>
      </c>
      <c r="J130" s="20" t="s">
        <v>373</v>
      </c>
      <c r="K130" t="s">
        <v>374</v>
      </c>
      <c r="L130" s="44" t="str" cm="1">
        <f t="array" ref="L130">+_xlfn.IFS(COUNTIF(INGRESOS!E:E,Tabla6[[#This Row],[ID FACTURA]])=1,"PAGADA",Tabla6[[#This Row],[ID FACTURA]]&lt;&gt;0,"EMITIDA",Tabla6[[#This Row],[ID FACTURA]]=0,"POR EMITIR")</f>
        <v>PAGADA</v>
      </c>
      <c r="M130" s="55">
        <f>+IF(Tabla6[[#This Row],[ESTADO FACTURA]]="PAGADA",Tabla6[[#This Row],[FECHA]]-_xlfn.XLOOKUP(Tabla6[[#This Row],[N° FACTURA]],INGRESOS!F:F,INGRESOS!A:A),"-")</f>
        <v>-1</v>
      </c>
      <c r="N130" s="2"/>
      <c r="O130"/>
    </row>
    <row r="131" spans="1:15" ht="14.75" customHeight="1">
      <c r="A131" s="320" t="s">
        <v>171</v>
      </c>
      <c r="B131" t="str">
        <f>+_xlfn.XLOOKUP(Tabla6[[#This Row],[ID CLIENTE]],'RESUMEN CLIENTES'!D:D,'RESUMEN CLIENTES'!A:A)</f>
        <v>Guillermo Alfonso Garvalena Gaxiola</v>
      </c>
      <c r="C131" t="str">
        <f>+_xlfn.XLOOKUP(Tabla6[[#This Row],[ID CLIENTE]],'RESUMEN CLIENTES'!D:D,'RESUMEN CLIENTES'!C:C)</f>
        <v>México</v>
      </c>
      <c r="D131" s="44" t="str">
        <f>+_xlfn.XLOOKUP(Tabla6[[#This Row],[ID CLIENTE]],'RESUMEN CLIENTES'!D:D,'RESUMEN CLIENTES'!M:M)</f>
        <v>OK</v>
      </c>
      <c r="E131" s="72">
        <f>+_xlfn.XLOOKUP(Tabla6[[#This Row],[NOMBRE]],'RESUMEN CLIENTES'!A:A,'RESUMEN CLIENTES'!X:X)</f>
        <v>1.173913043478261</v>
      </c>
      <c r="F131" s="72">
        <f>+_xlfn.XLOOKUP(Tabla6[[#This Row],[ID CLIENTE]],'RESUMEN CLIENTES'!D:D,'RESUMEN CLIENTES'!W:W)</f>
        <v>1</v>
      </c>
      <c r="G131" s="17">
        <v>45837</v>
      </c>
      <c r="H131" s="44" t="s">
        <v>81</v>
      </c>
      <c r="I131" s="2">
        <v>500</v>
      </c>
      <c r="J131" s="20" t="s">
        <v>375</v>
      </c>
      <c r="K131" t="s">
        <v>376</v>
      </c>
      <c r="L131" s="44" t="str" cm="1">
        <f t="array" ref="L131">+_xlfn.IFS(COUNTIF(INGRESOS!E:E,Tabla6[[#This Row],[ID FACTURA]])=1,"PAGADA",Tabla6[[#This Row],[ID FACTURA]]&lt;&gt;0,"EMITIDA",Tabla6[[#This Row],[ID FACTURA]]=0,"POR EMITIR")</f>
        <v>PAGADA</v>
      </c>
      <c r="M131" s="55">
        <f>+IF(Tabla6[[#This Row],[ESTADO FACTURA]]="PAGADA",Tabla6[[#This Row],[FECHA]]-_xlfn.XLOOKUP(Tabla6[[#This Row],[N° FACTURA]],INGRESOS!F:F,INGRESOS!A:A),"-")</f>
        <v>0</v>
      </c>
      <c r="N131" s="2"/>
      <c r="O131"/>
    </row>
    <row r="132" spans="1:15" ht="14.75" customHeight="1">
      <c r="A132" s="320" t="s">
        <v>171</v>
      </c>
      <c r="B132" t="str">
        <f>+_xlfn.XLOOKUP(Tabla6[[#This Row],[ID CLIENTE]],'RESUMEN CLIENTES'!D:D,'RESUMEN CLIENTES'!A:A)</f>
        <v>Guillermo Alfonso Garvalena Gaxiola</v>
      </c>
      <c r="C132" t="str">
        <f>+_xlfn.XLOOKUP(Tabla6[[#This Row],[ID CLIENTE]],'RESUMEN CLIENTES'!D:D,'RESUMEN CLIENTES'!C:C)</f>
        <v>México</v>
      </c>
      <c r="D132" s="44" t="str">
        <f>+_xlfn.XLOOKUP(Tabla6[[#This Row],[ID CLIENTE]],'RESUMEN CLIENTES'!D:D,'RESUMEN CLIENTES'!M:M)</f>
        <v>OK</v>
      </c>
      <c r="E132" s="72">
        <f>+_xlfn.XLOOKUP(Tabla6[[#This Row],[NOMBRE]],'RESUMEN CLIENTES'!A:A,'RESUMEN CLIENTES'!X:X)</f>
        <v>1.173913043478261</v>
      </c>
      <c r="F132" s="72">
        <f>+_xlfn.XLOOKUP(Tabla6[[#This Row],[ID CLIENTE]],'RESUMEN CLIENTES'!D:D,'RESUMEN CLIENTES'!W:W)</f>
        <v>1</v>
      </c>
      <c r="G132" s="17">
        <v>45837</v>
      </c>
      <c r="H132" s="44" t="s">
        <v>81</v>
      </c>
      <c r="I132" s="2">
        <v>500</v>
      </c>
      <c r="J132" s="20" t="s">
        <v>377</v>
      </c>
      <c r="K132" t="s">
        <v>378</v>
      </c>
      <c r="L132" s="44" t="str" cm="1">
        <f t="array" ref="L132">+_xlfn.IFS(COUNTIF(INGRESOS!E:E,Tabla6[[#This Row],[ID FACTURA]])=1,"PAGADA",Tabla6[[#This Row],[ID FACTURA]]&lt;&gt;0,"EMITIDA",Tabla6[[#This Row],[ID FACTURA]]=0,"POR EMITIR")</f>
        <v>PAGADA</v>
      </c>
      <c r="M132" s="55">
        <f>+IF(Tabla6[[#This Row],[ESTADO FACTURA]]="PAGADA",Tabla6[[#This Row],[FECHA]]-_xlfn.XLOOKUP(Tabla6[[#This Row],[N° FACTURA]],INGRESOS!F:F,INGRESOS!A:A),"-")</f>
        <v>0</v>
      </c>
      <c r="N132" s="2"/>
      <c r="O132"/>
    </row>
    <row r="133" spans="1:15" ht="14.75" customHeight="1">
      <c r="A133" s="320" t="s">
        <v>330</v>
      </c>
      <c r="B133" t="str">
        <f>+_xlfn.XLOOKUP(Tabla6[[#This Row],[ID CLIENTE]],'RESUMEN CLIENTES'!D:D,'RESUMEN CLIENTES'!A:A)</f>
        <v>Jorge Andrés Barrera Vásquez</v>
      </c>
      <c r="C133" t="str">
        <f>+_xlfn.XLOOKUP(Tabla6[[#This Row],[ID CLIENTE]],'RESUMEN CLIENTES'!D:D,'RESUMEN CLIENTES'!C:C)</f>
        <v>Ecuador</v>
      </c>
      <c r="D133" s="44" t="str">
        <f>+_xlfn.XLOOKUP(Tabla6[[#This Row],[ID CLIENTE]],'RESUMEN CLIENTES'!D:D,'RESUMEN CLIENTES'!M:M)</f>
        <v>ELIMINADO</v>
      </c>
      <c r="E133" s="72">
        <f>+_xlfn.XLOOKUP(Tabla6[[#This Row],[NOMBRE]],'RESUMEN CLIENTES'!A:A,'RESUMEN CLIENTES'!X:X)</f>
        <v>0</v>
      </c>
      <c r="F133" s="72">
        <f>+_xlfn.XLOOKUP(Tabla6[[#This Row],[ID CLIENTE]],'RESUMEN CLIENTES'!D:D,'RESUMEN CLIENTES'!W:W)</f>
        <v>0</v>
      </c>
      <c r="G133" s="17">
        <v>45837</v>
      </c>
      <c r="H133" s="44" t="s">
        <v>81</v>
      </c>
      <c r="I133" s="2">
        <v>1750</v>
      </c>
      <c r="J133" s="20" t="s">
        <v>379</v>
      </c>
      <c r="K133" t="s">
        <v>380</v>
      </c>
      <c r="L133" s="44" t="str" cm="1">
        <f t="array" ref="L133">+_xlfn.IFS(COUNTIF(INGRESOS!E:E,Tabla6[[#This Row],[ID FACTURA]])=1,"PAGADA",Tabla6[[#This Row],[ID FACTURA]]&lt;&gt;0,"EMITIDA",Tabla6[[#This Row],[ID FACTURA]]=0,"POR EMITIR")</f>
        <v>PAGADA</v>
      </c>
      <c r="M133" s="55">
        <f>+IF(Tabla6[[#This Row],[ESTADO FACTURA]]="PAGADA",Tabla6[[#This Row],[FECHA]]-_xlfn.XLOOKUP(Tabla6[[#This Row],[N° FACTURA]],INGRESOS!F:F,INGRESOS!A:A),"-")</f>
        <v>-1</v>
      </c>
      <c r="N133" s="2"/>
      <c r="O133"/>
    </row>
    <row r="134" spans="1:15" ht="14.75" customHeight="1">
      <c r="A134" s="320" t="s">
        <v>221</v>
      </c>
      <c r="B134" t="str">
        <f>+_xlfn.XLOOKUP(Tabla6[[#This Row],[ID CLIENTE]],'RESUMEN CLIENTES'!D:D,'RESUMEN CLIENTES'!A:A)</f>
        <v>Angel Martin Alarcon Macias</v>
      </c>
      <c r="C134" t="str">
        <f>+_xlfn.XLOOKUP(Tabla6[[#This Row],[ID CLIENTE]],'RESUMEN CLIENTES'!D:D,'RESUMEN CLIENTES'!C:C)</f>
        <v>Ecuador</v>
      </c>
      <c r="D134" s="44" t="str">
        <f>+_xlfn.XLOOKUP(Tabla6[[#This Row],[ID CLIENTE]],'RESUMEN CLIENTES'!D:D,'RESUMEN CLIENTES'!M:M)</f>
        <v>¡REGULARIZAR!</v>
      </c>
      <c r="E134" s="72">
        <f>+_xlfn.XLOOKUP(Tabla6[[#This Row],[NOMBRE]],'RESUMEN CLIENTES'!A:A,'RESUMEN CLIENTES'!X:X)</f>
        <v>-0.5</v>
      </c>
      <c r="F134" s="72">
        <f>+_xlfn.XLOOKUP(Tabla6[[#This Row],[ID CLIENTE]],'RESUMEN CLIENTES'!D:D,'RESUMEN CLIENTES'!W:W)</f>
        <v>0</v>
      </c>
      <c r="G134" s="17">
        <v>45838</v>
      </c>
      <c r="H134" s="44" t="s">
        <v>81</v>
      </c>
      <c r="I134" s="2">
        <v>3000</v>
      </c>
      <c r="J134" s="20" t="s">
        <v>381</v>
      </c>
      <c r="K134" t="s">
        <v>382</v>
      </c>
      <c r="L134" s="44" t="str" cm="1">
        <f t="array" ref="L134">+_xlfn.IFS(COUNTIF(INGRESOS!E:E,Tabla6[[#This Row],[ID FACTURA]])=1,"PAGADA",Tabla6[[#This Row],[ID FACTURA]]&lt;&gt;0,"EMITIDA",Tabla6[[#This Row],[ID FACTURA]]=0,"POR EMITIR")</f>
        <v>PAGADA</v>
      </c>
      <c r="M134" s="55">
        <f>+IF(Tabla6[[#This Row],[ESTADO FACTURA]]="PAGADA",Tabla6[[#This Row],[FECHA]]-_xlfn.XLOOKUP(Tabla6[[#This Row],[N° FACTURA]],INGRESOS!F:F,INGRESOS!A:A),"-")</f>
        <v>-1</v>
      </c>
      <c r="N134" s="2"/>
      <c r="O134"/>
    </row>
    <row r="135" spans="1:15" ht="14.75" customHeight="1">
      <c r="A135" s="320" t="s">
        <v>226</v>
      </c>
      <c r="B135" t="str">
        <f>+_xlfn.XLOOKUP(Tabla6[[#This Row],[ID CLIENTE]],'RESUMEN CLIENTES'!D:D,'RESUMEN CLIENTES'!A:A)</f>
        <v>Carlos Josue Escobar Morán</v>
      </c>
      <c r="C135" t="str">
        <f>+_xlfn.XLOOKUP(Tabla6[[#This Row],[ID CLIENTE]],'RESUMEN CLIENTES'!D:D,'RESUMEN CLIENTES'!C:C)</f>
        <v>El Salvador</v>
      </c>
      <c r="D135" s="44" t="str">
        <f>+_xlfn.XLOOKUP(Tabla6[[#This Row],[ID CLIENTE]],'RESUMEN CLIENTES'!D:D,'RESUMEN CLIENTES'!M:M)</f>
        <v>OK</v>
      </c>
      <c r="E135" s="72">
        <f>+_xlfn.XLOOKUP(Tabla6[[#This Row],[NOMBRE]],'RESUMEN CLIENTES'!A:A,'RESUMEN CLIENTES'!X:X)</f>
        <v>0.8</v>
      </c>
      <c r="F135" s="72">
        <f>+_xlfn.XLOOKUP(Tabla6[[#This Row],[ID CLIENTE]],'RESUMEN CLIENTES'!D:D,'RESUMEN CLIENTES'!W:W)</f>
        <v>0</v>
      </c>
      <c r="G135" s="17">
        <v>45838</v>
      </c>
      <c r="H135" s="44" t="s">
        <v>81</v>
      </c>
      <c r="I135" s="2">
        <v>500</v>
      </c>
      <c r="J135" s="20" t="s">
        <v>383</v>
      </c>
      <c r="K135" t="s">
        <v>384</v>
      </c>
      <c r="L135" s="44" t="str" cm="1">
        <f t="array" ref="L135">+_xlfn.IFS(COUNTIF(INGRESOS!E:E,Tabla6[[#This Row],[ID FACTURA]])=1,"PAGADA",Tabla6[[#This Row],[ID FACTURA]]&lt;&gt;0,"EMITIDA",Tabla6[[#This Row],[ID FACTURA]]=0,"POR EMITIR")</f>
        <v>PAGADA</v>
      </c>
      <c r="M135" s="55">
        <f>+IF(Tabla6[[#This Row],[ESTADO FACTURA]]="PAGADA",Tabla6[[#This Row],[FECHA]]-_xlfn.XLOOKUP(Tabla6[[#This Row],[N° FACTURA]],INGRESOS!F:F,INGRESOS!A:A),"-")</f>
        <v>0</v>
      </c>
      <c r="N135" s="2"/>
      <c r="O135"/>
    </row>
    <row r="136" spans="1:15" ht="14.75" customHeight="1">
      <c r="A136" s="320" t="s">
        <v>385</v>
      </c>
      <c r="B136" t="str">
        <f>+_xlfn.XLOOKUP(Tabla6[[#This Row],[ID CLIENTE]],'RESUMEN CLIENTES'!D:D,'RESUMEN CLIENTES'!A:A)</f>
        <v>Ellen Cristina Gerónimo Bonilla</v>
      </c>
      <c r="C136" t="str">
        <f>+_xlfn.XLOOKUP(Tabla6[[#This Row],[ID CLIENTE]],'RESUMEN CLIENTES'!D:D,'RESUMEN CLIENTES'!C:C)</f>
        <v>República Dominicana</v>
      </c>
      <c r="D136" s="44" t="str">
        <f>+_xlfn.XLOOKUP(Tabla6[[#This Row],[ID CLIENTE]],'RESUMEN CLIENTES'!D:D,'RESUMEN CLIENTES'!M:M)</f>
        <v>OK</v>
      </c>
      <c r="E136" s="72">
        <f>+_xlfn.XLOOKUP(Tabla6[[#This Row],[NOMBRE]],'RESUMEN CLIENTES'!A:A,'RESUMEN CLIENTES'!X:X)</f>
        <v>1.5555555555555556</v>
      </c>
      <c r="F136" s="72">
        <f>+_xlfn.XLOOKUP(Tabla6[[#This Row],[ID CLIENTE]],'RESUMEN CLIENTES'!D:D,'RESUMEN CLIENTES'!W:W)</f>
        <v>1</v>
      </c>
      <c r="G136" s="17">
        <v>45838</v>
      </c>
      <c r="H136" s="44" t="s">
        <v>81</v>
      </c>
      <c r="I136" s="2">
        <v>4000</v>
      </c>
      <c r="J136" s="20" t="s">
        <v>386</v>
      </c>
      <c r="K136" t="s">
        <v>387</v>
      </c>
      <c r="L136" s="44" t="str" cm="1">
        <f t="array" ref="L136">+_xlfn.IFS(COUNTIF(INGRESOS!E:E,Tabla6[[#This Row],[ID FACTURA]])=1,"PAGADA",Tabla6[[#This Row],[ID FACTURA]]&lt;&gt;0,"EMITIDA",Tabla6[[#This Row],[ID FACTURA]]=0,"POR EMITIR")</f>
        <v>PAGADA</v>
      </c>
      <c r="M136" s="55">
        <f>+IF(Tabla6[[#This Row],[ESTADO FACTURA]]="PAGADA",Tabla6[[#This Row],[FECHA]]-_xlfn.XLOOKUP(Tabla6[[#This Row],[N° FACTURA]],INGRESOS!F:F,INGRESOS!A:A),"-")</f>
        <v>0</v>
      </c>
      <c r="N136" s="2"/>
      <c r="O136"/>
    </row>
    <row r="137" spans="1:15" ht="14.75" customHeight="1">
      <c r="A137" s="320" t="s">
        <v>181</v>
      </c>
      <c r="B137" t="str">
        <f>+_xlfn.XLOOKUP(Tabla6[[#This Row],[ID CLIENTE]],'RESUMEN CLIENTES'!D:D,'RESUMEN CLIENTES'!A:A)</f>
        <v>Juan Carlos Ramirez Chavez</v>
      </c>
      <c r="C137" s="15" t="str">
        <f>+_xlfn.XLOOKUP(Tabla6[[#This Row],[ID CLIENTE]],'RESUMEN CLIENTES'!D:D,'RESUMEN CLIENTES'!C:C)</f>
        <v>Perú</v>
      </c>
      <c r="D137" s="169" t="str">
        <f>+_xlfn.XLOOKUP(Tabla6[[#This Row],[ID CLIENTE]],'RESUMEN CLIENTES'!D:D,'RESUMEN CLIENTES'!M:M)</f>
        <v>OK</v>
      </c>
      <c r="E137" s="71">
        <f>+_xlfn.XLOOKUP(Tabla6[[#This Row],[NOMBRE]],'RESUMEN CLIENTES'!A:A,'RESUMEN CLIENTES'!X:X)</f>
        <v>0</v>
      </c>
      <c r="F137" s="71">
        <f>+_xlfn.XLOOKUP(Tabla6[[#This Row],[ID CLIENTE]],'RESUMEN CLIENTES'!D:D,'RESUMEN CLIENTES'!W:W)</f>
        <v>0</v>
      </c>
      <c r="G137" s="17">
        <v>45838</v>
      </c>
      <c r="H137" s="169" t="s">
        <v>81</v>
      </c>
      <c r="I137" s="2">
        <v>2000</v>
      </c>
      <c r="J137" s="20" t="s">
        <v>2581</v>
      </c>
      <c r="K137" t="s">
        <v>2582</v>
      </c>
      <c r="L137" s="44" t="str" cm="1">
        <f t="array" ref="L137">+_xlfn.IFS(COUNTIF(INGRESOS!E:E,Tabla6[[#This Row],[ID FACTURA]])=1,"PAGADA",Tabla6[[#This Row],[ID FACTURA]]&lt;&gt;0,"EMITIDA",Tabla6[[#This Row],[ID FACTURA]]=0,"POR EMITIR")</f>
        <v>PAGADA</v>
      </c>
      <c r="M137" s="54">
        <f>+IF(Tabla6[[#This Row],[ESTADO FACTURA]]="PAGADA",Tabla6[[#This Row],[FECHA]]-_xlfn.XLOOKUP(Tabla6[[#This Row],[N° FACTURA]],INGRESOS!F:F,INGRESOS!A:A),"-")</f>
        <v>0</v>
      </c>
      <c r="O137"/>
    </row>
    <row r="138" spans="1:15" ht="14.75" customHeight="1">
      <c r="A138" s="320" t="s">
        <v>218</v>
      </c>
      <c r="B138" t="str">
        <f>+_xlfn.XLOOKUP(Tabla6[[#This Row],[ID CLIENTE]],'RESUMEN CLIENTES'!D:D,'RESUMEN CLIENTES'!A:A)</f>
        <v>Laura Margarita Cepeda Garrido</v>
      </c>
      <c r="C138" t="str">
        <f>+_xlfn.XLOOKUP(Tabla6[[#This Row],[ID CLIENTE]],'RESUMEN CLIENTES'!D:D,'RESUMEN CLIENTES'!C:C)</f>
        <v>Colombia</v>
      </c>
      <c r="D138" s="44" t="str">
        <f>+_xlfn.XLOOKUP(Tabla6[[#This Row],[ID CLIENTE]],'RESUMEN CLIENTES'!D:D,'RESUMEN CLIENTES'!M:M)</f>
        <v>ELIMINADO</v>
      </c>
      <c r="E138" s="72">
        <f>+_xlfn.XLOOKUP(Tabla6[[#This Row],[NOMBRE]],'RESUMEN CLIENTES'!A:A,'RESUMEN CLIENTES'!X:X)</f>
        <v>-0.2</v>
      </c>
      <c r="F138" s="72">
        <f>+_xlfn.XLOOKUP(Tabla6[[#This Row],[ID CLIENTE]],'RESUMEN CLIENTES'!D:D,'RESUMEN CLIENTES'!W:W)</f>
        <v>0</v>
      </c>
      <c r="G138" s="17">
        <v>45838</v>
      </c>
      <c r="H138" s="44" t="s">
        <v>81</v>
      </c>
      <c r="I138" s="2">
        <v>600</v>
      </c>
      <c r="J138" s="20" t="s">
        <v>388</v>
      </c>
      <c r="K138" t="s">
        <v>389</v>
      </c>
      <c r="L138" s="44" t="str" cm="1">
        <f t="array" ref="L138">+_xlfn.IFS(COUNTIF(INGRESOS!E:E,Tabla6[[#This Row],[ID FACTURA]])=1,"PAGADA",Tabla6[[#This Row],[ID FACTURA]]&lt;&gt;0,"EMITIDA",Tabla6[[#This Row],[ID FACTURA]]=0,"POR EMITIR")</f>
        <v>PAGADA</v>
      </c>
      <c r="M138" s="55">
        <f>+IF(Tabla6[[#This Row],[ESTADO FACTURA]]="PAGADA",Tabla6[[#This Row],[FECHA]]-_xlfn.XLOOKUP(Tabla6[[#This Row],[N° FACTURA]],INGRESOS!F:F,INGRESOS!A:A),"-")</f>
        <v>-1</v>
      </c>
      <c r="N138" s="2"/>
      <c r="O138"/>
    </row>
    <row r="139" spans="1:15" ht="14.75" customHeight="1">
      <c r="A139" s="320" t="s">
        <v>390</v>
      </c>
      <c r="B139" t="str">
        <f>+_xlfn.XLOOKUP(Tabla6[[#This Row],[ID CLIENTE]],'RESUMEN CLIENTES'!D:D,'RESUMEN CLIENTES'!A:A)</f>
        <v>María Fernanda Lincango Andi</v>
      </c>
      <c r="C139" t="str">
        <f>+_xlfn.XLOOKUP(Tabla6[[#This Row],[ID CLIENTE]],'RESUMEN CLIENTES'!D:D,'RESUMEN CLIENTES'!C:C)</f>
        <v>Ecuador</v>
      </c>
      <c r="D139" s="44" t="str">
        <f>+_xlfn.XLOOKUP(Tabla6[[#This Row],[ID CLIENTE]],'RESUMEN CLIENTES'!D:D,'RESUMEN CLIENTES'!M:M)</f>
        <v>¡REGULARIZAR!</v>
      </c>
      <c r="E139" s="72">
        <f>+_xlfn.XLOOKUP(Tabla6[[#This Row],[NOMBRE]],'RESUMEN CLIENTES'!A:A,'RESUMEN CLIENTES'!X:X)</f>
        <v>0.66666666666666663</v>
      </c>
      <c r="F139" s="72">
        <f>+_xlfn.XLOOKUP(Tabla6[[#This Row],[ID CLIENTE]],'RESUMEN CLIENTES'!D:D,'RESUMEN CLIENTES'!W:W)</f>
        <v>0</v>
      </c>
      <c r="G139" s="17">
        <v>45838</v>
      </c>
      <c r="H139" s="44" t="s">
        <v>81</v>
      </c>
      <c r="I139" s="2">
        <v>250</v>
      </c>
      <c r="J139" s="20" t="s">
        <v>391</v>
      </c>
      <c r="K139" t="s">
        <v>392</v>
      </c>
      <c r="L139" s="44" t="str" cm="1">
        <f t="array" ref="L139">+_xlfn.IFS(COUNTIF(INGRESOS!E:E,Tabla6[[#This Row],[ID FACTURA]])=1,"PAGADA",Tabla6[[#This Row],[ID FACTURA]]&lt;&gt;0,"EMITIDA",Tabla6[[#This Row],[ID FACTURA]]=0,"POR EMITIR")</f>
        <v>PAGADA</v>
      </c>
      <c r="M139" s="55">
        <f>+IF(Tabla6[[#This Row],[ESTADO FACTURA]]="PAGADA",Tabla6[[#This Row],[FECHA]]-_xlfn.XLOOKUP(Tabla6[[#This Row],[N° FACTURA]],INGRESOS!F:F,INGRESOS!A:A),"-")</f>
        <v>-1</v>
      </c>
      <c r="N139" s="2"/>
      <c r="O139"/>
    </row>
    <row r="140" spans="1:15" ht="14.75" customHeight="1">
      <c r="A140" s="320" t="s">
        <v>314</v>
      </c>
      <c r="B140" t="str">
        <f>+_xlfn.XLOOKUP(Tabla6[[#This Row],[ID CLIENTE]],'RESUMEN CLIENTES'!D:D,'RESUMEN CLIENTES'!A:A)</f>
        <v>Miguel Angel Sisalima Shiña</v>
      </c>
      <c r="C140" t="str">
        <f>+_xlfn.XLOOKUP(Tabla6[[#This Row],[ID CLIENTE]],'RESUMEN CLIENTES'!D:D,'RESUMEN CLIENTES'!C:C)</f>
        <v>Ecuador</v>
      </c>
      <c r="D140" s="44" t="str">
        <f>+_xlfn.XLOOKUP(Tabla6[[#This Row],[ID CLIENTE]],'RESUMEN CLIENTES'!D:D,'RESUMEN CLIENTES'!M:M)</f>
        <v>OK</v>
      </c>
      <c r="E140" s="72">
        <f>+_xlfn.XLOOKUP(Tabla6[[#This Row],[NOMBRE]],'RESUMEN CLIENTES'!A:A,'RESUMEN CLIENTES'!X:X)</f>
        <v>0.6</v>
      </c>
      <c r="F140" s="72">
        <f>+_xlfn.XLOOKUP(Tabla6[[#This Row],[ID CLIENTE]],'RESUMEN CLIENTES'!D:D,'RESUMEN CLIENTES'!W:W)</f>
        <v>0</v>
      </c>
      <c r="G140" s="17">
        <v>45838</v>
      </c>
      <c r="H140" s="44" t="s">
        <v>81</v>
      </c>
      <c r="I140" s="2">
        <v>1750</v>
      </c>
      <c r="J140" s="20" t="s">
        <v>393</v>
      </c>
      <c r="K140" t="s">
        <v>394</v>
      </c>
      <c r="L140" s="44" t="str" cm="1">
        <f t="array" ref="L140">+_xlfn.IFS(COUNTIF(INGRESOS!E:E,Tabla6[[#This Row],[ID FACTURA]])=1,"PAGADA",Tabla6[[#This Row],[ID FACTURA]]&lt;&gt;0,"EMITIDA",Tabla6[[#This Row],[ID FACTURA]]=0,"POR EMITIR")</f>
        <v>PAGADA</v>
      </c>
      <c r="M140" s="55">
        <f>+IF(Tabla6[[#This Row],[ESTADO FACTURA]]="PAGADA",Tabla6[[#This Row],[FECHA]]-_xlfn.XLOOKUP(Tabla6[[#This Row],[N° FACTURA]],INGRESOS!F:F,INGRESOS!A:A),"-")</f>
        <v>0</v>
      </c>
      <c r="N140" s="2"/>
      <c r="O140"/>
    </row>
    <row r="141" spans="1:15" ht="14.75" customHeight="1">
      <c r="A141" s="320" t="s">
        <v>229</v>
      </c>
      <c r="B141" t="str">
        <f>+_xlfn.XLOOKUP(Tabla6[[#This Row],[ID CLIENTE]],'RESUMEN CLIENTES'!D:D,'RESUMEN CLIENTES'!A:A)</f>
        <v>Nathaly Gabriela Henríquez Masín</v>
      </c>
      <c r="C141" t="str">
        <f>+_xlfn.XLOOKUP(Tabla6[[#This Row],[ID CLIENTE]],'RESUMEN CLIENTES'!D:D,'RESUMEN CLIENTES'!C:C)</f>
        <v>El Salvador</v>
      </c>
      <c r="D141" s="44" t="str">
        <f>+_xlfn.XLOOKUP(Tabla6[[#This Row],[ID CLIENTE]],'RESUMEN CLIENTES'!D:D,'RESUMEN CLIENTES'!M:M)</f>
        <v>OK</v>
      </c>
      <c r="E141" s="72">
        <f>+_xlfn.XLOOKUP(Tabla6[[#This Row],[NOMBRE]],'RESUMEN CLIENTES'!A:A,'RESUMEN CLIENTES'!X:X)</f>
        <v>0.7</v>
      </c>
      <c r="F141" s="72">
        <f>+_xlfn.XLOOKUP(Tabla6[[#This Row],[ID CLIENTE]],'RESUMEN CLIENTES'!D:D,'RESUMEN CLIENTES'!W:W)</f>
        <v>0</v>
      </c>
      <c r="G141" s="17">
        <v>45838</v>
      </c>
      <c r="H141" s="44" t="s">
        <v>81</v>
      </c>
      <c r="I141" s="2">
        <v>500</v>
      </c>
      <c r="J141" s="20" t="s">
        <v>395</v>
      </c>
      <c r="K141" t="s">
        <v>396</v>
      </c>
      <c r="L141" s="44" t="str" cm="1">
        <f t="array" ref="L141">+_xlfn.IFS(COUNTIF(INGRESOS!E:E,Tabla6[[#This Row],[ID FACTURA]])=1,"PAGADA",Tabla6[[#This Row],[ID FACTURA]]&lt;&gt;0,"EMITIDA",Tabla6[[#This Row],[ID FACTURA]]=0,"POR EMITIR")</f>
        <v>PAGADA</v>
      </c>
      <c r="M141" s="55">
        <f>+IF(Tabla6[[#This Row],[ESTADO FACTURA]]="PAGADA",Tabla6[[#This Row],[FECHA]]-_xlfn.XLOOKUP(Tabla6[[#This Row],[N° FACTURA]],INGRESOS!F:F,INGRESOS!A:A),"-")</f>
        <v>0</v>
      </c>
      <c r="N141" s="2"/>
      <c r="O141"/>
    </row>
    <row r="142" spans="1:15" ht="14.75" customHeight="1">
      <c r="A142" s="320" t="s">
        <v>350</v>
      </c>
      <c r="B142" t="str">
        <f>+_xlfn.XLOOKUP(Tabla6[[#This Row],[ID CLIENTE]],'RESUMEN CLIENTES'!D:D,'RESUMEN CLIENTES'!A:A)</f>
        <v>Rainier Guerrero</v>
      </c>
      <c r="C142" t="str">
        <f>+_xlfn.XLOOKUP(Tabla6[[#This Row],[ID CLIENTE]],'RESUMEN CLIENTES'!D:D,'RESUMEN CLIENTES'!C:C)</f>
        <v>México</v>
      </c>
      <c r="D142" s="44" t="str">
        <f>+_xlfn.XLOOKUP(Tabla6[[#This Row],[ID CLIENTE]],'RESUMEN CLIENTES'!D:D,'RESUMEN CLIENTES'!M:M)</f>
        <v>OK</v>
      </c>
      <c r="E142" s="72">
        <f>+_xlfn.XLOOKUP(Tabla6[[#This Row],[NOMBRE]],'RESUMEN CLIENTES'!A:A,'RESUMEN CLIENTES'!X:X)</f>
        <v>-0.3</v>
      </c>
      <c r="F142" s="72">
        <f>+_xlfn.XLOOKUP(Tabla6[[#This Row],[ID CLIENTE]],'RESUMEN CLIENTES'!D:D,'RESUMEN CLIENTES'!W:W)</f>
        <v>1</v>
      </c>
      <c r="G142" s="17">
        <v>45838</v>
      </c>
      <c r="H142" s="44" t="s">
        <v>81</v>
      </c>
      <c r="I142" s="2">
        <v>750</v>
      </c>
      <c r="J142" s="20" t="s">
        <v>397</v>
      </c>
      <c r="K142" t="s">
        <v>398</v>
      </c>
      <c r="L142" s="44" t="str" cm="1">
        <f t="array" ref="L142">+_xlfn.IFS(COUNTIF(INGRESOS!E:E,Tabla6[[#This Row],[ID FACTURA]])=1,"PAGADA",Tabla6[[#This Row],[ID FACTURA]]&lt;&gt;0,"EMITIDA",Tabla6[[#This Row],[ID FACTURA]]=0,"POR EMITIR")</f>
        <v>PAGADA</v>
      </c>
      <c r="M142" s="55">
        <f>+IF(Tabla6[[#This Row],[ESTADO FACTURA]]="PAGADA",Tabla6[[#This Row],[FECHA]]-_xlfn.XLOOKUP(Tabla6[[#This Row],[N° FACTURA]],INGRESOS!F:F,INGRESOS!A:A),"-")</f>
        <v>-3</v>
      </c>
      <c r="N142" s="2"/>
      <c r="O142"/>
    </row>
    <row r="143" spans="1:15" ht="14.75" customHeight="1">
      <c r="A143" s="320" t="s">
        <v>139</v>
      </c>
      <c r="B143" t="str">
        <f>+_xlfn.XLOOKUP(Tabla6[[#This Row],[ID CLIENTE]],'RESUMEN CLIENTES'!D:D,'RESUMEN CLIENTES'!A:A)</f>
        <v>Hugo Nicolás Trávez Morales</v>
      </c>
      <c r="C143" t="str">
        <f>+_xlfn.XLOOKUP(Tabla6[[#This Row],[ID CLIENTE]],'RESUMEN CLIENTES'!D:D,'RESUMEN CLIENTES'!C:C)</f>
        <v>Ecuador</v>
      </c>
      <c r="D143" s="44" t="str">
        <f>+_xlfn.XLOOKUP(Tabla6[[#This Row],[ID CLIENTE]],'RESUMEN CLIENTES'!D:D,'RESUMEN CLIENTES'!M:M)</f>
        <v>OK</v>
      </c>
      <c r="E143" s="72">
        <f>+_xlfn.XLOOKUP(Tabla6[[#This Row],[NOMBRE]],'RESUMEN CLIENTES'!A:A,'RESUMEN CLIENTES'!X:X)</f>
        <v>0</v>
      </c>
      <c r="F143" s="71">
        <f>+_xlfn.XLOOKUP(Tabla6[[#This Row],[ID CLIENTE]],'RESUMEN CLIENTES'!D:D,'RESUMEN CLIENTES'!W:W)</f>
        <v>0</v>
      </c>
      <c r="G143" s="17">
        <v>45840</v>
      </c>
      <c r="H143" s="44" t="s">
        <v>81</v>
      </c>
      <c r="I143" s="2">
        <v>1000</v>
      </c>
      <c r="J143" s="20" t="s">
        <v>403</v>
      </c>
      <c r="K143" t="s">
        <v>404</v>
      </c>
      <c r="L143" s="44" t="str" cm="1">
        <f t="array" ref="L143">+_xlfn.IFS(COUNTIF(INGRESOS!E:E,Tabla6[[#This Row],[ID FACTURA]])=1,"PAGADA",Tabla6[[#This Row],[ID FACTURA]]&lt;&gt;0,"EMITIDA",Tabla6[[#This Row],[ID FACTURA]]=0,"POR EMITIR")</f>
        <v>PAGADA</v>
      </c>
      <c r="M143" s="55">
        <f>+IF(Tabla6[[#This Row],[ESTADO FACTURA]]="PAGADA",Tabla6[[#This Row],[FECHA]]-_xlfn.XLOOKUP(Tabla6[[#This Row],[N° FACTURA]],INGRESOS!F:F,INGRESOS!A:A),"-")</f>
        <v>0</v>
      </c>
      <c r="N143" s="214"/>
      <c r="O143"/>
    </row>
    <row r="144" spans="1:15" ht="14.75" customHeight="1">
      <c r="A144" s="320" t="s">
        <v>362</v>
      </c>
      <c r="B144" t="str">
        <f>+_xlfn.XLOOKUP(Tabla6[[#This Row],[ID CLIENTE]],'RESUMEN CLIENTES'!D:D,'RESUMEN CLIENTES'!A:A)</f>
        <v>Jessica Ayelén Culla Alvarez</v>
      </c>
      <c r="C144" t="str">
        <f>+_xlfn.XLOOKUP(Tabla6[[#This Row],[ID CLIENTE]],'RESUMEN CLIENTES'!D:D,'RESUMEN CLIENTES'!C:C)</f>
        <v>Argentina</v>
      </c>
      <c r="D144" s="44" t="str">
        <f>+_xlfn.XLOOKUP(Tabla6[[#This Row],[ID CLIENTE]],'RESUMEN CLIENTES'!D:D,'RESUMEN CLIENTES'!M:M)</f>
        <v>OK</v>
      </c>
      <c r="E144" s="72">
        <f>+_xlfn.XLOOKUP(Tabla6[[#This Row],[NOMBRE]],'RESUMEN CLIENTES'!A:A,'RESUMEN CLIENTES'!X:X)</f>
        <v>-2.1538461538461537</v>
      </c>
      <c r="F144" s="72">
        <f>+_xlfn.XLOOKUP(Tabla6[[#This Row],[ID CLIENTE]],'RESUMEN CLIENTES'!D:D,'RESUMEN CLIENTES'!W:W)</f>
        <v>1</v>
      </c>
      <c r="G144" s="17">
        <v>45840</v>
      </c>
      <c r="H144" s="44" t="s">
        <v>81</v>
      </c>
      <c r="I144" s="2">
        <v>750</v>
      </c>
      <c r="J144" s="20" t="s">
        <v>401</v>
      </c>
      <c r="K144" t="s">
        <v>402</v>
      </c>
      <c r="L144" s="44" t="str" cm="1">
        <f t="array" ref="L144">+_xlfn.IFS(COUNTIF(INGRESOS!E:E,Tabla6[[#This Row],[ID FACTURA]])=1,"PAGADA",Tabla6[[#This Row],[ID FACTURA]]&lt;&gt;0,"EMITIDA",Tabla6[[#This Row],[ID FACTURA]]=0,"POR EMITIR")</f>
        <v>PAGADA</v>
      </c>
      <c r="M144" s="55">
        <f>+IF(Tabla6[[#This Row],[ESTADO FACTURA]]="PAGADA",Tabla6[[#This Row],[FECHA]]-_xlfn.XLOOKUP(Tabla6[[#This Row],[N° FACTURA]],INGRESOS!F:F,INGRESOS!A:A),"-")</f>
        <v>-1</v>
      </c>
      <c r="N144" s="2"/>
      <c r="O144"/>
    </row>
    <row r="145" spans="1:15" ht="14.75" customHeight="1">
      <c r="A145" s="320" t="s">
        <v>362</v>
      </c>
      <c r="B145" t="str">
        <f>+_xlfn.XLOOKUP(Tabla6[[#This Row],[ID CLIENTE]],'RESUMEN CLIENTES'!D:D,'RESUMEN CLIENTES'!A:A)</f>
        <v>Jessica Ayelén Culla Alvarez</v>
      </c>
      <c r="C145" t="str">
        <f>+_xlfn.XLOOKUP(Tabla6[[#This Row],[ID CLIENTE]],'RESUMEN CLIENTES'!D:D,'RESUMEN CLIENTES'!C:C)</f>
        <v>Argentina</v>
      </c>
      <c r="D145" s="44" t="str">
        <f>+_xlfn.XLOOKUP(Tabla6[[#This Row],[ID CLIENTE]],'RESUMEN CLIENTES'!D:D,'RESUMEN CLIENTES'!M:M)</f>
        <v>OK</v>
      </c>
      <c r="E145" s="72">
        <f>+_xlfn.XLOOKUP(Tabla6[[#This Row],[NOMBRE]],'RESUMEN CLIENTES'!A:A,'RESUMEN CLIENTES'!X:X)</f>
        <v>-2.1538461538461537</v>
      </c>
      <c r="F145" s="72">
        <f>+_xlfn.XLOOKUP(Tabla6[[#This Row],[ID CLIENTE]],'RESUMEN CLIENTES'!D:D,'RESUMEN CLIENTES'!W:W)</f>
        <v>1</v>
      </c>
      <c r="G145" s="17">
        <v>45840</v>
      </c>
      <c r="H145" s="44" t="s">
        <v>81</v>
      </c>
      <c r="I145" s="2">
        <v>1000</v>
      </c>
      <c r="J145" s="20" t="s">
        <v>399</v>
      </c>
      <c r="K145" t="s">
        <v>400</v>
      </c>
      <c r="L145" s="44" t="str" cm="1">
        <f t="array" ref="L145">+_xlfn.IFS(COUNTIF(INGRESOS!E:E,Tabla6[[#This Row],[ID FACTURA]])=1,"PAGADA",Tabla6[[#This Row],[ID FACTURA]]&lt;&gt;0,"EMITIDA",Tabla6[[#This Row],[ID FACTURA]]=0,"POR EMITIR")</f>
        <v>PAGADA</v>
      </c>
      <c r="M145" s="55">
        <f>+IF(Tabla6[[#This Row],[ESTADO FACTURA]]="PAGADA",Tabla6[[#This Row],[FECHA]]-_xlfn.XLOOKUP(Tabla6[[#This Row],[N° FACTURA]],INGRESOS!F:F,INGRESOS!A:A),"-")</f>
        <v>-1</v>
      </c>
      <c r="N145" s="2"/>
      <c r="O145"/>
    </row>
    <row r="146" spans="1:15" ht="14.75" customHeight="1">
      <c r="A146" s="320" t="s">
        <v>258</v>
      </c>
      <c r="B146" t="str">
        <f>+_xlfn.XLOOKUP(Tabla6[[#This Row],[ID CLIENTE]],'RESUMEN CLIENTES'!D:D,'RESUMEN CLIENTES'!A:A)</f>
        <v>Maria Laura Rios Pino</v>
      </c>
      <c r="C146" t="str">
        <f>+_xlfn.XLOOKUP(Tabla6[[#This Row],[ID CLIENTE]],'RESUMEN CLIENTES'!D:D,'RESUMEN CLIENTES'!C:C)</f>
        <v>Perú</v>
      </c>
      <c r="D146" s="44" t="str">
        <f>+_xlfn.XLOOKUP(Tabla6[[#This Row],[ID CLIENTE]],'RESUMEN CLIENTES'!D:D,'RESUMEN CLIENTES'!M:M)</f>
        <v>OK</v>
      </c>
      <c r="E146" s="72">
        <f>+_xlfn.XLOOKUP(Tabla6[[#This Row],[NOMBRE]],'RESUMEN CLIENTES'!A:A,'RESUMEN CLIENTES'!X:X)</f>
        <v>1.4545454545454546</v>
      </c>
      <c r="F146" s="72">
        <f>+_xlfn.XLOOKUP(Tabla6[[#This Row],[ID CLIENTE]],'RESUMEN CLIENTES'!D:D,'RESUMEN CLIENTES'!W:W)</f>
        <v>0</v>
      </c>
      <c r="G146" s="17">
        <v>45841</v>
      </c>
      <c r="H146" s="44" t="s">
        <v>81</v>
      </c>
      <c r="I146" s="19">
        <v>750</v>
      </c>
      <c r="J146" s="20" t="s">
        <v>405</v>
      </c>
      <c r="K146" t="s">
        <v>406</v>
      </c>
      <c r="L146" s="44" t="str" cm="1">
        <f t="array" ref="L146">+_xlfn.IFS(COUNTIF(INGRESOS!E:E,Tabla6[[#This Row],[ID FACTURA]])=1,"PAGADA",Tabla6[[#This Row],[ID FACTURA]]&lt;&gt;0,"EMITIDA",Tabla6[[#This Row],[ID FACTURA]]=0,"POR EMITIR")</f>
        <v>PAGADA</v>
      </c>
      <c r="M146" s="55">
        <f>+IF(Tabla6[[#This Row],[ESTADO FACTURA]]="PAGADA",Tabla6[[#This Row],[FECHA]]-_xlfn.XLOOKUP(Tabla6[[#This Row],[N° FACTURA]],INGRESOS!F:F,INGRESOS!A:A),"-")</f>
        <v>1</v>
      </c>
      <c r="N146" s="19"/>
      <c r="O146"/>
    </row>
    <row r="147" spans="1:15" ht="14.75" customHeight="1">
      <c r="A147" s="320" t="s">
        <v>407</v>
      </c>
      <c r="B147" t="str">
        <f>+_xlfn.XLOOKUP(Tabla6[[#This Row],[ID CLIENTE]],'RESUMEN CLIENTES'!D:D,'RESUMEN CLIENTES'!A:A)</f>
        <v>Mayra Leonor Rivera Paico</v>
      </c>
      <c r="C147" t="str">
        <f>+_xlfn.XLOOKUP(Tabla6[[#This Row],[ID CLIENTE]],'RESUMEN CLIENTES'!D:D,'RESUMEN CLIENTES'!C:C)</f>
        <v>Perú</v>
      </c>
      <c r="D147" s="44" t="str">
        <f>+_xlfn.XLOOKUP(Tabla6[[#This Row],[ID CLIENTE]],'RESUMEN CLIENTES'!D:D,'RESUMEN CLIENTES'!M:M)</f>
        <v>OK</v>
      </c>
      <c r="E147" s="72">
        <f>+_xlfn.XLOOKUP(Tabla6[[#This Row],[NOMBRE]],'RESUMEN CLIENTES'!A:A,'RESUMEN CLIENTES'!X:X)</f>
        <v>-0.22222222222222221</v>
      </c>
      <c r="F147" s="72">
        <f>+_xlfn.XLOOKUP(Tabla6[[#This Row],[ID CLIENTE]],'RESUMEN CLIENTES'!D:D,'RESUMEN CLIENTES'!W:W)</f>
        <v>0</v>
      </c>
      <c r="G147" s="17">
        <v>45842</v>
      </c>
      <c r="H147" s="44" t="s">
        <v>81</v>
      </c>
      <c r="I147" s="2">
        <v>4000</v>
      </c>
      <c r="J147" s="20" t="s">
        <v>408</v>
      </c>
      <c r="K147" t="s">
        <v>409</v>
      </c>
      <c r="L147" s="44" t="str" cm="1">
        <f t="array" ref="L147">+_xlfn.IFS(COUNTIF(INGRESOS!E:E,Tabla6[[#This Row],[ID FACTURA]])=1,"PAGADA",Tabla6[[#This Row],[ID FACTURA]]&lt;&gt;0,"EMITIDA",Tabla6[[#This Row],[ID FACTURA]]=0,"POR EMITIR")</f>
        <v>PAGADA</v>
      </c>
      <c r="M147" s="55">
        <f>+IF(Tabla6[[#This Row],[ESTADO FACTURA]]="PAGADA",Tabla6[[#This Row],[FECHA]]-_xlfn.XLOOKUP(Tabla6[[#This Row],[N° FACTURA]],INGRESOS!F:F,INGRESOS!A:A),"-")</f>
        <v>0</v>
      </c>
      <c r="N147" s="2"/>
      <c r="O147"/>
    </row>
    <row r="148" spans="1:15" ht="14.75" customHeight="1">
      <c r="A148" s="320" t="s">
        <v>165</v>
      </c>
      <c r="B148" t="str">
        <f>+_xlfn.XLOOKUP(Tabla6[[#This Row],[ID CLIENTE]],'RESUMEN CLIENTES'!D:D,'RESUMEN CLIENTES'!A:A)</f>
        <v>Alejandra Leva Vallejo</v>
      </c>
      <c r="C148" t="str">
        <f>+_xlfn.XLOOKUP(Tabla6[[#This Row],[ID CLIENTE]],'RESUMEN CLIENTES'!D:D,'RESUMEN CLIENTES'!C:C)</f>
        <v>México</v>
      </c>
      <c r="D148" s="44" t="str">
        <f>+_xlfn.XLOOKUP(Tabla6[[#This Row],[ID CLIENTE]],'RESUMEN CLIENTES'!D:D,'RESUMEN CLIENTES'!M:M)</f>
        <v>OK</v>
      </c>
      <c r="E148" s="72">
        <f>+_xlfn.XLOOKUP(Tabla6[[#This Row],[NOMBRE]],'RESUMEN CLIENTES'!A:A,'RESUMEN CLIENTES'!X:X)</f>
        <v>0</v>
      </c>
      <c r="F148" s="72">
        <f>+_xlfn.XLOOKUP(Tabla6[[#This Row],[ID CLIENTE]],'RESUMEN CLIENTES'!D:D,'RESUMEN CLIENTES'!W:W)</f>
        <v>1</v>
      </c>
      <c r="G148" s="17">
        <v>45843</v>
      </c>
      <c r="H148" s="44" t="s">
        <v>81</v>
      </c>
      <c r="I148" s="2">
        <v>1000</v>
      </c>
      <c r="J148" s="20" t="s">
        <v>410</v>
      </c>
      <c r="K148" t="s">
        <v>411</v>
      </c>
      <c r="L148" s="44" t="str" cm="1">
        <f t="array" ref="L148">+_xlfn.IFS(COUNTIF(INGRESOS!E:E,Tabla6[[#This Row],[ID FACTURA]])=1,"PAGADA",Tabla6[[#This Row],[ID FACTURA]]&lt;&gt;0,"EMITIDA",Tabla6[[#This Row],[ID FACTURA]]=0,"POR EMITIR")</f>
        <v>PAGADA</v>
      </c>
      <c r="M148" s="55">
        <f>+IF(Tabla6[[#This Row],[ESTADO FACTURA]]="PAGADA",Tabla6[[#This Row],[FECHA]]-_xlfn.XLOOKUP(Tabla6[[#This Row],[N° FACTURA]],INGRESOS!F:F,INGRESOS!A:A),"-")</f>
        <v>-1</v>
      </c>
      <c r="N148" s="2"/>
      <c r="O148"/>
    </row>
    <row r="149" spans="1:15" ht="14.75" customHeight="1">
      <c r="A149" s="320" t="s">
        <v>162</v>
      </c>
      <c r="B149" t="str">
        <f>+_xlfn.XLOOKUP(Tabla6[[#This Row],[ID CLIENTE]],'RESUMEN CLIENTES'!D:D,'RESUMEN CLIENTES'!A:A)</f>
        <v>Bastian Sofjer Peralta</v>
      </c>
      <c r="C149" t="str">
        <f>+_xlfn.XLOOKUP(Tabla6[[#This Row],[ID CLIENTE]],'RESUMEN CLIENTES'!D:D,'RESUMEN CLIENTES'!C:C)</f>
        <v>Chile</v>
      </c>
      <c r="D149" s="44" t="str">
        <f>+_xlfn.XLOOKUP(Tabla6[[#This Row],[ID CLIENTE]],'RESUMEN CLIENTES'!D:D,'RESUMEN CLIENTES'!M:M)</f>
        <v>OK</v>
      </c>
      <c r="E149" s="72">
        <f>+_xlfn.XLOOKUP(Tabla6[[#This Row],[NOMBRE]],'RESUMEN CLIENTES'!A:A,'RESUMEN CLIENTES'!X:X)</f>
        <v>4.125</v>
      </c>
      <c r="F149" s="72">
        <f>+_xlfn.XLOOKUP(Tabla6[[#This Row],[ID CLIENTE]],'RESUMEN CLIENTES'!D:D,'RESUMEN CLIENTES'!W:W)</f>
        <v>1</v>
      </c>
      <c r="G149" s="17">
        <v>45843</v>
      </c>
      <c r="H149" s="44" t="s">
        <v>81</v>
      </c>
      <c r="I149" s="2">
        <v>3000</v>
      </c>
      <c r="J149" s="20" t="s">
        <v>412</v>
      </c>
      <c r="K149" t="s">
        <v>413</v>
      </c>
      <c r="L149" s="44" t="str" cm="1">
        <f t="array" ref="L149">+_xlfn.IFS(COUNTIF(INGRESOS!E:E,Tabla6[[#This Row],[ID FACTURA]])=1,"PAGADA",Tabla6[[#This Row],[ID FACTURA]]&lt;&gt;0,"EMITIDA",Tabla6[[#This Row],[ID FACTURA]]=0,"POR EMITIR")</f>
        <v>PAGADA</v>
      </c>
      <c r="M149" s="55">
        <f>+IF(Tabla6[[#This Row],[ESTADO FACTURA]]="PAGADA",Tabla6[[#This Row],[FECHA]]-_xlfn.XLOOKUP(Tabla6[[#This Row],[N° FACTURA]],INGRESOS!F:F,INGRESOS!A:A),"-")</f>
        <v>18</v>
      </c>
      <c r="N149" s="2"/>
      <c r="O149"/>
    </row>
    <row r="150" spans="1:15" ht="14.75" customHeight="1">
      <c r="A150" s="320" t="s">
        <v>203</v>
      </c>
      <c r="B150" t="str">
        <f>+_xlfn.XLOOKUP(Tabla6[[#This Row],[ID CLIENTE]],'RESUMEN CLIENTES'!D:D,'RESUMEN CLIENTES'!A:A)</f>
        <v>Bernardita Lobo Zegers</v>
      </c>
      <c r="C150" t="str">
        <f>+_xlfn.XLOOKUP(Tabla6[[#This Row],[ID CLIENTE]],'RESUMEN CLIENTES'!D:D,'RESUMEN CLIENTES'!C:C)</f>
        <v>México</v>
      </c>
      <c r="D150" s="44" t="str">
        <f>+_xlfn.XLOOKUP(Tabla6[[#This Row],[ID CLIENTE]],'RESUMEN CLIENTES'!D:D,'RESUMEN CLIENTES'!M:M)</f>
        <v>OK</v>
      </c>
      <c r="E150" s="72">
        <f>+_xlfn.XLOOKUP(Tabla6[[#This Row],[NOMBRE]],'RESUMEN CLIENTES'!A:A,'RESUMEN CLIENTES'!X:X)</f>
        <v>-0.8</v>
      </c>
      <c r="F150" s="72">
        <f>+_xlfn.XLOOKUP(Tabla6[[#This Row],[ID CLIENTE]],'RESUMEN CLIENTES'!D:D,'RESUMEN CLIENTES'!W:W)</f>
        <v>1</v>
      </c>
      <c r="G150" s="17">
        <v>45843</v>
      </c>
      <c r="H150" s="44" t="s">
        <v>81</v>
      </c>
      <c r="I150" s="2">
        <v>1000</v>
      </c>
      <c r="J150" s="20" t="s">
        <v>414</v>
      </c>
      <c r="K150" t="s">
        <v>415</v>
      </c>
      <c r="L150" s="44" t="str" cm="1">
        <f t="array" ref="L150">+_xlfn.IFS(COUNTIF(INGRESOS!E:E,Tabla6[[#This Row],[ID FACTURA]])=1,"PAGADA",Tabla6[[#This Row],[ID FACTURA]]&lt;&gt;0,"EMITIDA",Tabla6[[#This Row],[ID FACTURA]]=0,"POR EMITIR")</f>
        <v>PAGADA</v>
      </c>
      <c r="M150" s="55">
        <f>+IF(Tabla6[[#This Row],[ESTADO FACTURA]]="PAGADA",Tabla6[[#This Row],[FECHA]]-_xlfn.XLOOKUP(Tabla6[[#This Row],[N° FACTURA]],INGRESOS!F:F,INGRESOS!A:A),"-")</f>
        <v>-1</v>
      </c>
      <c r="N150" s="2"/>
      <c r="O150"/>
    </row>
    <row r="151" spans="1:15" ht="14.75" customHeight="1">
      <c r="A151" s="320" t="s">
        <v>184</v>
      </c>
      <c r="B151" t="str">
        <f>+_xlfn.XLOOKUP(Tabla6[[#This Row],[ID CLIENTE]],'RESUMEN CLIENTES'!D:D,'RESUMEN CLIENTES'!A:A)</f>
        <v>Boris Andrés Silva Véliz</v>
      </c>
      <c r="C151" t="str">
        <f>+_xlfn.XLOOKUP(Tabla6[[#This Row],[ID CLIENTE]],'RESUMEN CLIENTES'!D:D,'RESUMEN CLIENTES'!C:C)</f>
        <v>Chile</v>
      </c>
      <c r="D151" s="44" t="str">
        <f>+_xlfn.XLOOKUP(Tabla6[[#This Row],[ID CLIENTE]],'RESUMEN CLIENTES'!D:D,'RESUMEN CLIENTES'!M:M)</f>
        <v>OK</v>
      </c>
      <c r="E151" s="72">
        <f>+_xlfn.XLOOKUP(Tabla6[[#This Row],[NOMBRE]],'RESUMEN CLIENTES'!A:A,'RESUMEN CLIENTES'!X:X)</f>
        <v>2.1111111111111112</v>
      </c>
      <c r="F151" s="72">
        <f>+_xlfn.XLOOKUP(Tabla6[[#This Row],[ID CLIENTE]],'RESUMEN CLIENTES'!D:D,'RESUMEN CLIENTES'!W:W)</f>
        <v>0</v>
      </c>
      <c r="G151" s="17">
        <v>45843</v>
      </c>
      <c r="H151" s="44" t="s">
        <v>81</v>
      </c>
      <c r="I151" s="2">
        <v>695</v>
      </c>
      <c r="J151" s="20" t="s">
        <v>416</v>
      </c>
      <c r="K151" t="s">
        <v>417</v>
      </c>
      <c r="L151" s="44" t="str" cm="1">
        <f t="array" ref="L151">+_xlfn.IFS(COUNTIF(INGRESOS!E:E,Tabla6[[#This Row],[ID FACTURA]])=1,"PAGADA",Tabla6[[#This Row],[ID FACTURA]]&lt;&gt;0,"EMITIDA",Tabla6[[#This Row],[ID FACTURA]]=0,"POR EMITIR")</f>
        <v>PAGADA</v>
      </c>
      <c r="M151" s="55">
        <f>+IF(Tabla6[[#This Row],[ESTADO FACTURA]]="PAGADA",Tabla6[[#This Row],[FECHA]]-_xlfn.XLOOKUP(Tabla6[[#This Row],[N° FACTURA]],INGRESOS!F:F,INGRESOS!A:A),"-")</f>
        <v>1</v>
      </c>
      <c r="N151" s="2"/>
      <c r="O151"/>
    </row>
    <row r="152" spans="1:15" ht="14.75" customHeight="1">
      <c r="A152" s="320" t="s">
        <v>118</v>
      </c>
      <c r="B152" t="str">
        <f>+_xlfn.XLOOKUP(Tabla6[[#This Row],[ID CLIENTE]],'RESUMEN CLIENTES'!D:D,'RESUMEN CLIENTES'!A:A)</f>
        <v>Camila Sanchez Aravena</v>
      </c>
      <c r="C152" t="str">
        <f>+_xlfn.XLOOKUP(Tabla6[[#This Row],[ID CLIENTE]],'RESUMEN CLIENTES'!D:D,'RESUMEN CLIENTES'!C:C)</f>
        <v>Chile</v>
      </c>
      <c r="D152" s="44" t="str">
        <f>+_xlfn.XLOOKUP(Tabla6[[#This Row],[ID CLIENTE]],'RESUMEN CLIENTES'!D:D,'RESUMEN CLIENTES'!M:M)</f>
        <v>OK</v>
      </c>
      <c r="E152" s="72">
        <f>+_xlfn.XLOOKUP(Tabla6[[#This Row],[NOMBRE]],'RESUMEN CLIENTES'!A:A,'RESUMEN CLIENTES'!X:X)</f>
        <v>-1</v>
      </c>
      <c r="F152" s="72">
        <f>+_xlfn.XLOOKUP(Tabla6[[#This Row],[ID CLIENTE]],'RESUMEN CLIENTES'!D:D,'RESUMEN CLIENTES'!W:W)</f>
        <v>1</v>
      </c>
      <c r="G152" s="17">
        <v>45843</v>
      </c>
      <c r="H152" s="44" t="s">
        <v>81</v>
      </c>
      <c r="I152" s="2">
        <v>600</v>
      </c>
      <c r="J152" s="20" t="s">
        <v>418</v>
      </c>
      <c r="K152" t="s">
        <v>419</v>
      </c>
      <c r="L152" s="44" t="str" cm="1">
        <f t="array" ref="L152">+_xlfn.IFS(COUNTIF(INGRESOS!E:E,Tabla6[[#This Row],[ID FACTURA]])=1,"PAGADA",Tabla6[[#This Row],[ID FACTURA]]&lt;&gt;0,"EMITIDA",Tabla6[[#This Row],[ID FACTURA]]=0,"POR EMITIR")</f>
        <v>PAGADA</v>
      </c>
      <c r="M152" s="55">
        <f>+IF(Tabla6[[#This Row],[ESTADO FACTURA]]="PAGADA",Tabla6[[#This Row],[FECHA]]-_xlfn.XLOOKUP(Tabla6[[#This Row],[N° FACTURA]],INGRESOS!F:F,INGRESOS!A:A),"-")</f>
        <v>-3</v>
      </c>
      <c r="N152" s="2"/>
      <c r="O152"/>
    </row>
    <row r="153" spans="1:15" ht="14.75" customHeight="1">
      <c r="A153" s="320" t="s">
        <v>168</v>
      </c>
      <c r="B153" t="str">
        <f>+_xlfn.XLOOKUP(Tabla6[[#This Row],[ID CLIENTE]],'RESUMEN CLIENTES'!D:D,'RESUMEN CLIENTES'!A:A)</f>
        <v xml:space="preserve">Catalina Ochoa Urrutia
</v>
      </c>
      <c r="C153" t="str">
        <f>+_xlfn.XLOOKUP(Tabla6[[#This Row],[ID CLIENTE]],'RESUMEN CLIENTES'!D:D,'RESUMEN CLIENTES'!C:C)</f>
        <v>Chile</v>
      </c>
      <c r="D153" s="44" t="str">
        <f>+_xlfn.XLOOKUP(Tabla6[[#This Row],[ID CLIENTE]],'RESUMEN CLIENTES'!D:D,'RESUMEN CLIENTES'!M:M)</f>
        <v>OK</v>
      </c>
      <c r="E153" s="72">
        <f>+_xlfn.XLOOKUP(Tabla6[[#This Row],[NOMBRE]],'RESUMEN CLIENTES'!A:A,'RESUMEN CLIENTES'!X:X)</f>
        <v>0.75</v>
      </c>
      <c r="F153" s="72">
        <f>+_xlfn.XLOOKUP(Tabla6[[#This Row],[ID CLIENTE]],'RESUMEN CLIENTES'!D:D,'RESUMEN CLIENTES'!W:W)</f>
        <v>1</v>
      </c>
      <c r="G153" s="17">
        <v>45843</v>
      </c>
      <c r="H153" s="44" t="s">
        <v>81</v>
      </c>
      <c r="I153" s="2">
        <v>1500</v>
      </c>
      <c r="J153" s="20" t="s">
        <v>420</v>
      </c>
      <c r="K153" t="s">
        <v>421</v>
      </c>
      <c r="L153" s="44" t="str" cm="1">
        <f t="array" ref="L153">+_xlfn.IFS(COUNTIF(INGRESOS!E:E,Tabla6[[#This Row],[ID FACTURA]])=1,"PAGADA",Tabla6[[#This Row],[ID FACTURA]]&lt;&gt;0,"EMITIDA",Tabla6[[#This Row],[ID FACTURA]]=0,"POR EMITIR")</f>
        <v>PAGADA</v>
      </c>
      <c r="M153" s="55">
        <f>+IF(Tabla6[[#This Row],[ESTADO FACTURA]]="PAGADA",Tabla6[[#This Row],[FECHA]]-_xlfn.XLOOKUP(Tabla6[[#This Row],[N° FACTURA]],INGRESOS!F:F,INGRESOS!A:A),"-")</f>
        <v>0</v>
      </c>
      <c r="N153" s="2"/>
      <c r="O153"/>
    </row>
    <row r="154" spans="1:15" ht="14.75" customHeight="1">
      <c r="A154" s="320" t="s">
        <v>194</v>
      </c>
      <c r="B154" t="str">
        <f>+_xlfn.XLOOKUP(Tabla6[[#This Row],[ID CLIENTE]],'RESUMEN CLIENTES'!D:D,'RESUMEN CLIENTES'!A:A)</f>
        <v>Dinorah Gómez Castellanos</v>
      </c>
      <c r="C154" t="str">
        <f>+_xlfn.XLOOKUP(Tabla6[[#This Row],[ID CLIENTE]],'RESUMEN CLIENTES'!D:D,'RESUMEN CLIENTES'!C:C)</f>
        <v>México</v>
      </c>
      <c r="D154" s="44" t="str">
        <f>+_xlfn.XLOOKUP(Tabla6[[#This Row],[ID CLIENTE]],'RESUMEN CLIENTES'!D:D,'RESUMEN CLIENTES'!M:M)</f>
        <v>OK</v>
      </c>
      <c r="E154" s="72">
        <f>+_xlfn.XLOOKUP(Tabla6[[#This Row],[NOMBRE]],'RESUMEN CLIENTES'!A:A,'RESUMEN CLIENTES'!X:X)</f>
        <v>2.75</v>
      </c>
      <c r="F154" s="72">
        <f>+_xlfn.XLOOKUP(Tabla6[[#This Row],[ID CLIENTE]],'RESUMEN CLIENTES'!D:D,'RESUMEN CLIENTES'!W:W)</f>
        <v>0</v>
      </c>
      <c r="G154" s="17">
        <v>45843</v>
      </c>
      <c r="H154" s="44" t="s">
        <v>81</v>
      </c>
      <c r="I154" s="2">
        <v>800</v>
      </c>
      <c r="J154" s="20" t="s">
        <v>422</v>
      </c>
      <c r="K154" t="s">
        <v>423</v>
      </c>
      <c r="L154" s="44" t="str" cm="1">
        <f t="array" ref="L154">+_xlfn.IFS(COUNTIF(INGRESOS!E:E,Tabla6[[#This Row],[ID FACTURA]])=1,"PAGADA",Tabla6[[#This Row],[ID FACTURA]]&lt;&gt;0,"EMITIDA",Tabla6[[#This Row],[ID FACTURA]]=0,"POR EMITIR")</f>
        <v>PAGADA</v>
      </c>
      <c r="M154" s="55">
        <f>+IF(Tabla6[[#This Row],[ESTADO FACTURA]]="PAGADA",Tabla6[[#This Row],[FECHA]]-_xlfn.XLOOKUP(Tabla6[[#This Row],[N° FACTURA]],INGRESOS!F:F,INGRESOS!A:A),"-")</f>
        <v>1</v>
      </c>
      <c r="N154" s="2"/>
      <c r="O154"/>
    </row>
    <row r="155" spans="1:15" ht="14.75" customHeight="1">
      <c r="A155" s="320" t="s">
        <v>109</v>
      </c>
      <c r="B155" t="str">
        <f>+_xlfn.XLOOKUP(Tabla6[[#This Row],[ID CLIENTE]],'RESUMEN CLIENTES'!D:D,'RESUMEN CLIENTES'!A:A)</f>
        <v>Ian Job Lino Durán</v>
      </c>
      <c r="C155" t="str">
        <f>+_xlfn.XLOOKUP(Tabla6[[#This Row],[ID CLIENTE]],'RESUMEN CLIENTES'!D:D,'RESUMEN CLIENTES'!C:C)</f>
        <v>México</v>
      </c>
      <c r="D155" s="44" t="str">
        <f>+_xlfn.XLOOKUP(Tabla6[[#This Row],[ID CLIENTE]],'RESUMEN CLIENTES'!D:D,'RESUMEN CLIENTES'!M:M)</f>
        <v>OK</v>
      </c>
      <c r="E155" s="72">
        <f>+_xlfn.XLOOKUP(Tabla6[[#This Row],[NOMBRE]],'RESUMEN CLIENTES'!A:A,'RESUMEN CLIENTES'!X:X)</f>
        <v>0.1</v>
      </c>
      <c r="F155" s="72">
        <f>+_xlfn.XLOOKUP(Tabla6[[#This Row],[ID CLIENTE]],'RESUMEN CLIENTES'!D:D,'RESUMEN CLIENTES'!W:W)</f>
        <v>1</v>
      </c>
      <c r="G155" s="17">
        <v>45843</v>
      </c>
      <c r="H155" s="44" t="s">
        <v>81</v>
      </c>
      <c r="I155" s="2">
        <v>1500</v>
      </c>
      <c r="J155" s="20" t="s">
        <v>424</v>
      </c>
      <c r="K155" t="s">
        <v>425</v>
      </c>
      <c r="L155" s="44" t="str" cm="1">
        <f t="array" ref="L155">+_xlfn.IFS(COUNTIF(INGRESOS!E:E,Tabla6[[#This Row],[ID FACTURA]])=1,"PAGADA",Tabla6[[#This Row],[ID FACTURA]]&lt;&gt;0,"EMITIDA",Tabla6[[#This Row],[ID FACTURA]]=0,"POR EMITIR")</f>
        <v>PAGADA</v>
      </c>
      <c r="M155" s="55">
        <f>+IF(Tabla6[[#This Row],[ESTADO FACTURA]]="PAGADA",Tabla6[[#This Row],[FECHA]]-_xlfn.XLOOKUP(Tabla6[[#This Row],[N° FACTURA]],INGRESOS!F:F,INGRESOS!A:A),"-")</f>
        <v>-1</v>
      </c>
      <c r="N155" s="2"/>
      <c r="O155"/>
    </row>
    <row r="156" spans="1:15" ht="14.75" customHeight="1">
      <c r="A156" s="320" t="s">
        <v>142</v>
      </c>
      <c r="B156" t="str">
        <f>+_xlfn.XLOOKUP(Tabla6[[#This Row],[ID CLIENTE]],'RESUMEN CLIENTES'!D:D,'RESUMEN CLIENTES'!A:A)</f>
        <v>Jordan Eliecer Toledo Bravo</v>
      </c>
      <c r="C156" t="str">
        <f>+_xlfn.XLOOKUP(Tabla6[[#This Row],[ID CLIENTE]],'RESUMEN CLIENTES'!D:D,'RESUMEN CLIENTES'!C:C)</f>
        <v>Chile</v>
      </c>
      <c r="D156" s="44" t="str">
        <f>+_xlfn.XLOOKUP(Tabla6[[#This Row],[ID CLIENTE]],'RESUMEN CLIENTES'!D:D,'RESUMEN CLIENTES'!M:M)</f>
        <v>OK</v>
      </c>
      <c r="E156" s="72">
        <f>+_xlfn.XLOOKUP(Tabla6[[#This Row],[NOMBRE]],'RESUMEN CLIENTES'!A:A,'RESUMEN CLIENTES'!X:X)</f>
        <v>-1.6153846153846154</v>
      </c>
      <c r="F156" s="72">
        <f>+_xlfn.XLOOKUP(Tabla6[[#This Row],[ID CLIENTE]],'RESUMEN CLIENTES'!D:D,'RESUMEN CLIENTES'!W:W)</f>
        <v>0</v>
      </c>
      <c r="G156" s="17">
        <v>45843</v>
      </c>
      <c r="H156" s="44" t="s">
        <v>81</v>
      </c>
      <c r="I156" s="2">
        <v>500</v>
      </c>
      <c r="J156" s="20" t="s">
        <v>426</v>
      </c>
      <c r="K156" t="s">
        <v>427</v>
      </c>
      <c r="L156" s="44" t="str" cm="1">
        <f t="array" ref="L156">+_xlfn.IFS(COUNTIF(INGRESOS!E:E,Tabla6[[#This Row],[ID FACTURA]])=1,"PAGADA",Tabla6[[#This Row],[ID FACTURA]]&lt;&gt;0,"EMITIDA",Tabla6[[#This Row],[ID FACTURA]]=0,"POR EMITIR")</f>
        <v>PAGADA</v>
      </c>
      <c r="M156" s="55">
        <f>+IF(Tabla6[[#This Row],[ESTADO FACTURA]]="PAGADA",Tabla6[[#This Row],[FECHA]]-_xlfn.XLOOKUP(Tabla6[[#This Row],[N° FACTURA]],INGRESOS!F:F,INGRESOS!A:A),"-")</f>
        <v>-1</v>
      </c>
      <c r="N156" s="2"/>
      <c r="O156"/>
    </row>
    <row r="157" spans="1:15" ht="14.75" customHeight="1">
      <c r="A157" s="320" t="s">
        <v>188</v>
      </c>
      <c r="B157" t="str">
        <f>+_xlfn.XLOOKUP(Tabla6[[#This Row],[ID CLIENTE]],'RESUMEN CLIENTES'!D:D,'RESUMEN CLIENTES'!A:A)</f>
        <v>Marco Tulio Negrete Aceves</v>
      </c>
      <c r="C157" t="str">
        <f>+_xlfn.XLOOKUP(Tabla6[[#This Row],[ID CLIENTE]],'RESUMEN CLIENTES'!D:D,'RESUMEN CLIENTES'!C:C)</f>
        <v>México</v>
      </c>
      <c r="D157" s="44" t="str">
        <f>+_xlfn.XLOOKUP(Tabla6[[#This Row],[ID CLIENTE]],'RESUMEN CLIENTES'!D:D,'RESUMEN CLIENTES'!M:M)</f>
        <v>OK</v>
      </c>
      <c r="E157" s="72">
        <f>+_xlfn.XLOOKUP(Tabla6[[#This Row],[NOMBRE]],'RESUMEN CLIENTES'!A:A,'RESUMEN CLIENTES'!X:X)</f>
        <v>2.625</v>
      </c>
      <c r="F157" s="72">
        <f>+_xlfn.XLOOKUP(Tabla6[[#This Row],[ID CLIENTE]],'RESUMEN CLIENTES'!D:D,'RESUMEN CLIENTES'!W:W)</f>
        <v>1</v>
      </c>
      <c r="G157" s="17">
        <v>45843</v>
      </c>
      <c r="H157" s="44" t="s">
        <v>81</v>
      </c>
      <c r="I157" s="2">
        <v>800</v>
      </c>
      <c r="J157" s="20" t="s">
        <v>428</v>
      </c>
      <c r="K157" t="s">
        <v>429</v>
      </c>
      <c r="L157" s="44" t="str" cm="1">
        <f t="array" ref="L157">+_xlfn.IFS(COUNTIF(INGRESOS!E:E,Tabla6[[#This Row],[ID FACTURA]])=1,"PAGADA",Tabla6[[#This Row],[ID FACTURA]]&lt;&gt;0,"EMITIDA",Tabla6[[#This Row],[ID FACTURA]]=0,"POR EMITIR")</f>
        <v>PAGADA</v>
      </c>
      <c r="M157" s="55">
        <f>+IF(Tabla6[[#This Row],[ESTADO FACTURA]]="PAGADA",Tabla6[[#This Row],[FECHA]]-_xlfn.XLOOKUP(Tabla6[[#This Row],[N° FACTURA]],INGRESOS!F:F,INGRESOS!A:A),"-")</f>
        <v>-1</v>
      </c>
      <c r="N157" s="2"/>
      <c r="O157"/>
    </row>
    <row r="158" spans="1:15" ht="14.75" customHeight="1">
      <c r="A158" s="320" t="s">
        <v>80</v>
      </c>
      <c r="B158" t="str">
        <f>+_xlfn.XLOOKUP(Tabla6[[#This Row],[ID CLIENTE]],'RESUMEN CLIENTES'!D:D,'RESUMEN CLIENTES'!A:A)</f>
        <v>María Fernanda Alvar Sepúlveda</v>
      </c>
      <c r="C158" t="str">
        <f>+_xlfn.XLOOKUP(Tabla6[[#This Row],[ID CLIENTE]],'RESUMEN CLIENTES'!D:D,'RESUMEN CLIENTES'!C:C)</f>
        <v>Chile</v>
      </c>
      <c r="D158" s="44" t="str">
        <f>+_xlfn.XLOOKUP(Tabla6[[#This Row],[ID CLIENTE]],'RESUMEN CLIENTES'!D:D,'RESUMEN CLIENTES'!M:M)</f>
        <v>OK</v>
      </c>
      <c r="E158" s="72">
        <f>+_xlfn.XLOOKUP(Tabla6[[#This Row],[NOMBRE]],'RESUMEN CLIENTES'!A:A,'RESUMEN CLIENTES'!X:X)</f>
        <v>5</v>
      </c>
      <c r="F158" s="72">
        <f>+_xlfn.XLOOKUP(Tabla6[[#This Row],[ID CLIENTE]],'RESUMEN CLIENTES'!D:D,'RESUMEN CLIENTES'!W:W)</f>
        <v>1</v>
      </c>
      <c r="G158" s="17">
        <v>45843</v>
      </c>
      <c r="H158" s="44" t="s">
        <v>81</v>
      </c>
      <c r="I158" s="2">
        <v>1165.04</v>
      </c>
      <c r="J158" s="20" t="s">
        <v>430</v>
      </c>
      <c r="K158" t="s">
        <v>431</v>
      </c>
      <c r="L158" s="44" t="str" cm="1">
        <f t="array" ref="L158">+_xlfn.IFS(COUNTIF(INGRESOS!E:E,Tabla6[[#This Row],[ID FACTURA]])=1,"PAGADA",Tabla6[[#This Row],[ID FACTURA]]&lt;&gt;0,"EMITIDA",Tabla6[[#This Row],[ID FACTURA]]=0,"POR EMITIR")</f>
        <v>PAGADA</v>
      </c>
      <c r="M158" s="55">
        <f>+IF(Tabla6[[#This Row],[ESTADO FACTURA]]="PAGADA",Tabla6[[#This Row],[FECHA]]-_xlfn.XLOOKUP(Tabla6[[#This Row],[N° FACTURA]],INGRESOS!F:F,INGRESOS!A:A),"-")</f>
        <v>33</v>
      </c>
      <c r="N158" s="2"/>
      <c r="O158" t="s">
        <v>432</v>
      </c>
    </row>
    <row r="159" spans="1:15" ht="14.75" customHeight="1">
      <c r="A159" s="320" t="s">
        <v>129</v>
      </c>
      <c r="B159" t="str">
        <f>+_xlfn.XLOOKUP(Tabla6[[#This Row],[ID CLIENTE]],'RESUMEN CLIENTES'!D:D,'RESUMEN CLIENTES'!A:A)</f>
        <v>Moira Millaray Schneider Rivera</v>
      </c>
      <c r="C159" t="str">
        <f>+_xlfn.XLOOKUP(Tabla6[[#This Row],[ID CLIENTE]],'RESUMEN CLIENTES'!D:D,'RESUMEN CLIENTES'!C:C)</f>
        <v>Chile</v>
      </c>
      <c r="D159" s="44" t="str">
        <f>+_xlfn.XLOOKUP(Tabla6[[#This Row],[ID CLIENTE]],'RESUMEN CLIENTES'!D:D,'RESUMEN CLIENTES'!M:M)</f>
        <v>OK</v>
      </c>
      <c r="E159" s="72">
        <f>+_xlfn.XLOOKUP(Tabla6[[#This Row],[NOMBRE]],'RESUMEN CLIENTES'!A:A,'RESUMEN CLIENTES'!X:X)</f>
        <v>0</v>
      </c>
      <c r="F159" s="72">
        <f>+_xlfn.XLOOKUP(Tabla6[[#This Row],[ID CLIENTE]],'RESUMEN CLIENTES'!D:D,'RESUMEN CLIENTES'!W:W)</f>
        <v>1</v>
      </c>
      <c r="G159" s="17">
        <v>45843</v>
      </c>
      <c r="H159" s="44" t="s">
        <v>81</v>
      </c>
      <c r="I159" s="2">
        <v>1000</v>
      </c>
      <c r="J159" s="20" t="s">
        <v>433</v>
      </c>
      <c r="K159" t="s">
        <v>434</v>
      </c>
      <c r="L159" s="44" t="str" cm="1">
        <f t="array" ref="L159">+_xlfn.IFS(COUNTIF(INGRESOS!E:E,Tabla6[[#This Row],[ID FACTURA]])=1,"PAGADA",Tabla6[[#This Row],[ID FACTURA]]&lt;&gt;0,"EMITIDA",Tabla6[[#This Row],[ID FACTURA]]=0,"POR EMITIR")</f>
        <v>PAGADA</v>
      </c>
      <c r="M159" s="55">
        <f>+IF(Tabla6[[#This Row],[ESTADO FACTURA]]="PAGADA",Tabla6[[#This Row],[FECHA]]-_xlfn.XLOOKUP(Tabla6[[#This Row],[N° FACTURA]],INGRESOS!F:F,INGRESOS!A:A),"-")</f>
        <v>1</v>
      </c>
      <c r="N159" s="2"/>
      <c r="O159"/>
    </row>
    <row r="160" spans="1:15" ht="14.75" customHeight="1">
      <c r="A160" s="320" t="s">
        <v>816</v>
      </c>
      <c r="B160" t="str">
        <f>+_xlfn.XLOOKUP(Tabla6[[#This Row],[ID CLIENTE]],'RESUMEN CLIENTES'!D:D,'RESUMEN CLIENTES'!A:A)</f>
        <v>Nataly Elizabeth Elias Berrios</v>
      </c>
      <c r="C160" s="15" t="str">
        <f>+_xlfn.XLOOKUP(Tabla6[[#This Row],[ID CLIENTE]],'RESUMEN CLIENTES'!D:D,'RESUMEN CLIENTES'!C:C)</f>
        <v>Bolivia</v>
      </c>
      <c r="D160" s="169" t="str">
        <f>+_xlfn.XLOOKUP(Tabla6[[#This Row],[ID CLIENTE]],'RESUMEN CLIENTES'!D:D,'RESUMEN CLIENTES'!M:M)</f>
        <v>¡REGULARIZAR!</v>
      </c>
      <c r="E160" s="71">
        <f>+_xlfn.XLOOKUP(Tabla6[[#This Row],[NOMBRE]],'RESUMEN CLIENTES'!A:A,'RESUMEN CLIENTES'!X:X)</f>
        <v>0</v>
      </c>
      <c r="F160" s="71">
        <f>+_xlfn.XLOOKUP(Tabla6[[#This Row],[ID CLIENTE]],'RESUMEN CLIENTES'!D:D,'RESUMEN CLIENTES'!W:W)</f>
        <v>0</v>
      </c>
      <c r="G160" s="17">
        <v>45843</v>
      </c>
      <c r="H160" s="169" t="s">
        <v>81</v>
      </c>
      <c r="I160" s="2">
        <v>777</v>
      </c>
      <c r="J160" s="20" t="s">
        <v>4801</v>
      </c>
      <c r="K160" t="s">
        <v>4802</v>
      </c>
      <c r="L160" s="44" t="str" cm="1">
        <f t="array" ref="L160">+_xlfn.IFS(COUNTIF(INGRESOS!E:E,Tabla6[[#This Row],[ID FACTURA]])=1,"PAGADA",Tabla6[[#This Row],[ID FACTURA]]&lt;&gt;0,"EMITIDA",Tabla6[[#This Row],[ID FACTURA]]=0,"POR EMITIR")</f>
        <v>PAGADA</v>
      </c>
      <c r="M160" s="54">
        <f>+IF(Tabla6[[#This Row],[ESTADO FACTURA]]="PAGADA",Tabla6[[#This Row],[FECHA]]-_xlfn.XLOOKUP(Tabla6[[#This Row],[N° FACTURA]],INGRESOS!F:F,INGRESOS!A:A),"-")</f>
        <v>0</v>
      </c>
      <c r="O160"/>
    </row>
    <row r="161" spans="1:15" ht="14.75" customHeight="1">
      <c r="A161" s="320" t="s">
        <v>159</v>
      </c>
      <c r="B161" t="str">
        <f>+_xlfn.XLOOKUP(Tabla6[[#This Row],[ID CLIENTE]],'RESUMEN CLIENTES'!D:D,'RESUMEN CLIENTES'!A:A)</f>
        <v>Rodrigo Rivera Ruiz</v>
      </c>
      <c r="C161" t="str">
        <f>+_xlfn.XLOOKUP(Tabla6[[#This Row],[ID CLIENTE]],'RESUMEN CLIENTES'!D:D,'RESUMEN CLIENTES'!C:C)</f>
        <v>Chile</v>
      </c>
      <c r="D161" s="44" t="str">
        <f>+_xlfn.XLOOKUP(Tabla6[[#This Row],[ID CLIENTE]],'RESUMEN CLIENTES'!D:D,'RESUMEN CLIENTES'!M:M)</f>
        <v>OK</v>
      </c>
      <c r="E161" s="72">
        <f>+_xlfn.XLOOKUP(Tabla6[[#This Row],[NOMBRE]],'RESUMEN CLIENTES'!A:A,'RESUMEN CLIENTES'!X:X)</f>
        <v>0.8</v>
      </c>
      <c r="F161" s="72">
        <f>+_xlfn.XLOOKUP(Tabla6[[#This Row],[ID CLIENTE]],'RESUMEN CLIENTES'!D:D,'RESUMEN CLIENTES'!W:W)</f>
        <v>1</v>
      </c>
      <c r="G161" s="17">
        <v>45843</v>
      </c>
      <c r="H161" s="44" t="s">
        <v>81</v>
      </c>
      <c r="I161" s="2">
        <v>1500</v>
      </c>
      <c r="J161" s="20" t="s">
        <v>435</v>
      </c>
      <c r="K161" t="s">
        <v>436</v>
      </c>
      <c r="L161" s="44" t="str" cm="1">
        <f t="array" ref="L161">+_xlfn.IFS(COUNTIF(INGRESOS!E:E,Tabla6[[#This Row],[ID FACTURA]])=1,"PAGADA",Tabla6[[#This Row],[ID FACTURA]]&lt;&gt;0,"EMITIDA",Tabla6[[#This Row],[ID FACTURA]]=0,"POR EMITIR")</f>
        <v>PAGADA</v>
      </c>
      <c r="M161" s="55">
        <f>+IF(Tabla6[[#This Row],[ESTADO FACTURA]]="PAGADA",Tabla6[[#This Row],[FECHA]]-_xlfn.XLOOKUP(Tabla6[[#This Row],[N° FACTURA]],INGRESOS!F:F,INGRESOS!A:A),"-")</f>
        <v>-1</v>
      </c>
      <c r="N161" s="2"/>
      <c r="O161"/>
    </row>
    <row r="162" spans="1:15" ht="14.75" customHeight="1">
      <c r="A162" s="320" t="s">
        <v>112</v>
      </c>
      <c r="B162" t="str">
        <f>+_xlfn.XLOOKUP(Tabla6[[#This Row],[ID CLIENTE]],'RESUMEN CLIENTES'!D:D,'RESUMEN CLIENTES'!A:A)</f>
        <v>Victor Emanuel Hernández Ruíz</v>
      </c>
      <c r="C162" t="str">
        <f>+_xlfn.XLOOKUP(Tabla6[[#This Row],[ID CLIENTE]],'RESUMEN CLIENTES'!D:D,'RESUMEN CLIENTES'!C:C)</f>
        <v>México</v>
      </c>
      <c r="D162" s="44" t="str">
        <f>+_xlfn.XLOOKUP(Tabla6[[#This Row],[ID CLIENTE]],'RESUMEN CLIENTES'!D:D,'RESUMEN CLIENTES'!M:M)</f>
        <v>OK</v>
      </c>
      <c r="E162" s="72">
        <f>+_xlfn.XLOOKUP(Tabla6[[#This Row],[NOMBRE]],'RESUMEN CLIENTES'!A:A,'RESUMEN CLIENTES'!X:X)</f>
        <v>-1.2727272727272727</v>
      </c>
      <c r="F162" s="72">
        <f>+_xlfn.XLOOKUP(Tabla6[[#This Row],[ID CLIENTE]],'RESUMEN CLIENTES'!D:D,'RESUMEN CLIENTES'!W:W)</f>
        <v>1</v>
      </c>
      <c r="G162" s="17">
        <v>45843</v>
      </c>
      <c r="H162" s="44" t="s">
        <v>81</v>
      </c>
      <c r="I162" s="2">
        <v>1000</v>
      </c>
      <c r="J162" s="20" t="s">
        <v>437</v>
      </c>
      <c r="K162" t="s">
        <v>438</v>
      </c>
      <c r="L162" s="44" t="str" cm="1">
        <f t="array" ref="L162">+_xlfn.IFS(COUNTIF(INGRESOS!E:E,Tabla6[[#This Row],[ID FACTURA]])=1,"PAGADA",Tabla6[[#This Row],[ID FACTURA]]&lt;&gt;0,"EMITIDA",Tabla6[[#This Row],[ID FACTURA]]=0,"POR EMITIR")</f>
        <v>PAGADA</v>
      </c>
      <c r="M162" s="55">
        <f>+IF(Tabla6[[#This Row],[ESTADO FACTURA]]="PAGADA",Tabla6[[#This Row],[FECHA]]-_xlfn.XLOOKUP(Tabla6[[#This Row],[N° FACTURA]],INGRESOS!F:F,INGRESOS!A:A),"-")</f>
        <v>-3</v>
      </c>
      <c r="N162" s="2"/>
      <c r="O162"/>
    </row>
    <row r="163" spans="1:15" ht="14.75" customHeight="1">
      <c r="A163" s="320" t="s">
        <v>278</v>
      </c>
      <c r="B163" t="str">
        <f>+_xlfn.XLOOKUP(Tabla6[[#This Row],[ID CLIENTE]],'RESUMEN CLIENTES'!D:D,'RESUMEN CLIENTES'!A:A)</f>
        <v>Liliana María Moreno Martinez</v>
      </c>
      <c r="C163" t="str">
        <f>+_xlfn.XLOOKUP(Tabla6[[#This Row],[ID CLIENTE]],'RESUMEN CLIENTES'!D:D,'RESUMEN CLIENTES'!C:C)</f>
        <v>El Salvador</v>
      </c>
      <c r="D163" s="44" t="str">
        <f>+_xlfn.XLOOKUP(Tabla6[[#This Row],[ID CLIENTE]],'RESUMEN CLIENTES'!D:D,'RESUMEN CLIENTES'!M:M)</f>
        <v>ELIMINADO</v>
      </c>
      <c r="E163" s="72">
        <f>+_xlfn.XLOOKUP(Tabla6[[#This Row],[NOMBRE]],'RESUMEN CLIENTES'!A:A,'RESUMEN CLIENTES'!X:X)</f>
        <v>-1.4444444444444444</v>
      </c>
      <c r="F163" s="72">
        <f>+_xlfn.XLOOKUP(Tabla6[[#This Row],[ID CLIENTE]],'RESUMEN CLIENTES'!D:D,'RESUMEN CLIENTES'!W:W)</f>
        <v>0</v>
      </c>
      <c r="G163" s="17">
        <v>45845</v>
      </c>
      <c r="H163" s="44" t="s">
        <v>81</v>
      </c>
      <c r="I163" s="2">
        <v>500</v>
      </c>
      <c r="J163" s="20" t="s">
        <v>439</v>
      </c>
      <c r="K163" t="s">
        <v>440</v>
      </c>
      <c r="L163" s="44" t="str" cm="1">
        <f t="array" ref="L163">+_xlfn.IFS(COUNTIF(INGRESOS!E:E,Tabla6[[#This Row],[ID FACTURA]])=1,"PAGADA",Tabla6[[#This Row],[ID FACTURA]]&lt;&gt;0,"EMITIDA",Tabla6[[#This Row],[ID FACTURA]]=0,"POR EMITIR")</f>
        <v>PAGADA</v>
      </c>
      <c r="M163" s="55">
        <f>+IF(Tabla6[[#This Row],[ESTADO FACTURA]]="PAGADA",Tabla6[[#This Row],[FECHA]]-_xlfn.XLOOKUP(Tabla6[[#This Row],[N° FACTURA]],INGRESOS!F:F,INGRESOS!A:A),"-")</f>
        <v>1</v>
      </c>
      <c r="N163" s="2"/>
      <c r="O163"/>
    </row>
    <row r="164" spans="1:15" ht="14.75" customHeight="1">
      <c r="A164" s="320" t="s">
        <v>441</v>
      </c>
      <c r="B164" t="str">
        <f>+_xlfn.XLOOKUP(Tabla6[[#This Row],[ID CLIENTE]],'RESUMEN CLIENTES'!D:D,'RESUMEN CLIENTES'!A:A)</f>
        <v>Luis Manuel Villanueva Contreras</v>
      </c>
      <c r="C164" t="str">
        <f>+_xlfn.XLOOKUP(Tabla6[[#This Row],[ID CLIENTE]],'RESUMEN CLIENTES'!D:D,'RESUMEN CLIENTES'!C:C)</f>
        <v>México</v>
      </c>
      <c r="D164" s="44" t="str">
        <f>+_xlfn.XLOOKUP(Tabla6[[#This Row],[ID CLIENTE]],'RESUMEN CLIENTES'!D:D,'RESUMEN CLIENTES'!M:M)</f>
        <v>OK</v>
      </c>
      <c r="E164" s="72">
        <f>+_xlfn.XLOOKUP(Tabla6[[#This Row],[NOMBRE]],'RESUMEN CLIENTES'!A:A,'RESUMEN CLIENTES'!X:X)</f>
        <v>0.55555555555555558</v>
      </c>
      <c r="F164" s="72">
        <f>+_xlfn.XLOOKUP(Tabla6[[#This Row],[ID CLIENTE]],'RESUMEN CLIENTES'!D:D,'RESUMEN CLIENTES'!W:W)</f>
        <v>0</v>
      </c>
      <c r="G164" s="17">
        <v>45845</v>
      </c>
      <c r="H164" s="44" t="s">
        <v>81</v>
      </c>
      <c r="I164" s="2">
        <v>250</v>
      </c>
      <c r="J164" s="20" t="s">
        <v>442</v>
      </c>
      <c r="K164" t="s">
        <v>443</v>
      </c>
      <c r="L164" s="44" t="str" cm="1">
        <f t="array" ref="L164">+_xlfn.IFS(COUNTIF(INGRESOS!E:E,Tabla6[[#This Row],[ID FACTURA]])=1,"PAGADA",Tabla6[[#This Row],[ID FACTURA]]&lt;&gt;0,"EMITIDA",Tabla6[[#This Row],[ID FACTURA]]=0,"POR EMITIR")</f>
        <v>PAGADA</v>
      </c>
      <c r="M164" s="55">
        <f>+IF(Tabla6[[#This Row],[ESTADO FACTURA]]="PAGADA",Tabla6[[#This Row],[FECHA]]-_xlfn.XLOOKUP(Tabla6[[#This Row],[N° FACTURA]],INGRESOS!F:F,INGRESOS!A:A),"-")</f>
        <v>0</v>
      </c>
      <c r="N164" s="2"/>
      <c r="O164"/>
    </row>
    <row r="165" spans="1:15" ht="14.75" customHeight="1">
      <c r="A165" s="320" t="s">
        <v>444</v>
      </c>
      <c r="B165" t="str">
        <f>+_xlfn.XLOOKUP(Tabla6[[#This Row],[ID CLIENTE]],'RESUMEN CLIENTES'!D:D,'RESUMEN CLIENTES'!A:A)</f>
        <v>Miguel Ángel Cortez García</v>
      </c>
      <c r="C165" t="str">
        <f>+_xlfn.XLOOKUP(Tabla6[[#This Row],[ID CLIENTE]],'RESUMEN CLIENTES'!D:D,'RESUMEN CLIENTES'!C:C)</f>
        <v>México</v>
      </c>
      <c r="D165" s="44" t="str">
        <f>+_xlfn.XLOOKUP(Tabla6[[#This Row],[ID CLIENTE]],'RESUMEN CLIENTES'!D:D,'RESUMEN CLIENTES'!M:M)</f>
        <v>ELIMINADO</v>
      </c>
      <c r="E165" s="72">
        <f>+_xlfn.XLOOKUP(Tabla6[[#This Row],[NOMBRE]],'RESUMEN CLIENTES'!A:A,'RESUMEN CLIENTES'!X:X)</f>
        <v>0</v>
      </c>
      <c r="F165" s="72">
        <f>+_xlfn.XLOOKUP(Tabla6[[#This Row],[ID CLIENTE]],'RESUMEN CLIENTES'!D:D,'RESUMEN CLIENTES'!W:W)</f>
        <v>0</v>
      </c>
      <c r="G165" s="17">
        <v>45845</v>
      </c>
      <c r="H165" s="44" t="s">
        <v>81</v>
      </c>
      <c r="I165" s="2">
        <v>250</v>
      </c>
      <c r="J165" s="20" t="s">
        <v>445</v>
      </c>
      <c r="K165" t="s">
        <v>446</v>
      </c>
      <c r="L165" s="44" t="str" cm="1">
        <f t="array" ref="L165">+_xlfn.IFS(COUNTIF(INGRESOS!E:E,Tabla6[[#This Row],[ID FACTURA]])=1,"PAGADA",Tabla6[[#This Row],[ID FACTURA]]&lt;&gt;0,"EMITIDA",Tabla6[[#This Row],[ID FACTURA]]=0,"POR EMITIR")</f>
        <v>PAGADA</v>
      </c>
      <c r="M165" s="55">
        <f>+IF(Tabla6[[#This Row],[ESTADO FACTURA]]="PAGADA",Tabla6[[#This Row],[FECHA]]-_xlfn.XLOOKUP(Tabla6[[#This Row],[N° FACTURA]],INGRESOS!F:F,INGRESOS!A:A),"-")</f>
        <v>0</v>
      </c>
      <c r="N165" s="2"/>
      <c r="O165"/>
    </row>
    <row r="166" spans="1:15" ht="14.75" customHeight="1">
      <c r="A166" s="320" t="s">
        <v>447</v>
      </c>
      <c r="B166" t="str">
        <f>+_xlfn.XLOOKUP(Tabla6[[#This Row],[ID CLIENTE]],'RESUMEN CLIENTES'!D:D,'RESUMEN CLIENTES'!A:A)</f>
        <v>Yefry Onil Santana Marte</v>
      </c>
      <c r="C166" t="str">
        <f>+_xlfn.XLOOKUP(Tabla6[[#This Row],[ID CLIENTE]],'RESUMEN CLIENTES'!D:D,'RESUMEN CLIENTES'!C:C)</f>
        <v>República Dominicana</v>
      </c>
      <c r="D166" s="44" t="str">
        <f>+_xlfn.XLOOKUP(Tabla6[[#This Row],[ID CLIENTE]],'RESUMEN CLIENTES'!D:D,'RESUMEN CLIENTES'!M:M)</f>
        <v>OK</v>
      </c>
      <c r="E166" s="72">
        <f>+_xlfn.XLOOKUP(Tabla6[[#This Row],[NOMBRE]],'RESUMEN CLIENTES'!A:A,'RESUMEN CLIENTES'!X:X)</f>
        <v>-0.90909090909090906</v>
      </c>
      <c r="F166" s="72">
        <f>+_xlfn.XLOOKUP(Tabla6[[#This Row],[ID CLIENTE]],'RESUMEN CLIENTES'!D:D,'RESUMEN CLIENTES'!W:W)</f>
        <v>0</v>
      </c>
      <c r="G166" s="17">
        <v>45845</v>
      </c>
      <c r="H166" s="44" t="s">
        <v>81</v>
      </c>
      <c r="I166" s="2">
        <v>250</v>
      </c>
      <c r="J166" s="20" t="s">
        <v>448</v>
      </c>
      <c r="K166" t="s">
        <v>449</v>
      </c>
      <c r="L166" s="44" t="str" cm="1">
        <f t="array" ref="L166">+_xlfn.IFS(COUNTIF(INGRESOS!E:E,Tabla6[[#This Row],[ID FACTURA]])=1,"PAGADA",Tabla6[[#This Row],[ID FACTURA]]&lt;&gt;0,"EMITIDA",Tabla6[[#This Row],[ID FACTURA]]=0,"POR EMITIR")</f>
        <v>PAGADA</v>
      </c>
      <c r="M166" s="55">
        <f>+IF(Tabla6[[#This Row],[ESTADO FACTURA]]="PAGADA",Tabla6[[#This Row],[FECHA]]-_xlfn.XLOOKUP(Tabla6[[#This Row],[N° FACTURA]],INGRESOS!F:F,INGRESOS!A:A),"-")</f>
        <v>0</v>
      </c>
      <c r="N166" s="2"/>
      <c r="O166"/>
    </row>
    <row r="167" spans="1:15" ht="14.75" customHeight="1">
      <c r="A167" s="320" t="s">
        <v>450</v>
      </c>
      <c r="B167" t="str">
        <f>+_xlfn.XLOOKUP(Tabla6[[#This Row],[ID CLIENTE]],'RESUMEN CLIENTES'!D:D,'RESUMEN CLIENTES'!A:A)</f>
        <v>Alexandra Carolina Ordoñez Cuotto</v>
      </c>
      <c r="C167" t="str">
        <f>+_xlfn.XLOOKUP(Tabla6[[#This Row],[ID CLIENTE]],'RESUMEN CLIENTES'!D:D,'RESUMEN CLIENTES'!C:C)</f>
        <v>Venezuela</v>
      </c>
      <c r="D167" s="44" t="str">
        <f>+_xlfn.XLOOKUP(Tabla6[[#This Row],[ID CLIENTE]],'RESUMEN CLIENTES'!D:D,'RESUMEN CLIENTES'!M:M)</f>
        <v>¡REGULARIZAR!</v>
      </c>
      <c r="E167" s="72">
        <f>+_xlfn.XLOOKUP(Tabla6[[#This Row],[NOMBRE]],'RESUMEN CLIENTES'!A:A,'RESUMEN CLIENTES'!X:X)</f>
        <v>-2</v>
      </c>
      <c r="F167" s="72">
        <f>+_xlfn.XLOOKUP(Tabla6[[#This Row],[ID CLIENTE]],'RESUMEN CLIENTES'!D:D,'RESUMEN CLIENTES'!W:W)</f>
        <v>0</v>
      </c>
      <c r="G167" s="17">
        <v>45846</v>
      </c>
      <c r="H167" s="44" t="s">
        <v>81</v>
      </c>
      <c r="I167" s="2">
        <v>250</v>
      </c>
      <c r="J167" s="20" t="s">
        <v>451</v>
      </c>
      <c r="K167" t="s">
        <v>452</v>
      </c>
      <c r="L167" s="44" t="str" cm="1">
        <f t="array" ref="L167">+_xlfn.IFS(COUNTIF(INGRESOS!E:E,Tabla6[[#This Row],[ID FACTURA]])=1,"PAGADA",Tabla6[[#This Row],[ID FACTURA]]&lt;&gt;0,"EMITIDA",Tabla6[[#This Row],[ID FACTURA]]=0,"POR EMITIR")</f>
        <v>PAGADA</v>
      </c>
      <c r="M167" s="55">
        <f>+IF(Tabla6[[#This Row],[ESTADO FACTURA]]="PAGADA",Tabla6[[#This Row],[FECHA]]-_xlfn.XLOOKUP(Tabla6[[#This Row],[N° FACTURA]],INGRESOS!F:F,INGRESOS!A:A),"-")</f>
        <v>-3</v>
      </c>
      <c r="N167" s="2"/>
      <c r="O167"/>
    </row>
    <row r="168" spans="1:15" ht="14.75" customHeight="1">
      <c r="A168" s="320" t="s">
        <v>253</v>
      </c>
      <c r="B168" t="str">
        <f>+_xlfn.XLOOKUP(Tabla6[[#This Row],[ID CLIENTE]],'RESUMEN CLIENTES'!D:D,'RESUMEN CLIENTES'!A:A)</f>
        <v>Diego Alonso Salazar Palacios</v>
      </c>
      <c r="C168" t="str">
        <f>+_xlfn.XLOOKUP(Tabla6[[#This Row],[ID CLIENTE]],'RESUMEN CLIENTES'!D:D,'RESUMEN CLIENTES'!C:C)</f>
        <v>Perú</v>
      </c>
      <c r="D168" s="44" t="str">
        <f>+_xlfn.XLOOKUP(Tabla6[[#This Row],[ID CLIENTE]],'RESUMEN CLIENTES'!D:D,'RESUMEN CLIENTES'!M:M)</f>
        <v>OK</v>
      </c>
      <c r="E168" s="72">
        <f>+_xlfn.XLOOKUP(Tabla6[[#This Row],[NOMBRE]],'RESUMEN CLIENTES'!A:A,'RESUMEN CLIENTES'!X:X)</f>
        <v>0.18560606059988707</v>
      </c>
      <c r="F168" s="72">
        <f>+_xlfn.XLOOKUP(Tabla6[[#This Row],[ID CLIENTE]],'RESUMEN CLIENTES'!D:D,'RESUMEN CLIENTES'!W:W)</f>
        <v>1</v>
      </c>
      <c r="G168" s="17">
        <v>45846</v>
      </c>
      <c r="H168" s="44" t="s">
        <v>81</v>
      </c>
      <c r="I168" s="2">
        <v>2000</v>
      </c>
      <c r="J168" s="20" t="s">
        <v>453</v>
      </c>
      <c r="K168" t="s">
        <v>454</v>
      </c>
      <c r="L168" s="44" t="str" cm="1">
        <f t="array" ref="L168">+_xlfn.IFS(COUNTIF(INGRESOS!E:E,Tabla6[[#This Row],[ID FACTURA]])=1,"PAGADA",Tabla6[[#This Row],[ID FACTURA]]&lt;&gt;0,"EMITIDA",Tabla6[[#This Row],[ID FACTURA]]=0,"POR EMITIR")</f>
        <v>PAGADA</v>
      </c>
      <c r="M168" s="55">
        <f>+IF(Tabla6[[#This Row],[ESTADO FACTURA]]="PAGADA",Tabla6[[#This Row],[FECHA]]-_xlfn.XLOOKUP(Tabla6[[#This Row],[N° FACTURA]],INGRESOS!F:F,INGRESOS!A:A),"-")</f>
        <v>-1</v>
      </c>
      <c r="N168" s="2"/>
      <c r="O168"/>
    </row>
    <row r="169" spans="1:15" ht="14.75" customHeight="1">
      <c r="A169" s="320" t="s">
        <v>455</v>
      </c>
      <c r="B169" t="str">
        <f>+_xlfn.XLOOKUP(Tabla6[[#This Row],[ID CLIENTE]],'RESUMEN CLIENTES'!D:D,'RESUMEN CLIENTES'!A:A)</f>
        <v>Paola Hitos</v>
      </c>
      <c r="C169" t="str">
        <f>+_xlfn.XLOOKUP(Tabla6[[#This Row],[ID CLIENTE]],'RESUMEN CLIENTES'!D:D,'RESUMEN CLIENTES'!C:C)</f>
        <v>México</v>
      </c>
      <c r="D169" s="44" t="str">
        <f>+_xlfn.XLOOKUP(Tabla6[[#This Row],[ID CLIENTE]],'RESUMEN CLIENTES'!D:D,'RESUMEN CLIENTES'!M:M)</f>
        <v>OK</v>
      </c>
      <c r="E169" s="72">
        <f>+_xlfn.XLOOKUP(Tabla6[[#This Row],[NOMBRE]],'RESUMEN CLIENTES'!A:A,'RESUMEN CLIENTES'!X:X)</f>
        <v>-0.55555555555555558</v>
      </c>
      <c r="F169" s="72">
        <f>+_xlfn.XLOOKUP(Tabla6[[#This Row],[ID CLIENTE]],'RESUMEN CLIENTES'!D:D,'RESUMEN CLIENTES'!W:W)</f>
        <v>1</v>
      </c>
      <c r="G169" s="17">
        <v>45846</v>
      </c>
      <c r="H169" s="44" t="s">
        <v>81</v>
      </c>
      <c r="I169" s="2">
        <v>250</v>
      </c>
      <c r="J169" s="20" t="s">
        <v>456</v>
      </c>
      <c r="K169" t="s">
        <v>457</v>
      </c>
      <c r="L169" s="44" t="str" cm="1">
        <f t="array" ref="L169">+_xlfn.IFS(COUNTIF(INGRESOS!E:E,Tabla6[[#This Row],[ID FACTURA]])=1,"PAGADA",Tabla6[[#This Row],[ID FACTURA]]&lt;&gt;0,"EMITIDA",Tabla6[[#This Row],[ID FACTURA]]=0,"POR EMITIR")</f>
        <v>PAGADA</v>
      </c>
      <c r="M169" s="55">
        <f>+IF(Tabla6[[#This Row],[ESTADO FACTURA]]="PAGADA",Tabla6[[#This Row],[FECHA]]-_xlfn.XLOOKUP(Tabla6[[#This Row],[N° FACTURA]],INGRESOS!F:F,INGRESOS!A:A),"-")</f>
        <v>0</v>
      </c>
      <c r="N169" s="2"/>
      <c r="O169"/>
    </row>
    <row r="170" spans="1:15" ht="14.75" customHeight="1">
      <c r="A170" s="320" t="s">
        <v>447</v>
      </c>
      <c r="B170" t="str">
        <f>+_xlfn.XLOOKUP(Tabla6[[#This Row],[ID CLIENTE]],'RESUMEN CLIENTES'!D:D,'RESUMEN CLIENTES'!A:A)</f>
        <v>Yefry Onil Santana Marte</v>
      </c>
      <c r="C170" t="str">
        <f>+_xlfn.XLOOKUP(Tabla6[[#This Row],[ID CLIENTE]],'RESUMEN CLIENTES'!D:D,'RESUMEN CLIENTES'!C:C)</f>
        <v>República Dominicana</v>
      </c>
      <c r="D170" s="44" t="str">
        <f>+_xlfn.XLOOKUP(Tabla6[[#This Row],[ID CLIENTE]],'RESUMEN CLIENTES'!D:D,'RESUMEN CLIENTES'!M:M)</f>
        <v>OK</v>
      </c>
      <c r="E170" s="72">
        <f>+_xlfn.XLOOKUP(Tabla6[[#This Row],[NOMBRE]],'RESUMEN CLIENTES'!A:A,'RESUMEN CLIENTES'!X:X)</f>
        <v>-0.90909090909090906</v>
      </c>
      <c r="F170" s="72">
        <f>+_xlfn.XLOOKUP(Tabla6[[#This Row],[ID CLIENTE]],'RESUMEN CLIENTES'!D:D,'RESUMEN CLIENTES'!W:W)</f>
        <v>0</v>
      </c>
      <c r="G170" s="17">
        <v>45846</v>
      </c>
      <c r="H170" s="44" t="s">
        <v>81</v>
      </c>
      <c r="I170" s="2">
        <v>750</v>
      </c>
      <c r="J170" s="20" t="s">
        <v>458</v>
      </c>
      <c r="K170" t="s">
        <v>459</v>
      </c>
      <c r="L170" s="44" t="str" cm="1">
        <f t="array" ref="L170">+_xlfn.IFS(COUNTIF(INGRESOS!E:E,Tabla6[[#This Row],[ID FACTURA]])=1,"PAGADA",Tabla6[[#This Row],[ID FACTURA]]&lt;&gt;0,"EMITIDA",Tabla6[[#This Row],[ID FACTURA]]=0,"POR EMITIR")</f>
        <v>PAGADA</v>
      </c>
      <c r="M170" s="55">
        <f>+IF(Tabla6[[#This Row],[ESTADO FACTURA]]="PAGADA",Tabla6[[#This Row],[FECHA]]-_xlfn.XLOOKUP(Tabla6[[#This Row],[N° FACTURA]],INGRESOS!F:F,INGRESOS!A:A),"-")</f>
        <v>0</v>
      </c>
      <c r="N170" s="2"/>
      <c r="O170"/>
    </row>
    <row r="171" spans="1:15" ht="14.75" customHeight="1">
      <c r="A171" s="320" t="s">
        <v>317</v>
      </c>
      <c r="B171" t="str">
        <f>+_xlfn.XLOOKUP(Tabla6[[#This Row],[ID CLIENTE]],'RESUMEN CLIENTES'!D:D,'RESUMEN CLIENTES'!A:A)</f>
        <v>Polliyana Alvarado Alvarado</v>
      </c>
      <c r="C171" t="str">
        <f>+_xlfn.XLOOKUP(Tabla6[[#This Row],[ID CLIENTE]],'RESUMEN CLIENTES'!D:D,'RESUMEN CLIENTES'!C:C)</f>
        <v>Chile</v>
      </c>
      <c r="D171" s="44" t="str">
        <f>+_xlfn.XLOOKUP(Tabla6[[#This Row],[ID CLIENTE]],'RESUMEN CLIENTES'!D:D,'RESUMEN CLIENTES'!M:M)</f>
        <v>OK</v>
      </c>
      <c r="E171" s="72">
        <f>+_xlfn.XLOOKUP(Tabla6[[#This Row],[NOMBRE]],'RESUMEN CLIENTES'!A:A,'RESUMEN CLIENTES'!X:X)</f>
        <v>0</v>
      </c>
      <c r="F171" s="72">
        <f>+_xlfn.XLOOKUP(Tabla6[[#This Row],[ID CLIENTE]],'RESUMEN CLIENTES'!D:D,'RESUMEN CLIENTES'!W:W)</f>
        <v>0</v>
      </c>
      <c r="G171" s="17">
        <v>45847</v>
      </c>
      <c r="H171" s="44" t="s">
        <v>81</v>
      </c>
      <c r="I171" s="2">
        <v>13645.890491054159</v>
      </c>
      <c r="J171" s="20" t="s">
        <v>2571</v>
      </c>
      <c r="K171" t="s">
        <v>2572</v>
      </c>
      <c r="L171" s="44" t="str" cm="1">
        <f t="array" ref="L171">+_xlfn.IFS(COUNTIF(INGRESOS!E:E,Tabla6[[#This Row],[ID FACTURA]])=1,"PAGADA",Tabla6[[#This Row],[ID FACTURA]]&lt;&gt;0,"EMITIDA",Tabla6[[#This Row],[ID FACTURA]]=0,"POR EMITIR")</f>
        <v>PAGADA</v>
      </c>
      <c r="M171" s="55">
        <f>+IF(Tabla6[[#This Row],[ESTADO FACTURA]]="PAGADA",Tabla6[[#This Row],[FECHA]]-_xlfn.XLOOKUP(Tabla6[[#This Row],[N° FACTURA]],INGRESOS!F:F,INGRESOS!A:A),"-")</f>
        <v>0</v>
      </c>
      <c r="N171" s="2"/>
      <c r="O171" t="s">
        <v>318</v>
      </c>
    </row>
    <row r="172" spans="1:15" ht="14.75" customHeight="1">
      <c r="A172" s="320" t="s">
        <v>460</v>
      </c>
      <c r="B172" t="str">
        <f>+_xlfn.XLOOKUP(Tabla6[[#This Row],[ID CLIENTE]],'RESUMEN CLIENTES'!D:D,'RESUMEN CLIENTES'!A:A)</f>
        <v>Valeria Carolina Heredia Peña</v>
      </c>
      <c r="C172" t="str">
        <f>+_xlfn.XLOOKUP(Tabla6[[#This Row],[ID CLIENTE]],'RESUMEN CLIENTES'!D:D,'RESUMEN CLIENTES'!C:C)</f>
        <v>Bolivia</v>
      </c>
      <c r="D172" s="44" t="str">
        <f>+_xlfn.XLOOKUP(Tabla6[[#This Row],[ID CLIENTE]],'RESUMEN CLIENTES'!D:D,'RESUMEN CLIENTES'!M:M)</f>
        <v>OK</v>
      </c>
      <c r="E172" s="72">
        <f>+_xlfn.XLOOKUP(Tabla6[[#This Row],[NOMBRE]],'RESUMEN CLIENTES'!A:A,'RESUMEN CLIENTES'!X:X)</f>
        <v>2.5</v>
      </c>
      <c r="F172" s="72">
        <f>+_xlfn.XLOOKUP(Tabla6[[#This Row],[ID CLIENTE]],'RESUMEN CLIENTES'!D:D,'RESUMEN CLIENTES'!W:W)</f>
        <v>0</v>
      </c>
      <c r="G172" s="17">
        <v>45847</v>
      </c>
      <c r="H172" s="44" t="s">
        <v>81</v>
      </c>
      <c r="I172" s="2">
        <v>4000</v>
      </c>
      <c r="J172" s="20" t="s">
        <v>461</v>
      </c>
      <c r="K172" t="s">
        <v>462</v>
      </c>
      <c r="L172" s="44" t="str" cm="1">
        <f t="array" ref="L172">+_xlfn.IFS(COUNTIF(INGRESOS!E:E,Tabla6[[#This Row],[ID FACTURA]])=1,"PAGADA",Tabla6[[#This Row],[ID FACTURA]]&lt;&gt;0,"EMITIDA",Tabla6[[#This Row],[ID FACTURA]]=0,"POR EMITIR")</f>
        <v>PAGADA</v>
      </c>
      <c r="M172" s="55">
        <f>+IF(Tabla6[[#This Row],[ESTADO FACTURA]]="PAGADA",Tabla6[[#This Row],[FECHA]]-_xlfn.XLOOKUP(Tabla6[[#This Row],[N° FACTURA]],INGRESOS!F:F,INGRESOS!A:A),"-")</f>
        <v>0</v>
      </c>
      <c r="N172" s="2"/>
      <c r="O172"/>
    </row>
    <row r="173" spans="1:15" ht="14.75" customHeight="1">
      <c r="A173" s="320" t="s">
        <v>319</v>
      </c>
      <c r="B173" t="str">
        <f>+_xlfn.XLOOKUP(Tabla6[[#This Row],[ID CLIENTE]],'RESUMEN CLIENTES'!D:D,'RESUMEN CLIENTES'!A:A)</f>
        <v>Brandon Alcantara Gallegos</v>
      </c>
      <c r="C173" t="str">
        <f>+_xlfn.XLOOKUP(Tabla6[[#This Row],[ID CLIENTE]],'RESUMEN CLIENTES'!D:D,'RESUMEN CLIENTES'!C:C)</f>
        <v>México</v>
      </c>
      <c r="D173" s="44" t="str">
        <f>+_xlfn.XLOOKUP(Tabla6[[#This Row],[ID CLIENTE]],'RESUMEN CLIENTES'!D:D,'RESUMEN CLIENTES'!M:M)</f>
        <v>SUSPENDIDO</v>
      </c>
      <c r="E173" s="72">
        <f>+_xlfn.XLOOKUP(Tabla6[[#This Row],[NOMBRE]],'RESUMEN CLIENTES'!A:A,'RESUMEN CLIENTES'!X:X)</f>
        <v>0</v>
      </c>
      <c r="F173" s="72">
        <f>+_xlfn.XLOOKUP(Tabla6[[#This Row],[ID CLIENTE]],'RESUMEN CLIENTES'!D:D,'RESUMEN CLIENTES'!W:W)</f>
        <v>0</v>
      </c>
      <c r="G173" s="17">
        <v>45848</v>
      </c>
      <c r="H173" s="44" t="s">
        <v>81</v>
      </c>
      <c r="I173" s="2">
        <v>1000</v>
      </c>
      <c r="J173" s="20" t="s">
        <v>463</v>
      </c>
      <c r="K173" t="s">
        <v>464</v>
      </c>
      <c r="L173" s="44" t="str" cm="1">
        <f t="array" ref="L173">+_xlfn.IFS(COUNTIF(INGRESOS!E:E,Tabla6[[#This Row],[ID FACTURA]])=1,"PAGADA",Tabla6[[#This Row],[ID FACTURA]]&lt;&gt;0,"EMITIDA",Tabla6[[#This Row],[ID FACTURA]]=0,"POR EMITIR")</f>
        <v>PAGADA</v>
      </c>
      <c r="M173" s="55">
        <f>+IF(Tabla6[[#This Row],[ESTADO FACTURA]]="PAGADA",Tabla6[[#This Row],[FECHA]]-_xlfn.XLOOKUP(Tabla6[[#This Row],[N° FACTURA]],INGRESOS!F:F,INGRESOS!A:A),"-")</f>
        <v>0</v>
      </c>
      <c r="N173" s="2"/>
      <c r="O173"/>
    </row>
    <row r="174" spans="1:15" ht="14.75" customHeight="1">
      <c r="A174" s="320" t="s">
        <v>465</v>
      </c>
      <c r="B174" t="str">
        <f>+_xlfn.XLOOKUP(Tabla6[[#This Row],[ID CLIENTE]],'RESUMEN CLIENTES'!D:D,'RESUMEN CLIENTES'!A:A)</f>
        <v>Freddy Renzo Perez Villafuerte</v>
      </c>
      <c r="C174" t="str">
        <f>+_xlfn.XLOOKUP(Tabla6[[#This Row],[ID CLIENTE]],'RESUMEN CLIENTES'!D:D,'RESUMEN CLIENTES'!C:C)</f>
        <v>Perú</v>
      </c>
      <c r="D174" s="44" t="str">
        <f>+_xlfn.XLOOKUP(Tabla6[[#This Row],[ID CLIENTE]],'RESUMEN CLIENTES'!D:D,'RESUMEN CLIENTES'!M:M)</f>
        <v>ELIMINADO</v>
      </c>
      <c r="E174" s="72">
        <f>+_xlfn.XLOOKUP(Tabla6[[#This Row],[NOMBRE]],'RESUMEN CLIENTES'!A:A,'RESUMEN CLIENTES'!X:X)</f>
        <v>-0.25</v>
      </c>
      <c r="F174" s="72">
        <f>+_xlfn.XLOOKUP(Tabla6[[#This Row],[ID CLIENTE]],'RESUMEN CLIENTES'!D:D,'RESUMEN CLIENTES'!W:W)</f>
        <v>0</v>
      </c>
      <c r="G174" s="17">
        <v>45848</v>
      </c>
      <c r="H174" s="44" t="s">
        <v>81</v>
      </c>
      <c r="I174" s="2">
        <v>250</v>
      </c>
      <c r="J174" s="20" t="s">
        <v>466</v>
      </c>
      <c r="K174" t="s">
        <v>467</v>
      </c>
      <c r="L174" s="44" t="str" cm="1">
        <f t="array" ref="L174">+_xlfn.IFS(COUNTIF(INGRESOS!E:E,Tabla6[[#This Row],[ID FACTURA]])=1,"PAGADA",Tabla6[[#This Row],[ID FACTURA]]&lt;&gt;0,"EMITIDA",Tabla6[[#This Row],[ID FACTURA]]=0,"POR EMITIR")</f>
        <v>PAGADA</v>
      </c>
      <c r="M174" s="55">
        <f>+IF(Tabla6[[#This Row],[ESTADO FACTURA]]="PAGADA",Tabla6[[#This Row],[FECHA]]-_xlfn.XLOOKUP(Tabla6[[#This Row],[N° FACTURA]],INGRESOS!F:F,INGRESOS!A:A),"-")</f>
        <v>0</v>
      </c>
      <c r="N174" s="2"/>
      <c r="O174"/>
    </row>
    <row r="175" spans="1:15" ht="14.75" customHeight="1">
      <c r="A175" s="320" t="s">
        <v>468</v>
      </c>
      <c r="B175" t="str">
        <f>+_xlfn.XLOOKUP(Tabla6[[#This Row],[ID CLIENTE]],'RESUMEN CLIENTES'!D:D,'RESUMEN CLIENTES'!A:A)</f>
        <v>Julian Medina</v>
      </c>
      <c r="C175" t="str">
        <f>+_xlfn.XLOOKUP(Tabla6[[#This Row],[ID CLIENTE]],'RESUMEN CLIENTES'!D:D,'RESUMEN CLIENTES'!C:C)</f>
        <v>Ecuador</v>
      </c>
      <c r="D175" s="44" t="str">
        <f>+_xlfn.XLOOKUP(Tabla6[[#This Row],[ID CLIENTE]],'RESUMEN CLIENTES'!D:D,'RESUMEN CLIENTES'!M:M)</f>
        <v>OK</v>
      </c>
      <c r="E175" s="72">
        <f>+_xlfn.XLOOKUP(Tabla6[[#This Row],[NOMBRE]],'RESUMEN CLIENTES'!A:A,'RESUMEN CLIENTES'!X:X)</f>
        <v>-0.5</v>
      </c>
      <c r="F175" s="72">
        <f>+_xlfn.XLOOKUP(Tabla6[[#This Row],[ID CLIENTE]],'RESUMEN CLIENTES'!D:D,'RESUMEN CLIENTES'!W:W)</f>
        <v>0</v>
      </c>
      <c r="G175" s="17">
        <v>45848</v>
      </c>
      <c r="H175" s="44" t="s">
        <v>81</v>
      </c>
      <c r="I175" s="2">
        <v>250</v>
      </c>
      <c r="J175" s="20" t="s">
        <v>469</v>
      </c>
      <c r="K175" t="s">
        <v>470</v>
      </c>
      <c r="L175" s="44" t="str" cm="1">
        <f t="array" ref="L175">+_xlfn.IFS(COUNTIF(INGRESOS!E:E,Tabla6[[#This Row],[ID FACTURA]])=1,"PAGADA",Tabla6[[#This Row],[ID FACTURA]]&lt;&gt;0,"EMITIDA",Tabla6[[#This Row],[ID FACTURA]]=0,"POR EMITIR")</f>
        <v>PAGADA</v>
      </c>
      <c r="M175" s="55">
        <f>+IF(Tabla6[[#This Row],[ESTADO FACTURA]]="PAGADA",Tabla6[[#This Row],[FECHA]]-_xlfn.XLOOKUP(Tabla6[[#This Row],[N° FACTURA]],INGRESOS!F:F,INGRESOS!A:A),"-")</f>
        <v>0</v>
      </c>
      <c r="N175" s="2"/>
      <c r="O175"/>
    </row>
    <row r="176" spans="1:15" ht="14.75" customHeight="1">
      <c r="A176" s="320" t="s">
        <v>274</v>
      </c>
      <c r="B176" t="str">
        <f>+_xlfn.XLOOKUP(Tabla6[[#This Row],[ID CLIENTE]],'RESUMEN CLIENTES'!D:D,'RESUMEN CLIENTES'!A:A)</f>
        <v>María de los Ángeles Gutiérrez Quevedo</v>
      </c>
      <c r="C176" t="str">
        <f>+_xlfn.XLOOKUP(Tabla6[[#This Row],[ID CLIENTE]],'RESUMEN CLIENTES'!D:D,'RESUMEN CLIENTES'!C:C)</f>
        <v>Chile</v>
      </c>
      <c r="D176" s="44" t="str">
        <f>+_xlfn.XLOOKUP(Tabla6[[#This Row],[ID CLIENTE]],'RESUMEN CLIENTES'!D:D,'RESUMEN CLIENTES'!M:M)</f>
        <v>OK</v>
      </c>
      <c r="E176" s="72">
        <f>+_xlfn.XLOOKUP(Tabla6[[#This Row],[NOMBRE]],'RESUMEN CLIENTES'!A:A,'RESUMEN CLIENTES'!X:X)</f>
        <v>0.22222222222222221</v>
      </c>
      <c r="F176" s="72">
        <f>+_xlfn.XLOOKUP(Tabla6[[#This Row],[ID CLIENTE]],'RESUMEN CLIENTES'!D:D,'RESUMEN CLIENTES'!W:W)</f>
        <v>1</v>
      </c>
      <c r="G176" s="17">
        <v>45848</v>
      </c>
      <c r="H176" s="44" t="s">
        <v>81</v>
      </c>
      <c r="I176" s="2">
        <v>1500</v>
      </c>
      <c r="J176" s="20" t="s">
        <v>471</v>
      </c>
      <c r="K176" t="s">
        <v>472</v>
      </c>
      <c r="L176" s="44" t="str" cm="1">
        <f t="array" ref="L176">+_xlfn.IFS(COUNTIF(INGRESOS!E:E,Tabla6[[#This Row],[ID FACTURA]])=1,"PAGADA",Tabla6[[#This Row],[ID FACTURA]]&lt;&gt;0,"EMITIDA",Tabla6[[#This Row],[ID FACTURA]]=0,"POR EMITIR")</f>
        <v>PAGADA</v>
      </c>
      <c r="M176" s="55">
        <f>+IF(Tabla6[[#This Row],[ESTADO FACTURA]]="PAGADA",Tabla6[[#This Row],[FECHA]]-_xlfn.XLOOKUP(Tabla6[[#This Row],[N° FACTURA]],INGRESOS!F:F,INGRESOS!A:A),"-")</f>
        <v>0</v>
      </c>
      <c r="N176" s="2"/>
      <c r="O176"/>
    </row>
    <row r="177" spans="1:15" ht="14.75" customHeight="1">
      <c r="A177" s="320" t="s">
        <v>275</v>
      </c>
      <c r="B177" t="str">
        <f>+_xlfn.XLOOKUP(Tabla6[[#This Row],[ID CLIENTE]],'RESUMEN CLIENTES'!D:D,'RESUMEN CLIENTES'!A:A)</f>
        <v>Rodrigo Alfonso Busse Hernández</v>
      </c>
      <c r="C177" t="str">
        <f>+_xlfn.XLOOKUP(Tabla6[[#This Row],[ID CLIENTE]],'RESUMEN CLIENTES'!D:D,'RESUMEN CLIENTES'!C:C)</f>
        <v>Chile</v>
      </c>
      <c r="D177" s="44" t="str">
        <f>+_xlfn.XLOOKUP(Tabla6[[#This Row],[ID CLIENTE]],'RESUMEN CLIENTES'!D:D,'RESUMEN CLIENTES'!M:M)</f>
        <v>OK</v>
      </c>
      <c r="E177" s="72">
        <f>+_xlfn.XLOOKUP(Tabla6[[#This Row],[NOMBRE]],'RESUMEN CLIENTES'!A:A,'RESUMEN CLIENTES'!X:X)</f>
        <v>0.33333333333333331</v>
      </c>
      <c r="F177" s="72">
        <f>+_xlfn.XLOOKUP(Tabla6[[#This Row],[ID CLIENTE]],'RESUMEN CLIENTES'!D:D,'RESUMEN CLIENTES'!W:W)</f>
        <v>1</v>
      </c>
      <c r="G177" s="17">
        <v>45848</v>
      </c>
      <c r="H177" s="44" t="s">
        <v>81</v>
      </c>
      <c r="I177" s="2">
        <v>1111</v>
      </c>
      <c r="J177" s="20" t="s">
        <v>473</v>
      </c>
      <c r="K177" t="s">
        <v>474</v>
      </c>
      <c r="L177" s="44" t="str" cm="1">
        <f t="array" ref="L177">+_xlfn.IFS(COUNTIF(INGRESOS!E:E,Tabla6[[#This Row],[ID FACTURA]])=1,"PAGADA",Tabla6[[#This Row],[ID FACTURA]]&lt;&gt;0,"EMITIDA",Tabla6[[#This Row],[ID FACTURA]]=0,"POR EMITIR")</f>
        <v>PAGADA</v>
      </c>
      <c r="M177" s="55">
        <f>+IF(Tabla6[[#This Row],[ESTADO FACTURA]]="PAGADA",Tabla6[[#This Row],[FECHA]]-_xlfn.XLOOKUP(Tabla6[[#This Row],[N° FACTURA]],INGRESOS!F:F,INGRESOS!A:A),"-")</f>
        <v>0</v>
      </c>
      <c r="N177" s="2"/>
      <c r="O177"/>
    </row>
    <row r="178" spans="1:15" ht="14.75" customHeight="1">
      <c r="A178" s="320" t="s">
        <v>200</v>
      </c>
      <c r="B178" t="str">
        <f>+_xlfn.XLOOKUP(Tabla6[[#This Row],[ID CLIENTE]],'RESUMEN CLIENTES'!D:D,'RESUMEN CLIENTES'!A:A)</f>
        <v>Mateo Gabriel Martinez Dávila</v>
      </c>
      <c r="C178" t="str">
        <f>+_xlfn.XLOOKUP(Tabla6[[#This Row],[ID CLIENTE]],'RESUMEN CLIENTES'!D:D,'RESUMEN CLIENTES'!C:C)</f>
        <v>Bolivia</v>
      </c>
      <c r="D178" s="169" t="str">
        <f>+_xlfn.XLOOKUP(Tabla6[[#This Row],[ID CLIENTE]],'RESUMEN CLIENTES'!D:D,'RESUMEN CLIENTES'!M:M)</f>
        <v>OK</v>
      </c>
      <c r="E178" s="71">
        <f>+_xlfn.XLOOKUP(Tabla6[[#This Row],[NOMBRE]],'RESUMEN CLIENTES'!A:A,'RESUMEN CLIENTES'!X:X)</f>
        <v>-0.5</v>
      </c>
      <c r="F178" s="71">
        <f>+_xlfn.XLOOKUP(Tabla6[[#This Row],[ID CLIENTE]],'RESUMEN CLIENTES'!D:D,'RESUMEN CLIENTES'!W:W)</f>
        <v>0</v>
      </c>
      <c r="G178" s="17">
        <v>45849</v>
      </c>
      <c r="H178" s="169" t="s">
        <v>81</v>
      </c>
      <c r="I178" s="2">
        <v>942.1841541755889</v>
      </c>
      <c r="J178" s="20" t="s">
        <v>475</v>
      </c>
      <c r="K178" t="s">
        <v>476</v>
      </c>
      <c r="L178" s="44" t="str" cm="1">
        <f t="array" ref="L178">+_xlfn.IFS(COUNTIF(INGRESOS!E:E,Tabla6[[#This Row],[ID FACTURA]])=1,"PAGADA",Tabla6[[#This Row],[ID FACTURA]]&lt;&gt;0,"EMITIDA",Tabla6[[#This Row],[ID FACTURA]]=0,"POR EMITIR")</f>
        <v>PAGADA</v>
      </c>
      <c r="M178" s="54">
        <f>+IF(Tabla6[[#This Row],[ESTADO FACTURA]]="PAGADA",Tabla6[[#This Row],[FECHA]]-_xlfn.XLOOKUP(Tabla6[[#This Row],[N° FACTURA]],INGRESOS!F:F,INGRESOS!A:A),"-")</f>
        <v>0</v>
      </c>
      <c r="O178"/>
    </row>
    <row r="179" spans="1:15" ht="14.75" customHeight="1">
      <c r="A179" s="320" t="s">
        <v>325</v>
      </c>
      <c r="B179" t="str">
        <f>+_xlfn.XLOOKUP(Tabla6[[#This Row],[ID CLIENTE]],'RESUMEN CLIENTES'!D:D,'RESUMEN CLIENTES'!A:A)</f>
        <v>Andrea Cristina Estrada Morocho</v>
      </c>
      <c r="C179" t="str">
        <f>+_xlfn.XLOOKUP(Tabla6[[#This Row],[ID CLIENTE]],'RESUMEN CLIENTES'!D:D,'RESUMEN CLIENTES'!C:C)</f>
        <v>Ecuador</v>
      </c>
      <c r="D179" s="44" t="str">
        <f>+_xlfn.XLOOKUP(Tabla6[[#This Row],[ID CLIENTE]],'RESUMEN CLIENTES'!D:D,'RESUMEN CLIENTES'!M:M)</f>
        <v>OK</v>
      </c>
      <c r="E179" s="72">
        <f>+_xlfn.XLOOKUP(Tabla6[[#This Row],[NOMBRE]],'RESUMEN CLIENTES'!A:A,'RESUMEN CLIENTES'!X:X)</f>
        <v>-3.6666666666666665</v>
      </c>
      <c r="F179" s="72">
        <f>+_xlfn.XLOOKUP(Tabla6[[#This Row],[ID CLIENTE]],'RESUMEN CLIENTES'!D:D,'RESUMEN CLIENTES'!W:W)</f>
        <v>1</v>
      </c>
      <c r="G179" s="17">
        <v>45850</v>
      </c>
      <c r="H179" s="44" t="s">
        <v>81</v>
      </c>
      <c r="I179" s="2">
        <v>4000</v>
      </c>
      <c r="J179" s="20" t="s">
        <v>477</v>
      </c>
      <c r="K179" t="s">
        <v>478</v>
      </c>
      <c r="L179" s="44" t="str" cm="1">
        <f t="array" ref="L179">+_xlfn.IFS(COUNTIF(INGRESOS!E:E,Tabla6[[#This Row],[ID FACTURA]])=1,"PAGADA",Tabla6[[#This Row],[ID FACTURA]]&lt;&gt;0,"EMITIDA",Tabla6[[#This Row],[ID FACTURA]]=0,"POR EMITIR")</f>
        <v>PAGADA</v>
      </c>
      <c r="M179" s="55">
        <f>+IF(Tabla6[[#This Row],[ESTADO FACTURA]]="PAGADA",Tabla6[[#This Row],[FECHA]]-_xlfn.XLOOKUP(Tabla6[[#This Row],[N° FACTURA]],INGRESOS!F:F,INGRESOS!A:A),"-")</f>
        <v>-6</v>
      </c>
      <c r="N179" s="2"/>
      <c r="O179"/>
    </row>
    <row r="180" spans="1:15" ht="14.75" customHeight="1">
      <c r="A180" s="320" t="s">
        <v>479</v>
      </c>
      <c r="B180" t="str">
        <f>+_xlfn.XLOOKUP(Tabla6[[#This Row],[ID CLIENTE]],'RESUMEN CLIENTES'!D:D,'RESUMEN CLIENTES'!A:A)</f>
        <v>Carlos Mersaim Olivares Sandoval</v>
      </c>
      <c r="C180" t="str">
        <f>+_xlfn.XLOOKUP(Tabla6[[#This Row],[ID CLIENTE]],'RESUMEN CLIENTES'!D:D,'RESUMEN CLIENTES'!C:C)</f>
        <v>México</v>
      </c>
      <c r="D180" s="44" t="str">
        <f>+_xlfn.XLOOKUP(Tabla6[[#This Row],[ID CLIENTE]],'RESUMEN CLIENTES'!D:D,'RESUMEN CLIENTES'!M:M)</f>
        <v>OK</v>
      </c>
      <c r="E180" s="72">
        <f>+_xlfn.XLOOKUP(Tabla6[[#This Row],[NOMBRE]],'RESUMEN CLIENTES'!A:A,'RESUMEN CLIENTES'!X:X)</f>
        <v>1.4444444444444444</v>
      </c>
      <c r="F180" s="72">
        <f>+_xlfn.XLOOKUP(Tabla6[[#This Row],[ID CLIENTE]],'RESUMEN CLIENTES'!D:D,'RESUMEN CLIENTES'!W:W)</f>
        <v>0</v>
      </c>
      <c r="G180" s="17">
        <v>45852</v>
      </c>
      <c r="H180" s="44" t="s">
        <v>81</v>
      </c>
      <c r="I180" s="2">
        <v>250</v>
      </c>
      <c r="J180" s="20" t="s">
        <v>480</v>
      </c>
      <c r="K180" t="s">
        <v>481</v>
      </c>
      <c r="L180" s="44" t="str" cm="1">
        <f t="array" ref="L180">+_xlfn.IFS(COUNTIF(INGRESOS!E:E,Tabla6[[#This Row],[ID FACTURA]])=1,"PAGADA",Tabla6[[#This Row],[ID FACTURA]]&lt;&gt;0,"EMITIDA",Tabla6[[#This Row],[ID FACTURA]]=0,"POR EMITIR")</f>
        <v>PAGADA</v>
      </c>
      <c r="M180" s="55">
        <f>+IF(Tabla6[[#This Row],[ESTADO FACTURA]]="PAGADA",Tabla6[[#This Row],[FECHA]]-_xlfn.XLOOKUP(Tabla6[[#This Row],[N° FACTURA]],INGRESOS!F:F,INGRESOS!A:A),"-")</f>
        <v>0</v>
      </c>
      <c r="N180" s="2"/>
      <c r="O180"/>
    </row>
    <row r="181" spans="1:15" ht="14.75" customHeight="1">
      <c r="A181" s="320" t="s">
        <v>90</v>
      </c>
      <c r="B181" t="str">
        <f>+_xlfn.XLOOKUP(Tabla6[[#This Row],[ID CLIENTE]],'RESUMEN CLIENTES'!D:D,'RESUMEN CLIENTES'!A:A)</f>
        <v>David Enrique Díaz Mejía</v>
      </c>
      <c r="C181" t="str">
        <f>+_xlfn.XLOOKUP(Tabla6[[#This Row],[ID CLIENTE]],'RESUMEN CLIENTES'!D:D,'RESUMEN CLIENTES'!C:C)</f>
        <v>Honduras</v>
      </c>
      <c r="D181" s="44" t="str">
        <f>+_xlfn.XLOOKUP(Tabla6[[#This Row],[ID CLIENTE]],'RESUMEN CLIENTES'!D:D,'RESUMEN CLIENTES'!M:M)</f>
        <v>OK</v>
      </c>
      <c r="E181" s="72">
        <f>+_xlfn.XLOOKUP(Tabla6[[#This Row],[NOMBRE]],'RESUMEN CLIENTES'!A:A,'RESUMEN CLIENTES'!X:X)</f>
        <v>-15.217592592592862</v>
      </c>
      <c r="F181" s="72">
        <f>+_xlfn.XLOOKUP(Tabla6[[#This Row],[ID CLIENTE]],'RESUMEN CLIENTES'!D:D,'RESUMEN CLIENTES'!W:W)</f>
        <v>1</v>
      </c>
      <c r="G181" s="17">
        <v>45852</v>
      </c>
      <c r="H181" s="44" t="s">
        <v>81</v>
      </c>
      <c r="I181" s="2">
        <v>1000</v>
      </c>
      <c r="J181" s="20" t="s">
        <v>482</v>
      </c>
      <c r="K181" t="s">
        <v>483</v>
      </c>
      <c r="L181" s="44" t="str" cm="1">
        <f t="array" ref="L181">+_xlfn.IFS(COUNTIF(INGRESOS!E:E,Tabla6[[#This Row],[ID FACTURA]])=1,"PAGADA",Tabla6[[#This Row],[ID FACTURA]]&lt;&gt;0,"EMITIDA",Tabla6[[#This Row],[ID FACTURA]]=0,"POR EMITIR")</f>
        <v>PAGADA</v>
      </c>
      <c r="M181" s="55">
        <f>+IF(Tabla6[[#This Row],[ESTADO FACTURA]]="PAGADA",Tabla6[[#This Row],[FECHA]]-_xlfn.XLOOKUP(Tabla6[[#This Row],[N° FACTURA]],INGRESOS!F:F,INGRESOS!A:A),"-")</f>
        <v>3</v>
      </c>
      <c r="N181" s="2"/>
      <c r="O181"/>
    </row>
    <row r="182" spans="1:15" ht="14.75" customHeight="1">
      <c r="A182" s="320" t="s">
        <v>484</v>
      </c>
      <c r="B182" t="str">
        <f>+_xlfn.XLOOKUP(Tabla6[[#This Row],[ID CLIENTE]],'RESUMEN CLIENTES'!D:D,'RESUMEN CLIENTES'!A:A)</f>
        <v>Liliana Alejandra Gruezo Pérez</v>
      </c>
      <c r="C182" t="str">
        <f>+_xlfn.XLOOKUP(Tabla6[[#This Row],[ID CLIENTE]],'RESUMEN CLIENTES'!D:D,'RESUMEN CLIENTES'!C:C)</f>
        <v>Ecuador</v>
      </c>
      <c r="D182" s="44" t="str">
        <f>+_xlfn.XLOOKUP(Tabla6[[#This Row],[ID CLIENTE]],'RESUMEN CLIENTES'!D:D,'RESUMEN CLIENTES'!M:M)</f>
        <v>¡REGULARIZAR!</v>
      </c>
      <c r="E182" s="72">
        <f>+_xlfn.XLOOKUP(Tabla6[[#This Row],[NOMBRE]],'RESUMEN CLIENTES'!A:A,'RESUMEN CLIENTES'!X:X)</f>
        <v>-2.2857142857142856</v>
      </c>
      <c r="F182" s="72">
        <f>+_xlfn.XLOOKUP(Tabla6[[#This Row],[ID CLIENTE]],'RESUMEN CLIENTES'!D:D,'RESUMEN CLIENTES'!W:W)</f>
        <v>1</v>
      </c>
      <c r="G182" s="17">
        <v>45852</v>
      </c>
      <c r="H182" s="44" t="s">
        <v>81</v>
      </c>
      <c r="I182" s="2">
        <v>500</v>
      </c>
      <c r="J182" s="20" t="s">
        <v>485</v>
      </c>
      <c r="K182" t="s">
        <v>486</v>
      </c>
      <c r="L182" s="44" t="str" cm="1">
        <f t="array" ref="L182">+_xlfn.IFS(COUNTIF(INGRESOS!E:E,Tabla6[[#This Row],[ID FACTURA]])=1,"PAGADA",Tabla6[[#This Row],[ID FACTURA]]&lt;&gt;0,"EMITIDA",Tabla6[[#This Row],[ID FACTURA]]=0,"POR EMITIR")</f>
        <v>PAGADA</v>
      </c>
      <c r="M182" s="55">
        <f>+IF(Tabla6[[#This Row],[ESTADO FACTURA]]="PAGADA",Tabla6[[#This Row],[FECHA]]-_xlfn.XLOOKUP(Tabla6[[#This Row],[N° FACTURA]],INGRESOS!F:F,INGRESOS!A:A),"-")</f>
        <v>0</v>
      </c>
      <c r="N182" s="2"/>
      <c r="O182"/>
    </row>
    <row r="183" spans="1:15" ht="14.75" customHeight="1">
      <c r="A183" s="320" t="s">
        <v>187</v>
      </c>
      <c r="B183" t="str">
        <f>+_xlfn.XLOOKUP(Tabla6[[#This Row],[ID CLIENTE]],'RESUMEN CLIENTES'!D:D,'RESUMEN CLIENTES'!A:A)</f>
        <v>Alina Maria Cervantes Real</v>
      </c>
      <c r="C183" t="str">
        <f>+_xlfn.XLOOKUP(Tabla6[[#This Row],[ID CLIENTE]],'RESUMEN CLIENTES'!D:D,'RESUMEN CLIENTES'!C:C)</f>
        <v>México</v>
      </c>
      <c r="D183" s="44" t="str">
        <f>+_xlfn.XLOOKUP(Tabla6[[#This Row],[ID CLIENTE]],'RESUMEN CLIENTES'!D:D,'RESUMEN CLIENTES'!M:M)</f>
        <v>OK</v>
      </c>
      <c r="E183" s="72">
        <f>+_xlfn.XLOOKUP(Tabla6[[#This Row],[NOMBRE]],'RESUMEN CLIENTES'!A:A,'RESUMEN CLIENTES'!X:X)</f>
        <v>21.583333333333332</v>
      </c>
      <c r="F183" s="72">
        <f>+_xlfn.XLOOKUP(Tabla6[[#This Row],[ID CLIENTE]],'RESUMEN CLIENTES'!D:D,'RESUMEN CLIENTES'!W:W)</f>
        <v>1</v>
      </c>
      <c r="G183" s="17">
        <v>45853</v>
      </c>
      <c r="H183" s="44" t="s">
        <v>81</v>
      </c>
      <c r="I183" s="2">
        <v>1500</v>
      </c>
      <c r="J183" s="20" t="s">
        <v>338</v>
      </c>
      <c r="K183" t="s">
        <v>339</v>
      </c>
      <c r="L183" s="44" t="str" cm="1">
        <f t="array" ref="L183">+_xlfn.IFS(COUNTIF(INGRESOS!E:E,Tabla6[[#This Row],[ID FACTURA]])=1,"PAGADA",Tabla6[[#This Row],[ID FACTURA]]&lt;&gt;0,"EMITIDA",Tabla6[[#This Row],[ID FACTURA]]=0,"POR EMITIR")</f>
        <v>PAGADA</v>
      </c>
      <c r="M183" s="55">
        <f>+IF(Tabla6[[#This Row],[ESTADO FACTURA]]="PAGADA",Tabla6[[#This Row],[FECHA]]-_xlfn.XLOOKUP(Tabla6[[#This Row],[N° FACTURA]],INGRESOS!F:F,INGRESOS!A:A),"-")</f>
        <v>30</v>
      </c>
      <c r="N183" s="2"/>
      <c r="O183"/>
    </row>
    <row r="184" spans="1:15" ht="14.75" customHeight="1">
      <c r="A184" s="320" t="s">
        <v>156</v>
      </c>
      <c r="B184" t="str">
        <f>+_xlfn.XLOOKUP(Tabla6[[#This Row],[ID CLIENTE]],'RESUMEN CLIENTES'!D:D,'RESUMEN CLIENTES'!A:A)</f>
        <v>Catalina Andrea Videla Muñoz</v>
      </c>
      <c r="C184" t="str">
        <f>+_xlfn.XLOOKUP(Tabla6[[#This Row],[ID CLIENTE]],'RESUMEN CLIENTES'!D:D,'RESUMEN CLIENTES'!C:C)</f>
        <v>Chile</v>
      </c>
      <c r="D184" s="44" t="str">
        <f>+_xlfn.XLOOKUP(Tabla6[[#This Row],[ID CLIENTE]],'RESUMEN CLIENTES'!D:D,'RESUMEN CLIENTES'!M:M)</f>
        <v>OK</v>
      </c>
      <c r="E184" s="72">
        <f>+_xlfn.XLOOKUP(Tabla6[[#This Row],[NOMBRE]],'RESUMEN CLIENTES'!A:A,'RESUMEN CLIENTES'!X:X)</f>
        <v>1.5454545454545454</v>
      </c>
      <c r="F184" s="72">
        <f>+_xlfn.XLOOKUP(Tabla6[[#This Row],[ID CLIENTE]],'RESUMEN CLIENTES'!D:D,'RESUMEN CLIENTES'!W:W)</f>
        <v>1</v>
      </c>
      <c r="G184" s="17">
        <v>45853</v>
      </c>
      <c r="H184" s="44" t="s">
        <v>81</v>
      </c>
      <c r="I184" s="2">
        <v>1250</v>
      </c>
      <c r="J184" s="20" t="s">
        <v>489</v>
      </c>
      <c r="K184" t="s">
        <v>490</v>
      </c>
      <c r="L184" s="44" t="str" cm="1">
        <f t="array" ref="L184">+_xlfn.IFS(COUNTIF(INGRESOS!E:E,Tabla6[[#This Row],[ID FACTURA]])=1,"PAGADA",Tabla6[[#This Row],[ID FACTURA]]&lt;&gt;0,"EMITIDA",Tabla6[[#This Row],[ID FACTURA]]=0,"POR EMITIR")</f>
        <v>PAGADA</v>
      </c>
      <c r="M184" s="55">
        <f>+IF(Tabla6[[#This Row],[ESTADO FACTURA]]="PAGADA",Tabla6[[#This Row],[FECHA]]-_xlfn.XLOOKUP(Tabla6[[#This Row],[N° FACTURA]],INGRESOS!F:F,INGRESOS!A:A),"-")</f>
        <v>1</v>
      </c>
      <c r="N184" s="2"/>
      <c r="O184"/>
    </row>
    <row r="185" spans="1:15" ht="14.75" customHeight="1">
      <c r="A185" s="320" t="s">
        <v>103</v>
      </c>
      <c r="B185" t="str">
        <f>+_xlfn.XLOOKUP(Tabla6[[#This Row],[ID CLIENTE]],'RESUMEN CLIENTES'!D:D,'RESUMEN CLIENTES'!A:A)</f>
        <v>Isaac Ricardo Jimenez Campos</v>
      </c>
      <c r="C185" t="str">
        <f>+_xlfn.XLOOKUP(Tabla6[[#This Row],[ID CLIENTE]],'RESUMEN CLIENTES'!D:D,'RESUMEN CLIENTES'!C:C)</f>
        <v>México</v>
      </c>
      <c r="D185" s="44" t="str">
        <f>+_xlfn.XLOOKUP(Tabla6[[#This Row],[ID CLIENTE]],'RESUMEN CLIENTES'!D:D,'RESUMEN CLIENTES'!M:M)</f>
        <v>OK</v>
      </c>
      <c r="E185" s="72">
        <f>+_xlfn.XLOOKUP(Tabla6[[#This Row],[NOMBRE]],'RESUMEN CLIENTES'!A:A,'RESUMEN CLIENTES'!X:X)</f>
        <v>0.5</v>
      </c>
      <c r="F185" s="72">
        <f>+_xlfn.XLOOKUP(Tabla6[[#This Row],[ID CLIENTE]],'RESUMEN CLIENTES'!D:D,'RESUMEN CLIENTES'!W:W)</f>
        <v>1</v>
      </c>
      <c r="G185" s="17">
        <v>45853</v>
      </c>
      <c r="H185" s="44" t="s">
        <v>81</v>
      </c>
      <c r="I185" s="2">
        <v>654</v>
      </c>
      <c r="J185" s="20" t="s">
        <v>491</v>
      </c>
      <c r="K185" t="s">
        <v>492</v>
      </c>
      <c r="L185" s="44" t="str" cm="1">
        <f t="array" ref="L185">+_xlfn.IFS(COUNTIF(INGRESOS!E:E,Tabla6[[#This Row],[ID FACTURA]])=1,"PAGADA",Tabla6[[#This Row],[ID FACTURA]]&lt;&gt;0,"EMITIDA",Tabla6[[#This Row],[ID FACTURA]]=0,"POR EMITIR")</f>
        <v>PAGADA</v>
      </c>
      <c r="M185" s="55">
        <f>+IF(Tabla6[[#This Row],[ESTADO FACTURA]]="PAGADA",Tabla6[[#This Row],[FECHA]]-_xlfn.XLOOKUP(Tabla6[[#This Row],[N° FACTURA]],INGRESOS!F:F,INGRESOS!A:A),"-")</f>
        <v>0</v>
      </c>
      <c r="N185" s="2"/>
      <c r="O185"/>
    </row>
    <row r="186" spans="1:15" ht="14.75" customHeight="1">
      <c r="A186" s="320" t="s">
        <v>136</v>
      </c>
      <c r="B186" t="str">
        <f>+_xlfn.XLOOKUP(Tabla6[[#This Row],[ID CLIENTE]],'RESUMEN CLIENTES'!D:D,'RESUMEN CLIENTES'!A:A)</f>
        <v>Juan Pablo Martínez Cabello</v>
      </c>
      <c r="C186" t="str">
        <f>+_xlfn.XLOOKUP(Tabla6[[#This Row],[ID CLIENTE]],'RESUMEN CLIENTES'!D:D,'RESUMEN CLIENTES'!C:C)</f>
        <v>Chile</v>
      </c>
      <c r="D186" s="44" t="str">
        <f>+_xlfn.XLOOKUP(Tabla6[[#This Row],[ID CLIENTE]],'RESUMEN CLIENTES'!D:D,'RESUMEN CLIENTES'!M:M)</f>
        <v>OK</v>
      </c>
      <c r="E186" s="72">
        <f>+_xlfn.XLOOKUP(Tabla6[[#This Row],[NOMBRE]],'RESUMEN CLIENTES'!A:A,'RESUMEN CLIENTES'!X:X)</f>
        <v>1.5714285714285714</v>
      </c>
      <c r="F186" s="72">
        <f>+_xlfn.XLOOKUP(Tabla6[[#This Row],[ID CLIENTE]],'RESUMEN CLIENTES'!D:D,'RESUMEN CLIENTES'!W:W)</f>
        <v>1</v>
      </c>
      <c r="G186" s="17">
        <v>45853</v>
      </c>
      <c r="H186" s="44" t="s">
        <v>81</v>
      </c>
      <c r="I186" s="2">
        <v>1500</v>
      </c>
      <c r="J186" s="20" t="s">
        <v>493</v>
      </c>
      <c r="K186" t="s">
        <v>494</v>
      </c>
      <c r="L186" s="44" t="str" cm="1">
        <f t="array" ref="L186">+_xlfn.IFS(COUNTIF(INGRESOS!E:E,Tabla6[[#This Row],[ID FACTURA]])=1,"PAGADA",Tabla6[[#This Row],[ID FACTURA]]&lt;&gt;0,"EMITIDA",Tabla6[[#This Row],[ID FACTURA]]=0,"POR EMITIR")</f>
        <v>PAGADA</v>
      </c>
      <c r="M186" s="55">
        <f>+IF(Tabla6[[#This Row],[ESTADO FACTURA]]="PAGADA",Tabla6[[#This Row],[FECHA]]-_xlfn.XLOOKUP(Tabla6[[#This Row],[N° FACTURA]],INGRESOS!F:F,INGRESOS!A:A),"-")</f>
        <v>1</v>
      </c>
      <c r="N186" s="2"/>
      <c r="O186"/>
    </row>
    <row r="187" spans="1:15" ht="14.75" customHeight="1">
      <c r="A187" s="320" t="s">
        <v>242</v>
      </c>
      <c r="B187" t="str">
        <f>+_xlfn.XLOOKUP(Tabla6[[#This Row],[ID CLIENTE]],'RESUMEN CLIENTES'!D:D,'RESUMEN CLIENTES'!A:A)</f>
        <v>Rodrigo Ignacio Rodriguez Frutos</v>
      </c>
      <c r="C187" t="str">
        <f>+_xlfn.XLOOKUP(Tabla6[[#This Row],[ID CLIENTE]],'RESUMEN CLIENTES'!D:D,'RESUMEN CLIENTES'!C:C)</f>
        <v>México</v>
      </c>
      <c r="D187" s="44" t="str">
        <f>+_xlfn.XLOOKUP(Tabla6[[#This Row],[ID CLIENTE]],'RESUMEN CLIENTES'!D:D,'RESUMEN CLIENTES'!M:M)</f>
        <v>OK</v>
      </c>
      <c r="E187" s="72">
        <f>+_xlfn.XLOOKUP(Tabla6[[#This Row],[NOMBRE]],'RESUMEN CLIENTES'!A:A,'RESUMEN CLIENTES'!X:X)</f>
        <v>-1.4285714285714286</v>
      </c>
      <c r="F187" s="72">
        <f>+_xlfn.XLOOKUP(Tabla6[[#This Row],[ID CLIENTE]],'RESUMEN CLIENTES'!D:D,'RESUMEN CLIENTES'!W:W)</f>
        <v>1</v>
      </c>
      <c r="G187" s="17">
        <v>45853</v>
      </c>
      <c r="H187" s="44" t="s">
        <v>81</v>
      </c>
      <c r="I187" s="2">
        <v>2000</v>
      </c>
      <c r="J187" s="20" t="s">
        <v>495</v>
      </c>
      <c r="K187" t="s">
        <v>496</v>
      </c>
      <c r="L187" s="44" t="str" cm="1">
        <f t="array" ref="L187">+_xlfn.IFS(COUNTIF(INGRESOS!E:E,Tabla6[[#This Row],[ID FACTURA]])=1,"PAGADA",Tabla6[[#This Row],[ID FACTURA]]&lt;&gt;0,"EMITIDA",Tabla6[[#This Row],[ID FACTURA]]=0,"POR EMITIR")</f>
        <v>PAGADA</v>
      </c>
      <c r="M187" s="55">
        <f>+IF(Tabla6[[#This Row],[ESTADO FACTURA]]="PAGADA",Tabla6[[#This Row],[FECHA]]-_xlfn.XLOOKUP(Tabla6[[#This Row],[N° FACTURA]],INGRESOS!F:F,INGRESOS!A:A),"-")</f>
        <v>-1</v>
      </c>
      <c r="N187" s="2"/>
      <c r="O187"/>
    </row>
    <row r="188" spans="1:15" ht="14.75" customHeight="1">
      <c r="A188" s="320" t="s">
        <v>484</v>
      </c>
      <c r="B188" t="str">
        <f>+_xlfn.XLOOKUP(Tabla6[[#This Row],[ID CLIENTE]],'RESUMEN CLIENTES'!D:D,'RESUMEN CLIENTES'!A:A)</f>
        <v>Liliana Alejandra Gruezo Pérez</v>
      </c>
      <c r="C188" t="str">
        <f>+_xlfn.XLOOKUP(Tabla6[[#This Row],[ID CLIENTE]],'RESUMEN CLIENTES'!D:D,'RESUMEN CLIENTES'!C:C)</f>
        <v>Ecuador</v>
      </c>
      <c r="D188" s="44" t="str">
        <f>+_xlfn.XLOOKUP(Tabla6[[#This Row],[ID CLIENTE]],'RESUMEN CLIENTES'!D:D,'RESUMEN CLIENTES'!M:M)</f>
        <v>¡REGULARIZAR!</v>
      </c>
      <c r="E188" s="72">
        <f>+_xlfn.XLOOKUP(Tabla6[[#This Row],[NOMBRE]],'RESUMEN CLIENTES'!A:A,'RESUMEN CLIENTES'!X:X)</f>
        <v>-2.2857142857142856</v>
      </c>
      <c r="F188" s="72">
        <f>+_xlfn.XLOOKUP(Tabla6[[#This Row],[ID CLIENTE]],'RESUMEN CLIENTES'!D:D,'RESUMEN CLIENTES'!W:W)</f>
        <v>1</v>
      </c>
      <c r="G188" s="17">
        <v>45854</v>
      </c>
      <c r="H188" s="44" t="s">
        <v>81</v>
      </c>
      <c r="I188" s="2">
        <v>500</v>
      </c>
      <c r="J188" s="20" t="s">
        <v>497</v>
      </c>
      <c r="K188" t="s">
        <v>498</v>
      </c>
      <c r="L188" s="44" t="str" cm="1">
        <f t="array" ref="L188">+_xlfn.IFS(COUNTIF(INGRESOS!E:E,Tabla6[[#This Row],[ID FACTURA]])=1,"PAGADA",Tabla6[[#This Row],[ID FACTURA]]&lt;&gt;0,"EMITIDA",Tabla6[[#This Row],[ID FACTURA]]=0,"POR EMITIR")</f>
        <v>PAGADA</v>
      </c>
      <c r="M188" s="55">
        <f>+IF(Tabla6[[#This Row],[ESTADO FACTURA]]="PAGADA",Tabla6[[#This Row],[FECHA]]-_xlfn.XLOOKUP(Tabla6[[#This Row],[N° FACTURA]],INGRESOS!F:F,INGRESOS!A:A),"-")</f>
        <v>-3</v>
      </c>
      <c r="N188" s="2"/>
      <c r="O188"/>
    </row>
    <row r="189" spans="1:15" ht="14.75" customHeight="1">
      <c r="A189" s="320" t="s">
        <v>816</v>
      </c>
      <c r="B189" t="str">
        <f>+_xlfn.XLOOKUP(Tabla6[[#This Row],[ID CLIENTE]],'RESUMEN CLIENTES'!D:D,'RESUMEN CLIENTES'!A:A)</f>
        <v>Nataly Elizabeth Elias Berrios</v>
      </c>
      <c r="C189" t="str">
        <f>+_xlfn.XLOOKUP(Tabla6[[#This Row],[ID CLIENTE]],'RESUMEN CLIENTES'!D:D,'RESUMEN CLIENTES'!C:C)</f>
        <v>Bolivia</v>
      </c>
      <c r="D189" s="44" t="str">
        <f>+_xlfn.XLOOKUP(Tabla6[[#This Row],[ID CLIENTE]],'RESUMEN CLIENTES'!D:D,'RESUMEN CLIENTES'!M:M)</f>
        <v>¡REGULARIZAR!</v>
      </c>
      <c r="E189" s="72">
        <f>+_xlfn.XLOOKUP(Tabla6[[#This Row],[NOMBRE]],'RESUMEN CLIENTES'!A:A,'RESUMEN CLIENTES'!X:X)</f>
        <v>0</v>
      </c>
      <c r="F189" s="72">
        <f>+_xlfn.XLOOKUP(Tabla6[[#This Row],[ID CLIENTE]],'RESUMEN CLIENTES'!D:D,'RESUMEN CLIENTES'!W:W)</f>
        <v>0</v>
      </c>
      <c r="G189" s="17">
        <v>45854</v>
      </c>
      <c r="H189" s="44" t="s">
        <v>81</v>
      </c>
      <c r="I189" s="2">
        <v>1000</v>
      </c>
      <c r="J189" s="20" t="s">
        <v>2592</v>
      </c>
      <c r="K189" t="s">
        <v>2593</v>
      </c>
      <c r="L189" s="44" t="str" cm="1">
        <f t="array" ref="L189">+_xlfn.IFS(COUNTIF(INGRESOS!E:E,Tabla6[[#This Row],[ID FACTURA]])=1,"PAGADA",Tabla6[[#This Row],[ID FACTURA]]&lt;&gt;0,"EMITIDA",Tabla6[[#This Row],[ID FACTURA]]=0,"POR EMITIR")</f>
        <v>PAGADA</v>
      </c>
      <c r="M189" s="55">
        <f>+IF(Tabla6[[#This Row],[ESTADO FACTURA]]="PAGADA",Tabla6[[#This Row],[FECHA]]-_xlfn.XLOOKUP(Tabla6[[#This Row],[N° FACTURA]],INGRESOS!F:F,INGRESOS!A:A),"-")</f>
        <v>0</v>
      </c>
      <c r="N189" s="2"/>
      <c r="O189" s="8"/>
    </row>
    <row r="190" spans="1:15" ht="14.75" customHeight="1">
      <c r="A190" s="320" t="s">
        <v>247</v>
      </c>
      <c r="B190" t="str">
        <f>+_xlfn.XLOOKUP(Tabla6[[#This Row],[ID CLIENTE]],'RESUMEN CLIENTES'!D:D,'RESUMEN CLIENTES'!A:A)</f>
        <v>Nancy Gisselle Molinari Cheme</v>
      </c>
      <c r="C190" t="str">
        <f>+_xlfn.XLOOKUP(Tabla6[[#This Row],[ID CLIENTE]],'RESUMEN CLIENTES'!D:D,'RESUMEN CLIENTES'!C:C)</f>
        <v>Perú</v>
      </c>
      <c r="D190" s="44" t="str">
        <f>+_xlfn.XLOOKUP(Tabla6[[#This Row],[ID CLIENTE]],'RESUMEN CLIENTES'!D:D,'RESUMEN CLIENTES'!M:M)</f>
        <v>OK</v>
      </c>
      <c r="E190" s="72">
        <f>+_xlfn.XLOOKUP(Tabla6[[#This Row],[NOMBRE]],'RESUMEN CLIENTES'!A:A,'RESUMEN CLIENTES'!X:X)</f>
        <v>0.9</v>
      </c>
      <c r="F190" s="72">
        <f>+_xlfn.XLOOKUP(Tabla6[[#This Row],[ID CLIENTE]],'RESUMEN CLIENTES'!D:D,'RESUMEN CLIENTES'!W:W)</f>
        <v>1</v>
      </c>
      <c r="G190" s="17">
        <v>45856</v>
      </c>
      <c r="H190" s="44" t="s">
        <v>81</v>
      </c>
      <c r="I190" s="2">
        <v>1000</v>
      </c>
      <c r="J190" s="20" t="s">
        <v>499</v>
      </c>
      <c r="K190" t="s">
        <v>500</v>
      </c>
      <c r="L190" s="44" t="str" cm="1">
        <f t="array" ref="L190">+_xlfn.IFS(COUNTIF(INGRESOS!E:E,Tabla6[[#This Row],[ID FACTURA]])=1,"PAGADA",Tabla6[[#This Row],[ID FACTURA]]&lt;&gt;0,"EMITIDA",Tabla6[[#This Row],[ID FACTURA]]=0,"POR EMITIR")</f>
        <v>PAGADA</v>
      </c>
      <c r="M190" s="55">
        <f>+IF(Tabla6[[#This Row],[ESTADO FACTURA]]="PAGADA",Tabla6[[#This Row],[FECHA]]-_xlfn.XLOOKUP(Tabla6[[#This Row],[N° FACTURA]],INGRESOS!F:F,INGRESOS!A:A),"-")</f>
        <v>0</v>
      </c>
      <c r="N190" s="2"/>
      <c r="O190"/>
    </row>
    <row r="191" spans="1:15" ht="14.75" customHeight="1">
      <c r="A191" s="320" t="s">
        <v>816</v>
      </c>
      <c r="B191" t="str">
        <f>+_xlfn.XLOOKUP(Tabla6[[#This Row],[ID CLIENTE]],'RESUMEN CLIENTES'!D:D,'RESUMEN CLIENTES'!A:A)</f>
        <v>Nataly Elizabeth Elias Berrios</v>
      </c>
      <c r="C191" t="str">
        <f>+_xlfn.XLOOKUP(Tabla6[[#This Row],[ID CLIENTE]],'RESUMEN CLIENTES'!D:D,'RESUMEN CLIENTES'!C:C)</f>
        <v>Bolivia</v>
      </c>
      <c r="D191" s="44" t="str">
        <f>+_xlfn.XLOOKUP(Tabla6[[#This Row],[ID CLIENTE]],'RESUMEN CLIENTES'!D:D,'RESUMEN CLIENTES'!M:M)</f>
        <v>¡REGULARIZAR!</v>
      </c>
      <c r="E191" s="72">
        <f>+_xlfn.XLOOKUP(Tabla6[[#This Row],[NOMBRE]],'RESUMEN CLIENTES'!A:A,'RESUMEN CLIENTES'!X:X)</f>
        <v>0</v>
      </c>
      <c r="F191" s="72">
        <f>+_xlfn.XLOOKUP(Tabla6[[#This Row],[ID CLIENTE]],'RESUMEN CLIENTES'!D:D,'RESUMEN CLIENTES'!W:W)</f>
        <v>0</v>
      </c>
      <c r="G191" s="17">
        <v>45856</v>
      </c>
      <c r="H191" s="44" t="s">
        <v>81</v>
      </c>
      <c r="I191" s="2">
        <v>1000</v>
      </c>
      <c r="J191" s="20" t="s">
        <v>2594</v>
      </c>
      <c r="K191" t="s">
        <v>2595</v>
      </c>
      <c r="L191" s="44" t="str" cm="1">
        <f t="array" ref="L191">+_xlfn.IFS(COUNTIF(INGRESOS!E:E,Tabla6[[#This Row],[ID FACTURA]])=1,"PAGADA",Tabla6[[#This Row],[ID FACTURA]]&lt;&gt;0,"EMITIDA",Tabla6[[#This Row],[ID FACTURA]]=0,"POR EMITIR")</f>
        <v>PAGADA</v>
      </c>
      <c r="M191" s="55">
        <f>+IF(Tabla6[[#This Row],[ESTADO FACTURA]]="PAGADA",Tabla6[[#This Row],[FECHA]]-_xlfn.XLOOKUP(Tabla6[[#This Row],[N° FACTURA]],INGRESOS!F:F,INGRESOS!A:A),"-")</f>
        <v>0</v>
      </c>
      <c r="N191" s="2"/>
      <c r="O191"/>
    </row>
    <row r="192" spans="1:15" ht="14.75" customHeight="1">
      <c r="A192" s="320" t="s">
        <v>816</v>
      </c>
      <c r="B192" t="str">
        <f>+_xlfn.XLOOKUP(Tabla6[[#This Row],[ID CLIENTE]],'RESUMEN CLIENTES'!D:D,'RESUMEN CLIENTES'!A:A)</f>
        <v>Nataly Elizabeth Elias Berrios</v>
      </c>
      <c r="C192" s="15" t="str">
        <f>+_xlfn.XLOOKUP(Tabla6[[#This Row],[ID CLIENTE]],'RESUMEN CLIENTES'!D:D,'RESUMEN CLIENTES'!C:C)</f>
        <v>Bolivia</v>
      </c>
      <c r="D192" s="169" t="str">
        <f>+_xlfn.XLOOKUP(Tabla6[[#This Row],[ID CLIENTE]],'RESUMEN CLIENTES'!D:D,'RESUMEN CLIENTES'!M:M)</f>
        <v>¡REGULARIZAR!</v>
      </c>
      <c r="E192" s="71">
        <f>+_xlfn.XLOOKUP(Tabla6[[#This Row],[NOMBRE]],'RESUMEN CLIENTES'!A:A,'RESUMEN CLIENTES'!X:X)</f>
        <v>0</v>
      </c>
      <c r="F192" s="71">
        <f>+_xlfn.XLOOKUP(Tabla6[[#This Row],[ID CLIENTE]],'RESUMEN CLIENTES'!D:D,'RESUMEN CLIENTES'!W:W)</f>
        <v>0</v>
      </c>
      <c r="G192" s="17">
        <v>45856</v>
      </c>
      <c r="H192" s="169" t="s">
        <v>81</v>
      </c>
      <c r="I192" s="2">
        <v>1000</v>
      </c>
      <c r="J192" s="20" t="s">
        <v>2596</v>
      </c>
      <c r="K192" t="s">
        <v>2597</v>
      </c>
      <c r="L192" s="44" t="str" cm="1">
        <f t="array" ref="L192">+_xlfn.IFS(COUNTIF(INGRESOS!E:E,Tabla6[[#This Row],[ID FACTURA]])=1,"PAGADA",Tabla6[[#This Row],[ID FACTURA]]&lt;&gt;0,"EMITIDA",Tabla6[[#This Row],[ID FACTURA]]=0,"POR EMITIR")</f>
        <v>PAGADA</v>
      </c>
      <c r="M192" s="54">
        <f>+IF(Tabla6[[#This Row],[ESTADO FACTURA]]="PAGADA",Tabla6[[#This Row],[FECHA]]-_xlfn.XLOOKUP(Tabla6[[#This Row],[N° FACTURA]],INGRESOS!F:F,INGRESOS!A:A),"-")</f>
        <v>0</v>
      </c>
      <c r="O192"/>
    </row>
    <row r="193" spans="1:15" ht="14.75" customHeight="1">
      <c r="A193" s="320" t="s">
        <v>501</v>
      </c>
      <c r="B193" t="str">
        <f>+_xlfn.XLOOKUP(Tabla6[[#This Row],[ID CLIENTE]],'RESUMEN CLIENTES'!D:D,'RESUMEN CLIENTES'!A:A)</f>
        <v>Kimberly Chantelle Frey Arteaga</v>
      </c>
      <c r="C193" t="str">
        <f>+_xlfn.XLOOKUP(Tabla6[[#This Row],[ID CLIENTE]],'RESUMEN CLIENTES'!D:D,'RESUMEN CLIENTES'!C:C)</f>
        <v>México</v>
      </c>
      <c r="D193" s="44" t="str">
        <f>+_xlfn.XLOOKUP(Tabla6[[#This Row],[ID CLIENTE]],'RESUMEN CLIENTES'!D:D,'RESUMEN CLIENTES'!M:M)</f>
        <v>OK</v>
      </c>
      <c r="E193" s="72">
        <f>+_xlfn.XLOOKUP(Tabla6[[#This Row],[NOMBRE]],'RESUMEN CLIENTES'!A:A,'RESUMEN CLIENTES'!X:X)</f>
        <v>0</v>
      </c>
      <c r="F193" s="72">
        <f>+_xlfn.XLOOKUP(Tabla6[[#This Row],[ID CLIENTE]],'RESUMEN CLIENTES'!D:D,'RESUMEN CLIENTES'!W:W)</f>
        <v>1</v>
      </c>
      <c r="G193" s="17">
        <v>45858</v>
      </c>
      <c r="H193" s="44" t="s">
        <v>81</v>
      </c>
      <c r="I193" s="2">
        <v>250</v>
      </c>
      <c r="J193" s="20" t="s">
        <v>502</v>
      </c>
      <c r="K193" t="s">
        <v>503</v>
      </c>
      <c r="L193" s="44" t="str" cm="1">
        <f t="array" ref="L193">+_xlfn.IFS(COUNTIF(INGRESOS!E:E,Tabla6[[#This Row],[ID FACTURA]])=1,"PAGADA",Tabla6[[#This Row],[ID FACTURA]]&lt;&gt;0,"EMITIDA",Tabla6[[#This Row],[ID FACTURA]]=0,"POR EMITIR")</f>
        <v>PAGADA</v>
      </c>
      <c r="M193" s="55">
        <f>+IF(Tabla6[[#This Row],[ESTADO FACTURA]]="PAGADA",Tabla6[[#This Row],[FECHA]]-_xlfn.XLOOKUP(Tabla6[[#This Row],[N° FACTURA]],INGRESOS!F:F,INGRESOS!A:A),"-")</f>
        <v>0</v>
      </c>
      <c r="N193" s="2"/>
      <c r="O193"/>
    </row>
    <row r="194" spans="1:15" ht="14.75" customHeight="1">
      <c r="A194" s="320" t="s">
        <v>816</v>
      </c>
      <c r="B194" t="str">
        <f>+_xlfn.XLOOKUP(Tabla6[[#This Row],[ID CLIENTE]],'RESUMEN CLIENTES'!D:D,'RESUMEN CLIENTES'!A:A)</f>
        <v>Nataly Elizabeth Elias Berrios</v>
      </c>
      <c r="C194" s="15" t="str">
        <f>+_xlfn.XLOOKUP(Tabla6[[#This Row],[ID CLIENTE]],'RESUMEN CLIENTES'!D:D,'RESUMEN CLIENTES'!C:C)</f>
        <v>Bolivia</v>
      </c>
      <c r="D194" s="169" t="str">
        <f>+_xlfn.XLOOKUP(Tabla6[[#This Row],[ID CLIENTE]],'RESUMEN CLIENTES'!D:D,'RESUMEN CLIENTES'!M:M)</f>
        <v>¡REGULARIZAR!</v>
      </c>
      <c r="E194" s="71">
        <f>+_xlfn.XLOOKUP(Tabla6[[#This Row],[NOMBRE]],'RESUMEN CLIENTES'!A:A,'RESUMEN CLIENTES'!X:X)</f>
        <v>0</v>
      </c>
      <c r="F194" s="71">
        <f>+_xlfn.XLOOKUP(Tabla6[[#This Row],[ID CLIENTE]],'RESUMEN CLIENTES'!D:D,'RESUMEN CLIENTES'!W:W)</f>
        <v>0</v>
      </c>
      <c r="G194" s="17">
        <v>45860</v>
      </c>
      <c r="H194" s="169" t="s">
        <v>81</v>
      </c>
      <c r="I194" s="2">
        <v>17</v>
      </c>
      <c r="J194" s="20" t="s">
        <v>2598</v>
      </c>
      <c r="K194" t="s">
        <v>2599</v>
      </c>
      <c r="L194" s="44" t="str" cm="1">
        <f t="array" ref="L194">+_xlfn.IFS(COUNTIF(INGRESOS!E:E,Tabla6[[#This Row],[ID FACTURA]])=1,"PAGADA",Tabla6[[#This Row],[ID FACTURA]]&lt;&gt;0,"EMITIDA",Tabla6[[#This Row],[ID FACTURA]]=0,"POR EMITIR")</f>
        <v>PAGADA</v>
      </c>
      <c r="M194" s="54">
        <f>+IF(Tabla6[[#This Row],[ESTADO FACTURA]]="PAGADA",Tabla6[[#This Row],[FECHA]]-_xlfn.XLOOKUP(Tabla6[[#This Row],[N° FACTURA]],INGRESOS!F:F,INGRESOS!A:A),"-")</f>
        <v>0</v>
      </c>
      <c r="O194"/>
    </row>
    <row r="195" spans="1:15" ht="14.75" customHeight="1">
      <c r="A195" s="320" t="s">
        <v>455</v>
      </c>
      <c r="B195" t="str">
        <f>+_xlfn.XLOOKUP(Tabla6[[#This Row],[ID CLIENTE]],'RESUMEN CLIENTES'!D:D,'RESUMEN CLIENTES'!A:A)</f>
        <v>Paola Hitos</v>
      </c>
      <c r="C195" t="str">
        <f>+_xlfn.XLOOKUP(Tabla6[[#This Row],[ID CLIENTE]],'RESUMEN CLIENTES'!D:D,'RESUMEN CLIENTES'!C:C)</f>
        <v>México</v>
      </c>
      <c r="D195" s="44" t="str">
        <f>+_xlfn.XLOOKUP(Tabla6[[#This Row],[ID CLIENTE]],'RESUMEN CLIENTES'!D:D,'RESUMEN CLIENTES'!M:M)</f>
        <v>OK</v>
      </c>
      <c r="E195" s="72">
        <f>+_xlfn.XLOOKUP(Tabla6[[#This Row],[NOMBRE]],'RESUMEN CLIENTES'!A:A,'RESUMEN CLIENTES'!X:X)</f>
        <v>-0.55555555555555558</v>
      </c>
      <c r="F195" s="72">
        <f>+_xlfn.XLOOKUP(Tabla6[[#This Row],[ID CLIENTE]],'RESUMEN CLIENTES'!D:D,'RESUMEN CLIENTES'!W:W)</f>
        <v>1</v>
      </c>
      <c r="G195" s="17">
        <v>45860</v>
      </c>
      <c r="H195" s="44" t="s">
        <v>81</v>
      </c>
      <c r="I195" s="2">
        <v>2000</v>
      </c>
      <c r="J195" s="20" t="s">
        <v>504</v>
      </c>
      <c r="K195" t="s">
        <v>505</v>
      </c>
      <c r="L195" s="44" t="str" cm="1">
        <f t="array" ref="L195">+_xlfn.IFS(COUNTIF(INGRESOS!E:E,Tabla6[[#This Row],[ID FACTURA]])=1,"PAGADA",Tabla6[[#This Row],[ID FACTURA]]&lt;&gt;0,"EMITIDA",Tabla6[[#This Row],[ID FACTURA]]=0,"POR EMITIR")</f>
        <v>PAGADA</v>
      </c>
      <c r="M195" s="55">
        <f>+IF(Tabla6[[#This Row],[ESTADO FACTURA]]="PAGADA",Tabla6[[#This Row],[FECHA]]-_xlfn.XLOOKUP(Tabla6[[#This Row],[N° FACTURA]],INGRESOS!F:F,INGRESOS!A:A),"-")</f>
        <v>-1</v>
      </c>
      <c r="N195" s="2"/>
      <c r="O195"/>
    </row>
    <row r="196" spans="1:15" ht="14.75" customHeight="1">
      <c r="A196" s="320" t="s">
        <v>250</v>
      </c>
      <c r="B196" t="str">
        <f>+_xlfn.XLOOKUP(Tabla6[[#This Row],[ID CLIENTE]],'RESUMEN CLIENTES'!D:D,'RESUMEN CLIENTES'!A:A)</f>
        <v>Fernanda Castro</v>
      </c>
      <c r="C196" t="str">
        <f>+_xlfn.XLOOKUP(Tabla6[[#This Row],[ID CLIENTE]],'RESUMEN CLIENTES'!D:D,'RESUMEN CLIENTES'!C:C)</f>
        <v>Ecuador</v>
      </c>
      <c r="D196" s="44" t="str">
        <f>+_xlfn.XLOOKUP(Tabla6[[#This Row],[ID CLIENTE]],'RESUMEN CLIENTES'!D:D,'RESUMEN CLIENTES'!M:M)</f>
        <v>OK</v>
      </c>
      <c r="E196" s="72">
        <f>+_xlfn.XLOOKUP(Tabla6[[#This Row],[NOMBRE]],'RESUMEN CLIENTES'!A:A,'RESUMEN CLIENTES'!X:X)</f>
        <v>0</v>
      </c>
      <c r="F196" s="72">
        <f>+_xlfn.XLOOKUP(Tabla6[[#This Row],[ID CLIENTE]],'RESUMEN CLIENTES'!D:D,'RESUMEN CLIENTES'!W:W)</f>
        <v>1</v>
      </c>
      <c r="G196" s="17">
        <v>45861</v>
      </c>
      <c r="H196" s="44" t="s">
        <v>81</v>
      </c>
      <c r="I196" s="2">
        <v>1000</v>
      </c>
      <c r="J196" s="20" t="s">
        <v>506</v>
      </c>
      <c r="K196" t="s">
        <v>507</v>
      </c>
      <c r="L196" s="44" t="str" cm="1">
        <f t="array" ref="L196">+_xlfn.IFS(COUNTIF(INGRESOS!E:E,Tabla6[[#This Row],[ID FACTURA]])=1,"PAGADA",Tabla6[[#This Row],[ID FACTURA]]&lt;&gt;0,"EMITIDA",Tabla6[[#This Row],[ID FACTURA]]=0,"POR EMITIR")</f>
        <v>PAGADA</v>
      </c>
      <c r="M196" s="55">
        <f>+IF(Tabla6[[#This Row],[ESTADO FACTURA]]="PAGADA",Tabla6[[#This Row],[FECHA]]-_xlfn.XLOOKUP(Tabla6[[#This Row],[N° FACTURA]],INGRESOS!F:F,INGRESOS!A:A),"-")</f>
        <v>1</v>
      </c>
      <c r="N196" s="2"/>
      <c r="O196"/>
    </row>
    <row r="197" spans="1:15" ht="14.75" customHeight="1">
      <c r="A197" s="320" t="s">
        <v>317</v>
      </c>
      <c r="B197" t="str">
        <f>+_xlfn.XLOOKUP(Tabla6[[#This Row],[ID CLIENTE]],'RESUMEN CLIENTES'!D:D,'RESUMEN CLIENTES'!A:A)</f>
        <v>Polliyana Alvarado Alvarado</v>
      </c>
      <c r="C197" t="str">
        <f>+_xlfn.XLOOKUP(Tabla6[[#This Row],[ID CLIENTE]],'RESUMEN CLIENTES'!D:D,'RESUMEN CLIENTES'!C:C)</f>
        <v>Chile</v>
      </c>
      <c r="D197" s="44" t="str">
        <f>+_xlfn.XLOOKUP(Tabla6[[#This Row],[ID CLIENTE]],'RESUMEN CLIENTES'!D:D,'RESUMEN CLIENTES'!M:M)</f>
        <v>OK</v>
      </c>
      <c r="E197" s="72">
        <f>+_xlfn.XLOOKUP(Tabla6[[#This Row],[NOMBRE]],'RESUMEN CLIENTES'!A:A,'RESUMEN CLIENTES'!X:X)</f>
        <v>0</v>
      </c>
      <c r="F197" s="72">
        <f>+_xlfn.XLOOKUP(Tabla6[[#This Row],[ID CLIENTE]],'RESUMEN CLIENTES'!D:D,'RESUMEN CLIENTES'!W:W)</f>
        <v>0</v>
      </c>
      <c r="G197" s="17">
        <v>45862</v>
      </c>
      <c r="H197" s="44" t="s">
        <v>81</v>
      </c>
      <c r="I197" s="2">
        <v>4497.6567208484375</v>
      </c>
      <c r="J197" s="20" t="s">
        <v>2600</v>
      </c>
      <c r="K197" t="s">
        <v>2601</v>
      </c>
      <c r="L197" s="44" t="str" cm="1">
        <f t="array" ref="L197">+_xlfn.IFS(COUNTIF(INGRESOS!E:E,Tabla6[[#This Row],[ID FACTURA]])=1,"PAGADA",Tabla6[[#This Row],[ID FACTURA]]&lt;&gt;0,"EMITIDA",Tabla6[[#This Row],[ID FACTURA]]=0,"POR EMITIR")</f>
        <v>PAGADA</v>
      </c>
      <c r="M197" s="55">
        <f>+IF(Tabla6[[#This Row],[ESTADO FACTURA]]="PAGADA",Tabla6[[#This Row],[FECHA]]-_xlfn.XLOOKUP(Tabla6[[#This Row],[N° FACTURA]],INGRESOS!F:F,INGRESOS!A:A),"-")</f>
        <v>0</v>
      </c>
      <c r="N197" s="2"/>
      <c r="O197" t="s">
        <v>318</v>
      </c>
    </row>
    <row r="198" spans="1:15" ht="14.75" customHeight="1">
      <c r="A198" s="320" t="s">
        <v>333</v>
      </c>
      <c r="B198" t="str">
        <f>+_xlfn.XLOOKUP(Tabla6[[#This Row],[ID CLIENTE]],'RESUMEN CLIENTES'!D:D,'RESUMEN CLIENTES'!A:A)</f>
        <v>Jorge Augusto Cámbara Vargas</v>
      </c>
      <c r="C198" t="str">
        <f>+_xlfn.XLOOKUP(Tabla6[[#This Row],[ID CLIENTE]],'RESUMEN CLIENTES'!D:D,'RESUMEN CLIENTES'!C:C)</f>
        <v>Guatemala</v>
      </c>
      <c r="D198" s="44" t="str">
        <f>+_xlfn.XLOOKUP(Tabla6[[#This Row],[ID CLIENTE]],'RESUMEN CLIENTES'!D:D,'RESUMEN CLIENTES'!M:M)</f>
        <v>OK</v>
      </c>
      <c r="E198" s="72">
        <f>+_xlfn.XLOOKUP(Tabla6[[#This Row],[NOMBRE]],'RESUMEN CLIENTES'!A:A,'RESUMEN CLIENTES'!X:X)</f>
        <v>0.1157407407331953</v>
      </c>
      <c r="F198" s="72">
        <f>+_xlfn.XLOOKUP(Tabla6[[#This Row],[ID CLIENTE]],'RESUMEN CLIENTES'!D:D,'RESUMEN CLIENTES'!W:W)</f>
        <v>1</v>
      </c>
      <c r="G198" s="17">
        <v>45863</v>
      </c>
      <c r="H198" s="44" t="s">
        <v>81</v>
      </c>
      <c r="I198" s="2">
        <v>2000</v>
      </c>
      <c r="J198" s="20" t="s">
        <v>508</v>
      </c>
      <c r="K198" t="s">
        <v>509</v>
      </c>
      <c r="L198" s="44" t="str" cm="1">
        <f t="array" ref="L198">+_xlfn.IFS(COUNTIF(INGRESOS!E:E,Tabla6[[#This Row],[ID FACTURA]])=1,"PAGADA",Tabla6[[#This Row],[ID FACTURA]]&lt;&gt;0,"EMITIDA",Tabla6[[#This Row],[ID FACTURA]]=0,"POR EMITIR")</f>
        <v>PAGADA</v>
      </c>
      <c r="M198" s="55">
        <f>+IF(Tabla6[[#This Row],[ESTADO FACTURA]]="PAGADA",Tabla6[[#This Row],[FECHA]]-_xlfn.XLOOKUP(Tabla6[[#This Row],[N° FACTURA]],INGRESOS!F:F,INGRESOS!A:A),"-")</f>
        <v>0</v>
      </c>
      <c r="N198" s="2"/>
      <c r="O198"/>
    </row>
    <row r="199" spans="1:15" ht="14.75" customHeight="1">
      <c r="A199" s="320" t="s">
        <v>87</v>
      </c>
      <c r="B199" t="str">
        <f>+_xlfn.XLOOKUP(Tabla6[[#This Row],[ID CLIENTE]],'RESUMEN CLIENTES'!D:D,'RESUMEN CLIENTES'!A:A)</f>
        <v>Jose Marcelo Marroquín Guzmán</v>
      </c>
      <c r="C199" t="str">
        <f>+_xlfn.XLOOKUP(Tabla6[[#This Row],[ID CLIENTE]],'RESUMEN CLIENTES'!D:D,'RESUMEN CLIENTES'!C:C)</f>
        <v>El Salvador</v>
      </c>
      <c r="D199" s="44" t="str">
        <f>+_xlfn.XLOOKUP(Tabla6[[#This Row],[ID CLIENTE]],'RESUMEN CLIENTES'!D:D,'RESUMEN CLIENTES'!M:M)</f>
        <v>OK</v>
      </c>
      <c r="E199" s="72">
        <f>+_xlfn.XLOOKUP(Tabla6[[#This Row],[NOMBRE]],'RESUMEN CLIENTES'!A:A,'RESUMEN CLIENTES'!X:X)</f>
        <v>-1.5833333333333333</v>
      </c>
      <c r="F199" s="72">
        <f>+_xlfn.XLOOKUP(Tabla6[[#This Row],[ID CLIENTE]],'RESUMEN CLIENTES'!D:D,'RESUMEN CLIENTES'!W:W)</f>
        <v>1</v>
      </c>
      <c r="G199" s="17">
        <v>45863</v>
      </c>
      <c r="H199" s="44" t="s">
        <v>81</v>
      </c>
      <c r="I199" s="2">
        <v>400</v>
      </c>
      <c r="J199" s="20" t="s">
        <v>510</v>
      </c>
      <c r="K199" t="s">
        <v>511</v>
      </c>
      <c r="L199" s="44" t="str" cm="1">
        <f t="array" ref="L199">+_xlfn.IFS(COUNTIF(INGRESOS!E:E,Tabla6[[#This Row],[ID FACTURA]])=1,"PAGADA",Tabla6[[#This Row],[ID FACTURA]]&lt;&gt;0,"EMITIDA",Tabla6[[#This Row],[ID FACTURA]]=0,"POR EMITIR")</f>
        <v>PAGADA</v>
      </c>
      <c r="M199" s="55">
        <f>+IF(Tabla6[[#This Row],[ESTADO FACTURA]]="PAGADA",Tabla6[[#This Row],[FECHA]]-_xlfn.XLOOKUP(Tabla6[[#This Row],[N° FACTURA]],INGRESOS!F:F,INGRESOS!A:A),"-")</f>
        <v>0</v>
      </c>
      <c r="N199" s="2"/>
      <c r="O199"/>
    </row>
    <row r="200" spans="1:15" ht="14.75" customHeight="1">
      <c r="A200" s="320" t="s">
        <v>261</v>
      </c>
      <c r="B200" t="str">
        <f>+_xlfn.XLOOKUP(Tabla6[[#This Row],[ID CLIENTE]],'RESUMEN CLIENTES'!D:D,'RESUMEN CLIENTES'!A:A)</f>
        <v>Maryori Elizabeth Ramos Tapia</v>
      </c>
      <c r="C200" t="str">
        <f>+_xlfn.XLOOKUP(Tabla6[[#This Row],[ID CLIENTE]],'RESUMEN CLIENTES'!D:D,'RESUMEN CLIENTES'!C:C)</f>
        <v>Perú</v>
      </c>
      <c r="D200" s="44" t="str">
        <f>+_xlfn.XLOOKUP(Tabla6[[#This Row],[ID CLIENTE]],'RESUMEN CLIENTES'!D:D,'RESUMEN CLIENTES'!M:M)</f>
        <v>OK</v>
      </c>
      <c r="E200" s="72">
        <f>+_xlfn.XLOOKUP(Tabla6[[#This Row],[NOMBRE]],'RESUMEN CLIENTES'!A:A,'RESUMEN CLIENTES'!X:X)</f>
        <v>-0.88425925925952875</v>
      </c>
      <c r="F200" s="72">
        <f>+_xlfn.XLOOKUP(Tabla6[[#This Row],[ID CLIENTE]],'RESUMEN CLIENTES'!D:D,'RESUMEN CLIENTES'!W:W)</f>
        <v>1</v>
      </c>
      <c r="G200" s="17">
        <v>45863</v>
      </c>
      <c r="H200" s="44" t="s">
        <v>81</v>
      </c>
      <c r="I200" s="2">
        <v>2000</v>
      </c>
      <c r="J200" s="20" t="s">
        <v>512</v>
      </c>
      <c r="K200" t="s">
        <v>513</v>
      </c>
      <c r="L200" s="44" t="str" cm="1">
        <f t="array" ref="L200">+_xlfn.IFS(COUNTIF(INGRESOS!E:E,Tabla6[[#This Row],[ID FACTURA]])=1,"PAGADA",Tabla6[[#This Row],[ID FACTURA]]&lt;&gt;0,"EMITIDA",Tabla6[[#This Row],[ID FACTURA]]=0,"POR EMITIR")</f>
        <v>PAGADA</v>
      </c>
      <c r="M200" s="55">
        <f>+IF(Tabla6[[#This Row],[ESTADO FACTURA]]="PAGADA",Tabla6[[#This Row],[FECHA]]-_xlfn.XLOOKUP(Tabla6[[#This Row],[N° FACTURA]],INGRESOS!F:F,INGRESOS!A:A),"-")</f>
        <v>0</v>
      </c>
      <c r="N200" s="2"/>
      <c r="O200"/>
    </row>
    <row r="201" spans="1:15" ht="14.75" customHeight="1">
      <c r="A201" s="320" t="s">
        <v>322</v>
      </c>
      <c r="B201" t="str">
        <f>+_xlfn.XLOOKUP(Tabla6[[#This Row],[ID CLIENTE]],'RESUMEN CLIENTES'!D:D,'RESUMEN CLIENTES'!A:A)</f>
        <v>Mauricio Ignacio Alcayaga Romo</v>
      </c>
      <c r="C201" t="str">
        <f>+_xlfn.XLOOKUP(Tabla6[[#This Row],[ID CLIENTE]],'RESUMEN CLIENTES'!D:D,'RESUMEN CLIENTES'!C:C)</f>
        <v>Chile</v>
      </c>
      <c r="D201" s="44" t="str">
        <f>+_xlfn.XLOOKUP(Tabla6[[#This Row],[ID CLIENTE]],'RESUMEN CLIENTES'!D:D,'RESUMEN CLIENTES'!M:M)</f>
        <v>OK</v>
      </c>
      <c r="E201" s="72">
        <f>+_xlfn.XLOOKUP(Tabla6[[#This Row],[NOMBRE]],'RESUMEN CLIENTES'!A:A,'RESUMEN CLIENTES'!X:X)</f>
        <v>-0.3</v>
      </c>
      <c r="F201" s="72">
        <f>+_xlfn.XLOOKUP(Tabla6[[#This Row],[ID CLIENTE]],'RESUMEN CLIENTES'!D:D,'RESUMEN CLIENTES'!W:W)</f>
        <v>0</v>
      </c>
      <c r="G201" s="17">
        <v>45863</v>
      </c>
      <c r="H201" s="44" t="s">
        <v>81</v>
      </c>
      <c r="I201" s="2">
        <v>3500</v>
      </c>
      <c r="J201" s="20" t="s">
        <v>514</v>
      </c>
      <c r="K201" t="s">
        <v>515</v>
      </c>
      <c r="L201" s="44" t="str" cm="1">
        <f t="array" ref="L201">+_xlfn.IFS(COUNTIF(INGRESOS!E:E,Tabla6[[#This Row],[ID FACTURA]])=1,"PAGADA",Tabla6[[#This Row],[ID FACTURA]]&lt;&gt;0,"EMITIDA",Tabla6[[#This Row],[ID FACTURA]]=0,"POR EMITIR")</f>
        <v>PAGADA</v>
      </c>
      <c r="M201" s="55">
        <f>+IF(Tabla6[[#This Row],[ESTADO FACTURA]]="PAGADA",Tabla6[[#This Row],[FECHA]]-_xlfn.XLOOKUP(Tabla6[[#This Row],[N° FACTURA]],INGRESOS!F:F,INGRESOS!A:A),"-")</f>
        <v>0</v>
      </c>
      <c r="N201" s="2"/>
      <c r="O201"/>
    </row>
    <row r="202" spans="1:15" ht="14.75" customHeight="1">
      <c r="A202" s="320" t="s">
        <v>816</v>
      </c>
      <c r="B202" t="str">
        <f>+_xlfn.XLOOKUP(Tabla6[[#This Row],[ID CLIENTE]],'RESUMEN CLIENTES'!D:D,'RESUMEN CLIENTES'!A:A)</f>
        <v>Nataly Elizabeth Elias Berrios</v>
      </c>
      <c r="C202" s="15" t="str">
        <f>+_xlfn.XLOOKUP(Tabla6[[#This Row],[ID CLIENTE]],'RESUMEN CLIENTES'!D:D,'RESUMEN CLIENTES'!C:C)</f>
        <v>Bolivia</v>
      </c>
      <c r="D202" s="169" t="str">
        <f>+_xlfn.XLOOKUP(Tabla6[[#This Row],[ID CLIENTE]],'RESUMEN CLIENTES'!D:D,'RESUMEN CLIENTES'!M:M)</f>
        <v>¡REGULARIZAR!</v>
      </c>
      <c r="E202" s="71">
        <f>+_xlfn.XLOOKUP(Tabla6[[#This Row],[NOMBRE]],'RESUMEN CLIENTES'!A:A,'RESUMEN CLIENTES'!X:X)</f>
        <v>0</v>
      </c>
      <c r="F202" s="71">
        <f>+_xlfn.XLOOKUP(Tabla6[[#This Row],[ID CLIENTE]],'RESUMEN CLIENTES'!D:D,'RESUMEN CLIENTES'!W:W)</f>
        <v>0</v>
      </c>
      <c r="G202" s="17">
        <v>45863</v>
      </c>
      <c r="H202" s="169" t="s">
        <v>81</v>
      </c>
      <c r="I202" s="2">
        <v>40</v>
      </c>
      <c r="J202" s="20" t="s">
        <v>2602</v>
      </c>
      <c r="K202" t="s">
        <v>2603</v>
      </c>
      <c r="L202" s="44" t="str" cm="1">
        <f t="array" ref="L202">+_xlfn.IFS(COUNTIF(INGRESOS!E:E,Tabla6[[#This Row],[ID FACTURA]])=1,"PAGADA",Tabla6[[#This Row],[ID FACTURA]]&lt;&gt;0,"EMITIDA",Tabla6[[#This Row],[ID FACTURA]]=0,"POR EMITIR")</f>
        <v>PAGADA</v>
      </c>
      <c r="M202" s="54">
        <f>+IF(Tabla6[[#This Row],[ESTADO FACTURA]]="PAGADA",Tabla6[[#This Row],[FECHA]]-_xlfn.XLOOKUP(Tabla6[[#This Row],[N° FACTURA]],INGRESOS!F:F,INGRESOS!A:A),"-")</f>
        <v>0</v>
      </c>
      <c r="O202"/>
    </row>
    <row r="203" spans="1:15" ht="14.75" customHeight="1">
      <c r="A203" s="320" t="s">
        <v>816</v>
      </c>
      <c r="B203" t="str">
        <f>+_xlfn.XLOOKUP(Tabla6[[#This Row],[ID CLIENTE]],'RESUMEN CLIENTES'!D:D,'RESUMEN CLIENTES'!A:A)</f>
        <v>Nataly Elizabeth Elias Berrios</v>
      </c>
      <c r="C203" s="15" t="str">
        <f>+_xlfn.XLOOKUP(Tabla6[[#This Row],[ID CLIENTE]],'RESUMEN CLIENTES'!D:D,'RESUMEN CLIENTES'!C:C)</f>
        <v>Bolivia</v>
      </c>
      <c r="D203" s="169" t="str">
        <f>+_xlfn.XLOOKUP(Tabla6[[#This Row],[ID CLIENTE]],'RESUMEN CLIENTES'!D:D,'RESUMEN CLIENTES'!M:M)</f>
        <v>¡REGULARIZAR!</v>
      </c>
      <c r="E203" s="71">
        <f>+_xlfn.XLOOKUP(Tabla6[[#This Row],[NOMBRE]],'RESUMEN CLIENTES'!A:A,'RESUMEN CLIENTES'!X:X)</f>
        <v>0</v>
      </c>
      <c r="F203" s="71">
        <f>+_xlfn.XLOOKUP(Tabla6[[#This Row],[ID CLIENTE]],'RESUMEN CLIENTES'!D:D,'RESUMEN CLIENTES'!W:W)</f>
        <v>0</v>
      </c>
      <c r="G203" s="17">
        <v>45863</v>
      </c>
      <c r="H203" s="169" t="s">
        <v>81</v>
      </c>
      <c r="I203" s="2">
        <v>811</v>
      </c>
      <c r="J203" s="20" t="s">
        <v>2604</v>
      </c>
      <c r="K203" t="s">
        <v>2605</v>
      </c>
      <c r="L203" s="44" t="str" cm="1">
        <f t="array" ref="L203">+_xlfn.IFS(COUNTIF(INGRESOS!E:E,Tabla6[[#This Row],[ID FACTURA]])=1,"PAGADA",Tabla6[[#This Row],[ID FACTURA]]&lt;&gt;0,"EMITIDA",Tabla6[[#This Row],[ID FACTURA]]=0,"POR EMITIR")</f>
        <v>PAGADA</v>
      </c>
      <c r="M203" s="54">
        <f>+IF(Tabla6[[#This Row],[ESTADO FACTURA]]="PAGADA",Tabla6[[#This Row],[FECHA]]-_xlfn.XLOOKUP(Tabla6[[#This Row],[N° FACTURA]],INGRESOS!F:F,INGRESOS!A:A),"-")</f>
        <v>0</v>
      </c>
      <c r="O203"/>
    </row>
    <row r="204" spans="1:15" ht="14.75" customHeight="1">
      <c r="A204" s="320" t="s">
        <v>516</v>
      </c>
      <c r="B204" t="str">
        <f>+_xlfn.XLOOKUP(Tabla6[[#This Row],[ID CLIENTE]],'RESUMEN CLIENTES'!D:D,'RESUMEN CLIENTES'!A:A)</f>
        <v>Andrea Fernanda Gonzalez Ramirez</v>
      </c>
      <c r="C204" t="str">
        <f>+_xlfn.XLOOKUP(Tabla6[[#This Row],[ID CLIENTE]],'RESUMEN CLIENTES'!D:D,'RESUMEN CLIENTES'!C:C)</f>
        <v>México</v>
      </c>
      <c r="D204" s="44" t="str">
        <f>+_xlfn.XLOOKUP(Tabla6[[#This Row],[ID CLIENTE]],'RESUMEN CLIENTES'!D:D,'RESUMEN CLIENTES'!M:M)</f>
        <v>SUSPENDIDO</v>
      </c>
      <c r="E204" s="72">
        <f>+_xlfn.XLOOKUP(Tabla6[[#This Row],[NOMBRE]],'RESUMEN CLIENTES'!A:A,'RESUMEN CLIENTES'!X:X)</f>
        <v>0</v>
      </c>
      <c r="F204" s="72">
        <f>+_xlfn.XLOOKUP(Tabla6[[#This Row],[ID CLIENTE]],'RESUMEN CLIENTES'!D:D,'RESUMEN CLIENTES'!W:W)</f>
        <v>0</v>
      </c>
      <c r="G204" s="17">
        <v>45864</v>
      </c>
      <c r="H204" s="44" t="s">
        <v>81</v>
      </c>
      <c r="I204" s="2">
        <v>250</v>
      </c>
      <c r="J204" s="20" t="s">
        <v>517</v>
      </c>
      <c r="K204" t="s">
        <v>518</v>
      </c>
      <c r="L204" s="44" t="str" cm="1">
        <f t="array" ref="L204">+_xlfn.IFS(COUNTIF(INGRESOS!E:E,Tabla6[[#This Row],[ID FACTURA]])=1,"PAGADA",Tabla6[[#This Row],[ID FACTURA]]&lt;&gt;0,"EMITIDA",Tabla6[[#This Row],[ID FACTURA]]=0,"POR EMITIR")</f>
        <v>PAGADA</v>
      </c>
      <c r="M204" s="55">
        <f>+IF(Tabla6[[#This Row],[ESTADO FACTURA]]="PAGADA",Tabla6[[#This Row],[FECHA]]-_xlfn.XLOOKUP(Tabla6[[#This Row],[N° FACTURA]],INGRESOS!F:F,INGRESOS!A:A),"-")</f>
        <v>0</v>
      </c>
      <c r="N204" s="2"/>
      <c r="O204"/>
    </row>
    <row r="205" spans="1:15" ht="14.75" customHeight="1">
      <c r="A205" s="321" t="s">
        <v>519</v>
      </c>
      <c r="B205" t="str">
        <f>+_xlfn.XLOOKUP(Tabla6[[#This Row],[ID CLIENTE]],'RESUMEN CLIENTES'!D:D,'RESUMEN CLIENTES'!A:A)</f>
        <v>Elaine Acosta Cabrera</v>
      </c>
      <c r="C205" t="str">
        <f>+_xlfn.XLOOKUP(Tabla6[[#This Row],[ID CLIENTE]],'RESUMEN CLIENTES'!D:D,'RESUMEN CLIENTES'!C:C)</f>
        <v>República Dominicana</v>
      </c>
      <c r="D205" s="169" t="str">
        <f>+_xlfn.XLOOKUP(Tabla6[[#This Row],[ID CLIENTE]],'RESUMEN CLIENTES'!D:D,'RESUMEN CLIENTES'!M:M)</f>
        <v>OK</v>
      </c>
      <c r="E205" s="71">
        <f>+_xlfn.XLOOKUP(Tabla6[[#This Row],[NOMBRE]],'RESUMEN CLIENTES'!A:A,'RESUMEN CLIENTES'!X:X)</f>
        <v>0</v>
      </c>
      <c r="F205" s="71">
        <f>+_xlfn.XLOOKUP(Tabla6[[#This Row],[ID CLIENTE]],'RESUMEN CLIENTES'!D:D,'RESUMEN CLIENTES'!W:W)</f>
        <v>1</v>
      </c>
      <c r="G205" s="17">
        <v>45864</v>
      </c>
      <c r="H205" s="169" t="s">
        <v>81</v>
      </c>
      <c r="I205" s="2">
        <v>250</v>
      </c>
      <c r="J205" s="20" t="s">
        <v>520</v>
      </c>
      <c r="K205" t="s">
        <v>521</v>
      </c>
      <c r="L205" s="44" t="str" cm="1">
        <f t="array" ref="L205">+_xlfn.IFS(COUNTIF(INGRESOS!E:E,Tabla6[[#This Row],[ID FACTURA]])=1,"PAGADA",Tabla6[[#This Row],[ID FACTURA]]&lt;&gt;0,"EMITIDA",Tabla6[[#This Row],[ID FACTURA]]=0,"POR EMITIR")</f>
        <v>PAGADA</v>
      </c>
      <c r="M205" s="54">
        <f>+IF(Tabla6[[#This Row],[ESTADO FACTURA]]="PAGADA",Tabla6[[#This Row],[FECHA]]-_xlfn.XLOOKUP(Tabla6[[#This Row],[N° FACTURA]],INGRESOS!F:F,INGRESOS!A:A),"-")</f>
        <v>0</v>
      </c>
      <c r="O205"/>
    </row>
    <row r="206" spans="1:15" ht="14.75" customHeight="1">
      <c r="A206" s="320" t="s">
        <v>372</v>
      </c>
      <c r="B206" t="str">
        <f>+_xlfn.XLOOKUP(Tabla6[[#This Row],[ID CLIENTE]],'RESUMEN CLIENTES'!D:D,'RESUMEN CLIENTES'!A:A)</f>
        <v>Julio Nelson Adaros Moraga</v>
      </c>
      <c r="C206" t="str">
        <f>+_xlfn.XLOOKUP(Tabla6[[#This Row],[ID CLIENTE]],'RESUMEN CLIENTES'!D:D,'RESUMEN CLIENTES'!C:C)</f>
        <v>Chile</v>
      </c>
      <c r="D206" s="44" t="str">
        <f>+_xlfn.XLOOKUP(Tabla6[[#This Row],[ID CLIENTE]],'RESUMEN CLIENTES'!D:D,'RESUMEN CLIENTES'!M:M)</f>
        <v>OK</v>
      </c>
      <c r="E206" s="72">
        <f>+_xlfn.XLOOKUP(Tabla6[[#This Row],[NOMBRE]],'RESUMEN CLIENTES'!A:A,'RESUMEN CLIENTES'!X:X)</f>
        <v>1</v>
      </c>
      <c r="F206" s="72">
        <f>+_xlfn.XLOOKUP(Tabla6[[#This Row],[ID CLIENTE]],'RESUMEN CLIENTES'!D:D,'RESUMEN CLIENTES'!W:W)</f>
        <v>1</v>
      </c>
      <c r="G206" s="17">
        <v>45865</v>
      </c>
      <c r="H206" s="44" t="s">
        <v>81</v>
      </c>
      <c r="I206" s="2">
        <v>1000</v>
      </c>
      <c r="J206" s="20" t="s">
        <v>522</v>
      </c>
      <c r="K206" t="s">
        <v>523</v>
      </c>
      <c r="L206" s="44" t="str" cm="1">
        <f t="array" ref="L206">+_xlfn.IFS(COUNTIF(INGRESOS!E:E,Tabla6[[#This Row],[ID FACTURA]])=1,"PAGADA",Tabla6[[#This Row],[ID FACTURA]]&lt;&gt;0,"EMITIDA",Tabla6[[#This Row],[ID FACTURA]]=0,"POR EMITIR")</f>
        <v>PAGADA</v>
      </c>
      <c r="M206" s="55">
        <f>+IF(Tabla6[[#This Row],[ESTADO FACTURA]]="PAGADA",Tabla6[[#This Row],[FECHA]]-_xlfn.XLOOKUP(Tabla6[[#This Row],[N° FACTURA]],INGRESOS!F:F,INGRESOS!A:A),"-")</f>
        <v>-1</v>
      </c>
      <c r="N206" s="2"/>
      <c r="O206"/>
    </row>
    <row r="207" spans="1:15" ht="14.75" customHeight="1">
      <c r="A207" s="320" t="s">
        <v>524</v>
      </c>
      <c r="B207" t="str">
        <f>+_xlfn.XLOOKUP(Tabla6[[#This Row],[ID CLIENTE]],'RESUMEN CLIENTES'!D:D,'RESUMEN CLIENTES'!A:A)</f>
        <v>Mario Andrés Pazán Rojas</v>
      </c>
      <c r="C207" t="str">
        <f>+_xlfn.XLOOKUP(Tabla6[[#This Row],[ID CLIENTE]],'RESUMEN CLIENTES'!D:D,'RESUMEN CLIENTES'!C:C)</f>
        <v>Chile</v>
      </c>
      <c r="D207" s="44" t="str">
        <f>+_xlfn.XLOOKUP(Tabla6[[#This Row],[ID CLIENTE]],'RESUMEN CLIENTES'!D:D,'RESUMEN CLIENTES'!M:M)</f>
        <v>SUSPENDIDO</v>
      </c>
      <c r="E207" s="72">
        <f>+_xlfn.XLOOKUP(Tabla6[[#This Row],[NOMBRE]],'RESUMEN CLIENTES'!A:A,'RESUMEN CLIENTES'!X:X)</f>
        <v>1</v>
      </c>
      <c r="F207" s="72">
        <f>+_xlfn.XLOOKUP(Tabla6[[#This Row],[ID CLIENTE]],'RESUMEN CLIENTES'!D:D,'RESUMEN CLIENTES'!W:W)</f>
        <v>0</v>
      </c>
      <c r="G207" s="17">
        <v>45865</v>
      </c>
      <c r="H207" s="44" t="s">
        <v>81</v>
      </c>
      <c r="I207" s="2">
        <v>250</v>
      </c>
      <c r="J207" s="20" t="s">
        <v>525</v>
      </c>
      <c r="K207" t="s">
        <v>526</v>
      </c>
      <c r="L207" s="44" t="str" cm="1">
        <f t="array" ref="L207">+_xlfn.IFS(COUNTIF(INGRESOS!E:E,Tabla6[[#This Row],[ID FACTURA]])=1,"PAGADA",Tabla6[[#This Row],[ID FACTURA]]&lt;&gt;0,"EMITIDA",Tabla6[[#This Row],[ID FACTURA]]=0,"POR EMITIR")</f>
        <v>PAGADA</v>
      </c>
      <c r="M207" s="55">
        <f>+IF(Tabla6[[#This Row],[ESTADO FACTURA]]="PAGADA",Tabla6[[#This Row],[FECHA]]-_xlfn.XLOOKUP(Tabla6[[#This Row],[N° FACTURA]],INGRESOS!F:F,INGRESOS!A:A),"-")</f>
        <v>0</v>
      </c>
      <c r="N207" s="2"/>
      <c r="O207"/>
    </row>
    <row r="208" spans="1:15" ht="14.75" customHeight="1">
      <c r="A208" s="320" t="s">
        <v>816</v>
      </c>
      <c r="B208" t="str">
        <f>+_xlfn.XLOOKUP(Tabla6[[#This Row],[ID CLIENTE]],'RESUMEN CLIENTES'!D:D,'RESUMEN CLIENTES'!A:A)</f>
        <v>Nataly Elizabeth Elias Berrios</v>
      </c>
      <c r="C208" s="15" t="str">
        <f>+_xlfn.XLOOKUP(Tabla6[[#This Row],[ID CLIENTE]],'RESUMEN CLIENTES'!D:D,'RESUMEN CLIENTES'!C:C)</f>
        <v>Bolivia</v>
      </c>
      <c r="D208" s="169" t="str">
        <f>+_xlfn.XLOOKUP(Tabla6[[#This Row],[ID CLIENTE]],'RESUMEN CLIENTES'!D:D,'RESUMEN CLIENTES'!M:M)</f>
        <v>¡REGULARIZAR!</v>
      </c>
      <c r="E208" s="71">
        <f>+_xlfn.XLOOKUP(Tabla6[[#This Row],[NOMBRE]],'RESUMEN CLIENTES'!A:A,'RESUMEN CLIENTES'!X:X)</f>
        <v>0</v>
      </c>
      <c r="F208" s="71">
        <f>+_xlfn.XLOOKUP(Tabla6[[#This Row],[ID CLIENTE]],'RESUMEN CLIENTES'!D:D,'RESUMEN CLIENTES'!W:W)</f>
        <v>0</v>
      </c>
      <c r="G208" s="17">
        <v>45866</v>
      </c>
      <c r="H208" s="169" t="s">
        <v>81</v>
      </c>
      <c r="I208" s="2">
        <v>25</v>
      </c>
      <c r="J208" s="20" t="s">
        <v>2606</v>
      </c>
      <c r="K208" t="s">
        <v>2607</v>
      </c>
      <c r="L208" s="44" t="str" cm="1">
        <f t="array" ref="L208">+_xlfn.IFS(COUNTIF(INGRESOS!E:E,Tabla6[[#This Row],[ID FACTURA]])=1,"PAGADA",Tabla6[[#This Row],[ID FACTURA]]&lt;&gt;0,"EMITIDA",Tabla6[[#This Row],[ID FACTURA]]=0,"POR EMITIR")</f>
        <v>PAGADA</v>
      </c>
      <c r="M208" s="54">
        <f>+IF(Tabla6[[#This Row],[ESTADO FACTURA]]="PAGADA",Tabla6[[#This Row],[FECHA]]-_xlfn.XLOOKUP(Tabla6[[#This Row],[N° FACTURA]],INGRESOS!F:F,INGRESOS!A:A),"-")</f>
        <v>0</v>
      </c>
      <c r="O208"/>
    </row>
    <row r="209" spans="1:15" ht="14.75" customHeight="1">
      <c r="A209" s="320" t="s">
        <v>527</v>
      </c>
      <c r="B209" t="str">
        <f>+_xlfn.XLOOKUP(Tabla6[[#This Row],[ID CLIENTE]],'RESUMEN CLIENTES'!D:D,'RESUMEN CLIENTES'!A:A)</f>
        <v>Angie Pérez Cáceres</v>
      </c>
      <c r="C209" t="str">
        <f>+_xlfn.XLOOKUP(Tabla6[[#This Row],[ID CLIENTE]],'RESUMEN CLIENTES'!D:D,'RESUMEN CLIENTES'!C:C)</f>
        <v>Perú</v>
      </c>
      <c r="D209" s="44" t="str">
        <f>+_xlfn.XLOOKUP(Tabla6[[#This Row],[ID CLIENTE]],'RESUMEN CLIENTES'!D:D,'RESUMEN CLIENTES'!M:M)</f>
        <v>OK</v>
      </c>
      <c r="E209" s="72">
        <f>+_xlfn.XLOOKUP(Tabla6[[#This Row],[NOMBRE]],'RESUMEN CLIENTES'!A:A,'RESUMEN CLIENTES'!X:X)</f>
        <v>1.625</v>
      </c>
      <c r="F209" s="72">
        <f>+_xlfn.XLOOKUP(Tabla6[[#This Row],[ID CLIENTE]],'RESUMEN CLIENTES'!D:D,'RESUMEN CLIENTES'!W:W)</f>
        <v>0</v>
      </c>
      <c r="G209" s="17">
        <v>45867</v>
      </c>
      <c r="H209" s="44" t="s">
        <v>81</v>
      </c>
      <c r="I209" s="2">
        <v>250</v>
      </c>
      <c r="J209" s="20" t="s">
        <v>528</v>
      </c>
      <c r="K209" t="s">
        <v>529</v>
      </c>
      <c r="L209" s="44" t="str" cm="1">
        <f t="array" ref="L209">+_xlfn.IFS(COUNTIF(INGRESOS!E:E,Tabla6[[#This Row],[ID FACTURA]])=1,"PAGADA",Tabla6[[#This Row],[ID FACTURA]]&lt;&gt;0,"EMITIDA",Tabla6[[#This Row],[ID FACTURA]]=0,"POR EMITIR")</f>
        <v>PAGADA</v>
      </c>
      <c r="M209" s="55">
        <f>+IF(Tabla6[[#This Row],[ESTADO FACTURA]]="PAGADA",Tabla6[[#This Row],[FECHA]]-_xlfn.XLOOKUP(Tabla6[[#This Row],[N° FACTURA]],INGRESOS!F:F,INGRESOS!A:A),"-")</f>
        <v>0</v>
      </c>
      <c r="N209" s="2"/>
      <c r="O209"/>
    </row>
    <row r="210" spans="1:15" ht="14.75" customHeight="1">
      <c r="A210" s="320" t="s">
        <v>530</v>
      </c>
      <c r="B210" t="str">
        <f>+_xlfn.XLOOKUP(Tabla6[[#This Row],[ID CLIENTE]],'RESUMEN CLIENTES'!D:D,'RESUMEN CLIENTES'!A:A)</f>
        <v>Antonio José Estrada Hoyo</v>
      </c>
      <c r="C210" t="str">
        <f>+_xlfn.XLOOKUP(Tabla6[[#This Row],[ID CLIENTE]],'RESUMEN CLIENTES'!D:D,'RESUMEN CLIENTES'!C:C)</f>
        <v>Venezuela</v>
      </c>
      <c r="D210" s="44" t="str">
        <f>+_xlfn.XLOOKUP(Tabla6[[#This Row],[ID CLIENTE]],'RESUMEN CLIENTES'!D:D,'RESUMEN CLIENTES'!M:M)</f>
        <v>OK</v>
      </c>
      <c r="E210" s="72">
        <f>+_xlfn.XLOOKUP(Tabla6[[#This Row],[NOMBRE]],'RESUMEN CLIENTES'!A:A,'RESUMEN CLIENTES'!X:X)</f>
        <v>0</v>
      </c>
      <c r="F210" s="72">
        <f>+_xlfn.XLOOKUP(Tabla6[[#This Row],[ID CLIENTE]],'RESUMEN CLIENTES'!D:D,'RESUMEN CLIENTES'!W:W)</f>
        <v>0</v>
      </c>
      <c r="G210" s="17">
        <v>45867</v>
      </c>
      <c r="H210" s="44" t="s">
        <v>81</v>
      </c>
      <c r="I210" s="2">
        <v>250</v>
      </c>
      <c r="J210" s="20" t="s">
        <v>531</v>
      </c>
      <c r="K210" t="s">
        <v>532</v>
      </c>
      <c r="L210" s="44" t="str" cm="1">
        <f t="array" ref="L210">+_xlfn.IFS(COUNTIF(INGRESOS!E:E,Tabla6[[#This Row],[ID FACTURA]])=1,"PAGADA",Tabla6[[#This Row],[ID FACTURA]]&lt;&gt;0,"EMITIDA",Tabla6[[#This Row],[ID FACTURA]]=0,"POR EMITIR")</f>
        <v>PAGADA</v>
      </c>
      <c r="M210" s="55">
        <f>+IF(Tabla6[[#This Row],[ESTADO FACTURA]]="PAGADA",Tabla6[[#This Row],[FECHA]]-_xlfn.XLOOKUP(Tabla6[[#This Row],[N° FACTURA]],INGRESOS!F:F,INGRESOS!A:A),"-")</f>
        <v>0</v>
      </c>
      <c r="N210" s="2"/>
      <c r="O210"/>
    </row>
    <row r="211" spans="1:15" ht="14.75" customHeight="1">
      <c r="A211" s="320" t="s">
        <v>330</v>
      </c>
      <c r="B211" t="str">
        <f>+_xlfn.XLOOKUP(Tabla6[[#This Row],[ID CLIENTE]],'RESUMEN CLIENTES'!D:D,'RESUMEN CLIENTES'!A:A)</f>
        <v>Jorge Andrés Barrera Vásquez</v>
      </c>
      <c r="C211" t="str">
        <f>+_xlfn.XLOOKUP(Tabla6[[#This Row],[ID CLIENTE]],'RESUMEN CLIENTES'!D:D,'RESUMEN CLIENTES'!C:C)</f>
        <v>Ecuador</v>
      </c>
      <c r="D211" s="44" t="str">
        <f>+_xlfn.XLOOKUP(Tabla6[[#This Row],[ID CLIENTE]],'RESUMEN CLIENTES'!D:D,'RESUMEN CLIENTES'!M:M)</f>
        <v>ELIMINADO</v>
      </c>
      <c r="E211" s="72">
        <f>+_xlfn.XLOOKUP(Tabla6[[#This Row],[NOMBRE]],'RESUMEN CLIENTES'!A:A,'RESUMEN CLIENTES'!X:X)</f>
        <v>0</v>
      </c>
      <c r="F211" s="72">
        <f>+_xlfn.XLOOKUP(Tabla6[[#This Row],[ID CLIENTE]],'RESUMEN CLIENTES'!D:D,'RESUMEN CLIENTES'!W:W)</f>
        <v>0</v>
      </c>
      <c r="G211" s="17">
        <v>45867</v>
      </c>
      <c r="H211" s="44" t="s">
        <v>81</v>
      </c>
      <c r="I211" s="2">
        <v>2000</v>
      </c>
      <c r="J211" s="20" t="s">
        <v>533</v>
      </c>
      <c r="K211" t="s">
        <v>534</v>
      </c>
      <c r="L211" s="44" t="str" cm="1">
        <f t="array" ref="L211">+_xlfn.IFS(COUNTIF(INGRESOS!E:E,Tabla6[[#This Row],[ID FACTURA]])=1,"PAGADA",Tabla6[[#This Row],[ID FACTURA]]&lt;&gt;0,"EMITIDA",Tabla6[[#This Row],[ID FACTURA]]=0,"POR EMITIR")</f>
        <v>PAGADA</v>
      </c>
      <c r="M211" s="55">
        <f>+IF(Tabla6[[#This Row],[ESTADO FACTURA]]="PAGADA",Tabla6[[#This Row],[FECHA]]-_xlfn.XLOOKUP(Tabla6[[#This Row],[N° FACTURA]],INGRESOS!F:F,INGRESOS!A:A),"-")</f>
        <v>1</v>
      </c>
      <c r="N211" s="2"/>
      <c r="O211"/>
    </row>
    <row r="212" spans="1:15" ht="14.75" customHeight="1">
      <c r="A212" s="320" t="s">
        <v>535</v>
      </c>
      <c r="B212" t="str">
        <f>+_xlfn.XLOOKUP(Tabla6[[#This Row],[ID CLIENTE]],'RESUMEN CLIENTES'!D:D,'RESUMEN CLIENTES'!A:A)</f>
        <v>Miguel Angel Pretell Cabrera</v>
      </c>
      <c r="C212" t="str">
        <f>+_xlfn.XLOOKUP(Tabla6[[#This Row],[ID CLIENTE]],'RESUMEN CLIENTES'!D:D,'RESUMEN CLIENTES'!C:C)</f>
        <v>Perú</v>
      </c>
      <c r="D212" s="44" t="str">
        <f>+_xlfn.XLOOKUP(Tabla6[[#This Row],[ID CLIENTE]],'RESUMEN CLIENTES'!D:D,'RESUMEN CLIENTES'!M:M)</f>
        <v>OK</v>
      </c>
      <c r="E212" s="72">
        <f>+_xlfn.XLOOKUP(Tabla6[[#This Row],[NOMBRE]],'RESUMEN CLIENTES'!A:A,'RESUMEN CLIENTES'!X:X)</f>
        <v>-2.5</v>
      </c>
      <c r="F212" s="72">
        <f>+_xlfn.XLOOKUP(Tabla6[[#This Row],[ID CLIENTE]],'RESUMEN CLIENTES'!D:D,'RESUMEN CLIENTES'!W:W)</f>
        <v>0</v>
      </c>
      <c r="G212" s="17">
        <v>45867</v>
      </c>
      <c r="H212" s="44" t="s">
        <v>81</v>
      </c>
      <c r="I212" s="2">
        <v>3600</v>
      </c>
      <c r="J212" s="20" t="s">
        <v>536</v>
      </c>
      <c r="K212" t="s">
        <v>537</v>
      </c>
      <c r="L212" s="44" t="str" cm="1">
        <f t="array" ref="L212">+_xlfn.IFS(COUNTIF(INGRESOS!E:E,Tabla6[[#This Row],[ID FACTURA]])=1,"PAGADA",Tabla6[[#This Row],[ID FACTURA]]&lt;&gt;0,"EMITIDA",Tabla6[[#This Row],[ID FACTURA]]=0,"POR EMITIR")</f>
        <v>PAGADA</v>
      </c>
      <c r="M212" s="55">
        <f>+IF(Tabla6[[#This Row],[ESTADO FACTURA]]="PAGADA",Tabla6[[#This Row],[FECHA]]-_xlfn.XLOOKUP(Tabla6[[#This Row],[N° FACTURA]],INGRESOS!F:F,INGRESOS!A:A),"-")</f>
        <v>0</v>
      </c>
      <c r="N212" s="2"/>
      <c r="O212"/>
    </row>
    <row r="213" spans="1:15" ht="14.75" customHeight="1">
      <c r="A213" s="320" t="s">
        <v>538</v>
      </c>
      <c r="B213" t="str">
        <f>+_xlfn.XLOOKUP(Tabla6[[#This Row],[ID CLIENTE]],'RESUMEN CLIENTES'!D:D,'RESUMEN CLIENTES'!A:A)</f>
        <v>Yaritza Soledad Martinez Rodriguez</v>
      </c>
      <c r="C213" t="str">
        <f>+_xlfn.XLOOKUP(Tabla6[[#This Row],[ID CLIENTE]],'RESUMEN CLIENTES'!D:D,'RESUMEN CLIENTES'!C:C)</f>
        <v>Argentina</v>
      </c>
      <c r="D213" s="44" t="str">
        <f>+_xlfn.XLOOKUP(Tabla6[[#This Row],[ID CLIENTE]],'RESUMEN CLIENTES'!D:D,'RESUMEN CLIENTES'!M:M)</f>
        <v>OK</v>
      </c>
      <c r="E213" s="72">
        <f>+_xlfn.XLOOKUP(Tabla6[[#This Row],[NOMBRE]],'RESUMEN CLIENTES'!A:A,'RESUMEN CLIENTES'!X:X)</f>
        <v>-0.25</v>
      </c>
      <c r="F213" s="72">
        <f>+_xlfn.XLOOKUP(Tabla6[[#This Row],[ID CLIENTE]],'RESUMEN CLIENTES'!D:D,'RESUMEN CLIENTES'!W:W)</f>
        <v>0</v>
      </c>
      <c r="G213" s="17">
        <v>45867</v>
      </c>
      <c r="H213" s="44" t="s">
        <v>81</v>
      </c>
      <c r="I213" s="2">
        <v>250</v>
      </c>
      <c r="J213" s="20" t="s">
        <v>539</v>
      </c>
      <c r="K213" t="s">
        <v>540</v>
      </c>
      <c r="L213" s="44" t="str" cm="1">
        <f t="array" ref="L213">+_xlfn.IFS(COUNTIF(INGRESOS!E:E,Tabla6[[#This Row],[ID FACTURA]])=1,"PAGADA",Tabla6[[#This Row],[ID FACTURA]]&lt;&gt;0,"EMITIDA",Tabla6[[#This Row],[ID FACTURA]]=0,"POR EMITIR")</f>
        <v>PAGADA</v>
      </c>
      <c r="M213" s="55">
        <f>+IF(Tabla6[[#This Row],[ESTADO FACTURA]]="PAGADA",Tabla6[[#This Row],[FECHA]]-_xlfn.XLOOKUP(Tabla6[[#This Row],[N° FACTURA]],INGRESOS!F:F,INGRESOS!A:A),"-")</f>
        <v>0</v>
      </c>
      <c r="N213" s="2"/>
      <c r="O213"/>
    </row>
    <row r="214" spans="1:15" ht="14.75" customHeight="1">
      <c r="A214" s="320" t="s">
        <v>541</v>
      </c>
      <c r="B214" t="str">
        <f>+_xlfn.XLOOKUP(Tabla6[[#This Row],[ID CLIENTE]],'RESUMEN CLIENTES'!D:D,'RESUMEN CLIENTES'!A:A)</f>
        <v>Alejandra Goretti Figueroa Romo</v>
      </c>
      <c r="C214" t="str">
        <f>+_xlfn.XLOOKUP(Tabla6[[#This Row],[ID CLIENTE]],'RESUMEN CLIENTES'!D:D,'RESUMEN CLIENTES'!C:C)</f>
        <v>México</v>
      </c>
      <c r="D214" s="44" t="str">
        <f>+_xlfn.XLOOKUP(Tabla6[[#This Row],[ID CLIENTE]],'RESUMEN CLIENTES'!D:D,'RESUMEN CLIENTES'!M:M)</f>
        <v>OK</v>
      </c>
      <c r="E214" s="72">
        <f>+_xlfn.XLOOKUP(Tabla6[[#This Row],[NOMBRE]],'RESUMEN CLIENTES'!A:A,'RESUMEN CLIENTES'!X:X)</f>
        <v>0.75</v>
      </c>
      <c r="F214" s="72">
        <f>+_xlfn.XLOOKUP(Tabla6[[#This Row],[ID CLIENTE]],'RESUMEN CLIENTES'!D:D,'RESUMEN CLIENTES'!W:W)</f>
        <v>0</v>
      </c>
      <c r="G214" s="17">
        <v>45868</v>
      </c>
      <c r="H214" s="44" t="s">
        <v>81</v>
      </c>
      <c r="I214" s="2">
        <v>1500</v>
      </c>
      <c r="J214" s="20" t="s">
        <v>542</v>
      </c>
      <c r="K214" t="s">
        <v>543</v>
      </c>
      <c r="L214" s="44" t="str" cm="1">
        <f t="array" ref="L214">+_xlfn.IFS(COUNTIF(INGRESOS!E:E,Tabla6[[#This Row],[ID FACTURA]])=1,"PAGADA",Tabla6[[#This Row],[ID FACTURA]]&lt;&gt;0,"EMITIDA",Tabla6[[#This Row],[ID FACTURA]]=0,"POR EMITIR")</f>
        <v>PAGADA</v>
      </c>
      <c r="M214" s="55">
        <f>+IF(Tabla6[[#This Row],[ESTADO FACTURA]]="PAGADA",Tabla6[[#This Row],[FECHA]]-_xlfn.XLOOKUP(Tabla6[[#This Row],[N° FACTURA]],INGRESOS!F:F,INGRESOS!A:A),"-")</f>
        <v>1</v>
      </c>
      <c r="N214" s="2"/>
      <c r="O214"/>
    </row>
    <row r="215" spans="1:15" ht="14.75" customHeight="1">
      <c r="A215" s="320" t="s">
        <v>450</v>
      </c>
      <c r="B215" t="str">
        <f>+_xlfn.XLOOKUP(Tabla6[[#This Row],[ID CLIENTE]],'RESUMEN CLIENTES'!D:D,'RESUMEN CLIENTES'!A:A)</f>
        <v>Alexandra Carolina Ordoñez Cuotto</v>
      </c>
      <c r="C215" t="str">
        <f>+_xlfn.XLOOKUP(Tabla6[[#This Row],[ID CLIENTE]],'RESUMEN CLIENTES'!D:D,'RESUMEN CLIENTES'!C:C)</f>
        <v>Venezuela</v>
      </c>
      <c r="D215" s="44" t="str">
        <f>+_xlfn.XLOOKUP(Tabla6[[#This Row],[ID CLIENTE]],'RESUMEN CLIENTES'!D:D,'RESUMEN CLIENTES'!M:M)</f>
        <v>¡REGULARIZAR!</v>
      </c>
      <c r="E215" s="72">
        <f>+_xlfn.XLOOKUP(Tabla6[[#This Row],[NOMBRE]],'RESUMEN CLIENTES'!A:A,'RESUMEN CLIENTES'!X:X)</f>
        <v>-2</v>
      </c>
      <c r="F215" s="72">
        <f>+_xlfn.XLOOKUP(Tabla6[[#This Row],[ID CLIENTE]],'RESUMEN CLIENTES'!D:D,'RESUMEN CLIENTES'!W:W)</f>
        <v>0</v>
      </c>
      <c r="G215" s="17">
        <v>45868</v>
      </c>
      <c r="H215" s="44" t="s">
        <v>81</v>
      </c>
      <c r="I215" s="2">
        <v>3750</v>
      </c>
      <c r="J215" s="20" t="s">
        <v>544</v>
      </c>
      <c r="K215" t="s">
        <v>545</v>
      </c>
      <c r="L215" s="44" t="str" cm="1">
        <f t="array" ref="L215">+_xlfn.IFS(COUNTIF(INGRESOS!E:E,Tabla6[[#This Row],[ID FACTURA]])=1,"PAGADA",Tabla6[[#This Row],[ID FACTURA]]&lt;&gt;0,"EMITIDA",Tabla6[[#This Row],[ID FACTURA]]=0,"POR EMITIR")</f>
        <v>PAGADA</v>
      </c>
      <c r="M215" s="55">
        <f>+IF(Tabla6[[#This Row],[ESTADO FACTURA]]="PAGADA",Tabla6[[#This Row],[FECHA]]-_xlfn.XLOOKUP(Tabla6[[#This Row],[N° FACTURA]],INGRESOS!F:F,INGRESOS!A:A),"-")</f>
        <v>-1</v>
      </c>
      <c r="N215" s="2"/>
      <c r="O215"/>
    </row>
    <row r="216" spans="1:15" ht="14.75" customHeight="1">
      <c r="A216" s="320" t="s">
        <v>84</v>
      </c>
      <c r="B216" t="str">
        <f>+_xlfn.XLOOKUP(Tabla6[[#This Row],[ID CLIENTE]],'RESUMEN CLIENTES'!D:D,'RESUMEN CLIENTES'!A:A)</f>
        <v>Andrea Corpeño López</v>
      </c>
      <c r="C216" t="str">
        <f>+_xlfn.XLOOKUP(Tabla6[[#This Row],[ID CLIENTE]],'RESUMEN CLIENTES'!D:D,'RESUMEN CLIENTES'!C:C)</f>
        <v>El Salvador</v>
      </c>
      <c r="D216" s="44" t="str">
        <f>+_xlfn.XLOOKUP(Tabla6[[#This Row],[ID CLIENTE]],'RESUMEN CLIENTES'!D:D,'RESUMEN CLIENTES'!M:M)</f>
        <v>OK</v>
      </c>
      <c r="E216" s="72">
        <f>+_xlfn.XLOOKUP(Tabla6[[#This Row],[NOMBRE]],'RESUMEN CLIENTES'!A:A,'RESUMEN CLIENTES'!X:X)</f>
        <v>-0.81818181818181823</v>
      </c>
      <c r="F216" s="72">
        <f>+_xlfn.XLOOKUP(Tabla6[[#This Row],[ID CLIENTE]],'RESUMEN CLIENTES'!D:D,'RESUMEN CLIENTES'!W:W)</f>
        <v>0</v>
      </c>
      <c r="G216" s="17">
        <v>45868</v>
      </c>
      <c r="H216" s="44" t="s">
        <v>81</v>
      </c>
      <c r="I216" s="2">
        <v>400</v>
      </c>
      <c r="J216" s="20" t="s">
        <v>546</v>
      </c>
      <c r="K216" t="s">
        <v>547</v>
      </c>
      <c r="L216" s="44" t="str" cm="1">
        <f t="array" ref="L216">+_xlfn.IFS(COUNTIF(INGRESOS!E:E,Tabla6[[#This Row],[ID FACTURA]])=1,"PAGADA",Tabla6[[#This Row],[ID FACTURA]]&lt;&gt;0,"EMITIDA",Tabla6[[#This Row],[ID FACTURA]]=0,"POR EMITIR")</f>
        <v>PAGADA</v>
      </c>
      <c r="M216" s="55">
        <f>+IF(Tabla6[[#This Row],[ESTADO FACTURA]]="PAGADA",Tabla6[[#This Row],[FECHA]]-_xlfn.XLOOKUP(Tabla6[[#This Row],[N° FACTURA]],INGRESOS!F:F,INGRESOS!A:A),"-")</f>
        <v>-1</v>
      </c>
      <c r="N216" s="2"/>
      <c r="O216"/>
    </row>
    <row r="217" spans="1:15" ht="14.75" customHeight="1">
      <c r="A217" s="320" t="s">
        <v>226</v>
      </c>
      <c r="B217" t="str">
        <f>+_xlfn.XLOOKUP(Tabla6[[#This Row],[ID CLIENTE]],'RESUMEN CLIENTES'!D:D,'RESUMEN CLIENTES'!A:A)</f>
        <v>Carlos Josue Escobar Morán</v>
      </c>
      <c r="C217" t="str">
        <f>+_xlfn.XLOOKUP(Tabla6[[#This Row],[ID CLIENTE]],'RESUMEN CLIENTES'!D:D,'RESUMEN CLIENTES'!C:C)</f>
        <v>El Salvador</v>
      </c>
      <c r="D217" s="44" t="str">
        <f>+_xlfn.XLOOKUP(Tabla6[[#This Row],[ID CLIENTE]],'RESUMEN CLIENTES'!D:D,'RESUMEN CLIENTES'!M:M)</f>
        <v>OK</v>
      </c>
      <c r="E217" s="72">
        <f>+_xlfn.XLOOKUP(Tabla6[[#This Row],[NOMBRE]],'RESUMEN CLIENTES'!A:A,'RESUMEN CLIENTES'!X:X)</f>
        <v>0.8</v>
      </c>
      <c r="F217" s="72">
        <f>+_xlfn.XLOOKUP(Tabla6[[#This Row],[ID CLIENTE]],'RESUMEN CLIENTES'!D:D,'RESUMEN CLIENTES'!W:W)</f>
        <v>0</v>
      </c>
      <c r="G217" s="17">
        <v>45868</v>
      </c>
      <c r="H217" s="44" t="s">
        <v>81</v>
      </c>
      <c r="I217" s="2">
        <v>500</v>
      </c>
      <c r="J217" s="20" t="s">
        <v>548</v>
      </c>
      <c r="K217" t="s">
        <v>549</v>
      </c>
      <c r="L217" s="44" t="str" cm="1">
        <f t="array" ref="L217">+_xlfn.IFS(COUNTIF(INGRESOS!E:E,Tabla6[[#This Row],[ID FACTURA]])=1,"PAGADA",Tabla6[[#This Row],[ID FACTURA]]&lt;&gt;0,"EMITIDA",Tabla6[[#This Row],[ID FACTURA]]=0,"POR EMITIR")</f>
        <v>PAGADA</v>
      </c>
      <c r="M217" s="55">
        <f>+IF(Tabla6[[#This Row],[ESTADO FACTURA]]="PAGADA",Tabla6[[#This Row],[FECHA]]-_xlfn.XLOOKUP(Tabla6[[#This Row],[N° FACTURA]],INGRESOS!F:F,INGRESOS!A:A),"-")</f>
        <v>0</v>
      </c>
      <c r="N217" s="2"/>
      <c r="O217"/>
    </row>
    <row r="218" spans="1:15" ht="14.75" customHeight="1">
      <c r="A218" s="320" t="s">
        <v>479</v>
      </c>
      <c r="B218" t="str">
        <f>+_xlfn.XLOOKUP(Tabla6[[#This Row],[ID CLIENTE]],'RESUMEN CLIENTES'!D:D,'RESUMEN CLIENTES'!A:A)</f>
        <v>Carlos Mersaim Olivares Sandoval</v>
      </c>
      <c r="C218" t="str">
        <f>+_xlfn.XLOOKUP(Tabla6[[#This Row],[ID CLIENTE]],'RESUMEN CLIENTES'!D:D,'RESUMEN CLIENTES'!C:C)</f>
        <v>México</v>
      </c>
      <c r="D218" s="44" t="str">
        <f>+_xlfn.XLOOKUP(Tabla6[[#This Row],[ID CLIENTE]],'RESUMEN CLIENTES'!D:D,'RESUMEN CLIENTES'!M:M)</f>
        <v>OK</v>
      </c>
      <c r="E218" s="72">
        <f>+_xlfn.XLOOKUP(Tabla6[[#This Row],[NOMBRE]],'RESUMEN CLIENTES'!A:A,'RESUMEN CLIENTES'!X:X)</f>
        <v>1.4444444444444444</v>
      </c>
      <c r="F218" s="72">
        <f>+_xlfn.XLOOKUP(Tabla6[[#This Row],[ID CLIENTE]],'RESUMEN CLIENTES'!D:D,'RESUMEN CLIENTES'!W:W)</f>
        <v>0</v>
      </c>
      <c r="G218" s="17">
        <v>45868</v>
      </c>
      <c r="H218" s="44" t="s">
        <v>81</v>
      </c>
      <c r="I218" s="2">
        <v>3750</v>
      </c>
      <c r="J218" s="20" t="s">
        <v>550</v>
      </c>
      <c r="K218" t="s">
        <v>551</v>
      </c>
      <c r="L218" s="44" t="str" cm="1">
        <f t="array" ref="L218">+_xlfn.IFS(COUNTIF(INGRESOS!E:E,Tabla6[[#This Row],[ID FACTURA]])=1,"PAGADA",Tabla6[[#This Row],[ID FACTURA]]&lt;&gt;0,"EMITIDA",Tabla6[[#This Row],[ID FACTURA]]=0,"POR EMITIR")</f>
        <v>PAGADA</v>
      </c>
      <c r="M218" s="55">
        <f>+IF(Tabla6[[#This Row],[ESTADO FACTURA]]="PAGADA",Tabla6[[#This Row],[FECHA]]-_xlfn.XLOOKUP(Tabla6[[#This Row],[N° FACTURA]],INGRESOS!F:F,INGRESOS!A:A),"-")</f>
        <v>9</v>
      </c>
      <c r="N218" s="2"/>
      <c r="O218"/>
    </row>
    <row r="219" spans="1:15" ht="14.75" customHeight="1">
      <c r="A219" s="320" t="s">
        <v>115</v>
      </c>
      <c r="B219" t="str">
        <f>+_xlfn.XLOOKUP(Tabla6[[#This Row],[ID CLIENTE]],'RESUMEN CLIENTES'!D:D,'RESUMEN CLIENTES'!A:A)</f>
        <v>David Hernández Viveros</v>
      </c>
      <c r="C219" t="str">
        <f>+_xlfn.XLOOKUP(Tabla6[[#This Row],[ID CLIENTE]],'RESUMEN CLIENTES'!D:D,'RESUMEN CLIENTES'!C:C)</f>
        <v>México</v>
      </c>
      <c r="D219" s="44" t="str">
        <f>+_xlfn.XLOOKUP(Tabla6[[#This Row],[ID CLIENTE]],'RESUMEN CLIENTES'!D:D,'RESUMEN CLIENTES'!M:M)</f>
        <v>OK</v>
      </c>
      <c r="E219" s="72">
        <f>+_xlfn.XLOOKUP(Tabla6[[#This Row],[NOMBRE]],'RESUMEN CLIENTES'!A:A,'RESUMEN CLIENTES'!X:X)</f>
        <v>-0.5</v>
      </c>
      <c r="F219" s="72">
        <f>+_xlfn.XLOOKUP(Tabla6[[#This Row],[ID CLIENTE]],'RESUMEN CLIENTES'!D:D,'RESUMEN CLIENTES'!W:W)</f>
        <v>1</v>
      </c>
      <c r="G219" s="17">
        <v>45868</v>
      </c>
      <c r="H219" s="44" t="s">
        <v>81</v>
      </c>
      <c r="I219" s="2">
        <v>1300</v>
      </c>
      <c r="J219" s="20" t="s">
        <v>552</v>
      </c>
      <c r="K219" t="s">
        <v>553</v>
      </c>
      <c r="L219" s="44" t="str" cm="1">
        <f t="array" ref="L219">+_xlfn.IFS(COUNTIF(INGRESOS!E:E,Tabla6[[#This Row],[ID FACTURA]])=1,"PAGADA",Tabla6[[#This Row],[ID FACTURA]]&lt;&gt;0,"EMITIDA",Tabla6[[#This Row],[ID FACTURA]]=0,"POR EMITIR")</f>
        <v>PAGADA</v>
      </c>
      <c r="M219" s="55">
        <f>+IF(Tabla6[[#This Row],[ESTADO FACTURA]]="PAGADA",Tabla6[[#This Row],[FECHA]]-_xlfn.XLOOKUP(Tabla6[[#This Row],[N° FACTURA]],INGRESOS!F:F,INGRESOS!A:A),"-")</f>
        <v>0</v>
      </c>
      <c r="N219" s="2"/>
      <c r="O219"/>
    </row>
    <row r="220" spans="1:15" ht="14.75" customHeight="1">
      <c r="A220" s="320" t="s">
        <v>385</v>
      </c>
      <c r="B220" t="str">
        <f>+_xlfn.XLOOKUP(Tabla6[[#This Row],[ID CLIENTE]],'RESUMEN CLIENTES'!D:D,'RESUMEN CLIENTES'!A:A)</f>
        <v>Ellen Cristina Gerónimo Bonilla</v>
      </c>
      <c r="C220" t="str">
        <f>+_xlfn.XLOOKUP(Tabla6[[#This Row],[ID CLIENTE]],'RESUMEN CLIENTES'!D:D,'RESUMEN CLIENTES'!C:C)</f>
        <v>República Dominicana</v>
      </c>
      <c r="D220" s="44" t="str">
        <f>+_xlfn.XLOOKUP(Tabla6[[#This Row],[ID CLIENTE]],'RESUMEN CLIENTES'!D:D,'RESUMEN CLIENTES'!M:M)</f>
        <v>OK</v>
      </c>
      <c r="E220" s="72">
        <f>+_xlfn.XLOOKUP(Tabla6[[#This Row],[NOMBRE]],'RESUMEN CLIENTES'!A:A,'RESUMEN CLIENTES'!X:X)</f>
        <v>1.5555555555555556</v>
      </c>
      <c r="F220" s="72">
        <f>+_xlfn.XLOOKUP(Tabla6[[#This Row],[ID CLIENTE]],'RESUMEN CLIENTES'!D:D,'RESUMEN CLIENTES'!W:W)</f>
        <v>1</v>
      </c>
      <c r="G220" s="17">
        <v>45868</v>
      </c>
      <c r="H220" s="44" t="s">
        <v>81</v>
      </c>
      <c r="I220" s="2">
        <v>600</v>
      </c>
      <c r="J220" s="20" t="s">
        <v>554</v>
      </c>
      <c r="K220" t="s">
        <v>555</v>
      </c>
      <c r="L220" s="44" t="str" cm="1">
        <f t="array" ref="L220">+_xlfn.IFS(COUNTIF(INGRESOS!E:E,Tabla6[[#This Row],[ID FACTURA]])=1,"PAGADA",Tabla6[[#This Row],[ID FACTURA]]&lt;&gt;0,"EMITIDA",Tabla6[[#This Row],[ID FACTURA]]=0,"POR EMITIR")</f>
        <v>PAGADA</v>
      </c>
      <c r="M220" s="55">
        <f>+IF(Tabla6[[#This Row],[ESTADO FACTURA]]="PAGADA",Tabla6[[#This Row],[FECHA]]-_xlfn.XLOOKUP(Tabla6[[#This Row],[N° FACTURA]],INGRESOS!F:F,INGRESOS!A:A),"-")</f>
        <v>1</v>
      </c>
      <c r="N220" s="2"/>
      <c r="O220"/>
    </row>
    <row r="221" spans="1:15" ht="14.75" customHeight="1">
      <c r="A221" s="320" t="s">
        <v>139</v>
      </c>
      <c r="B221" t="str">
        <f>+_xlfn.XLOOKUP(Tabla6[[#This Row],[ID CLIENTE]],'RESUMEN CLIENTES'!D:D,'RESUMEN CLIENTES'!A:A)</f>
        <v>Hugo Nicolás Trávez Morales</v>
      </c>
      <c r="C221" t="str">
        <f>+_xlfn.XLOOKUP(Tabla6[[#This Row],[ID CLIENTE]],'RESUMEN CLIENTES'!D:D,'RESUMEN CLIENTES'!C:C)</f>
        <v>Ecuador</v>
      </c>
      <c r="D221" s="44" t="str">
        <f>+_xlfn.XLOOKUP(Tabla6[[#This Row],[ID CLIENTE]],'RESUMEN CLIENTES'!D:D,'RESUMEN CLIENTES'!M:M)</f>
        <v>OK</v>
      </c>
      <c r="E221" s="72">
        <f>+_xlfn.XLOOKUP(Tabla6[[#This Row],[NOMBRE]],'RESUMEN CLIENTES'!A:A,'RESUMEN CLIENTES'!X:X)</f>
        <v>0</v>
      </c>
      <c r="F221" s="72">
        <f>+_xlfn.XLOOKUP(Tabla6[[#This Row],[ID CLIENTE]],'RESUMEN CLIENTES'!D:D,'RESUMEN CLIENTES'!W:W)</f>
        <v>0</v>
      </c>
      <c r="G221" s="17">
        <v>45868</v>
      </c>
      <c r="H221" s="44" t="s">
        <v>81</v>
      </c>
      <c r="I221" s="2">
        <v>1000</v>
      </c>
      <c r="J221" s="20" t="s">
        <v>556</v>
      </c>
      <c r="K221" t="s">
        <v>557</v>
      </c>
      <c r="L221" s="44" t="str" cm="1">
        <f t="array" ref="L221">+_xlfn.IFS(COUNTIF(INGRESOS!E:E,Tabla6[[#This Row],[ID FACTURA]])=1,"PAGADA",Tabla6[[#This Row],[ID FACTURA]]&lt;&gt;0,"EMITIDA",Tabla6[[#This Row],[ID FACTURA]]=0,"POR EMITIR")</f>
        <v>PAGADA</v>
      </c>
      <c r="M221" s="55">
        <f>+IF(Tabla6[[#This Row],[ESTADO FACTURA]]="PAGADA",Tabla6[[#This Row],[FECHA]]-_xlfn.XLOOKUP(Tabla6[[#This Row],[N° FACTURA]],INGRESOS!F:F,INGRESOS!A:A),"-")</f>
        <v>0</v>
      </c>
      <c r="N221" s="2"/>
      <c r="O221"/>
    </row>
    <row r="222" spans="1:15" ht="14.75" customHeight="1">
      <c r="A222" s="320" t="s">
        <v>266</v>
      </c>
      <c r="B222" t="str">
        <f>+_xlfn.XLOOKUP(Tabla6[[#This Row],[ID CLIENTE]],'RESUMEN CLIENTES'!D:D,'RESUMEN CLIENTES'!A:A)</f>
        <v>Juan Camilo Sanchez Ramirez</v>
      </c>
      <c r="C222" t="str">
        <f>+_xlfn.XLOOKUP(Tabla6[[#This Row],[ID CLIENTE]],'RESUMEN CLIENTES'!D:D,'RESUMEN CLIENTES'!C:C)</f>
        <v>Colombia</v>
      </c>
      <c r="D222" s="44" t="str">
        <f>+_xlfn.XLOOKUP(Tabla6[[#This Row],[ID CLIENTE]],'RESUMEN CLIENTES'!D:D,'RESUMEN CLIENTES'!M:M)</f>
        <v>OK</v>
      </c>
      <c r="E222" s="72">
        <f>+_xlfn.XLOOKUP(Tabla6[[#This Row],[NOMBRE]],'RESUMEN CLIENTES'!A:A,'RESUMEN CLIENTES'!X:X)</f>
        <v>0.2</v>
      </c>
      <c r="F222" s="72">
        <f>+_xlfn.XLOOKUP(Tabla6[[#This Row],[ID CLIENTE]],'RESUMEN CLIENTES'!D:D,'RESUMEN CLIENTES'!W:W)</f>
        <v>0</v>
      </c>
      <c r="G222" s="17">
        <v>45868</v>
      </c>
      <c r="H222" s="44" t="s">
        <v>81</v>
      </c>
      <c r="I222" s="2">
        <v>1000</v>
      </c>
      <c r="J222" s="20" t="s">
        <v>558</v>
      </c>
      <c r="K222" t="s">
        <v>559</v>
      </c>
      <c r="L222" s="44" t="str" cm="1">
        <f t="array" ref="L222">+_xlfn.IFS(COUNTIF(INGRESOS!E:E,Tabla6[[#This Row],[ID FACTURA]])=1,"PAGADA",Tabla6[[#This Row],[ID FACTURA]]&lt;&gt;0,"EMITIDA",Tabla6[[#This Row],[ID FACTURA]]=0,"POR EMITIR")</f>
        <v>PAGADA</v>
      </c>
      <c r="M222" s="55">
        <f>+IF(Tabla6[[#This Row],[ESTADO FACTURA]]="PAGADA",Tabla6[[#This Row],[FECHA]]-_xlfn.XLOOKUP(Tabla6[[#This Row],[N° FACTURA]],INGRESOS!F:F,INGRESOS!A:A),"-")</f>
        <v>-1</v>
      </c>
      <c r="N222" s="2"/>
      <c r="O222"/>
    </row>
    <row r="223" spans="1:15" ht="14.75" customHeight="1">
      <c r="A223" s="320" t="s">
        <v>218</v>
      </c>
      <c r="B223" t="str">
        <f>+_xlfn.XLOOKUP(Tabla6[[#This Row],[ID CLIENTE]],'RESUMEN CLIENTES'!D:D,'RESUMEN CLIENTES'!A:A)</f>
        <v>Laura Margarita Cepeda Garrido</v>
      </c>
      <c r="C223" t="str">
        <f>+_xlfn.XLOOKUP(Tabla6[[#This Row],[ID CLIENTE]],'RESUMEN CLIENTES'!D:D,'RESUMEN CLIENTES'!C:C)</f>
        <v>Colombia</v>
      </c>
      <c r="D223" s="44" t="str">
        <f>+_xlfn.XLOOKUP(Tabla6[[#This Row],[ID CLIENTE]],'RESUMEN CLIENTES'!D:D,'RESUMEN CLIENTES'!M:M)</f>
        <v>ELIMINADO</v>
      </c>
      <c r="E223" s="72">
        <f>+_xlfn.XLOOKUP(Tabla6[[#This Row],[NOMBRE]],'RESUMEN CLIENTES'!A:A,'RESUMEN CLIENTES'!X:X)</f>
        <v>-0.2</v>
      </c>
      <c r="F223" s="72">
        <f>+_xlfn.XLOOKUP(Tabla6[[#This Row],[ID CLIENTE]],'RESUMEN CLIENTES'!D:D,'RESUMEN CLIENTES'!W:W)</f>
        <v>0</v>
      </c>
      <c r="G223" s="17">
        <v>45868</v>
      </c>
      <c r="H223" s="44" t="s">
        <v>81</v>
      </c>
      <c r="I223" s="2">
        <v>600</v>
      </c>
      <c r="J223" s="20" t="s">
        <v>560</v>
      </c>
      <c r="K223" t="s">
        <v>561</v>
      </c>
      <c r="L223" s="44" t="str" cm="1">
        <f t="array" ref="L223">+_xlfn.IFS(COUNTIF(INGRESOS!E:E,Tabla6[[#This Row],[ID FACTURA]])=1,"PAGADA",Tabla6[[#This Row],[ID FACTURA]]&lt;&gt;0,"EMITIDA",Tabla6[[#This Row],[ID FACTURA]]=0,"POR EMITIR")</f>
        <v>PAGADA</v>
      </c>
      <c r="M223" s="55">
        <f>+IF(Tabla6[[#This Row],[ESTADO FACTURA]]="PAGADA",Tabla6[[#This Row],[FECHA]]-_xlfn.XLOOKUP(Tabla6[[#This Row],[N° FACTURA]],INGRESOS!F:F,INGRESOS!A:A),"-")</f>
        <v>-1</v>
      </c>
      <c r="N223" s="2"/>
      <c r="O223"/>
    </row>
    <row r="224" spans="1:15" ht="14.75" customHeight="1">
      <c r="A224" s="320" t="s">
        <v>441</v>
      </c>
      <c r="B224" t="str">
        <f>+_xlfn.XLOOKUP(Tabla6[[#This Row],[ID CLIENTE]],'RESUMEN CLIENTES'!D:D,'RESUMEN CLIENTES'!A:A)</f>
        <v>Luis Manuel Villanueva Contreras</v>
      </c>
      <c r="C224" t="str">
        <f>+_xlfn.XLOOKUP(Tabla6[[#This Row],[ID CLIENTE]],'RESUMEN CLIENTES'!D:D,'RESUMEN CLIENTES'!C:C)</f>
        <v>México</v>
      </c>
      <c r="D224" s="44" t="str">
        <f>+_xlfn.XLOOKUP(Tabla6[[#This Row],[ID CLIENTE]],'RESUMEN CLIENTES'!D:D,'RESUMEN CLIENTES'!M:M)</f>
        <v>OK</v>
      </c>
      <c r="E224" s="72">
        <f>+_xlfn.XLOOKUP(Tabla6[[#This Row],[NOMBRE]],'RESUMEN CLIENTES'!A:A,'RESUMEN CLIENTES'!X:X)</f>
        <v>0.55555555555555558</v>
      </c>
      <c r="F224" s="72">
        <f>+_xlfn.XLOOKUP(Tabla6[[#This Row],[ID CLIENTE]],'RESUMEN CLIENTES'!D:D,'RESUMEN CLIENTES'!W:W)</f>
        <v>0</v>
      </c>
      <c r="G224" s="17">
        <v>45868</v>
      </c>
      <c r="H224" s="44" t="s">
        <v>81</v>
      </c>
      <c r="I224" s="2">
        <v>3750</v>
      </c>
      <c r="J224" s="20" t="s">
        <v>562</v>
      </c>
      <c r="K224" t="s">
        <v>563</v>
      </c>
      <c r="L224" s="44" t="str" cm="1">
        <f t="array" ref="L224">+_xlfn.IFS(COUNTIF(INGRESOS!E:E,Tabla6[[#This Row],[ID FACTURA]])=1,"PAGADA",Tabla6[[#This Row],[ID FACTURA]]&lt;&gt;0,"EMITIDA",Tabla6[[#This Row],[ID FACTURA]]=0,"POR EMITIR")</f>
        <v>PAGADA</v>
      </c>
      <c r="M224" s="55">
        <f>+IF(Tabla6[[#This Row],[ESTADO FACTURA]]="PAGADA",Tabla6[[#This Row],[FECHA]]-_xlfn.XLOOKUP(Tabla6[[#This Row],[N° FACTURA]],INGRESOS!F:F,INGRESOS!A:A),"-")</f>
        <v>0</v>
      </c>
      <c r="N224" s="2"/>
      <c r="O224"/>
    </row>
    <row r="225" spans="1:15" ht="14.75" customHeight="1">
      <c r="A225" s="320" t="s">
        <v>271</v>
      </c>
      <c r="B225" t="str">
        <f>+_xlfn.XLOOKUP(Tabla6[[#This Row],[ID CLIENTE]],'RESUMEN CLIENTES'!D:D,'RESUMEN CLIENTES'!A:A)</f>
        <v>Manuel Francisco Sulbaran Fandiño</v>
      </c>
      <c r="C225" t="str">
        <f>+_xlfn.XLOOKUP(Tabla6[[#This Row],[ID CLIENTE]],'RESUMEN CLIENTES'!D:D,'RESUMEN CLIENTES'!C:C)</f>
        <v>Colombia</v>
      </c>
      <c r="D225" s="44" t="str">
        <f>+_xlfn.XLOOKUP(Tabla6[[#This Row],[ID CLIENTE]],'RESUMEN CLIENTES'!D:D,'RESUMEN CLIENTES'!M:M)</f>
        <v>OK</v>
      </c>
      <c r="E225" s="72">
        <f>+_xlfn.XLOOKUP(Tabla6[[#This Row],[NOMBRE]],'RESUMEN CLIENTES'!A:A,'RESUMEN CLIENTES'!X:X)</f>
        <v>0.5</v>
      </c>
      <c r="F225" s="72">
        <f>+_xlfn.XLOOKUP(Tabla6[[#This Row],[ID CLIENTE]],'RESUMEN CLIENTES'!D:D,'RESUMEN CLIENTES'!W:W)</f>
        <v>0</v>
      </c>
      <c r="G225" s="17">
        <v>45868</v>
      </c>
      <c r="H225" s="44" t="s">
        <v>81</v>
      </c>
      <c r="I225" s="2">
        <v>13000</v>
      </c>
      <c r="J225" s="20" t="s">
        <v>564</v>
      </c>
      <c r="K225" t="s">
        <v>565</v>
      </c>
      <c r="L225" s="44" t="str" cm="1">
        <f t="array" ref="L225">+_xlfn.IFS(COUNTIF(INGRESOS!E:E,Tabla6[[#This Row],[ID FACTURA]])=1,"PAGADA",Tabla6[[#This Row],[ID FACTURA]]&lt;&gt;0,"EMITIDA",Tabla6[[#This Row],[ID FACTURA]]=0,"POR EMITIR")</f>
        <v>PAGADA</v>
      </c>
      <c r="M225" s="55">
        <f>+IF(Tabla6[[#This Row],[ESTADO FACTURA]]="PAGADA",Tabla6[[#This Row],[FECHA]]-_xlfn.XLOOKUP(Tabla6[[#This Row],[N° FACTURA]],INGRESOS!F:F,INGRESOS!A:A),"-")</f>
        <v>1</v>
      </c>
      <c r="N225" s="2"/>
      <c r="O225"/>
    </row>
    <row r="226" spans="1:15" ht="14.75" customHeight="1">
      <c r="A226" s="320" t="s">
        <v>444</v>
      </c>
      <c r="B226" t="str">
        <f>+_xlfn.XLOOKUP(Tabla6[[#This Row],[ID CLIENTE]],'RESUMEN CLIENTES'!D:D,'RESUMEN CLIENTES'!A:A)</f>
        <v>Miguel Ángel Cortez García</v>
      </c>
      <c r="C226" t="str">
        <f>+_xlfn.XLOOKUP(Tabla6[[#This Row],[ID CLIENTE]],'RESUMEN CLIENTES'!D:D,'RESUMEN CLIENTES'!C:C)</f>
        <v>México</v>
      </c>
      <c r="D226" s="44" t="str">
        <f>+_xlfn.XLOOKUP(Tabla6[[#This Row],[ID CLIENTE]],'RESUMEN CLIENTES'!D:D,'RESUMEN CLIENTES'!M:M)</f>
        <v>ELIMINADO</v>
      </c>
      <c r="E226" s="72">
        <f>+_xlfn.XLOOKUP(Tabla6[[#This Row],[NOMBRE]],'RESUMEN CLIENTES'!A:A,'RESUMEN CLIENTES'!X:X)</f>
        <v>0</v>
      </c>
      <c r="F226" s="72">
        <f>+_xlfn.XLOOKUP(Tabla6[[#This Row],[ID CLIENTE]],'RESUMEN CLIENTES'!D:D,'RESUMEN CLIENTES'!W:W)</f>
        <v>0</v>
      </c>
      <c r="G226" s="17">
        <v>45868</v>
      </c>
      <c r="H226" s="44" t="s">
        <v>81</v>
      </c>
      <c r="I226" s="2">
        <v>500</v>
      </c>
      <c r="J226" s="20" t="s">
        <v>566</v>
      </c>
      <c r="K226" t="s">
        <v>567</v>
      </c>
      <c r="L226" s="44" t="str" cm="1">
        <f t="array" ref="L226">+_xlfn.IFS(COUNTIF(INGRESOS!E:E,Tabla6[[#This Row],[ID FACTURA]])=1,"PAGADA",Tabla6[[#This Row],[ID FACTURA]]&lt;&gt;0,"EMITIDA",Tabla6[[#This Row],[ID FACTURA]]=0,"POR EMITIR")</f>
        <v>PAGADA</v>
      </c>
      <c r="M226" s="55">
        <f>+IF(Tabla6[[#This Row],[ESTADO FACTURA]]="PAGADA",Tabla6[[#This Row],[FECHA]]-_xlfn.XLOOKUP(Tabla6[[#This Row],[N° FACTURA]],INGRESOS!F:F,INGRESOS!A:A),"-")</f>
        <v>0</v>
      </c>
      <c r="N226" s="2"/>
      <c r="O226"/>
    </row>
    <row r="227" spans="1:15" ht="14.75" customHeight="1">
      <c r="A227" s="320" t="s">
        <v>229</v>
      </c>
      <c r="B227" t="str">
        <f>+_xlfn.XLOOKUP(Tabla6[[#This Row],[ID CLIENTE]],'RESUMEN CLIENTES'!D:D,'RESUMEN CLIENTES'!A:A)</f>
        <v>Nathaly Gabriela Henríquez Masín</v>
      </c>
      <c r="C227" t="str">
        <f>+_xlfn.XLOOKUP(Tabla6[[#This Row],[ID CLIENTE]],'RESUMEN CLIENTES'!D:D,'RESUMEN CLIENTES'!C:C)</f>
        <v>El Salvador</v>
      </c>
      <c r="D227" s="44" t="str">
        <f>+_xlfn.XLOOKUP(Tabla6[[#This Row],[ID CLIENTE]],'RESUMEN CLIENTES'!D:D,'RESUMEN CLIENTES'!M:M)</f>
        <v>OK</v>
      </c>
      <c r="E227" s="72">
        <f>+_xlfn.XLOOKUP(Tabla6[[#This Row],[NOMBRE]],'RESUMEN CLIENTES'!A:A,'RESUMEN CLIENTES'!X:X)</f>
        <v>0.7</v>
      </c>
      <c r="F227" s="72">
        <f>+_xlfn.XLOOKUP(Tabla6[[#This Row],[ID CLIENTE]],'RESUMEN CLIENTES'!D:D,'RESUMEN CLIENTES'!W:W)</f>
        <v>0</v>
      </c>
      <c r="G227" s="17">
        <v>45868</v>
      </c>
      <c r="H227" s="44" t="s">
        <v>81</v>
      </c>
      <c r="I227" s="2">
        <v>500</v>
      </c>
      <c r="J227" s="20" t="s">
        <v>568</v>
      </c>
      <c r="K227" t="s">
        <v>569</v>
      </c>
      <c r="L227" s="44" t="str" cm="1">
        <f t="array" ref="L227">+_xlfn.IFS(COUNTIF(INGRESOS!E:E,Tabla6[[#This Row],[ID FACTURA]])=1,"PAGADA",Tabla6[[#This Row],[ID FACTURA]]&lt;&gt;0,"EMITIDA",Tabla6[[#This Row],[ID FACTURA]]=0,"POR EMITIR")</f>
        <v>PAGADA</v>
      </c>
      <c r="M227" s="55">
        <f>+IF(Tabla6[[#This Row],[ESTADO FACTURA]]="PAGADA",Tabla6[[#This Row],[FECHA]]-_xlfn.XLOOKUP(Tabla6[[#This Row],[N° FACTURA]],INGRESOS!F:F,INGRESOS!A:A),"-")</f>
        <v>0</v>
      </c>
      <c r="N227" s="2"/>
      <c r="O227"/>
    </row>
    <row r="228" spans="1:15" ht="14.75" customHeight="1">
      <c r="A228" s="320" t="s">
        <v>350</v>
      </c>
      <c r="B228" t="str">
        <f>+_xlfn.XLOOKUP(Tabla6[[#This Row],[ID CLIENTE]],'RESUMEN CLIENTES'!D:D,'RESUMEN CLIENTES'!A:A)</f>
        <v>Rainier Guerrero</v>
      </c>
      <c r="C228" t="str">
        <f>+_xlfn.XLOOKUP(Tabla6[[#This Row],[ID CLIENTE]],'RESUMEN CLIENTES'!D:D,'RESUMEN CLIENTES'!C:C)</f>
        <v>México</v>
      </c>
      <c r="D228" s="44" t="str">
        <f>+_xlfn.XLOOKUP(Tabla6[[#This Row],[ID CLIENTE]],'RESUMEN CLIENTES'!D:D,'RESUMEN CLIENTES'!M:M)</f>
        <v>OK</v>
      </c>
      <c r="E228" s="72">
        <f>+_xlfn.XLOOKUP(Tabla6[[#This Row],[NOMBRE]],'RESUMEN CLIENTES'!A:A,'RESUMEN CLIENTES'!X:X)</f>
        <v>-0.3</v>
      </c>
      <c r="F228" s="72">
        <f>+_xlfn.XLOOKUP(Tabla6[[#This Row],[ID CLIENTE]],'RESUMEN CLIENTES'!D:D,'RESUMEN CLIENTES'!W:W)</f>
        <v>1</v>
      </c>
      <c r="G228" s="17">
        <v>45868</v>
      </c>
      <c r="H228" s="44" t="s">
        <v>81</v>
      </c>
      <c r="I228" s="2">
        <v>1000</v>
      </c>
      <c r="J228" s="20" t="s">
        <v>570</v>
      </c>
      <c r="K228" t="s">
        <v>571</v>
      </c>
      <c r="L228" s="44" t="str" cm="1">
        <f t="array" ref="L228">+_xlfn.IFS(COUNTIF(INGRESOS!E:E,Tabla6[[#This Row],[ID FACTURA]])=1,"PAGADA",Tabla6[[#This Row],[ID FACTURA]]&lt;&gt;0,"EMITIDA",Tabla6[[#This Row],[ID FACTURA]]=0,"POR EMITIR")</f>
        <v>PAGADA</v>
      </c>
      <c r="M228" s="55">
        <f>+IF(Tabla6[[#This Row],[ESTADO FACTURA]]="PAGADA",Tabla6[[#This Row],[FECHA]]-_xlfn.XLOOKUP(Tabla6[[#This Row],[N° FACTURA]],INGRESOS!F:F,INGRESOS!A:A),"-")</f>
        <v>-1</v>
      </c>
      <c r="N228" s="2"/>
      <c r="O228"/>
    </row>
    <row r="229" spans="1:15" ht="14.75" customHeight="1">
      <c r="A229" s="320" t="s">
        <v>530</v>
      </c>
      <c r="B229" t="str">
        <f>+_xlfn.XLOOKUP(Tabla6[[#This Row],[ID CLIENTE]],'RESUMEN CLIENTES'!D:D,'RESUMEN CLIENTES'!A:A)</f>
        <v>Antonio José Estrada Hoyo</v>
      </c>
      <c r="C229" t="str">
        <f>+_xlfn.XLOOKUP(Tabla6[[#This Row],[ID CLIENTE]],'RESUMEN CLIENTES'!D:D,'RESUMEN CLIENTES'!C:C)</f>
        <v>Venezuela</v>
      </c>
      <c r="D229" s="44" t="str">
        <f>+_xlfn.XLOOKUP(Tabla6[[#This Row],[ID CLIENTE]],'RESUMEN CLIENTES'!D:D,'RESUMEN CLIENTES'!M:M)</f>
        <v>OK</v>
      </c>
      <c r="E229" s="72">
        <f>+_xlfn.XLOOKUP(Tabla6[[#This Row],[NOMBRE]],'RESUMEN CLIENTES'!A:A,'RESUMEN CLIENTES'!X:X)</f>
        <v>0</v>
      </c>
      <c r="F229" s="72">
        <f>+_xlfn.XLOOKUP(Tabla6[[#This Row],[ID CLIENTE]],'RESUMEN CLIENTES'!D:D,'RESUMEN CLIENTES'!W:W)</f>
        <v>0</v>
      </c>
      <c r="G229" s="17">
        <v>45869</v>
      </c>
      <c r="H229" s="44" t="s">
        <v>81</v>
      </c>
      <c r="I229" s="2">
        <v>3750</v>
      </c>
      <c r="J229" s="20" t="s">
        <v>572</v>
      </c>
      <c r="K229" t="s">
        <v>573</v>
      </c>
      <c r="L229" s="44" t="str" cm="1">
        <f t="array" ref="L229">+_xlfn.IFS(COUNTIF(INGRESOS!E:E,Tabla6[[#This Row],[ID FACTURA]])=1,"PAGADA",Tabla6[[#This Row],[ID FACTURA]]&lt;&gt;0,"EMITIDA",Tabla6[[#This Row],[ID FACTURA]]=0,"POR EMITIR")</f>
        <v>PAGADA</v>
      </c>
      <c r="M229" s="55">
        <f>+IF(Tabla6[[#This Row],[ESTADO FACTURA]]="PAGADA",Tabla6[[#This Row],[FECHA]]-_xlfn.XLOOKUP(Tabla6[[#This Row],[N° FACTURA]],INGRESOS!F:F,INGRESOS!A:A),"-")</f>
        <v>0</v>
      </c>
      <c r="N229" s="2"/>
      <c r="O229"/>
    </row>
    <row r="230" spans="1:15" ht="14.75" customHeight="1">
      <c r="A230" s="320" t="s">
        <v>574</v>
      </c>
      <c r="B230" t="str">
        <f>+_xlfn.XLOOKUP(Tabla6[[#This Row],[ID CLIENTE]],'RESUMEN CLIENTES'!D:D,'RESUMEN CLIENTES'!A:A)</f>
        <v>Astrid Mariam Enamorado Ortega</v>
      </c>
      <c r="C230" t="str">
        <f>+_xlfn.XLOOKUP(Tabla6[[#This Row],[ID CLIENTE]],'RESUMEN CLIENTES'!D:D,'RESUMEN CLIENTES'!C:C)</f>
        <v>Honduras</v>
      </c>
      <c r="D230" s="44" t="str">
        <f>+_xlfn.XLOOKUP(Tabla6[[#This Row],[ID CLIENTE]],'RESUMEN CLIENTES'!D:D,'RESUMEN CLIENTES'!M:M)</f>
        <v>OK</v>
      </c>
      <c r="E230" s="72">
        <f>+_xlfn.XLOOKUP(Tabla6[[#This Row],[NOMBRE]],'RESUMEN CLIENTES'!A:A,'RESUMEN CLIENTES'!X:X)</f>
        <v>-1.75</v>
      </c>
      <c r="F230" s="72">
        <f>+_xlfn.XLOOKUP(Tabla6[[#This Row],[ID CLIENTE]],'RESUMEN CLIENTES'!D:D,'RESUMEN CLIENTES'!W:W)</f>
        <v>0</v>
      </c>
      <c r="G230" s="17">
        <v>45869</v>
      </c>
      <c r="H230" s="44" t="s">
        <v>81</v>
      </c>
      <c r="I230" s="2">
        <v>1875</v>
      </c>
      <c r="J230" s="20" t="s">
        <v>575</v>
      </c>
      <c r="K230" t="s">
        <v>576</v>
      </c>
      <c r="L230" s="44" t="str" cm="1">
        <f t="array" ref="L230">+_xlfn.IFS(COUNTIF(INGRESOS!E:E,Tabla6[[#This Row],[ID FACTURA]])=1,"PAGADA",Tabla6[[#This Row],[ID FACTURA]]&lt;&gt;0,"EMITIDA",Tabla6[[#This Row],[ID FACTURA]]=0,"POR EMITIR")</f>
        <v>PAGADA</v>
      </c>
      <c r="M230" s="55">
        <f>+IF(Tabla6[[#This Row],[ESTADO FACTURA]]="PAGADA",Tabla6[[#This Row],[FECHA]]-_xlfn.XLOOKUP(Tabla6[[#This Row],[N° FACTURA]],INGRESOS!F:F,INGRESOS!A:A),"-")</f>
        <v>0</v>
      </c>
      <c r="N230" s="2"/>
      <c r="O230"/>
    </row>
    <row r="231" spans="1:15" ht="14.75" customHeight="1">
      <c r="A231" s="320" t="s">
        <v>171</v>
      </c>
      <c r="B231" t="str">
        <f>+_xlfn.XLOOKUP(Tabla6[[#This Row],[ID CLIENTE]],'RESUMEN CLIENTES'!D:D,'RESUMEN CLIENTES'!A:A)</f>
        <v>Guillermo Alfonso Garvalena Gaxiola</v>
      </c>
      <c r="C231" t="str">
        <f>+_xlfn.XLOOKUP(Tabla6[[#This Row],[ID CLIENTE]],'RESUMEN CLIENTES'!D:D,'RESUMEN CLIENTES'!C:C)</f>
        <v>México</v>
      </c>
      <c r="D231" s="44" t="str">
        <f>+_xlfn.XLOOKUP(Tabla6[[#This Row],[ID CLIENTE]],'RESUMEN CLIENTES'!D:D,'RESUMEN CLIENTES'!M:M)</f>
        <v>OK</v>
      </c>
      <c r="E231" s="72">
        <f>+_xlfn.XLOOKUP(Tabla6[[#This Row],[NOMBRE]],'RESUMEN CLIENTES'!A:A,'RESUMEN CLIENTES'!X:X)</f>
        <v>1.173913043478261</v>
      </c>
      <c r="F231" s="72">
        <f>+_xlfn.XLOOKUP(Tabla6[[#This Row],[ID CLIENTE]],'RESUMEN CLIENTES'!D:D,'RESUMEN CLIENTES'!W:W)</f>
        <v>1</v>
      </c>
      <c r="G231" s="17">
        <v>45869</v>
      </c>
      <c r="H231" s="44" t="s">
        <v>81</v>
      </c>
      <c r="I231" s="2">
        <v>100</v>
      </c>
      <c r="J231" s="20" t="s">
        <v>581</v>
      </c>
      <c r="K231" t="s">
        <v>582</v>
      </c>
      <c r="L231" s="44" t="str" cm="1">
        <f t="array" ref="L231">+_xlfn.IFS(COUNTIF(INGRESOS!E:E,Tabla6[[#This Row],[ID FACTURA]])=1,"PAGADA",Tabla6[[#This Row],[ID FACTURA]]&lt;&gt;0,"EMITIDA",Tabla6[[#This Row],[ID FACTURA]]=0,"POR EMITIR")</f>
        <v>PAGADA</v>
      </c>
      <c r="M231" s="55">
        <f>+IF(Tabla6[[#This Row],[ESTADO FACTURA]]="PAGADA",Tabla6[[#This Row],[FECHA]]-_xlfn.XLOOKUP(Tabla6[[#This Row],[N° FACTURA]],INGRESOS!F:F,INGRESOS!A:A),"-")</f>
        <v>3</v>
      </c>
      <c r="N231" s="2"/>
      <c r="O231"/>
    </row>
    <row r="232" spans="1:15" ht="14.75" customHeight="1">
      <c r="A232" s="320" t="s">
        <v>171</v>
      </c>
      <c r="B232" t="str">
        <f>+_xlfn.XLOOKUP(Tabla6[[#This Row],[ID CLIENTE]],'RESUMEN CLIENTES'!D:D,'RESUMEN CLIENTES'!A:A)</f>
        <v>Guillermo Alfonso Garvalena Gaxiola</v>
      </c>
      <c r="C232" t="str">
        <f>+_xlfn.XLOOKUP(Tabla6[[#This Row],[ID CLIENTE]],'RESUMEN CLIENTES'!D:D,'RESUMEN CLIENTES'!C:C)</f>
        <v>México</v>
      </c>
      <c r="D232" s="44" t="str">
        <f>+_xlfn.XLOOKUP(Tabla6[[#This Row],[ID CLIENTE]],'RESUMEN CLIENTES'!D:D,'RESUMEN CLIENTES'!M:M)</f>
        <v>OK</v>
      </c>
      <c r="E232" s="72">
        <f>+_xlfn.XLOOKUP(Tabla6[[#This Row],[NOMBRE]],'RESUMEN CLIENTES'!A:A,'RESUMEN CLIENTES'!X:X)</f>
        <v>1.173913043478261</v>
      </c>
      <c r="F232" s="72">
        <f>+_xlfn.XLOOKUP(Tabla6[[#This Row],[ID CLIENTE]],'RESUMEN CLIENTES'!D:D,'RESUMEN CLIENTES'!W:W)</f>
        <v>1</v>
      </c>
      <c r="G232" s="17">
        <v>45869</v>
      </c>
      <c r="H232" s="44" t="s">
        <v>81</v>
      </c>
      <c r="I232" s="2">
        <v>200</v>
      </c>
      <c r="J232" s="20" t="s">
        <v>579</v>
      </c>
      <c r="K232" t="s">
        <v>580</v>
      </c>
      <c r="L232" s="44" t="str" cm="1">
        <f t="array" ref="L232">+_xlfn.IFS(COUNTIF(INGRESOS!E:E,Tabla6[[#This Row],[ID FACTURA]])=1,"PAGADA",Tabla6[[#This Row],[ID FACTURA]]&lt;&gt;0,"EMITIDA",Tabla6[[#This Row],[ID FACTURA]]=0,"POR EMITIR")</f>
        <v>PAGADA</v>
      </c>
      <c r="M232" s="55">
        <f>+IF(Tabla6[[#This Row],[ESTADO FACTURA]]="PAGADA",Tabla6[[#This Row],[FECHA]]-_xlfn.XLOOKUP(Tabla6[[#This Row],[N° FACTURA]],INGRESOS!F:F,INGRESOS!A:A),"-")</f>
        <v>3</v>
      </c>
      <c r="N232" s="2"/>
      <c r="O232"/>
    </row>
    <row r="233" spans="1:15" ht="14.75" customHeight="1">
      <c r="A233" s="320" t="s">
        <v>171</v>
      </c>
      <c r="B233" t="str">
        <f>+_xlfn.XLOOKUP(Tabla6[[#This Row],[ID CLIENTE]],'RESUMEN CLIENTES'!D:D,'RESUMEN CLIENTES'!A:A)</f>
        <v>Guillermo Alfonso Garvalena Gaxiola</v>
      </c>
      <c r="C233" t="str">
        <f>+_xlfn.XLOOKUP(Tabla6[[#This Row],[ID CLIENTE]],'RESUMEN CLIENTES'!D:D,'RESUMEN CLIENTES'!C:C)</f>
        <v>México</v>
      </c>
      <c r="D233" s="44" t="str">
        <f>+_xlfn.XLOOKUP(Tabla6[[#This Row],[ID CLIENTE]],'RESUMEN CLIENTES'!D:D,'RESUMEN CLIENTES'!M:M)</f>
        <v>OK</v>
      </c>
      <c r="E233" s="72">
        <f>+_xlfn.XLOOKUP(Tabla6[[#This Row],[NOMBRE]],'RESUMEN CLIENTES'!A:A,'RESUMEN CLIENTES'!X:X)</f>
        <v>1.173913043478261</v>
      </c>
      <c r="F233" s="72">
        <f>+_xlfn.XLOOKUP(Tabla6[[#This Row],[ID CLIENTE]],'RESUMEN CLIENTES'!D:D,'RESUMEN CLIENTES'!W:W)</f>
        <v>1</v>
      </c>
      <c r="G233" s="17">
        <v>45869</v>
      </c>
      <c r="H233" s="44" t="s">
        <v>81</v>
      </c>
      <c r="I233" s="2">
        <v>700</v>
      </c>
      <c r="J233" s="20" t="s">
        <v>577</v>
      </c>
      <c r="K233" t="s">
        <v>578</v>
      </c>
      <c r="L233" s="44" t="str" cm="1">
        <f t="array" ref="L233">+_xlfn.IFS(COUNTIF(INGRESOS!E:E,Tabla6[[#This Row],[ID FACTURA]])=1,"PAGADA",Tabla6[[#This Row],[ID FACTURA]]&lt;&gt;0,"EMITIDA",Tabla6[[#This Row],[ID FACTURA]]=0,"POR EMITIR")</f>
        <v>PAGADA</v>
      </c>
      <c r="M233" s="55">
        <f>+IF(Tabla6[[#This Row],[ESTADO FACTURA]]="PAGADA",Tabla6[[#This Row],[FECHA]]-_xlfn.XLOOKUP(Tabla6[[#This Row],[N° FACTURA]],INGRESOS!F:F,INGRESOS!A:A),"-")</f>
        <v>3</v>
      </c>
      <c r="N233" s="2"/>
      <c r="O233"/>
    </row>
    <row r="234" spans="1:15" ht="14.75" customHeight="1">
      <c r="A234" s="320" t="s">
        <v>468</v>
      </c>
      <c r="B234" t="str">
        <f>+_xlfn.XLOOKUP(Tabla6[[#This Row],[ID CLIENTE]],'RESUMEN CLIENTES'!D:D,'RESUMEN CLIENTES'!A:A)</f>
        <v>Julian Medina</v>
      </c>
      <c r="C234" t="str">
        <f>+_xlfn.XLOOKUP(Tabla6[[#This Row],[ID CLIENTE]],'RESUMEN CLIENTES'!D:D,'RESUMEN CLIENTES'!C:C)</f>
        <v>Ecuador</v>
      </c>
      <c r="D234" s="44" t="str">
        <f>+_xlfn.XLOOKUP(Tabla6[[#This Row],[ID CLIENTE]],'RESUMEN CLIENTES'!D:D,'RESUMEN CLIENTES'!M:M)</f>
        <v>OK</v>
      </c>
      <c r="E234" s="72">
        <f>+_xlfn.XLOOKUP(Tabla6[[#This Row],[NOMBRE]],'RESUMEN CLIENTES'!A:A,'RESUMEN CLIENTES'!X:X)</f>
        <v>-0.5</v>
      </c>
      <c r="F234" s="72">
        <f>+_xlfn.XLOOKUP(Tabla6[[#This Row],[ID CLIENTE]],'RESUMEN CLIENTES'!D:D,'RESUMEN CLIENTES'!W:W)</f>
        <v>0</v>
      </c>
      <c r="G234" s="17">
        <v>45869</v>
      </c>
      <c r="H234" s="44" t="s">
        <v>81</v>
      </c>
      <c r="I234" s="2">
        <v>1200</v>
      </c>
      <c r="J234" s="20" t="s">
        <v>585</v>
      </c>
      <c r="K234" t="s">
        <v>586</v>
      </c>
      <c r="L234" s="44" t="str" cm="1">
        <f t="array" ref="L234">+_xlfn.IFS(COUNTIF(INGRESOS!E:E,Tabla6[[#This Row],[ID FACTURA]])=1,"PAGADA",Tabla6[[#This Row],[ID FACTURA]]&lt;&gt;0,"EMITIDA",Tabla6[[#This Row],[ID FACTURA]]=0,"POR EMITIR")</f>
        <v>PAGADA</v>
      </c>
      <c r="M234" s="55">
        <f>+IF(Tabla6[[#This Row],[ESTADO FACTURA]]="PAGADA",Tabla6[[#This Row],[FECHA]]-_xlfn.XLOOKUP(Tabla6[[#This Row],[N° FACTURA]],INGRESOS!F:F,INGRESOS!A:A),"-")</f>
        <v>0</v>
      </c>
      <c r="N234" s="2"/>
      <c r="O234"/>
    </row>
    <row r="235" spans="1:15" ht="14.75" customHeight="1">
      <c r="A235" s="320" t="s">
        <v>468</v>
      </c>
      <c r="B235" t="str">
        <f>+_xlfn.XLOOKUP(Tabla6[[#This Row],[ID CLIENTE]],'RESUMEN CLIENTES'!D:D,'RESUMEN CLIENTES'!A:A)</f>
        <v>Julian Medina</v>
      </c>
      <c r="C235" t="str">
        <f>+_xlfn.XLOOKUP(Tabla6[[#This Row],[ID CLIENTE]],'RESUMEN CLIENTES'!D:D,'RESUMEN CLIENTES'!C:C)</f>
        <v>Ecuador</v>
      </c>
      <c r="D235" s="44" t="str">
        <f>+_xlfn.XLOOKUP(Tabla6[[#This Row],[ID CLIENTE]],'RESUMEN CLIENTES'!D:D,'RESUMEN CLIENTES'!M:M)</f>
        <v>OK</v>
      </c>
      <c r="E235" s="72">
        <f>+_xlfn.XLOOKUP(Tabla6[[#This Row],[NOMBRE]],'RESUMEN CLIENTES'!A:A,'RESUMEN CLIENTES'!X:X)</f>
        <v>-0.5</v>
      </c>
      <c r="F235" s="72">
        <f>+_xlfn.XLOOKUP(Tabla6[[#This Row],[ID CLIENTE]],'RESUMEN CLIENTES'!D:D,'RESUMEN CLIENTES'!W:W)</f>
        <v>0</v>
      </c>
      <c r="G235" s="17">
        <v>45869</v>
      </c>
      <c r="H235" s="44" t="s">
        <v>81</v>
      </c>
      <c r="I235" s="2">
        <v>1800</v>
      </c>
      <c r="J235" s="20" t="s">
        <v>583</v>
      </c>
      <c r="K235" t="s">
        <v>584</v>
      </c>
      <c r="L235" s="44" t="str" cm="1">
        <f t="array" ref="L235">+_xlfn.IFS(COUNTIF(INGRESOS!E:E,Tabla6[[#This Row],[ID FACTURA]])=1,"PAGADA",Tabla6[[#This Row],[ID FACTURA]]&lt;&gt;0,"EMITIDA",Tabla6[[#This Row],[ID FACTURA]]=0,"POR EMITIR")</f>
        <v>PAGADA</v>
      </c>
      <c r="M235" s="55">
        <f>+IF(Tabla6[[#This Row],[ESTADO FACTURA]]="PAGADA",Tabla6[[#This Row],[FECHA]]-_xlfn.XLOOKUP(Tabla6[[#This Row],[N° FACTURA]],INGRESOS!F:F,INGRESOS!A:A),"-")</f>
        <v>0</v>
      </c>
      <c r="N235" s="2"/>
      <c r="O235"/>
    </row>
    <row r="236" spans="1:15" ht="14.75" customHeight="1">
      <c r="A236" s="320" t="s">
        <v>587</v>
      </c>
      <c r="B236" t="str">
        <f>+_xlfn.XLOOKUP(Tabla6[[#This Row],[ID CLIENTE]],'RESUMEN CLIENTES'!D:D,'RESUMEN CLIENTES'!A:A)</f>
        <v>Keidwin Perez</v>
      </c>
      <c r="C236" t="str">
        <f>+_xlfn.XLOOKUP(Tabla6[[#This Row],[ID CLIENTE]],'RESUMEN CLIENTES'!D:D,'RESUMEN CLIENTES'!C:C)</f>
        <v>Colombia</v>
      </c>
      <c r="D236" s="44" t="str">
        <f>+_xlfn.XLOOKUP(Tabla6[[#This Row],[ID CLIENTE]],'RESUMEN CLIENTES'!D:D,'RESUMEN CLIENTES'!M:M)</f>
        <v>OK</v>
      </c>
      <c r="E236" s="72">
        <f>+_xlfn.XLOOKUP(Tabla6[[#This Row],[NOMBRE]],'RESUMEN CLIENTES'!A:A,'RESUMEN CLIENTES'!X:X)</f>
        <v>-4.25</v>
      </c>
      <c r="F236" s="72">
        <f>+_xlfn.XLOOKUP(Tabla6[[#This Row],[ID CLIENTE]],'RESUMEN CLIENTES'!D:D,'RESUMEN CLIENTES'!W:W)</f>
        <v>1</v>
      </c>
      <c r="G236" s="17">
        <v>45869</v>
      </c>
      <c r="H236" s="44" t="s">
        <v>81</v>
      </c>
      <c r="I236" s="2">
        <v>250</v>
      </c>
      <c r="J236" s="20" t="s">
        <v>588</v>
      </c>
      <c r="K236" t="s">
        <v>589</v>
      </c>
      <c r="L236" s="44" t="str" cm="1">
        <f t="array" ref="L236">+_xlfn.IFS(COUNTIF(INGRESOS!E:E,Tabla6[[#This Row],[ID FACTURA]])=1,"PAGADA",Tabla6[[#This Row],[ID FACTURA]]&lt;&gt;0,"EMITIDA",Tabla6[[#This Row],[ID FACTURA]]=0,"POR EMITIR")</f>
        <v>PAGADA</v>
      </c>
      <c r="M236" s="55">
        <f>+IF(Tabla6[[#This Row],[ESTADO FACTURA]]="PAGADA",Tabla6[[#This Row],[FECHA]]-_xlfn.XLOOKUP(Tabla6[[#This Row],[N° FACTURA]],INGRESOS!F:F,INGRESOS!A:A),"-")</f>
        <v>0</v>
      </c>
      <c r="N236" s="2"/>
      <c r="O236"/>
    </row>
    <row r="237" spans="1:15" ht="14.75" customHeight="1">
      <c r="A237" s="320" t="s">
        <v>590</v>
      </c>
      <c r="B237" t="str">
        <f>+_xlfn.XLOOKUP(Tabla6[[#This Row],[ID CLIENTE]],'RESUMEN CLIENTES'!D:D,'RESUMEN CLIENTES'!A:A)</f>
        <v>María Lucero de Jesús Barrios Sazo</v>
      </c>
      <c r="C237" t="str">
        <f>+_xlfn.XLOOKUP(Tabla6[[#This Row],[ID CLIENTE]],'RESUMEN CLIENTES'!D:D,'RESUMEN CLIENTES'!C:C)</f>
        <v>Guatemala</v>
      </c>
      <c r="D237" s="44" t="str">
        <f>+_xlfn.XLOOKUP(Tabla6[[#This Row],[ID CLIENTE]],'RESUMEN CLIENTES'!D:D,'RESUMEN CLIENTES'!M:M)</f>
        <v>OK</v>
      </c>
      <c r="E237" s="72">
        <f>+_xlfn.XLOOKUP(Tabla6[[#This Row],[NOMBRE]],'RESUMEN CLIENTES'!A:A,'RESUMEN CLIENTES'!X:X)</f>
        <v>1.25</v>
      </c>
      <c r="F237" s="72">
        <f>+_xlfn.XLOOKUP(Tabla6[[#This Row],[ID CLIENTE]],'RESUMEN CLIENTES'!D:D,'RESUMEN CLIENTES'!W:W)</f>
        <v>0</v>
      </c>
      <c r="G237" s="17">
        <v>45869</v>
      </c>
      <c r="H237" s="44" t="s">
        <v>81</v>
      </c>
      <c r="I237" s="2">
        <v>250</v>
      </c>
      <c r="J237" s="20" t="s">
        <v>591</v>
      </c>
      <c r="K237" t="s">
        <v>592</v>
      </c>
      <c r="L237" s="44" t="str" cm="1">
        <f t="array" ref="L237">+_xlfn.IFS(COUNTIF(INGRESOS!E:E,Tabla6[[#This Row],[ID FACTURA]])=1,"PAGADA",Tabla6[[#This Row],[ID FACTURA]]&lt;&gt;0,"EMITIDA",Tabla6[[#This Row],[ID FACTURA]]=0,"POR EMITIR")</f>
        <v>PAGADA</v>
      </c>
      <c r="M237" s="55">
        <f>+IF(Tabla6[[#This Row],[ESTADO FACTURA]]="PAGADA",Tabla6[[#This Row],[FECHA]]-_xlfn.XLOOKUP(Tabla6[[#This Row],[N° FACTURA]],INGRESOS!F:F,INGRESOS!A:A),"-")</f>
        <v>0</v>
      </c>
      <c r="N237" s="2"/>
      <c r="O237"/>
    </row>
    <row r="238" spans="1:15" ht="14.75" customHeight="1">
      <c r="A238" s="320" t="s">
        <v>314</v>
      </c>
      <c r="B238" t="str">
        <f>+_xlfn.XLOOKUP(Tabla6[[#This Row],[ID CLIENTE]],'RESUMEN CLIENTES'!D:D,'RESUMEN CLIENTES'!A:A)</f>
        <v>Miguel Angel Sisalima Shiña</v>
      </c>
      <c r="C238" t="str">
        <f>+_xlfn.XLOOKUP(Tabla6[[#This Row],[ID CLIENTE]],'RESUMEN CLIENTES'!D:D,'RESUMEN CLIENTES'!C:C)</f>
        <v>Ecuador</v>
      </c>
      <c r="D238" s="44" t="str">
        <f>+_xlfn.XLOOKUP(Tabla6[[#This Row],[ID CLIENTE]],'RESUMEN CLIENTES'!D:D,'RESUMEN CLIENTES'!M:M)</f>
        <v>OK</v>
      </c>
      <c r="E238" s="72">
        <f>+_xlfn.XLOOKUP(Tabla6[[#This Row],[NOMBRE]],'RESUMEN CLIENTES'!A:A,'RESUMEN CLIENTES'!X:X)</f>
        <v>0.6</v>
      </c>
      <c r="F238" s="72">
        <f>+_xlfn.XLOOKUP(Tabla6[[#This Row],[ID CLIENTE]],'RESUMEN CLIENTES'!D:D,'RESUMEN CLIENTES'!W:W)</f>
        <v>0</v>
      </c>
      <c r="G238" s="17">
        <v>45869</v>
      </c>
      <c r="H238" s="44" t="s">
        <v>81</v>
      </c>
      <c r="I238" s="2">
        <v>2000</v>
      </c>
      <c r="J238" s="20" t="s">
        <v>593</v>
      </c>
      <c r="K238" t="s">
        <v>594</v>
      </c>
      <c r="L238" s="44" t="str" cm="1">
        <f t="array" ref="L238">+_xlfn.IFS(COUNTIF(INGRESOS!E:E,Tabla6[[#This Row],[ID FACTURA]])=1,"PAGADA",Tabla6[[#This Row],[ID FACTURA]]&lt;&gt;0,"EMITIDA",Tabla6[[#This Row],[ID FACTURA]]=0,"POR EMITIR")</f>
        <v>PAGADA</v>
      </c>
      <c r="M238" s="55">
        <f>+IF(Tabla6[[#This Row],[ESTADO FACTURA]]="PAGADA",Tabla6[[#This Row],[FECHA]]-_xlfn.XLOOKUP(Tabla6[[#This Row],[N° FACTURA]],INGRESOS!F:F,INGRESOS!A:A),"-")</f>
        <v>0</v>
      </c>
      <c r="N238" s="2"/>
      <c r="O238"/>
    </row>
    <row r="239" spans="1:15" ht="14.75" customHeight="1">
      <c r="A239" s="320" t="s">
        <v>595</v>
      </c>
      <c r="B239" t="str">
        <f>+_xlfn.XLOOKUP(Tabla6[[#This Row],[ID CLIENTE]],'RESUMEN CLIENTES'!D:D,'RESUMEN CLIENTES'!A:A)</f>
        <v>Erick Leonardo Chiriboga Valdiviezo</v>
      </c>
      <c r="C239" t="str">
        <f>+_xlfn.XLOOKUP(Tabla6[[#This Row],[ID CLIENTE]],'RESUMEN CLIENTES'!D:D,'RESUMEN CLIENTES'!C:C)</f>
        <v>Ecuador</v>
      </c>
      <c r="D239" s="44" t="str">
        <f>+_xlfn.XLOOKUP(Tabla6[[#This Row],[ID CLIENTE]],'RESUMEN CLIENTES'!D:D,'RESUMEN CLIENTES'!M:M)</f>
        <v>OK</v>
      </c>
      <c r="E239" s="72">
        <f>+_xlfn.XLOOKUP(Tabla6[[#This Row],[NOMBRE]],'RESUMEN CLIENTES'!A:A,'RESUMEN CLIENTES'!X:X)</f>
        <v>-0.33333333333333331</v>
      </c>
      <c r="F239" s="72">
        <f>+_xlfn.XLOOKUP(Tabla6[[#This Row],[ID CLIENTE]],'RESUMEN CLIENTES'!D:D,'RESUMEN CLIENTES'!W:W)</f>
        <v>0</v>
      </c>
      <c r="G239" s="17">
        <v>45870</v>
      </c>
      <c r="H239" s="44" t="s">
        <v>81</v>
      </c>
      <c r="I239" s="2">
        <v>250</v>
      </c>
      <c r="J239" s="20" t="s">
        <v>596</v>
      </c>
      <c r="K239" t="s">
        <v>597</v>
      </c>
      <c r="L239" s="44" t="str" cm="1">
        <f t="array" ref="L239">+_xlfn.IFS(COUNTIF(INGRESOS!E:E,Tabla6[[#This Row],[ID FACTURA]])=1,"PAGADA",Tabla6[[#This Row],[ID FACTURA]]&lt;&gt;0,"EMITIDA",Tabla6[[#This Row],[ID FACTURA]]=0,"POR EMITIR")</f>
        <v>PAGADA</v>
      </c>
      <c r="M239" s="55">
        <f>+IF(Tabla6[[#This Row],[ESTADO FACTURA]]="PAGADA",Tabla6[[#This Row],[FECHA]]-_xlfn.XLOOKUP(Tabla6[[#This Row],[N° FACTURA]],INGRESOS!F:F,INGRESOS!A:A),"-")</f>
        <v>0</v>
      </c>
      <c r="N239" s="2"/>
      <c r="O239"/>
    </row>
    <row r="240" spans="1:15" ht="14.75" customHeight="1">
      <c r="A240" s="320" t="s">
        <v>106</v>
      </c>
      <c r="B240" t="str">
        <f>+_xlfn.XLOOKUP(Tabla6[[#This Row],[ID CLIENTE]],'RESUMEN CLIENTES'!D:D,'RESUMEN CLIENTES'!A:A)</f>
        <v>Hector Armando Daza Mejia</v>
      </c>
      <c r="C240" t="str">
        <f>+_xlfn.XLOOKUP(Tabla6[[#This Row],[ID CLIENTE]],'RESUMEN CLIENTES'!D:D,'RESUMEN CLIENTES'!C:C)</f>
        <v>Colombia</v>
      </c>
      <c r="D240" s="44" t="str">
        <f>+_xlfn.XLOOKUP(Tabla6[[#This Row],[ID CLIENTE]],'RESUMEN CLIENTES'!D:D,'RESUMEN CLIENTES'!M:M)</f>
        <v>OK</v>
      </c>
      <c r="E240" s="72">
        <f>+_xlfn.XLOOKUP(Tabla6[[#This Row],[NOMBRE]],'RESUMEN CLIENTES'!A:A,'RESUMEN CLIENTES'!X:X)</f>
        <v>1.1111111111111112</v>
      </c>
      <c r="F240" s="72">
        <f>+_xlfn.XLOOKUP(Tabla6[[#This Row],[ID CLIENTE]],'RESUMEN CLIENTES'!D:D,'RESUMEN CLIENTES'!W:W)</f>
        <v>0</v>
      </c>
      <c r="G240" s="17">
        <v>45870</v>
      </c>
      <c r="H240" s="44" t="s">
        <v>81</v>
      </c>
      <c r="I240" s="2">
        <v>2500</v>
      </c>
      <c r="J240" s="20" t="s">
        <v>598</v>
      </c>
      <c r="K240" t="s">
        <v>599</v>
      </c>
      <c r="L240" s="44" t="str" cm="1">
        <f t="array" ref="L240">+_xlfn.IFS(COUNTIF(INGRESOS!E:E,Tabla6[[#This Row],[ID FACTURA]])=1,"PAGADA",Tabla6[[#This Row],[ID FACTURA]]&lt;&gt;0,"EMITIDA",Tabla6[[#This Row],[ID FACTURA]]=0,"POR EMITIR")</f>
        <v>PAGADA</v>
      </c>
      <c r="M240" s="55">
        <f>+IF(Tabla6[[#This Row],[ESTADO FACTURA]]="PAGADA",Tabla6[[#This Row],[FECHA]]-_xlfn.XLOOKUP(Tabla6[[#This Row],[N° FACTURA]],INGRESOS!F:F,INGRESOS!A:A),"-")</f>
        <v>0</v>
      </c>
      <c r="N240" s="2"/>
      <c r="O240"/>
    </row>
    <row r="241" spans="1:15" ht="14.75" customHeight="1">
      <c r="A241" s="320" t="s">
        <v>465</v>
      </c>
      <c r="B241" t="str">
        <f>+_xlfn.XLOOKUP(Tabla6[[#This Row],[ID CLIENTE]],'RESUMEN CLIENTES'!D:D,'RESUMEN CLIENTES'!A:A)</f>
        <v>Freddy Renzo Perez Villafuerte</v>
      </c>
      <c r="C241" t="str">
        <f>+_xlfn.XLOOKUP(Tabla6[[#This Row],[ID CLIENTE]],'RESUMEN CLIENTES'!D:D,'RESUMEN CLIENTES'!C:C)</f>
        <v>Perú</v>
      </c>
      <c r="D241" s="44" t="str">
        <f>+_xlfn.XLOOKUP(Tabla6[[#This Row],[ID CLIENTE]],'RESUMEN CLIENTES'!D:D,'RESUMEN CLIENTES'!M:M)</f>
        <v>ELIMINADO</v>
      </c>
      <c r="E241" s="72">
        <f>+_xlfn.XLOOKUP(Tabla6[[#This Row],[NOMBRE]],'RESUMEN CLIENTES'!A:A,'RESUMEN CLIENTES'!X:X)</f>
        <v>-0.25</v>
      </c>
      <c r="F241" s="72">
        <f>+_xlfn.XLOOKUP(Tabla6[[#This Row],[ID CLIENTE]],'RESUMEN CLIENTES'!D:D,'RESUMEN CLIENTES'!W:W)</f>
        <v>0</v>
      </c>
      <c r="G241" s="17">
        <v>45871</v>
      </c>
      <c r="H241" s="44" t="s">
        <v>81</v>
      </c>
      <c r="I241" s="2">
        <v>3750</v>
      </c>
      <c r="J241" s="20" t="s">
        <v>600</v>
      </c>
      <c r="K241" t="s">
        <v>601</v>
      </c>
      <c r="L241" s="44" t="str" cm="1">
        <f t="array" ref="L241">+_xlfn.IFS(COUNTIF(INGRESOS!E:E,Tabla6[[#This Row],[ID FACTURA]])=1,"PAGADA",Tabla6[[#This Row],[ID FACTURA]]&lt;&gt;0,"EMITIDA",Tabla6[[#This Row],[ID FACTURA]]=0,"POR EMITIR")</f>
        <v>PAGADA</v>
      </c>
      <c r="M241" s="55">
        <f>+IF(Tabla6[[#This Row],[ESTADO FACTURA]]="PAGADA",Tabla6[[#This Row],[FECHA]]-_xlfn.XLOOKUP(Tabla6[[#This Row],[N° FACTURA]],INGRESOS!F:F,INGRESOS!A:A),"-")</f>
        <v>0</v>
      </c>
      <c r="N241" s="2"/>
      <c r="O241"/>
    </row>
    <row r="242" spans="1:15" ht="14.75" customHeight="1">
      <c r="A242" s="320" t="s">
        <v>258</v>
      </c>
      <c r="B242" t="str">
        <f>+_xlfn.XLOOKUP(Tabla6[[#This Row],[ID CLIENTE]],'RESUMEN CLIENTES'!D:D,'RESUMEN CLIENTES'!A:A)</f>
        <v>Maria Laura Rios Pino</v>
      </c>
      <c r="C242" t="str">
        <f>+_xlfn.XLOOKUP(Tabla6[[#This Row],[ID CLIENTE]],'RESUMEN CLIENTES'!D:D,'RESUMEN CLIENTES'!C:C)</f>
        <v>Perú</v>
      </c>
      <c r="D242" s="44" t="str">
        <f>+_xlfn.XLOOKUP(Tabla6[[#This Row],[ID CLIENTE]],'RESUMEN CLIENTES'!D:D,'RESUMEN CLIENTES'!M:M)</f>
        <v>OK</v>
      </c>
      <c r="E242" s="72">
        <f>+_xlfn.XLOOKUP(Tabla6[[#This Row],[NOMBRE]],'RESUMEN CLIENTES'!A:A,'RESUMEN CLIENTES'!X:X)</f>
        <v>1.4545454545454546</v>
      </c>
      <c r="F242" s="72">
        <f>+_xlfn.XLOOKUP(Tabla6[[#This Row],[ID CLIENTE]],'RESUMEN CLIENTES'!D:D,'RESUMEN CLIENTES'!W:W)</f>
        <v>0</v>
      </c>
      <c r="G242" s="17">
        <v>45872</v>
      </c>
      <c r="H242" s="44" t="s">
        <v>81</v>
      </c>
      <c r="I242" s="19">
        <v>1000</v>
      </c>
      <c r="J242" s="20" t="s">
        <v>602</v>
      </c>
      <c r="K242" t="s">
        <v>603</v>
      </c>
      <c r="L242" s="44" t="str" cm="1">
        <f t="array" ref="L242">+_xlfn.IFS(COUNTIF(INGRESOS!E:E,Tabla6[[#This Row],[ID FACTURA]])=1,"PAGADA",Tabla6[[#This Row],[ID FACTURA]]&lt;&gt;0,"EMITIDA",Tabla6[[#This Row],[ID FACTURA]]=0,"POR EMITIR")</f>
        <v>PAGADA</v>
      </c>
      <c r="M242" s="55">
        <f>+IF(Tabla6[[#This Row],[ESTADO FACTURA]]="PAGADA",Tabla6[[#This Row],[FECHA]]-_xlfn.XLOOKUP(Tabla6[[#This Row],[N° FACTURA]],INGRESOS!F:F,INGRESOS!A:A),"-")</f>
        <v>0</v>
      </c>
      <c r="N242" s="19"/>
      <c r="O242"/>
    </row>
    <row r="243" spans="1:15" ht="14.75" customHeight="1">
      <c r="A243" s="320" t="s">
        <v>407</v>
      </c>
      <c r="B243" t="str">
        <f>+_xlfn.XLOOKUP(Tabla6[[#This Row],[ID CLIENTE]],'RESUMEN CLIENTES'!D:D,'RESUMEN CLIENTES'!A:A)</f>
        <v>Mayra Leonor Rivera Paico</v>
      </c>
      <c r="C243" t="str">
        <f>+_xlfn.XLOOKUP(Tabla6[[#This Row],[ID CLIENTE]],'RESUMEN CLIENTES'!D:D,'RESUMEN CLIENTES'!C:C)</f>
        <v>Perú</v>
      </c>
      <c r="D243" s="44" t="str">
        <f>+_xlfn.XLOOKUP(Tabla6[[#This Row],[ID CLIENTE]],'RESUMEN CLIENTES'!D:D,'RESUMEN CLIENTES'!M:M)</f>
        <v>OK</v>
      </c>
      <c r="E243" s="72">
        <f>+_xlfn.XLOOKUP(Tabla6[[#This Row],[NOMBRE]],'RESUMEN CLIENTES'!A:A,'RESUMEN CLIENTES'!X:X)</f>
        <v>-0.22222222222222221</v>
      </c>
      <c r="F243" s="72">
        <f>+_xlfn.XLOOKUP(Tabla6[[#This Row],[ID CLIENTE]],'RESUMEN CLIENTES'!D:D,'RESUMEN CLIENTES'!W:W)</f>
        <v>0</v>
      </c>
      <c r="G243" s="17">
        <v>45873</v>
      </c>
      <c r="H243" s="44" t="s">
        <v>81</v>
      </c>
      <c r="I243" s="2">
        <v>1000</v>
      </c>
      <c r="J243" s="20" t="s">
        <v>604</v>
      </c>
      <c r="K243" t="s">
        <v>605</v>
      </c>
      <c r="L243" s="44" t="str" cm="1">
        <f t="array" ref="L243">+_xlfn.IFS(COUNTIF(INGRESOS!E:E,Tabla6[[#This Row],[ID FACTURA]])=1,"PAGADA",Tabla6[[#This Row],[ID FACTURA]]&lt;&gt;0,"EMITIDA",Tabla6[[#This Row],[ID FACTURA]]=0,"POR EMITIR")</f>
        <v>PAGADA</v>
      </c>
      <c r="M243" s="55">
        <f>+IF(Tabla6[[#This Row],[ESTADO FACTURA]]="PAGADA",Tabla6[[#This Row],[FECHA]]-_xlfn.XLOOKUP(Tabla6[[#This Row],[N° FACTURA]],INGRESOS!F:F,INGRESOS!A:A),"-")</f>
        <v>-3</v>
      </c>
      <c r="N243" s="2"/>
      <c r="O243"/>
    </row>
    <row r="244" spans="1:15" ht="14.75" customHeight="1">
      <c r="A244" s="320" t="s">
        <v>447</v>
      </c>
      <c r="B244" t="str">
        <f>+_xlfn.XLOOKUP(Tabla6[[#This Row],[ID CLIENTE]],'RESUMEN CLIENTES'!D:D,'RESUMEN CLIENTES'!A:A)</f>
        <v>Yefry Onil Santana Marte</v>
      </c>
      <c r="C244" t="str">
        <f>+_xlfn.XLOOKUP(Tabla6[[#This Row],[ID CLIENTE]],'RESUMEN CLIENTES'!D:D,'RESUMEN CLIENTES'!C:C)</f>
        <v>República Dominicana</v>
      </c>
      <c r="D244" s="44" t="str">
        <f>+_xlfn.XLOOKUP(Tabla6[[#This Row],[ID CLIENTE]],'RESUMEN CLIENTES'!D:D,'RESUMEN CLIENTES'!M:M)</f>
        <v>OK</v>
      </c>
      <c r="E244" s="72">
        <f>+_xlfn.XLOOKUP(Tabla6[[#This Row],[NOMBRE]],'RESUMEN CLIENTES'!A:A,'RESUMEN CLIENTES'!X:X)</f>
        <v>-0.90909090909090906</v>
      </c>
      <c r="F244" s="72">
        <f>+_xlfn.XLOOKUP(Tabla6[[#This Row],[ID CLIENTE]],'RESUMEN CLIENTES'!D:D,'RESUMEN CLIENTES'!W:W)</f>
        <v>0</v>
      </c>
      <c r="G244" s="17">
        <v>45873</v>
      </c>
      <c r="H244" s="44" t="s">
        <v>81</v>
      </c>
      <c r="I244" s="2">
        <v>1000</v>
      </c>
      <c r="J244" s="20" t="s">
        <v>606</v>
      </c>
      <c r="K244" t="s">
        <v>607</v>
      </c>
      <c r="L244" s="44" t="str" cm="1">
        <f t="array" ref="L244">+_xlfn.IFS(COUNTIF(INGRESOS!E:E,Tabla6[[#This Row],[ID FACTURA]])=1,"PAGADA",Tabla6[[#This Row],[ID FACTURA]]&lt;&gt;0,"EMITIDA",Tabla6[[#This Row],[ID FACTURA]]=0,"POR EMITIR")</f>
        <v>PAGADA</v>
      </c>
      <c r="M244" s="55">
        <f>+IF(Tabla6[[#This Row],[ESTADO FACTURA]]="PAGADA",Tabla6[[#This Row],[FECHA]]-_xlfn.XLOOKUP(Tabla6[[#This Row],[N° FACTURA]],INGRESOS!F:F,INGRESOS!A:A),"-")</f>
        <v>0</v>
      </c>
      <c r="N244" s="2"/>
      <c r="O244"/>
    </row>
    <row r="245" spans="1:15" ht="14.75" customHeight="1">
      <c r="A245" s="320" t="s">
        <v>165</v>
      </c>
      <c r="B245" t="str">
        <f>+_xlfn.XLOOKUP(Tabla6[[#This Row],[ID CLIENTE]],'RESUMEN CLIENTES'!D:D,'RESUMEN CLIENTES'!A:A)</f>
        <v>Alejandra Leva Vallejo</v>
      </c>
      <c r="C245" t="str">
        <f>+_xlfn.XLOOKUP(Tabla6[[#This Row],[ID CLIENTE]],'RESUMEN CLIENTES'!D:D,'RESUMEN CLIENTES'!C:C)</f>
        <v>México</v>
      </c>
      <c r="D245" s="44" t="str">
        <f>+_xlfn.XLOOKUP(Tabla6[[#This Row],[ID CLIENTE]],'RESUMEN CLIENTES'!D:D,'RESUMEN CLIENTES'!M:M)</f>
        <v>OK</v>
      </c>
      <c r="E245" s="72">
        <f>+_xlfn.XLOOKUP(Tabla6[[#This Row],[NOMBRE]],'RESUMEN CLIENTES'!A:A,'RESUMEN CLIENTES'!X:X)</f>
        <v>0</v>
      </c>
      <c r="F245" s="72">
        <f>+_xlfn.XLOOKUP(Tabla6[[#This Row],[ID CLIENTE]],'RESUMEN CLIENTES'!D:D,'RESUMEN CLIENTES'!W:W)</f>
        <v>1</v>
      </c>
      <c r="G245" s="17">
        <v>45874</v>
      </c>
      <c r="H245" s="44" t="s">
        <v>81</v>
      </c>
      <c r="I245" s="2">
        <v>1000</v>
      </c>
      <c r="J245" s="20" t="s">
        <v>608</v>
      </c>
      <c r="K245" t="s">
        <v>609</v>
      </c>
      <c r="L245" s="44" t="str" cm="1">
        <f t="array" ref="L245">+_xlfn.IFS(COUNTIF(INGRESOS!E:E,Tabla6[[#This Row],[ID FACTURA]])=1,"PAGADA",Tabla6[[#This Row],[ID FACTURA]]&lt;&gt;0,"EMITIDA",Tabla6[[#This Row],[ID FACTURA]]=0,"POR EMITIR")</f>
        <v>PAGADA</v>
      </c>
      <c r="M245" s="55">
        <f>+IF(Tabla6[[#This Row],[ESTADO FACTURA]]="PAGADA",Tabla6[[#This Row],[FECHA]]-_xlfn.XLOOKUP(Tabla6[[#This Row],[N° FACTURA]],INGRESOS!F:F,INGRESOS!A:A),"-")</f>
        <v>0</v>
      </c>
      <c r="N245" s="2"/>
      <c r="O245"/>
    </row>
    <row r="246" spans="1:15" ht="14.75" customHeight="1">
      <c r="A246" s="320" t="s">
        <v>203</v>
      </c>
      <c r="B246" t="str">
        <f>+_xlfn.XLOOKUP(Tabla6[[#This Row],[ID CLIENTE]],'RESUMEN CLIENTES'!D:D,'RESUMEN CLIENTES'!A:A)</f>
        <v>Bernardita Lobo Zegers</v>
      </c>
      <c r="C246" t="str">
        <f>+_xlfn.XLOOKUP(Tabla6[[#This Row],[ID CLIENTE]],'RESUMEN CLIENTES'!D:D,'RESUMEN CLIENTES'!C:C)</f>
        <v>México</v>
      </c>
      <c r="D246" s="44" t="str">
        <f>+_xlfn.XLOOKUP(Tabla6[[#This Row],[ID CLIENTE]],'RESUMEN CLIENTES'!D:D,'RESUMEN CLIENTES'!M:M)</f>
        <v>OK</v>
      </c>
      <c r="E246" s="72">
        <f>+_xlfn.XLOOKUP(Tabla6[[#This Row],[NOMBRE]],'RESUMEN CLIENTES'!A:A,'RESUMEN CLIENTES'!X:X)</f>
        <v>-0.8</v>
      </c>
      <c r="F246" s="72">
        <f>+_xlfn.XLOOKUP(Tabla6[[#This Row],[ID CLIENTE]],'RESUMEN CLIENTES'!D:D,'RESUMEN CLIENTES'!W:W)</f>
        <v>1</v>
      </c>
      <c r="G246" s="17">
        <v>45874</v>
      </c>
      <c r="H246" s="44" t="s">
        <v>81</v>
      </c>
      <c r="I246" s="2">
        <v>1000</v>
      </c>
      <c r="J246" s="20" t="s">
        <v>610</v>
      </c>
      <c r="K246" t="s">
        <v>611</v>
      </c>
      <c r="L246" s="44" t="str" cm="1">
        <f t="array" ref="L246">+_xlfn.IFS(COUNTIF(INGRESOS!E:E,Tabla6[[#This Row],[ID FACTURA]])=1,"PAGADA",Tabla6[[#This Row],[ID FACTURA]]&lt;&gt;0,"EMITIDA",Tabla6[[#This Row],[ID FACTURA]]=0,"POR EMITIR")</f>
        <v>PAGADA</v>
      </c>
      <c r="M246" s="55">
        <f>+IF(Tabla6[[#This Row],[ESTADO FACTURA]]="PAGADA",Tabla6[[#This Row],[FECHA]]-_xlfn.XLOOKUP(Tabla6[[#This Row],[N° FACTURA]],INGRESOS!F:F,INGRESOS!A:A),"-")</f>
        <v>-1</v>
      </c>
      <c r="N246" s="2"/>
      <c r="O246"/>
    </row>
    <row r="247" spans="1:15" ht="14.75" customHeight="1">
      <c r="A247" s="320" t="s">
        <v>184</v>
      </c>
      <c r="B247" t="str">
        <f>+_xlfn.XLOOKUP(Tabla6[[#This Row],[ID CLIENTE]],'RESUMEN CLIENTES'!D:D,'RESUMEN CLIENTES'!A:A)</f>
        <v>Boris Andrés Silva Véliz</v>
      </c>
      <c r="C247" t="str">
        <f>+_xlfn.XLOOKUP(Tabla6[[#This Row],[ID CLIENTE]],'RESUMEN CLIENTES'!D:D,'RESUMEN CLIENTES'!C:C)</f>
        <v>Chile</v>
      </c>
      <c r="D247" s="44" t="str">
        <f>+_xlfn.XLOOKUP(Tabla6[[#This Row],[ID CLIENTE]],'RESUMEN CLIENTES'!D:D,'RESUMEN CLIENTES'!M:M)</f>
        <v>OK</v>
      </c>
      <c r="E247" s="72">
        <f>+_xlfn.XLOOKUP(Tabla6[[#This Row],[NOMBRE]],'RESUMEN CLIENTES'!A:A,'RESUMEN CLIENTES'!X:X)</f>
        <v>2.1111111111111112</v>
      </c>
      <c r="F247" s="72">
        <f>+_xlfn.XLOOKUP(Tabla6[[#This Row],[ID CLIENTE]],'RESUMEN CLIENTES'!D:D,'RESUMEN CLIENTES'!W:W)</f>
        <v>0</v>
      </c>
      <c r="G247" s="17">
        <v>45874</v>
      </c>
      <c r="H247" s="44" t="s">
        <v>81</v>
      </c>
      <c r="I247" s="2">
        <v>435</v>
      </c>
      <c r="J247" s="20" t="s">
        <v>612</v>
      </c>
      <c r="K247" t="s">
        <v>613</v>
      </c>
      <c r="L247" s="44" t="str" cm="1">
        <f t="array" ref="L247">+_xlfn.IFS(COUNTIF(INGRESOS!E:E,Tabla6[[#This Row],[ID FACTURA]])=1,"PAGADA",Tabla6[[#This Row],[ID FACTURA]]&lt;&gt;0,"EMITIDA",Tabla6[[#This Row],[ID FACTURA]]=0,"POR EMITIR")</f>
        <v>PAGADA</v>
      </c>
      <c r="M247" s="55">
        <f>+IF(Tabla6[[#This Row],[ESTADO FACTURA]]="PAGADA",Tabla6[[#This Row],[FECHA]]-_xlfn.XLOOKUP(Tabla6[[#This Row],[N° FACTURA]],INGRESOS!F:F,INGRESOS!A:A),"-")</f>
        <v>1</v>
      </c>
      <c r="N247" s="2"/>
      <c r="O247"/>
    </row>
    <row r="248" spans="1:15" ht="14.75" customHeight="1">
      <c r="A248" s="320" t="s">
        <v>118</v>
      </c>
      <c r="B248" t="str">
        <f>+_xlfn.XLOOKUP(Tabla6[[#This Row],[ID CLIENTE]],'RESUMEN CLIENTES'!D:D,'RESUMEN CLIENTES'!A:A)</f>
        <v>Camila Sanchez Aravena</v>
      </c>
      <c r="C248" t="str">
        <f>+_xlfn.XLOOKUP(Tabla6[[#This Row],[ID CLIENTE]],'RESUMEN CLIENTES'!D:D,'RESUMEN CLIENTES'!C:C)</f>
        <v>Chile</v>
      </c>
      <c r="D248" s="44" t="str">
        <f>+_xlfn.XLOOKUP(Tabla6[[#This Row],[ID CLIENTE]],'RESUMEN CLIENTES'!D:D,'RESUMEN CLIENTES'!M:M)</f>
        <v>OK</v>
      </c>
      <c r="E248" s="72">
        <f>+_xlfn.XLOOKUP(Tabla6[[#This Row],[NOMBRE]],'RESUMEN CLIENTES'!A:A,'RESUMEN CLIENTES'!X:X)</f>
        <v>-1</v>
      </c>
      <c r="F248" s="72">
        <f>+_xlfn.XLOOKUP(Tabla6[[#This Row],[ID CLIENTE]],'RESUMEN CLIENTES'!D:D,'RESUMEN CLIENTES'!W:W)</f>
        <v>1</v>
      </c>
      <c r="G248" s="17">
        <v>45874</v>
      </c>
      <c r="H248" s="44" t="s">
        <v>81</v>
      </c>
      <c r="I248" s="2">
        <v>600</v>
      </c>
      <c r="J248" s="20" t="s">
        <v>614</v>
      </c>
      <c r="K248" t="s">
        <v>615</v>
      </c>
      <c r="L248" s="44" t="str" cm="1">
        <f t="array" ref="L248">+_xlfn.IFS(COUNTIF(INGRESOS!E:E,Tabla6[[#This Row],[ID FACTURA]])=1,"PAGADA",Tabla6[[#This Row],[ID FACTURA]]&lt;&gt;0,"EMITIDA",Tabla6[[#This Row],[ID FACTURA]]=0,"POR EMITIR")</f>
        <v>PAGADA</v>
      </c>
      <c r="M248" s="55">
        <f>+IF(Tabla6[[#This Row],[ESTADO FACTURA]]="PAGADA",Tabla6[[#This Row],[FECHA]]-_xlfn.XLOOKUP(Tabla6[[#This Row],[N° FACTURA]],INGRESOS!F:F,INGRESOS!A:A),"-")</f>
        <v>2</v>
      </c>
      <c r="N248" s="2"/>
      <c r="O248"/>
    </row>
    <row r="249" spans="1:15" ht="14.75" customHeight="1">
      <c r="A249" s="320" t="s">
        <v>168</v>
      </c>
      <c r="B249" t="str">
        <f>+_xlfn.XLOOKUP(Tabla6[[#This Row],[ID CLIENTE]],'RESUMEN CLIENTES'!D:D,'RESUMEN CLIENTES'!A:A)</f>
        <v xml:space="preserve">Catalina Ochoa Urrutia
</v>
      </c>
      <c r="C249" t="str">
        <f>+_xlfn.XLOOKUP(Tabla6[[#This Row],[ID CLIENTE]],'RESUMEN CLIENTES'!D:D,'RESUMEN CLIENTES'!C:C)</f>
        <v>Chile</v>
      </c>
      <c r="D249" s="44" t="str">
        <f>+_xlfn.XLOOKUP(Tabla6[[#This Row],[ID CLIENTE]],'RESUMEN CLIENTES'!D:D,'RESUMEN CLIENTES'!M:M)</f>
        <v>OK</v>
      </c>
      <c r="E249" s="72">
        <f>+_xlfn.XLOOKUP(Tabla6[[#This Row],[NOMBRE]],'RESUMEN CLIENTES'!A:A,'RESUMEN CLIENTES'!X:X)</f>
        <v>0.75</v>
      </c>
      <c r="F249" s="72">
        <f>+_xlfn.XLOOKUP(Tabla6[[#This Row],[ID CLIENTE]],'RESUMEN CLIENTES'!D:D,'RESUMEN CLIENTES'!W:W)</f>
        <v>1</v>
      </c>
      <c r="G249" s="17">
        <v>45874</v>
      </c>
      <c r="H249" s="44" t="s">
        <v>81</v>
      </c>
      <c r="I249" s="2">
        <v>1500</v>
      </c>
      <c r="J249" s="20" t="s">
        <v>616</v>
      </c>
      <c r="K249" t="s">
        <v>617</v>
      </c>
      <c r="L249" s="44" t="str" cm="1">
        <f t="array" ref="L249">+_xlfn.IFS(COUNTIF(INGRESOS!E:E,Tabla6[[#This Row],[ID FACTURA]])=1,"PAGADA",Tabla6[[#This Row],[ID FACTURA]]&lt;&gt;0,"EMITIDA",Tabla6[[#This Row],[ID FACTURA]]=0,"POR EMITIR")</f>
        <v>PAGADA</v>
      </c>
      <c r="M249" s="55">
        <f>+IF(Tabla6[[#This Row],[ESTADO FACTURA]]="PAGADA",Tabla6[[#This Row],[FECHA]]-_xlfn.XLOOKUP(Tabla6[[#This Row],[N° FACTURA]],INGRESOS!F:F,INGRESOS!A:A),"-")</f>
        <v>0</v>
      </c>
      <c r="N249" s="2"/>
      <c r="O249"/>
    </row>
    <row r="250" spans="1:15" ht="14.75" customHeight="1">
      <c r="A250" s="320" t="s">
        <v>194</v>
      </c>
      <c r="B250" t="str">
        <f>+_xlfn.XLOOKUP(Tabla6[[#This Row],[ID CLIENTE]],'RESUMEN CLIENTES'!D:D,'RESUMEN CLIENTES'!A:A)</f>
        <v>Dinorah Gómez Castellanos</v>
      </c>
      <c r="C250" t="str">
        <f>+_xlfn.XLOOKUP(Tabla6[[#This Row],[ID CLIENTE]],'RESUMEN CLIENTES'!D:D,'RESUMEN CLIENTES'!C:C)</f>
        <v>México</v>
      </c>
      <c r="D250" s="44" t="str">
        <f>+_xlfn.XLOOKUP(Tabla6[[#This Row],[ID CLIENTE]],'RESUMEN CLIENTES'!D:D,'RESUMEN CLIENTES'!M:M)</f>
        <v>OK</v>
      </c>
      <c r="E250" s="72">
        <f>+_xlfn.XLOOKUP(Tabla6[[#This Row],[NOMBRE]],'RESUMEN CLIENTES'!A:A,'RESUMEN CLIENTES'!X:X)</f>
        <v>2.75</v>
      </c>
      <c r="F250" s="72">
        <f>+_xlfn.XLOOKUP(Tabla6[[#This Row],[ID CLIENTE]],'RESUMEN CLIENTES'!D:D,'RESUMEN CLIENTES'!W:W)</f>
        <v>0</v>
      </c>
      <c r="G250" s="17">
        <v>45874</v>
      </c>
      <c r="H250" s="44" t="s">
        <v>81</v>
      </c>
      <c r="I250" s="2">
        <v>800</v>
      </c>
      <c r="J250" s="20" t="s">
        <v>618</v>
      </c>
      <c r="K250" t="s">
        <v>619</v>
      </c>
      <c r="L250" s="44" t="str" cm="1">
        <f t="array" ref="L250">+_xlfn.IFS(COUNTIF(INGRESOS!E:E,Tabla6[[#This Row],[ID FACTURA]])=1,"PAGADA",Tabla6[[#This Row],[ID FACTURA]]&lt;&gt;0,"EMITIDA",Tabla6[[#This Row],[ID FACTURA]]=0,"POR EMITIR")</f>
        <v>PAGADA</v>
      </c>
      <c r="M250" s="55">
        <f>+IF(Tabla6[[#This Row],[ESTADO FACTURA]]="PAGADA",Tabla6[[#This Row],[FECHA]]-_xlfn.XLOOKUP(Tabla6[[#This Row],[N° FACTURA]],INGRESOS!F:F,INGRESOS!A:A),"-")</f>
        <v>0</v>
      </c>
      <c r="N250" s="2"/>
      <c r="O250"/>
    </row>
    <row r="251" spans="1:15" ht="14.75" customHeight="1">
      <c r="A251" s="320" t="s">
        <v>171</v>
      </c>
      <c r="B251" t="str">
        <f>+_xlfn.XLOOKUP(Tabla6[[#This Row],[ID CLIENTE]],'RESUMEN CLIENTES'!D:D,'RESUMEN CLIENTES'!A:A)</f>
        <v>Guillermo Alfonso Garvalena Gaxiola</v>
      </c>
      <c r="C251" t="str">
        <f>+_xlfn.XLOOKUP(Tabla6[[#This Row],[ID CLIENTE]],'RESUMEN CLIENTES'!D:D,'RESUMEN CLIENTES'!C:C)</f>
        <v>México</v>
      </c>
      <c r="D251" s="44" t="str">
        <f>+_xlfn.XLOOKUP(Tabla6[[#This Row],[ID CLIENTE]],'RESUMEN CLIENTES'!D:D,'RESUMEN CLIENTES'!M:M)</f>
        <v>OK</v>
      </c>
      <c r="E251" s="72">
        <f>+_xlfn.XLOOKUP(Tabla6[[#This Row],[NOMBRE]],'RESUMEN CLIENTES'!A:A,'RESUMEN CLIENTES'!X:X)</f>
        <v>1.173913043478261</v>
      </c>
      <c r="F251" s="72">
        <f>+_xlfn.XLOOKUP(Tabla6[[#This Row],[ID CLIENTE]],'RESUMEN CLIENTES'!D:D,'RESUMEN CLIENTES'!W:W)</f>
        <v>1</v>
      </c>
      <c r="G251" s="17">
        <v>45874</v>
      </c>
      <c r="H251" s="44" t="s">
        <v>81</v>
      </c>
      <c r="I251" s="2">
        <v>200</v>
      </c>
      <c r="J251" s="20" t="s">
        <v>622</v>
      </c>
      <c r="K251" t="s">
        <v>623</v>
      </c>
      <c r="L251" s="44" t="str" cm="1">
        <f t="array" ref="L251">+_xlfn.IFS(COUNTIF(INGRESOS!E:E,Tabla6[[#This Row],[ID FACTURA]])=1,"PAGADA",Tabla6[[#This Row],[ID FACTURA]]&lt;&gt;0,"EMITIDA",Tabla6[[#This Row],[ID FACTURA]]=0,"POR EMITIR")</f>
        <v>PAGADA</v>
      </c>
      <c r="M251" s="55">
        <f>+IF(Tabla6[[#This Row],[ESTADO FACTURA]]="PAGADA",Tabla6[[#This Row],[FECHA]]-_xlfn.XLOOKUP(Tabla6[[#This Row],[N° FACTURA]],INGRESOS!F:F,INGRESOS!A:A),"-")</f>
        <v>2</v>
      </c>
      <c r="N251" s="2"/>
      <c r="O251"/>
    </row>
    <row r="252" spans="1:15" ht="14.75" customHeight="1">
      <c r="A252" s="320" t="s">
        <v>171</v>
      </c>
      <c r="B252" t="str">
        <f>+_xlfn.XLOOKUP(Tabla6[[#This Row],[ID CLIENTE]],'RESUMEN CLIENTES'!D:D,'RESUMEN CLIENTES'!A:A)</f>
        <v>Guillermo Alfonso Garvalena Gaxiola</v>
      </c>
      <c r="C252" t="str">
        <f>+_xlfn.XLOOKUP(Tabla6[[#This Row],[ID CLIENTE]],'RESUMEN CLIENTES'!D:D,'RESUMEN CLIENTES'!C:C)</f>
        <v>México</v>
      </c>
      <c r="D252" s="44" t="str">
        <f>+_xlfn.XLOOKUP(Tabla6[[#This Row],[ID CLIENTE]],'RESUMEN CLIENTES'!D:D,'RESUMEN CLIENTES'!M:M)</f>
        <v>OK</v>
      </c>
      <c r="E252" s="72">
        <f>+_xlfn.XLOOKUP(Tabla6[[#This Row],[NOMBRE]],'RESUMEN CLIENTES'!A:A,'RESUMEN CLIENTES'!X:X)</f>
        <v>1.173913043478261</v>
      </c>
      <c r="F252" s="72">
        <f>+_xlfn.XLOOKUP(Tabla6[[#This Row],[ID CLIENTE]],'RESUMEN CLIENTES'!D:D,'RESUMEN CLIENTES'!W:W)</f>
        <v>1</v>
      </c>
      <c r="G252" s="17">
        <v>45874</v>
      </c>
      <c r="H252" s="44" t="s">
        <v>81</v>
      </c>
      <c r="I252" s="2">
        <v>500</v>
      </c>
      <c r="J252" s="20" t="s">
        <v>620</v>
      </c>
      <c r="K252" t="s">
        <v>621</v>
      </c>
      <c r="L252" s="44" t="str" cm="1">
        <f t="array" ref="L252">+_xlfn.IFS(COUNTIF(INGRESOS!E:E,Tabla6[[#This Row],[ID FACTURA]])=1,"PAGADA",Tabla6[[#This Row],[ID FACTURA]]&lt;&gt;0,"EMITIDA",Tabla6[[#This Row],[ID FACTURA]]=0,"POR EMITIR")</f>
        <v>PAGADA</v>
      </c>
      <c r="M252" s="55">
        <f>+IF(Tabla6[[#This Row],[ESTADO FACTURA]]="PAGADA",Tabla6[[#This Row],[FECHA]]-_xlfn.XLOOKUP(Tabla6[[#This Row],[N° FACTURA]],INGRESOS!F:F,INGRESOS!A:A),"-")</f>
        <v>2</v>
      </c>
      <c r="N252" s="2"/>
      <c r="O252"/>
    </row>
    <row r="253" spans="1:15" ht="14.75" customHeight="1">
      <c r="A253" s="320" t="s">
        <v>142</v>
      </c>
      <c r="B253" t="str">
        <f>+_xlfn.XLOOKUP(Tabla6[[#This Row],[ID CLIENTE]],'RESUMEN CLIENTES'!D:D,'RESUMEN CLIENTES'!A:A)</f>
        <v>Jordan Eliecer Toledo Bravo</v>
      </c>
      <c r="C253" t="str">
        <f>+_xlfn.XLOOKUP(Tabla6[[#This Row],[ID CLIENTE]],'RESUMEN CLIENTES'!D:D,'RESUMEN CLIENTES'!C:C)</f>
        <v>Chile</v>
      </c>
      <c r="D253" s="44" t="str">
        <f>+_xlfn.XLOOKUP(Tabla6[[#This Row],[ID CLIENTE]],'RESUMEN CLIENTES'!D:D,'RESUMEN CLIENTES'!M:M)</f>
        <v>OK</v>
      </c>
      <c r="E253" s="72">
        <f>+_xlfn.XLOOKUP(Tabla6[[#This Row],[NOMBRE]],'RESUMEN CLIENTES'!A:A,'RESUMEN CLIENTES'!X:X)</f>
        <v>-1.6153846153846154</v>
      </c>
      <c r="F253" s="72">
        <f>+_xlfn.XLOOKUP(Tabla6[[#This Row],[ID CLIENTE]],'RESUMEN CLIENTES'!D:D,'RESUMEN CLIENTES'!W:W)</f>
        <v>0</v>
      </c>
      <c r="G253" s="17">
        <v>45874</v>
      </c>
      <c r="H253" s="44" t="s">
        <v>81</v>
      </c>
      <c r="I253" s="2">
        <v>500</v>
      </c>
      <c r="J253" s="20" t="s">
        <v>624</v>
      </c>
      <c r="K253" t="s">
        <v>625</v>
      </c>
      <c r="L253" s="44" t="str" cm="1">
        <f t="array" ref="L253">+_xlfn.IFS(COUNTIF(INGRESOS!E:E,Tabla6[[#This Row],[ID FACTURA]])=1,"PAGADA",Tabla6[[#This Row],[ID FACTURA]]&lt;&gt;0,"EMITIDA",Tabla6[[#This Row],[ID FACTURA]]=0,"POR EMITIR")</f>
        <v>PAGADA</v>
      </c>
      <c r="M253" s="55">
        <f>+IF(Tabla6[[#This Row],[ESTADO FACTURA]]="PAGADA",Tabla6[[#This Row],[FECHA]]-_xlfn.XLOOKUP(Tabla6[[#This Row],[N° FACTURA]],INGRESOS!F:F,INGRESOS!A:A),"-")</f>
        <v>-1</v>
      </c>
      <c r="N253" s="2"/>
      <c r="O253"/>
    </row>
    <row r="254" spans="1:15" ht="14.75" customHeight="1">
      <c r="A254" s="320" t="s">
        <v>188</v>
      </c>
      <c r="B254" t="str">
        <f>+_xlfn.XLOOKUP(Tabla6[[#This Row],[ID CLIENTE]],'RESUMEN CLIENTES'!D:D,'RESUMEN CLIENTES'!A:A)</f>
        <v>Marco Tulio Negrete Aceves</v>
      </c>
      <c r="C254" t="str">
        <f>+_xlfn.XLOOKUP(Tabla6[[#This Row],[ID CLIENTE]],'RESUMEN CLIENTES'!D:D,'RESUMEN CLIENTES'!C:C)</f>
        <v>México</v>
      </c>
      <c r="D254" s="44" t="str">
        <f>+_xlfn.XLOOKUP(Tabla6[[#This Row],[ID CLIENTE]],'RESUMEN CLIENTES'!D:D,'RESUMEN CLIENTES'!M:M)</f>
        <v>OK</v>
      </c>
      <c r="E254" s="72">
        <f>+_xlfn.XLOOKUP(Tabla6[[#This Row],[NOMBRE]],'RESUMEN CLIENTES'!A:A,'RESUMEN CLIENTES'!X:X)</f>
        <v>2.625</v>
      </c>
      <c r="F254" s="72">
        <f>+_xlfn.XLOOKUP(Tabla6[[#This Row],[ID CLIENTE]],'RESUMEN CLIENTES'!D:D,'RESUMEN CLIENTES'!W:W)</f>
        <v>1</v>
      </c>
      <c r="G254" s="17">
        <v>45874</v>
      </c>
      <c r="H254" s="44" t="s">
        <v>81</v>
      </c>
      <c r="I254" s="2">
        <v>800</v>
      </c>
      <c r="J254" s="20" t="s">
        <v>626</v>
      </c>
      <c r="K254" t="s">
        <v>627</v>
      </c>
      <c r="L254" s="44" t="str" cm="1">
        <f t="array" ref="L254">+_xlfn.IFS(COUNTIF(INGRESOS!E:E,Tabla6[[#This Row],[ID FACTURA]])=1,"PAGADA",Tabla6[[#This Row],[ID FACTURA]]&lt;&gt;0,"EMITIDA",Tabla6[[#This Row],[ID FACTURA]]=0,"POR EMITIR")</f>
        <v>PAGADA</v>
      </c>
      <c r="M254" s="55">
        <f>+IF(Tabla6[[#This Row],[ESTADO FACTURA]]="PAGADA",Tabla6[[#This Row],[FECHA]]-_xlfn.XLOOKUP(Tabla6[[#This Row],[N° FACTURA]],INGRESOS!F:F,INGRESOS!A:A),"-")</f>
        <v>0</v>
      </c>
      <c r="N254" s="2"/>
      <c r="O254"/>
    </row>
    <row r="255" spans="1:15" ht="14.75" customHeight="1">
      <c r="A255" s="320" t="s">
        <v>80</v>
      </c>
      <c r="B255" t="str">
        <f>+_xlfn.XLOOKUP(Tabla6[[#This Row],[ID CLIENTE]],'RESUMEN CLIENTES'!D:D,'RESUMEN CLIENTES'!A:A)</f>
        <v>María Fernanda Alvar Sepúlveda</v>
      </c>
      <c r="C255" t="str">
        <f>+_xlfn.XLOOKUP(Tabla6[[#This Row],[ID CLIENTE]],'RESUMEN CLIENTES'!D:D,'RESUMEN CLIENTES'!C:C)</f>
        <v>Chile</v>
      </c>
      <c r="D255" s="44" t="str">
        <f>+_xlfn.XLOOKUP(Tabla6[[#This Row],[ID CLIENTE]],'RESUMEN CLIENTES'!D:D,'RESUMEN CLIENTES'!M:M)</f>
        <v>OK</v>
      </c>
      <c r="E255" s="72">
        <f>+_xlfn.XLOOKUP(Tabla6[[#This Row],[NOMBRE]],'RESUMEN CLIENTES'!A:A,'RESUMEN CLIENTES'!X:X)</f>
        <v>5</v>
      </c>
      <c r="F255" s="72">
        <f>+_xlfn.XLOOKUP(Tabla6[[#This Row],[ID CLIENTE]],'RESUMEN CLIENTES'!D:D,'RESUMEN CLIENTES'!W:W)</f>
        <v>1</v>
      </c>
      <c r="G255" s="17">
        <v>45874</v>
      </c>
      <c r="H255" s="44" t="s">
        <v>81</v>
      </c>
      <c r="I255" s="2">
        <v>582.52</v>
      </c>
      <c r="J255" s="20" t="s">
        <v>628</v>
      </c>
      <c r="K255" t="s">
        <v>629</v>
      </c>
      <c r="L255" s="44" t="str" cm="1">
        <f t="array" ref="L255">+_xlfn.IFS(COUNTIF(INGRESOS!E:E,Tabla6[[#This Row],[ID FACTURA]])=1,"PAGADA",Tabla6[[#This Row],[ID FACTURA]]&lt;&gt;0,"EMITIDA",Tabla6[[#This Row],[ID FACTURA]]=0,"POR EMITIR")</f>
        <v>PAGADA</v>
      </c>
      <c r="M255" s="55">
        <f>+IF(Tabla6[[#This Row],[ESTADO FACTURA]]="PAGADA",Tabla6[[#This Row],[FECHA]]-_xlfn.XLOOKUP(Tabla6[[#This Row],[N° FACTURA]],INGRESOS!F:F,INGRESOS!A:A),"-")</f>
        <v>0</v>
      </c>
      <c r="N255" s="2"/>
      <c r="O255"/>
    </row>
    <row r="256" spans="1:15" ht="14.75" customHeight="1">
      <c r="A256" s="320" t="s">
        <v>261</v>
      </c>
      <c r="B256" t="str">
        <f>+_xlfn.XLOOKUP(Tabla6[[#This Row],[ID CLIENTE]],'RESUMEN CLIENTES'!D:D,'RESUMEN CLIENTES'!A:A)</f>
        <v>Maryori Elizabeth Ramos Tapia</v>
      </c>
      <c r="C256" t="str">
        <f>+_xlfn.XLOOKUP(Tabla6[[#This Row],[ID CLIENTE]],'RESUMEN CLIENTES'!D:D,'RESUMEN CLIENTES'!C:C)</f>
        <v>Perú</v>
      </c>
      <c r="D256" s="44" t="str">
        <f>+_xlfn.XLOOKUP(Tabla6[[#This Row],[ID CLIENTE]],'RESUMEN CLIENTES'!D:D,'RESUMEN CLIENTES'!M:M)</f>
        <v>OK</v>
      </c>
      <c r="E256" s="72">
        <f>+_xlfn.XLOOKUP(Tabla6[[#This Row],[NOMBRE]],'RESUMEN CLIENTES'!A:A,'RESUMEN CLIENTES'!X:X)</f>
        <v>-0.88425925925952875</v>
      </c>
      <c r="F256" s="72">
        <f>+_xlfn.XLOOKUP(Tabla6[[#This Row],[ID CLIENTE]],'RESUMEN CLIENTES'!D:D,'RESUMEN CLIENTES'!W:W)</f>
        <v>1</v>
      </c>
      <c r="G256" s="17">
        <v>45874</v>
      </c>
      <c r="H256" s="44" t="s">
        <v>81</v>
      </c>
      <c r="I256" s="2">
        <v>1750</v>
      </c>
      <c r="J256" s="20" t="s">
        <v>630</v>
      </c>
      <c r="K256" t="s">
        <v>631</v>
      </c>
      <c r="L256" s="44" t="str" cm="1">
        <f t="array" ref="L256">+_xlfn.IFS(COUNTIF(INGRESOS!E:E,Tabla6[[#This Row],[ID FACTURA]])=1,"PAGADA",Tabla6[[#This Row],[ID FACTURA]]&lt;&gt;0,"EMITIDA",Tabla6[[#This Row],[ID FACTURA]]=0,"POR EMITIR")</f>
        <v>PAGADA</v>
      </c>
      <c r="M256" s="55">
        <f>+IF(Tabla6[[#This Row],[ESTADO FACTURA]]="PAGADA",Tabla6[[#This Row],[FECHA]]-_xlfn.XLOOKUP(Tabla6[[#This Row],[N° FACTURA]],INGRESOS!F:F,INGRESOS!A:A),"-")</f>
        <v>-2</v>
      </c>
      <c r="N256" s="2"/>
      <c r="O256"/>
    </row>
    <row r="257" spans="1:15" ht="14.75" customHeight="1">
      <c r="A257" s="320" t="s">
        <v>129</v>
      </c>
      <c r="B257" t="str">
        <f>+_xlfn.XLOOKUP(Tabla6[[#This Row],[ID CLIENTE]],'RESUMEN CLIENTES'!D:D,'RESUMEN CLIENTES'!A:A)</f>
        <v>Moira Millaray Schneider Rivera</v>
      </c>
      <c r="C257" t="str">
        <f>+_xlfn.XLOOKUP(Tabla6[[#This Row],[ID CLIENTE]],'RESUMEN CLIENTES'!D:D,'RESUMEN CLIENTES'!C:C)</f>
        <v>Chile</v>
      </c>
      <c r="D257" s="44" t="str">
        <f>+_xlfn.XLOOKUP(Tabla6[[#This Row],[ID CLIENTE]],'RESUMEN CLIENTES'!D:D,'RESUMEN CLIENTES'!M:M)</f>
        <v>OK</v>
      </c>
      <c r="E257" s="72">
        <f>+_xlfn.XLOOKUP(Tabla6[[#This Row],[NOMBRE]],'RESUMEN CLIENTES'!A:A,'RESUMEN CLIENTES'!X:X)</f>
        <v>0</v>
      </c>
      <c r="F257" s="72">
        <f>+_xlfn.XLOOKUP(Tabla6[[#This Row],[ID CLIENTE]],'RESUMEN CLIENTES'!D:D,'RESUMEN CLIENTES'!W:W)</f>
        <v>1</v>
      </c>
      <c r="G257" s="17">
        <v>45874</v>
      </c>
      <c r="H257" s="44" t="s">
        <v>81</v>
      </c>
      <c r="I257" s="2">
        <v>1000</v>
      </c>
      <c r="J257" s="20" t="s">
        <v>632</v>
      </c>
      <c r="K257" t="s">
        <v>633</v>
      </c>
      <c r="L257" s="44" t="str" cm="1">
        <f t="array" ref="L257">+_xlfn.IFS(COUNTIF(INGRESOS!E:E,Tabla6[[#This Row],[ID FACTURA]])=1,"PAGADA",Tabla6[[#This Row],[ID FACTURA]]&lt;&gt;0,"EMITIDA",Tabla6[[#This Row],[ID FACTURA]]=0,"POR EMITIR")</f>
        <v>PAGADA</v>
      </c>
      <c r="M257" s="55">
        <f>+IF(Tabla6[[#This Row],[ESTADO FACTURA]]="PAGADA",Tabla6[[#This Row],[FECHA]]-_xlfn.XLOOKUP(Tabla6[[#This Row],[N° FACTURA]],INGRESOS!F:F,INGRESOS!A:A),"-")</f>
        <v>-1</v>
      </c>
      <c r="N257" s="2"/>
      <c r="O257"/>
    </row>
    <row r="258" spans="1:15" ht="14.75" customHeight="1">
      <c r="A258" s="320" t="s">
        <v>159</v>
      </c>
      <c r="B258" t="str">
        <f>+_xlfn.XLOOKUP(Tabla6[[#This Row],[ID CLIENTE]],'RESUMEN CLIENTES'!D:D,'RESUMEN CLIENTES'!A:A)</f>
        <v>Rodrigo Rivera Ruiz</v>
      </c>
      <c r="C258" t="str">
        <f>+_xlfn.XLOOKUP(Tabla6[[#This Row],[ID CLIENTE]],'RESUMEN CLIENTES'!D:D,'RESUMEN CLIENTES'!C:C)</f>
        <v>Chile</v>
      </c>
      <c r="D258" s="44" t="str">
        <f>+_xlfn.XLOOKUP(Tabla6[[#This Row],[ID CLIENTE]],'RESUMEN CLIENTES'!D:D,'RESUMEN CLIENTES'!M:M)</f>
        <v>OK</v>
      </c>
      <c r="E258" s="72">
        <f>+_xlfn.XLOOKUP(Tabla6[[#This Row],[NOMBRE]],'RESUMEN CLIENTES'!A:A,'RESUMEN CLIENTES'!X:X)</f>
        <v>0.8</v>
      </c>
      <c r="F258" s="72">
        <f>+_xlfn.XLOOKUP(Tabla6[[#This Row],[ID CLIENTE]],'RESUMEN CLIENTES'!D:D,'RESUMEN CLIENTES'!W:W)</f>
        <v>1</v>
      </c>
      <c r="G258" s="17">
        <v>45874</v>
      </c>
      <c r="H258" s="44" t="s">
        <v>81</v>
      </c>
      <c r="I258" s="2">
        <v>1500</v>
      </c>
      <c r="J258" s="20" t="s">
        <v>634</v>
      </c>
      <c r="K258" t="s">
        <v>635</v>
      </c>
      <c r="L258" s="44" t="str" cm="1">
        <f t="array" ref="L258">+_xlfn.IFS(COUNTIF(INGRESOS!E:E,Tabla6[[#This Row],[ID FACTURA]])=1,"PAGADA",Tabla6[[#This Row],[ID FACTURA]]&lt;&gt;0,"EMITIDA",Tabla6[[#This Row],[ID FACTURA]]=0,"POR EMITIR")</f>
        <v>PAGADA</v>
      </c>
      <c r="M258" s="55">
        <f>+IF(Tabla6[[#This Row],[ESTADO FACTURA]]="PAGADA",Tabla6[[#This Row],[FECHA]]-_xlfn.XLOOKUP(Tabla6[[#This Row],[N° FACTURA]],INGRESOS!F:F,INGRESOS!A:A),"-")</f>
        <v>-1</v>
      </c>
      <c r="N258" s="2"/>
      <c r="O258"/>
    </row>
    <row r="259" spans="1:15" ht="14.75" customHeight="1">
      <c r="A259" s="320" t="s">
        <v>281</v>
      </c>
      <c r="B259" t="str">
        <f>+_xlfn.XLOOKUP(Tabla6[[#This Row],[ID CLIENTE]],'RESUMEN CLIENTES'!D:D,'RESUMEN CLIENTES'!A:A)</f>
        <v>Sergio Francisco Garcia Sandoval</v>
      </c>
      <c r="C259" t="str">
        <f>+_xlfn.XLOOKUP(Tabla6[[#This Row],[ID CLIENTE]],'RESUMEN CLIENTES'!D:D,'RESUMEN CLIENTES'!C:C)</f>
        <v>Perú</v>
      </c>
      <c r="D259" s="44" t="str">
        <f>+_xlfn.XLOOKUP(Tabla6[[#This Row],[ID CLIENTE]],'RESUMEN CLIENTES'!D:D,'RESUMEN CLIENTES'!M:M)</f>
        <v>OK</v>
      </c>
      <c r="E259" s="72">
        <f>+_xlfn.XLOOKUP(Tabla6[[#This Row],[NOMBRE]],'RESUMEN CLIENTES'!A:A,'RESUMEN CLIENTES'!X:X)</f>
        <v>0.88888888888888884</v>
      </c>
      <c r="F259" s="72">
        <f>+_xlfn.XLOOKUP(Tabla6[[#This Row],[ID CLIENTE]],'RESUMEN CLIENTES'!D:D,'RESUMEN CLIENTES'!W:W)</f>
        <v>1</v>
      </c>
      <c r="G259" s="17">
        <v>45874</v>
      </c>
      <c r="H259" s="44" t="s">
        <v>81</v>
      </c>
      <c r="I259" s="2">
        <v>350</v>
      </c>
      <c r="J259" s="20" t="s">
        <v>636</v>
      </c>
      <c r="K259" t="s">
        <v>637</v>
      </c>
      <c r="L259" s="44" t="str" cm="1">
        <f t="array" ref="L259">+_xlfn.IFS(COUNTIF(INGRESOS!E:E,Tabla6[[#This Row],[ID FACTURA]])=1,"PAGADA",Tabla6[[#This Row],[ID FACTURA]]&lt;&gt;0,"EMITIDA",Tabla6[[#This Row],[ID FACTURA]]=0,"POR EMITIR")</f>
        <v>PAGADA</v>
      </c>
      <c r="M259" s="55">
        <f>+IF(Tabla6[[#This Row],[ESTADO FACTURA]]="PAGADA",Tabla6[[#This Row],[FECHA]]-_xlfn.XLOOKUP(Tabla6[[#This Row],[N° FACTURA]],INGRESOS!F:F,INGRESOS!A:A),"-")</f>
        <v>1</v>
      </c>
      <c r="N259" s="2"/>
      <c r="O259"/>
    </row>
    <row r="260" spans="1:15" ht="14.75" customHeight="1">
      <c r="A260" s="320" t="s">
        <v>178</v>
      </c>
      <c r="B260" t="str">
        <f>+_xlfn.XLOOKUP(Tabla6[[#This Row],[ID CLIENTE]],'RESUMEN CLIENTES'!D:D,'RESUMEN CLIENTES'!A:A)</f>
        <v>Sven Sigurd Biedermann Aberg</v>
      </c>
      <c r="C260" t="str">
        <f>+_xlfn.XLOOKUP(Tabla6[[#This Row],[ID CLIENTE]],'RESUMEN CLIENTES'!D:D,'RESUMEN CLIENTES'!C:C)</f>
        <v>Chile</v>
      </c>
      <c r="D260" s="44" t="str">
        <f>+_xlfn.XLOOKUP(Tabla6[[#This Row],[ID CLIENTE]],'RESUMEN CLIENTES'!D:D,'RESUMEN CLIENTES'!M:M)</f>
        <v>OK</v>
      </c>
      <c r="E260" s="72">
        <f>+_xlfn.XLOOKUP(Tabla6[[#This Row],[NOMBRE]],'RESUMEN CLIENTES'!A:A,'RESUMEN CLIENTES'!X:X)</f>
        <v>-0.33333333333333331</v>
      </c>
      <c r="F260" s="72">
        <f>+_xlfn.XLOOKUP(Tabla6[[#This Row],[ID CLIENTE]],'RESUMEN CLIENTES'!D:D,'RESUMEN CLIENTES'!W:W)</f>
        <v>0</v>
      </c>
      <c r="G260" s="17">
        <v>45874</v>
      </c>
      <c r="H260" s="44" t="s">
        <v>81</v>
      </c>
      <c r="I260" s="2">
        <v>3000</v>
      </c>
      <c r="J260" s="20" t="s">
        <v>638</v>
      </c>
      <c r="K260" t="s">
        <v>639</v>
      </c>
      <c r="L260" s="44" t="str" cm="1">
        <f t="array" ref="L260">+_xlfn.IFS(COUNTIF(INGRESOS!E:E,Tabla6[[#This Row],[ID FACTURA]])=1,"PAGADA",Tabla6[[#This Row],[ID FACTURA]]&lt;&gt;0,"EMITIDA",Tabla6[[#This Row],[ID FACTURA]]=0,"POR EMITIR")</f>
        <v>PAGADA</v>
      </c>
      <c r="M260" s="55">
        <f>+IF(Tabla6[[#This Row],[ESTADO FACTURA]]="PAGADA",Tabla6[[#This Row],[FECHA]]-_xlfn.XLOOKUP(Tabla6[[#This Row],[N° FACTURA]],INGRESOS!F:F,INGRESOS!A:A),"-")</f>
        <v>-1</v>
      </c>
      <c r="N260" s="2"/>
      <c r="O260"/>
    </row>
    <row r="261" spans="1:15" ht="14.75" customHeight="1">
      <c r="A261" s="320" t="s">
        <v>112</v>
      </c>
      <c r="B261" t="str">
        <f>+_xlfn.XLOOKUP(Tabla6[[#This Row],[ID CLIENTE]],'RESUMEN CLIENTES'!D:D,'RESUMEN CLIENTES'!A:A)</f>
        <v>Victor Emanuel Hernández Ruíz</v>
      </c>
      <c r="C261" t="str">
        <f>+_xlfn.XLOOKUP(Tabla6[[#This Row],[ID CLIENTE]],'RESUMEN CLIENTES'!D:D,'RESUMEN CLIENTES'!C:C)</f>
        <v>México</v>
      </c>
      <c r="D261" s="44" t="str">
        <f>+_xlfn.XLOOKUP(Tabla6[[#This Row],[ID CLIENTE]],'RESUMEN CLIENTES'!D:D,'RESUMEN CLIENTES'!M:M)</f>
        <v>OK</v>
      </c>
      <c r="E261" s="72">
        <f>+_xlfn.XLOOKUP(Tabla6[[#This Row],[NOMBRE]],'RESUMEN CLIENTES'!A:A,'RESUMEN CLIENTES'!X:X)</f>
        <v>-1.2727272727272727</v>
      </c>
      <c r="F261" s="72">
        <f>+_xlfn.XLOOKUP(Tabla6[[#This Row],[ID CLIENTE]],'RESUMEN CLIENTES'!D:D,'RESUMEN CLIENTES'!W:W)</f>
        <v>1</v>
      </c>
      <c r="G261" s="17">
        <v>45874</v>
      </c>
      <c r="H261" s="44" t="s">
        <v>81</v>
      </c>
      <c r="I261" s="2">
        <v>1000</v>
      </c>
      <c r="J261" s="20" t="s">
        <v>640</v>
      </c>
      <c r="K261" t="s">
        <v>641</v>
      </c>
      <c r="L261" s="44" t="str" cm="1">
        <f t="array" ref="L261">+_xlfn.IFS(COUNTIF(INGRESOS!E:E,Tabla6[[#This Row],[ID FACTURA]])=1,"PAGADA",Tabla6[[#This Row],[ID FACTURA]]&lt;&gt;0,"EMITIDA",Tabla6[[#This Row],[ID FACTURA]]=0,"POR EMITIR")</f>
        <v>PAGADA</v>
      </c>
      <c r="M261" s="55">
        <f>+IF(Tabla6[[#This Row],[ESTADO FACTURA]]="PAGADA",Tabla6[[#This Row],[FECHA]]-_xlfn.XLOOKUP(Tabla6[[#This Row],[N° FACTURA]],INGRESOS!F:F,INGRESOS!A:A),"-")</f>
        <v>-1</v>
      </c>
      <c r="N261" s="2"/>
      <c r="O261"/>
    </row>
    <row r="262" spans="1:15" ht="14.75" customHeight="1">
      <c r="A262" s="320" t="s">
        <v>484</v>
      </c>
      <c r="B262" t="str">
        <f>+_xlfn.XLOOKUP(Tabla6[[#This Row],[ID CLIENTE]],'RESUMEN CLIENTES'!D:D,'RESUMEN CLIENTES'!A:A)</f>
        <v>Liliana Alejandra Gruezo Pérez</v>
      </c>
      <c r="C262" t="str">
        <f>+_xlfn.XLOOKUP(Tabla6[[#This Row],[ID CLIENTE]],'RESUMEN CLIENTES'!D:D,'RESUMEN CLIENTES'!C:C)</f>
        <v>Ecuador</v>
      </c>
      <c r="D262" s="44" t="str">
        <f>+_xlfn.XLOOKUP(Tabla6[[#This Row],[ID CLIENTE]],'RESUMEN CLIENTES'!D:D,'RESUMEN CLIENTES'!M:M)</f>
        <v>¡REGULARIZAR!</v>
      </c>
      <c r="E262" s="72">
        <f>+_xlfn.XLOOKUP(Tabla6[[#This Row],[NOMBRE]],'RESUMEN CLIENTES'!A:A,'RESUMEN CLIENTES'!X:X)</f>
        <v>-2.2857142857142856</v>
      </c>
      <c r="F262" s="72">
        <f>+_xlfn.XLOOKUP(Tabla6[[#This Row],[ID CLIENTE]],'RESUMEN CLIENTES'!D:D,'RESUMEN CLIENTES'!W:W)</f>
        <v>1</v>
      </c>
      <c r="G262" s="17">
        <v>45875</v>
      </c>
      <c r="H262" s="44" t="s">
        <v>81</v>
      </c>
      <c r="I262" s="2">
        <v>500</v>
      </c>
      <c r="J262" s="20" t="s">
        <v>642</v>
      </c>
      <c r="K262" t="s">
        <v>643</v>
      </c>
      <c r="L262" s="44" t="str" cm="1">
        <f t="array" ref="L262">+_xlfn.IFS(COUNTIF(INGRESOS!E:E,Tabla6[[#This Row],[ID FACTURA]])=1,"PAGADA",Tabla6[[#This Row],[ID FACTURA]]&lt;&gt;0,"EMITIDA",Tabla6[[#This Row],[ID FACTURA]]=0,"POR EMITIR")</f>
        <v>PAGADA</v>
      </c>
      <c r="M262" s="55">
        <f>+IF(Tabla6[[#This Row],[ESTADO FACTURA]]="PAGADA",Tabla6[[#This Row],[FECHA]]-_xlfn.XLOOKUP(Tabla6[[#This Row],[N° FACTURA]],INGRESOS!F:F,INGRESOS!A:A),"-")</f>
        <v>0</v>
      </c>
      <c r="N262" s="2"/>
      <c r="O262" t="s">
        <v>644</v>
      </c>
    </row>
    <row r="263" spans="1:15" ht="14.75" customHeight="1">
      <c r="A263" s="320" t="s">
        <v>278</v>
      </c>
      <c r="B263" t="str">
        <f>+_xlfn.XLOOKUP(Tabla6[[#This Row],[ID CLIENTE]],'RESUMEN CLIENTES'!D:D,'RESUMEN CLIENTES'!A:A)</f>
        <v>Liliana María Moreno Martinez</v>
      </c>
      <c r="C263" t="str">
        <f>+_xlfn.XLOOKUP(Tabla6[[#This Row],[ID CLIENTE]],'RESUMEN CLIENTES'!D:D,'RESUMEN CLIENTES'!C:C)</f>
        <v>El Salvador</v>
      </c>
      <c r="D263" s="44" t="str">
        <f>+_xlfn.XLOOKUP(Tabla6[[#This Row],[ID CLIENTE]],'RESUMEN CLIENTES'!D:D,'RESUMEN CLIENTES'!M:M)</f>
        <v>ELIMINADO</v>
      </c>
      <c r="E263" s="72">
        <f>+_xlfn.XLOOKUP(Tabla6[[#This Row],[NOMBRE]],'RESUMEN CLIENTES'!A:A,'RESUMEN CLIENTES'!X:X)</f>
        <v>-1.4444444444444444</v>
      </c>
      <c r="F263" s="72">
        <f>+_xlfn.XLOOKUP(Tabla6[[#This Row],[ID CLIENTE]],'RESUMEN CLIENTES'!D:D,'RESUMEN CLIENTES'!W:W)</f>
        <v>0</v>
      </c>
      <c r="G263" s="17">
        <v>45876</v>
      </c>
      <c r="H263" s="44" t="s">
        <v>81</v>
      </c>
      <c r="I263" s="2">
        <v>500</v>
      </c>
      <c r="J263" s="20" t="s">
        <v>645</v>
      </c>
      <c r="K263" t="s">
        <v>646</v>
      </c>
      <c r="L263" s="44" t="str" cm="1">
        <f t="array" ref="L263">+_xlfn.IFS(COUNTIF(INGRESOS!E:E,Tabla6[[#This Row],[ID FACTURA]])=1,"PAGADA",Tabla6[[#This Row],[ID FACTURA]]&lt;&gt;0,"EMITIDA",Tabla6[[#This Row],[ID FACTURA]]=0,"POR EMITIR")</f>
        <v>PAGADA</v>
      </c>
      <c r="M263" s="55">
        <f>+IF(Tabla6[[#This Row],[ESTADO FACTURA]]="PAGADA",Tabla6[[#This Row],[FECHA]]-_xlfn.XLOOKUP(Tabla6[[#This Row],[N° FACTURA]],INGRESOS!F:F,INGRESOS!A:A),"-")</f>
        <v>-3</v>
      </c>
      <c r="N263" s="2"/>
      <c r="O263"/>
    </row>
    <row r="264" spans="1:15" ht="14.75" customHeight="1">
      <c r="A264" s="320" t="s">
        <v>253</v>
      </c>
      <c r="B264" t="str">
        <f>+_xlfn.XLOOKUP(Tabla6[[#This Row],[ID CLIENTE]],'RESUMEN CLIENTES'!D:D,'RESUMEN CLIENTES'!A:A)</f>
        <v>Diego Alonso Salazar Palacios</v>
      </c>
      <c r="C264" t="str">
        <f>+_xlfn.XLOOKUP(Tabla6[[#This Row],[ID CLIENTE]],'RESUMEN CLIENTES'!D:D,'RESUMEN CLIENTES'!C:C)</f>
        <v>Perú</v>
      </c>
      <c r="D264" s="44" t="str">
        <f>+_xlfn.XLOOKUP(Tabla6[[#This Row],[ID CLIENTE]],'RESUMEN CLIENTES'!D:D,'RESUMEN CLIENTES'!M:M)</f>
        <v>OK</v>
      </c>
      <c r="E264" s="72">
        <f>+_xlfn.XLOOKUP(Tabla6[[#This Row],[NOMBRE]],'RESUMEN CLIENTES'!A:A,'RESUMEN CLIENTES'!X:X)</f>
        <v>0.18560606059988707</v>
      </c>
      <c r="F264" s="72">
        <f>+_xlfn.XLOOKUP(Tabla6[[#This Row],[ID CLIENTE]],'RESUMEN CLIENTES'!D:D,'RESUMEN CLIENTES'!W:W)</f>
        <v>1</v>
      </c>
      <c r="G264" s="17">
        <v>45877</v>
      </c>
      <c r="H264" s="44" t="s">
        <v>81</v>
      </c>
      <c r="I264" s="2">
        <v>1000</v>
      </c>
      <c r="J264" s="20" t="s">
        <v>647</v>
      </c>
      <c r="K264" t="s">
        <v>648</v>
      </c>
      <c r="L264" s="44" t="str" cm="1">
        <f t="array" ref="L264">+_xlfn.IFS(COUNTIF(INGRESOS!E:E,Tabla6[[#This Row],[ID FACTURA]])=1,"PAGADA",Tabla6[[#This Row],[ID FACTURA]]&lt;&gt;0,"EMITIDA",Tabla6[[#This Row],[ID FACTURA]]=0,"POR EMITIR")</f>
        <v>PAGADA</v>
      </c>
      <c r="M264" s="55">
        <f>+IF(Tabla6[[#This Row],[ESTADO FACTURA]]="PAGADA",Tabla6[[#This Row],[FECHA]]-_xlfn.XLOOKUP(Tabla6[[#This Row],[N° FACTURA]],INGRESOS!F:F,INGRESOS!A:A),"-")</f>
        <v>-1</v>
      </c>
      <c r="N264" s="2"/>
      <c r="O264"/>
    </row>
    <row r="265" spans="1:15" ht="14.75" customHeight="1">
      <c r="A265" s="320" t="s">
        <v>816</v>
      </c>
      <c r="B265" t="str">
        <f>+_xlfn.XLOOKUP(Tabla6[[#This Row],[ID CLIENTE]],'RESUMEN CLIENTES'!D:D,'RESUMEN CLIENTES'!A:A)</f>
        <v>Nataly Elizabeth Elias Berrios</v>
      </c>
      <c r="C265" s="15" t="str">
        <f>+_xlfn.XLOOKUP(Tabla6[[#This Row],[ID CLIENTE]],'RESUMEN CLIENTES'!D:D,'RESUMEN CLIENTES'!C:C)</f>
        <v>Bolivia</v>
      </c>
      <c r="D265" s="169" t="str">
        <f>+_xlfn.XLOOKUP(Tabla6[[#This Row],[ID CLIENTE]],'RESUMEN CLIENTES'!D:D,'RESUMEN CLIENTES'!M:M)</f>
        <v>¡REGULARIZAR!</v>
      </c>
      <c r="E265" s="71">
        <f>+_xlfn.XLOOKUP(Tabla6[[#This Row],[NOMBRE]],'RESUMEN CLIENTES'!A:A,'RESUMEN CLIENTES'!X:X)</f>
        <v>0</v>
      </c>
      <c r="F265" s="71">
        <f>+_xlfn.XLOOKUP(Tabla6[[#This Row],[ID CLIENTE]],'RESUMEN CLIENTES'!D:D,'RESUMEN CLIENTES'!W:W)</f>
        <v>0</v>
      </c>
      <c r="G265" s="17">
        <v>45877</v>
      </c>
      <c r="H265" s="169" t="s">
        <v>81</v>
      </c>
      <c r="I265" s="2">
        <v>40</v>
      </c>
      <c r="J265" s="20" t="s">
        <v>2618</v>
      </c>
      <c r="K265" t="s">
        <v>2619</v>
      </c>
      <c r="L265" s="44" t="str" cm="1">
        <f t="array" ref="L265">+_xlfn.IFS(COUNTIF(INGRESOS!E:E,Tabla6[[#This Row],[ID FACTURA]])=1,"PAGADA",Tabla6[[#This Row],[ID FACTURA]]&lt;&gt;0,"EMITIDA",Tabla6[[#This Row],[ID FACTURA]]=0,"POR EMITIR")</f>
        <v>PAGADA</v>
      </c>
      <c r="M265" s="54">
        <f>+IF(Tabla6[[#This Row],[ESTADO FACTURA]]="PAGADA",Tabla6[[#This Row],[FECHA]]-_xlfn.XLOOKUP(Tabla6[[#This Row],[N° FACTURA]],INGRESOS!F:F,INGRESOS!A:A),"-")</f>
        <v>0</v>
      </c>
      <c r="O265"/>
    </row>
    <row r="266" spans="1:15" ht="14.75" customHeight="1">
      <c r="A266" s="320" t="s">
        <v>816</v>
      </c>
      <c r="B266" t="str">
        <f>+_xlfn.XLOOKUP(Tabla6[[#This Row],[ID CLIENTE]],'RESUMEN CLIENTES'!D:D,'RESUMEN CLIENTES'!A:A)</f>
        <v>Nataly Elizabeth Elias Berrios</v>
      </c>
      <c r="C266" s="15" t="str">
        <f>+_xlfn.XLOOKUP(Tabla6[[#This Row],[ID CLIENTE]],'RESUMEN CLIENTES'!D:D,'RESUMEN CLIENTES'!C:C)</f>
        <v>Bolivia</v>
      </c>
      <c r="D266" s="169" t="str">
        <f>+_xlfn.XLOOKUP(Tabla6[[#This Row],[ID CLIENTE]],'RESUMEN CLIENTES'!D:D,'RESUMEN CLIENTES'!M:M)</f>
        <v>¡REGULARIZAR!</v>
      </c>
      <c r="E266" s="71">
        <f>+_xlfn.XLOOKUP(Tabla6[[#This Row],[NOMBRE]],'RESUMEN CLIENTES'!A:A,'RESUMEN CLIENTES'!X:X)</f>
        <v>0</v>
      </c>
      <c r="F266" s="71">
        <f>+_xlfn.XLOOKUP(Tabla6[[#This Row],[ID CLIENTE]],'RESUMEN CLIENTES'!D:D,'RESUMEN CLIENTES'!W:W)</f>
        <v>0</v>
      </c>
      <c r="G266" s="17">
        <v>45877</v>
      </c>
      <c r="H266" s="169" t="s">
        <v>81</v>
      </c>
      <c r="I266" s="2">
        <v>1000</v>
      </c>
      <c r="J266" s="20" t="s">
        <v>2616</v>
      </c>
      <c r="K266" t="s">
        <v>2617</v>
      </c>
      <c r="L266" s="44" t="str" cm="1">
        <f t="array" ref="L266">+_xlfn.IFS(COUNTIF(INGRESOS!E:E,Tabla6[[#This Row],[ID FACTURA]])=1,"PAGADA",Tabla6[[#This Row],[ID FACTURA]]&lt;&gt;0,"EMITIDA",Tabla6[[#This Row],[ID FACTURA]]=0,"POR EMITIR")</f>
        <v>PAGADA</v>
      </c>
      <c r="M266" s="54">
        <f>+IF(Tabla6[[#This Row],[ESTADO FACTURA]]="PAGADA",Tabla6[[#This Row],[FECHA]]-_xlfn.XLOOKUP(Tabla6[[#This Row],[N° FACTURA]],INGRESOS!F:F,INGRESOS!A:A),"-")</f>
        <v>0</v>
      </c>
      <c r="O266"/>
    </row>
    <row r="267" spans="1:15" ht="14.75" customHeight="1">
      <c r="A267" s="320" t="s">
        <v>816</v>
      </c>
      <c r="B267" t="str">
        <f>+_xlfn.XLOOKUP(Tabla6[[#This Row],[ID CLIENTE]],'RESUMEN CLIENTES'!D:D,'RESUMEN CLIENTES'!A:A)</f>
        <v>Nataly Elizabeth Elias Berrios</v>
      </c>
      <c r="C267" s="15" t="str">
        <f>+_xlfn.XLOOKUP(Tabla6[[#This Row],[ID CLIENTE]],'RESUMEN CLIENTES'!D:D,'RESUMEN CLIENTES'!C:C)</f>
        <v>Bolivia</v>
      </c>
      <c r="D267" s="169" t="str">
        <f>+_xlfn.XLOOKUP(Tabla6[[#This Row],[ID CLIENTE]],'RESUMEN CLIENTES'!D:D,'RESUMEN CLIENTES'!M:M)</f>
        <v>¡REGULARIZAR!</v>
      </c>
      <c r="E267" s="71">
        <f>+_xlfn.XLOOKUP(Tabla6[[#This Row],[NOMBRE]],'RESUMEN CLIENTES'!A:A,'RESUMEN CLIENTES'!X:X)</f>
        <v>0</v>
      </c>
      <c r="F267" s="71">
        <f>+_xlfn.XLOOKUP(Tabla6[[#This Row],[ID CLIENTE]],'RESUMEN CLIENTES'!D:D,'RESUMEN CLIENTES'!W:W)</f>
        <v>0</v>
      </c>
      <c r="G267" s="17">
        <v>45878</v>
      </c>
      <c r="H267" s="169" t="s">
        <v>81</v>
      </c>
      <c r="I267" s="2">
        <v>40</v>
      </c>
      <c r="J267" s="20" t="s">
        <v>2620</v>
      </c>
      <c r="K267" t="s">
        <v>2621</v>
      </c>
      <c r="L267" s="44" t="str" cm="1">
        <f t="array" ref="L267">+_xlfn.IFS(COUNTIF(INGRESOS!E:E,Tabla6[[#This Row],[ID FACTURA]])=1,"PAGADA",Tabla6[[#This Row],[ID FACTURA]]&lt;&gt;0,"EMITIDA",Tabla6[[#This Row],[ID FACTURA]]=0,"POR EMITIR")</f>
        <v>PAGADA</v>
      </c>
      <c r="M267" s="54">
        <f>+IF(Tabla6[[#This Row],[ESTADO FACTURA]]="PAGADA",Tabla6[[#This Row],[FECHA]]-_xlfn.XLOOKUP(Tabla6[[#This Row],[N° FACTURA]],INGRESOS!F:F,INGRESOS!A:A),"-")</f>
        <v>0</v>
      </c>
      <c r="O267"/>
    </row>
    <row r="268" spans="1:15" ht="14.75" customHeight="1">
      <c r="A268" s="320" t="s">
        <v>274</v>
      </c>
      <c r="B268" t="str">
        <f>+_xlfn.XLOOKUP(Tabla6[[#This Row],[ID CLIENTE]],'RESUMEN CLIENTES'!D:D,'RESUMEN CLIENTES'!A:A)</f>
        <v>María de los Ángeles Gutiérrez Quevedo</v>
      </c>
      <c r="C268" t="str">
        <f>+_xlfn.XLOOKUP(Tabla6[[#This Row],[ID CLIENTE]],'RESUMEN CLIENTES'!D:D,'RESUMEN CLIENTES'!C:C)</f>
        <v>Chile</v>
      </c>
      <c r="D268" s="44" t="str">
        <f>+_xlfn.XLOOKUP(Tabla6[[#This Row],[ID CLIENTE]],'RESUMEN CLIENTES'!D:D,'RESUMEN CLIENTES'!M:M)</f>
        <v>OK</v>
      </c>
      <c r="E268" s="72">
        <f>+_xlfn.XLOOKUP(Tabla6[[#This Row],[NOMBRE]],'RESUMEN CLIENTES'!A:A,'RESUMEN CLIENTES'!X:X)</f>
        <v>0.22222222222222221</v>
      </c>
      <c r="F268" s="72">
        <f>+_xlfn.XLOOKUP(Tabla6[[#This Row],[ID CLIENTE]],'RESUMEN CLIENTES'!D:D,'RESUMEN CLIENTES'!W:W)</f>
        <v>1</v>
      </c>
      <c r="G268" s="17">
        <v>45879</v>
      </c>
      <c r="H268" s="44" t="s">
        <v>81</v>
      </c>
      <c r="I268" s="2">
        <v>1500</v>
      </c>
      <c r="J268" s="20" t="s">
        <v>649</v>
      </c>
      <c r="K268" t="s">
        <v>650</v>
      </c>
      <c r="L268" s="44" t="str" cm="1">
        <f t="array" ref="L268">+_xlfn.IFS(COUNTIF(INGRESOS!E:E,Tabla6[[#This Row],[ID FACTURA]])=1,"PAGADA",Tabla6[[#This Row],[ID FACTURA]]&lt;&gt;0,"EMITIDA",Tabla6[[#This Row],[ID FACTURA]]=0,"POR EMITIR")</f>
        <v>PAGADA</v>
      </c>
      <c r="M268" s="55">
        <f>+IF(Tabla6[[#This Row],[ESTADO FACTURA]]="PAGADA",Tabla6[[#This Row],[FECHA]]-_xlfn.XLOOKUP(Tabla6[[#This Row],[N° FACTURA]],INGRESOS!F:F,INGRESOS!A:A),"-")</f>
        <v>0</v>
      </c>
      <c r="N268" s="2"/>
      <c r="O268"/>
    </row>
    <row r="269" spans="1:15" ht="14.75" customHeight="1">
      <c r="A269" s="320" t="s">
        <v>455</v>
      </c>
      <c r="B269" t="str">
        <f>+_xlfn.XLOOKUP(Tabla6[[#This Row],[ID CLIENTE]],'RESUMEN CLIENTES'!D:D,'RESUMEN CLIENTES'!A:A)</f>
        <v>Paola Hitos</v>
      </c>
      <c r="C269" t="str">
        <f>+_xlfn.XLOOKUP(Tabla6[[#This Row],[ID CLIENTE]],'RESUMEN CLIENTES'!D:D,'RESUMEN CLIENTES'!C:C)</f>
        <v>México</v>
      </c>
      <c r="D269" s="44" t="str">
        <f>+_xlfn.XLOOKUP(Tabla6[[#This Row],[ID CLIENTE]],'RESUMEN CLIENTES'!D:D,'RESUMEN CLIENTES'!M:M)</f>
        <v>OK</v>
      </c>
      <c r="E269" s="72">
        <f>+_xlfn.XLOOKUP(Tabla6[[#This Row],[NOMBRE]],'RESUMEN CLIENTES'!A:A,'RESUMEN CLIENTES'!X:X)</f>
        <v>-0.55555555555555558</v>
      </c>
      <c r="F269" s="72">
        <f>+_xlfn.XLOOKUP(Tabla6[[#This Row],[ID CLIENTE]],'RESUMEN CLIENTES'!D:D,'RESUMEN CLIENTES'!W:W)</f>
        <v>1</v>
      </c>
      <c r="G269" s="17">
        <v>45879</v>
      </c>
      <c r="H269" s="44" t="s">
        <v>81</v>
      </c>
      <c r="I269" s="2">
        <v>1750</v>
      </c>
      <c r="J269" s="20" t="s">
        <v>651</v>
      </c>
      <c r="K269" t="s">
        <v>652</v>
      </c>
      <c r="L269" s="44" t="str" cm="1">
        <f t="array" ref="L269">+_xlfn.IFS(COUNTIF(INGRESOS!E:E,Tabla6[[#This Row],[ID FACTURA]])=1,"PAGADA",Tabla6[[#This Row],[ID FACTURA]]&lt;&gt;0,"EMITIDA",Tabla6[[#This Row],[ID FACTURA]]=0,"POR EMITIR")</f>
        <v>PAGADA</v>
      </c>
      <c r="M269" s="55">
        <f>+IF(Tabla6[[#This Row],[ESTADO FACTURA]]="PAGADA",Tabla6[[#This Row],[FECHA]]-_xlfn.XLOOKUP(Tabla6[[#This Row],[N° FACTURA]],INGRESOS!F:F,INGRESOS!A:A),"-")</f>
        <v>-8</v>
      </c>
      <c r="N269" s="2"/>
      <c r="O269" s="8"/>
    </row>
    <row r="270" spans="1:15" ht="14.75" customHeight="1">
      <c r="A270" s="320" t="s">
        <v>275</v>
      </c>
      <c r="B270" t="str">
        <f>+_xlfn.XLOOKUP(Tabla6[[#This Row],[ID CLIENTE]],'RESUMEN CLIENTES'!D:D,'RESUMEN CLIENTES'!A:A)</f>
        <v>Rodrigo Alfonso Busse Hernández</v>
      </c>
      <c r="C270" t="str">
        <f>+_xlfn.XLOOKUP(Tabla6[[#This Row],[ID CLIENTE]],'RESUMEN CLIENTES'!D:D,'RESUMEN CLIENTES'!C:C)</f>
        <v>Chile</v>
      </c>
      <c r="D270" s="44" t="str">
        <f>+_xlfn.XLOOKUP(Tabla6[[#This Row],[ID CLIENTE]],'RESUMEN CLIENTES'!D:D,'RESUMEN CLIENTES'!M:M)</f>
        <v>OK</v>
      </c>
      <c r="E270" s="72">
        <f>+_xlfn.XLOOKUP(Tabla6[[#This Row],[NOMBRE]],'RESUMEN CLIENTES'!A:A,'RESUMEN CLIENTES'!X:X)</f>
        <v>0.33333333333333331</v>
      </c>
      <c r="F270" s="72">
        <f>+_xlfn.XLOOKUP(Tabla6[[#This Row],[ID CLIENTE]],'RESUMEN CLIENTES'!D:D,'RESUMEN CLIENTES'!W:W)</f>
        <v>1</v>
      </c>
      <c r="G270" s="17">
        <v>45879</v>
      </c>
      <c r="H270" s="44" t="s">
        <v>81</v>
      </c>
      <c r="I270" s="2">
        <v>1111</v>
      </c>
      <c r="J270" s="20" t="s">
        <v>653</v>
      </c>
      <c r="K270" t="s">
        <v>654</v>
      </c>
      <c r="L270" s="44" t="str" cm="1">
        <f t="array" ref="L270">+_xlfn.IFS(COUNTIF(INGRESOS!E:E,Tabla6[[#This Row],[ID FACTURA]])=1,"PAGADA",Tabla6[[#This Row],[ID FACTURA]]&lt;&gt;0,"EMITIDA",Tabla6[[#This Row],[ID FACTURA]]=0,"POR EMITIR")</f>
        <v>PAGADA</v>
      </c>
      <c r="M270" s="55">
        <f>+IF(Tabla6[[#This Row],[ESTADO FACTURA]]="PAGADA",Tabla6[[#This Row],[FECHA]]-_xlfn.XLOOKUP(Tabla6[[#This Row],[N° FACTURA]],INGRESOS!F:F,INGRESOS!A:A),"-")</f>
        <v>0</v>
      </c>
      <c r="N270" s="2"/>
      <c r="O270"/>
    </row>
    <row r="271" spans="1:15" ht="14.75" customHeight="1">
      <c r="A271" s="320" t="s">
        <v>538</v>
      </c>
      <c r="B271" t="str">
        <f>+_xlfn.XLOOKUP(Tabla6[[#This Row],[ID CLIENTE]],'RESUMEN CLIENTES'!D:D,'RESUMEN CLIENTES'!A:A)</f>
        <v>Yaritza Soledad Martinez Rodriguez</v>
      </c>
      <c r="C271" t="str">
        <f>+_xlfn.XLOOKUP(Tabla6[[#This Row],[ID CLIENTE]],'RESUMEN CLIENTES'!D:D,'RESUMEN CLIENTES'!C:C)</f>
        <v>Argentina</v>
      </c>
      <c r="D271" s="44" t="str">
        <f>+_xlfn.XLOOKUP(Tabla6[[#This Row],[ID CLIENTE]],'RESUMEN CLIENTES'!D:D,'RESUMEN CLIENTES'!M:M)</f>
        <v>OK</v>
      </c>
      <c r="E271" s="72">
        <f>+_xlfn.XLOOKUP(Tabla6[[#This Row],[NOMBRE]],'RESUMEN CLIENTES'!A:A,'RESUMEN CLIENTES'!X:X)</f>
        <v>-0.25</v>
      </c>
      <c r="F271" s="72">
        <f>+_xlfn.XLOOKUP(Tabla6[[#This Row],[ID CLIENTE]],'RESUMEN CLIENTES'!D:D,'RESUMEN CLIENTES'!W:W)</f>
        <v>0</v>
      </c>
      <c r="G271" s="17">
        <v>45880</v>
      </c>
      <c r="H271" s="44" t="s">
        <v>81</v>
      </c>
      <c r="I271" s="2">
        <v>700</v>
      </c>
      <c r="J271" s="20" t="s">
        <v>657</v>
      </c>
      <c r="K271" t="s">
        <v>658</v>
      </c>
      <c r="L271" s="44" t="str" cm="1">
        <f t="array" ref="L271">+_xlfn.IFS(COUNTIF(INGRESOS!E:E,Tabla6[[#This Row],[ID FACTURA]])=1,"PAGADA",Tabla6[[#This Row],[ID FACTURA]]&lt;&gt;0,"EMITIDA",Tabla6[[#This Row],[ID FACTURA]]=0,"POR EMITIR")</f>
        <v>PAGADA</v>
      </c>
      <c r="M271" s="55">
        <f>+IF(Tabla6[[#This Row],[ESTADO FACTURA]]="PAGADA",Tabla6[[#This Row],[FECHA]]-_xlfn.XLOOKUP(Tabla6[[#This Row],[N° FACTURA]],INGRESOS!F:F,INGRESOS!A:A),"-")</f>
        <v>0</v>
      </c>
      <c r="N271" s="2"/>
      <c r="O271"/>
    </row>
    <row r="272" spans="1:15" ht="14.75" customHeight="1">
      <c r="A272" s="320" t="s">
        <v>538</v>
      </c>
      <c r="B272" t="str">
        <f>+_xlfn.XLOOKUP(Tabla6[[#This Row],[ID CLIENTE]],'RESUMEN CLIENTES'!D:D,'RESUMEN CLIENTES'!A:A)</f>
        <v>Yaritza Soledad Martinez Rodriguez</v>
      </c>
      <c r="C272" t="str">
        <f>+_xlfn.XLOOKUP(Tabla6[[#This Row],[ID CLIENTE]],'RESUMEN CLIENTES'!D:D,'RESUMEN CLIENTES'!C:C)</f>
        <v>Argentina</v>
      </c>
      <c r="D272" s="44" t="str">
        <f>+_xlfn.XLOOKUP(Tabla6[[#This Row],[ID CLIENTE]],'RESUMEN CLIENTES'!D:D,'RESUMEN CLIENTES'!M:M)</f>
        <v>OK</v>
      </c>
      <c r="E272" s="72">
        <f>+_xlfn.XLOOKUP(Tabla6[[#This Row],[NOMBRE]],'RESUMEN CLIENTES'!A:A,'RESUMEN CLIENTES'!X:X)</f>
        <v>-0.25</v>
      </c>
      <c r="F272" s="72">
        <f>+_xlfn.XLOOKUP(Tabla6[[#This Row],[ID CLIENTE]],'RESUMEN CLIENTES'!D:D,'RESUMEN CLIENTES'!W:W)</f>
        <v>0</v>
      </c>
      <c r="G272" s="17">
        <v>45880</v>
      </c>
      <c r="H272" s="44" t="s">
        <v>81</v>
      </c>
      <c r="I272" s="2">
        <v>4300</v>
      </c>
      <c r="J272" s="20" t="s">
        <v>655</v>
      </c>
      <c r="K272" s="27" t="s">
        <v>656</v>
      </c>
      <c r="L272" s="44" t="str" cm="1">
        <f t="array" ref="L272">+_xlfn.IFS(COUNTIF(INGRESOS!E:E,Tabla6[[#This Row],[ID FACTURA]])=1,"PAGADA",Tabla6[[#This Row],[ID FACTURA]]&lt;&gt;0,"EMITIDA",Tabla6[[#This Row],[ID FACTURA]]=0,"POR EMITIR")</f>
        <v>PAGADA</v>
      </c>
      <c r="M272" s="55">
        <f>+IF(Tabla6[[#This Row],[ESTADO FACTURA]]="PAGADA",Tabla6[[#This Row],[FECHA]]-_xlfn.XLOOKUP(Tabla6[[#This Row],[N° FACTURA]],INGRESOS!F:F,INGRESOS!A:A),"-")</f>
        <v>0</v>
      </c>
      <c r="N272" s="2"/>
      <c r="O272"/>
    </row>
    <row r="273" spans="1:15" ht="14.75" customHeight="1">
      <c r="A273" s="320" t="s">
        <v>538</v>
      </c>
      <c r="B273" t="str">
        <f>+_xlfn.XLOOKUP(Tabla6[[#This Row],[ID CLIENTE]],'RESUMEN CLIENTES'!D:D,'RESUMEN CLIENTES'!A:A)</f>
        <v>Yaritza Soledad Martinez Rodriguez</v>
      </c>
      <c r="C273" t="str">
        <f>+_xlfn.XLOOKUP(Tabla6[[#This Row],[ID CLIENTE]],'RESUMEN CLIENTES'!D:D,'RESUMEN CLIENTES'!C:C)</f>
        <v>Argentina</v>
      </c>
      <c r="D273" s="44" t="str">
        <f>+_xlfn.XLOOKUP(Tabla6[[#This Row],[ID CLIENTE]],'RESUMEN CLIENTES'!D:D,'RESUMEN CLIENTES'!M:M)</f>
        <v>OK</v>
      </c>
      <c r="E273" s="72">
        <f>+_xlfn.XLOOKUP(Tabla6[[#This Row],[NOMBRE]],'RESUMEN CLIENTES'!A:A,'RESUMEN CLIENTES'!X:X)</f>
        <v>-0.25</v>
      </c>
      <c r="F273" s="72">
        <f>+_xlfn.XLOOKUP(Tabla6[[#This Row],[ID CLIENTE]],'RESUMEN CLIENTES'!D:D,'RESUMEN CLIENTES'!W:W)</f>
        <v>0</v>
      </c>
      <c r="G273" s="17">
        <v>45880</v>
      </c>
      <c r="H273" s="44" t="s">
        <v>81</v>
      </c>
      <c r="I273" s="2">
        <v>9950</v>
      </c>
      <c r="J273" s="20" t="s">
        <v>659</v>
      </c>
      <c r="K273" s="27" t="s">
        <v>660</v>
      </c>
      <c r="L273" s="44" t="str" cm="1">
        <f t="array" ref="L273">+_xlfn.IFS(COUNTIF(INGRESOS!E:E,Tabla6[[#This Row],[ID FACTURA]])=1,"PAGADA",Tabla6[[#This Row],[ID FACTURA]]&lt;&gt;0,"EMITIDA",Tabla6[[#This Row],[ID FACTURA]]=0,"POR EMITIR")</f>
        <v>PAGADA</v>
      </c>
      <c r="M273" s="55">
        <f>+IF(Tabla6[[#This Row],[ESTADO FACTURA]]="PAGADA",Tabla6[[#This Row],[FECHA]]-_xlfn.XLOOKUP(Tabla6[[#This Row],[N° FACTURA]],INGRESOS!F:F,INGRESOS!A:A),"-")</f>
        <v>-1</v>
      </c>
      <c r="N273" s="2"/>
      <c r="O273"/>
    </row>
    <row r="274" spans="1:15" ht="14.75" customHeight="1">
      <c r="A274" s="320" t="s">
        <v>325</v>
      </c>
      <c r="B274" t="str">
        <f>+_xlfn.XLOOKUP(Tabla6[[#This Row],[ID CLIENTE]],'RESUMEN CLIENTES'!D:D,'RESUMEN CLIENTES'!A:A)</f>
        <v>Andrea Cristina Estrada Morocho</v>
      </c>
      <c r="C274" t="str">
        <f>+_xlfn.XLOOKUP(Tabla6[[#This Row],[ID CLIENTE]],'RESUMEN CLIENTES'!D:D,'RESUMEN CLIENTES'!C:C)</f>
        <v>Ecuador</v>
      </c>
      <c r="D274" s="44" t="str">
        <f>+_xlfn.XLOOKUP(Tabla6[[#This Row],[ID CLIENTE]],'RESUMEN CLIENTES'!D:D,'RESUMEN CLIENTES'!M:M)</f>
        <v>OK</v>
      </c>
      <c r="E274" s="72">
        <f>+_xlfn.XLOOKUP(Tabla6[[#This Row],[NOMBRE]],'RESUMEN CLIENTES'!A:A,'RESUMEN CLIENTES'!X:X)</f>
        <v>-3.6666666666666665</v>
      </c>
      <c r="F274" s="72">
        <f>+_xlfn.XLOOKUP(Tabla6[[#This Row],[ID CLIENTE]],'RESUMEN CLIENTES'!D:D,'RESUMEN CLIENTES'!W:W)</f>
        <v>1</v>
      </c>
      <c r="G274" s="17">
        <v>45881</v>
      </c>
      <c r="H274" s="44" t="s">
        <v>81</v>
      </c>
      <c r="I274" s="2">
        <v>500</v>
      </c>
      <c r="J274" s="20" t="s">
        <v>661</v>
      </c>
      <c r="K274" t="s">
        <v>662</v>
      </c>
      <c r="L274" s="44" t="str" cm="1">
        <f t="array" ref="L274">+_xlfn.IFS(COUNTIF(INGRESOS!E:E,Tabla6[[#This Row],[ID FACTURA]])=1,"PAGADA",Tabla6[[#This Row],[ID FACTURA]]&lt;&gt;0,"EMITIDA",Tabla6[[#This Row],[ID FACTURA]]=0,"POR EMITIR")</f>
        <v>PAGADA</v>
      </c>
      <c r="M274" s="55">
        <f>+IF(Tabla6[[#This Row],[ESTADO FACTURA]]="PAGADA",Tabla6[[#This Row],[FECHA]]-_xlfn.XLOOKUP(Tabla6[[#This Row],[N° FACTURA]],INGRESOS!F:F,INGRESOS!A:A),"-")</f>
        <v>-6</v>
      </c>
      <c r="N274" s="2"/>
      <c r="O274"/>
    </row>
    <row r="275" spans="1:15" ht="14.75" customHeight="1">
      <c r="A275" s="320" t="s">
        <v>501</v>
      </c>
      <c r="B275" t="str">
        <f>+_xlfn.XLOOKUP(Tabla6[[#This Row],[ID CLIENTE]],'RESUMEN CLIENTES'!D:D,'RESUMEN CLIENTES'!A:A)</f>
        <v>Kimberly Chantelle Frey Arteaga</v>
      </c>
      <c r="C275" t="str">
        <f>+_xlfn.XLOOKUP(Tabla6[[#This Row],[ID CLIENTE]],'RESUMEN CLIENTES'!D:D,'RESUMEN CLIENTES'!C:C)</f>
        <v>México</v>
      </c>
      <c r="D275" s="44" t="str">
        <f>+_xlfn.XLOOKUP(Tabla6[[#This Row],[ID CLIENTE]],'RESUMEN CLIENTES'!D:D,'RESUMEN CLIENTES'!M:M)</f>
        <v>OK</v>
      </c>
      <c r="E275" s="72">
        <f>+_xlfn.XLOOKUP(Tabla6[[#This Row],[NOMBRE]],'RESUMEN CLIENTES'!A:A,'RESUMEN CLIENTES'!X:X)</f>
        <v>0</v>
      </c>
      <c r="F275" s="72">
        <f>+_xlfn.XLOOKUP(Tabla6[[#This Row],[ID CLIENTE]],'RESUMEN CLIENTES'!D:D,'RESUMEN CLIENTES'!W:W)</f>
        <v>1</v>
      </c>
      <c r="G275" s="17">
        <v>45881</v>
      </c>
      <c r="H275" s="44" t="s">
        <v>81</v>
      </c>
      <c r="I275" s="2">
        <v>3750</v>
      </c>
      <c r="J275" s="20" t="s">
        <v>663</v>
      </c>
      <c r="K275" t="s">
        <v>664</v>
      </c>
      <c r="L275" s="44" t="str" cm="1">
        <f t="array" ref="L275">+_xlfn.IFS(COUNTIF(INGRESOS!E:E,Tabla6[[#This Row],[ID FACTURA]])=1,"PAGADA",Tabla6[[#This Row],[ID FACTURA]]&lt;&gt;0,"EMITIDA",Tabla6[[#This Row],[ID FACTURA]]=0,"POR EMITIR")</f>
        <v>PAGADA</v>
      </c>
      <c r="M275" s="55">
        <f>+IF(Tabla6[[#This Row],[ESTADO FACTURA]]="PAGADA",Tabla6[[#This Row],[FECHA]]-_xlfn.XLOOKUP(Tabla6[[#This Row],[N° FACTURA]],INGRESOS!F:F,INGRESOS!A:A),"-")</f>
        <v>0</v>
      </c>
      <c r="N275" s="2"/>
      <c r="O275"/>
    </row>
    <row r="276" spans="1:15" ht="14.75" customHeight="1">
      <c r="A276" s="320" t="s">
        <v>484</v>
      </c>
      <c r="B276" t="str">
        <f>+_xlfn.XLOOKUP(Tabla6[[#This Row],[ID CLIENTE]],'RESUMEN CLIENTES'!D:D,'RESUMEN CLIENTES'!A:A)</f>
        <v>Liliana Alejandra Gruezo Pérez</v>
      </c>
      <c r="C276" t="str">
        <f>+_xlfn.XLOOKUP(Tabla6[[#This Row],[ID CLIENTE]],'RESUMEN CLIENTES'!D:D,'RESUMEN CLIENTES'!C:C)</f>
        <v>Ecuador</v>
      </c>
      <c r="D276" s="44" t="str">
        <f>+_xlfn.XLOOKUP(Tabla6[[#This Row],[ID CLIENTE]],'RESUMEN CLIENTES'!D:D,'RESUMEN CLIENTES'!M:M)</f>
        <v>¡REGULARIZAR!</v>
      </c>
      <c r="E276" s="72">
        <f>+_xlfn.XLOOKUP(Tabla6[[#This Row],[NOMBRE]],'RESUMEN CLIENTES'!A:A,'RESUMEN CLIENTES'!X:X)</f>
        <v>-2.2857142857142856</v>
      </c>
      <c r="F276" s="72">
        <f>+_xlfn.XLOOKUP(Tabla6[[#This Row],[ID CLIENTE]],'RESUMEN CLIENTES'!D:D,'RESUMEN CLIENTES'!W:W)</f>
        <v>1</v>
      </c>
      <c r="G276" s="17">
        <v>45881</v>
      </c>
      <c r="H276" s="44" t="s">
        <v>81</v>
      </c>
      <c r="I276" s="2">
        <v>470</v>
      </c>
      <c r="J276" s="20" t="s">
        <v>665</v>
      </c>
      <c r="K276" t="s">
        <v>666</v>
      </c>
      <c r="L276" s="44" t="str" cm="1">
        <f t="array" ref="L276">+_xlfn.IFS(COUNTIF(INGRESOS!E:E,Tabla6[[#This Row],[ID FACTURA]])=1,"PAGADA",Tabla6[[#This Row],[ID FACTURA]]&lt;&gt;0,"EMITIDA",Tabla6[[#This Row],[ID FACTURA]]=0,"POR EMITIR")</f>
        <v>PAGADA</v>
      </c>
      <c r="M276" s="55">
        <f>+IF(Tabla6[[#This Row],[ESTADO FACTURA]]="PAGADA",Tabla6[[#This Row],[FECHA]]-_xlfn.XLOOKUP(Tabla6[[#This Row],[N° FACTURA]],INGRESOS!F:F,INGRESOS!A:A),"-")</f>
        <v>-4</v>
      </c>
      <c r="N276" s="2"/>
      <c r="O276"/>
    </row>
    <row r="277" spans="1:15" ht="14.75" customHeight="1">
      <c r="A277" s="320" t="s">
        <v>667</v>
      </c>
      <c r="B277" t="str">
        <f>+_xlfn.XLOOKUP(Tabla6[[#This Row],[ID CLIENTE]],'RESUMEN CLIENTES'!D:D,'RESUMEN CLIENTES'!A:A)</f>
        <v>Daniel Alberto Hidrovo Moreno</v>
      </c>
      <c r="C277" t="str">
        <f>+_xlfn.XLOOKUP(Tabla6[[#This Row],[ID CLIENTE]],'RESUMEN CLIENTES'!D:D,'RESUMEN CLIENTES'!C:C)</f>
        <v>Ecuador</v>
      </c>
      <c r="D277" s="44" t="str">
        <f>+_xlfn.XLOOKUP(Tabla6[[#This Row],[ID CLIENTE]],'RESUMEN CLIENTES'!D:D,'RESUMEN CLIENTES'!M:M)</f>
        <v>ELIMINADO</v>
      </c>
      <c r="E277" s="72">
        <f>+_xlfn.XLOOKUP(Tabla6[[#This Row],[NOMBRE]],'RESUMEN CLIENTES'!A:A,'RESUMEN CLIENTES'!X:X)</f>
        <v>0</v>
      </c>
      <c r="F277" s="72">
        <f>+_xlfn.XLOOKUP(Tabla6[[#This Row],[ID CLIENTE]],'RESUMEN CLIENTES'!D:D,'RESUMEN CLIENTES'!W:W)</f>
        <v>0</v>
      </c>
      <c r="G277" s="17">
        <v>45882</v>
      </c>
      <c r="H277" s="44" t="s">
        <v>81</v>
      </c>
      <c r="I277" s="2">
        <v>250</v>
      </c>
      <c r="J277" s="20" t="s">
        <v>668</v>
      </c>
      <c r="K277" t="s">
        <v>669</v>
      </c>
      <c r="L277" s="44" t="str" cm="1">
        <f t="array" ref="L277">+_xlfn.IFS(COUNTIF(INGRESOS!E:E,Tabla6[[#This Row],[ID FACTURA]])=1,"PAGADA",Tabla6[[#This Row],[ID FACTURA]]&lt;&gt;0,"EMITIDA",Tabla6[[#This Row],[ID FACTURA]]=0,"POR EMITIR")</f>
        <v>PAGADA</v>
      </c>
      <c r="M277" s="55">
        <f>+IF(Tabla6[[#This Row],[ESTADO FACTURA]]="PAGADA",Tabla6[[#This Row],[FECHA]]-_xlfn.XLOOKUP(Tabla6[[#This Row],[N° FACTURA]],INGRESOS!F:F,INGRESOS!A:A),"-")</f>
        <v>0</v>
      </c>
      <c r="N277" s="2"/>
      <c r="O277"/>
    </row>
    <row r="278" spans="1:15" ht="14.75" customHeight="1">
      <c r="A278" s="320" t="s">
        <v>670</v>
      </c>
      <c r="B278" t="str">
        <f>+_xlfn.XLOOKUP(Tabla6[[#This Row],[ID CLIENTE]],'RESUMEN CLIENTES'!D:D,'RESUMEN CLIENTES'!A:A)</f>
        <v>Jonathan Christian Cardenas Peña</v>
      </c>
      <c r="C278" t="str">
        <f>+_xlfn.XLOOKUP(Tabla6[[#This Row],[ID CLIENTE]],'RESUMEN CLIENTES'!D:D,'RESUMEN CLIENTES'!C:C)</f>
        <v>Ecuador</v>
      </c>
      <c r="D278" s="44" t="str">
        <f>+_xlfn.XLOOKUP(Tabla6[[#This Row],[ID CLIENTE]],'RESUMEN CLIENTES'!D:D,'RESUMEN CLIENTES'!M:M)</f>
        <v>OK</v>
      </c>
      <c r="E278" s="72">
        <f>+_xlfn.XLOOKUP(Tabla6[[#This Row],[NOMBRE]],'RESUMEN CLIENTES'!A:A,'RESUMEN CLIENTES'!X:X)</f>
        <v>0.33333333333333331</v>
      </c>
      <c r="F278" s="72">
        <f>+_xlfn.XLOOKUP(Tabla6[[#This Row],[ID CLIENTE]],'RESUMEN CLIENTES'!D:D,'RESUMEN CLIENTES'!W:W)</f>
        <v>0</v>
      </c>
      <c r="G278" s="17">
        <v>45882</v>
      </c>
      <c r="H278" s="44" t="s">
        <v>81</v>
      </c>
      <c r="I278" s="2">
        <v>5000</v>
      </c>
      <c r="J278" s="20" t="s">
        <v>671</v>
      </c>
      <c r="K278" t="s">
        <v>672</v>
      </c>
      <c r="L278" s="44" t="str" cm="1">
        <f t="array" ref="L278">+_xlfn.IFS(COUNTIF(INGRESOS!E:E,Tabla6[[#This Row],[ID FACTURA]])=1,"PAGADA",Tabla6[[#This Row],[ID FACTURA]]&lt;&gt;0,"EMITIDA",Tabla6[[#This Row],[ID FACTURA]]=0,"POR EMITIR")</f>
        <v>PAGADA</v>
      </c>
      <c r="M278" s="55">
        <f>+IF(Tabla6[[#This Row],[ESTADO FACTURA]]="PAGADA",Tabla6[[#This Row],[FECHA]]-_xlfn.XLOOKUP(Tabla6[[#This Row],[N° FACTURA]],INGRESOS!F:F,INGRESOS!A:A),"-")</f>
        <v>0</v>
      </c>
      <c r="N278" s="2"/>
      <c r="O278"/>
    </row>
    <row r="279" spans="1:15" ht="14.75" customHeight="1">
      <c r="A279" s="320" t="s">
        <v>187</v>
      </c>
      <c r="B279" t="str">
        <f>+_xlfn.XLOOKUP(Tabla6[[#This Row],[ID CLIENTE]],'RESUMEN CLIENTES'!D:D,'RESUMEN CLIENTES'!A:A)</f>
        <v>Alina Maria Cervantes Real</v>
      </c>
      <c r="C279" t="str">
        <f>+_xlfn.XLOOKUP(Tabla6[[#This Row],[ID CLIENTE]],'RESUMEN CLIENTES'!D:D,'RESUMEN CLIENTES'!C:C)</f>
        <v>México</v>
      </c>
      <c r="D279" s="44" t="str">
        <f>+_xlfn.XLOOKUP(Tabla6[[#This Row],[ID CLIENTE]],'RESUMEN CLIENTES'!D:D,'RESUMEN CLIENTES'!M:M)</f>
        <v>OK</v>
      </c>
      <c r="E279" s="72">
        <f>+_xlfn.XLOOKUP(Tabla6[[#This Row],[NOMBRE]],'RESUMEN CLIENTES'!A:A,'RESUMEN CLIENTES'!X:X)</f>
        <v>21.583333333333332</v>
      </c>
      <c r="F279" s="72">
        <f>+_xlfn.XLOOKUP(Tabla6[[#This Row],[ID CLIENTE]],'RESUMEN CLIENTES'!D:D,'RESUMEN CLIENTES'!W:W)</f>
        <v>1</v>
      </c>
      <c r="G279" s="17">
        <v>45884</v>
      </c>
      <c r="H279" s="44" t="s">
        <v>81</v>
      </c>
      <c r="I279" s="2">
        <v>1500</v>
      </c>
      <c r="J279" s="20" t="s">
        <v>487</v>
      </c>
      <c r="K279" t="s">
        <v>488</v>
      </c>
      <c r="L279" s="44" t="str" cm="1">
        <f t="array" ref="L279">+_xlfn.IFS(COUNTIF(INGRESOS!E:E,Tabla6[[#This Row],[ID FACTURA]])=1,"PAGADA",Tabla6[[#This Row],[ID FACTURA]]&lt;&gt;0,"EMITIDA",Tabla6[[#This Row],[ID FACTURA]]=0,"POR EMITIR")</f>
        <v>PAGADA</v>
      </c>
      <c r="M279" s="55">
        <f>+IF(Tabla6[[#This Row],[ESTADO FACTURA]]="PAGADA",Tabla6[[#This Row],[FECHA]]-_xlfn.XLOOKUP(Tabla6[[#This Row],[N° FACTURA]],INGRESOS!F:F,INGRESOS!A:A),"-")</f>
        <v>31</v>
      </c>
      <c r="N279" s="2"/>
      <c r="O279"/>
    </row>
    <row r="280" spans="1:15" ht="14.75" customHeight="1">
      <c r="A280" s="320" t="s">
        <v>156</v>
      </c>
      <c r="B280" t="str">
        <f>+_xlfn.XLOOKUP(Tabla6[[#This Row],[ID CLIENTE]],'RESUMEN CLIENTES'!D:D,'RESUMEN CLIENTES'!A:A)</f>
        <v>Catalina Andrea Videla Muñoz</v>
      </c>
      <c r="C280" t="str">
        <f>+_xlfn.XLOOKUP(Tabla6[[#This Row],[ID CLIENTE]],'RESUMEN CLIENTES'!D:D,'RESUMEN CLIENTES'!C:C)</f>
        <v>Chile</v>
      </c>
      <c r="D280" s="44" t="str">
        <f>+_xlfn.XLOOKUP(Tabla6[[#This Row],[ID CLIENTE]],'RESUMEN CLIENTES'!D:D,'RESUMEN CLIENTES'!M:M)</f>
        <v>OK</v>
      </c>
      <c r="E280" s="72">
        <f>+_xlfn.XLOOKUP(Tabla6[[#This Row],[NOMBRE]],'RESUMEN CLIENTES'!A:A,'RESUMEN CLIENTES'!X:X)</f>
        <v>1.5454545454545454</v>
      </c>
      <c r="F280" s="72">
        <f>+_xlfn.XLOOKUP(Tabla6[[#This Row],[ID CLIENTE]],'RESUMEN CLIENTES'!D:D,'RESUMEN CLIENTES'!W:W)</f>
        <v>1</v>
      </c>
      <c r="G280" s="17">
        <v>45884</v>
      </c>
      <c r="H280" s="44" t="s">
        <v>81</v>
      </c>
      <c r="I280" s="2">
        <v>1250</v>
      </c>
      <c r="J280" s="20" t="s">
        <v>675</v>
      </c>
      <c r="K280" t="s">
        <v>676</v>
      </c>
      <c r="L280" s="44" t="str" cm="1">
        <f t="array" ref="L280">+_xlfn.IFS(COUNTIF(INGRESOS!E:E,Tabla6[[#This Row],[ID FACTURA]])=1,"PAGADA",Tabla6[[#This Row],[ID FACTURA]]&lt;&gt;0,"EMITIDA",Tabla6[[#This Row],[ID FACTURA]]=0,"POR EMITIR")</f>
        <v>PAGADA</v>
      </c>
      <c r="M280" s="55">
        <f>+IF(Tabla6[[#This Row],[ESTADO FACTURA]]="PAGADA",Tabla6[[#This Row],[FECHA]]-_xlfn.XLOOKUP(Tabla6[[#This Row],[N° FACTURA]],INGRESOS!F:F,INGRESOS!A:A),"-")</f>
        <v>-1</v>
      </c>
      <c r="N280" s="2"/>
      <c r="O280"/>
    </row>
    <row r="281" spans="1:15" ht="14.75" customHeight="1">
      <c r="A281" s="320" t="s">
        <v>103</v>
      </c>
      <c r="B281" t="str">
        <f>+_xlfn.XLOOKUP(Tabla6[[#This Row],[ID CLIENTE]],'RESUMEN CLIENTES'!D:D,'RESUMEN CLIENTES'!A:A)</f>
        <v>Isaac Ricardo Jimenez Campos</v>
      </c>
      <c r="C281" t="str">
        <f>+_xlfn.XLOOKUP(Tabla6[[#This Row],[ID CLIENTE]],'RESUMEN CLIENTES'!D:D,'RESUMEN CLIENTES'!C:C)</f>
        <v>México</v>
      </c>
      <c r="D281" s="44" t="str">
        <f>+_xlfn.XLOOKUP(Tabla6[[#This Row],[ID CLIENTE]],'RESUMEN CLIENTES'!D:D,'RESUMEN CLIENTES'!M:M)</f>
        <v>OK</v>
      </c>
      <c r="E281" s="72">
        <f>+_xlfn.XLOOKUP(Tabla6[[#This Row],[NOMBRE]],'RESUMEN CLIENTES'!A:A,'RESUMEN CLIENTES'!X:X)</f>
        <v>0.5</v>
      </c>
      <c r="F281" s="72">
        <f>+_xlfn.XLOOKUP(Tabla6[[#This Row],[ID CLIENTE]],'RESUMEN CLIENTES'!D:D,'RESUMEN CLIENTES'!W:W)</f>
        <v>1</v>
      </c>
      <c r="G281" s="17">
        <v>45884</v>
      </c>
      <c r="H281" s="44" t="s">
        <v>81</v>
      </c>
      <c r="I281" s="2">
        <v>654</v>
      </c>
      <c r="J281" s="20" t="s">
        <v>677</v>
      </c>
      <c r="K281" t="s">
        <v>678</v>
      </c>
      <c r="L281" s="44" t="str" cm="1">
        <f t="array" ref="L281">+_xlfn.IFS(COUNTIF(INGRESOS!E:E,Tabla6[[#This Row],[ID FACTURA]])=1,"PAGADA",Tabla6[[#This Row],[ID FACTURA]]&lt;&gt;0,"EMITIDA",Tabla6[[#This Row],[ID FACTURA]]=0,"POR EMITIR")</f>
        <v>PAGADA</v>
      </c>
      <c r="M281" s="55">
        <f>+IF(Tabla6[[#This Row],[ESTADO FACTURA]]="PAGADA",Tabla6[[#This Row],[FECHA]]-_xlfn.XLOOKUP(Tabla6[[#This Row],[N° FACTURA]],INGRESOS!F:F,INGRESOS!A:A),"-")</f>
        <v>1</v>
      </c>
      <c r="N281" s="2"/>
      <c r="O281"/>
    </row>
    <row r="282" spans="1:15" ht="14.75" customHeight="1">
      <c r="A282" s="320" t="s">
        <v>362</v>
      </c>
      <c r="B282" t="str">
        <f>+_xlfn.XLOOKUP(Tabla6[[#This Row],[ID CLIENTE]],'RESUMEN CLIENTES'!D:D,'RESUMEN CLIENTES'!A:A)</f>
        <v>Jessica Ayelén Culla Alvarez</v>
      </c>
      <c r="C282" t="str">
        <f>+_xlfn.XLOOKUP(Tabla6[[#This Row],[ID CLIENTE]],'RESUMEN CLIENTES'!D:D,'RESUMEN CLIENTES'!C:C)</f>
        <v>Argentina</v>
      </c>
      <c r="D282" s="44" t="str">
        <f>+_xlfn.XLOOKUP(Tabla6[[#This Row],[ID CLIENTE]],'RESUMEN CLIENTES'!D:D,'RESUMEN CLIENTES'!M:M)</f>
        <v>OK</v>
      </c>
      <c r="E282" s="72">
        <f>+_xlfn.XLOOKUP(Tabla6[[#This Row],[NOMBRE]],'RESUMEN CLIENTES'!A:A,'RESUMEN CLIENTES'!X:X)</f>
        <v>-2.1538461538461537</v>
      </c>
      <c r="F282" s="72">
        <f>+_xlfn.XLOOKUP(Tabla6[[#This Row],[ID CLIENTE]],'RESUMEN CLIENTES'!D:D,'RESUMEN CLIENTES'!W:W)</f>
        <v>1</v>
      </c>
      <c r="G282" s="17">
        <v>45884</v>
      </c>
      <c r="H282" s="44" t="s">
        <v>81</v>
      </c>
      <c r="I282" s="2">
        <v>500</v>
      </c>
      <c r="J282" s="20" t="s">
        <v>679</v>
      </c>
      <c r="K282" t="s">
        <v>680</v>
      </c>
      <c r="L282" s="44" t="str" cm="1">
        <f t="array" ref="L282">+_xlfn.IFS(COUNTIF(INGRESOS!E:E,Tabla6[[#This Row],[ID FACTURA]])=1,"PAGADA",Tabla6[[#This Row],[ID FACTURA]]&lt;&gt;0,"EMITIDA",Tabla6[[#This Row],[ID FACTURA]]=0,"POR EMITIR")</f>
        <v>PAGADA</v>
      </c>
      <c r="M282" s="55">
        <f>+IF(Tabla6[[#This Row],[ESTADO FACTURA]]="PAGADA",Tabla6[[#This Row],[FECHA]]-_xlfn.XLOOKUP(Tabla6[[#This Row],[N° FACTURA]],INGRESOS!F:F,INGRESOS!A:A),"-")</f>
        <v>0</v>
      </c>
      <c r="N282" s="2"/>
      <c r="O282"/>
    </row>
    <row r="283" spans="1:15" ht="14.75" customHeight="1">
      <c r="A283" s="320" t="s">
        <v>362</v>
      </c>
      <c r="B283" t="str">
        <f>+_xlfn.XLOOKUP(Tabla6[[#This Row],[ID CLIENTE]],'RESUMEN CLIENTES'!D:D,'RESUMEN CLIENTES'!A:A)</f>
        <v>Jessica Ayelén Culla Alvarez</v>
      </c>
      <c r="C283" t="str">
        <f>+_xlfn.XLOOKUP(Tabla6[[#This Row],[ID CLIENTE]],'RESUMEN CLIENTES'!D:D,'RESUMEN CLIENTES'!C:C)</f>
        <v>Argentina</v>
      </c>
      <c r="D283" s="44" t="str">
        <f>+_xlfn.XLOOKUP(Tabla6[[#This Row],[ID CLIENTE]],'RESUMEN CLIENTES'!D:D,'RESUMEN CLIENTES'!M:M)</f>
        <v>OK</v>
      </c>
      <c r="E283" s="72">
        <f>+_xlfn.XLOOKUP(Tabla6[[#This Row],[NOMBRE]],'RESUMEN CLIENTES'!A:A,'RESUMEN CLIENTES'!X:X)</f>
        <v>-2.1538461538461537</v>
      </c>
      <c r="F283" s="72">
        <f>+_xlfn.XLOOKUP(Tabla6[[#This Row],[ID CLIENTE]],'RESUMEN CLIENTES'!D:D,'RESUMEN CLIENTES'!W:W)</f>
        <v>1</v>
      </c>
      <c r="G283" s="17">
        <v>45884</v>
      </c>
      <c r="H283" s="44" t="s">
        <v>81</v>
      </c>
      <c r="I283" s="2">
        <v>500</v>
      </c>
      <c r="J283" s="20" t="s">
        <v>681</v>
      </c>
      <c r="K283" t="s">
        <v>682</v>
      </c>
      <c r="L283" s="44" t="str" cm="1">
        <f t="array" ref="L283">+_xlfn.IFS(COUNTIF(INGRESOS!E:E,Tabla6[[#This Row],[ID FACTURA]])=1,"PAGADA",Tabla6[[#This Row],[ID FACTURA]]&lt;&gt;0,"EMITIDA",Tabla6[[#This Row],[ID FACTURA]]=0,"POR EMITIR")</f>
        <v>PAGADA</v>
      </c>
      <c r="M283" s="55">
        <f>+IF(Tabla6[[#This Row],[ESTADO FACTURA]]="PAGADA",Tabla6[[#This Row],[FECHA]]-_xlfn.XLOOKUP(Tabla6[[#This Row],[N° FACTURA]],INGRESOS!F:F,INGRESOS!A:A),"-")</f>
        <v>-2</v>
      </c>
      <c r="N283" s="2"/>
      <c r="O283"/>
    </row>
    <row r="284" spans="1:15" ht="14.75" customHeight="1">
      <c r="A284" s="320" t="s">
        <v>362</v>
      </c>
      <c r="B284" t="str">
        <f>+_xlfn.XLOOKUP(Tabla6[[#This Row],[ID CLIENTE]],'RESUMEN CLIENTES'!D:D,'RESUMEN CLIENTES'!A:A)</f>
        <v>Jessica Ayelén Culla Alvarez</v>
      </c>
      <c r="C284" t="str">
        <f>+_xlfn.XLOOKUP(Tabla6[[#This Row],[ID CLIENTE]],'RESUMEN CLIENTES'!D:D,'RESUMEN CLIENTES'!C:C)</f>
        <v>Argentina</v>
      </c>
      <c r="D284" s="44" t="str">
        <f>+_xlfn.XLOOKUP(Tabla6[[#This Row],[ID CLIENTE]],'RESUMEN CLIENTES'!D:D,'RESUMEN CLIENTES'!M:M)</f>
        <v>OK</v>
      </c>
      <c r="E284" s="72">
        <f>+_xlfn.XLOOKUP(Tabla6[[#This Row],[NOMBRE]],'RESUMEN CLIENTES'!A:A,'RESUMEN CLIENTES'!X:X)</f>
        <v>-2.1538461538461537</v>
      </c>
      <c r="F284" s="72">
        <f>+_xlfn.XLOOKUP(Tabla6[[#This Row],[ID CLIENTE]],'RESUMEN CLIENTES'!D:D,'RESUMEN CLIENTES'!W:W)</f>
        <v>1</v>
      </c>
      <c r="G284" s="17">
        <v>45884</v>
      </c>
      <c r="H284" s="44" t="s">
        <v>81</v>
      </c>
      <c r="I284" s="2">
        <v>500</v>
      </c>
      <c r="J284" s="20" t="s">
        <v>683</v>
      </c>
      <c r="K284" t="s">
        <v>684</v>
      </c>
      <c r="L284" s="44" t="str" cm="1">
        <f t="array" ref="L284">+_xlfn.IFS(COUNTIF(INGRESOS!E:E,Tabla6[[#This Row],[ID FACTURA]])=1,"PAGADA",Tabla6[[#This Row],[ID FACTURA]]&lt;&gt;0,"EMITIDA",Tabla6[[#This Row],[ID FACTURA]]=0,"POR EMITIR")</f>
        <v>PAGADA</v>
      </c>
      <c r="M284" s="55">
        <f>+IF(Tabla6[[#This Row],[ESTADO FACTURA]]="PAGADA",Tabla6[[#This Row],[FECHA]]-_xlfn.XLOOKUP(Tabla6[[#This Row],[N° FACTURA]],INGRESOS!F:F,INGRESOS!A:A),"-")</f>
        <v>-2</v>
      </c>
      <c r="N284" s="2"/>
      <c r="O284"/>
    </row>
    <row r="285" spans="1:15" ht="14.75" customHeight="1">
      <c r="A285" s="320" t="s">
        <v>362</v>
      </c>
      <c r="B285" t="str">
        <f>+_xlfn.XLOOKUP(Tabla6[[#This Row],[ID CLIENTE]],'RESUMEN CLIENTES'!D:D,'RESUMEN CLIENTES'!A:A)</f>
        <v>Jessica Ayelén Culla Alvarez</v>
      </c>
      <c r="C285" t="str">
        <f>+_xlfn.XLOOKUP(Tabla6[[#This Row],[ID CLIENTE]],'RESUMEN CLIENTES'!D:D,'RESUMEN CLIENTES'!C:C)</f>
        <v>Argentina</v>
      </c>
      <c r="D285" s="44" t="str">
        <f>+_xlfn.XLOOKUP(Tabla6[[#This Row],[ID CLIENTE]],'RESUMEN CLIENTES'!D:D,'RESUMEN CLIENTES'!M:M)</f>
        <v>OK</v>
      </c>
      <c r="E285" s="72">
        <f>+_xlfn.XLOOKUP(Tabla6[[#This Row],[NOMBRE]],'RESUMEN CLIENTES'!A:A,'RESUMEN CLIENTES'!X:X)</f>
        <v>-2.1538461538461537</v>
      </c>
      <c r="F285" s="72">
        <f>+_xlfn.XLOOKUP(Tabla6[[#This Row],[ID CLIENTE]],'RESUMEN CLIENTES'!D:D,'RESUMEN CLIENTES'!W:W)</f>
        <v>1</v>
      </c>
      <c r="G285" s="17">
        <v>45884</v>
      </c>
      <c r="H285" s="44" t="s">
        <v>81</v>
      </c>
      <c r="I285" s="2">
        <v>500</v>
      </c>
      <c r="J285" s="20" t="s">
        <v>685</v>
      </c>
      <c r="K285" t="s">
        <v>686</v>
      </c>
      <c r="L285" s="44" t="str" cm="1">
        <f t="array" ref="L285">+_xlfn.IFS(COUNTIF(INGRESOS!E:E,Tabla6[[#This Row],[ID FACTURA]])=1,"PAGADA",Tabla6[[#This Row],[ID FACTURA]]&lt;&gt;0,"EMITIDA",Tabla6[[#This Row],[ID FACTURA]]=0,"POR EMITIR")</f>
        <v>PAGADA</v>
      </c>
      <c r="M285" s="55">
        <f>+IF(Tabla6[[#This Row],[ESTADO FACTURA]]="PAGADA",Tabla6[[#This Row],[FECHA]]-_xlfn.XLOOKUP(Tabla6[[#This Row],[N° FACTURA]],INGRESOS!F:F,INGRESOS!A:A),"-")</f>
        <v>-3</v>
      </c>
      <c r="N285" s="2"/>
      <c r="O285"/>
    </row>
    <row r="286" spans="1:15" ht="14.75" customHeight="1">
      <c r="A286" s="320" t="s">
        <v>136</v>
      </c>
      <c r="B286" t="str">
        <f>+_xlfn.XLOOKUP(Tabla6[[#This Row],[ID CLIENTE]],'RESUMEN CLIENTES'!D:D,'RESUMEN CLIENTES'!A:A)</f>
        <v>Juan Pablo Martínez Cabello</v>
      </c>
      <c r="C286" t="str">
        <f>+_xlfn.XLOOKUP(Tabla6[[#This Row],[ID CLIENTE]],'RESUMEN CLIENTES'!D:D,'RESUMEN CLIENTES'!C:C)</f>
        <v>Chile</v>
      </c>
      <c r="D286" s="44" t="str">
        <f>+_xlfn.XLOOKUP(Tabla6[[#This Row],[ID CLIENTE]],'RESUMEN CLIENTES'!D:D,'RESUMEN CLIENTES'!M:M)</f>
        <v>OK</v>
      </c>
      <c r="E286" s="72">
        <f>+_xlfn.XLOOKUP(Tabla6[[#This Row],[NOMBRE]],'RESUMEN CLIENTES'!A:A,'RESUMEN CLIENTES'!X:X)</f>
        <v>1.5714285714285714</v>
      </c>
      <c r="F286" s="72">
        <f>+_xlfn.XLOOKUP(Tabla6[[#This Row],[ID CLIENTE]],'RESUMEN CLIENTES'!D:D,'RESUMEN CLIENTES'!W:W)</f>
        <v>1</v>
      </c>
      <c r="G286" s="17">
        <v>45884</v>
      </c>
      <c r="H286" s="44" t="s">
        <v>81</v>
      </c>
      <c r="I286" s="2">
        <v>1500</v>
      </c>
      <c r="J286" s="20" t="s">
        <v>687</v>
      </c>
      <c r="K286" t="s">
        <v>688</v>
      </c>
      <c r="L286" s="44" t="str" cm="1">
        <f t="array" ref="L286">+_xlfn.IFS(COUNTIF(INGRESOS!E:E,Tabla6[[#This Row],[ID FACTURA]])=1,"PAGADA",Tabla6[[#This Row],[ID FACTURA]]&lt;&gt;0,"EMITIDA",Tabla6[[#This Row],[ID FACTURA]]=0,"POR EMITIR")</f>
        <v>PAGADA</v>
      </c>
      <c r="M286" s="55">
        <f>+IF(Tabla6[[#This Row],[ESTADO FACTURA]]="PAGADA",Tabla6[[#This Row],[FECHA]]-_xlfn.XLOOKUP(Tabla6[[#This Row],[N° FACTURA]],INGRESOS!F:F,INGRESOS!A:A),"-")</f>
        <v>3</v>
      </c>
      <c r="N286" s="2"/>
      <c r="O286"/>
    </row>
    <row r="287" spans="1:15" ht="14.75" customHeight="1">
      <c r="A287" s="320" t="s">
        <v>587</v>
      </c>
      <c r="B287" t="str">
        <f>+_xlfn.XLOOKUP(Tabla6[[#This Row],[ID CLIENTE]],'RESUMEN CLIENTES'!D:D,'RESUMEN CLIENTES'!A:A)</f>
        <v>Keidwin Perez</v>
      </c>
      <c r="C287" t="str">
        <f>+_xlfn.XLOOKUP(Tabla6[[#This Row],[ID CLIENTE]],'RESUMEN CLIENTES'!D:D,'RESUMEN CLIENTES'!C:C)</f>
        <v>Colombia</v>
      </c>
      <c r="D287" s="44" t="str">
        <f>+_xlfn.XLOOKUP(Tabla6[[#This Row],[ID CLIENTE]],'RESUMEN CLIENTES'!D:D,'RESUMEN CLIENTES'!M:M)</f>
        <v>OK</v>
      </c>
      <c r="E287" s="72">
        <f>+_xlfn.XLOOKUP(Tabla6[[#This Row],[NOMBRE]],'RESUMEN CLIENTES'!A:A,'RESUMEN CLIENTES'!X:X)</f>
        <v>-4.25</v>
      </c>
      <c r="F287" s="72">
        <f>+_xlfn.XLOOKUP(Tabla6[[#This Row],[ID CLIENTE]],'RESUMEN CLIENTES'!D:D,'RESUMEN CLIENTES'!W:W)</f>
        <v>1</v>
      </c>
      <c r="G287" s="17">
        <v>45884</v>
      </c>
      <c r="H287" s="44" t="s">
        <v>81</v>
      </c>
      <c r="I287" s="2">
        <v>2500</v>
      </c>
      <c r="J287" s="20" t="s">
        <v>689</v>
      </c>
      <c r="K287" t="s">
        <v>690</v>
      </c>
      <c r="L287" s="44" t="str" cm="1">
        <f t="array" ref="L287">+_xlfn.IFS(COUNTIF(INGRESOS!E:E,Tabla6[[#This Row],[ID FACTURA]])=1,"PAGADA",Tabla6[[#This Row],[ID FACTURA]]&lt;&gt;0,"EMITIDA",Tabla6[[#This Row],[ID FACTURA]]=0,"POR EMITIR")</f>
        <v>PAGADA</v>
      </c>
      <c r="M287" s="55">
        <f>+IF(Tabla6[[#This Row],[ESTADO FACTURA]]="PAGADA",Tabla6[[#This Row],[FECHA]]-_xlfn.XLOOKUP(Tabla6[[#This Row],[N° FACTURA]],INGRESOS!F:F,INGRESOS!A:A),"-")</f>
        <v>-6</v>
      </c>
      <c r="N287" s="2"/>
      <c r="O287"/>
    </row>
    <row r="288" spans="1:15" ht="14.75" customHeight="1">
      <c r="A288" s="320" t="s">
        <v>242</v>
      </c>
      <c r="B288" t="str">
        <f>+_xlfn.XLOOKUP(Tabla6[[#This Row],[ID CLIENTE]],'RESUMEN CLIENTES'!D:D,'RESUMEN CLIENTES'!A:A)</f>
        <v>Rodrigo Ignacio Rodriguez Frutos</v>
      </c>
      <c r="C288" t="str">
        <f>+_xlfn.XLOOKUP(Tabla6[[#This Row],[ID CLIENTE]],'RESUMEN CLIENTES'!D:D,'RESUMEN CLIENTES'!C:C)</f>
        <v>México</v>
      </c>
      <c r="D288" s="44" t="str">
        <f>+_xlfn.XLOOKUP(Tabla6[[#This Row],[ID CLIENTE]],'RESUMEN CLIENTES'!D:D,'RESUMEN CLIENTES'!M:M)</f>
        <v>OK</v>
      </c>
      <c r="E288" s="72">
        <f>+_xlfn.XLOOKUP(Tabla6[[#This Row],[NOMBRE]],'RESUMEN CLIENTES'!A:A,'RESUMEN CLIENTES'!X:X)</f>
        <v>-1.4285714285714286</v>
      </c>
      <c r="F288" s="72">
        <f>+_xlfn.XLOOKUP(Tabla6[[#This Row],[ID CLIENTE]],'RESUMEN CLIENTES'!D:D,'RESUMEN CLIENTES'!W:W)</f>
        <v>1</v>
      </c>
      <c r="G288" s="17">
        <v>45884</v>
      </c>
      <c r="H288" s="44" t="s">
        <v>81</v>
      </c>
      <c r="I288" s="2">
        <v>2000</v>
      </c>
      <c r="J288" s="20" t="s">
        <v>691</v>
      </c>
      <c r="K288" t="s">
        <v>692</v>
      </c>
      <c r="L288" s="44" t="str" cm="1">
        <f t="array" ref="L288">+_xlfn.IFS(COUNTIF(INGRESOS!E:E,Tabla6[[#This Row],[ID FACTURA]])=1,"PAGADA",Tabla6[[#This Row],[ID FACTURA]]&lt;&gt;0,"EMITIDA",Tabla6[[#This Row],[ID FACTURA]]=0,"POR EMITIR")</f>
        <v>PAGADA</v>
      </c>
      <c r="M288" s="55">
        <f>+IF(Tabla6[[#This Row],[ESTADO FACTURA]]="PAGADA",Tabla6[[#This Row],[FECHA]]-_xlfn.XLOOKUP(Tabla6[[#This Row],[N° FACTURA]],INGRESOS!F:F,INGRESOS!A:A),"-")</f>
        <v>0</v>
      </c>
      <c r="N288" s="2"/>
      <c r="O288"/>
    </row>
    <row r="289" spans="1:15" ht="14.75" customHeight="1">
      <c r="A289" s="320" t="s">
        <v>200</v>
      </c>
      <c r="B289" t="str">
        <f>+_xlfn.XLOOKUP(Tabla6[[#This Row],[ID CLIENTE]],'RESUMEN CLIENTES'!D:D,'RESUMEN CLIENTES'!A:A)</f>
        <v>Mateo Gabriel Martinez Dávila</v>
      </c>
      <c r="C289" t="str">
        <f>+_xlfn.XLOOKUP(Tabla6[[#This Row],[ID CLIENTE]],'RESUMEN CLIENTES'!D:D,'RESUMEN CLIENTES'!C:C)</f>
        <v>Bolivia</v>
      </c>
      <c r="D289" s="169" t="str">
        <f>+_xlfn.XLOOKUP(Tabla6[[#This Row],[ID CLIENTE]],'RESUMEN CLIENTES'!D:D,'RESUMEN CLIENTES'!M:M)</f>
        <v>OK</v>
      </c>
      <c r="E289" s="71">
        <f>+_xlfn.XLOOKUP(Tabla6[[#This Row],[NOMBRE]],'RESUMEN CLIENTES'!A:A,'RESUMEN CLIENTES'!X:X)</f>
        <v>-0.5</v>
      </c>
      <c r="F289" s="71">
        <f>+_xlfn.XLOOKUP(Tabla6[[#This Row],[ID CLIENTE]],'RESUMEN CLIENTES'!D:D,'RESUMEN CLIENTES'!W:W)</f>
        <v>0</v>
      </c>
      <c r="G289" s="17">
        <v>45887</v>
      </c>
      <c r="H289" s="169" t="s">
        <v>81</v>
      </c>
      <c r="I289" s="2">
        <v>514</v>
      </c>
      <c r="J289" s="20" t="s">
        <v>698</v>
      </c>
      <c r="K289" t="s">
        <v>699</v>
      </c>
      <c r="L289" s="44" t="str" cm="1">
        <f t="array" ref="L289">+_xlfn.IFS(COUNTIF(INGRESOS!E:E,Tabla6[[#This Row],[ID FACTURA]])=1,"PAGADA",Tabla6[[#This Row],[ID FACTURA]]&lt;&gt;0,"EMITIDA",Tabla6[[#This Row],[ID FACTURA]]=0,"POR EMITIR")</f>
        <v>PAGADA</v>
      </c>
      <c r="M289" s="54">
        <f>+IF(Tabla6[[#This Row],[ESTADO FACTURA]]="PAGADA",Tabla6[[#This Row],[FECHA]]-_xlfn.XLOOKUP(Tabla6[[#This Row],[N° FACTURA]],INGRESOS!F:F,INGRESOS!A:A),"-")</f>
        <v>0</v>
      </c>
      <c r="O289"/>
    </row>
    <row r="290" spans="1:15" ht="14.75" customHeight="1">
      <c r="A290" s="320" t="s">
        <v>247</v>
      </c>
      <c r="B290" t="str">
        <f>+_xlfn.XLOOKUP(Tabla6[[#This Row],[ID CLIENTE]],'RESUMEN CLIENTES'!D:D,'RESUMEN CLIENTES'!A:A)</f>
        <v>Nancy Gisselle Molinari Cheme</v>
      </c>
      <c r="C290" t="str">
        <f>+_xlfn.XLOOKUP(Tabla6[[#This Row],[ID CLIENTE]],'RESUMEN CLIENTES'!D:D,'RESUMEN CLIENTES'!C:C)</f>
        <v>Perú</v>
      </c>
      <c r="D290" s="44" t="str">
        <f>+_xlfn.XLOOKUP(Tabla6[[#This Row],[ID CLIENTE]],'RESUMEN CLIENTES'!D:D,'RESUMEN CLIENTES'!M:M)</f>
        <v>OK</v>
      </c>
      <c r="E290" s="72">
        <f>+_xlfn.XLOOKUP(Tabla6[[#This Row],[NOMBRE]],'RESUMEN CLIENTES'!A:A,'RESUMEN CLIENTES'!X:X)</f>
        <v>0.9</v>
      </c>
      <c r="F290" s="72">
        <f>+_xlfn.XLOOKUP(Tabla6[[#This Row],[ID CLIENTE]],'RESUMEN CLIENTES'!D:D,'RESUMEN CLIENTES'!W:W)</f>
        <v>1</v>
      </c>
      <c r="G290" s="17">
        <v>45887</v>
      </c>
      <c r="H290" s="44" t="s">
        <v>81</v>
      </c>
      <c r="I290" s="2">
        <v>1000</v>
      </c>
      <c r="J290" s="20" t="s">
        <v>693</v>
      </c>
      <c r="K290" t="s">
        <v>694</v>
      </c>
      <c r="L290" s="44" t="str" cm="1">
        <f t="array" ref="L290">+_xlfn.IFS(COUNTIF(INGRESOS!E:E,Tabla6[[#This Row],[ID FACTURA]])=1,"PAGADA",Tabla6[[#This Row],[ID FACTURA]]&lt;&gt;0,"EMITIDA",Tabla6[[#This Row],[ID FACTURA]]=0,"POR EMITIR")</f>
        <v>PAGADA</v>
      </c>
      <c r="M290" s="55">
        <f>+IF(Tabla6[[#This Row],[ESTADO FACTURA]]="PAGADA",Tabla6[[#This Row],[FECHA]]-_xlfn.XLOOKUP(Tabla6[[#This Row],[N° FACTURA]],INGRESOS!F:F,INGRESOS!A:A),"-")</f>
        <v>0</v>
      </c>
      <c r="N290" s="2"/>
      <c r="O290"/>
    </row>
    <row r="291" spans="1:15" ht="14.75" customHeight="1">
      <c r="A291" s="320" t="s">
        <v>695</v>
      </c>
      <c r="B291" t="str">
        <f>+_xlfn.XLOOKUP(Tabla6[[#This Row],[ID CLIENTE]],'RESUMEN CLIENTES'!D:D,'RESUMEN CLIENTES'!A:A)</f>
        <v>Olguer Ariel Pruna Herrera</v>
      </c>
      <c r="C291" t="str">
        <f>+_xlfn.XLOOKUP(Tabla6[[#This Row],[ID CLIENTE]],'RESUMEN CLIENTES'!D:D,'RESUMEN CLIENTES'!C:C)</f>
        <v>Ecuador</v>
      </c>
      <c r="D291" s="44" t="str">
        <f>+_xlfn.XLOOKUP(Tabla6[[#This Row],[ID CLIENTE]],'RESUMEN CLIENTES'!D:D,'RESUMEN CLIENTES'!M:M)</f>
        <v>OK</v>
      </c>
      <c r="E291" s="72">
        <f>+_xlfn.XLOOKUP(Tabla6[[#This Row],[NOMBRE]],'RESUMEN CLIENTES'!A:A,'RESUMEN CLIENTES'!X:X)</f>
        <v>0.25</v>
      </c>
      <c r="F291" s="72">
        <f>+_xlfn.XLOOKUP(Tabla6[[#This Row],[ID CLIENTE]],'RESUMEN CLIENTES'!D:D,'RESUMEN CLIENTES'!W:W)</f>
        <v>1</v>
      </c>
      <c r="G291" s="17">
        <v>45887</v>
      </c>
      <c r="H291" s="44" t="s">
        <v>81</v>
      </c>
      <c r="I291" s="2">
        <v>250</v>
      </c>
      <c r="J291" s="20" t="s">
        <v>696</v>
      </c>
      <c r="K291" t="s">
        <v>697</v>
      </c>
      <c r="L291" s="44" t="str" cm="1">
        <f t="array" ref="L291">+_xlfn.IFS(COUNTIF(INGRESOS!E:E,Tabla6[[#This Row],[ID FACTURA]])=1,"PAGADA",Tabla6[[#This Row],[ID FACTURA]]&lt;&gt;0,"EMITIDA",Tabla6[[#This Row],[ID FACTURA]]=0,"POR EMITIR")</f>
        <v>PAGADA</v>
      </c>
      <c r="M291" s="55">
        <f>+IF(Tabla6[[#This Row],[ESTADO FACTURA]]="PAGADA",Tabla6[[#This Row],[FECHA]]-_xlfn.XLOOKUP(Tabla6[[#This Row],[N° FACTURA]],INGRESOS!F:F,INGRESOS!A:A),"-")</f>
        <v>5</v>
      </c>
      <c r="N291" s="2"/>
      <c r="O291"/>
    </row>
    <row r="292" spans="1:15" ht="14.75" customHeight="1">
      <c r="A292" s="320" t="s">
        <v>700</v>
      </c>
      <c r="B292" t="str">
        <f>+_xlfn.XLOOKUP(Tabla6[[#This Row],[ID CLIENTE]],'RESUMEN CLIENTES'!D:D,'RESUMEN CLIENTES'!A:A)</f>
        <v>Ignacio Manuel Jesus Orellana Gutiérrez</v>
      </c>
      <c r="C292" t="str">
        <f>+_xlfn.XLOOKUP(Tabla6[[#This Row],[ID CLIENTE]],'RESUMEN CLIENTES'!D:D,'RESUMEN CLIENTES'!C:C)</f>
        <v>Chile</v>
      </c>
      <c r="D292" s="44" t="str">
        <f>+_xlfn.XLOOKUP(Tabla6[[#This Row],[ID CLIENTE]],'RESUMEN CLIENTES'!D:D,'RESUMEN CLIENTES'!M:M)</f>
        <v>OK</v>
      </c>
      <c r="E292" s="72">
        <f>+_xlfn.XLOOKUP(Tabla6[[#This Row],[NOMBRE]],'RESUMEN CLIENTES'!A:A,'RESUMEN CLIENTES'!X:X)</f>
        <v>2.4</v>
      </c>
      <c r="F292" s="72">
        <f>+_xlfn.XLOOKUP(Tabla6[[#This Row],[ID CLIENTE]],'RESUMEN CLIENTES'!D:D,'RESUMEN CLIENTES'!W:W)</f>
        <v>0</v>
      </c>
      <c r="G292" s="17">
        <v>45888</v>
      </c>
      <c r="H292" s="44" t="s">
        <v>81</v>
      </c>
      <c r="I292" s="2">
        <v>250</v>
      </c>
      <c r="J292" s="20" t="s">
        <v>701</v>
      </c>
      <c r="K292" t="s">
        <v>702</v>
      </c>
      <c r="L292" s="44" t="str" cm="1">
        <f t="array" ref="L292">+_xlfn.IFS(COUNTIF(INGRESOS!E:E,Tabla6[[#This Row],[ID FACTURA]])=1,"PAGADA",Tabla6[[#This Row],[ID FACTURA]]&lt;&gt;0,"EMITIDA",Tabla6[[#This Row],[ID FACTURA]]=0,"POR EMITIR")</f>
        <v>PAGADA</v>
      </c>
      <c r="M292" s="55">
        <f>+IF(Tabla6[[#This Row],[ESTADO FACTURA]]="PAGADA",Tabla6[[#This Row],[FECHA]]-_xlfn.XLOOKUP(Tabla6[[#This Row],[N° FACTURA]],INGRESOS!F:F,INGRESOS!A:A),"-")</f>
        <v>1</v>
      </c>
      <c r="N292" s="2"/>
      <c r="O292"/>
    </row>
    <row r="293" spans="1:15" ht="14.75" customHeight="1">
      <c r="A293" s="320" t="s">
        <v>703</v>
      </c>
      <c r="B293" t="str">
        <f>+_xlfn.XLOOKUP(Tabla6[[#This Row],[ID CLIENTE]],'RESUMEN CLIENTES'!D:D,'RESUMEN CLIENTES'!A:A)</f>
        <v>Maira Paz Navas Sánchez</v>
      </c>
      <c r="C293" t="str">
        <f>+_xlfn.XLOOKUP(Tabla6[[#This Row],[ID CLIENTE]],'RESUMEN CLIENTES'!D:D,'RESUMEN CLIENTES'!C:C)</f>
        <v>Chile</v>
      </c>
      <c r="D293" s="44" t="str">
        <f>+_xlfn.XLOOKUP(Tabla6[[#This Row],[ID CLIENTE]],'RESUMEN CLIENTES'!D:D,'RESUMEN CLIENTES'!M:M)</f>
        <v>OK</v>
      </c>
      <c r="E293" s="72">
        <f>+_xlfn.XLOOKUP(Tabla6[[#This Row],[NOMBRE]],'RESUMEN CLIENTES'!A:A,'RESUMEN CLIENTES'!X:X)</f>
        <v>-1.75</v>
      </c>
      <c r="F293" s="72">
        <f>+_xlfn.XLOOKUP(Tabla6[[#This Row],[ID CLIENTE]],'RESUMEN CLIENTES'!D:D,'RESUMEN CLIENTES'!W:W)</f>
        <v>1</v>
      </c>
      <c r="G293" s="17">
        <v>45888</v>
      </c>
      <c r="H293" s="44" t="s">
        <v>81</v>
      </c>
      <c r="I293" s="2">
        <v>250</v>
      </c>
      <c r="J293" s="20" t="s">
        <v>704</v>
      </c>
      <c r="K293" t="s">
        <v>705</v>
      </c>
      <c r="L293" s="44" t="str" cm="1">
        <f t="array" ref="L293">+_xlfn.IFS(COUNTIF(INGRESOS!E:E,Tabla6[[#This Row],[ID FACTURA]])=1,"PAGADA",Tabla6[[#This Row],[ID FACTURA]]&lt;&gt;0,"EMITIDA",Tabla6[[#This Row],[ID FACTURA]]=0,"POR EMITIR")</f>
        <v>PAGADA</v>
      </c>
      <c r="M293" s="55">
        <f>+IF(Tabla6[[#This Row],[ESTADO FACTURA]]="PAGADA",Tabla6[[#This Row],[FECHA]]-_xlfn.XLOOKUP(Tabla6[[#This Row],[N° FACTURA]],INGRESOS!F:F,INGRESOS!A:A),"-")</f>
        <v>0</v>
      </c>
      <c r="N293" s="2"/>
      <c r="O293"/>
    </row>
    <row r="294" spans="1:15" ht="14.75" customHeight="1">
      <c r="A294" s="320" t="s">
        <v>706</v>
      </c>
      <c r="B294" t="str">
        <f>+_xlfn.XLOOKUP(Tabla6[[#This Row],[ID CLIENTE]],'RESUMEN CLIENTES'!D:D,'RESUMEN CLIENTES'!A:A)</f>
        <v>Virna Nathaly Montenegro Samaniego</v>
      </c>
      <c r="C294" t="str">
        <f>+_xlfn.XLOOKUP(Tabla6[[#This Row],[ID CLIENTE]],'RESUMEN CLIENTES'!D:D,'RESUMEN CLIENTES'!C:C)</f>
        <v>Ecuador</v>
      </c>
      <c r="D294" s="44" t="str">
        <f>+_xlfn.XLOOKUP(Tabla6[[#This Row],[ID CLIENTE]],'RESUMEN CLIENTES'!D:D,'RESUMEN CLIENTES'!M:M)</f>
        <v>OK</v>
      </c>
      <c r="E294" s="72">
        <f>+_xlfn.XLOOKUP(Tabla6[[#This Row],[NOMBRE]],'RESUMEN CLIENTES'!A:A,'RESUMEN CLIENTES'!X:X)</f>
        <v>7.375</v>
      </c>
      <c r="F294" s="72">
        <f>+_xlfn.XLOOKUP(Tabla6[[#This Row],[ID CLIENTE]],'RESUMEN CLIENTES'!D:D,'RESUMEN CLIENTES'!W:W)</f>
        <v>0</v>
      </c>
      <c r="G294" s="17">
        <v>45888</v>
      </c>
      <c r="H294" s="44" t="s">
        <v>81</v>
      </c>
      <c r="I294" s="2">
        <v>250</v>
      </c>
      <c r="J294" s="20" t="s">
        <v>707</v>
      </c>
      <c r="K294" t="s">
        <v>708</v>
      </c>
      <c r="L294" s="44" t="str" cm="1">
        <f t="array" ref="L294">+_xlfn.IFS(COUNTIF(INGRESOS!E:E,Tabla6[[#This Row],[ID FACTURA]])=1,"PAGADA",Tabla6[[#This Row],[ID FACTURA]]&lt;&gt;0,"EMITIDA",Tabla6[[#This Row],[ID FACTURA]]=0,"POR EMITIR")</f>
        <v>PAGADA</v>
      </c>
      <c r="M294" s="55">
        <f>+IF(Tabla6[[#This Row],[ESTADO FACTURA]]="PAGADA",Tabla6[[#This Row],[FECHA]]-_xlfn.XLOOKUP(Tabla6[[#This Row],[N° FACTURA]],INGRESOS!F:F,INGRESOS!A:A),"-")</f>
        <v>10</v>
      </c>
      <c r="N294" s="2"/>
      <c r="O294"/>
    </row>
    <row r="295" spans="1:15" ht="14.75" customHeight="1">
      <c r="A295" s="320" t="s">
        <v>574</v>
      </c>
      <c r="B295" t="str">
        <f>+_xlfn.XLOOKUP(Tabla6[[#This Row],[ID CLIENTE]],'RESUMEN CLIENTES'!D:D,'RESUMEN CLIENTES'!A:A)</f>
        <v>Astrid Mariam Enamorado Ortega</v>
      </c>
      <c r="C295" t="str">
        <f>+_xlfn.XLOOKUP(Tabla6[[#This Row],[ID CLIENTE]],'RESUMEN CLIENTES'!D:D,'RESUMEN CLIENTES'!C:C)</f>
        <v>Honduras</v>
      </c>
      <c r="D295" s="44" t="str">
        <f>+_xlfn.XLOOKUP(Tabla6[[#This Row],[ID CLIENTE]],'RESUMEN CLIENTES'!D:D,'RESUMEN CLIENTES'!M:M)</f>
        <v>OK</v>
      </c>
      <c r="E295" s="72">
        <f>+_xlfn.XLOOKUP(Tabla6[[#This Row],[NOMBRE]],'RESUMEN CLIENTES'!A:A,'RESUMEN CLIENTES'!X:X)</f>
        <v>-1.75</v>
      </c>
      <c r="F295" s="72">
        <f>+_xlfn.XLOOKUP(Tabla6[[#This Row],[ID CLIENTE]],'RESUMEN CLIENTES'!D:D,'RESUMEN CLIENTES'!W:W)</f>
        <v>0</v>
      </c>
      <c r="G295" s="17">
        <v>45889</v>
      </c>
      <c r="H295" s="44" t="s">
        <v>81</v>
      </c>
      <c r="I295" s="2">
        <v>1875</v>
      </c>
      <c r="J295" s="20" t="s">
        <v>709</v>
      </c>
      <c r="K295" t="s">
        <v>710</v>
      </c>
      <c r="L295" s="44" t="str" cm="1">
        <f t="array" ref="L295">+_xlfn.IFS(COUNTIF(INGRESOS!E:E,Tabla6[[#This Row],[ID FACTURA]])=1,"PAGADA",Tabla6[[#This Row],[ID FACTURA]]&lt;&gt;0,"EMITIDA",Tabla6[[#This Row],[ID FACTURA]]=0,"POR EMITIR")</f>
        <v>PAGADA</v>
      </c>
      <c r="M295" s="55">
        <f>+IF(Tabla6[[#This Row],[ESTADO FACTURA]]="PAGADA",Tabla6[[#This Row],[FECHA]]-_xlfn.XLOOKUP(Tabla6[[#This Row],[N° FACTURA]],INGRESOS!F:F,INGRESOS!A:A),"-")</f>
        <v>-1</v>
      </c>
      <c r="N295" s="2"/>
      <c r="O295"/>
    </row>
    <row r="296" spans="1:15" ht="14.75" customHeight="1">
      <c r="A296" s="320" t="s">
        <v>711</v>
      </c>
      <c r="B296" t="str">
        <f>+_xlfn.XLOOKUP(Tabla6[[#This Row],[ID CLIENTE]],'RESUMEN CLIENTES'!D:D,'RESUMEN CLIENTES'!A:A)</f>
        <v>Julian David Gutierrez Rodriguez</v>
      </c>
      <c r="C296" t="str">
        <f>+_xlfn.XLOOKUP(Tabla6[[#This Row],[ID CLIENTE]],'RESUMEN CLIENTES'!D:D,'RESUMEN CLIENTES'!C:C)</f>
        <v>Colombia</v>
      </c>
      <c r="D296" s="44" t="str">
        <f>+_xlfn.XLOOKUP(Tabla6[[#This Row],[ID CLIENTE]],'RESUMEN CLIENTES'!D:D,'RESUMEN CLIENTES'!M:M)</f>
        <v>OK</v>
      </c>
      <c r="E296" s="72">
        <f>+_xlfn.XLOOKUP(Tabla6[[#This Row],[NOMBRE]],'RESUMEN CLIENTES'!A:A,'RESUMEN CLIENTES'!X:X)</f>
        <v>0.7142857142857143</v>
      </c>
      <c r="F296" s="72">
        <f>+_xlfn.XLOOKUP(Tabla6[[#This Row],[ID CLIENTE]],'RESUMEN CLIENTES'!D:D,'RESUMEN CLIENTES'!W:W)</f>
        <v>1</v>
      </c>
      <c r="G296" s="17">
        <v>45889</v>
      </c>
      <c r="H296" s="44" t="s">
        <v>81</v>
      </c>
      <c r="I296" s="2">
        <v>250</v>
      </c>
      <c r="J296" s="20" t="s">
        <v>712</v>
      </c>
      <c r="K296" t="s">
        <v>713</v>
      </c>
      <c r="L296" s="44" t="str" cm="1">
        <f t="array" ref="L296">+_xlfn.IFS(COUNTIF(INGRESOS!E:E,Tabla6[[#This Row],[ID FACTURA]])=1,"PAGADA",Tabla6[[#This Row],[ID FACTURA]]&lt;&gt;0,"EMITIDA",Tabla6[[#This Row],[ID FACTURA]]=0,"POR EMITIR")</f>
        <v>PAGADA</v>
      </c>
      <c r="M296" s="55">
        <f>+IF(Tabla6[[#This Row],[ESTADO FACTURA]]="PAGADA",Tabla6[[#This Row],[FECHA]]-_xlfn.XLOOKUP(Tabla6[[#This Row],[N° FACTURA]],INGRESOS!F:F,INGRESOS!A:A),"-")</f>
        <v>0</v>
      </c>
      <c r="N296" s="2"/>
      <c r="O296"/>
    </row>
    <row r="297" spans="1:15" ht="14.75" customHeight="1">
      <c r="A297" s="320" t="s">
        <v>460</v>
      </c>
      <c r="B297" t="str">
        <f>+_xlfn.XLOOKUP(Tabla6[[#This Row],[ID CLIENTE]],'RESUMEN CLIENTES'!D:D,'RESUMEN CLIENTES'!A:A)</f>
        <v>Valeria Carolina Heredia Peña</v>
      </c>
      <c r="C297" t="str">
        <f>+_xlfn.XLOOKUP(Tabla6[[#This Row],[ID CLIENTE]],'RESUMEN CLIENTES'!D:D,'RESUMEN CLIENTES'!C:C)</f>
        <v>Bolivia</v>
      </c>
      <c r="D297" s="44" t="str">
        <f>+_xlfn.XLOOKUP(Tabla6[[#This Row],[ID CLIENTE]],'RESUMEN CLIENTES'!D:D,'RESUMEN CLIENTES'!M:M)</f>
        <v>OK</v>
      </c>
      <c r="E297" s="72">
        <f>+_xlfn.XLOOKUP(Tabla6[[#This Row],[NOMBRE]],'RESUMEN CLIENTES'!A:A,'RESUMEN CLIENTES'!X:X)</f>
        <v>2.5</v>
      </c>
      <c r="F297" s="72">
        <f>+_xlfn.XLOOKUP(Tabla6[[#This Row],[ID CLIENTE]],'RESUMEN CLIENTES'!D:D,'RESUMEN CLIENTES'!W:W)</f>
        <v>0</v>
      </c>
      <c r="G297" s="17">
        <v>45889</v>
      </c>
      <c r="H297" s="44" t="s">
        <v>81</v>
      </c>
      <c r="I297" s="2">
        <v>4000</v>
      </c>
      <c r="J297" s="20" t="s">
        <v>714</v>
      </c>
      <c r="K297" t="s">
        <v>715</v>
      </c>
      <c r="L297" s="44" t="str" cm="1">
        <f t="array" ref="L297">+_xlfn.IFS(COUNTIF(INGRESOS!E:E,Tabla6[[#This Row],[ID FACTURA]])=1,"PAGADA",Tabla6[[#This Row],[ID FACTURA]]&lt;&gt;0,"EMITIDA",Tabla6[[#This Row],[ID FACTURA]]=0,"POR EMITIR")</f>
        <v>PAGADA</v>
      </c>
      <c r="M297" s="55">
        <f>+IF(Tabla6[[#This Row],[ESTADO FACTURA]]="PAGADA",Tabla6[[#This Row],[FECHA]]-_xlfn.XLOOKUP(Tabla6[[#This Row],[N° FACTURA]],INGRESOS!F:F,INGRESOS!A:A),"-")</f>
        <v>5</v>
      </c>
      <c r="N297" s="2"/>
      <c r="O297"/>
    </row>
    <row r="298" spans="1:15" ht="14.75" customHeight="1">
      <c r="A298" s="320" t="s">
        <v>716</v>
      </c>
      <c r="B298" t="str">
        <f>+_xlfn.XLOOKUP(Tabla6[[#This Row],[ID CLIENTE]],'RESUMEN CLIENTES'!D:D,'RESUMEN CLIENTES'!A:A)</f>
        <v>Sofia Martínez Restrepo</v>
      </c>
      <c r="C298" t="str">
        <f>+_xlfn.XLOOKUP(Tabla6[[#This Row],[ID CLIENTE]],'RESUMEN CLIENTES'!D:D,'RESUMEN CLIENTES'!C:C)</f>
        <v>Colombia</v>
      </c>
      <c r="D298" s="44" t="str">
        <f>+_xlfn.XLOOKUP(Tabla6[[#This Row],[ID CLIENTE]],'RESUMEN CLIENTES'!D:D,'RESUMEN CLIENTES'!M:M)</f>
        <v>OK</v>
      </c>
      <c r="E298" s="72">
        <f>+_xlfn.XLOOKUP(Tabla6[[#This Row],[NOMBRE]],'RESUMEN CLIENTES'!A:A,'RESUMEN CLIENTES'!X:X)</f>
        <v>-0.33333333333333331</v>
      </c>
      <c r="F298" s="72">
        <f>+_xlfn.XLOOKUP(Tabla6[[#This Row],[ID CLIENTE]],'RESUMEN CLIENTES'!D:D,'RESUMEN CLIENTES'!W:W)</f>
        <v>1</v>
      </c>
      <c r="G298" s="17">
        <v>45891</v>
      </c>
      <c r="H298" s="44" t="s">
        <v>81</v>
      </c>
      <c r="I298" s="2">
        <v>250</v>
      </c>
      <c r="J298" s="20" t="s">
        <v>717</v>
      </c>
      <c r="K298" t="s">
        <v>718</v>
      </c>
      <c r="L298" s="44" t="str" cm="1">
        <f t="array" ref="L298">+_xlfn.IFS(COUNTIF(INGRESOS!E:E,Tabla6[[#This Row],[ID FACTURA]])=1,"PAGADA",Tabla6[[#This Row],[ID FACTURA]]&lt;&gt;0,"EMITIDA",Tabla6[[#This Row],[ID FACTURA]]=0,"POR EMITIR")</f>
        <v>PAGADA</v>
      </c>
      <c r="M298" s="55">
        <f>+IF(Tabla6[[#This Row],[ESTADO FACTURA]]="PAGADA",Tabla6[[#This Row],[FECHA]]-_xlfn.XLOOKUP(Tabla6[[#This Row],[N° FACTURA]],INGRESOS!F:F,INGRESOS!A:A),"-")</f>
        <v>0</v>
      </c>
      <c r="N298" s="2"/>
      <c r="O298"/>
    </row>
    <row r="299" spans="1:15" ht="14.75" customHeight="1">
      <c r="A299" s="320" t="s">
        <v>250</v>
      </c>
      <c r="B299" t="str">
        <f>+_xlfn.XLOOKUP(Tabla6[[#This Row],[ID CLIENTE]],'RESUMEN CLIENTES'!D:D,'RESUMEN CLIENTES'!A:A)</f>
        <v>Fernanda Castro</v>
      </c>
      <c r="C299" t="str">
        <f>+_xlfn.XLOOKUP(Tabla6[[#This Row],[ID CLIENTE]],'RESUMEN CLIENTES'!D:D,'RESUMEN CLIENTES'!C:C)</f>
        <v>Ecuador</v>
      </c>
      <c r="D299" s="44" t="str">
        <f>+_xlfn.XLOOKUP(Tabla6[[#This Row],[ID CLIENTE]],'RESUMEN CLIENTES'!D:D,'RESUMEN CLIENTES'!M:M)</f>
        <v>OK</v>
      </c>
      <c r="E299" s="72">
        <f>+_xlfn.XLOOKUP(Tabla6[[#This Row],[NOMBRE]],'RESUMEN CLIENTES'!A:A,'RESUMEN CLIENTES'!X:X)</f>
        <v>0</v>
      </c>
      <c r="F299" s="72">
        <f>+_xlfn.XLOOKUP(Tabla6[[#This Row],[ID CLIENTE]],'RESUMEN CLIENTES'!D:D,'RESUMEN CLIENTES'!W:W)</f>
        <v>1</v>
      </c>
      <c r="G299" s="17">
        <v>45892</v>
      </c>
      <c r="H299" s="44" t="s">
        <v>81</v>
      </c>
      <c r="I299" s="2">
        <v>1000</v>
      </c>
      <c r="J299" s="20" t="s">
        <v>719</v>
      </c>
      <c r="K299" t="s">
        <v>720</v>
      </c>
      <c r="L299" s="44" t="str" cm="1">
        <f t="array" ref="L299">+_xlfn.IFS(COUNTIF(INGRESOS!E:E,Tabla6[[#This Row],[ID FACTURA]])=1,"PAGADA",Tabla6[[#This Row],[ID FACTURA]]&lt;&gt;0,"EMITIDA",Tabla6[[#This Row],[ID FACTURA]]=0,"POR EMITIR")</f>
        <v>PAGADA</v>
      </c>
      <c r="M299" s="55">
        <f>+IF(Tabla6[[#This Row],[ESTADO FACTURA]]="PAGADA",Tabla6[[#This Row],[FECHA]]-_xlfn.XLOOKUP(Tabla6[[#This Row],[N° FACTURA]],INGRESOS!F:F,INGRESOS!A:A),"-")</f>
        <v>0</v>
      </c>
      <c r="N299" s="2"/>
      <c r="O299"/>
    </row>
    <row r="300" spans="1:15" ht="14.75" customHeight="1">
      <c r="A300" s="320" t="s">
        <v>333</v>
      </c>
      <c r="B300" t="str">
        <f>+_xlfn.XLOOKUP(Tabla6[[#This Row],[ID CLIENTE]],'RESUMEN CLIENTES'!D:D,'RESUMEN CLIENTES'!A:A)</f>
        <v>Jorge Augusto Cámbara Vargas</v>
      </c>
      <c r="C300" t="str">
        <f>+_xlfn.XLOOKUP(Tabla6[[#This Row],[ID CLIENTE]],'RESUMEN CLIENTES'!D:D,'RESUMEN CLIENTES'!C:C)</f>
        <v>Guatemala</v>
      </c>
      <c r="D300" s="44" t="str">
        <f>+_xlfn.XLOOKUP(Tabla6[[#This Row],[ID CLIENTE]],'RESUMEN CLIENTES'!D:D,'RESUMEN CLIENTES'!M:M)</f>
        <v>OK</v>
      </c>
      <c r="E300" s="72">
        <f>+_xlfn.XLOOKUP(Tabla6[[#This Row],[NOMBRE]],'RESUMEN CLIENTES'!A:A,'RESUMEN CLIENTES'!X:X)</f>
        <v>0.1157407407331953</v>
      </c>
      <c r="F300" s="72">
        <f>+_xlfn.XLOOKUP(Tabla6[[#This Row],[ID CLIENTE]],'RESUMEN CLIENTES'!D:D,'RESUMEN CLIENTES'!W:W)</f>
        <v>1</v>
      </c>
      <c r="G300" s="17">
        <v>45894</v>
      </c>
      <c r="H300" s="44" t="s">
        <v>81</v>
      </c>
      <c r="I300" s="2">
        <v>2000</v>
      </c>
      <c r="J300" s="20" t="s">
        <v>721</v>
      </c>
      <c r="K300" t="s">
        <v>722</v>
      </c>
      <c r="L300" s="44" t="str" cm="1">
        <f t="array" ref="L300">+_xlfn.IFS(COUNTIF(INGRESOS!E:E,Tabla6[[#This Row],[ID FACTURA]])=1,"PAGADA",Tabla6[[#This Row],[ID FACTURA]]&lt;&gt;0,"EMITIDA",Tabla6[[#This Row],[ID FACTURA]]=0,"POR EMITIR")</f>
        <v>PAGADA</v>
      </c>
      <c r="M300" s="55">
        <f>+IF(Tabla6[[#This Row],[ESTADO FACTURA]]="PAGADA",Tabla6[[#This Row],[FECHA]]-_xlfn.XLOOKUP(Tabla6[[#This Row],[N° FACTURA]],INGRESOS!F:F,INGRESOS!A:A),"-")</f>
        <v>0</v>
      </c>
      <c r="N300" s="2"/>
      <c r="O300"/>
    </row>
    <row r="301" spans="1:15" ht="14.75" customHeight="1">
      <c r="A301" s="320" t="s">
        <v>322</v>
      </c>
      <c r="B301" t="str">
        <f>+_xlfn.XLOOKUP(Tabla6[[#This Row],[ID CLIENTE]],'RESUMEN CLIENTES'!D:D,'RESUMEN CLIENTES'!A:A)</f>
        <v>Mauricio Ignacio Alcayaga Romo</v>
      </c>
      <c r="C301" t="str">
        <f>+_xlfn.XLOOKUP(Tabla6[[#This Row],[ID CLIENTE]],'RESUMEN CLIENTES'!D:D,'RESUMEN CLIENTES'!C:C)</f>
        <v>Chile</v>
      </c>
      <c r="D301" s="44" t="str">
        <f>+_xlfn.XLOOKUP(Tabla6[[#This Row],[ID CLIENTE]],'RESUMEN CLIENTES'!D:D,'RESUMEN CLIENTES'!M:M)</f>
        <v>OK</v>
      </c>
      <c r="E301" s="72">
        <f>+_xlfn.XLOOKUP(Tabla6[[#This Row],[NOMBRE]],'RESUMEN CLIENTES'!A:A,'RESUMEN CLIENTES'!X:X)</f>
        <v>-0.3</v>
      </c>
      <c r="F301" s="72">
        <f>+_xlfn.XLOOKUP(Tabla6[[#This Row],[ID CLIENTE]],'RESUMEN CLIENTES'!D:D,'RESUMEN CLIENTES'!W:W)</f>
        <v>0</v>
      </c>
      <c r="G301" s="17">
        <v>45894</v>
      </c>
      <c r="H301" s="44" t="s">
        <v>81</v>
      </c>
      <c r="I301" s="2">
        <v>1000</v>
      </c>
      <c r="J301" s="20" t="s">
        <v>723</v>
      </c>
      <c r="K301" t="s">
        <v>724</v>
      </c>
      <c r="L301" s="44" t="str" cm="1">
        <f t="array" ref="L301">+_xlfn.IFS(COUNTIF(INGRESOS!E:E,Tabla6[[#This Row],[ID FACTURA]])=1,"PAGADA",Tabla6[[#This Row],[ID FACTURA]]&lt;&gt;0,"EMITIDA",Tabla6[[#This Row],[ID FACTURA]]=0,"POR EMITIR")</f>
        <v>PAGADA</v>
      </c>
      <c r="M301" s="55">
        <f>+IF(Tabla6[[#This Row],[ESTADO FACTURA]]="PAGADA",Tabla6[[#This Row],[FECHA]]-_xlfn.XLOOKUP(Tabla6[[#This Row],[N° FACTURA]],INGRESOS!F:F,INGRESOS!A:A),"-")</f>
        <v>0</v>
      </c>
      <c r="N301" s="2"/>
      <c r="O301"/>
    </row>
    <row r="302" spans="1:15" ht="14.75" customHeight="1">
      <c r="A302" s="320" t="s">
        <v>700</v>
      </c>
      <c r="B302" t="str">
        <f>+_xlfn.XLOOKUP(Tabla6[[#This Row],[ID CLIENTE]],'RESUMEN CLIENTES'!D:D,'RESUMEN CLIENTES'!A:A)</f>
        <v>Ignacio Manuel Jesus Orellana Gutiérrez</v>
      </c>
      <c r="C302" t="str">
        <f>+_xlfn.XLOOKUP(Tabla6[[#This Row],[ID CLIENTE]],'RESUMEN CLIENTES'!D:D,'RESUMEN CLIENTES'!C:C)</f>
        <v>Chile</v>
      </c>
      <c r="D302" s="44" t="str">
        <f>+_xlfn.XLOOKUP(Tabla6[[#This Row],[ID CLIENTE]],'RESUMEN CLIENTES'!D:D,'RESUMEN CLIENTES'!M:M)</f>
        <v>OK</v>
      </c>
      <c r="E302" s="72">
        <f>+_xlfn.XLOOKUP(Tabla6[[#This Row],[NOMBRE]],'RESUMEN CLIENTES'!A:A,'RESUMEN CLIENTES'!X:X)</f>
        <v>2.4</v>
      </c>
      <c r="F302" s="72">
        <f>+_xlfn.XLOOKUP(Tabla6[[#This Row],[ID CLIENTE]],'RESUMEN CLIENTES'!D:D,'RESUMEN CLIENTES'!W:W)</f>
        <v>0</v>
      </c>
      <c r="G302" s="17">
        <v>45895</v>
      </c>
      <c r="H302" s="44" t="s">
        <v>81</v>
      </c>
      <c r="I302" s="2">
        <v>1750</v>
      </c>
      <c r="J302" s="20" t="s">
        <v>725</v>
      </c>
      <c r="K302" t="s">
        <v>726</v>
      </c>
      <c r="L302" s="44" t="str" cm="1">
        <f t="array" ref="L302">+_xlfn.IFS(COUNTIF(INGRESOS!E:E,Tabla6[[#This Row],[ID FACTURA]])=1,"PAGADA",Tabla6[[#This Row],[ID FACTURA]]&lt;&gt;0,"EMITIDA",Tabla6[[#This Row],[ID FACTURA]]=0,"POR EMITIR")</f>
        <v>PAGADA</v>
      </c>
      <c r="M302" s="55">
        <f>+IF(Tabla6[[#This Row],[ESTADO FACTURA]]="PAGADA",Tabla6[[#This Row],[FECHA]]-_xlfn.XLOOKUP(Tabla6[[#This Row],[N° FACTURA]],INGRESOS!F:F,INGRESOS!A:A),"-")</f>
        <v>1</v>
      </c>
      <c r="N302" s="2"/>
      <c r="O302"/>
    </row>
    <row r="303" spans="1:15" ht="14.75" customHeight="1">
      <c r="A303" s="320" t="s">
        <v>727</v>
      </c>
      <c r="B303" t="str">
        <f>+_xlfn.XLOOKUP(Tabla6[[#This Row],[ID CLIENTE]],'RESUMEN CLIENTES'!D:D,'RESUMEN CLIENTES'!A:A)</f>
        <v>Marcia Arancibia Limachi</v>
      </c>
      <c r="C303" t="str">
        <f>+_xlfn.XLOOKUP(Tabla6[[#This Row],[ID CLIENTE]],'RESUMEN CLIENTES'!D:D,'RESUMEN CLIENTES'!C:C)</f>
        <v>Argentina</v>
      </c>
      <c r="D303" s="44" t="str">
        <f>+_xlfn.XLOOKUP(Tabla6[[#This Row],[ID CLIENTE]],'RESUMEN CLIENTES'!D:D,'RESUMEN CLIENTES'!M:M)</f>
        <v>EN PAUSA</v>
      </c>
      <c r="E303" s="72">
        <f>+_xlfn.XLOOKUP(Tabla6[[#This Row],[NOMBRE]],'RESUMEN CLIENTES'!A:A,'RESUMEN CLIENTES'!X:X)</f>
        <v>0</v>
      </c>
      <c r="F303" s="72">
        <f>+_xlfn.XLOOKUP(Tabla6[[#This Row],[ID CLIENTE]],'RESUMEN CLIENTES'!D:D,'RESUMEN CLIENTES'!W:W)</f>
        <v>0</v>
      </c>
      <c r="G303" s="17">
        <v>45895</v>
      </c>
      <c r="H303" s="44" t="s">
        <v>81</v>
      </c>
      <c r="I303" s="2">
        <v>250</v>
      </c>
      <c r="J303" s="20" t="s">
        <v>728</v>
      </c>
      <c r="K303" t="s">
        <v>729</v>
      </c>
      <c r="L303" s="44" t="str" cm="1">
        <f t="array" ref="L303">+_xlfn.IFS(COUNTIF(INGRESOS!E:E,Tabla6[[#This Row],[ID FACTURA]])=1,"PAGADA",Tabla6[[#This Row],[ID FACTURA]]&lt;&gt;0,"EMITIDA",Tabla6[[#This Row],[ID FACTURA]]=0,"POR EMITIR")</f>
        <v>PAGADA</v>
      </c>
      <c r="M303" s="55">
        <f>+IF(Tabla6[[#This Row],[ESTADO FACTURA]]="PAGADA",Tabla6[[#This Row],[FECHA]]-_xlfn.XLOOKUP(Tabla6[[#This Row],[N° FACTURA]],INGRESOS!F:F,INGRESOS!A:A),"-")</f>
        <v>0</v>
      </c>
      <c r="N303" s="2"/>
      <c r="O303"/>
    </row>
    <row r="304" spans="1:15" ht="14.75" customHeight="1">
      <c r="A304" s="320" t="s">
        <v>716</v>
      </c>
      <c r="B304" t="str">
        <f>+_xlfn.XLOOKUP(Tabla6[[#This Row],[ID CLIENTE]],'RESUMEN CLIENTES'!D:D,'RESUMEN CLIENTES'!A:A)</f>
        <v>Sofia Martínez Restrepo</v>
      </c>
      <c r="C304" t="str">
        <f>+_xlfn.XLOOKUP(Tabla6[[#This Row],[ID CLIENTE]],'RESUMEN CLIENTES'!D:D,'RESUMEN CLIENTES'!C:C)</f>
        <v>Colombia</v>
      </c>
      <c r="D304" s="44" t="str">
        <f>+_xlfn.XLOOKUP(Tabla6[[#This Row],[ID CLIENTE]],'RESUMEN CLIENTES'!D:D,'RESUMEN CLIENTES'!M:M)</f>
        <v>OK</v>
      </c>
      <c r="E304" s="72">
        <f>+_xlfn.XLOOKUP(Tabla6[[#This Row],[NOMBRE]],'RESUMEN CLIENTES'!A:A,'RESUMEN CLIENTES'!X:X)</f>
        <v>-0.33333333333333331</v>
      </c>
      <c r="F304" s="72">
        <f>+_xlfn.XLOOKUP(Tabla6[[#This Row],[ID CLIENTE]],'RESUMEN CLIENTES'!D:D,'RESUMEN CLIENTES'!W:W)</f>
        <v>1</v>
      </c>
      <c r="G304" s="17">
        <v>45895</v>
      </c>
      <c r="H304" s="44" t="s">
        <v>81</v>
      </c>
      <c r="I304" s="2">
        <v>2000</v>
      </c>
      <c r="J304" s="20" t="s">
        <v>730</v>
      </c>
      <c r="K304" t="s">
        <v>731</v>
      </c>
      <c r="L304" s="44" t="str" cm="1">
        <f t="array" ref="L304">+_xlfn.IFS(COUNTIF(INGRESOS!E:E,Tabla6[[#This Row],[ID FACTURA]])=1,"PAGADA",Tabla6[[#This Row],[ID FACTURA]]&lt;&gt;0,"EMITIDA",Tabla6[[#This Row],[ID FACTURA]]=0,"POR EMITIR")</f>
        <v>PAGADA</v>
      </c>
      <c r="M304" s="55">
        <f>+IF(Tabla6[[#This Row],[ESTADO FACTURA]]="PAGADA",Tabla6[[#This Row],[FECHA]]-_xlfn.XLOOKUP(Tabla6[[#This Row],[N° FACTURA]],INGRESOS!F:F,INGRESOS!A:A),"-")</f>
        <v>0</v>
      </c>
      <c r="N304" s="2"/>
      <c r="O304"/>
    </row>
    <row r="305" spans="1:15" ht="14.75" customHeight="1">
      <c r="A305" s="320" t="s">
        <v>706</v>
      </c>
      <c r="B305" t="str">
        <f>+_xlfn.XLOOKUP(Tabla6[[#This Row],[ID CLIENTE]],'RESUMEN CLIENTES'!D:D,'RESUMEN CLIENTES'!A:A)</f>
        <v>Virna Nathaly Montenegro Samaniego</v>
      </c>
      <c r="C305" t="str">
        <f>+_xlfn.XLOOKUP(Tabla6[[#This Row],[ID CLIENTE]],'RESUMEN CLIENTES'!D:D,'RESUMEN CLIENTES'!C:C)</f>
        <v>Ecuador</v>
      </c>
      <c r="D305" s="44" t="str">
        <f>+_xlfn.XLOOKUP(Tabla6[[#This Row],[ID CLIENTE]],'RESUMEN CLIENTES'!D:D,'RESUMEN CLIENTES'!M:M)</f>
        <v>OK</v>
      </c>
      <c r="E305" s="72">
        <f>+_xlfn.XLOOKUP(Tabla6[[#This Row],[NOMBRE]],'RESUMEN CLIENTES'!A:A,'RESUMEN CLIENTES'!X:X)</f>
        <v>7.375</v>
      </c>
      <c r="F305" s="72">
        <f>+_xlfn.XLOOKUP(Tabla6[[#This Row],[ID CLIENTE]],'RESUMEN CLIENTES'!D:D,'RESUMEN CLIENTES'!W:W)</f>
        <v>0</v>
      </c>
      <c r="G305" s="17">
        <v>45895</v>
      </c>
      <c r="H305" s="44" t="s">
        <v>81</v>
      </c>
      <c r="I305" s="2">
        <v>3750</v>
      </c>
      <c r="J305" s="20" t="s">
        <v>732</v>
      </c>
      <c r="K305" t="s">
        <v>733</v>
      </c>
      <c r="L305" s="44" t="str" cm="1">
        <f t="array" ref="L305">+_xlfn.IFS(COUNTIF(INGRESOS!E:E,Tabla6[[#This Row],[ID FACTURA]])=1,"PAGADA",Tabla6[[#This Row],[ID FACTURA]]&lt;&gt;0,"EMITIDA",Tabla6[[#This Row],[ID FACTURA]]=0,"POR EMITIR")</f>
        <v>PAGADA</v>
      </c>
      <c r="M305" s="55">
        <f>+IF(Tabla6[[#This Row],[ESTADO FACTURA]]="PAGADA",Tabla6[[#This Row],[FECHA]]-_xlfn.XLOOKUP(Tabla6[[#This Row],[N° FACTURA]],INGRESOS!F:F,INGRESOS!A:A),"-")</f>
        <v>-2</v>
      </c>
      <c r="N305" s="2"/>
      <c r="O305" s="8"/>
    </row>
    <row r="306" spans="1:15" ht="14.75" customHeight="1">
      <c r="A306" s="320" t="s">
        <v>372</v>
      </c>
      <c r="B306" t="str">
        <f>+_xlfn.XLOOKUP(Tabla6[[#This Row],[ID CLIENTE]],'RESUMEN CLIENTES'!D:D,'RESUMEN CLIENTES'!A:A)</f>
        <v>Julio Nelson Adaros Moraga</v>
      </c>
      <c r="C306" t="str">
        <f>+_xlfn.XLOOKUP(Tabla6[[#This Row],[ID CLIENTE]],'RESUMEN CLIENTES'!D:D,'RESUMEN CLIENTES'!C:C)</f>
        <v>Chile</v>
      </c>
      <c r="D306" s="44" t="str">
        <f>+_xlfn.XLOOKUP(Tabla6[[#This Row],[ID CLIENTE]],'RESUMEN CLIENTES'!D:D,'RESUMEN CLIENTES'!M:M)</f>
        <v>OK</v>
      </c>
      <c r="E306" s="72">
        <f>+_xlfn.XLOOKUP(Tabla6[[#This Row],[NOMBRE]],'RESUMEN CLIENTES'!A:A,'RESUMEN CLIENTES'!X:X)</f>
        <v>1</v>
      </c>
      <c r="F306" s="72">
        <f>+_xlfn.XLOOKUP(Tabla6[[#This Row],[ID CLIENTE]],'RESUMEN CLIENTES'!D:D,'RESUMEN CLIENTES'!W:W)</f>
        <v>1</v>
      </c>
      <c r="G306" s="17">
        <v>45896</v>
      </c>
      <c r="H306" s="44" t="s">
        <v>81</v>
      </c>
      <c r="I306" s="2">
        <v>1000</v>
      </c>
      <c r="J306" s="20" t="s">
        <v>734</v>
      </c>
      <c r="K306" t="s">
        <v>735</v>
      </c>
      <c r="L306" s="44" t="str" cm="1">
        <f t="array" ref="L306">+_xlfn.IFS(COUNTIF(INGRESOS!E:E,Tabla6[[#This Row],[ID FACTURA]])=1,"PAGADA",Tabla6[[#This Row],[ID FACTURA]]&lt;&gt;0,"EMITIDA",Tabla6[[#This Row],[ID FACTURA]]=0,"POR EMITIR")</f>
        <v>PAGADA</v>
      </c>
      <c r="M306" s="55">
        <f>+IF(Tabla6[[#This Row],[ESTADO FACTURA]]="PAGADA",Tabla6[[#This Row],[FECHA]]-_xlfn.XLOOKUP(Tabla6[[#This Row],[N° FACTURA]],INGRESOS!F:F,INGRESOS!A:A),"-")</f>
        <v>1</v>
      </c>
      <c r="N306" s="2"/>
      <c r="O306"/>
    </row>
    <row r="307" spans="1:15" ht="14.75" customHeight="1">
      <c r="A307" s="320" t="s">
        <v>736</v>
      </c>
      <c r="B307" t="str">
        <f>+_xlfn.XLOOKUP(Tabla6[[#This Row],[ID CLIENTE]],'RESUMEN CLIENTES'!D:D,'RESUMEN CLIENTES'!A:A)</f>
        <v>Karen Felisa Valencia Grueso</v>
      </c>
      <c r="C307" t="str">
        <f>+_xlfn.XLOOKUP(Tabla6[[#This Row],[ID CLIENTE]],'RESUMEN CLIENTES'!D:D,'RESUMEN CLIENTES'!C:C)</f>
        <v>Colombia</v>
      </c>
      <c r="D307" s="44" t="str">
        <f>+_xlfn.XLOOKUP(Tabla6[[#This Row],[ID CLIENTE]],'RESUMEN CLIENTES'!D:D,'RESUMEN CLIENTES'!M:M)</f>
        <v>ELIMINADO</v>
      </c>
      <c r="E307" s="72">
        <f>+_xlfn.XLOOKUP(Tabla6[[#This Row],[NOMBRE]],'RESUMEN CLIENTES'!A:A,'RESUMEN CLIENTES'!X:X)</f>
        <v>0</v>
      </c>
      <c r="F307" s="72">
        <f>+_xlfn.XLOOKUP(Tabla6[[#This Row],[ID CLIENTE]],'RESUMEN CLIENTES'!D:D,'RESUMEN CLIENTES'!W:W)</f>
        <v>0</v>
      </c>
      <c r="G307" s="17">
        <v>45896</v>
      </c>
      <c r="H307" s="44" t="s">
        <v>81</v>
      </c>
      <c r="I307" s="2">
        <v>250</v>
      </c>
      <c r="J307" s="20" t="s">
        <v>737</v>
      </c>
      <c r="K307" t="s">
        <v>738</v>
      </c>
      <c r="L307" s="44" t="str" cm="1">
        <f t="array" ref="L307">+_xlfn.IFS(COUNTIF(INGRESOS!E:E,Tabla6[[#This Row],[ID FACTURA]])=1,"PAGADA",Tabla6[[#This Row],[ID FACTURA]]&lt;&gt;0,"EMITIDA",Tabla6[[#This Row],[ID FACTURA]]=0,"POR EMITIR")</f>
        <v>PAGADA</v>
      </c>
      <c r="M307" s="55">
        <f>+IF(Tabla6[[#This Row],[ESTADO FACTURA]]="PAGADA",Tabla6[[#This Row],[FECHA]]-_xlfn.XLOOKUP(Tabla6[[#This Row],[N° FACTURA]],INGRESOS!F:F,INGRESOS!A:A),"-")</f>
        <v>0</v>
      </c>
      <c r="N307" s="2"/>
      <c r="O307"/>
    </row>
    <row r="308" spans="1:15" ht="14.75" customHeight="1">
      <c r="A308" s="320" t="s">
        <v>739</v>
      </c>
      <c r="B308" t="str">
        <f>+_xlfn.XLOOKUP(Tabla6[[#This Row],[ID CLIENTE]],'RESUMEN CLIENTES'!D:D,'RESUMEN CLIENTES'!A:A)</f>
        <v>Gilberto Martiñon Torres</v>
      </c>
      <c r="C308" t="str">
        <f>+_xlfn.XLOOKUP(Tabla6[[#This Row],[ID CLIENTE]],'RESUMEN CLIENTES'!D:D,'RESUMEN CLIENTES'!C:C)</f>
        <v>México</v>
      </c>
      <c r="D308" s="44" t="str">
        <f>+_xlfn.XLOOKUP(Tabla6[[#This Row],[ID CLIENTE]],'RESUMEN CLIENTES'!D:D,'RESUMEN CLIENTES'!M:M)</f>
        <v>OK</v>
      </c>
      <c r="E308" s="72">
        <f>+_xlfn.XLOOKUP(Tabla6[[#This Row],[NOMBRE]],'RESUMEN CLIENTES'!A:A,'RESUMEN CLIENTES'!X:X)</f>
        <v>-0.625</v>
      </c>
      <c r="F308" s="72">
        <f>+_xlfn.XLOOKUP(Tabla6[[#This Row],[ID CLIENTE]],'RESUMEN CLIENTES'!D:D,'RESUMEN CLIENTES'!W:W)</f>
        <v>0</v>
      </c>
      <c r="G308" s="17">
        <v>45897</v>
      </c>
      <c r="H308" s="44" t="s">
        <v>81</v>
      </c>
      <c r="I308" s="2">
        <v>250</v>
      </c>
      <c r="J308" s="20" t="s">
        <v>740</v>
      </c>
      <c r="K308" t="s">
        <v>741</v>
      </c>
      <c r="L308" s="44" t="str" cm="1">
        <f t="array" ref="L308">+_xlfn.IFS(COUNTIF(INGRESOS!E:E,Tabla6[[#This Row],[ID FACTURA]])=1,"PAGADA",Tabla6[[#This Row],[ID FACTURA]]&lt;&gt;0,"EMITIDA",Tabla6[[#This Row],[ID FACTURA]]=0,"POR EMITIR")</f>
        <v>PAGADA</v>
      </c>
      <c r="M308" s="55">
        <f>+IF(Tabla6[[#This Row],[ESTADO FACTURA]]="PAGADA",Tabla6[[#This Row],[FECHA]]-_xlfn.XLOOKUP(Tabla6[[#This Row],[N° FACTURA]],INGRESOS!F:F,INGRESOS!A:A),"-")</f>
        <v>1</v>
      </c>
      <c r="N308" s="2"/>
      <c r="O308"/>
    </row>
    <row r="309" spans="1:15" ht="14.75" customHeight="1">
      <c r="A309" s="320" t="s">
        <v>703</v>
      </c>
      <c r="B309" t="str">
        <f>+_xlfn.XLOOKUP(Tabla6[[#This Row],[ID CLIENTE]],'RESUMEN CLIENTES'!D:D,'RESUMEN CLIENTES'!A:A)</f>
        <v>Maira Paz Navas Sánchez</v>
      </c>
      <c r="C309" t="str">
        <f>+_xlfn.XLOOKUP(Tabla6[[#This Row],[ID CLIENTE]],'RESUMEN CLIENTES'!D:D,'RESUMEN CLIENTES'!C:C)</f>
        <v>Chile</v>
      </c>
      <c r="D309" s="44" t="str">
        <f>+_xlfn.XLOOKUP(Tabla6[[#This Row],[ID CLIENTE]],'RESUMEN CLIENTES'!D:D,'RESUMEN CLIENTES'!M:M)</f>
        <v>OK</v>
      </c>
      <c r="E309" s="72">
        <f>+_xlfn.XLOOKUP(Tabla6[[#This Row],[NOMBRE]],'RESUMEN CLIENTES'!A:A,'RESUMEN CLIENTES'!X:X)</f>
        <v>-1.75</v>
      </c>
      <c r="F309" s="72">
        <f>+_xlfn.XLOOKUP(Tabla6[[#This Row],[ID CLIENTE]],'RESUMEN CLIENTES'!D:D,'RESUMEN CLIENTES'!W:W)</f>
        <v>1</v>
      </c>
      <c r="G309" s="17">
        <v>45897</v>
      </c>
      <c r="H309" s="44" t="s">
        <v>81</v>
      </c>
      <c r="I309" s="2">
        <v>1750</v>
      </c>
      <c r="J309" s="20" t="s">
        <v>742</v>
      </c>
      <c r="K309" t="s">
        <v>743</v>
      </c>
      <c r="L309" s="44" t="str" cm="1">
        <f t="array" ref="L309">+_xlfn.IFS(COUNTIF(INGRESOS!E:E,Tabla6[[#This Row],[ID FACTURA]])=1,"PAGADA",Tabla6[[#This Row],[ID FACTURA]]&lt;&gt;0,"EMITIDA",Tabla6[[#This Row],[ID FACTURA]]=0,"POR EMITIR")</f>
        <v>PAGADA</v>
      </c>
      <c r="M309" s="55">
        <f>+IF(Tabla6[[#This Row],[ESTADO FACTURA]]="PAGADA",Tabla6[[#This Row],[FECHA]]-_xlfn.XLOOKUP(Tabla6[[#This Row],[N° FACTURA]],INGRESOS!F:F,INGRESOS!A:A),"-")</f>
        <v>0</v>
      </c>
      <c r="N309" s="2"/>
      <c r="O309"/>
    </row>
    <row r="310" spans="1:15" ht="14.75" customHeight="1">
      <c r="A310" s="320" t="s">
        <v>744</v>
      </c>
      <c r="B310" t="str">
        <f>+_xlfn.XLOOKUP(Tabla6[[#This Row],[ID CLIENTE]],'RESUMEN CLIENTES'!D:D,'RESUMEN CLIENTES'!A:A)</f>
        <v>Martin Esteban Orellana Dominguez</v>
      </c>
      <c r="C310" t="str">
        <f>+_xlfn.XLOOKUP(Tabla6[[#This Row],[ID CLIENTE]],'RESUMEN CLIENTES'!D:D,'RESUMEN CLIENTES'!C:C)</f>
        <v>Ecuador</v>
      </c>
      <c r="D310" s="44" t="str">
        <f>+_xlfn.XLOOKUP(Tabla6[[#This Row],[ID CLIENTE]],'RESUMEN CLIENTES'!D:D,'RESUMEN CLIENTES'!M:M)</f>
        <v>OK</v>
      </c>
      <c r="E310" s="72">
        <f>+_xlfn.XLOOKUP(Tabla6[[#This Row],[NOMBRE]],'RESUMEN CLIENTES'!A:A,'RESUMEN CLIENTES'!X:X)</f>
        <v>-1.1428571428571428</v>
      </c>
      <c r="F310" s="72">
        <f>+_xlfn.XLOOKUP(Tabla6[[#This Row],[ID CLIENTE]],'RESUMEN CLIENTES'!D:D,'RESUMEN CLIENTES'!W:W)</f>
        <v>1</v>
      </c>
      <c r="G310" s="17">
        <v>45897</v>
      </c>
      <c r="H310" s="44" t="s">
        <v>81</v>
      </c>
      <c r="I310" s="2">
        <v>250</v>
      </c>
      <c r="J310" s="20" t="s">
        <v>745</v>
      </c>
      <c r="K310" t="s">
        <v>746</v>
      </c>
      <c r="L310" s="44" t="str" cm="1">
        <f t="array" ref="L310">+_xlfn.IFS(COUNTIF(INGRESOS!E:E,Tabla6[[#This Row],[ID FACTURA]])=1,"PAGADA",Tabla6[[#This Row],[ID FACTURA]]&lt;&gt;0,"EMITIDA",Tabla6[[#This Row],[ID FACTURA]]=0,"POR EMITIR")</f>
        <v>PAGADA</v>
      </c>
      <c r="M310" s="55">
        <f>+IF(Tabla6[[#This Row],[ESTADO FACTURA]]="PAGADA",Tabla6[[#This Row],[FECHA]]-_xlfn.XLOOKUP(Tabla6[[#This Row],[N° FACTURA]],INGRESOS!F:F,INGRESOS!A:A),"-")</f>
        <v>0</v>
      </c>
      <c r="N310" s="2"/>
      <c r="O310"/>
    </row>
    <row r="311" spans="1:15" ht="14.75" customHeight="1">
      <c r="A311" s="320" t="s">
        <v>716</v>
      </c>
      <c r="B311" t="str">
        <f>+_xlfn.XLOOKUP(Tabla6[[#This Row],[ID CLIENTE]],'RESUMEN CLIENTES'!D:D,'RESUMEN CLIENTES'!A:A)</f>
        <v>Sofia Martínez Restrepo</v>
      </c>
      <c r="C311" t="str">
        <f>+_xlfn.XLOOKUP(Tabla6[[#This Row],[ID CLIENTE]],'RESUMEN CLIENTES'!D:D,'RESUMEN CLIENTES'!C:C)</f>
        <v>Colombia</v>
      </c>
      <c r="D311" s="44" t="str">
        <f>+_xlfn.XLOOKUP(Tabla6[[#This Row],[ID CLIENTE]],'RESUMEN CLIENTES'!D:D,'RESUMEN CLIENTES'!M:M)</f>
        <v>OK</v>
      </c>
      <c r="E311" s="72">
        <f>+_xlfn.XLOOKUP(Tabla6[[#This Row],[NOMBRE]],'RESUMEN CLIENTES'!A:A,'RESUMEN CLIENTES'!X:X)</f>
        <v>-0.33333333333333331</v>
      </c>
      <c r="F311" s="72">
        <f>+_xlfn.XLOOKUP(Tabla6[[#This Row],[ID CLIENTE]],'RESUMEN CLIENTES'!D:D,'RESUMEN CLIENTES'!W:W)</f>
        <v>1</v>
      </c>
      <c r="G311" s="17">
        <v>45897</v>
      </c>
      <c r="H311" s="44" t="s">
        <v>81</v>
      </c>
      <c r="I311" s="2">
        <v>2000</v>
      </c>
      <c r="J311" s="20" t="s">
        <v>747</v>
      </c>
      <c r="K311" t="s">
        <v>748</v>
      </c>
      <c r="L311" s="44" t="str" cm="1">
        <f t="array" ref="L311">+_xlfn.IFS(COUNTIF(INGRESOS!E:E,Tabla6[[#This Row],[ID FACTURA]])=1,"PAGADA",Tabla6[[#This Row],[ID FACTURA]]&lt;&gt;0,"EMITIDA",Tabla6[[#This Row],[ID FACTURA]]=0,"POR EMITIR")</f>
        <v>PAGADA</v>
      </c>
      <c r="M311" s="55">
        <f>+IF(Tabla6[[#This Row],[ESTADO FACTURA]]="PAGADA",Tabla6[[#This Row],[FECHA]]-_xlfn.XLOOKUP(Tabla6[[#This Row],[N° FACTURA]],INGRESOS!F:F,INGRESOS!A:A),"-")</f>
        <v>0</v>
      </c>
      <c r="N311" s="2"/>
      <c r="O311"/>
    </row>
    <row r="312" spans="1:15" ht="14.75" customHeight="1">
      <c r="A312" s="320" t="s">
        <v>527</v>
      </c>
      <c r="B312" t="str">
        <f>+_xlfn.XLOOKUP(Tabla6[[#This Row],[ID CLIENTE]],'RESUMEN CLIENTES'!D:D,'RESUMEN CLIENTES'!A:A)</f>
        <v>Angie Pérez Cáceres</v>
      </c>
      <c r="C312" t="str">
        <f>+_xlfn.XLOOKUP(Tabla6[[#This Row],[ID CLIENTE]],'RESUMEN CLIENTES'!D:D,'RESUMEN CLIENTES'!C:C)</f>
        <v>Perú</v>
      </c>
      <c r="D312" s="44" t="str">
        <f>+_xlfn.XLOOKUP(Tabla6[[#This Row],[ID CLIENTE]],'RESUMEN CLIENTES'!D:D,'RESUMEN CLIENTES'!M:M)</f>
        <v>OK</v>
      </c>
      <c r="E312" s="72">
        <f>+_xlfn.XLOOKUP(Tabla6[[#This Row],[NOMBRE]],'RESUMEN CLIENTES'!A:A,'RESUMEN CLIENTES'!X:X)</f>
        <v>1.625</v>
      </c>
      <c r="F312" s="72">
        <f>+_xlfn.XLOOKUP(Tabla6[[#This Row],[ID CLIENTE]],'RESUMEN CLIENTES'!D:D,'RESUMEN CLIENTES'!W:W)</f>
        <v>0</v>
      </c>
      <c r="G312" s="17">
        <v>45898</v>
      </c>
      <c r="H312" s="44" t="s">
        <v>81</v>
      </c>
      <c r="I312" s="2">
        <v>3750</v>
      </c>
      <c r="J312" s="20" t="s">
        <v>749</v>
      </c>
      <c r="K312" t="s">
        <v>750</v>
      </c>
      <c r="L312" s="44" t="str" cm="1">
        <f t="array" ref="L312">+_xlfn.IFS(COUNTIF(INGRESOS!E:E,Tabla6[[#This Row],[ID FACTURA]])=1,"PAGADA",Tabla6[[#This Row],[ID FACTURA]]&lt;&gt;0,"EMITIDA",Tabla6[[#This Row],[ID FACTURA]]=0,"POR EMITIR")</f>
        <v>PAGADA</v>
      </c>
      <c r="M312" s="55">
        <f>+IF(Tabla6[[#This Row],[ESTADO FACTURA]]="PAGADA",Tabla6[[#This Row],[FECHA]]-_xlfn.XLOOKUP(Tabla6[[#This Row],[N° FACTURA]],INGRESOS!F:F,INGRESOS!A:A),"-")</f>
        <v>0</v>
      </c>
      <c r="N312" s="2"/>
      <c r="O312"/>
    </row>
    <row r="313" spans="1:15" ht="14.75" customHeight="1">
      <c r="A313" s="320" t="s">
        <v>751</v>
      </c>
      <c r="B313" t="str">
        <f>+_xlfn.XLOOKUP(Tabla6[[#This Row],[ID CLIENTE]],'RESUMEN CLIENTES'!D:D,'RESUMEN CLIENTES'!A:A)</f>
        <v>Carlos Alberto Suarez Hernandez</v>
      </c>
      <c r="C313" t="str">
        <f>+_xlfn.XLOOKUP(Tabla6[[#This Row],[ID CLIENTE]],'RESUMEN CLIENTES'!D:D,'RESUMEN CLIENTES'!C:C)</f>
        <v>Colombia</v>
      </c>
      <c r="D313" s="44" t="str">
        <f>+_xlfn.XLOOKUP(Tabla6[[#This Row],[ID CLIENTE]],'RESUMEN CLIENTES'!D:D,'RESUMEN CLIENTES'!M:M)</f>
        <v>OK</v>
      </c>
      <c r="E313" s="72">
        <f>+_xlfn.XLOOKUP(Tabla6[[#This Row],[NOMBRE]],'RESUMEN CLIENTES'!A:A,'RESUMEN CLIENTES'!X:X)</f>
        <v>0</v>
      </c>
      <c r="F313" s="72">
        <f>+_xlfn.XLOOKUP(Tabla6[[#This Row],[ID CLIENTE]],'RESUMEN CLIENTES'!D:D,'RESUMEN CLIENTES'!W:W)</f>
        <v>1</v>
      </c>
      <c r="G313" s="17">
        <v>45898</v>
      </c>
      <c r="H313" s="44" t="s">
        <v>81</v>
      </c>
      <c r="I313" s="2">
        <v>2000</v>
      </c>
      <c r="J313" s="20" t="s">
        <v>752</v>
      </c>
      <c r="K313" t="s">
        <v>753</v>
      </c>
      <c r="L313" s="44" t="str" cm="1">
        <f t="array" ref="L313">+_xlfn.IFS(COUNTIF(INGRESOS!E:E,Tabla6[[#This Row],[ID FACTURA]])=1,"PAGADA",Tabla6[[#This Row],[ID FACTURA]]&lt;&gt;0,"EMITIDA",Tabla6[[#This Row],[ID FACTURA]]=0,"POR EMITIR")</f>
        <v>PAGADA</v>
      </c>
      <c r="M313" s="55">
        <f>+IF(Tabla6[[#This Row],[ESTADO FACTURA]]="PAGADA",Tabla6[[#This Row],[FECHA]]-_xlfn.XLOOKUP(Tabla6[[#This Row],[N° FACTURA]],INGRESOS!F:F,INGRESOS!A:A),"-")</f>
        <v>-1</v>
      </c>
      <c r="N313" s="2"/>
      <c r="O313"/>
    </row>
    <row r="314" spans="1:15" ht="14.75" customHeight="1">
      <c r="A314" s="320" t="s">
        <v>751</v>
      </c>
      <c r="B314" t="str">
        <f>+_xlfn.XLOOKUP(Tabla6[[#This Row],[ID CLIENTE]],'RESUMEN CLIENTES'!D:D,'RESUMEN CLIENTES'!A:A)</f>
        <v>Carlos Alberto Suarez Hernandez</v>
      </c>
      <c r="C314" t="str">
        <f>+_xlfn.XLOOKUP(Tabla6[[#This Row],[ID CLIENTE]],'RESUMEN CLIENTES'!D:D,'RESUMEN CLIENTES'!C:C)</f>
        <v>Colombia</v>
      </c>
      <c r="D314" s="44" t="str">
        <f>+_xlfn.XLOOKUP(Tabla6[[#This Row],[ID CLIENTE]],'RESUMEN CLIENTES'!D:D,'RESUMEN CLIENTES'!M:M)</f>
        <v>OK</v>
      </c>
      <c r="E314" s="72">
        <f>+_xlfn.XLOOKUP(Tabla6[[#This Row],[NOMBRE]],'RESUMEN CLIENTES'!A:A,'RESUMEN CLIENTES'!X:X)</f>
        <v>0</v>
      </c>
      <c r="F314" s="72">
        <f>+_xlfn.XLOOKUP(Tabla6[[#This Row],[ID CLIENTE]],'RESUMEN CLIENTES'!D:D,'RESUMEN CLIENTES'!W:W)</f>
        <v>1</v>
      </c>
      <c r="G314" s="17">
        <v>45898</v>
      </c>
      <c r="H314" s="44" t="s">
        <v>81</v>
      </c>
      <c r="I314" s="2">
        <v>2000</v>
      </c>
      <c r="J314" s="20" t="s">
        <v>754</v>
      </c>
      <c r="K314" t="s">
        <v>755</v>
      </c>
      <c r="L314" s="44" t="str" cm="1">
        <f t="array" ref="L314">+_xlfn.IFS(COUNTIF(INGRESOS!E:E,Tabla6[[#This Row],[ID FACTURA]])=1,"PAGADA",Tabla6[[#This Row],[ID FACTURA]]&lt;&gt;0,"EMITIDA",Tabla6[[#This Row],[ID FACTURA]]=0,"POR EMITIR")</f>
        <v>PAGADA</v>
      </c>
      <c r="M314" s="55">
        <f>+IF(Tabla6[[#This Row],[ESTADO FACTURA]]="PAGADA",Tabla6[[#This Row],[FECHA]]-_xlfn.XLOOKUP(Tabla6[[#This Row],[N° FACTURA]],INGRESOS!F:F,INGRESOS!A:A),"-")</f>
        <v>0</v>
      </c>
      <c r="N314" s="2"/>
      <c r="O314"/>
    </row>
    <row r="315" spans="1:15" ht="14.75" customHeight="1">
      <c r="A315" s="320" t="s">
        <v>756</v>
      </c>
      <c r="B315" t="str">
        <f>+_xlfn.XLOOKUP(Tabla6[[#This Row],[ID CLIENTE]],'RESUMEN CLIENTES'!D:D,'RESUMEN CLIENTES'!A:A)</f>
        <v>Daniela Luise Reisenegger Scheel</v>
      </c>
      <c r="C315" t="str">
        <f>+_xlfn.XLOOKUP(Tabla6[[#This Row],[ID CLIENTE]],'RESUMEN CLIENTES'!D:D,'RESUMEN CLIENTES'!C:C)</f>
        <v>Chile</v>
      </c>
      <c r="D315" s="44" t="str">
        <f>+_xlfn.XLOOKUP(Tabla6[[#This Row],[ID CLIENTE]],'RESUMEN CLIENTES'!D:D,'RESUMEN CLIENTES'!M:M)</f>
        <v>ELIMINADO</v>
      </c>
      <c r="E315" s="72">
        <f>+_xlfn.XLOOKUP(Tabla6[[#This Row],[NOMBRE]],'RESUMEN CLIENTES'!A:A,'RESUMEN CLIENTES'!X:X)</f>
        <v>-4.333333333333333</v>
      </c>
      <c r="F315" s="72">
        <f>+_xlfn.XLOOKUP(Tabla6[[#This Row],[ID CLIENTE]],'RESUMEN CLIENTES'!D:D,'RESUMEN CLIENTES'!W:W)</f>
        <v>0</v>
      </c>
      <c r="G315" s="17">
        <v>45898</v>
      </c>
      <c r="H315" s="44" t="s">
        <v>81</v>
      </c>
      <c r="I315" s="2">
        <v>250</v>
      </c>
      <c r="J315" s="20" t="s">
        <v>757</v>
      </c>
      <c r="K315" t="s">
        <v>758</v>
      </c>
      <c r="L315" s="44" t="str" cm="1">
        <f t="array" ref="L315">+_xlfn.IFS(COUNTIF(INGRESOS!E:E,Tabla6[[#This Row],[ID FACTURA]])=1,"PAGADA",Tabla6[[#This Row],[ID FACTURA]]&lt;&gt;0,"EMITIDA",Tabla6[[#This Row],[ID FACTURA]]=0,"POR EMITIR")</f>
        <v>PAGADA</v>
      </c>
      <c r="M315" s="55">
        <f>+IF(Tabla6[[#This Row],[ESTADO FACTURA]]="PAGADA",Tabla6[[#This Row],[FECHA]]-_xlfn.XLOOKUP(Tabla6[[#This Row],[N° FACTURA]],INGRESOS!F:F,INGRESOS!A:A),"-")</f>
        <v>0</v>
      </c>
      <c r="N315" s="2"/>
      <c r="O315"/>
    </row>
    <row r="316" spans="1:15" ht="14.75" customHeight="1">
      <c r="A316" s="320" t="s">
        <v>595</v>
      </c>
      <c r="B316" t="str">
        <f>+_xlfn.XLOOKUP(Tabla6[[#This Row],[ID CLIENTE]],'RESUMEN CLIENTES'!D:D,'RESUMEN CLIENTES'!A:A)</f>
        <v>Erick Leonardo Chiriboga Valdiviezo</v>
      </c>
      <c r="C316" t="str">
        <f>+_xlfn.XLOOKUP(Tabla6[[#This Row],[ID CLIENTE]],'RESUMEN CLIENTES'!D:D,'RESUMEN CLIENTES'!C:C)</f>
        <v>Ecuador</v>
      </c>
      <c r="D316" s="44" t="str">
        <f>+_xlfn.XLOOKUP(Tabla6[[#This Row],[ID CLIENTE]],'RESUMEN CLIENTES'!D:D,'RESUMEN CLIENTES'!M:M)</f>
        <v>OK</v>
      </c>
      <c r="E316" s="72">
        <f>+_xlfn.XLOOKUP(Tabla6[[#This Row],[NOMBRE]],'RESUMEN CLIENTES'!A:A,'RESUMEN CLIENTES'!X:X)</f>
        <v>-0.33333333333333331</v>
      </c>
      <c r="F316" s="72">
        <f>+_xlfn.XLOOKUP(Tabla6[[#This Row],[ID CLIENTE]],'RESUMEN CLIENTES'!D:D,'RESUMEN CLIENTES'!W:W)</f>
        <v>0</v>
      </c>
      <c r="G316" s="17">
        <v>45898</v>
      </c>
      <c r="H316" s="44" t="s">
        <v>81</v>
      </c>
      <c r="I316" s="2">
        <v>4230</v>
      </c>
      <c r="J316" s="20" t="s">
        <v>759</v>
      </c>
      <c r="K316" t="s">
        <v>760</v>
      </c>
      <c r="L316" s="44" t="str" cm="1">
        <f t="array" ref="L316">+_xlfn.IFS(COUNTIF(INGRESOS!E:E,Tabla6[[#This Row],[ID FACTURA]])=1,"PAGADA",Tabla6[[#This Row],[ID FACTURA]]&lt;&gt;0,"EMITIDA",Tabla6[[#This Row],[ID FACTURA]]=0,"POR EMITIR")</f>
        <v>PAGADA</v>
      </c>
      <c r="M316" s="55">
        <f>+IF(Tabla6[[#This Row],[ESTADO FACTURA]]="PAGADA",Tabla6[[#This Row],[FECHA]]-_xlfn.XLOOKUP(Tabla6[[#This Row],[N° FACTURA]],INGRESOS!F:F,INGRESOS!A:A),"-")</f>
        <v>1</v>
      </c>
      <c r="N316" s="2"/>
      <c r="O316" t="s">
        <v>761</v>
      </c>
    </row>
    <row r="317" spans="1:15" ht="14.75" customHeight="1">
      <c r="A317" s="320" t="s">
        <v>762</v>
      </c>
      <c r="B317" t="str">
        <f>+_xlfn.XLOOKUP(Tabla6[[#This Row],[ID CLIENTE]],'RESUMEN CLIENTES'!D:D,'RESUMEN CLIENTES'!A:A)</f>
        <v>María Stefania Gelvez Olaya</v>
      </c>
      <c r="C317" t="str">
        <f>+_xlfn.XLOOKUP(Tabla6[[#This Row],[ID CLIENTE]],'RESUMEN CLIENTES'!D:D,'RESUMEN CLIENTES'!C:C)</f>
        <v>Colombia</v>
      </c>
      <c r="D317" s="44" t="str">
        <f>+_xlfn.XLOOKUP(Tabla6[[#This Row],[ID CLIENTE]],'RESUMEN CLIENTES'!D:D,'RESUMEN CLIENTES'!M:M)</f>
        <v>OK</v>
      </c>
      <c r="E317" s="72">
        <f>+_xlfn.XLOOKUP(Tabla6[[#This Row],[NOMBRE]],'RESUMEN CLIENTES'!A:A,'RESUMEN CLIENTES'!X:X)</f>
        <v>-0.14285714285714285</v>
      </c>
      <c r="F317" s="72">
        <f>+_xlfn.XLOOKUP(Tabla6[[#This Row],[ID CLIENTE]],'RESUMEN CLIENTES'!D:D,'RESUMEN CLIENTES'!W:W)</f>
        <v>1</v>
      </c>
      <c r="G317" s="17">
        <v>45898</v>
      </c>
      <c r="H317" s="44" t="s">
        <v>81</v>
      </c>
      <c r="I317" s="2">
        <v>4000</v>
      </c>
      <c r="J317" s="20" t="s">
        <v>763</v>
      </c>
      <c r="K317" t="s">
        <v>764</v>
      </c>
      <c r="L317" s="44" t="str" cm="1">
        <f t="array" ref="L317">+_xlfn.IFS(COUNTIF(INGRESOS!E:E,Tabla6[[#This Row],[ID FACTURA]])=1,"PAGADA",Tabla6[[#This Row],[ID FACTURA]]&lt;&gt;0,"EMITIDA",Tabla6[[#This Row],[ID FACTURA]]=0,"POR EMITIR")</f>
        <v>PAGADA</v>
      </c>
      <c r="M317" s="55">
        <f>+IF(Tabla6[[#This Row],[ESTADO FACTURA]]="PAGADA",Tabla6[[#This Row],[FECHA]]-_xlfn.XLOOKUP(Tabla6[[#This Row],[N° FACTURA]],INGRESOS!F:F,INGRESOS!A:A),"-")</f>
        <v>0</v>
      </c>
      <c r="N317" s="2"/>
      <c r="O317"/>
    </row>
    <row r="318" spans="1:15" ht="14.75" customHeight="1">
      <c r="A318" s="320" t="s">
        <v>541</v>
      </c>
      <c r="B318" t="str">
        <f>+_xlfn.XLOOKUP(Tabla6[[#This Row],[ID CLIENTE]],'RESUMEN CLIENTES'!D:D,'RESUMEN CLIENTES'!A:A)</f>
        <v>Alejandra Goretti Figueroa Romo</v>
      </c>
      <c r="C318" t="str">
        <f>+_xlfn.XLOOKUP(Tabla6[[#This Row],[ID CLIENTE]],'RESUMEN CLIENTES'!D:D,'RESUMEN CLIENTES'!C:C)</f>
        <v>México</v>
      </c>
      <c r="D318" s="44" t="str">
        <f>+_xlfn.XLOOKUP(Tabla6[[#This Row],[ID CLIENTE]],'RESUMEN CLIENTES'!D:D,'RESUMEN CLIENTES'!M:M)</f>
        <v>OK</v>
      </c>
      <c r="E318" s="72">
        <f>+_xlfn.XLOOKUP(Tabla6[[#This Row],[NOMBRE]],'RESUMEN CLIENTES'!A:A,'RESUMEN CLIENTES'!X:X)</f>
        <v>0.75</v>
      </c>
      <c r="F318" s="72">
        <f>+_xlfn.XLOOKUP(Tabla6[[#This Row],[ID CLIENTE]],'RESUMEN CLIENTES'!D:D,'RESUMEN CLIENTES'!W:W)</f>
        <v>0</v>
      </c>
      <c r="G318" s="17">
        <v>45899</v>
      </c>
      <c r="H318" s="44" t="s">
        <v>81</v>
      </c>
      <c r="I318" s="2">
        <v>1500</v>
      </c>
      <c r="J318" s="20" t="s">
        <v>765</v>
      </c>
      <c r="K318" t="s">
        <v>766</v>
      </c>
      <c r="L318" s="44" t="str" cm="1">
        <f t="array" ref="L318">+_xlfn.IFS(COUNTIF(INGRESOS!E:E,Tabla6[[#This Row],[ID FACTURA]])=1,"PAGADA",Tabla6[[#This Row],[ID FACTURA]]&lt;&gt;0,"EMITIDA",Tabla6[[#This Row],[ID FACTURA]]=0,"POR EMITIR")</f>
        <v>PAGADA</v>
      </c>
      <c r="M318" s="55">
        <f>+IF(Tabla6[[#This Row],[ESTADO FACTURA]]="PAGADA",Tabla6[[#This Row],[FECHA]]-_xlfn.XLOOKUP(Tabla6[[#This Row],[N° FACTURA]],INGRESOS!F:F,INGRESOS!A:A),"-")</f>
        <v>2</v>
      </c>
      <c r="N318" s="2"/>
      <c r="O318"/>
    </row>
    <row r="319" spans="1:15" ht="14.75" customHeight="1">
      <c r="A319" s="320" t="s">
        <v>450</v>
      </c>
      <c r="B319" t="str">
        <f>+_xlfn.XLOOKUP(Tabla6[[#This Row],[ID CLIENTE]],'RESUMEN CLIENTES'!D:D,'RESUMEN CLIENTES'!A:A)</f>
        <v>Alexandra Carolina Ordoñez Cuotto</v>
      </c>
      <c r="C319" t="str">
        <f>+_xlfn.XLOOKUP(Tabla6[[#This Row],[ID CLIENTE]],'RESUMEN CLIENTES'!D:D,'RESUMEN CLIENTES'!C:C)</f>
        <v>Venezuela</v>
      </c>
      <c r="D319" s="44" t="str">
        <f>+_xlfn.XLOOKUP(Tabla6[[#This Row],[ID CLIENTE]],'RESUMEN CLIENTES'!D:D,'RESUMEN CLIENTES'!M:M)</f>
        <v>¡REGULARIZAR!</v>
      </c>
      <c r="E319" s="72">
        <f>+_xlfn.XLOOKUP(Tabla6[[#This Row],[NOMBRE]],'RESUMEN CLIENTES'!A:A,'RESUMEN CLIENTES'!X:X)</f>
        <v>-2</v>
      </c>
      <c r="F319" s="72">
        <f>+_xlfn.XLOOKUP(Tabla6[[#This Row],[ID CLIENTE]],'RESUMEN CLIENTES'!D:D,'RESUMEN CLIENTES'!W:W)</f>
        <v>0</v>
      </c>
      <c r="G319" s="17">
        <v>45899</v>
      </c>
      <c r="H319" s="44" t="s">
        <v>81</v>
      </c>
      <c r="I319" s="2">
        <v>1000</v>
      </c>
      <c r="J319" s="20" t="s">
        <v>767</v>
      </c>
      <c r="K319" t="s">
        <v>768</v>
      </c>
      <c r="L319" s="44" t="str" cm="1">
        <f t="array" ref="L319">+_xlfn.IFS(COUNTIF(INGRESOS!E:E,Tabla6[[#This Row],[ID FACTURA]])=1,"PAGADA",Tabla6[[#This Row],[ID FACTURA]]&lt;&gt;0,"EMITIDA",Tabla6[[#This Row],[ID FACTURA]]=0,"POR EMITIR")</f>
        <v>PAGADA</v>
      </c>
      <c r="M319" s="55">
        <f>+IF(Tabla6[[#This Row],[ESTADO FACTURA]]="PAGADA",Tabla6[[#This Row],[FECHA]]-_xlfn.XLOOKUP(Tabla6[[#This Row],[N° FACTURA]],INGRESOS!F:F,INGRESOS!A:A),"-")</f>
        <v>-2</v>
      </c>
      <c r="N319" s="2"/>
      <c r="O319"/>
    </row>
    <row r="320" spans="1:15" ht="14.75" customHeight="1">
      <c r="A320" s="320" t="s">
        <v>84</v>
      </c>
      <c r="B320" t="str">
        <f>+_xlfn.XLOOKUP(Tabla6[[#This Row],[ID CLIENTE]],'RESUMEN CLIENTES'!D:D,'RESUMEN CLIENTES'!A:A)</f>
        <v>Andrea Corpeño López</v>
      </c>
      <c r="C320" t="str">
        <f>+_xlfn.XLOOKUP(Tabla6[[#This Row],[ID CLIENTE]],'RESUMEN CLIENTES'!D:D,'RESUMEN CLIENTES'!C:C)</f>
        <v>El Salvador</v>
      </c>
      <c r="D320" s="44" t="str">
        <f>+_xlfn.XLOOKUP(Tabla6[[#This Row],[ID CLIENTE]],'RESUMEN CLIENTES'!D:D,'RESUMEN CLIENTES'!M:M)</f>
        <v>OK</v>
      </c>
      <c r="E320" s="72">
        <f>+_xlfn.XLOOKUP(Tabla6[[#This Row],[NOMBRE]],'RESUMEN CLIENTES'!A:A,'RESUMEN CLIENTES'!X:X)</f>
        <v>-0.81818181818181823</v>
      </c>
      <c r="F320" s="72">
        <f>+_xlfn.XLOOKUP(Tabla6[[#This Row],[ID CLIENTE]],'RESUMEN CLIENTES'!D:D,'RESUMEN CLIENTES'!W:W)</f>
        <v>0</v>
      </c>
      <c r="G320" s="17">
        <v>45899</v>
      </c>
      <c r="H320" s="44" t="s">
        <v>81</v>
      </c>
      <c r="I320" s="2">
        <v>350</v>
      </c>
      <c r="J320" s="20" t="s">
        <v>769</v>
      </c>
      <c r="K320" t="s">
        <v>770</v>
      </c>
      <c r="L320" s="44" t="str" cm="1">
        <f t="array" ref="L320">+_xlfn.IFS(COUNTIF(INGRESOS!E:E,Tabla6[[#This Row],[ID FACTURA]])=1,"PAGADA",Tabla6[[#This Row],[ID FACTURA]]&lt;&gt;0,"EMITIDA",Tabla6[[#This Row],[ID FACTURA]]=0,"POR EMITIR")</f>
        <v>PAGADA</v>
      </c>
      <c r="M320" s="55">
        <f>+IF(Tabla6[[#This Row],[ESTADO FACTURA]]="PAGADA",Tabla6[[#This Row],[FECHA]]-_xlfn.XLOOKUP(Tabla6[[#This Row],[N° FACTURA]],INGRESOS!F:F,INGRESOS!A:A),"-")</f>
        <v>-1</v>
      </c>
      <c r="N320" s="2"/>
      <c r="O320" s="8"/>
    </row>
    <row r="321" spans="1:15" ht="14.75" customHeight="1">
      <c r="A321" s="320" t="s">
        <v>530</v>
      </c>
      <c r="B321" t="str">
        <f>+_xlfn.XLOOKUP(Tabla6[[#This Row],[ID CLIENTE]],'RESUMEN CLIENTES'!D:D,'RESUMEN CLIENTES'!A:A)</f>
        <v>Antonio José Estrada Hoyo</v>
      </c>
      <c r="C321" t="str">
        <f>+_xlfn.XLOOKUP(Tabla6[[#This Row],[ID CLIENTE]],'RESUMEN CLIENTES'!D:D,'RESUMEN CLIENTES'!C:C)</f>
        <v>Venezuela</v>
      </c>
      <c r="D321" s="44" t="str">
        <f>+_xlfn.XLOOKUP(Tabla6[[#This Row],[ID CLIENTE]],'RESUMEN CLIENTES'!D:D,'RESUMEN CLIENTES'!M:M)</f>
        <v>OK</v>
      </c>
      <c r="E321" s="72">
        <f>+_xlfn.XLOOKUP(Tabla6[[#This Row],[NOMBRE]],'RESUMEN CLIENTES'!A:A,'RESUMEN CLIENTES'!X:X)</f>
        <v>0</v>
      </c>
      <c r="F321" s="72">
        <f>+_xlfn.XLOOKUP(Tabla6[[#This Row],[ID CLIENTE]],'RESUMEN CLIENTES'!D:D,'RESUMEN CLIENTES'!W:W)</f>
        <v>0</v>
      </c>
      <c r="G321" s="17">
        <v>45899</v>
      </c>
      <c r="H321" s="44" t="s">
        <v>81</v>
      </c>
      <c r="I321" s="2">
        <v>4000</v>
      </c>
      <c r="J321" s="20" t="s">
        <v>771</v>
      </c>
      <c r="K321" t="s">
        <v>772</v>
      </c>
      <c r="L321" s="44" t="str" cm="1">
        <f t="array" ref="L321">+_xlfn.IFS(COUNTIF(INGRESOS!E:E,Tabla6[[#This Row],[ID FACTURA]])=1,"PAGADA",Tabla6[[#This Row],[ID FACTURA]]&lt;&gt;0,"EMITIDA",Tabla6[[#This Row],[ID FACTURA]]=0,"POR EMITIR")</f>
        <v>PAGADA</v>
      </c>
      <c r="M321" s="55">
        <f>+IF(Tabla6[[#This Row],[ESTADO FACTURA]]="PAGADA",Tabla6[[#This Row],[FECHA]]-_xlfn.XLOOKUP(Tabla6[[#This Row],[N° FACTURA]],INGRESOS!F:F,INGRESOS!A:A),"-")</f>
        <v>0</v>
      </c>
      <c r="N321" s="2"/>
      <c r="O321" s="8"/>
    </row>
    <row r="322" spans="1:15" ht="14.75" customHeight="1">
      <c r="A322" s="320" t="s">
        <v>773</v>
      </c>
      <c r="B322" t="str">
        <f>+_xlfn.XLOOKUP(Tabla6[[#This Row],[ID CLIENTE]],'RESUMEN CLIENTES'!D:D,'RESUMEN CLIENTES'!A:A)</f>
        <v>Caren Alvarez Maciel</v>
      </c>
      <c r="C322" t="str">
        <f>+_xlfn.XLOOKUP(Tabla6[[#This Row],[ID CLIENTE]],'RESUMEN CLIENTES'!D:D,'RESUMEN CLIENTES'!C:C)</f>
        <v>Uruguay</v>
      </c>
      <c r="D322" s="44" t="str">
        <f>+_xlfn.XLOOKUP(Tabla6[[#This Row],[ID CLIENTE]],'RESUMEN CLIENTES'!D:D,'RESUMEN CLIENTES'!M:M)</f>
        <v>ELIMINADO</v>
      </c>
      <c r="E322" s="72">
        <f>+_xlfn.XLOOKUP(Tabla6[[#This Row],[NOMBRE]],'RESUMEN CLIENTES'!A:A,'RESUMEN CLIENTES'!X:X)</f>
        <v>-2</v>
      </c>
      <c r="F322" s="72">
        <f>+_xlfn.XLOOKUP(Tabla6[[#This Row],[ID CLIENTE]],'RESUMEN CLIENTES'!D:D,'RESUMEN CLIENTES'!W:W)</f>
        <v>1</v>
      </c>
      <c r="G322" s="17">
        <v>45899</v>
      </c>
      <c r="H322" s="44" t="s">
        <v>81</v>
      </c>
      <c r="I322" s="2">
        <v>250</v>
      </c>
      <c r="J322" s="20" t="s">
        <v>774</v>
      </c>
      <c r="K322" t="s">
        <v>775</v>
      </c>
      <c r="L322" s="44" t="str" cm="1">
        <f t="array" ref="L322">+_xlfn.IFS(COUNTIF(INGRESOS!E:E,Tabla6[[#This Row],[ID FACTURA]])=1,"PAGADA",Tabla6[[#This Row],[ID FACTURA]]&lt;&gt;0,"EMITIDA",Tabla6[[#This Row],[ID FACTURA]]=0,"POR EMITIR")</f>
        <v>PAGADA</v>
      </c>
      <c r="M322" s="55">
        <f>+IF(Tabla6[[#This Row],[ESTADO FACTURA]]="PAGADA",Tabla6[[#This Row],[FECHA]]-_xlfn.XLOOKUP(Tabla6[[#This Row],[N° FACTURA]],INGRESOS!F:F,INGRESOS!A:A),"-")</f>
        <v>0</v>
      </c>
      <c r="N322" s="2"/>
      <c r="O322"/>
    </row>
    <row r="323" spans="1:15" ht="14.75" customHeight="1">
      <c r="A323" s="320" t="s">
        <v>226</v>
      </c>
      <c r="B323" t="str">
        <f>+_xlfn.XLOOKUP(Tabla6[[#This Row],[ID CLIENTE]],'RESUMEN CLIENTES'!D:D,'RESUMEN CLIENTES'!A:A)</f>
        <v>Carlos Josue Escobar Morán</v>
      </c>
      <c r="C323" t="str">
        <f>+_xlfn.XLOOKUP(Tabla6[[#This Row],[ID CLIENTE]],'RESUMEN CLIENTES'!D:D,'RESUMEN CLIENTES'!C:C)</f>
        <v>El Salvador</v>
      </c>
      <c r="D323" s="44" t="str">
        <f>+_xlfn.XLOOKUP(Tabla6[[#This Row],[ID CLIENTE]],'RESUMEN CLIENTES'!D:D,'RESUMEN CLIENTES'!M:M)</f>
        <v>OK</v>
      </c>
      <c r="E323" s="72">
        <f>+_xlfn.XLOOKUP(Tabla6[[#This Row],[NOMBRE]],'RESUMEN CLIENTES'!A:A,'RESUMEN CLIENTES'!X:X)</f>
        <v>0.8</v>
      </c>
      <c r="F323" s="72">
        <f>+_xlfn.XLOOKUP(Tabla6[[#This Row],[ID CLIENTE]],'RESUMEN CLIENTES'!D:D,'RESUMEN CLIENTES'!W:W)</f>
        <v>0</v>
      </c>
      <c r="G323" s="17">
        <v>45899</v>
      </c>
      <c r="H323" s="44" t="s">
        <v>81</v>
      </c>
      <c r="I323" s="2">
        <v>500</v>
      </c>
      <c r="J323" s="20" t="s">
        <v>776</v>
      </c>
      <c r="K323" t="s">
        <v>777</v>
      </c>
      <c r="L323" s="44" t="str" cm="1">
        <f t="array" ref="L323">+_xlfn.IFS(COUNTIF(INGRESOS!E:E,Tabla6[[#This Row],[ID FACTURA]])=1,"PAGADA",Tabla6[[#This Row],[ID FACTURA]]&lt;&gt;0,"EMITIDA",Tabla6[[#This Row],[ID FACTURA]]=0,"POR EMITIR")</f>
        <v>PAGADA</v>
      </c>
      <c r="M323" s="55">
        <f>+IF(Tabla6[[#This Row],[ESTADO FACTURA]]="PAGADA",Tabla6[[#This Row],[FECHA]]-_xlfn.XLOOKUP(Tabla6[[#This Row],[N° FACTURA]],INGRESOS!F:F,INGRESOS!A:A),"-")</f>
        <v>2</v>
      </c>
      <c r="N323" s="2"/>
      <c r="O323"/>
    </row>
    <row r="324" spans="1:15" ht="14.75" customHeight="1">
      <c r="A324" s="320" t="s">
        <v>479</v>
      </c>
      <c r="B324" t="str">
        <f>+_xlfn.XLOOKUP(Tabla6[[#This Row],[ID CLIENTE]],'RESUMEN CLIENTES'!D:D,'RESUMEN CLIENTES'!A:A)</f>
        <v>Carlos Mersaim Olivares Sandoval</v>
      </c>
      <c r="C324" t="str">
        <f>+_xlfn.XLOOKUP(Tabla6[[#This Row],[ID CLIENTE]],'RESUMEN CLIENTES'!D:D,'RESUMEN CLIENTES'!C:C)</f>
        <v>México</v>
      </c>
      <c r="D324" s="44" t="str">
        <f>+_xlfn.XLOOKUP(Tabla6[[#This Row],[ID CLIENTE]],'RESUMEN CLIENTES'!D:D,'RESUMEN CLIENTES'!M:M)</f>
        <v>OK</v>
      </c>
      <c r="E324" s="72">
        <f>+_xlfn.XLOOKUP(Tabla6[[#This Row],[NOMBRE]],'RESUMEN CLIENTES'!A:A,'RESUMEN CLIENTES'!X:X)</f>
        <v>1.4444444444444444</v>
      </c>
      <c r="F324" s="72">
        <f>+_xlfn.XLOOKUP(Tabla6[[#This Row],[ID CLIENTE]],'RESUMEN CLIENTES'!D:D,'RESUMEN CLIENTES'!W:W)</f>
        <v>0</v>
      </c>
      <c r="G324" s="17">
        <v>45899</v>
      </c>
      <c r="H324" s="44" t="s">
        <v>81</v>
      </c>
      <c r="I324" s="2">
        <v>1000</v>
      </c>
      <c r="J324" s="20" t="s">
        <v>778</v>
      </c>
      <c r="K324" t="s">
        <v>779</v>
      </c>
      <c r="L324" s="44" t="str" cm="1">
        <f t="array" ref="L324">+_xlfn.IFS(COUNTIF(INGRESOS!E:E,Tabla6[[#This Row],[ID FACTURA]])=1,"PAGADA",Tabla6[[#This Row],[ID FACTURA]]&lt;&gt;0,"EMITIDA",Tabla6[[#This Row],[ID FACTURA]]=0,"POR EMITIR")</f>
        <v>PAGADA</v>
      </c>
      <c r="M324" s="55">
        <f>+IF(Tabla6[[#This Row],[ESTADO FACTURA]]="PAGADA",Tabla6[[#This Row],[FECHA]]-_xlfn.XLOOKUP(Tabla6[[#This Row],[N° FACTURA]],INGRESOS!F:F,INGRESOS!A:A),"-")</f>
        <v>1</v>
      </c>
      <c r="N324" s="2"/>
      <c r="O324"/>
    </row>
    <row r="325" spans="1:15" ht="14.75" customHeight="1">
      <c r="A325" s="320" t="s">
        <v>780</v>
      </c>
      <c r="B325" t="str">
        <f>+_xlfn.XLOOKUP(Tabla6[[#This Row],[ID CLIENTE]],'RESUMEN CLIENTES'!D:D,'RESUMEN CLIENTES'!A:A)</f>
        <v>Daniel Mauricio Rojas Pérez</v>
      </c>
      <c r="C325" t="str">
        <f>+_xlfn.XLOOKUP(Tabla6[[#This Row],[ID CLIENTE]],'RESUMEN CLIENTES'!D:D,'RESUMEN CLIENTES'!C:C)</f>
        <v>Colombia</v>
      </c>
      <c r="D325" s="44" t="str">
        <f>+_xlfn.XLOOKUP(Tabla6[[#This Row],[ID CLIENTE]],'RESUMEN CLIENTES'!D:D,'RESUMEN CLIENTES'!M:M)</f>
        <v>ELIMINADO</v>
      </c>
      <c r="E325" s="72">
        <f>+_xlfn.XLOOKUP(Tabla6[[#This Row],[NOMBRE]],'RESUMEN CLIENTES'!A:A,'RESUMEN CLIENTES'!X:X)</f>
        <v>-0.5</v>
      </c>
      <c r="F325" s="72">
        <f>+_xlfn.XLOOKUP(Tabla6[[#This Row],[ID CLIENTE]],'RESUMEN CLIENTES'!D:D,'RESUMEN CLIENTES'!W:W)</f>
        <v>0</v>
      </c>
      <c r="G325" s="17">
        <v>45899</v>
      </c>
      <c r="H325" s="44" t="s">
        <v>81</v>
      </c>
      <c r="I325" s="2">
        <v>2250</v>
      </c>
      <c r="J325" s="20" t="s">
        <v>781</v>
      </c>
      <c r="K325" t="s">
        <v>782</v>
      </c>
      <c r="L325" s="44" t="str" cm="1">
        <f t="array" ref="L325">+_xlfn.IFS(COUNTIF(INGRESOS!E:E,Tabla6[[#This Row],[ID FACTURA]])=1,"PAGADA",Tabla6[[#This Row],[ID FACTURA]]&lt;&gt;0,"EMITIDA",Tabla6[[#This Row],[ID FACTURA]]=0,"POR EMITIR")</f>
        <v>PAGADA</v>
      </c>
      <c r="M325" s="55">
        <f>+IF(Tabla6[[#This Row],[ESTADO FACTURA]]="PAGADA",Tabla6[[#This Row],[FECHA]]-_xlfn.XLOOKUP(Tabla6[[#This Row],[N° FACTURA]],INGRESOS!F:F,INGRESOS!A:A),"-")</f>
        <v>0</v>
      </c>
      <c r="N325" s="2"/>
      <c r="O325"/>
    </row>
    <row r="326" spans="1:15" ht="14.75" customHeight="1">
      <c r="A326" s="320" t="s">
        <v>115</v>
      </c>
      <c r="B326" t="str">
        <f>+_xlfn.XLOOKUP(Tabla6[[#This Row],[ID CLIENTE]],'RESUMEN CLIENTES'!D:D,'RESUMEN CLIENTES'!A:A)</f>
        <v>David Hernández Viveros</v>
      </c>
      <c r="C326" t="str">
        <f>+_xlfn.XLOOKUP(Tabla6[[#This Row],[ID CLIENTE]],'RESUMEN CLIENTES'!D:D,'RESUMEN CLIENTES'!C:C)</f>
        <v>México</v>
      </c>
      <c r="D326" s="44" t="str">
        <f>+_xlfn.XLOOKUP(Tabla6[[#This Row],[ID CLIENTE]],'RESUMEN CLIENTES'!D:D,'RESUMEN CLIENTES'!M:M)</f>
        <v>OK</v>
      </c>
      <c r="E326" s="72">
        <f>+_xlfn.XLOOKUP(Tabla6[[#This Row],[NOMBRE]],'RESUMEN CLIENTES'!A:A,'RESUMEN CLIENTES'!X:X)</f>
        <v>-0.5</v>
      </c>
      <c r="F326" s="72">
        <f>+_xlfn.XLOOKUP(Tabla6[[#This Row],[ID CLIENTE]],'RESUMEN CLIENTES'!D:D,'RESUMEN CLIENTES'!W:W)</f>
        <v>1</v>
      </c>
      <c r="G326" s="17">
        <v>45899</v>
      </c>
      <c r="H326" s="44" t="s">
        <v>81</v>
      </c>
      <c r="I326" s="2">
        <v>1300</v>
      </c>
      <c r="J326" s="20" t="s">
        <v>783</v>
      </c>
      <c r="K326" t="s">
        <v>784</v>
      </c>
      <c r="L326" s="44" t="str" cm="1">
        <f t="array" ref="L326">+_xlfn.IFS(COUNTIF(INGRESOS!E:E,Tabla6[[#This Row],[ID FACTURA]])=1,"PAGADA",Tabla6[[#This Row],[ID FACTURA]]&lt;&gt;0,"EMITIDA",Tabla6[[#This Row],[ID FACTURA]]=0,"POR EMITIR")</f>
        <v>PAGADA</v>
      </c>
      <c r="M326" s="55">
        <f>+IF(Tabla6[[#This Row],[ESTADO FACTURA]]="PAGADA",Tabla6[[#This Row],[FECHA]]-_xlfn.XLOOKUP(Tabla6[[#This Row],[N° FACTURA]],INGRESOS!F:F,INGRESOS!A:A),"-")</f>
        <v>2</v>
      </c>
      <c r="N326" s="2"/>
      <c r="O326"/>
    </row>
    <row r="327" spans="1:15" ht="14.75" customHeight="1">
      <c r="A327" s="320" t="s">
        <v>385</v>
      </c>
      <c r="B327" t="str">
        <f>+_xlfn.XLOOKUP(Tabla6[[#This Row],[ID CLIENTE]],'RESUMEN CLIENTES'!D:D,'RESUMEN CLIENTES'!A:A)</f>
        <v>Ellen Cristina Gerónimo Bonilla</v>
      </c>
      <c r="C327" t="str">
        <f>+_xlfn.XLOOKUP(Tabla6[[#This Row],[ID CLIENTE]],'RESUMEN CLIENTES'!D:D,'RESUMEN CLIENTES'!C:C)</f>
        <v>República Dominicana</v>
      </c>
      <c r="D327" s="44" t="str">
        <f>+_xlfn.XLOOKUP(Tabla6[[#This Row],[ID CLIENTE]],'RESUMEN CLIENTES'!D:D,'RESUMEN CLIENTES'!M:M)</f>
        <v>OK</v>
      </c>
      <c r="E327" s="72">
        <f>+_xlfn.XLOOKUP(Tabla6[[#This Row],[NOMBRE]],'RESUMEN CLIENTES'!A:A,'RESUMEN CLIENTES'!X:X)</f>
        <v>1.5555555555555556</v>
      </c>
      <c r="F327" s="72">
        <f>+_xlfn.XLOOKUP(Tabla6[[#This Row],[ID CLIENTE]],'RESUMEN CLIENTES'!D:D,'RESUMEN CLIENTES'!W:W)</f>
        <v>1</v>
      </c>
      <c r="G327" s="17">
        <v>45899</v>
      </c>
      <c r="H327" s="44" t="s">
        <v>81</v>
      </c>
      <c r="I327" s="2">
        <v>600</v>
      </c>
      <c r="J327" s="20" t="s">
        <v>785</v>
      </c>
      <c r="K327" t="s">
        <v>786</v>
      </c>
      <c r="L327" s="44" t="str" cm="1">
        <f t="array" ref="L327">+_xlfn.IFS(COUNTIF(INGRESOS!E:E,Tabla6[[#This Row],[ID FACTURA]])=1,"PAGADA",Tabla6[[#This Row],[ID FACTURA]]&lt;&gt;0,"EMITIDA",Tabla6[[#This Row],[ID FACTURA]]=0,"POR EMITIR")</f>
        <v>PAGADA</v>
      </c>
      <c r="M327" s="55">
        <f>+IF(Tabla6[[#This Row],[ESTADO FACTURA]]="PAGADA",Tabla6[[#This Row],[FECHA]]-_xlfn.XLOOKUP(Tabla6[[#This Row],[N° FACTURA]],INGRESOS!F:F,INGRESOS!A:A),"-")</f>
        <v>1</v>
      </c>
      <c r="N327" s="2"/>
      <c r="O327"/>
    </row>
    <row r="328" spans="1:15" ht="14.75" customHeight="1">
      <c r="A328" s="320" t="s">
        <v>787</v>
      </c>
      <c r="B328" t="str">
        <f>+_xlfn.XLOOKUP(Tabla6[[#This Row],[ID CLIENTE]],'RESUMEN CLIENTES'!D:D,'RESUMEN CLIENTES'!A:A)</f>
        <v>Florencia Luján Sapia</v>
      </c>
      <c r="C328" t="str">
        <f>+_xlfn.XLOOKUP(Tabla6[[#This Row],[ID CLIENTE]],'RESUMEN CLIENTES'!D:D,'RESUMEN CLIENTES'!C:C)</f>
        <v>Argentina</v>
      </c>
      <c r="D328" s="44" t="str">
        <f>+_xlfn.XLOOKUP(Tabla6[[#This Row],[ID CLIENTE]],'RESUMEN CLIENTES'!D:D,'RESUMEN CLIENTES'!M:M)</f>
        <v>OK</v>
      </c>
      <c r="E328" s="72">
        <f>+_xlfn.XLOOKUP(Tabla6[[#This Row],[NOMBRE]],'RESUMEN CLIENTES'!A:A,'RESUMEN CLIENTES'!X:X)</f>
        <v>-0.77777777777777779</v>
      </c>
      <c r="F328" s="72">
        <f>+_xlfn.XLOOKUP(Tabla6[[#This Row],[ID CLIENTE]],'RESUMEN CLIENTES'!D:D,'RESUMEN CLIENTES'!W:W)</f>
        <v>1</v>
      </c>
      <c r="G328" s="17">
        <v>45899</v>
      </c>
      <c r="H328" s="44" t="s">
        <v>81</v>
      </c>
      <c r="I328" s="2">
        <v>250</v>
      </c>
      <c r="J328" s="20" t="s">
        <v>788</v>
      </c>
      <c r="K328" t="s">
        <v>789</v>
      </c>
      <c r="L328" s="44" t="str" cm="1">
        <f t="array" ref="L328">+_xlfn.IFS(COUNTIF(INGRESOS!E:E,Tabla6[[#This Row],[ID FACTURA]])=1,"PAGADA",Tabla6[[#This Row],[ID FACTURA]]&lt;&gt;0,"EMITIDA",Tabla6[[#This Row],[ID FACTURA]]=0,"POR EMITIR")</f>
        <v>PAGADA</v>
      </c>
      <c r="M328" s="55">
        <f>+IF(Tabla6[[#This Row],[ESTADO FACTURA]]="PAGADA",Tabla6[[#This Row],[FECHA]]-_xlfn.XLOOKUP(Tabla6[[#This Row],[N° FACTURA]],INGRESOS!F:F,INGRESOS!A:A),"-")</f>
        <v>-1</v>
      </c>
      <c r="N328" s="2"/>
      <c r="O328"/>
    </row>
    <row r="329" spans="1:15" ht="15" customHeight="1">
      <c r="A329" s="320" t="s">
        <v>106</v>
      </c>
      <c r="B329" t="str">
        <f>+_xlfn.XLOOKUP(Tabla6[[#This Row],[ID CLIENTE]],'RESUMEN CLIENTES'!D:D,'RESUMEN CLIENTES'!A:A)</f>
        <v>Hector Armando Daza Mejia</v>
      </c>
      <c r="C329" t="str">
        <f>+_xlfn.XLOOKUP(Tabla6[[#This Row],[ID CLIENTE]],'RESUMEN CLIENTES'!D:D,'RESUMEN CLIENTES'!C:C)</f>
        <v>Colombia</v>
      </c>
      <c r="D329" s="44" t="str">
        <f>+_xlfn.XLOOKUP(Tabla6[[#This Row],[ID CLIENTE]],'RESUMEN CLIENTES'!D:D,'RESUMEN CLIENTES'!M:M)</f>
        <v>OK</v>
      </c>
      <c r="E329" s="72">
        <f>+_xlfn.XLOOKUP(Tabla6[[#This Row],[NOMBRE]],'RESUMEN CLIENTES'!A:A,'RESUMEN CLIENTES'!X:X)</f>
        <v>1.1111111111111112</v>
      </c>
      <c r="F329" s="72">
        <f>+_xlfn.XLOOKUP(Tabla6[[#This Row],[ID CLIENTE]],'RESUMEN CLIENTES'!D:D,'RESUMEN CLIENTES'!W:W)</f>
        <v>0</v>
      </c>
      <c r="G329" s="17">
        <v>45899</v>
      </c>
      <c r="H329" s="44" t="s">
        <v>81</v>
      </c>
      <c r="I329" s="2">
        <v>1500</v>
      </c>
      <c r="J329" s="20" t="s">
        <v>790</v>
      </c>
      <c r="K329" t="s">
        <v>791</v>
      </c>
      <c r="L329" s="44" t="str" cm="1">
        <f t="array" ref="L329">+_xlfn.IFS(COUNTIF(INGRESOS!E:E,Tabla6[[#This Row],[ID FACTURA]])=1,"PAGADA",Tabla6[[#This Row],[ID FACTURA]]&lt;&gt;0,"EMITIDA",Tabla6[[#This Row],[ID FACTURA]]=0,"POR EMITIR")</f>
        <v>PAGADA</v>
      </c>
      <c r="M329" s="55">
        <f>+IF(Tabla6[[#This Row],[ESTADO FACTURA]]="PAGADA",Tabla6[[#This Row],[FECHA]]-_xlfn.XLOOKUP(Tabla6[[#This Row],[N° FACTURA]],INGRESOS!F:F,INGRESOS!A:A),"-")</f>
        <v>2</v>
      </c>
      <c r="N329" s="2"/>
      <c r="O329"/>
    </row>
    <row r="330" spans="1:15" ht="15" customHeight="1">
      <c r="A330" s="320" t="s">
        <v>139</v>
      </c>
      <c r="B330" t="str">
        <f>+_xlfn.XLOOKUP(Tabla6[[#This Row],[ID CLIENTE]],'RESUMEN CLIENTES'!D:D,'RESUMEN CLIENTES'!A:A)</f>
        <v>Hugo Nicolás Trávez Morales</v>
      </c>
      <c r="C330" t="str">
        <f>+_xlfn.XLOOKUP(Tabla6[[#This Row],[ID CLIENTE]],'RESUMEN CLIENTES'!D:D,'RESUMEN CLIENTES'!C:C)</f>
        <v>Ecuador</v>
      </c>
      <c r="D330" s="44" t="str">
        <f>+_xlfn.XLOOKUP(Tabla6[[#This Row],[ID CLIENTE]],'RESUMEN CLIENTES'!D:D,'RESUMEN CLIENTES'!M:M)</f>
        <v>OK</v>
      </c>
      <c r="E330" s="72">
        <f>+_xlfn.XLOOKUP(Tabla6[[#This Row],[NOMBRE]],'RESUMEN CLIENTES'!A:A,'RESUMEN CLIENTES'!X:X)</f>
        <v>0</v>
      </c>
      <c r="F330" s="72">
        <f>+_xlfn.XLOOKUP(Tabla6[[#This Row],[ID CLIENTE]],'RESUMEN CLIENTES'!D:D,'RESUMEN CLIENTES'!W:W)</f>
        <v>0</v>
      </c>
      <c r="G330" s="17">
        <v>45899</v>
      </c>
      <c r="H330" s="44" t="s">
        <v>81</v>
      </c>
      <c r="I330" s="2">
        <v>1000</v>
      </c>
      <c r="J330" s="20" t="s">
        <v>792</v>
      </c>
      <c r="K330" t="s">
        <v>793</v>
      </c>
      <c r="L330" s="44" t="str" cm="1">
        <f t="array" ref="L330">+_xlfn.IFS(COUNTIF(INGRESOS!E:E,Tabla6[[#This Row],[ID FACTURA]])=1,"PAGADA",Tabla6[[#This Row],[ID FACTURA]]&lt;&gt;0,"EMITIDA",Tabla6[[#This Row],[ID FACTURA]]=0,"POR EMITIR")</f>
        <v>PAGADA</v>
      </c>
      <c r="M330" s="55">
        <f>+IF(Tabla6[[#This Row],[ESTADO FACTURA]]="PAGADA",Tabla6[[#This Row],[FECHA]]-_xlfn.XLOOKUP(Tabla6[[#This Row],[N° FACTURA]],INGRESOS!F:F,INGRESOS!A:A),"-")</f>
        <v>2</v>
      </c>
      <c r="N330" s="2"/>
      <c r="O330"/>
    </row>
    <row r="331" spans="1:15" ht="14.75" customHeight="1">
      <c r="A331" s="320" t="s">
        <v>87</v>
      </c>
      <c r="B331" t="str">
        <f>+_xlfn.XLOOKUP(Tabla6[[#This Row],[ID CLIENTE]],'RESUMEN CLIENTES'!D:D,'RESUMEN CLIENTES'!A:A)</f>
        <v>Jose Marcelo Marroquín Guzmán</v>
      </c>
      <c r="C331" t="str">
        <f>+_xlfn.XLOOKUP(Tabla6[[#This Row],[ID CLIENTE]],'RESUMEN CLIENTES'!D:D,'RESUMEN CLIENTES'!C:C)</f>
        <v>El Salvador</v>
      </c>
      <c r="D331" s="44" t="str">
        <f>+_xlfn.XLOOKUP(Tabla6[[#This Row],[ID CLIENTE]],'RESUMEN CLIENTES'!D:D,'RESUMEN CLIENTES'!M:M)</f>
        <v>OK</v>
      </c>
      <c r="E331" s="72">
        <f>+_xlfn.XLOOKUP(Tabla6[[#This Row],[NOMBRE]],'RESUMEN CLIENTES'!A:A,'RESUMEN CLIENTES'!X:X)</f>
        <v>-1.5833333333333333</v>
      </c>
      <c r="F331" s="72">
        <f>+_xlfn.XLOOKUP(Tabla6[[#This Row],[ID CLIENTE]],'RESUMEN CLIENTES'!D:D,'RESUMEN CLIENTES'!W:W)</f>
        <v>1</v>
      </c>
      <c r="G331" s="17">
        <v>45899</v>
      </c>
      <c r="H331" s="44" t="s">
        <v>81</v>
      </c>
      <c r="I331" s="2">
        <v>513</v>
      </c>
      <c r="J331" s="20" t="s">
        <v>794</v>
      </c>
      <c r="K331" t="s">
        <v>795</v>
      </c>
      <c r="L331" s="44" t="str" cm="1">
        <f t="array" ref="L331">+_xlfn.IFS(COUNTIF(INGRESOS!E:E,Tabla6[[#This Row],[ID FACTURA]])=1,"PAGADA",Tabla6[[#This Row],[ID FACTURA]]&lt;&gt;0,"EMITIDA",Tabla6[[#This Row],[ID FACTURA]]=0,"POR EMITIR")</f>
        <v>PAGADA</v>
      </c>
      <c r="M331" s="55">
        <f>+IF(Tabla6[[#This Row],[ESTADO FACTURA]]="PAGADA",Tabla6[[#This Row],[FECHA]]-_xlfn.XLOOKUP(Tabla6[[#This Row],[N° FACTURA]],INGRESOS!F:F,INGRESOS!A:A),"-")</f>
        <v>0</v>
      </c>
      <c r="N331" s="2"/>
      <c r="O331"/>
    </row>
    <row r="332" spans="1:15" ht="14.75" customHeight="1">
      <c r="A332" s="320" t="s">
        <v>266</v>
      </c>
      <c r="B332" t="str">
        <f>+_xlfn.XLOOKUP(Tabla6[[#This Row],[ID CLIENTE]],'RESUMEN CLIENTES'!D:D,'RESUMEN CLIENTES'!A:A)</f>
        <v>Juan Camilo Sanchez Ramirez</v>
      </c>
      <c r="C332" t="str">
        <f>+_xlfn.XLOOKUP(Tabla6[[#This Row],[ID CLIENTE]],'RESUMEN CLIENTES'!D:D,'RESUMEN CLIENTES'!C:C)</f>
        <v>Colombia</v>
      </c>
      <c r="D332" s="44" t="str">
        <f>+_xlfn.XLOOKUP(Tabla6[[#This Row],[ID CLIENTE]],'RESUMEN CLIENTES'!D:D,'RESUMEN CLIENTES'!M:M)</f>
        <v>OK</v>
      </c>
      <c r="E332" s="72">
        <f>+_xlfn.XLOOKUP(Tabla6[[#This Row],[NOMBRE]],'RESUMEN CLIENTES'!A:A,'RESUMEN CLIENTES'!X:X)</f>
        <v>0.2</v>
      </c>
      <c r="F332" s="72">
        <f>+_xlfn.XLOOKUP(Tabla6[[#This Row],[ID CLIENTE]],'RESUMEN CLIENTES'!D:D,'RESUMEN CLIENTES'!W:W)</f>
        <v>0</v>
      </c>
      <c r="G332" s="17">
        <v>45899</v>
      </c>
      <c r="H332" s="44" t="s">
        <v>81</v>
      </c>
      <c r="I332" s="2">
        <v>1000</v>
      </c>
      <c r="J332" s="20" t="s">
        <v>796</v>
      </c>
      <c r="K332" t="s">
        <v>797</v>
      </c>
      <c r="L332" s="44" t="str" cm="1">
        <f t="array" ref="L332">+_xlfn.IFS(COUNTIF(INGRESOS!E:E,Tabla6[[#This Row],[ID FACTURA]])=1,"PAGADA",Tabla6[[#This Row],[ID FACTURA]]&lt;&gt;0,"EMITIDA",Tabla6[[#This Row],[ID FACTURA]]=0,"POR EMITIR")</f>
        <v>PAGADA</v>
      </c>
      <c r="M332" s="55">
        <f>+IF(Tabla6[[#This Row],[ESTADO FACTURA]]="PAGADA",Tabla6[[#This Row],[FECHA]]-_xlfn.XLOOKUP(Tabla6[[#This Row],[N° FACTURA]],INGRESOS!F:F,INGRESOS!A:A),"-")</f>
        <v>1</v>
      </c>
      <c r="N332" s="2"/>
      <c r="O332"/>
    </row>
    <row r="333" spans="1:15" ht="14.75" customHeight="1">
      <c r="A333" s="320" t="s">
        <v>798</v>
      </c>
      <c r="B333" t="str">
        <f>+_xlfn.XLOOKUP(Tabla6[[#This Row],[ID CLIENTE]],'RESUMEN CLIENTES'!D:D,'RESUMEN CLIENTES'!A:A)</f>
        <v>Juan Manuel Paranzino</v>
      </c>
      <c r="C333" t="str">
        <f>+_xlfn.XLOOKUP(Tabla6[[#This Row],[ID CLIENTE]],'RESUMEN CLIENTES'!D:D,'RESUMEN CLIENTES'!C:C)</f>
        <v>Argentina</v>
      </c>
      <c r="D333" s="44" t="str">
        <f>+_xlfn.XLOOKUP(Tabla6[[#This Row],[ID CLIENTE]],'RESUMEN CLIENTES'!D:D,'RESUMEN CLIENTES'!M:M)</f>
        <v>OK</v>
      </c>
      <c r="E333" s="72">
        <f>+_xlfn.XLOOKUP(Tabla6[[#This Row],[NOMBRE]],'RESUMEN CLIENTES'!A:A,'RESUMEN CLIENTES'!X:X)</f>
        <v>-1</v>
      </c>
      <c r="F333" s="72">
        <f>+_xlfn.XLOOKUP(Tabla6[[#This Row],[ID CLIENTE]],'RESUMEN CLIENTES'!D:D,'RESUMEN CLIENTES'!W:W)</f>
        <v>0</v>
      </c>
      <c r="G333" s="17">
        <v>45899</v>
      </c>
      <c r="H333" s="44" t="s">
        <v>81</v>
      </c>
      <c r="I333" s="2">
        <v>250</v>
      </c>
      <c r="J333" s="20" t="s">
        <v>799</v>
      </c>
      <c r="K333" t="s">
        <v>800</v>
      </c>
      <c r="L333" s="44" t="str" cm="1">
        <f t="array" ref="L333">+_xlfn.IFS(COUNTIF(INGRESOS!E:E,Tabla6[[#This Row],[ID FACTURA]])=1,"PAGADA",Tabla6[[#This Row],[ID FACTURA]]&lt;&gt;0,"EMITIDA",Tabla6[[#This Row],[ID FACTURA]]=0,"POR EMITIR")</f>
        <v>PAGADA</v>
      </c>
      <c r="M333" s="55">
        <f>+IF(Tabla6[[#This Row],[ESTADO FACTURA]]="PAGADA",Tabla6[[#This Row],[FECHA]]-_xlfn.XLOOKUP(Tabla6[[#This Row],[N° FACTURA]],INGRESOS!F:F,INGRESOS!A:A),"-")</f>
        <v>-1</v>
      </c>
      <c r="N333" s="2"/>
      <c r="O333"/>
    </row>
    <row r="334" spans="1:15" ht="14.75" customHeight="1">
      <c r="A334" s="320" t="s">
        <v>132</v>
      </c>
      <c r="B334" t="str">
        <f>+_xlfn.XLOOKUP(Tabla6[[#This Row],[ID CLIENTE]],'RESUMEN CLIENTES'!D:D,'RESUMEN CLIENTES'!A:A)</f>
        <v>Katherine Salomé Herráez Maldonado</v>
      </c>
      <c r="C334" t="str">
        <f>+_xlfn.XLOOKUP(Tabla6[[#This Row],[ID CLIENTE]],'RESUMEN CLIENTES'!D:D,'RESUMEN CLIENTES'!C:C)</f>
        <v>Ecuador</v>
      </c>
      <c r="D334" s="44" t="str">
        <f>+_xlfn.XLOOKUP(Tabla6[[#This Row],[ID CLIENTE]],'RESUMEN CLIENTES'!D:D,'RESUMEN CLIENTES'!M:M)</f>
        <v>SUSPENDIDO</v>
      </c>
      <c r="E334" s="72">
        <f>+_xlfn.XLOOKUP(Tabla6[[#This Row],[NOMBRE]],'RESUMEN CLIENTES'!A:A,'RESUMEN CLIENTES'!X:X)</f>
        <v>0</v>
      </c>
      <c r="F334" s="72">
        <f>+_xlfn.XLOOKUP(Tabla6[[#This Row],[ID CLIENTE]],'RESUMEN CLIENTES'!D:D,'RESUMEN CLIENTES'!W:W)</f>
        <v>0</v>
      </c>
      <c r="G334" s="17">
        <v>45899</v>
      </c>
      <c r="H334" s="44" t="s">
        <v>81</v>
      </c>
      <c r="I334" s="2">
        <v>500</v>
      </c>
      <c r="J334" s="20" t="s">
        <v>801</v>
      </c>
      <c r="K334" t="s">
        <v>802</v>
      </c>
      <c r="L334" s="44" t="str" cm="1">
        <f t="array" ref="L334">+_xlfn.IFS(COUNTIF(INGRESOS!E:E,Tabla6[[#This Row],[ID FACTURA]])=1,"PAGADA",Tabla6[[#This Row],[ID FACTURA]]&lt;&gt;0,"EMITIDA",Tabla6[[#This Row],[ID FACTURA]]=0,"POR EMITIR")</f>
        <v>PAGADA</v>
      </c>
      <c r="M334" s="55">
        <f>+IF(Tabla6[[#This Row],[ESTADO FACTURA]]="PAGADA",Tabla6[[#This Row],[FECHA]]-_xlfn.XLOOKUP(Tabla6[[#This Row],[N° FACTURA]],INGRESOS!F:F,INGRESOS!A:A),"-")</f>
        <v>0</v>
      </c>
      <c r="N334" s="2"/>
      <c r="O334"/>
    </row>
    <row r="335" spans="1:15" ht="15" customHeight="1">
      <c r="A335" s="320" t="s">
        <v>218</v>
      </c>
      <c r="B335" t="str">
        <f>+_xlfn.XLOOKUP(Tabla6[[#This Row],[ID CLIENTE]],'RESUMEN CLIENTES'!D:D,'RESUMEN CLIENTES'!A:A)</f>
        <v>Laura Margarita Cepeda Garrido</v>
      </c>
      <c r="C335" t="str">
        <f>+_xlfn.XLOOKUP(Tabla6[[#This Row],[ID CLIENTE]],'RESUMEN CLIENTES'!D:D,'RESUMEN CLIENTES'!C:C)</f>
        <v>Colombia</v>
      </c>
      <c r="D335" s="44" t="str">
        <f>+_xlfn.XLOOKUP(Tabla6[[#This Row],[ID CLIENTE]],'RESUMEN CLIENTES'!D:D,'RESUMEN CLIENTES'!M:M)</f>
        <v>ELIMINADO</v>
      </c>
      <c r="E335" s="72">
        <f>+_xlfn.XLOOKUP(Tabla6[[#This Row],[NOMBRE]],'RESUMEN CLIENTES'!A:A,'RESUMEN CLIENTES'!X:X)</f>
        <v>-0.2</v>
      </c>
      <c r="F335" s="72">
        <f>+_xlfn.XLOOKUP(Tabla6[[#This Row],[ID CLIENTE]],'RESUMEN CLIENTES'!D:D,'RESUMEN CLIENTES'!W:W)</f>
        <v>0</v>
      </c>
      <c r="G335" s="17">
        <v>45899</v>
      </c>
      <c r="H335" s="44" t="s">
        <v>81</v>
      </c>
      <c r="I335" s="2">
        <v>600</v>
      </c>
      <c r="J335" s="20" t="s">
        <v>803</v>
      </c>
      <c r="K335" t="s">
        <v>804</v>
      </c>
      <c r="L335" s="44" t="str" cm="1">
        <f t="array" ref="L335">+_xlfn.IFS(COUNTIF(INGRESOS!E:E,Tabla6[[#This Row],[ID FACTURA]])=1,"PAGADA",Tabla6[[#This Row],[ID FACTURA]]&lt;&gt;0,"EMITIDA",Tabla6[[#This Row],[ID FACTURA]]=0,"POR EMITIR")</f>
        <v>PAGADA</v>
      </c>
      <c r="M335" s="55">
        <f>+IF(Tabla6[[#This Row],[ESTADO FACTURA]]="PAGADA",Tabla6[[#This Row],[FECHA]]-_xlfn.XLOOKUP(Tabla6[[#This Row],[N° FACTURA]],INGRESOS!F:F,INGRESOS!A:A),"-")</f>
        <v>2</v>
      </c>
      <c r="N335" s="2"/>
      <c r="O335"/>
    </row>
    <row r="336" spans="1:15" ht="14.75" customHeight="1">
      <c r="A336" s="320" t="s">
        <v>441</v>
      </c>
      <c r="B336" t="str">
        <f>+_xlfn.XLOOKUP(Tabla6[[#This Row],[ID CLIENTE]],'RESUMEN CLIENTES'!D:D,'RESUMEN CLIENTES'!A:A)</f>
        <v>Luis Manuel Villanueva Contreras</v>
      </c>
      <c r="C336" t="str">
        <f>+_xlfn.XLOOKUP(Tabla6[[#This Row],[ID CLIENTE]],'RESUMEN CLIENTES'!D:D,'RESUMEN CLIENTES'!C:C)</f>
        <v>México</v>
      </c>
      <c r="D336" s="44" t="str">
        <f>+_xlfn.XLOOKUP(Tabla6[[#This Row],[ID CLIENTE]],'RESUMEN CLIENTES'!D:D,'RESUMEN CLIENTES'!M:M)</f>
        <v>OK</v>
      </c>
      <c r="E336" s="72">
        <f>+_xlfn.XLOOKUP(Tabla6[[#This Row],[NOMBRE]],'RESUMEN CLIENTES'!A:A,'RESUMEN CLIENTES'!X:X)</f>
        <v>0.55555555555555558</v>
      </c>
      <c r="F336" s="72">
        <f>+_xlfn.XLOOKUP(Tabla6[[#This Row],[ID CLIENTE]],'RESUMEN CLIENTES'!D:D,'RESUMEN CLIENTES'!W:W)</f>
        <v>0</v>
      </c>
      <c r="G336" s="17">
        <v>45899</v>
      </c>
      <c r="H336" s="44" t="s">
        <v>81</v>
      </c>
      <c r="I336" s="2">
        <v>1000</v>
      </c>
      <c r="J336" s="20" t="s">
        <v>805</v>
      </c>
      <c r="K336" t="s">
        <v>806</v>
      </c>
      <c r="L336" s="44" t="str" cm="1">
        <f t="array" ref="L336">+_xlfn.IFS(COUNTIF(INGRESOS!E:E,Tabla6[[#This Row],[ID FACTURA]])=1,"PAGADA",Tabla6[[#This Row],[ID FACTURA]]&lt;&gt;0,"EMITIDA",Tabla6[[#This Row],[ID FACTURA]]=0,"POR EMITIR")</f>
        <v>PAGADA</v>
      </c>
      <c r="M336" s="55">
        <f>+IF(Tabla6[[#This Row],[ESTADO FACTURA]]="PAGADA",Tabla6[[#This Row],[FECHA]]-_xlfn.XLOOKUP(Tabla6[[#This Row],[N° FACTURA]],INGRESOS!F:F,INGRESOS!A:A),"-")</f>
        <v>1</v>
      </c>
      <c r="N336" s="2"/>
      <c r="O336"/>
    </row>
    <row r="337" spans="1:15" ht="14.75" customHeight="1">
      <c r="A337" s="320" t="s">
        <v>807</v>
      </c>
      <c r="B337" t="str">
        <f>+_xlfn.XLOOKUP(Tabla6[[#This Row],[ID CLIENTE]],'RESUMEN CLIENTES'!D:D,'RESUMEN CLIENTES'!A:A)</f>
        <v xml:space="preserve">María del Mar Ordóñez Dussan
</v>
      </c>
      <c r="C337" t="str">
        <f>+_xlfn.XLOOKUP(Tabla6[[#This Row],[ID CLIENTE]],'RESUMEN CLIENTES'!D:D,'RESUMEN CLIENTES'!C:C)</f>
        <v>Colombia</v>
      </c>
      <c r="D337" s="44" t="str">
        <f>+_xlfn.XLOOKUP(Tabla6[[#This Row],[ID CLIENTE]],'RESUMEN CLIENTES'!D:D,'RESUMEN CLIENTES'!M:M)</f>
        <v>ELIMINADO</v>
      </c>
      <c r="E337" s="72">
        <f>+_xlfn.XLOOKUP(Tabla6[[#This Row],[NOMBRE]],'RESUMEN CLIENTES'!A:A,'RESUMEN CLIENTES'!X:X)</f>
        <v>-0.5</v>
      </c>
      <c r="F337" s="72">
        <f>+_xlfn.XLOOKUP(Tabla6[[#This Row],[ID CLIENTE]],'RESUMEN CLIENTES'!D:D,'RESUMEN CLIENTES'!W:W)</f>
        <v>0</v>
      </c>
      <c r="G337" s="17">
        <v>45899</v>
      </c>
      <c r="H337" s="44" t="s">
        <v>81</v>
      </c>
      <c r="I337" s="2">
        <v>2250</v>
      </c>
      <c r="J337" s="20" t="s">
        <v>808</v>
      </c>
      <c r="K337" t="s">
        <v>809</v>
      </c>
      <c r="L337" s="44" t="str" cm="1">
        <f t="array" ref="L337">+_xlfn.IFS(COUNTIF(INGRESOS!E:E,Tabla6[[#This Row],[ID FACTURA]])=1,"PAGADA",Tabla6[[#This Row],[ID FACTURA]]&lt;&gt;0,"EMITIDA",Tabla6[[#This Row],[ID FACTURA]]=0,"POR EMITIR")</f>
        <v>PAGADA</v>
      </c>
      <c r="M337" s="55">
        <f>+IF(Tabla6[[#This Row],[ESTADO FACTURA]]="PAGADA",Tabla6[[#This Row],[FECHA]]-_xlfn.XLOOKUP(Tabla6[[#This Row],[N° FACTURA]],INGRESOS!F:F,INGRESOS!A:A),"-")</f>
        <v>0</v>
      </c>
      <c r="N337" s="2"/>
      <c r="O337"/>
    </row>
    <row r="338" spans="1:15" ht="14.75" customHeight="1">
      <c r="A338" s="320" t="s">
        <v>590</v>
      </c>
      <c r="B338" t="str">
        <f>+_xlfn.XLOOKUP(Tabla6[[#This Row],[ID CLIENTE]],'RESUMEN CLIENTES'!D:D,'RESUMEN CLIENTES'!A:A)</f>
        <v>María Lucero de Jesús Barrios Sazo</v>
      </c>
      <c r="C338" t="str">
        <f>+_xlfn.XLOOKUP(Tabla6[[#This Row],[ID CLIENTE]],'RESUMEN CLIENTES'!D:D,'RESUMEN CLIENTES'!C:C)</f>
        <v>Guatemala</v>
      </c>
      <c r="D338" s="44" t="str">
        <f>+_xlfn.XLOOKUP(Tabla6[[#This Row],[ID CLIENTE]],'RESUMEN CLIENTES'!D:D,'RESUMEN CLIENTES'!M:M)</f>
        <v>OK</v>
      </c>
      <c r="E338" s="72">
        <f>+_xlfn.XLOOKUP(Tabla6[[#This Row],[NOMBRE]],'RESUMEN CLIENTES'!A:A,'RESUMEN CLIENTES'!X:X)</f>
        <v>1.25</v>
      </c>
      <c r="F338" s="72">
        <f>+_xlfn.XLOOKUP(Tabla6[[#This Row],[ID CLIENTE]],'RESUMEN CLIENTES'!D:D,'RESUMEN CLIENTES'!W:W)</f>
        <v>0</v>
      </c>
      <c r="G338" s="17">
        <v>45899</v>
      </c>
      <c r="H338" s="44" t="s">
        <v>81</v>
      </c>
      <c r="I338" s="2">
        <v>700</v>
      </c>
      <c r="J338" s="20" t="s">
        <v>810</v>
      </c>
      <c r="K338" t="s">
        <v>811</v>
      </c>
      <c r="L338" s="44" t="str" cm="1">
        <f t="array" ref="L338">+_xlfn.IFS(COUNTIF(INGRESOS!E:E,Tabla6[[#This Row],[ID FACTURA]])=1,"PAGADA",Tabla6[[#This Row],[ID FACTURA]]&lt;&gt;0,"EMITIDA",Tabla6[[#This Row],[ID FACTURA]]=0,"POR EMITIR")</f>
        <v>PAGADA</v>
      </c>
      <c r="M338" s="55">
        <f>+IF(Tabla6[[#This Row],[ESTADO FACTURA]]="PAGADA",Tabla6[[#This Row],[FECHA]]-_xlfn.XLOOKUP(Tabla6[[#This Row],[N° FACTURA]],INGRESOS!F:F,INGRESOS!A:A),"-")</f>
        <v>0</v>
      </c>
      <c r="N338" s="2"/>
      <c r="O338"/>
    </row>
    <row r="339" spans="1:15" ht="14.75" customHeight="1">
      <c r="A339" s="320" t="s">
        <v>524</v>
      </c>
      <c r="B339" t="str">
        <f>+_xlfn.XLOOKUP(Tabla6[[#This Row],[ID CLIENTE]],'RESUMEN CLIENTES'!D:D,'RESUMEN CLIENTES'!A:A)</f>
        <v>Mario Andrés Pazán Rojas</v>
      </c>
      <c r="C339" t="str">
        <f>+_xlfn.XLOOKUP(Tabla6[[#This Row],[ID CLIENTE]],'RESUMEN CLIENTES'!D:D,'RESUMEN CLIENTES'!C:C)</f>
        <v>Chile</v>
      </c>
      <c r="D339" s="44" t="str">
        <f>+_xlfn.XLOOKUP(Tabla6[[#This Row],[ID CLIENTE]],'RESUMEN CLIENTES'!D:D,'RESUMEN CLIENTES'!M:M)</f>
        <v>SUSPENDIDO</v>
      </c>
      <c r="E339" s="72">
        <f>+_xlfn.XLOOKUP(Tabla6[[#This Row],[NOMBRE]],'RESUMEN CLIENTES'!A:A,'RESUMEN CLIENTES'!X:X)</f>
        <v>1</v>
      </c>
      <c r="F339" s="72">
        <f>+_xlfn.XLOOKUP(Tabla6[[#This Row],[ID CLIENTE]],'RESUMEN CLIENTES'!D:D,'RESUMEN CLIENTES'!W:W)</f>
        <v>0</v>
      </c>
      <c r="G339" s="17">
        <v>45899</v>
      </c>
      <c r="H339" s="44" t="s">
        <v>81</v>
      </c>
      <c r="I339" s="2">
        <v>1000</v>
      </c>
      <c r="J339" s="20" t="s">
        <v>812</v>
      </c>
      <c r="K339" t="s">
        <v>813</v>
      </c>
      <c r="L339" s="44" t="str" cm="1">
        <f t="array" ref="L339">+_xlfn.IFS(COUNTIF(INGRESOS!E:E,Tabla6[[#This Row],[ID FACTURA]])=1,"PAGADA",Tabla6[[#This Row],[ID FACTURA]]&lt;&gt;0,"EMITIDA",Tabla6[[#This Row],[ID FACTURA]]=0,"POR EMITIR")</f>
        <v>PAGADA</v>
      </c>
      <c r="M339" s="55">
        <f>+IF(Tabla6[[#This Row],[ESTADO FACTURA]]="PAGADA",Tabla6[[#This Row],[FECHA]]-_xlfn.XLOOKUP(Tabla6[[#This Row],[N° FACTURA]],INGRESOS!F:F,INGRESOS!A:A),"-")</f>
        <v>2</v>
      </c>
      <c r="N339" s="2"/>
      <c r="O339"/>
    </row>
    <row r="340" spans="1:15" ht="14.75" customHeight="1">
      <c r="A340" s="320" t="s">
        <v>314</v>
      </c>
      <c r="B340" t="str">
        <f>+_xlfn.XLOOKUP(Tabla6[[#This Row],[ID CLIENTE]],'RESUMEN CLIENTES'!D:D,'RESUMEN CLIENTES'!A:A)</f>
        <v>Miguel Angel Sisalima Shiña</v>
      </c>
      <c r="C340" t="str">
        <f>+_xlfn.XLOOKUP(Tabla6[[#This Row],[ID CLIENTE]],'RESUMEN CLIENTES'!D:D,'RESUMEN CLIENTES'!C:C)</f>
        <v>Ecuador</v>
      </c>
      <c r="D340" s="44" t="str">
        <f>+_xlfn.XLOOKUP(Tabla6[[#This Row],[ID CLIENTE]],'RESUMEN CLIENTES'!D:D,'RESUMEN CLIENTES'!M:M)</f>
        <v>OK</v>
      </c>
      <c r="E340" s="72">
        <f>+_xlfn.XLOOKUP(Tabla6[[#This Row],[NOMBRE]],'RESUMEN CLIENTES'!A:A,'RESUMEN CLIENTES'!X:X)</f>
        <v>0.6</v>
      </c>
      <c r="F340" s="72">
        <f>+_xlfn.XLOOKUP(Tabla6[[#This Row],[ID CLIENTE]],'RESUMEN CLIENTES'!D:D,'RESUMEN CLIENTES'!W:W)</f>
        <v>0</v>
      </c>
      <c r="G340" s="17">
        <v>45899</v>
      </c>
      <c r="H340" s="44" t="s">
        <v>81</v>
      </c>
      <c r="I340" s="2">
        <v>1000</v>
      </c>
      <c r="J340" s="20" t="s">
        <v>814</v>
      </c>
      <c r="K340" t="s">
        <v>815</v>
      </c>
      <c r="L340" s="44" t="str" cm="1">
        <f t="array" ref="L340">+_xlfn.IFS(COUNTIF(INGRESOS!E:E,Tabla6[[#This Row],[ID FACTURA]])=1,"PAGADA",Tabla6[[#This Row],[ID FACTURA]]&lt;&gt;0,"EMITIDA",Tabla6[[#This Row],[ID FACTURA]]=0,"POR EMITIR")</f>
        <v>PAGADA</v>
      </c>
      <c r="M340" s="55">
        <f>+IF(Tabla6[[#This Row],[ESTADO FACTURA]]="PAGADA",Tabla6[[#This Row],[FECHA]]-_xlfn.XLOOKUP(Tabla6[[#This Row],[N° FACTURA]],INGRESOS!F:F,INGRESOS!A:A),"-")</f>
        <v>2</v>
      </c>
      <c r="N340" s="2"/>
      <c r="O340"/>
    </row>
    <row r="341" spans="1:15" ht="14.75" customHeight="1">
      <c r="A341" s="320" t="s">
        <v>229</v>
      </c>
      <c r="B341" t="str">
        <f>+_xlfn.XLOOKUP(Tabla6[[#This Row],[ID CLIENTE]],'RESUMEN CLIENTES'!D:D,'RESUMEN CLIENTES'!A:A)</f>
        <v>Nathaly Gabriela Henríquez Masín</v>
      </c>
      <c r="C341" t="str">
        <f>+_xlfn.XLOOKUP(Tabla6[[#This Row],[ID CLIENTE]],'RESUMEN CLIENTES'!D:D,'RESUMEN CLIENTES'!C:C)</f>
        <v>El Salvador</v>
      </c>
      <c r="D341" s="44" t="str">
        <f>+_xlfn.XLOOKUP(Tabla6[[#This Row],[ID CLIENTE]],'RESUMEN CLIENTES'!D:D,'RESUMEN CLIENTES'!M:M)</f>
        <v>OK</v>
      </c>
      <c r="E341" s="72">
        <f>+_xlfn.XLOOKUP(Tabla6[[#This Row],[NOMBRE]],'RESUMEN CLIENTES'!A:A,'RESUMEN CLIENTES'!X:X)</f>
        <v>0.7</v>
      </c>
      <c r="F341" s="72">
        <f>+_xlfn.XLOOKUP(Tabla6[[#This Row],[ID CLIENTE]],'RESUMEN CLIENTES'!D:D,'RESUMEN CLIENTES'!W:W)</f>
        <v>0</v>
      </c>
      <c r="G341" s="17">
        <v>45899</v>
      </c>
      <c r="H341" s="44" t="s">
        <v>81</v>
      </c>
      <c r="I341" s="2">
        <v>500</v>
      </c>
      <c r="J341" s="20" t="s">
        <v>829</v>
      </c>
      <c r="K341" t="s">
        <v>830</v>
      </c>
      <c r="L341" s="44" t="str" cm="1">
        <f t="array" ref="L341">+_xlfn.IFS(COUNTIF(INGRESOS!E:E,Tabla6[[#This Row],[ID FACTURA]])=1,"PAGADA",Tabla6[[#This Row],[ID FACTURA]]&lt;&gt;0,"EMITIDA",Tabla6[[#This Row],[ID FACTURA]]=0,"POR EMITIR")</f>
        <v>PAGADA</v>
      </c>
      <c r="M341" s="55">
        <f>+IF(Tabla6[[#This Row],[ESTADO FACTURA]]="PAGADA",Tabla6[[#This Row],[FECHA]]-_xlfn.XLOOKUP(Tabla6[[#This Row],[N° FACTURA]],INGRESOS!F:F,INGRESOS!A:A),"-")</f>
        <v>2</v>
      </c>
      <c r="N341" s="2"/>
      <c r="O341"/>
    </row>
    <row r="342" spans="1:15" ht="14.75" customHeight="1">
      <c r="A342" s="320" t="s">
        <v>350</v>
      </c>
      <c r="B342" t="str">
        <f>+_xlfn.XLOOKUP(Tabla6[[#This Row],[ID CLIENTE]],'RESUMEN CLIENTES'!D:D,'RESUMEN CLIENTES'!A:A)</f>
        <v>Rainier Guerrero</v>
      </c>
      <c r="C342" t="str">
        <f>+_xlfn.XLOOKUP(Tabla6[[#This Row],[ID CLIENTE]],'RESUMEN CLIENTES'!D:D,'RESUMEN CLIENTES'!C:C)</f>
        <v>México</v>
      </c>
      <c r="D342" s="44" t="str">
        <f>+_xlfn.XLOOKUP(Tabla6[[#This Row],[ID CLIENTE]],'RESUMEN CLIENTES'!D:D,'RESUMEN CLIENTES'!M:M)</f>
        <v>OK</v>
      </c>
      <c r="E342" s="72">
        <f>+_xlfn.XLOOKUP(Tabla6[[#This Row],[NOMBRE]],'RESUMEN CLIENTES'!A:A,'RESUMEN CLIENTES'!X:X)</f>
        <v>-0.3</v>
      </c>
      <c r="F342" s="72">
        <f>+_xlfn.XLOOKUP(Tabla6[[#This Row],[ID CLIENTE]],'RESUMEN CLIENTES'!D:D,'RESUMEN CLIENTES'!W:W)</f>
        <v>1</v>
      </c>
      <c r="G342" s="17">
        <v>45899</v>
      </c>
      <c r="H342" s="44" t="s">
        <v>81</v>
      </c>
      <c r="I342" s="2">
        <v>4000</v>
      </c>
      <c r="J342" s="20" t="s">
        <v>831</v>
      </c>
      <c r="K342" t="s">
        <v>832</v>
      </c>
      <c r="L342" s="44" t="str" cm="1">
        <f t="array" ref="L342">+_xlfn.IFS(COUNTIF(INGRESOS!E:E,Tabla6[[#This Row],[ID FACTURA]])=1,"PAGADA",Tabla6[[#This Row],[ID FACTURA]]&lt;&gt;0,"EMITIDA",Tabla6[[#This Row],[ID FACTURA]]=0,"POR EMITIR")</f>
        <v>PAGADA</v>
      </c>
      <c r="M342" s="55">
        <f>+IF(Tabla6[[#This Row],[ESTADO FACTURA]]="PAGADA",Tabla6[[#This Row],[FECHA]]-_xlfn.XLOOKUP(Tabla6[[#This Row],[N° FACTURA]],INGRESOS!F:F,INGRESOS!A:A),"-")</f>
        <v>2</v>
      </c>
      <c r="N342" s="2"/>
      <c r="O342"/>
    </row>
    <row r="343" spans="1:15" ht="14.75" customHeight="1">
      <c r="A343" s="320" t="s">
        <v>739</v>
      </c>
      <c r="B343" t="str">
        <f>+_xlfn.XLOOKUP(Tabla6[[#This Row],[ID CLIENTE]],'RESUMEN CLIENTES'!D:D,'RESUMEN CLIENTES'!A:A)</f>
        <v>Gilberto Martiñon Torres</v>
      </c>
      <c r="C343" t="str">
        <f>+_xlfn.XLOOKUP(Tabla6[[#This Row],[ID CLIENTE]],'RESUMEN CLIENTES'!D:D,'RESUMEN CLIENTES'!C:C)</f>
        <v>México</v>
      </c>
      <c r="D343" s="44" t="str">
        <f>+_xlfn.XLOOKUP(Tabla6[[#This Row],[ID CLIENTE]],'RESUMEN CLIENTES'!D:D,'RESUMEN CLIENTES'!M:M)</f>
        <v>OK</v>
      </c>
      <c r="E343" s="72">
        <f>+_xlfn.XLOOKUP(Tabla6[[#This Row],[NOMBRE]],'RESUMEN CLIENTES'!A:A,'RESUMEN CLIENTES'!X:X)</f>
        <v>-0.625</v>
      </c>
      <c r="F343" s="72">
        <f>+_xlfn.XLOOKUP(Tabla6[[#This Row],[ID CLIENTE]],'RESUMEN CLIENTES'!D:D,'RESUMEN CLIENTES'!W:W)</f>
        <v>0</v>
      </c>
      <c r="G343" s="17">
        <v>45900</v>
      </c>
      <c r="H343" s="44" t="s">
        <v>81</v>
      </c>
      <c r="I343" s="2">
        <v>1750</v>
      </c>
      <c r="J343" s="20" t="s">
        <v>833</v>
      </c>
      <c r="K343" t="s">
        <v>834</v>
      </c>
      <c r="L343" s="44" t="str" cm="1">
        <f t="array" ref="L343">+_xlfn.IFS(COUNTIF(INGRESOS!E:E,Tabla6[[#This Row],[ID FACTURA]])=1,"PAGADA",Tabla6[[#This Row],[ID FACTURA]]&lt;&gt;0,"EMITIDA",Tabla6[[#This Row],[ID FACTURA]]=0,"POR EMITIR")</f>
        <v>PAGADA</v>
      </c>
      <c r="M343" s="55">
        <f>+IF(Tabla6[[#This Row],[ESTADO FACTURA]]="PAGADA",Tabla6[[#This Row],[FECHA]]-_xlfn.XLOOKUP(Tabla6[[#This Row],[N° FACTURA]],INGRESOS!F:F,INGRESOS!A:A),"-")</f>
        <v>0</v>
      </c>
      <c r="N343" s="2"/>
      <c r="O343"/>
    </row>
    <row r="344" spans="1:15" ht="14.75" customHeight="1">
      <c r="A344" s="320" t="s">
        <v>816</v>
      </c>
      <c r="B344" t="str">
        <f>+_xlfn.XLOOKUP(Tabla6[[#This Row],[ID CLIENTE]],'RESUMEN CLIENTES'!D:D,'RESUMEN CLIENTES'!A:A)</f>
        <v>Nataly Elizabeth Elias Berrios</v>
      </c>
      <c r="C344" s="15" t="str">
        <f>+_xlfn.XLOOKUP(Tabla6[[#This Row],[ID CLIENTE]],'RESUMEN CLIENTES'!D:D,'RESUMEN CLIENTES'!C:C)</f>
        <v>Bolivia</v>
      </c>
      <c r="D344" s="169" t="str">
        <f>+_xlfn.XLOOKUP(Tabla6[[#This Row],[ID CLIENTE]],'RESUMEN CLIENTES'!D:D,'RESUMEN CLIENTES'!M:M)</f>
        <v>¡REGULARIZAR!</v>
      </c>
      <c r="E344" s="71">
        <f>+_xlfn.XLOOKUP(Tabla6[[#This Row],[NOMBRE]],'RESUMEN CLIENTES'!A:A,'RESUMEN CLIENTES'!X:X)</f>
        <v>0</v>
      </c>
      <c r="F344" s="71">
        <f>+_xlfn.XLOOKUP(Tabla6[[#This Row],[ID CLIENTE]],'RESUMEN CLIENTES'!D:D,'RESUMEN CLIENTES'!W:W)</f>
        <v>0</v>
      </c>
      <c r="G344" s="17">
        <v>45900</v>
      </c>
      <c r="H344" s="169" t="s">
        <v>81</v>
      </c>
      <c r="I344" s="2">
        <v>10</v>
      </c>
      <c r="J344" s="20" t="s">
        <v>825</v>
      </c>
      <c r="K344" t="s">
        <v>826</v>
      </c>
      <c r="L344" s="44" t="str" cm="1">
        <f t="array" ref="L344">+_xlfn.IFS(COUNTIF(INGRESOS!E:E,Tabla6[[#This Row],[ID FACTURA]])=1,"PAGADA",Tabla6[[#This Row],[ID FACTURA]]&lt;&gt;0,"EMITIDA",Tabla6[[#This Row],[ID FACTURA]]=0,"POR EMITIR")</f>
        <v>PAGADA</v>
      </c>
      <c r="M344" s="54">
        <f>+IF(Tabla6[[#This Row],[ESTADO FACTURA]]="PAGADA",Tabla6[[#This Row],[FECHA]]-_xlfn.XLOOKUP(Tabla6[[#This Row],[N° FACTURA]],INGRESOS!F:F,INGRESOS!A:A),"-")</f>
        <v>0</v>
      </c>
      <c r="O344"/>
    </row>
    <row r="345" spans="1:15" ht="14.75" customHeight="1">
      <c r="A345" s="320" t="s">
        <v>816</v>
      </c>
      <c r="B345" t="str">
        <f>+_xlfn.XLOOKUP(Tabla6[[#This Row],[ID CLIENTE]],'RESUMEN CLIENTES'!D:D,'RESUMEN CLIENTES'!A:A)</f>
        <v>Nataly Elizabeth Elias Berrios</v>
      </c>
      <c r="C345" s="15" t="str">
        <f>+_xlfn.XLOOKUP(Tabla6[[#This Row],[ID CLIENTE]],'RESUMEN CLIENTES'!D:D,'RESUMEN CLIENTES'!C:C)</f>
        <v>Bolivia</v>
      </c>
      <c r="D345" s="169" t="str">
        <f>+_xlfn.XLOOKUP(Tabla6[[#This Row],[ID CLIENTE]],'RESUMEN CLIENTES'!D:D,'RESUMEN CLIENTES'!M:M)</f>
        <v>¡REGULARIZAR!</v>
      </c>
      <c r="E345" s="71">
        <f>+_xlfn.XLOOKUP(Tabla6[[#This Row],[NOMBRE]],'RESUMEN CLIENTES'!A:A,'RESUMEN CLIENTES'!X:X)</f>
        <v>0</v>
      </c>
      <c r="F345" s="71">
        <f>+_xlfn.XLOOKUP(Tabla6[[#This Row],[ID CLIENTE]],'RESUMEN CLIENTES'!D:D,'RESUMEN CLIENTES'!W:W)</f>
        <v>0</v>
      </c>
      <c r="G345" s="17">
        <v>45900</v>
      </c>
      <c r="H345" s="169" t="s">
        <v>81</v>
      </c>
      <c r="I345" s="2">
        <v>20</v>
      </c>
      <c r="J345" s="20" t="s">
        <v>827</v>
      </c>
      <c r="K345" t="s">
        <v>828</v>
      </c>
      <c r="L345" s="44" t="str" cm="1">
        <f t="array" ref="L345">+_xlfn.IFS(COUNTIF(INGRESOS!E:E,Tabla6[[#This Row],[ID FACTURA]])=1,"PAGADA",Tabla6[[#This Row],[ID FACTURA]]&lt;&gt;0,"EMITIDA",Tabla6[[#This Row],[ID FACTURA]]=0,"POR EMITIR")</f>
        <v>PAGADA</v>
      </c>
      <c r="M345" s="54">
        <f>+IF(Tabla6[[#This Row],[ESTADO FACTURA]]="PAGADA",Tabla6[[#This Row],[FECHA]]-_xlfn.XLOOKUP(Tabla6[[#This Row],[N° FACTURA]],INGRESOS!F:F,INGRESOS!A:A),"-")</f>
        <v>0</v>
      </c>
      <c r="O345"/>
    </row>
    <row r="346" spans="1:15" ht="14.75" customHeight="1">
      <c r="A346" s="320" t="s">
        <v>816</v>
      </c>
      <c r="B346" t="str">
        <f>+_xlfn.XLOOKUP(Tabla6[[#This Row],[ID CLIENTE]],'RESUMEN CLIENTES'!D:D,'RESUMEN CLIENTES'!A:A)</f>
        <v>Nataly Elizabeth Elias Berrios</v>
      </c>
      <c r="C346" s="15" t="str">
        <f>+_xlfn.XLOOKUP(Tabla6[[#This Row],[ID CLIENTE]],'RESUMEN CLIENTES'!D:D,'RESUMEN CLIENTES'!C:C)</f>
        <v>Bolivia</v>
      </c>
      <c r="D346" s="169" t="str">
        <f>+_xlfn.XLOOKUP(Tabla6[[#This Row],[ID CLIENTE]],'RESUMEN CLIENTES'!D:D,'RESUMEN CLIENTES'!M:M)</f>
        <v>¡REGULARIZAR!</v>
      </c>
      <c r="E346" s="71">
        <f>+_xlfn.XLOOKUP(Tabla6[[#This Row],[NOMBRE]],'RESUMEN CLIENTES'!A:A,'RESUMEN CLIENTES'!X:X)</f>
        <v>0</v>
      </c>
      <c r="F346" s="71">
        <f>+_xlfn.XLOOKUP(Tabla6[[#This Row],[ID CLIENTE]],'RESUMEN CLIENTES'!D:D,'RESUMEN CLIENTES'!W:W)</f>
        <v>0</v>
      </c>
      <c r="G346" s="17">
        <v>45900</v>
      </c>
      <c r="H346" s="169" t="s">
        <v>81</v>
      </c>
      <c r="I346" s="2">
        <v>45</v>
      </c>
      <c r="J346" s="20" t="s">
        <v>821</v>
      </c>
      <c r="K346" t="s">
        <v>822</v>
      </c>
      <c r="L346" s="44" t="str" cm="1">
        <f t="array" ref="L346">+_xlfn.IFS(COUNTIF(INGRESOS!E:E,Tabla6[[#This Row],[ID FACTURA]])=1,"PAGADA",Tabla6[[#This Row],[ID FACTURA]]&lt;&gt;0,"EMITIDA",Tabla6[[#This Row],[ID FACTURA]]=0,"POR EMITIR")</f>
        <v>PAGADA</v>
      </c>
      <c r="M346" s="54">
        <f>+IF(Tabla6[[#This Row],[ESTADO FACTURA]]="PAGADA",Tabla6[[#This Row],[FECHA]]-_xlfn.XLOOKUP(Tabla6[[#This Row],[N° FACTURA]],INGRESOS!F:F,INGRESOS!A:A),"-")</f>
        <v>0</v>
      </c>
      <c r="O346"/>
    </row>
    <row r="347" spans="1:15" ht="14.75" customHeight="1">
      <c r="A347" s="320" t="s">
        <v>816</v>
      </c>
      <c r="B347" t="str">
        <f>+_xlfn.XLOOKUP(Tabla6[[#This Row],[ID CLIENTE]],'RESUMEN CLIENTES'!D:D,'RESUMEN CLIENTES'!A:A)</f>
        <v>Nataly Elizabeth Elias Berrios</v>
      </c>
      <c r="C347" s="15" t="str">
        <f>+_xlfn.XLOOKUP(Tabla6[[#This Row],[ID CLIENTE]],'RESUMEN CLIENTES'!D:D,'RESUMEN CLIENTES'!C:C)</f>
        <v>Bolivia</v>
      </c>
      <c r="D347" s="169" t="str">
        <f>+_xlfn.XLOOKUP(Tabla6[[#This Row],[ID CLIENTE]],'RESUMEN CLIENTES'!D:D,'RESUMEN CLIENTES'!M:M)</f>
        <v>¡REGULARIZAR!</v>
      </c>
      <c r="E347" s="71">
        <f>+_xlfn.XLOOKUP(Tabla6[[#This Row],[NOMBRE]],'RESUMEN CLIENTES'!A:A,'RESUMEN CLIENTES'!X:X)</f>
        <v>0</v>
      </c>
      <c r="F347" s="71">
        <f>+_xlfn.XLOOKUP(Tabla6[[#This Row],[ID CLIENTE]],'RESUMEN CLIENTES'!D:D,'RESUMEN CLIENTES'!W:W)</f>
        <v>0</v>
      </c>
      <c r="G347" s="17">
        <v>45900</v>
      </c>
      <c r="H347" s="169" t="s">
        <v>81</v>
      </c>
      <c r="I347" s="2">
        <v>170</v>
      </c>
      <c r="J347" s="20" t="s">
        <v>823</v>
      </c>
      <c r="K347" t="s">
        <v>824</v>
      </c>
      <c r="L347" s="44" t="str" cm="1">
        <f t="array" ref="L347">+_xlfn.IFS(COUNTIF(INGRESOS!E:E,Tabla6[[#This Row],[ID FACTURA]])=1,"PAGADA",Tabla6[[#This Row],[ID FACTURA]]&lt;&gt;0,"EMITIDA",Tabla6[[#This Row],[ID FACTURA]]=0,"POR EMITIR")</f>
        <v>PAGADA</v>
      </c>
      <c r="M347" s="54">
        <f>+IF(Tabla6[[#This Row],[ESTADO FACTURA]]="PAGADA",Tabla6[[#This Row],[FECHA]]-_xlfn.XLOOKUP(Tabla6[[#This Row],[N° FACTURA]],INGRESOS!F:F,INGRESOS!A:A),"-")</f>
        <v>0</v>
      </c>
      <c r="O347"/>
    </row>
    <row r="348" spans="1:15" ht="14.75" customHeight="1">
      <c r="A348" s="320" t="s">
        <v>816</v>
      </c>
      <c r="B348" t="str">
        <f>+_xlfn.XLOOKUP(Tabla6[[#This Row],[ID CLIENTE]],'RESUMEN CLIENTES'!D:D,'RESUMEN CLIENTES'!A:A)</f>
        <v>Nataly Elizabeth Elias Berrios</v>
      </c>
      <c r="C348" s="15" t="str">
        <f>+_xlfn.XLOOKUP(Tabla6[[#This Row],[ID CLIENTE]],'RESUMEN CLIENTES'!D:D,'RESUMEN CLIENTES'!C:C)</f>
        <v>Bolivia</v>
      </c>
      <c r="D348" s="169" t="str">
        <f>+_xlfn.XLOOKUP(Tabla6[[#This Row],[ID CLIENTE]],'RESUMEN CLIENTES'!D:D,'RESUMEN CLIENTES'!M:M)</f>
        <v>¡REGULARIZAR!</v>
      </c>
      <c r="E348" s="71">
        <f>+_xlfn.XLOOKUP(Tabla6[[#This Row],[NOMBRE]],'RESUMEN CLIENTES'!A:A,'RESUMEN CLIENTES'!X:X)</f>
        <v>0</v>
      </c>
      <c r="F348" s="71">
        <f>+_xlfn.XLOOKUP(Tabla6[[#This Row],[ID CLIENTE]],'RESUMEN CLIENTES'!D:D,'RESUMEN CLIENTES'!W:W)</f>
        <v>0</v>
      </c>
      <c r="G348" s="17">
        <v>45900</v>
      </c>
      <c r="H348" s="169" t="s">
        <v>81</v>
      </c>
      <c r="I348" s="2">
        <v>675</v>
      </c>
      <c r="J348" s="20" t="s">
        <v>817</v>
      </c>
      <c r="K348" t="s">
        <v>818</v>
      </c>
      <c r="L348" s="44" t="str" cm="1">
        <f t="array" ref="L348">+_xlfn.IFS(COUNTIF(INGRESOS!E:E,Tabla6[[#This Row],[ID FACTURA]])=1,"PAGADA",Tabla6[[#This Row],[ID FACTURA]]&lt;&gt;0,"EMITIDA",Tabla6[[#This Row],[ID FACTURA]]=0,"POR EMITIR")</f>
        <v>PAGADA</v>
      </c>
      <c r="M348" s="54">
        <f>+IF(Tabla6[[#This Row],[ESTADO FACTURA]]="PAGADA",Tabla6[[#This Row],[FECHA]]-_xlfn.XLOOKUP(Tabla6[[#This Row],[N° FACTURA]],INGRESOS!F:F,INGRESOS!A:A),"-")</f>
        <v>0</v>
      </c>
      <c r="O348"/>
    </row>
    <row r="349" spans="1:15" ht="14.75" customHeight="1">
      <c r="A349" s="320" t="s">
        <v>816</v>
      </c>
      <c r="B349" t="str">
        <f>+_xlfn.XLOOKUP(Tabla6[[#This Row],[ID CLIENTE]],'RESUMEN CLIENTES'!D:D,'RESUMEN CLIENTES'!A:A)</f>
        <v>Nataly Elizabeth Elias Berrios</v>
      </c>
      <c r="C349" s="15" t="str">
        <f>+_xlfn.XLOOKUP(Tabla6[[#This Row],[ID CLIENTE]],'RESUMEN CLIENTES'!D:D,'RESUMEN CLIENTES'!C:C)</f>
        <v>Bolivia</v>
      </c>
      <c r="D349" s="169" t="str">
        <f>+_xlfn.XLOOKUP(Tabla6[[#This Row],[ID CLIENTE]],'RESUMEN CLIENTES'!D:D,'RESUMEN CLIENTES'!M:M)</f>
        <v>¡REGULARIZAR!</v>
      </c>
      <c r="E349" s="71">
        <f>+_xlfn.XLOOKUP(Tabla6[[#This Row],[NOMBRE]],'RESUMEN CLIENTES'!A:A,'RESUMEN CLIENTES'!X:X)</f>
        <v>0</v>
      </c>
      <c r="F349" s="71">
        <f>+_xlfn.XLOOKUP(Tabla6[[#This Row],[ID CLIENTE]],'RESUMEN CLIENTES'!D:D,'RESUMEN CLIENTES'!W:W)</f>
        <v>0</v>
      </c>
      <c r="G349" s="17">
        <v>45900</v>
      </c>
      <c r="H349" s="169" t="s">
        <v>81</v>
      </c>
      <c r="I349" s="2">
        <v>1000</v>
      </c>
      <c r="J349" s="20" t="s">
        <v>819</v>
      </c>
      <c r="K349" t="s">
        <v>820</v>
      </c>
      <c r="L349" s="44" t="str" cm="1">
        <f t="array" ref="L349">+_xlfn.IFS(COUNTIF(INGRESOS!E:E,Tabla6[[#This Row],[ID FACTURA]])=1,"PAGADA",Tabla6[[#This Row],[ID FACTURA]]&lt;&gt;0,"EMITIDA",Tabla6[[#This Row],[ID FACTURA]]=0,"POR EMITIR")</f>
        <v>PAGADA</v>
      </c>
      <c r="M349" s="54">
        <f>+IF(Tabla6[[#This Row],[ESTADO FACTURA]]="PAGADA",Tabla6[[#This Row],[FECHA]]-_xlfn.XLOOKUP(Tabla6[[#This Row],[N° FACTURA]],INGRESOS!F:F,INGRESOS!A:A),"-")</f>
        <v>0</v>
      </c>
      <c r="O349"/>
    </row>
    <row r="350" spans="1:15" ht="14.75" customHeight="1">
      <c r="A350" s="320" t="s">
        <v>773</v>
      </c>
      <c r="B350" t="str">
        <f>+_xlfn.XLOOKUP(Tabla6[[#This Row],[ID CLIENTE]],'RESUMEN CLIENTES'!D:D,'RESUMEN CLIENTES'!A:A)</f>
        <v>Caren Alvarez Maciel</v>
      </c>
      <c r="C350" t="str">
        <f>+_xlfn.XLOOKUP(Tabla6[[#This Row],[ID CLIENTE]],'RESUMEN CLIENTES'!D:D,'RESUMEN CLIENTES'!C:C)</f>
        <v>Uruguay</v>
      </c>
      <c r="D350" s="44" t="str">
        <f>+_xlfn.XLOOKUP(Tabla6[[#This Row],[ID CLIENTE]],'RESUMEN CLIENTES'!D:D,'RESUMEN CLIENTES'!M:M)</f>
        <v>ELIMINADO</v>
      </c>
      <c r="E350" s="72">
        <f>+_xlfn.XLOOKUP(Tabla6[[#This Row],[NOMBRE]],'RESUMEN CLIENTES'!A:A,'RESUMEN CLIENTES'!X:X)</f>
        <v>-2</v>
      </c>
      <c r="F350" s="72">
        <f>+_xlfn.XLOOKUP(Tabla6[[#This Row],[ID CLIENTE]],'RESUMEN CLIENTES'!D:D,'RESUMEN CLIENTES'!W:W)</f>
        <v>1</v>
      </c>
      <c r="G350" s="17">
        <v>45901</v>
      </c>
      <c r="H350" s="44" t="s">
        <v>81</v>
      </c>
      <c r="I350" s="2">
        <v>1730</v>
      </c>
      <c r="J350" s="20" t="s">
        <v>835</v>
      </c>
      <c r="K350" t="s">
        <v>836</v>
      </c>
      <c r="L350" s="44" t="str" cm="1">
        <f t="array" ref="L350">+_xlfn.IFS(COUNTIF(INGRESOS!E:E,Tabla6[[#This Row],[ID FACTURA]])=1,"PAGADA",Tabla6[[#This Row],[ID FACTURA]]&lt;&gt;0,"EMITIDA",Tabla6[[#This Row],[ID FACTURA]]=0,"POR EMITIR")</f>
        <v>PAGADA</v>
      </c>
      <c r="M350" s="55">
        <f>+IF(Tabla6[[#This Row],[ESTADO FACTURA]]="PAGADA",Tabla6[[#This Row],[FECHA]]-_xlfn.XLOOKUP(Tabla6[[#This Row],[N° FACTURA]],INGRESOS!F:F,INGRESOS!A:A),"-")</f>
        <v>-4</v>
      </c>
      <c r="N350" s="2"/>
      <c r="O350" t="s">
        <v>837</v>
      </c>
    </row>
    <row r="351" spans="1:15" ht="14.75" customHeight="1">
      <c r="A351" s="320" t="s">
        <v>744</v>
      </c>
      <c r="B351" t="str">
        <f>+_xlfn.XLOOKUP(Tabla6[[#This Row],[ID CLIENTE]],'RESUMEN CLIENTES'!D:D,'RESUMEN CLIENTES'!A:A)</f>
        <v>Martin Esteban Orellana Dominguez</v>
      </c>
      <c r="C351" t="str">
        <f>+_xlfn.XLOOKUP(Tabla6[[#This Row],[ID CLIENTE]],'RESUMEN CLIENTES'!D:D,'RESUMEN CLIENTES'!C:C)</f>
        <v>Ecuador</v>
      </c>
      <c r="D351" s="44" t="str">
        <f>+_xlfn.XLOOKUP(Tabla6[[#This Row],[ID CLIENTE]],'RESUMEN CLIENTES'!D:D,'RESUMEN CLIENTES'!M:M)</f>
        <v>OK</v>
      </c>
      <c r="E351" s="72">
        <f>+_xlfn.XLOOKUP(Tabla6[[#This Row],[NOMBRE]],'RESUMEN CLIENTES'!A:A,'RESUMEN CLIENTES'!X:X)</f>
        <v>-1.1428571428571428</v>
      </c>
      <c r="F351" s="72">
        <f>+_xlfn.XLOOKUP(Tabla6[[#This Row],[ID CLIENTE]],'RESUMEN CLIENTES'!D:D,'RESUMEN CLIENTES'!W:W)</f>
        <v>1</v>
      </c>
      <c r="G351" s="17">
        <v>45901</v>
      </c>
      <c r="H351" s="44" t="s">
        <v>81</v>
      </c>
      <c r="I351" s="2">
        <v>500</v>
      </c>
      <c r="J351" s="20" t="s">
        <v>838</v>
      </c>
      <c r="K351" t="s">
        <v>839</v>
      </c>
      <c r="L351" s="44" t="str" cm="1">
        <f t="array" ref="L351">+_xlfn.IFS(COUNTIF(INGRESOS!E:E,Tabla6[[#This Row],[ID FACTURA]])=1,"PAGADA",Tabla6[[#This Row],[ID FACTURA]]&lt;&gt;0,"EMITIDA",Tabla6[[#This Row],[ID FACTURA]]=0,"POR EMITIR")</f>
        <v>PAGADA</v>
      </c>
      <c r="M351" s="55">
        <f>+IF(Tabla6[[#This Row],[ESTADO FACTURA]]="PAGADA",Tabla6[[#This Row],[FECHA]]-_xlfn.XLOOKUP(Tabla6[[#This Row],[N° FACTURA]],INGRESOS!F:F,INGRESOS!A:A),"-")</f>
        <v>-1</v>
      </c>
      <c r="N351" s="2"/>
      <c r="O351"/>
    </row>
    <row r="352" spans="1:15" ht="14.75" customHeight="1">
      <c r="A352" s="320" t="s">
        <v>535</v>
      </c>
      <c r="B352" t="str">
        <f>+_xlfn.XLOOKUP(Tabla6[[#This Row],[ID CLIENTE]],'RESUMEN CLIENTES'!D:D,'RESUMEN CLIENTES'!A:A)</f>
        <v>Miguel Angel Pretell Cabrera</v>
      </c>
      <c r="C352" t="str">
        <f>+_xlfn.XLOOKUP(Tabla6[[#This Row],[ID CLIENTE]],'RESUMEN CLIENTES'!D:D,'RESUMEN CLIENTES'!C:C)</f>
        <v>Perú</v>
      </c>
      <c r="D352" s="44" t="str">
        <f>+_xlfn.XLOOKUP(Tabla6[[#This Row],[ID CLIENTE]],'RESUMEN CLIENTES'!D:D,'RESUMEN CLIENTES'!M:M)</f>
        <v>OK</v>
      </c>
      <c r="E352" s="72">
        <f>+_xlfn.XLOOKUP(Tabla6[[#This Row],[NOMBRE]],'RESUMEN CLIENTES'!A:A,'RESUMEN CLIENTES'!X:X)</f>
        <v>-2.5</v>
      </c>
      <c r="F352" s="72">
        <f>+_xlfn.XLOOKUP(Tabla6[[#This Row],[ID CLIENTE]],'RESUMEN CLIENTES'!D:D,'RESUMEN CLIENTES'!W:W)</f>
        <v>0</v>
      </c>
      <c r="G352" s="17">
        <v>45901</v>
      </c>
      <c r="H352" s="44" t="s">
        <v>81</v>
      </c>
      <c r="I352" s="2">
        <v>2000</v>
      </c>
      <c r="J352" s="20" t="s">
        <v>840</v>
      </c>
      <c r="K352" t="s">
        <v>841</v>
      </c>
      <c r="L352" s="44" t="str" cm="1">
        <f t="array" ref="L352">+_xlfn.IFS(COUNTIF(INGRESOS!E:E,Tabla6[[#This Row],[ID FACTURA]])=1,"PAGADA",Tabla6[[#This Row],[ID FACTURA]]&lt;&gt;0,"EMITIDA",Tabla6[[#This Row],[ID FACTURA]]=0,"POR EMITIR")</f>
        <v>PAGADA</v>
      </c>
      <c r="M352" s="55">
        <f>+IF(Tabla6[[#This Row],[ESTADO FACTURA]]="PAGADA",Tabla6[[#This Row],[FECHA]]-_xlfn.XLOOKUP(Tabla6[[#This Row],[N° FACTURA]],INGRESOS!F:F,INGRESOS!A:A),"-")</f>
        <v>-5</v>
      </c>
      <c r="N352" s="2"/>
      <c r="O352"/>
    </row>
    <row r="353" spans="1:15" ht="15" customHeight="1">
      <c r="A353" s="320" t="s">
        <v>465</v>
      </c>
      <c r="B353" t="str">
        <f>+_xlfn.XLOOKUP(Tabla6[[#This Row],[ID CLIENTE]],'RESUMEN CLIENTES'!D:D,'RESUMEN CLIENTES'!A:A)</f>
        <v>Freddy Renzo Perez Villafuerte</v>
      </c>
      <c r="C353" t="str">
        <f>+_xlfn.XLOOKUP(Tabla6[[#This Row],[ID CLIENTE]],'RESUMEN CLIENTES'!D:D,'RESUMEN CLIENTES'!C:C)</f>
        <v>Perú</v>
      </c>
      <c r="D353" s="44" t="str">
        <f>+_xlfn.XLOOKUP(Tabla6[[#This Row],[ID CLIENTE]],'RESUMEN CLIENTES'!D:D,'RESUMEN CLIENTES'!M:M)</f>
        <v>ELIMINADO</v>
      </c>
      <c r="E353" s="72">
        <f>+_xlfn.XLOOKUP(Tabla6[[#This Row],[NOMBRE]],'RESUMEN CLIENTES'!A:A,'RESUMEN CLIENTES'!X:X)</f>
        <v>-0.25</v>
      </c>
      <c r="F353" s="72">
        <f>+_xlfn.XLOOKUP(Tabla6[[#This Row],[ID CLIENTE]],'RESUMEN CLIENTES'!D:D,'RESUMEN CLIENTES'!W:W)</f>
        <v>0</v>
      </c>
      <c r="G353" s="17">
        <v>45902</v>
      </c>
      <c r="H353" s="44" t="s">
        <v>81</v>
      </c>
      <c r="I353" s="2">
        <v>1000</v>
      </c>
      <c r="J353" s="20" t="s">
        <v>842</v>
      </c>
      <c r="K353" t="s">
        <v>843</v>
      </c>
      <c r="L353" s="44" t="str" cm="1">
        <f t="array" ref="L353">+_xlfn.IFS(COUNTIF(INGRESOS!E:E,Tabla6[[#This Row],[ID FACTURA]])=1,"PAGADA",Tabla6[[#This Row],[ID FACTURA]]&lt;&gt;0,"EMITIDA",Tabla6[[#This Row],[ID FACTURA]]=0,"POR EMITIR")</f>
        <v>PAGADA</v>
      </c>
      <c r="M353" s="55">
        <f>+IF(Tabla6[[#This Row],[ESTADO FACTURA]]="PAGADA",Tabla6[[#This Row],[FECHA]]-_xlfn.XLOOKUP(Tabla6[[#This Row],[N° FACTURA]],INGRESOS!F:F,INGRESOS!A:A),"-")</f>
        <v>0</v>
      </c>
      <c r="N353" s="2"/>
      <c r="O353"/>
    </row>
    <row r="354" spans="1:15" ht="14.75" customHeight="1">
      <c r="A354" s="320" t="s">
        <v>695</v>
      </c>
      <c r="B354" t="str">
        <f>+_xlfn.XLOOKUP(Tabla6[[#This Row],[ID CLIENTE]],'RESUMEN CLIENTES'!D:D,'RESUMEN CLIENTES'!A:A)</f>
        <v>Olguer Ariel Pruna Herrera</v>
      </c>
      <c r="C354" t="str">
        <f>+_xlfn.XLOOKUP(Tabla6[[#This Row],[ID CLIENTE]],'RESUMEN CLIENTES'!D:D,'RESUMEN CLIENTES'!C:C)</f>
        <v>Ecuador</v>
      </c>
      <c r="D354" s="44" t="str">
        <f>+_xlfn.XLOOKUP(Tabla6[[#This Row],[ID CLIENTE]],'RESUMEN CLIENTES'!D:D,'RESUMEN CLIENTES'!M:M)</f>
        <v>OK</v>
      </c>
      <c r="E354" s="72">
        <f>+_xlfn.XLOOKUP(Tabla6[[#This Row],[NOMBRE]],'RESUMEN CLIENTES'!A:A,'RESUMEN CLIENTES'!X:X)</f>
        <v>0.25</v>
      </c>
      <c r="F354" s="72">
        <f>+_xlfn.XLOOKUP(Tabla6[[#This Row],[ID CLIENTE]],'RESUMEN CLIENTES'!D:D,'RESUMEN CLIENTES'!W:W)</f>
        <v>1</v>
      </c>
      <c r="G354" s="17">
        <v>45902</v>
      </c>
      <c r="H354" s="44" t="s">
        <v>81</v>
      </c>
      <c r="I354" s="2">
        <v>1750</v>
      </c>
      <c r="J354" s="20" t="s">
        <v>844</v>
      </c>
      <c r="K354" t="s">
        <v>845</v>
      </c>
      <c r="L354" s="44" t="str" cm="1">
        <f t="array" ref="L354">+_xlfn.IFS(COUNTIF(INGRESOS!E:E,Tabla6[[#This Row],[ID FACTURA]])=1,"PAGADA",Tabla6[[#This Row],[ID FACTURA]]&lt;&gt;0,"EMITIDA",Tabla6[[#This Row],[ID FACTURA]]=0,"POR EMITIR")</f>
        <v>PAGADA</v>
      </c>
      <c r="M354" s="55">
        <f>+IF(Tabla6[[#This Row],[ESTADO FACTURA]]="PAGADA",Tabla6[[#This Row],[FECHA]]-_xlfn.XLOOKUP(Tabla6[[#This Row],[N° FACTURA]],INGRESOS!F:F,INGRESOS!A:A),"-")</f>
        <v>-2</v>
      </c>
      <c r="N354" s="2"/>
      <c r="O354" s="8"/>
    </row>
    <row r="355" spans="1:15" ht="14.75" customHeight="1">
      <c r="A355" s="320" t="s">
        <v>846</v>
      </c>
      <c r="B355" t="str">
        <f>+_xlfn.XLOOKUP(Tabla6[[#This Row],[ID CLIENTE]],'RESUMEN CLIENTES'!D:D,'RESUMEN CLIENTES'!A:A)</f>
        <v>Gaspar Arturo Alvarez Garcia</v>
      </c>
      <c r="C355" t="str">
        <f>+_xlfn.XLOOKUP(Tabla6[[#This Row],[ID CLIENTE]],'RESUMEN CLIENTES'!D:D,'RESUMEN CLIENTES'!C:C)</f>
        <v>Chile</v>
      </c>
      <c r="D355" s="44" t="str">
        <f>+_xlfn.XLOOKUP(Tabla6[[#This Row],[ID CLIENTE]],'RESUMEN CLIENTES'!D:D,'RESUMEN CLIENTES'!M:M)</f>
        <v>ELIMINADO</v>
      </c>
      <c r="E355" s="72">
        <f>+_xlfn.XLOOKUP(Tabla6[[#This Row],[NOMBRE]],'RESUMEN CLIENTES'!A:A,'RESUMEN CLIENTES'!X:X)</f>
        <v>0</v>
      </c>
      <c r="F355" s="72">
        <f>+_xlfn.XLOOKUP(Tabla6[[#This Row],[ID CLIENTE]],'RESUMEN CLIENTES'!D:D,'RESUMEN CLIENTES'!W:W)</f>
        <v>0</v>
      </c>
      <c r="G355" s="17">
        <v>45903</v>
      </c>
      <c r="H355" s="44" t="s">
        <v>81</v>
      </c>
      <c r="I355" s="2">
        <v>250</v>
      </c>
      <c r="J355" s="20" t="s">
        <v>847</v>
      </c>
      <c r="K355" t="s">
        <v>848</v>
      </c>
      <c r="L355" s="44" t="str" cm="1">
        <f t="array" ref="L355">+_xlfn.IFS(COUNTIF(INGRESOS!E:E,Tabla6[[#This Row],[ID FACTURA]])=1,"PAGADA",Tabla6[[#This Row],[ID FACTURA]]&lt;&gt;0,"EMITIDA",Tabla6[[#This Row],[ID FACTURA]]=0,"POR EMITIR")</f>
        <v>PAGADA</v>
      </c>
      <c r="M355" s="55">
        <f>+IF(Tabla6[[#This Row],[ESTADO FACTURA]]="PAGADA",Tabla6[[#This Row],[FECHA]]-_xlfn.XLOOKUP(Tabla6[[#This Row],[N° FACTURA]],INGRESOS!F:F,INGRESOS!A:A),"-")</f>
        <v>0</v>
      </c>
      <c r="N355" s="2"/>
      <c r="O355"/>
    </row>
    <row r="356" spans="1:15" ht="14.75" customHeight="1">
      <c r="A356" s="320" t="s">
        <v>484</v>
      </c>
      <c r="B356" t="str">
        <f>+_xlfn.XLOOKUP(Tabla6[[#This Row],[ID CLIENTE]],'RESUMEN CLIENTES'!D:D,'RESUMEN CLIENTES'!A:A)</f>
        <v>Liliana Alejandra Gruezo Pérez</v>
      </c>
      <c r="C356" t="str">
        <f>+_xlfn.XLOOKUP(Tabla6[[#This Row],[ID CLIENTE]],'RESUMEN CLIENTES'!D:D,'RESUMEN CLIENTES'!C:C)</f>
        <v>Ecuador</v>
      </c>
      <c r="D356" s="44" t="str">
        <f>+_xlfn.XLOOKUP(Tabla6[[#This Row],[ID CLIENTE]],'RESUMEN CLIENTES'!D:D,'RESUMEN CLIENTES'!M:M)</f>
        <v>¡REGULARIZAR!</v>
      </c>
      <c r="E356" s="72">
        <f>+_xlfn.XLOOKUP(Tabla6[[#This Row],[NOMBRE]],'RESUMEN CLIENTES'!A:A,'RESUMEN CLIENTES'!X:X)</f>
        <v>-2.2857142857142856</v>
      </c>
      <c r="F356" s="72">
        <f>+_xlfn.XLOOKUP(Tabla6[[#This Row],[ID CLIENTE]],'RESUMEN CLIENTES'!D:D,'RESUMEN CLIENTES'!W:W)</f>
        <v>1</v>
      </c>
      <c r="G356" s="17">
        <v>45903</v>
      </c>
      <c r="H356" s="44" t="s">
        <v>81</v>
      </c>
      <c r="I356" s="2">
        <v>470</v>
      </c>
      <c r="J356" s="20" t="s">
        <v>849</v>
      </c>
      <c r="K356" t="s">
        <v>850</v>
      </c>
      <c r="L356" s="44" t="str" cm="1">
        <f t="array" ref="L356">+_xlfn.IFS(COUNTIF(INGRESOS!E:E,Tabla6[[#This Row],[ID FACTURA]])=1,"PAGADA",Tabla6[[#This Row],[ID FACTURA]]&lt;&gt;0,"EMITIDA",Tabla6[[#This Row],[ID FACTURA]]=0,"POR EMITIR")</f>
        <v>PAGADA</v>
      </c>
      <c r="M356" s="55">
        <f>+IF(Tabla6[[#This Row],[ESTADO FACTURA]]="PAGADA",Tabla6[[#This Row],[FECHA]]-_xlfn.XLOOKUP(Tabla6[[#This Row],[N° FACTURA]],INGRESOS!F:F,INGRESOS!A:A),"-")</f>
        <v>-3</v>
      </c>
      <c r="N356" s="2"/>
      <c r="O356"/>
    </row>
    <row r="357" spans="1:15" ht="14.75" customHeight="1">
      <c r="A357" s="320" t="s">
        <v>258</v>
      </c>
      <c r="B357" t="str">
        <f>+_xlfn.XLOOKUP(Tabla6[[#This Row],[ID CLIENTE]],'RESUMEN CLIENTES'!D:D,'RESUMEN CLIENTES'!A:A)</f>
        <v>Maria Laura Rios Pino</v>
      </c>
      <c r="C357" t="str">
        <f>+_xlfn.XLOOKUP(Tabla6[[#This Row],[ID CLIENTE]],'RESUMEN CLIENTES'!D:D,'RESUMEN CLIENTES'!C:C)</f>
        <v>Perú</v>
      </c>
      <c r="D357" s="44" t="str">
        <f>+_xlfn.XLOOKUP(Tabla6[[#This Row],[ID CLIENTE]],'RESUMEN CLIENTES'!D:D,'RESUMEN CLIENTES'!M:M)</f>
        <v>OK</v>
      </c>
      <c r="E357" s="72">
        <f>+_xlfn.XLOOKUP(Tabla6[[#This Row],[NOMBRE]],'RESUMEN CLIENTES'!A:A,'RESUMEN CLIENTES'!X:X)</f>
        <v>1.4545454545454546</v>
      </c>
      <c r="F357" s="72">
        <f>+_xlfn.XLOOKUP(Tabla6[[#This Row],[ID CLIENTE]],'RESUMEN CLIENTES'!D:D,'RESUMEN CLIENTES'!W:W)</f>
        <v>0</v>
      </c>
      <c r="G357" s="17">
        <v>45903</v>
      </c>
      <c r="H357" s="44" t="s">
        <v>81</v>
      </c>
      <c r="I357" s="19">
        <v>750</v>
      </c>
      <c r="J357" s="20" t="s">
        <v>851</v>
      </c>
      <c r="K357" t="s">
        <v>852</v>
      </c>
      <c r="L357" s="44" t="str" cm="1">
        <f t="array" ref="L357">+_xlfn.IFS(COUNTIF(INGRESOS!E:E,Tabla6[[#This Row],[ID FACTURA]])=1,"PAGADA",Tabla6[[#This Row],[ID FACTURA]]&lt;&gt;0,"EMITIDA",Tabla6[[#This Row],[ID FACTURA]]=0,"POR EMITIR")</f>
        <v>PAGADA</v>
      </c>
      <c r="M357" s="55">
        <f>+IF(Tabla6[[#This Row],[ESTADO FACTURA]]="PAGADA",Tabla6[[#This Row],[FECHA]]-_xlfn.XLOOKUP(Tabla6[[#This Row],[N° FACTURA]],INGRESOS!F:F,INGRESOS!A:A),"-")</f>
        <v>2</v>
      </c>
      <c r="N357" s="19"/>
      <c r="O357"/>
    </row>
    <row r="358" spans="1:15" ht="14.75" customHeight="1">
      <c r="A358" s="320" t="s">
        <v>407</v>
      </c>
      <c r="B358" t="str">
        <f>+_xlfn.XLOOKUP(Tabla6[[#This Row],[ID CLIENTE]],'RESUMEN CLIENTES'!D:D,'RESUMEN CLIENTES'!A:A)</f>
        <v>Mayra Leonor Rivera Paico</v>
      </c>
      <c r="C358" t="str">
        <f>+_xlfn.XLOOKUP(Tabla6[[#This Row],[ID CLIENTE]],'RESUMEN CLIENTES'!D:D,'RESUMEN CLIENTES'!C:C)</f>
        <v>Perú</v>
      </c>
      <c r="D358" s="44" t="str">
        <f>+_xlfn.XLOOKUP(Tabla6[[#This Row],[ID CLIENTE]],'RESUMEN CLIENTES'!D:D,'RESUMEN CLIENTES'!M:M)</f>
        <v>OK</v>
      </c>
      <c r="E358" s="72">
        <f>+_xlfn.XLOOKUP(Tabla6[[#This Row],[NOMBRE]],'RESUMEN CLIENTES'!A:A,'RESUMEN CLIENTES'!X:X)</f>
        <v>-0.22222222222222221</v>
      </c>
      <c r="F358" s="72">
        <f>+_xlfn.XLOOKUP(Tabla6[[#This Row],[ID CLIENTE]],'RESUMEN CLIENTES'!D:D,'RESUMEN CLIENTES'!W:W)</f>
        <v>0</v>
      </c>
      <c r="G358" s="17">
        <v>45904</v>
      </c>
      <c r="H358" s="44" t="s">
        <v>81</v>
      </c>
      <c r="I358" s="2">
        <v>1000</v>
      </c>
      <c r="J358" s="20" t="s">
        <v>853</v>
      </c>
      <c r="K358" t="s">
        <v>854</v>
      </c>
      <c r="L358" s="44" t="str" cm="1">
        <f t="array" ref="L358">+_xlfn.IFS(COUNTIF(INGRESOS!E:E,Tabla6[[#This Row],[ID FACTURA]])=1,"PAGADA",Tabla6[[#This Row],[ID FACTURA]]&lt;&gt;0,"EMITIDA",Tabla6[[#This Row],[ID FACTURA]]=0,"POR EMITIR")</f>
        <v>PAGADA</v>
      </c>
      <c r="M358" s="55">
        <f>+IF(Tabla6[[#This Row],[ESTADO FACTURA]]="PAGADA",Tabla6[[#This Row],[FECHA]]-_xlfn.XLOOKUP(Tabla6[[#This Row],[N° FACTURA]],INGRESOS!F:F,INGRESOS!A:A),"-")</f>
        <v>1</v>
      </c>
      <c r="N358" s="2"/>
      <c r="O358"/>
    </row>
    <row r="359" spans="1:15" ht="14.75" customHeight="1">
      <c r="A359" s="320" t="s">
        <v>855</v>
      </c>
      <c r="B359" t="str">
        <f>+_xlfn.XLOOKUP(Tabla6[[#This Row],[ID CLIENTE]],'RESUMEN CLIENTES'!D:D,'RESUMEN CLIENTES'!A:A)</f>
        <v>Paula Ida Elisa Saris Sommer</v>
      </c>
      <c r="C359" t="str">
        <f>+_xlfn.XLOOKUP(Tabla6[[#This Row],[ID CLIENTE]],'RESUMEN CLIENTES'!D:D,'RESUMEN CLIENTES'!C:C)</f>
        <v>Argentina</v>
      </c>
      <c r="D359" s="44" t="str">
        <f>+_xlfn.XLOOKUP(Tabla6[[#This Row],[ID CLIENTE]],'RESUMEN CLIENTES'!D:D,'RESUMEN CLIENTES'!M:M)</f>
        <v>OK</v>
      </c>
      <c r="E359" s="72">
        <f>+_xlfn.XLOOKUP(Tabla6[[#This Row],[NOMBRE]],'RESUMEN CLIENTES'!A:A,'RESUMEN CLIENTES'!X:X)</f>
        <v>-8.7894736842105257</v>
      </c>
      <c r="F359" s="72">
        <f>+_xlfn.XLOOKUP(Tabla6[[#This Row],[ID CLIENTE]],'RESUMEN CLIENTES'!D:D,'RESUMEN CLIENTES'!W:W)</f>
        <v>0</v>
      </c>
      <c r="G359" s="17">
        <v>45904</v>
      </c>
      <c r="H359" s="44" t="s">
        <v>81</v>
      </c>
      <c r="I359" s="2">
        <v>500</v>
      </c>
      <c r="J359" s="20" t="s">
        <v>856</v>
      </c>
      <c r="K359" t="s">
        <v>857</v>
      </c>
      <c r="L359" s="44" t="str" cm="1">
        <f t="array" ref="L359">+_xlfn.IFS(COUNTIF(INGRESOS!E:E,Tabla6[[#This Row],[ID FACTURA]])=1,"PAGADA",Tabla6[[#This Row],[ID FACTURA]]&lt;&gt;0,"EMITIDA",Tabla6[[#This Row],[ID FACTURA]]=0,"POR EMITIR")</f>
        <v>PAGADA</v>
      </c>
      <c r="M359" s="55">
        <f>+IF(Tabla6[[#This Row],[ESTADO FACTURA]]="PAGADA",Tabla6[[#This Row],[FECHA]]-_xlfn.XLOOKUP(Tabla6[[#This Row],[N° FACTURA]],INGRESOS!F:F,INGRESOS!A:A),"-")</f>
        <v>0</v>
      </c>
      <c r="N359" s="2"/>
      <c r="O359"/>
    </row>
    <row r="360" spans="1:15" ht="14.75" customHeight="1">
      <c r="A360" s="320" t="s">
        <v>855</v>
      </c>
      <c r="B360" t="str">
        <f>+_xlfn.XLOOKUP(Tabla6[[#This Row],[ID CLIENTE]],'RESUMEN CLIENTES'!D:D,'RESUMEN CLIENTES'!A:A)</f>
        <v>Paula Ida Elisa Saris Sommer</v>
      </c>
      <c r="C360" t="str">
        <f>+_xlfn.XLOOKUP(Tabla6[[#This Row],[ID CLIENTE]],'RESUMEN CLIENTES'!D:D,'RESUMEN CLIENTES'!C:C)</f>
        <v>Argentina</v>
      </c>
      <c r="D360" s="44" t="str">
        <f>+_xlfn.XLOOKUP(Tabla6[[#This Row],[ID CLIENTE]],'RESUMEN CLIENTES'!D:D,'RESUMEN CLIENTES'!M:M)</f>
        <v>OK</v>
      </c>
      <c r="E360" s="72">
        <f>+_xlfn.XLOOKUP(Tabla6[[#This Row],[NOMBRE]],'RESUMEN CLIENTES'!A:A,'RESUMEN CLIENTES'!X:X)</f>
        <v>-8.7894736842105257</v>
      </c>
      <c r="F360" s="72">
        <f>+_xlfn.XLOOKUP(Tabla6[[#This Row],[ID CLIENTE]],'RESUMEN CLIENTES'!D:D,'RESUMEN CLIENTES'!W:W)</f>
        <v>0</v>
      </c>
      <c r="G360" s="17">
        <v>45904</v>
      </c>
      <c r="H360" s="44" t="s">
        <v>81</v>
      </c>
      <c r="I360" s="2">
        <v>500</v>
      </c>
      <c r="J360" s="20" t="s">
        <v>858</v>
      </c>
      <c r="K360" t="s">
        <v>859</v>
      </c>
      <c r="L360" s="44" t="str" cm="1">
        <f t="array" ref="L360">+_xlfn.IFS(COUNTIF(INGRESOS!E:E,Tabla6[[#This Row],[ID FACTURA]])=1,"PAGADA",Tabla6[[#This Row],[ID FACTURA]]&lt;&gt;0,"EMITIDA",Tabla6[[#This Row],[ID FACTURA]]=0,"POR EMITIR")</f>
        <v>PAGADA</v>
      </c>
      <c r="M360" s="55">
        <f>+IF(Tabla6[[#This Row],[ESTADO FACTURA]]="PAGADA",Tabla6[[#This Row],[FECHA]]-_xlfn.XLOOKUP(Tabla6[[#This Row],[N° FACTURA]],INGRESOS!F:F,INGRESOS!A:A),"-")</f>
        <v>0</v>
      </c>
      <c r="N360" s="2"/>
      <c r="O360"/>
    </row>
    <row r="361" spans="1:15" ht="14.75" customHeight="1">
      <c r="A361" s="320" t="s">
        <v>447</v>
      </c>
      <c r="B361" t="str">
        <f>+_xlfn.XLOOKUP(Tabla6[[#This Row],[ID CLIENTE]],'RESUMEN CLIENTES'!D:D,'RESUMEN CLIENTES'!A:A)</f>
        <v>Yefry Onil Santana Marte</v>
      </c>
      <c r="C361" t="str">
        <f>+_xlfn.XLOOKUP(Tabla6[[#This Row],[ID CLIENTE]],'RESUMEN CLIENTES'!D:D,'RESUMEN CLIENTES'!C:C)</f>
        <v>República Dominicana</v>
      </c>
      <c r="D361" s="44" t="str">
        <f>+_xlfn.XLOOKUP(Tabla6[[#This Row],[ID CLIENTE]],'RESUMEN CLIENTES'!D:D,'RESUMEN CLIENTES'!M:M)</f>
        <v>OK</v>
      </c>
      <c r="E361" s="72">
        <f>+_xlfn.XLOOKUP(Tabla6[[#This Row],[NOMBRE]],'RESUMEN CLIENTES'!A:A,'RESUMEN CLIENTES'!X:X)</f>
        <v>-0.90909090909090906</v>
      </c>
      <c r="F361" s="72">
        <f>+_xlfn.XLOOKUP(Tabla6[[#This Row],[ID CLIENTE]],'RESUMEN CLIENTES'!D:D,'RESUMEN CLIENTES'!W:W)</f>
        <v>0</v>
      </c>
      <c r="G361" s="17">
        <v>45904</v>
      </c>
      <c r="H361" s="44" t="s">
        <v>81</v>
      </c>
      <c r="I361" s="2">
        <v>875</v>
      </c>
      <c r="J361" s="20" t="s">
        <v>860</v>
      </c>
      <c r="K361" t="s">
        <v>861</v>
      </c>
      <c r="L361" s="44" t="str" cm="1">
        <f t="array" ref="L361">+_xlfn.IFS(COUNTIF(INGRESOS!E:E,Tabla6[[#This Row],[ID FACTURA]])=1,"PAGADA",Tabla6[[#This Row],[ID FACTURA]]&lt;&gt;0,"EMITIDA",Tabla6[[#This Row],[ID FACTURA]]=0,"POR EMITIR")</f>
        <v>PAGADA</v>
      </c>
      <c r="M361" s="55">
        <f>+IF(Tabla6[[#This Row],[ESTADO FACTURA]]="PAGADA",Tabla6[[#This Row],[FECHA]]-_xlfn.XLOOKUP(Tabla6[[#This Row],[N° FACTURA]],INGRESOS!F:F,INGRESOS!A:A),"-")</f>
        <v>-1</v>
      </c>
      <c r="N361" s="2"/>
      <c r="O361"/>
    </row>
    <row r="362" spans="1:15" ht="14.75" customHeight="1">
      <c r="A362" s="320" t="s">
        <v>165</v>
      </c>
      <c r="B362" t="str">
        <f>+_xlfn.XLOOKUP(Tabla6[[#This Row],[ID CLIENTE]],'RESUMEN CLIENTES'!D:D,'RESUMEN CLIENTES'!A:A)</f>
        <v>Alejandra Leva Vallejo</v>
      </c>
      <c r="C362" t="str">
        <f>+_xlfn.XLOOKUP(Tabla6[[#This Row],[ID CLIENTE]],'RESUMEN CLIENTES'!D:D,'RESUMEN CLIENTES'!C:C)</f>
        <v>México</v>
      </c>
      <c r="D362" s="44" t="str">
        <f>+_xlfn.XLOOKUP(Tabla6[[#This Row],[ID CLIENTE]],'RESUMEN CLIENTES'!D:D,'RESUMEN CLIENTES'!M:M)</f>
        <v>OK</v>
      </c>
      <c r="E362" s="72">
        <f>+_xlfn.XLOOKUP(Tabla6[[#This Row],[NOMBRE]],'RESUMEN CLIENTES'!A:A,'RESUMEN CLIENTES'!X:X)</f>
        <v>0</v>
      </c>
      <c r="F362" s="72">
        <f>+_xlfn.XLOOKUP(Tabla6[[#This Row],[ID CLIENTE]],'RESUMEN CLIENTES'!D:D,'RESUMEN CLIENTES'!W:W)</f>
        <v>1</v>
      </c>
      <c r="G362" s="17">
        <v>45905</v>
      </c>
      <c r="H362" s="44" t="s">
        <v>81</v>
      </c>
      <c r="I362" s="2">
        <v>1000</v>
      </c>
      <c r="J362" s="20" t="s">
        <v>862</v>
      </c>
      <c r="K362" t="s">
        <v>863</v>
      </c>
      <c r="L362" s="44" t="str" cm="1">
        <f t="array" ref="L362">+_xlfn.IFS(COUNTIF(INGRESOS!E:E,Tabla6[[#This Row],[ID FACTURA]])=1,"PAGADA",Tabla6[[#This Row],[ID FACTURA]]&lt;&gt;0,"EMITIDA",Tabla6[[#This Row],[ID FACTURA]]=0,"POR EMITIR")</f>
        <v>PAGADA</v>
      </c>
      <c r="M362" s="55">
        <f>+IF(Tabla6[[#This Row],[ESTADO FACTURA]]="PAGADA",Tabla6[[#This Row],[FECHA]]-_xlfn.XLOOKUP(Tabla6[[#This Row],[N° FACTURA]],INGRESOS!F:F,INGRESOS!A:A),"-")</f>
        <v>0</v>
      </c>
      <c r="N362" s="2"/>
      <c r="O362"/>
    </row>
    <row r="363" spans="1:15" ht="14.75" customHeight="1">
      <c r="A363" s="320" t="s">
        <v>203</v>
      </c>
      <c r="B363" t="str">
        <f>+_xlfn.XLOOKUP(Tabla6[[#This Row],[ID CLIENTE]],'RESUMEN CLIENTES'!D:D,'RESUMEN CLIENTES'!A:A)</f>
        <v>Bernardita Lobo Zegers</v>
      </c>
      <c r="C363" t="str">
        <f>+_xlfn.XLOOKUP(Tabla6[[#This Row],[ID CLIENTE]],'RESUMEN CLIENTES'!D:D,'RESUMEN CLIENTES'!C:C)</f>
        <v>México</v>
      </c>
      <c r="D363" s="44" t="str">
        <f>+_xlfn.XLOOKUP(Tabla6[[#This Row],[ID CLIENTE]],'RESUMEN CLIENTES'!D:D,'RESUMEN CLIENTES'!M:M)</f>
        <v>OK</v>
      </c>
      <c r="E363" s="72">
        <f>+_xlfn.XLOOKUP(Tabla6[[#This Row],[NOMBRE]],'RESUMEN CLIENTES'!A:A,'RESUMEN CLIENTES'!X:X)</f>
        <v>-0.8</v>
      </c>
      <c r="F363" s="72">
        <f>+_xlfn.XLOOKUP(Tabla6[[#This Row],[ID CLIENTE]],'RESUMEN CLIENTES'!D:D,'RESUMEN CLIENTES'!W:W)</f>
        <v>1</v>
      </c>
      <c r="G363" s="17">
        <v>45905</v>
      </c>
      <c r="H363" s="44" t="s">
        <v>81</v>
      </c>
      <c r="I363" s="2">
        <v>1000</v>
      </c>
      <c r="J363" s="20" t="s">
        <v>864</v>
      </c>
      <c r="K363" t="s">
        <v>865</v>
      </c>
      <c r="L363" s="44" t="str" cm="1">
        <f t="array" ref="L363">+_xlfn.IFS(COUNTIF(INGRESOS!E:E,Tabla6[[#This Row],[ID FACTURA]])=1,"PAGADA",Tabla6[[#This Row],[ID FACTURA]]&lt;&gt;0,"EMITIDA",Tabla6[[#This Row],[ID FACTURA]]=0,"POR EMITIR")</f>
        <v>PAGADA</v>
      </c>
      <c r="M363" s="55">
        <f>+IF(Tabla6[[#This Row],[ESTADO FACTURA]]="PAGADA",Tabla6[[#This Row],[FECHA]]-_xlfn.XLOOKUP(Tabla6[[#This Row],[N° FACTURA]],INGRESOS!F:F,INGRESOS!A:A),"-")</f>
        <v>0</v>
      </c>
      <c r="N363" s="2"/>
      <c r="O363"/>
    </row>
    <row r="364" spans="1:15" ht="14.75" customHeight="1">
      <c r="A364" s="320" t="s">
        <v>184</v>
      </c>
      <c r="B364" t="str">
        <f>+_xlfn.XLOOKUP(Tabla6[[#This Row],[ID CLIENTE]],'RESUMEN CLIENTES'!D:D,'RESUMEN CLIENTES'!A:A)</f>
        <v>Boris Andrés Silva Véliz</v>
      </c>
      <c r="C364" t="str">
        <f>+_xlfn.XLOOKUP(Tabla6[[#This Row],[ID CLIENTE]],'RESUMEN CLIENTES'!D:D,'RESUMEN CLIENTES'!C:C)</f>
        <v>Chile</v>
      </c>
      <c r="D364" s="44" t="str">
        <f>+_xlfn.XLOOKUP(Tabla6[[#This Row],[ID CLIENTE]],'RESUMEN CLIENTES'!D:D,'RESUMEN CLIENTES'!M:M)</f>
        <v>OK</v>
      </c>
      <c r="E364" s="72">
        <f>+_xlfn.XLOOKUP(Tabla6[[#This Row],[NOMBRE]],'RESUMEN CLIENTES'!A:A,'RESUMEN CLIENTES'!X:X)</f>
        <v>2.1111111111111112</v>
      </c>
      <c r="F364" s="72">
        <f>+_xlfn.XLOOKUP(Tabla6[[#This Row],[ID CLIENTE]],'RESUMEN CLIENTES'!D:D,'RESUMEN CLIENTES'!W:W)</f>
        <v>0</v>
      </c>
      <c r="G364" s="17">
        <v>45905</v>
      </c>
      <c r="H364" s="44" t="s">
        <v>81</v>
      </c>
      <c r="I364" s="2">
        <v>695</v>
      </c>
      <c r="J364" s="20" t="s">
        <v>844</v>
      </c>
      <c r="K364" t="s">
        <v>845</v>
      </c>
      <c r="L364" s="44" t="str" cm="1">
        <f t="array" ref="L364">+_xlfn.IFS(COUNTIF(INGRESOS!E:E,Tabla6[[#This Row],[ID FACTURA]])=1,"PAGADA",Tabla6[[#This Row],[ID FACTURA]]&lt;&gt;0,"EMITIDA",Tabla6[[#This Row],[ID FACTURA]]=0,"POR EMITIR")</f>
        <v>PAGADA</v>
      </c>
      <c r="M364" s="55">
        <f>+IF(Tabla6[[#This Row],[ESTADO FACTURA]]="PAGADA",Tabla6[[#This Row],[FECHA]]-_xlfn.XLOOKUP(Tabla6[[#This Row],[N° FACTURA]],INGRESOS!F:F,INGRESOS!A:A),"-")</f>
        <v>1</v>
      </c>
      <c r="N364" s="2"/>
      <c r="O364"/>
    </row>
    <row r="365" spans="1:15" ht="14.75" customHeight="1">
      <c r="A365" s="320" t="s">
        <v>118</v>
      </c>
      <c r="B365" t="str">
        <f>+_xlfn.XLOOKUP(Tabla6[[#This Row],[ID CLIENTE]],'RESUMEN CLIENTES'!D:D,'RESUMEN CLIENTES'!A:A)</f>
        <v>Camila Sanchez Aravena</v>
      </c>
      <c r="C365" t="str">
        <f>+_xlfn.XLOOKUP(Tabla6[[#This Row],[ID CLIENTE]],'RESUMEN CLIENTES'!D:D,'RESUMEN CLIENTES'!C:C)</f>
        <v>Chile</v>
      </c>
      <c r="D365" s="44" t="str">
        <f>+_xlfn.XLOOKUP(Tabla6[[#This Row],[ID CLIENTE]],'RESUMEN CLIENTES'!D:D,'RESUMEN CLIENTES'!M:M)</f>
        <v>OK</v>
      </c>
      <c r="E365" s="72">
        <f>+_xlfn.XLOOKUP(Tabla6[[#This Row],[NOMBRE]],'RESUMEN CLIENTES'!A:A,'RESUMEN CLIENTES'!X:X)</f>
        <v>-1</v>
      </c>
      <c r="F365" s="72">
        <f>+_xlfn.XLOOKUP(Tabla6[[#This Row],[ID CLIENTE]],'RESUMEN CLIENTES'!D:D,'RESUMEN CLIENTES'!W:W)</f>
        <v>1</v>
      </c>
      <c r="G365" s="17">
        <v>45905</v>
      </c>
      <c r="H365" s="44" t="s">
        <v>81</v>
      </c>
      <c r="I365" s="2">
        <v>600</v>
      </c>
      <c r="J365" s="20" t="s">
        <v>866</v>
      </c>
      <c r="K365" t="s">
        <v>867</v>
      </c>
      <c r="L365" s="44" t="str" cm="1">
        <f t="array" ref="L365">+_xlfn.IFS(COUNTIF(INGRESOS!E:E,Tabla6[[#This Row],[ID FACTURA]])=1,"PAGADA",Tabla6[[#This Row],[ID FACTURA]]&lt;&gt;0,"EMITIDA",Tabla6[[#This Row],[ID FACTURA]]=0,"POR EMITIR")</f>
        <v>PAGADA</v>
      </c>
      <c r="M365" s="55">
        <f>+IF(Tabla6[[#This Row],[ESTADO FACTURA]]="PAGADA",Tabla6[[#This Row],[FECHA]]-_xlfn.XLOOKUP(Tabla6[[#This Row],[N° FACTURA]],INGRESOS!F:F,INGRESOS!A:A),"-")</f>
        <v>-3</v>
      </c>
      <c r="N365" s="2"/>
      <c r="O365"/>
    </row>
    <row r="366" spans="1:15" ht="14.75" customHeight="1">
      <c r="A366" s="320" t="s">
        <v>168</v>
      </c>
      <c r="B366" t="str">
        <f>+_xlfn.XLOOKUP(Tabla6[[#This Row],[ID CLIENTE]],'RESUMEN CLIENTES'!D:D,'RESUMEN CLIENTES'!A:A)</f>
        <v xml:space="preserve">Catalina Ochoa Urrutia
</v>
      </c>
      <c r="C366" t="str">
        <f>+_xlfn.XLOOKUP(Tabla6[[#This Row],[ID CLIENTE]],'RESUMEN CLIENTES'!D:D,'RESUMEN CLIENTES'!C:C)</f>
        <v>Chile</v>
      </c>
      <c r="D366" s="44" t="str">
        <f>+_xlfn.XLOOKUP(Tabla6[[#This Row],[ID CLIENTE]],'RESUMEN CLIENTES'!D:D,'RESUMEN CLIENTES'!M:M)</f>
        <v>OK</v>
      </c>
      <c r="E366" s="72">
        <f>+_xlfn.XLOOKUP(Tabla6[[#This Row],[NOMBRE]],'RESUMEN CLIENTES'!A:A,'RESUMEN CLIENTES'!X:X)</f>
        <v>0.75</v>
      </c>
      <c r="F366" s="72">
        <f>+_xlfn.XLOOKUP(Tabla6[[#This Row],[ID CLIENTE]],'RESUMEN CLIENTES'!D:D,'RESUMEN CLIENTES'!W:W)</f>
        <v>1</v>
      </c>
      <c r="G366" s="17">
        <v>45905</v>
      </c>
      <c r="H366" s="44" t="s">
        <v>81</v>
      </c>
      <c r="I366" s="2">
        <v>1500</v>
      </c>
      <c r="J366" s="20" t="s">
        <v>868</v>
      </c>
      <c r="K366" t="s">
        <v>869</v>
      </c>
      <c r="L366" s="44" t="str" cm="1">
        <f t="array" ref="L366">+_xlfn.IFS(COUNTIF(INGRESOS!E:E,Tabla6[[#This Row],[ID FACTURA]])=1,"PAGADA",Tabla6[[#This Row],[ID FACTURA]]&lt;&gt;0,"EMITIDA",Tabla6[[#This Row],[ID FACTURA]]=0,"POR EMITIR")</f>
        <v>PAGADA</v>
      </c>
      <c r="M366" s="55">
        <f>+IF(Tabla6[[#This Row],[ESTADO FACTURA]]="PAGADA",Tabla6[[#This Row],[FECHA]]-_xlfn.XLOOKUP(Tabla6[[#This Row],[N° FACTURA]],INGRESOS!F:F,INGRESOS!A:A),"-")</f>
        <v>0</v>
      </c>
      <c r="N366" s="2"/>
      <c r="O366"/>
    </row>
    <row r="367" spans="1:15" ht="14.75" customHeight="1">
      <c r="A367" s="320" t="s">
        <v>756</v>
      </c>
      <c r="B367" t="str">
        <f>+_xlfn.XLOOKUP(Tabla6[[#This Row],[ID CLIENTE]],'RESUMEN CLIENTES'!D:D,'RESUMEN CLIENTES'!A:A)</f>
        <v>Daniela Luise Reisenegger Scheel</v>
      </c>
      <c r="C367" t="str">
        <f>+_xlfn.XLOOKUP(Tabla6[[#This Row],[ID CLIENTE]],'RESUMEN CLIENTES'!D:D,'RESUMEN CLIENTES'!C:C)</f>
        <v>Chile</v>
      </c>
      <c r="D367" s="44" t="str">
        <f>+_xlfn.XLOOKUP(Tabla6[[#This Row],[ID CLIENTE]],'RESUMEN CLIENTES'!D:D,'RESUMEN CLIENTES'!M:M)</f>
        <v>ELIMINADO</v>
      </c>
      <c r="E367" s="72">
        <f>+_xlfn.XLOOKUP(Tabla6[[#This Row],[NOMBRE]],'RESUMEN CLIENTES'!A:A,'RESUMEN CLIENTES'!X:X)</f>
        <v>-4.333333333333333</v>
      </c>
      <c r="F367" s="72">
        <f>+_xlfn.XLOOKUP(Tabla6[[#This Row],[ID CLIENTE]],'RESUMEN CLIENTES'!D:D,'RESUMEN CLIENTES'!W:W)</f>
        <v>0</v>
      </c>
      <c r="G367" s="17">
        <v>45905</v>
      </c>
      <c r="H367" s="44" t="s">
        <v>81</v>
      </c>
      <c r="I367" s="2">
        <v>2750</v>
      </c>
      <c r="J367" s="20" t="s">
        <v>870</v>
      </c>
      <c r="K367" t="s">
        <v>871</v>
      </c>
      <c r="L367" s="44" t="str" cm="1">
        <f t="array" ref="L367">+_xlfn.IFS(COUNTIF(INGRESOS!E:E,Tabla6[[#This Row],[ID FACTURA]])=1,"PAGADA",Tabla6[[#This Row],[ID FACTURA]]&lt;&gt;0,"EMITIDA",Tabla6[[#This Row],[ID FACTURA]]=0,"POR EMITIR")</f>
        <v>PAGADA</v>
      </c>
      <c r="M367" s="55">
        <f>+IF(Tabla6[[#This Row],[ESTADO FACTURA]]="PAGADA",Tabla6[[#This Row],[FECHA]]-_xlfn.XLOOKUP(Tabla6[[#This Row],[N° FACTURA]],INGRESOS!F:F,INGRESOS!A:A),"-")</f>
        <v>-4</v>
      </c>
      <c r="N367" s="2"/>
      <c r="O367" s="8"/>
    </row>
    <row r="368" spans="1:15" ht="14.75" customHeight="1">
      <c r="A368" s="320" t="s">
        <v>194</v>
      </c>
      <c r="B368" t="str">
        <f>+_xlfn.XLOOKUP(Tabla6[[#This Row],[ID CLIENTE]],'RESUMEN CLIENTES'!D:D,'RESUMEN CLIENTES'!A:A)</f>
        <v>Dinorah Gómez Castellanos</v>
      </c>
      <c r="C368" t="str">
        <f>+_xlfn.XLOOKUP(Tabla6[[#This Row],[ID CLIENTE]],'RESUMEN CLIENTES'!D:D,'RESUMEN CLIENTES'!C:C)</f>
        <v>México</v>
      </c>
      <c r="D368" s="44" t="str">
        <f>+_xlfn.XLOOKUP(Tabla6[[#This Row],[ID CLIENTE]],'RESUMEN CLIENTES'!D:D,'RESUMEN CLIENTES'!M:M)</f>
        <v>OK</v>
      </c>
      <c r="E368" s="72">
        <f>+_xlfn.XLOOKUP(Tabla6[[#This Row],[NOMBRE]],'RESUMEN CLIENTES'!A:A,'RESUMEN CLIENTES'!X:X)</f>
        <v>2.75</v>
      </c>
      <c r="F368" s="72">
        <f>+_xlfn.XLOOKUP(Tabla6[[#This Row],[ID CLIENTE]],'RESUMEN CLIENTES'!D:D,'RESUMEN CLIENTES'!W:W)</f>
        <v>0</v>
      </c>
      <c r="G368" s="17">
        <v>45905</v>
      </c>
      <c r="H368" s="44" t="s">
        <v>81</v>
      </c>
      <c r="I368" s="2">
        <v>800</v>
      </c>
      <c r="J368" s="20" t="s">
        <v>872</v>
      </c>
      <c r="K368" t="s">
        <v>873</v>
      </c>
      <c r="L368" s="44" t="str" cm="1">
        <f t="array" ref="L368">+_xlfn.IFS(COUNTIF(INGRESOS!E:E,Tabla6[[#This Row],[ID FACTURA]])=1,"PAGADA",Tabla6[[#This Row],[ID FACTURA]]&lt;&gt;0,"EMITIDA",Tabla6[[#This Row],[ID FACTURA]]=0,"POR EMITIR")</f>
        <v>PAGADA</v>
      </c>
      <c r="M368" s="55">
        <f>+IF(Tabla6[[#This Row],[ESTADO FACTURA]]="PAGADA",Tabla6[[#This Row],[FECHA]]-_xlfn.XLOOKUP(Tabla6[[#This Row],[N° FACTURA]],INGRESOS!F:F,INGRESOS!A:A),"-")</f>
        <v>0</v>
      </c>
      <c r="N368" s="2"/>
      <c r="O368"/>
    </row>
    <row r="369" spans="1:15" ht="14.75" customHeight="1">
      <c r="A369" s="320" t="s">
        <v>846</v>
      </c>
      <c r="B369" t="str">
        <f>+_xlfn.XLOOKUP(Tabla6[[#This Row],[ID CLIENTE]],'RESUMEN CLIENTES'!D:D,'RESUMEN CLIENTES'!A:A)</f>
        <v>Gaspar Arturo Alvarez Garcia</v>
      </c>
      <c r="C369" t="str">
        <f>+_xlfn.XLOOKUP(Tabla6[[#This Row],[ID CLIENTE]],'RESUMEN CLIENTES'!D:D,'RESUMEN CLIENTES'!C:C)</f>
        <v>Chile</v>
      </c>
      <c r="D369" s="44" t="str">
        <f>+_xlfn.XLOOKUP(Tabla6[[#This Row],[ID CLIENTE]],'RESUMEN CLIENTES'!D:D,'RESUMEN CLIENTES'!M:M)</f>
        <v>ELIMINADO</v>
      </c>
      <c r="E369" s="72">
        <f>+_xlfn.XLOOKUP(Tabla6[[#This Row],[NOMBRE]],'RESUMEN CLIENTES'!A:A,'RESUMEN CLIENTES'!X:X)</f>
        <v>0</v>
      </c>
      <c r="F369" s="72">
        <f>+_xlfn.XLOOKUP(Tabla6[[#This Row],[ID CLIENTE]],'RESUMEN CLIENTES'!D:D,'RESUMEN CLIENTES'!W:W)</f>
        <v>0</v>
      </c>
      <c r="G369" s="17">
        <v>45905</v>
      </c>
      <c r="H369" s="44" t="s">
        <v>81</v>
      </c>
      <c r="I369" s="2">
        <v>1750</v>
      </c>
      <c r="J369" s="20" t="s">
        <v>874</v>
      </c>
      <c r="K369" t="s">
        <v>875</v>
      </c>
      <c r="L369" s="44" t="str" cm="1">
        <f t="array" ref="L369">+_xlfn.IFS(COUNTIF(INGRESOS!E:E,Tabla6[[#This Row],[ID FACTURA]])=1,"PAGADA",Tabla6[[#This Row],[ID FACTURA]]&lt;&gt;0,"EMITIDA",Tabla6[[#This Row],[ID FACTURA]]=0,"POR EMITIR")</f>
        <v>PAGADA</v>
      </c>
      <c r="M369" s="55">
        <f>+IF(Tabla6[[#This Row],[ESTADO FACTURA]]="PAGADA",Tabla6[[#This Row],[FECHA]]-_xlfn.XLOOKUP(Tabla6[[#This Row],[N° FACTURA]],INGRESOS!F:F,INGRESOS!A:A),"-")</f>
        <v>0</v>
      </c>
      <c r="N369" s="2"/>
      <c r="O369"/>
    </row>
    <row r="370" spans="1:15" ht="14.75" customHeight="1">
      <c r="A370" s="320" t="s">
        <v>171</v>
      </c>
      <c r="B370" t="str">
        <f>+_xlfn.XLOOKUP(Tabla6[[#This Row],[ID CLIENTE]],'RESUMEN CLIENTES'!D:D,'RESUMEN CLIENTES'!A:A)</f>
        <v>Guillermo Alfonso Garvalena Gaxiola</v>
      </c>
      <c r="C370" t="str">
        <f>+_xlfn.XLOOKUP(Tabla6[[#This Row],[ID CLIENTE]],'RESUMEN CLIENTES'!D:D,'RESUMEN CLIENTES'!C:C)</f>
        <v>México</v>
      </c>
      <c r="D370" s="44" t="str">
        <f>+_xlfn.XLOOKUP(Tabla6[[#This Row],[ID CLIENTE]],'RESUMEN CLIENTES'!D:D,'RESUMEN CLIENTES'!M:M)</f>
        <v>OK</v>
      </c>
      <c r="E370" s="72">
        <f>+_xlfn.XLOOKUP(Tabla6[[#This Row],[NOMBRE]],'RESUMEN CLIENTES'!A:A,'RESUMEN CLIENTES'!X:X)</f>
        <v>1.173913043478261</v>
      </c>
      <c r="F370" s="72">
        <f>+_xlfn.XLOOKUP(Tabla6[[#This Row],[ID CLIENTE]],'RESUMEN CLIENTES'!D:D,'RESUMEN CLIENTES'!W:W)</f>
        <v>1</v>
      </c>
      <c r="G370" s="17">
        <v>45905</v>
      </c>
      <c r="H370" s="44" t="s">
        <v>81</v>
      </c>
      <c r="I370" s="2">
        <v>200</v>
      </c>
      <c r="J370" s="20" t="s">
        <v>876</v>
      </c>
      <c r="K370" t="s">
        <v>877</v>
      </c>
      <c r="L370" s="44" t="str" cm="1">
        <f t="array" ref="L370">+_xlfn.IFS(COUNTIF(INGRESOS!E:E,Tabla6[[#This Row],[ID FACTURA]])=1,"PAGADA",Tabla6[[#This Row],[ID FACTURA]]&lt;&gt;0,"EMITIDA",Tabla6[[#This Row],[ID FACTURA]]=0,"POR EMITIR")</f>
        <v>PAGADA</v>
      </c>
      <c r="M370" s="55">
        <f>+IF(Tabla6[[#This Row],[ESTADO FACTURA]]="PAGADA",Tabla6[[#This Row],[FECHA]]-_xlfn.XLOOKUP(Tabla6[[#This Row],[N° FACTURA]],INGRESOS!F:F,INGRESOS!A:A),"-")</f>
        <v>0</v>
      </c>
      <c r="N370" s="2"/>
      <c r="O370"/>
    </row>
    <row r="371" spans="1:15" ht="14.75" customHeight="1">
      <c r="A371" s="320" t="s">
        <v>171</v>
      </c>
      <c r="B371" t="str">
        <f>+_xlfn.XLOOKUP(Tabla6[[#This Row],[ID CLIENTE]],'RESUMEN CLIENTES'!D:D,'RESUMEN CLIENTES'!A:A)</f>
        <v>Guillermo Alfonso Garvalena Gaxiola</v>
      </c>
      <c r="C371" t="str">
        <f>+_xlfn.XLOOKUP(Tabla6[[#This Row],[ID CLIENTE]],'RESUMEN CLIENTES'!D:D,'RESUMEN CLIENTES'!C:C)</f>
        <v>México</v>
      </c>
      <c r="D371" s="44" t="str">
        <f>+_xlfn.XLOOKUP(Tabla6[[#This Row],[ID CLIENTE]],'RESUMEN CLIENTES'!D:D,'RESUMEN CLIENTES'!M:M)</f>
        <v>OK</v>
      </c>
      <c r="E371" s="72">
        <f>+_xlfn.XLOOKUP(Tabla6[[#This Row],[NOMBRE]],'RESUMEN CLIENTES'!A:A,'RESUMEN CLIENTES'!X:X)</f>
        <v>1.173913043478261</v>
      </c>
      <c r="F371" s="72">
        <f>+_xlfn.XLOOKUP(Tabla6[[#This Row],[ID CLIENTE]],'RESUMEN CLIENTES'!D:D,'RESUMEN CLIENTES'!W:W)</f>
        <v>1</v>
      </c>
      <c r="G371" s="17">
        <v>45905</v>
      </c>
      <c r="H371" s="44" t="s">
        <v>81</v>
      </c>
      <c r="I371" s="2">
        <v>500</v>
      </c>
      <c r="J371" s="20" t="s">
        <v>878</v>
      </c>
      <c r="K371" t="s">
        <v>879</v>
      </c>
      <c r="L371" s="44" t="str" cm="1">
        <f t="array" ref="L371">+_xlfn.IFS(COUNTIF(INGRESOS!E:E,Tabla6[[#This Row],[ID FACTURA]])=1,"PAGADA",Tabla6[[#This Row],[ID FACTURA]]&lt;&gt;0,"EMITIDA",Tabla6[[#This Row],[ID FACTURA]]=0,"POR EMITIR")</f>
        <v>PAGADA</v>
      </c>
      <c r="M371" s="55">
        <f>+IF(Tabla6[[#This Row],[ESTADO FACTURA]]="PAGADA",Tabla6[[#This Row],[FECHA]]-_xlfn.XLOOKUP(Tabla6[[#This Row],[N° FACTURA]],INGRESOS!F:F,INGRESOS!A:A),"-")</f>
        <v>0</v>
      </c>
      <c r="N371" s="2"/>
      <c r="O371"/>
    </row>
    <row r="372" spans="1:15" ht="14.75" customHeight="1">
      <c r="A372" s="320" t="s">
        <v>109</v>
      </c>
      <c r="B372" t="str">
        <f>+_xlfn.XLOOKUP(Tabla6[[#This Row],[ID CLIENTE]],'RESUMEN CLIENTES'!D:D,'RESUMEN CLIENTES'!A:A)</f>
        <v>Ian Job Lino Durán</v>
      </c>
      <c r="C372" t="str">
        <f>+_xlfn.XLOOKUP(Tabla6[[#This Row],[ID CLIENTE]],'RESUMEN CLIENTES'!D:D,'RESUMEN CLIENTES'!C:C)</f>
        <v>México</v>
      </c>
      <c r="D372" s="44" t="str">
        <f>+_xlfn.XLOOKUP(Tabla6[[#This Row],[ID CLIENTE]],'RESUMEN CLIENTES'!D:D,'RESUMEN CLIENTES'!M:M)</f>
        <v>OK</v>
      </c>
      <c r="E372" s="72">
        <f>+_xlfn.XLOOKUP(Tabla6[[#This Row],[NOMBRE]],'RESUMEN CLIENTES'!A:A,'RESUMEN CLIENTES'!X:X)</f>
        <v>0.1</v>
      </c>
      <c r="F372" s="72">
        <f>+_xlfn.XLOOKUP(Tabla6[[#This Row],[ID CLIENTE]],'RESUMEN CLIENTES'!D:D,'RESUMEN CLIENTES'!W:W)</f>
        <v>1</v>
      </c>
      <c r="G372" s="17">
        <v>45905</v>
      </c>
      <c r="H372" s="44" t="s">
        <v>81</v>
      </c>
      <c r="I372" s="2">
        <v>1500</v>
      </c>
      <c r="J372" s="20" t="s">
        <v>880</v>
      </c>
      <c r="K372" t="s">
        <v>881</v>
      </c>
      <c r="L372" s="44" t="str" cm="1">
        <f t="array" ref="L372">+_xlfn.IFS(COUNTIF(INGRESOS!E:E,Tabla6[[#This Row],[ID FACTURA]])=1,"PAGADA",Tabla6[[#This Row],[ID FACTURA]]&lt;&gt;0,"EMITIDA",Tabla6[[#This Row],[ID FACTURA]]=0,"POR EMITIR")</f>
        <v>PAGADA</v>
      </c>
      <c r="M372" s="55">
        <f>+IF(Tabla6[[#This Row],[ESTADO FACTURA]]="PAGADA",Tabla6[[#This Row],[FECHA]]-_xlfn.XLOOKUP(Tabla6[[#This Row],[N° FACTURA]],INGRESOS!F:F,INGRESOS!A:A),"-")</f>
        <v>2</v>
      </c>
      <c r="N372" s="2"/>
      <c r="O372"/>
    </row>
    <row r="373" spans="1:15" ht="14.75" customHeight="1">
      <c r="A373" s="320" t="s">
        <v>882</v>
      </c>
      <c r="B373" t="str">
        <f>+_xlfn.XLOOKUP(Tabla6[[#This Row],[ID CLIENTE]],'RESUMEN CLIENTES'!D:D,'RESUMEN CLIENTES'!A:A)</f>
        <v>Jean Karlo Cacheux Estibuarte</v>
      </c>
      <c r="C373" t="str">
        <f>+_xlfn.XLOOKUP(Tabla6[[#This Row],[ID CLIENTE]],'RESUMEN CLIENTES'!D:D,'RESUMEN CLIENTES'!C:C)</f>
        <v>México</v>
      </c>
      <c r="D373" s="44" t="str">
        <f>+_xlfn.XLOOKUP(Tabla6[[#This Row],[ID CLIENTE]],'RESUMEN CLIENTES'!D:D,'RESUMEN CLIENTES'!M:M)</f>
        <v>ELIMINADO</v>
      </c>
      <c r="E373" s="72">
        <f>+_xlfn.XLOOKUP(Tabla6[[#This Row],[NOMBRE]],'RESUMEN CLIENTES'!A:A,'RESUMEN CLIENTES'!X:X)</f>
        <v>0</v>
      </c>
      <c r="F373" s="72">
        <f>+_xlfn.XLOOKUP(Tabla6[[#This Row],[ID CLIENTE]],'RESUMEN CLIENTES'!D:D,'RESUMEN CLIENTES'!W:W)</f>
        <v>0</v>
      </c>
      <c r="G373" s="17">
        <v>45905</v>
      </c>
      <c r="H373" s="44" t="s">
        <v>81</v>
      </c>
      <c r="I373" s="2">
        <v>1250</v>
      </c>
      <c r="J373" s="20" t="s">
        <v>883</v>
      </c>
      <c r="K373" t="s">
        <v>884</v>
      </c>
      <c r="L373" s="44" t="str" cm="1">
        <f t="array" ref="L373">+_xlfn.IFS(COUNTIF(INGRESOS!E:E,Tabla6[[#This Row],[ID FACTURA]])=1,"PAGADA",Tabla6[[#This Row],[ID FACTURA]]&lt;&gt;0,"EMITIDA",Tabla6[[#This Row],[ID FACTURA]]=0,"POR EMITIR")</f>
        <v>PAGADA</v>
      </c>
      <c r="M373" s="55">
        <f>+IF(Tabla6[[#This Row],[ESTADO FACTURA]]="PAGADA",Tabla6[[#This Row],[FECHA]]-_xlfn.XLOOKUP(Tabla6[[#This Row],[N° FACTURA]],INGRESOS!F:F,INGRESOS!A:A),"-")</f>
        <v>0</v>
      </c>
      <c r="N373" s="2"/>
      <c r="O373"/>
    </row>
    <row r="374" spans="1:15" ht="14.75" customHeight="1">
      <c r="A374" s="320" t="s">
        <v>142</v>
      </c>
      <c r="B374" t="str">
        <f>+_xlfn.XLOOKUP(Tabla6[[#This Row],[ID CLIENTE]],'RESUMEN CLIENTES'!D:D,'RESUMEN CLIENTES'!A:A)</f>
        <v>Jordan Eliecer Toledo Bravo</v>
      </c>
      <c r="C374" t="str">
        <f>+_xlfn.XLOOKUP(Tabla6[[#This Row],[ID CLIENTE]],'RESUMEN CLIENTES'!D:D,'RESUMEN CLIENTES'!C:C)</f>
        <v>Chile</v>
      </c>
      <c r="D374" s="44" t="str">
        <f>+_xlfn.XLOOKUP(Tabla6[[#This Row],[ID CLIENTE]],'RESUMEN CLIENTES'!D:D,'RESUMEN CLIENTES'!M:M)</f>
        <v>OK</v>
      </c>
      <c r="E374" s="72">
        <f>+_xlfn.XLOOKUP(Tabla6[[#This Row],[NOMBRE]],'RESUMEN CLIENTES'!A:A,'RESUMEN CLIENTES'!X:X)</f>
        <v>-1.6153846153846154</v>
      </c>
      <c r="F374" s="72">
        <f>+_xlfn.XLOOKUP(Tabla6[[#This Row],[ID CLIENTE]],'RESUMEN CLIENTES'!D:D,'RESUMEN CLIENTES'!W:W)</f>
        <v>0</v>
      </c>
      <c r="G374" s="17">
        <v>45905</v>
      </c>
      <c r="H374" s="44" t="s">
        <v>81</v>
      </c>
      <c r="I374" s="2">
        <v>500</v>
      </c>
      <c r="J374" s="20" t="s">
        <v>885</v>
      </c>
      <c r="K374" t="s">
        <v>886</v>
      </c>
      <c r="L374" s="44" t="str" cm="1">
        <f t="array" ref="L374">+_xlfn.IFS(COUNTIF(INGRESOS!E:E,Tabla6[[#This Row],[ID FACTURA]])=1,"PAGADA",Tabla6[[#This Row],[ID FACTURA]]&lt;&gt;0,"EMITIDA",Tabla6[[#This Row],[ID FACTURA]]=0,"POR EMITIR")</f>
        <v>PAGADA</v>
      </c>
      <c r="M374" s="55">
        <f>+IF(Tabla6[[#This Row],[ESTADO FACTURA]]="PAGADA",Tabla6[[#This Row],[FECHA]]-_xlfn.XLOOKUP(Tabla6[[#This Row],[N° FACTURA]],INGRESOS!F:F,INGRESOS!A:A),"-")</f>
        <v>0</v>
      </c>
      <c r="N374" s="2"/>
      <c r="O374"/>
    </row>
    <row r="375" spans="1:15" ht="14.75" customHeight="1">
      <c r="A375" s="320" t="s">
        <v>188</v>
      </c>
      <c r="B375" t="str">
        <f>+_xlfn.XLOOKUP(Tabla6[[#This Row],[ID CLIENTE]],'RESUMEN CLIENTES'!D:D,'RESUMEN CLIENTES'!A:A)</f>
        <v>Marco Tulio Negrete Aceves</v>
      </c>
      <c r="C375" t="str">
        <f>+_xlfn.XLOOKUP(Tabla6[[#This Row],[ID CLIENTE]],'RESUMEN CLIENTES'!D:D,'RESUMEN CLIENTES'!C:C)</f>
        <v>México</v>
      </c>
      <c r="D375" s="44" t="str">
        <f>+_xlfn.XLOOKUP(Tabla6[[#This Row],[ID CLIENTE]],'RESUMEN CLIENTES'!D:D,'RESUMEN CLIENTES'!M:M)</f>
        <v>OK</v>
      </c>
      <c r="E375" s="72">
        <f>+_xlfn.XLOOKUP(Tabla6[[#This Row],[NOMBRE]],'RESUMEN CLIENTES'!A:A,'RESUMEN CLIENTES'!X:X)</f>
        <v>2.625</v>
      </c>
      <c r="F375" s="72">
        <f>+_xlfn.XLOOKUP(Tabla6[[#This Row],[ID CLIENTE]],'RESUMEN CLIENTES'!D:D,'RESUMEN CLIENTES'!W:W)</f>
        <v>1</v>
      </c>
      <c r="G375" s="17">
        <v>45905</v>
      </c>
      <c r="H375" s="44" t="s">
        <v>81</v>
      </c>
      <c r="I375" s="2">
        <v>300</v>
      </c>
      <c r="J375" s="20" t="s">
        <v>887</v>
      </c>
      <c r="K375" t="s">
        <v>888</v>
      </c>
      <c r="L375" s="44" t="str" cm="1">
        <f t="array" ref="L375">+_xlfn.IFS(COUNTIF(INGRESOS!E:E,Tabla6[[#This Row],[ID FACTURA]])=1,"PAGADA",Tabla6[[#This Row],[ID FACTURA]]&lt;&gt;0,"EMITIDA",Tabla6[[#This Row],[ID FACTURA]]=0,"POR EMITIR")</f>
        <v>PAGADA</v>
      </c>
      <c r="M375" s="55">
        <f>+IF(Tabla6[[#This Row],[ESTADO FACTURA]]="PAGADA",Tabla6[[#This Row],[FECHA]]-_xlfn.XLOOKUP(Tabla6[[#This Row],[N° FACTURA]],INGRESOS!F:F,INGRESOS!A:A),"-")</f>
        <v>0</v>
      </c>
      <c r="N375" s="2"/>
      <c r="O375"/>
    </row>
    <row r="376" spans="1:15" ht="14.75" customHeight="1">
      <c r="A376" s="320" t="s">
        <v>80</v>
      </c>
      <c r="B376" t="str">
        <f>+_xlfn.XLOOKUP(Tabla6[[#This Row],[ID CLIENTE]],'RESUMEN CLIENTES'!D:D,'RESUMEN CLIENTES'!A:A)</f>
        <v>María Fernanda Alvar Sepúlveda</v>
      </c>
      <c r="C376" t="str">
        <f>+_xlfn.XLOOKUP(Tabla6[[#This Row],[ID CLIENTE]],'RESUMEN CLIENTES'!D:D,'RESUMEN CLIENTES'!C:C)</f>
        <v>Chile</v>
      </c>
      <c r="D376" s="44" t="str">
        <f>+_xlfn.XLOOKUP(Tabla6[[#This Row],[ID CLIENTE]],'RESUMEN CLIENTES'!D:D,'RESUMEN CLIENTES'!M:M)</f>
        <v>OK</v>
      </c>
      <c r="E376" s="72">
        <f>+_xlfn.XLOOKUP(Tabla6[[#This Row],[NOMBRE]],'RESUMEN CLIENTES'!A:A,'RESUMEN CLIENTES'!X:X)</f>
        <v>5</v>
      </c>
      <c r="F376" s="72">
        <f>+_xlfn.XLOOKUP(Tabla6[[#This Row],[ID CLIENTE]],'RESUMEN CLIENTES'!D:D,'RESUMEN CLIENTES'!W:W)</f>
        <v>1</v>
      </c>
      <c r="G376" s="17">
        <v>45905</v>
      </c>
      <c r="H376" s="44" t="s">
        <v>81</v>
      </c>
      <c r="I376" s="2">
        <v>582</v>
      </c>
      <c r="J376" s="20" t="s">
        <v>889</v>
      </c>
      <c r="K376" t="s">
        <v>890</v>
      </c>
      <c r="L376" s="44" t="str" cm="1">
        <f t="array" ref="L376">+_xlfn.IFS(COUNTIF(INGRESOS!E:E,Tabla6[[#This Row],[ID FACTURA]])=1,"PAGADA",Tabla6[[#This Row],[ID FACTURA]]&lt;&gt;0,"EMITIDA",Tabla6[[#This Row],[ID FACTURA]]=0,"POR EMITIR")</f>
        <v>PAGADA</v>
      </c>
      <c r="M376" s="55">
        <f>+IF(Tabla6[[#This Row],[ESTADO FACTURA]]="PAGADA",Tabla6[[#This Row],[FECHA]]-_xlfn.XLOOKUP(Tabla6[[#This Row],[N° FACTURA]],INGRESOS!F:F,INGRESOS!A:A),"-")</f>
        <v>0</v>
      </c>
      <c r="N376" s="2"/>
      <c r="O376"/>
    </row>
    <row r="377" spans="1:15" ht="14.75" customHeight="1">
      <c r="A377" s="320" t="s">
        <v>129</v>
      </c>
      <c r="B377" t="str">
        <f>+_xlfn.XLOOKUP(Tabla6[[#This Row],[ID CLIENTE]],'RESUMEN CLIENTES'!D:D,'RESUMEN CLIENTES'!A:A)</f>
        <v>Moira Millaray Schneider Rivera</v>
      </c>
      <c r="C377" t="str">
        <f>+_xlfn.XLOOKUP(Tabla6[[#This Row],[ID CLIENTE]],'RESUMEN CLIENTES'!D:D,'RESUMEN CLIENTES'!C:C)</f>
        <v>Chile</v>
      </c>
      <c r="D377" s="44" t="str">
        <f>+_xlfn.XLOOKUP(Tabla6[[#This Row],[ID CLIENTE]],'RESUMEN CLIENTES'!D:D,'RESUMEN CLIENTES'!M:M)</f>
        <v>OK</v>
      </c>
      <c r="E377" s="72">
        <f>+_xlfn.XLOOKUP(Tabla6[[#This Row],[NOMBRE]],'RESUMEN CLIENTES'!A:A,'RESUMEN CLIENTES'!X:X)</f>
        <v>0</v>
      </c>
      <c r="F377" s="72">
        <f>+_xlfn.XLOOKUP(Tabla6[[#This Row],[ID CLIENTE]],'RESUMEN CLIENTES'!D:D,'RESUMEN CLIENTES'!W:W)</f>
        <v>1</v>
      </c>
      <c r="G377" s="17">
        <v>45905</v>
      </c>
      <c r="H377" s="44" t="s">
        <v>81</v>
      </c>
      <c r="I377" s="2">
        <v>1000</v>
      </c>
      <c r="J377" s="20" t="s">
        <v>891</v>
      </c>
      <c r="K377" t="s">
        <v>892</v>
      </c>
      <c r="L377" s="44" t="str" cm="1">
        <f t="array" ref="L377">+_xlfn.IFS(COUNTIF(INGRESOS!E:E,Tabla6[[#This Row],[ID FACTURA]])=1,"PAGADA",Tabla6[[#This Row],[ID FACTURA]]&lt;&gt;0,"EMITIDA",Tabla6[[#This Row],[ID FACTURA]]=0,"POR EMITIR")</f>
        <v>PAGADA</v>
      </c>
      <c r="M377" s="55">
        <f>+IF(Tabla6[[#This Row],[ESTADO FACTURA]]="PAGADA",Tabla6[[#This Row],[FECHA]]-_xlfn.XLOOKUP(Tabla6[[#This Row],[N° FACTURA]],INGRESOS!F:F,INGRESOS!A:A),"-")</f>
        <v>0</v>
      </c>
      <c r="N377" s="2"/>
      <c r="O377"/>
    </row>
    <row r="378" spans="1:15" ht="14.75" customHeight="1">
      <c r="A378" s="320" t="s">
        <v>855</v>
      </c>
      <c r="B378" t="str">
        <f>+_xlfn.XLOOKUP(Tabla6[[#This Row],[ID CLIENTE]],'RESUMEN CLIENTES'!D:D,'RESUMEN CLIENTES'!A:A)</f>
        <v>Paula Ida Elisa Saris Sommer</v>
      </c>
      <c r="C378" t="str">
        <f>+_xlfn.XLOOKUP(Tabla6[[#This Row],[ID CLIENTE]],'RESUMEN CLIENTES'!D:D,'RESUMEN CLIENTES'!C:C)</f>
        <v>Argentina</v>
      </c>
      <c r="D378" s="44" t="str">
        <f>+_xlfn.XLOOKUP(Tabla6[[#This Row],[ID CLIENTE]],'RESUMEN CLIENTES'!D:D,'RESUMEN CLIENTES'!M:M)</f>
        <v>OK</v>
      </c>
      <c r="E378" s="72">
        <f>+_xlfn.XLOOKUP(Tabla6[[#This Row],[NOMBRE]],'RESUMEN CLIENTES'!A:A,'RESUMEN CLIENTES'!X:X)</f>
        <v>-8.7894736842105257</v>
      </c>
      <c r="F378" s="72">
        <f>+_xlfn.XLOOKUP(Tabla6[[#This Row],[ID CLIENTE]],'RESUMEN CLIENTES'!D:D,'RESUMEN CLIENTES'!W:W)</f>
        <v>0</v>
      </c>
      <c r="G378" s="17">
        <v>45905</v>
      </c>
      <c r="H378" s="44" t="s">
        <v>81</v>
      </c>
      <c r="I378" s="2">
        <v>500</v>
      </c>
      <c r="J378" s="20" t="s">
        <v>893</v>
      </c>
      <c r="K378" t="s">
        <v>894</v>
      </c>
      <c r="L378" s="44" t="str" cm="1">
        <f t="array" ref="L378">+_xlfn.IFS(COUNTIF(INGRESOS!E:E,Tabla6[[#This Row],[ID FACTURA]])=1,"PAGADA",Tabla6[[#This Row],[ID FACTURA]]&lt;&gt;0,"EMITIDA",Tabla6[[#This Row],[ID FACTURA]]=0,"POR EMITIR")</f>
        <v>PAGADA</v>
      </c>
      <c r="M378" s="55">
        <f>+IF(Tabla6[[#This Row],[ESTADO FACTURA]]="PAGADA",Tabla6[[#This Row],[FECHA]]-_xlfn.XLOOKUP(Tabla6[[#This Row],[N° FACTURA]],INGRESOS!F:F,INGRESOS!A:A),"-")</f>
        <v>0</v>
      </c>
      <c r="N378" s="2"/>
      <c r="O378"/>
    </row>
    <row r="379" spans="1:15" ht="14.75" customHeight="1">
      <c r="A379" s="320" t="s">
        <v>159</v>
      </c>
      <c r="B379" t="str">
        <f>+_xlfn.XLOOKUP(Tabla6[[#This Row],[ID CLIENTE]],'RESUMEN CLIENTES'!D:D,'RESUMEN CLIENTES'!A:A)</f>
        <v>Rodrigo Rivera Ruiz</v>
      </c>
      <c r="C379" t="str">
        <f>+_xlfn.XLOOKUP(Tabla6[[#This Row],[ID CLIENTE]],'RESUMEN CLIENTES'!D:D,'RESUMEN CLIENTES'!C:C)</f>
        <v>Chile</v>
      </c>
      <c r="D379" s="44" t="str">
        <f>+_xlfn.XLOOKUP(Tabla6[[#This Row],[ID CLIENTE]],'RESUMEN CLIENTES'!D:D,'RESUMEN CLIENTES'!M:M)</f>
        <v>OK</v>
      </c>
      <c r="E379" s="72">
        <f>+_xlfn.XLOOKUP(Tabla6[[#This Row],[NOMBRE]],'RESUMEN CLIENTES'!A:A,'RESUMEN CLIENTES'!X:X)</f>
        <v>0.8</v>
      </c>
      <c r="F379" s="72">
        <f>+_xlfn.XLOOKUP(Tabla6[[#This Row],[ID CLIENTE]],'RESUMEN CLIENTES'!D:D,'RESUMEN CLIENTES'!W:W)</f>
        <v>1</v>
      </c>
      <c r="G379" s="17">
        <v>45905</v>
      </c>
      <c r="H379" s="44" t="s">
        <v>81</v>
      </c>
      <c r="I379" s="2">
        <v>1500</v>
      </c>
      <c r="J379" s="20" t="s">
        <v>895</v>
      </c>
      <c r="K379" t="s">
        <v>896</v>
      </c>
      <c r="L379" s="44" t="str" cm="1">
        <f t="array" ref="L379">+_xlfn.IFS(COUNTIF(INGRESOS!E:E,Tabla6[[#This Row],[ID FACTURA]])=1,"PAGADA",Tabla6[[#This Row],[ID FACTURA]]&lt;&gt;0,"EMITIDA",Tabla6[[#This Row],[ID FACTURA]]=0,"POR EMITIR")</f>
        <v>PAGADA</v>
      </c>
      <c r="M379" s="55">
        <f>+IF(Tabla6[[#This Row],[ESTADO FACTURA]]="PAGADA",Tabla6[[#This Row],[FECHA]]-_xlfn.XLOOKUP(Tabla6[[#This Row],[N° FACTURA]],INGRESOS!F:F,INGRESOS!A:A),"-")</f>
        <v>0</v>
      </c>
      <c r="N379" s="2"/>
      <c r="O379"/>
    </row>
    <row r="380" spans="1:15" ht="14.75" customHeight="1">
      <c r="A380" s="320" t="s">
        <v>281</v>
      </c>
      <c r="B380" t="str">
        <f>+_xlfn.XLOOKUP(Tabla6[[#This Row],[ID CLIENTE]],'RESUMEN CLIENTES'!D:D,'RESUMEN CLIENTES'!A:A)</f>
        <v>Sergio Francisco Garcia Sandoval</v>
      </c>
      <c r="C380" t="str">
        <f>+_xlfn.XLOOKUP(Tabla6[[#This Row],[ID CLIENTE]],'RESUMEN CLIENTES'!D:D,'RESUMEN CLIENTES'!C:C)</f>
        <v>Perú</v>
      </c>
      <c r="D380" s="44" t="str">
        <f>+_xlfn.XLOOKUP(Tabla6[[#This Row],[ID CLIENTE]],'RESUMEN CLIENTES'!D:D,'RESUMEN CLIENTES'!M:M)</f>
        <v>OK</v>
      </c>
      <c r="E380" s="72">
        <f>+_xlfn.XLOOKUP(Tabla6[[#This Row],[NOMBRE]],'RESUMEN CLIENTES'!A:A,'RESUMEN CLIENTES'!X:X)</f>
        <v>0.88888888888888884</v>
      </c>
      <c r="F380" s="72">
        <f>+_xlfn.XLOOKUP(Tabla6[[#This Row],[ID CLIENTE]],'RESUMEN CLIENTES'!D:D,'RESUMEN CLIENTES'!W:W)</f>
        <v>1</v>
      </c>
      <c r="G380" s="17">
        <v>45905</v>
      </c>
      <c r="H380" s="44" t="s">
        <v>81</v>
      </c>
      <c r="I380" s="2">
        <v>350</v>
      </c>
      <c r="J380" s="20" t="s">
        <v>897</v>
      </c>
      <c r="K380" t="s">
        <v>898</v>
      </c>
      <c r="L380" s="44" t="str" cm="1">
        <f t="array" ref="L380">+_xlfn.IFS(COUNTIF(INGRESOS!E:E,Tabla6[[#This Row],[ID FACTURA]])=1,"PAGADA",Tabla6[[#This Row],[ID FACTURA]]&lt;&gt;0,"EMITIDA",Tabla6[[#This Row],[ID FACTURA]]=0,"POR EMITIR")</f>
        <v>PAGADA</v>
      </c>
      <c r="M380" s="55">
        <f>+IF(Tabla6[[#This Row],[ESTADO FACTURA]]="PAGADA",Tabla6[[#This Row],[FECHA]]-_xlfn.XLOOKUP(Tabla6[[#This Row],[N° FACTURA]],INGRESOS!F:F,INGRESOS!A:A),"-")</f>
        <v>1</v>
      </c>
      <c r="N380" s="2"/>
      <c r="O380"/>
    </row>
    <row r="381" spans="1:15" ht="14.75" customHeight="1">
      <c r="A381" s="320" t="s">
        <v>112</v>
      </c>
      <c r="B381" t="str">
        <f>+_xlfn.XLOOKUP(Tabla6[[#This Row],[ID CLIENTE]],'RESUMEN CLIENTES'!D:D,'RESUMEN CLIENTES'!A:A)</f>
        <v>Victor Emanuel Hernández Ruíz</v>
      </c>
      <c r="C381" t="str">
        <f>+_xlfn.XLOOKUP(Tabla6[[#This Row],[ID CLIENTE]],'RESUMEN CLIENTES'!D:D,'RESUMEN CLIENTES'!C:C)</f>
        <v>México</v>
      </c>
      <c r="D381" s="44" t="str">
        <f>+_xlfn.XLOOKUP(Tabla6[[#This Row],[ID CLIENTE]],'RESUMEN CLIENTES'!D:D,'RESUMEN CLIENTES'!M:M)</f>
        <v>OK</v>
      </c>
      <c r="E381" s="72">
        <f>+_xlfn.XLOOKUP(Tabla6[[#This Row],[NOMBRE]],'RESUMEN CLIENTES'!A:A,'RESUMEN CLIENTES'!X:X)</f>
        <v>-1.2727272727272727</v>
      </c>
      <c r="F381" s="72">
        <f>+_xlfn.XLOOKUP(Tabla6[[#This Row],[ID CLIENTE]],'RESUMEN CLIENTES'!D:D,'RESUMEN CLIENTES'!W:W)</f>
        <v>1</v>
      </c>
      <c r="G381" s="17">
        <v>45905</v>
      </c>
      <c r="H381" s="44" t="s">
        <v>81</v>
      </c>
      <c r="I381" s="2">
        <v>800</v>
      </c>
      <c r="J381" s="20" t="s">
        <v>899</v>
      </c>
      <c r="K381" t="s">
        <v>900</v>
      </c>
      <c r="L381" s="44" t="str" cm="1">
        <f t="array" ref="L381">+_xlfn.IFS(COUNTIF(INGRESOS!E:E,Tabla6[[#This Row],[ID FACTURA]])=1,"PAGADA",Tabla6[[#This Row],[ID FACTURA]]&lt;&gt;0,"EMITIDA",Tabla6[[#This Row],[ID FACTURA]]=0,"POR EMITIR")</f>
        <v>PAGADA</v>
      </c>
      <c r="M381" s="55">
        <f>+IF(Tabla6[[#This Row],[ESTADO FACTURA]]="PAGADA",Tabla6[[#This Row],[FECHA]]-_xlfn.XLOOKUP(Tabla6[[#This Row],[N° FACTURA]],INGRESOS!F:F,INGRESOS!A:A),"-")</f>
        <v>0</v>
      </c>
      <c r="N381" s="2"/>
      <c r="O381"/>
    </row>
    <row r="382" spans="1:15" ht="14.75" customHeight="1">
      <c r="A382" s="320" t="s">
        <v>901</v>
      </c>
      <c r="B382" t="str">
        <f>+_xlfn.XLOOKUP(Tabla6[[#This Row],[ID CLIENTE]],'RESUMEN CLIENTES'!D:D,'RESUMEN CLIENTES'!A:A)</f>
        <v>Álvaro Sebastián García Riesco</v>
      </c>
      <c r="C382" t="str">
        <f>+_xlfn.XLOOKUP(Tabla6[[#This Row],[ID CLIENTE]],'RESUMEN CLIENTES'!D:D,'RESUMEN CLIENTES'!C:C)</f>
        <v>Chile</v>
      </c>
      <c r="D382" s="44" t="str">
        <f>+_xlfn.XLOOKUP(Tabla6[[#This Row],[ID CLIENTE]],'RESUMEN CLIENTES'!D:D,'RESUMEN CLIENTES'!M:M)</f>
        <v>OK</v>
      </c>
      <c r="E382" s="72">
        <f>+_xlfn.XLOOKUP(Tabla6[[#This Row],[NOMBRE]],'RESUMEN CLIENTES'!A:A,'RESUMEN CLIENTES'!X:X)</f>
        <v>-0.33333333333333331</v>
      </c>
      <c r="F382" s="72">
        <f>+_xlfn.XLOOKUP(Tabla6[[#This Row],[ID CLIENTE]],'RESUMEN CLIENTES'!D:D,'RESUMEN CLIENTES'!W:W)</f>
        <v>0</v>
      </c>
      <c r="G382" s="17">
        <v>45906</v>
      </c>
      <c r="H382" s="44" t="s">
        <v>81</v>
      </c>
      <c r="I382" s="2">
        <v>2000</v>
      </c>
      <c r="J382" s="20" t="s">
        <v>902</v>
      </c>
      <c r="K382" t="s">
        <v>903</v>
      </c>
      <c r="L382" s="44" t="str" cm="1">
        <f t="array" ref="L382">+_xlfn.IFS(COUNTIF(INGRESOS!E:E,Tabla6[[#This Row],[ID FACTURA]])=1,"PAGADA",Tabla6[[#This Row],[ID FACTURA]]&lt;&gt;0,"EMITIDA",Tabla6[[#This Row],[ID FACTURA]]=0,"POR EMITIR")</f>
        <v>PAGADA</v>
      </c>
      <c r="M382" s="55">
        <f>+IF(Tabla6[[#This Row],[ESTADO FACTURA]]="PAGADA",Tabla6[[#This Row],[FECHA]]-_xlfn.XLOOKUP(Tabla6[[#This Row],[N° FACTURA]],INGRESOS!F:F,INGRESOS!A:A),"-")</f>
        <v>0</v>
      </c>
      <c r="N382" s="2"/>
      <c r="O382"/>
    </row>
    <row r="383" spans="1:15" ht="14.75" customHeight="1">
      <c r="A383" s="320" t="s">
        <v>904</v>
      </c>
      <c r="B383" t="str">
        <f>+_xlfn.XLOOKUP(Tabla6[[#This Row],[ID CLIENTE]],'RESUMEN CLIENTES'!D:D,'RESUMEN CLIENTES'!A:A)</f>
        <v>Armando Josmarx Suárez Solis</v>
      </c>
      <c r="C383" t="str">
        <f>+_xlfn.XLOOKUP(Tabla6[[#This Row],[ID CLIENTE]],'RESUMEN CLIENTES'!D:D,'RESUMEN CLIENTES'!C:C)</f>
        <v>Nicaragua</v>
      </c>
      <c r="D383" s="44" t="str">
        <f>+_xlfn.XLOOKUP(Tabla6[[#This Row],[ID CLIENTE]],'RESUMEN CLIENTES'!D:D,'RESUMEN CLIENTES'!M:M)</f>
        <v>OK</v>
      </c>
      <c r="E383" s="72">
        <f>+_xlfn.XLOOKUP(Tabla6[[#This Row],[NOMBRE]],'RESUMEN CLIENTES'!A:A,'RESUMEN CLIENTES'!X:X)</f>
        <v>0.5625</v>
      </c>
      <c r="F383" s="72">
        <f>+_xlfn.XLOOKUP(Tabla6[[#This Row],[ID CLIENTE]],'RESUMEN CLIENTES'!D:D,'RESUMEN CLIENTES'!W:W)</f>
        <v>1</v>
      </c>
      <c r="G383" s="17">
        <v>45906</v>
      </c>
      <c r="H383" s="44" t="s">
        <v>81</v>
      </c>
      <c r="I383" s="2">
        <v>250</v>
      </c>
      <c r="J383" s="20" t="s">
        <v>905</v>
      </c>
      <c r="K383" t="s">
        <v>906</v>
      </c>
      <c r="L383" s="44" t="str" cm="1">
        <f t="array" ref="L383">+_xlfn.IFS(COUNTIF(INGRESOS!E:E,Tabla6[[#This Row],[ID FACTURA]])=1,"PAGADA",Tabla6[[#This Row],[ID FACTURA]]&lt;&gt;0,"EMITIDA",Tabla6[[#This Row],[ID FACTURA]]=0,"POR EMITIR")</f>
        <v>PAGADA</v>
      </c>
      <c r="M383" s="55">
        <f>+IF(Tabla6[[#This Row],[ESTADO FACTURA]]="PAGADA",Tabla6[[#This Row],[FECHA]]-_xlfn.XLOOKUP(Tabla6[[#This Row],[N° FACTURA]],INGRESOS!F:F,INGRESOS!A:A),"-")</f>
        <v>0</v>
      </c>
      <c r="N383" s="2"/>
      <c r="O383"/>
    </row>
    <row r="384" spans="1:15" ht="14.75" customHeight="1">
      <c r="A384" s="320" t="s">
        <v>907</v>
      </c>
      <c r="B384" t="str">
        <f>+_xlfn.XLOOKUP(Tabla6[[#This Row],[ID CLIENTE]],'RESUMEN CLIENTES'!D:D,'RESUMEN CLIENTES'!A:A)</f>
        <v>Luis Carlos Villa Cortés</v>
      </c>
      <c r="C384" t="str">
        <f>+_xlfn.XLOOKUP(Tabla6[[#This Row],[ID CLIENTE]],'RESUMEN CLIENTES'!D:D,'RESUMEN CLIENTES'!C:C)</f>
        <v>México</v>
      </c>
      <c r="D384" s="44" t="str">
        <f>+_xlfn.XLOOKUP(Tabla6[[#This Row],[ID CLIENTE]],'RESUMEN CLIENTES'!D:D,'RESUMEN CLIENTES'!M:M)</f>
        <v>OK</v>
      </c>
      <c r="E384" s="72">
        <f>+_xlfn.XLOOKUP(Tabla6[[#This Row],[NOMBRE]],'RESUMEN CLIENTES'!A:A,'RESUMEN CLIENTES'!X:X)</f>
        <v>0</v>
      </c>
      <c r="F384" s="72">
        <f>+_xlfn.XLOOKUP(Tabla6[[#This Row],[ID CLIENTE]],'RESUMEN CLIENTES'!D:D,'RESUMEN CLIENTES'!W:W)</f>
        <v>1</v>
      </c>
      <c r="G384" s="17">
        <v>45906</v>
      </c>
      <c r="H384" s="44" t="s">
        <v>81</v>
      </c>
      <c r="I384" s="2">
        <v>250</v>
      </c>
      <c r="J384" s="20" t="s">
        <v>908</v>
      </c>
      <c r="K384" t="s">
        <v>909</v>
      </c>
      <c r="L384" s="44" t="str" cm="1">
        <f t="array" ref="L384">+_xlfn.IFS(COUNTIF(INGRESOS!E:E,Tabla6[[#This Row],[ID FACTURA]])=1,"PAGADA",Tabla6[[#This Row],[ID FACTURA]]&lt;&gt;0,"EMITIDA",Tabla6[[#This Row],[ID FACTURA]]=0,"POR EMITIR")</f>
        <v>PAGADA</v>
      </c>
      <c r="M384" s="55">
        <f>+IF(Tabla6[[#This Row],[ESTADO FACTURA]]="PAGADA",Tabla6[[#This Row],[FECHA]]-_xlfn.XLOOKUP(Tabla6[[#This Row],[N° FACTURA]],INGRESOS!F:F,INGRESOS!A:A),"-")</f>
        <v>0</v>
      </c>
      <c r="N384" s="2"/>
      <c r="O384"/>
    </row>
    <row r="385" spans="1:15" ht="14.75" customHeight="1">
      <c r="A385" s="320" t="s">
        <v>855</v>
      </c>
      <c r="B385" t="str">
        <f>+_xlfn.XLOOKUP(Tabla6[[#This Row],[ID CLIENTE]],'RESUMEN CLIENTES'!D:D,'RESUMEN CLIENTES'!A:A)</f>
        <v>Paula Ida Elisa Saris Sommer</v>
      </c>
      <c r="C385" t="str">
        <f>+_xlfn.XLOOKUP(Tabla6[[#This Row],[ID CLIENTE]],'RESUMEN CLIENTES'!D:D,'RESUMEN CLIENTES'!C:C)</f>
        <v>Argentina</v>
      </c>
      <c r="D385" s="44" t="str">
        <f>+_xlfn.XLOOKUP(Tabla6[[#This Row],[ID CLIENTE]],'RESUMEN CLIENTES'!D:D,'RESUMEN CLIENTES'!M:M)</f>
        <v>OK</v>
      </c>
      <c r="E385" s="72">
        <f>+_xlfn.XLOOKUP(Tabla6[[#This Row],[NOMBRE]],'RESUMEN CLIENTES'!A:A,'RESUMEN CLIENTES'!X:X)</f>
        <v>-8.7894736842105257</v>
      </c>
      <c r="F385" s="72">
        <f>+_xlfn.XLOOKUP(Tabla6[[#This Row],[ID CLIENTE]],'RESUMEN CLIENTES'!D:D,'RESUMEN CLIENTES'!W:W)</f>
        <v>0</v>
      </c>
      <c r="G385" s="17">
        <v>45906</v>
      </c>
      <c r="H385" s="44" t="s">
        <v>81</v>
      </c>
      <c r="I385" s="2">
        <v>500</v>
      </c>
      <c r="J385" s="20" t="s">
        <v>910</v>
      </c>
      <c r="K385" t="s">
        <v>911</v>
      </c>
      <c r="L385" s="44" t="str" cm="1">
        <f t="array" ref="L385">+_xlfn.IFS(COUNTIF(INGRESOS!E:E,Tabla6[[#This Row],[ID FACTURA]])=1,"PAGADA",Tabla6[[#This Row],[ID FACTURA]]&lt;&gt;0,"EMITIDA",Tabla6[[#This Row],[ID FACTURA]]=0,"POR EMITIR")</f>
        <v>PAGADA</v>
      </c>
      <c r="M385" s="55">
        <f>+IF(Tabla6[[#This Row],[ESTADO FACTURA]]="PAGADA",Tabla6[[#This Row],[FECHA]]-_xlfn.XLOOKUP(Tabla6[[#This Row],[N° FACTURA]],INGRESOS!F:F,INGRESOS!A:A),"-")</f>
        <v>0</v>
      </c>
      <c r="N385" s="2"/>
      <c r="O385"/>
    </row>
    <row r="386" spans="1:15" ht="14.75" customHeight="1">
      <c r="A386" s="320" t="s">
        <v>912</v>
      </c>
      <c r="B386" t="str">
        <f>+_xlfn.XLOOKUP(Tabla6[[#This Row],[ID CLIENTE]],'RESUMEN CLIENTES'!D:D,'RESUMEN CLIENTES'!A:A)</f>
        <v>Vanessa Villarreal Villareal</v>
      </c>
      <c r="C386" t="str">
        <f>+_xlfn.XLOOKUP(Tabla6[[#This Row],[ID CLIENTE]],'RESUMEN CLIENTES'!D:D,'RESUMEN CLIENTES'!C:C)</f>
        <v>Ecuador</v>
      </c>
      <c r="D386" s="44" t="str">
        <f>+_xlfn.XLOOKUP(Tabla6[[#This Row],[ID CLIENTE]],'RESUMEN CLIENTES'!D:D,'RESUMEN CLIENTES'!M:M)</f>
        <v>OK</v>
      </c>
      <c r="E386" s="72">
        <f>+_xlfn.XLOOKUP(Tabla6[[#This Row],[NOMBRE]],'RESUMEN CLIENTES'!A:A,'RESUMEN CLIENTES'!X:X)</f>
        <v>-9.1428571428571423</v>
      </c>
      <c r="F386" s="72">
        <f>+_xlfn.XLOOKUP(Tabla6[[#This Row],[ID CLIENTE]],'RESUMEN CLIENTES'!D:D,'RESUMEN CLIENTES'!W:W)</f>
        <v>1</v>
      </c>
      <c r="G386" s="17">
        <v>45906</v>
      </c>
      <c r="H386" s="44" t="s">
        <v>81</v>
      </c>
      <c r="I386" s="2">
        <v>250</v>
      </c>
      <c r="J386" s="20" t="s">
        <v>913</v>
      </c>
      <c r="K386" t="s">
        <v>914</v>
      </c>
      <c r="L386" s="44" t="str" cm="1">
        <f t="array" ref="L386">+_xlfn.IFS(COUNTIF(INGRESOS!E:E,Tabla6[[#This Row],[ID FACTURA]])=1,"PAGADA",Tabla6[[#This Row],[ID FACTURA]]&lt;&gt;0,"EMITIDA",Tabla6[[#This Row],[ID FACTURA]]=0,"POR EMITIR")</f>
        <v>PAGADA</v>
      </c>
      <c r="M386" s="55">
        <f>+IF(Tabla6[[#This Row],[ESTADO FACTURA]]="PAGADA",Tabla6[[#This Row],[FECHA]]-_xlfn.XLOOKUP(Tabla6[[#This Row],[N° FACTURA]],INGRESOS!F:F,INGRESOS!A:A),"-")</f>
        <v>0</v>
      </c>
      <c r="N386" s="2"/>
      <c r="O386"/>
    </row>
    <row r="387" spans="1:15" ht="14.75" customHeight="1">
      <c r="A387" s="320" t="s">
        <v>904</v>
      </c>
      <c r="B387" t="str">
        <f>+_xlfn.XLOOKUP(Tabla6[[#This Row],[ID CLIENTE]],'RESUMEN CLIENTES'!D:D,'RESUMEN CLIENTES'!A:A)</f>
        <v>Armando Josmarx Suárez Solis</v>
      </c>
      <c r="C387" t="str">
        <f>+_xlfn.XLOOKUP(Tabla6[[#This Row],[ID CLIENTE]],'RESUMEN CLIENTES'!D:D,'RESUMEN CLIENTES'!C:C)</f>
        <v>Nicaragua</v>
      </c>
      <c r="D387" s="44" t="str">
        <f>+_xlfn.XLOOKUP(Tabla6[[#This Row],[ID CLIENTE]],'RESUMEN CLIENTES'!D:D,'RESUMEN CLIENTES'!M:M)</f>
        <v>OK</v>
      </c>
      <c r="E387" s="72">
        <f>+_xlfn.XLOOKUP(Tabla6[[#This Row],[NOMBRE]],'RESUMEN CLIENTES'!A:A,'RESUMEN CLIENTES'!X:X)</f>
        <v>0.5625</v>
      </c>
      <c r="F387" s="72">
        <f>+_xlfn.XLOOKUP(Tabla6[[#This Row],[ID CLIENTE]],'RESUMEN CLIENTES'!D:D,'RESUMEN CLIENTES'!W:W)</f>
        <v>1</v>
      </c>
      <c r="G387" s="17">
        <v>45907</v>
      </c>
      <c r="H387" s="44" t="s">
        <v>81</v>
      </c>
      <c r="I387" s="2">
        <v>250</v>
      </c>
      <c r="J387" s="20" t="s">
        <v>915</v>
      </c>
      <c r="K387" t="s">
        <v>916</v>
      </c>
      <c r="L387" s="44" t="str" cm="1">
        <f t="array" ref="L387">+_xlfn.IFS(COUNTIF(INGRESOS!E:E,Tabla6[[#This Row],[ID FACTURA]])=1,"PAGADA",Tabla6[[#This Row],[ID FACTURA]]&lt;&gt;0,"EMITIDA",Tabla6[[#This Row],[ID FACTURA]]=0,"POR EMITIR")</f>
        <v>PAGADA</v>
      </c>
      <c r="M387" s="55">
        <f>+IF(Tabla6[[#This Row],[ESTADO FACTURA]]="PAGADA",Tabla6[[#This Row],[FECHA]]-_xlfn.XLOOKUP(Tabla6[[#This Row],[N° FACTURA]],INGRESOS!F:F,INGRESOS!A:A),"-")</f>
        <v>0</v>
      </c>
      <c r="N387" s="2"/>
      <c r="O387"/>
    </row>
    <row r="388" spans="1:15" ht="14.75" customHeight="1">
      <c r="A388" s="320" t="s">
        <v>278</v>
      </c>
      <c r="B388" t="str">
        <f>+_xlfn.XLOOKUP(Tabla6[[#This Row],[ID CLIENTE]],'RESUMEN CLIENTES'!D:D,'RESUMEN CLIENTES'!A:A)</f>
        <v>Liliana María Moreno Martinez</v>
      </c>
      <c r="C388" t="str">
        <f>+_xlfn.XLOOKUP(Tabla6[[#This Row],[ID CLIENTE]],'RESUMEN CLIENTES'!D:D,'RESUMEN CLIENTES'!C:C)</f>
        <v>El Salvador</v>
      </c>
      <c r="D388" s="44" t="str">
        <f>+_xlfn.XLOOKUP(Tabla6[[#This Row],[ID CLIENTE]],'RESUMEN CLIENTES'!D:D,'RESUMEN CLIENTES'!M:M)</f>
        <v>ELIMINADO</v>
      </c>
      <c r="E388" s="72">
        <f>+_xlfn.XLOOKUP(Tabla6[[#This Row],[NOMBRE]],'RESUMEN CLIENTES'!A:A,'RESUMEN CLIENTES'!X:X)</f>
        <v>-1.4444444444444444</v>
      </c>
      <c r="F388" s="72">
        <f>+_xlfn.XLOOKUP(Tabla6[[#This Row],[ID CLIENTE]],'RESUMEN CLIENTES'!D:D,'RESUMEN CLIENTES'!W:W)</f>
        <v>0</v>
      </c>
      <c r="G388" s="17">
        <v>45907</v>
      </c>
      <c r="H388" s="44" t="s">
        <v>81</v>
      </c>
      <c r="I388" s="2">
        <v>500</v>
      </c>
      <c r="J388" s="20" t="s">
        <v>917</v>
      </c>
      <c r="K388" t="s">
        <v>918</v>
      </c>
      <c r="L388" s="44" t="str" cm="1">
        <f t="array" ref="L388">+_xlfn.IFS(COUNTIF(INGRESOS!E:E,Tabla6[[#This Row],[ID FACTURA]])=1,"PAGADA",Tabla6[[#This Row],[ID FACTURA]]&lt;&gt;0,"EMITIDA",Tabla6[[#This Row],[ID FACTURA]]=0,"POR EMITIR")</f>
        <v>PAGADA</v>
      </c>
      <c r="M388" s="55">
        <f>+IF(Tabla6[[#This Row],[ESTADO FACTURA]]="PAGADA",Tabla6[[#This Row],[FECHA]]-_xlfn.XLOOKUP(Tabla6[[#This Row],[N° FACTURA]],INGRESOS!F:F,INGRESOS!A:A),"-")</f>
        <v>-3</v>
      </c>
      <c r="N388" s="2"/>
      <c r="O388"/>
    </row>
    <row r="389" spans="1:15" ht="14.75" customHeight="1">
      <c r="A389" s="320" t="s">
        <v>907</v>
      </c>
      <c r="B389" t="str">
        <f>+_xlfn.XLOOKUP(Tabla6[[#This Row],[ID CLIENTE]],'RESUMEN CLIENTES'!D:D,'RESUMEN CLIENTES'!A:A)</f>
        <v>Luis Carlos Villa Cortés</v>
      </c>
      <c r="C389" t="str">
        <f>+_xlfn.XLOOKUP(Tabla6[[#This Row],[ID CLIENTE]],'RESUMEN CLIENTES'!D:D,'RESUMEN CLIENTES'!C:C)</f>
        <v>México</v>
      </c>
      <c r="D389" s="44" t="str">
        <f>+_xlfn.XLOOKUP(Tabla6[[#This Row],[ID CLIENTE]],'RESUMEN CLIENTES'!D:D,'RESUMEN CLIENTES'!M:M)</f>
        <v>OK</v>
      </c>
      <c r="E389" s="72">
        <f>+_xlfn.XLOOKUP(Tabla6[[#This Row],[NOMBRE]],'RESUMEN CLIENTES'!A:A,'RESUMEN CLIENTES'!X:X)</f>
        <v>0</v>
      </c>
      <c r="F389" s="72">
        <f>+_xlfn.XLOOKUP(Tabla6[[#This Row],[ID CLIENTE]],'RESUMEN CLIENTES'!D:D,'RESUMEN CLIENTES'!W:W)</f>
        <v>1</v>
      </c>
      <c r="G389" s="17">
        <v>45907</v>
      </c>
      <c r="H389" s="44" t="s">
        <v>81</v>
      </c>
      <c r="I389" s="2">
        <v>2750</v>
      </c>
      <c r="J389" s="20" t="s">
        <v>919</v>
      </c>
      <c r="K389" t="s">
        <v>920</v>
      </c>
      <c r="L389" s="44" t="str" cm="1">
        <f t="array" ref="L389">+_xlfn.IFS(COUNTIF(INGRESOS!E:E,Tabla6[[#This Row],[ID FACTURA]])=1,"PAGADA",Tabla6[[#This Row],[ID FACTURA]]&lt;&gt;0,"EMITIDA",Tabla6[[#This Row],[ID FACTURA]]=0,"POR EMITIR")</f>
        <v>PAGADA</v>
      </c>
      <c r="M389" s="55">
        <f>+IF(Tabla6[[#This Row],[ESTADO FACTURA]]="PAGADA",Tabla6[[#This Row],[FECHA]]-_xlfn.XLOOKUP(Tabla6[[#This Row],[N° FACTURA]],INGRESOS!F:F,INGRESOS!A:A),"-")</f>
        <v>0</v>
      </c>
      <c r="N389" s="2"/>
      <c r="O389"/>
    </row>
    <row r="390" spans="1:15" ht="14.75" customHeight="1">
      <c r="A390" s="320" t="s">
        <v>912</v>
      </c>
      <c r="B390" t="str">
        <f>+_xlfn.XLOOKUP(Tabla6[[#This Row],[ID CLIENTE]],'RESUMEN CLIENTES'!D:D,'RESUMEN CLIENTES'!A:A)</f>
        <v>Vanessa Villarreal Villareal</v>
      </c>
      <c r="C390" t="str">
        <f>+_xlfn.XLOOKUP(Tabla6[[#This Row],[ID CLIENTE]],'RESUMEN CLIENTES'!D:D,'RESUMEN CLIENTES'!C:C)</f>
        <v>Ecuador</v>
      </c>
      <c r="D390" s="44" t="str">
        <f>+_xlfn.XLOOKUP(Tabla6[[#This Row],[ID CLIENTE]],'RESUMEN CLIENTES'!D:D,'RESUMEN CLIENTES'!M:M)</f>
        <v>OK</v>
      </c>
      <c r="E390" s="72">
        <f>+_xlfn.XLOOKUP(Tabla6[[#This Row],[NOMBRE]],'RESUMEN CLIENTES'!A:A,'RESUMEN CLIENTES'!X:X)</f>
        <v>-9.1428571428571423</v>
      </c>
      <c r="F390" s="72">
        <f>+_xlfn.XLOOKUP(Tabla6[[#This Row],[ID CLIENTE]],'RESUMEN CLIENTES'!D:D,'RESUMEN CLIENTES'!W:W)</f>
        <v>1</v>
      </c>
      <c r="G390" s="17">
        <v>45907</v>
      </c>
      <c r="H390" s="44" t="s">
        <v>81</v>
      </c>
      <c r="I390" s="2">
        <v>250</v>
      </c>
      <c r="J390" s="20" t="s">
        <v>921</v>
      </c>
      <c r="K390" t="s">
        <v>922</v>
      </c>
      <c r="L390" s="44" t="str" cm="1">
        <f t="array" ref="L390">+_xlfn.IFS(COUNTIF(INGRESOS!E:E,Tabla6[[#This Row],[ID FACTURA]])=1,"PAGADA",Tabla6[[#This Row],[ID FACTURA]]&lt;&gt;0,"EMITIDA",Tabla6[[#This Row],[ID FACTURA]]=0,"POR EMITIR")</f>
        <v>PAGADA</v>
      </c>
      <c r="M390" s="55">
        <f>+IF(Tabla6[[#This Row],[ESTADO FACTURA]]="PAGADA",Tabla6[[#This Row],[FECHA]]-_xlfn.XLOOKUP(Tabla6[[#This Row],[N° FACTURA]],INGRESOS!F:F,INGRESOS!A:A),"-")</f>
        <v>0</v>
      </c>
      <c r="N390" s="2"/>
      <c r="O390"/>
    </row>
    <row r="391" spans="1:15" ht="14.75" customHeight="1">
      <c r="A391" s="320" t="s">
        <v>904</v>
      </c>
      <c r="B391" t="str">
        <f>+_xlfn.XLOOKUP(Tabla6[[#This Row],[ID CLIENTE]],'RESUMEN CLIENTES'!D:D,'RESUMEN CLIENTES'!A:A)</f>
        <v>Armando Josmarx Suárez Solis</v>
      </c>
      <c r="C391" t="str">
        <f>+_xlfn.XLOOKUP(Tabla6[[#This Row],[ID CLIENTE]],'RESUMEN CLIENTES'!D:D,'RESUMEN CLIENTES'!C:C)</f>
        <v>Nicaragua</v>
      </c>
      <c r="D391" s="44" t="str">
        <f>+_xlfn.XLOOKUP(Tabla6[[#This Row],[ID CLIENTE]],'RESUMEN CLIENTES'!D:D,'RESUMEN CLIENTES'!M:M)</f>
        <v>OK</v>
      </c>
      <c r="E391" s="72">
        <f>+_xlfn.XLOOKUP(Tabla6[[#This Row],[NOMBRE]],'RESUMEN CLIENTES'!A:A,'RESUMEN CLIENTES'!X:X)</f>
        <v>0.5625</v>
      </c>
      <c r="F391" s="72">
        <f>+_xlfn.XLOOKUP(Tabla6[[#This Row],[ID CLIENTE]],'RESUMEN CLIENTES'!D:D,'RESUMEN CLIENTES'!W:W)</f>
        <v>1</v>
      </c>
      <c r="G391" s="17">
        <v>45908</v>
      </c>
      <c r="H391" s="44" t="s">
        <v>81</v>
      </c>
      <c r="I391" s="2">
        <v>500</v>
      </c>
      <c r="J391" s="20" t="s">
        <v>923</v>
      </c>
      <c r="K391" t="s">
        <v>924</v>
      </c>
      <c r="L391" s="44" t="str" cm="1">
        <f t="array" ref="L391">+_xlfn.IFS(COUNTIF(INGRESOS!E:E,Tabla6[[#This Row],[ID FACTURA]])=1,"PAGADA",Tabla6[[#This Row],[ID FACTURA]]&lt;&gt;0,"EMITIDA",Tabla6[[#This Row],[ID FACTURA]]=0,"POR EMITIR")</f>
        <v>PAGADA</v>
      </c>
      <c r="M391" s="55">
        <f>+IF(Tabla6[[#This Row],[ESTADO FACTURA]]="PAGADA",Tabla6[[#This Row],[FECHA]]-_xlfn.XLOOKUP(Tabla6[[#This Row],[N° FACTURA]],INGRESOS!F:F,INGRESOS!A:A),"-")</f>
        <v>0</v>
      </c>
      <c r="N391" s="2"/>
      <c r="O391"/>
    </row>
    <row r="392" spans="1:15" ht="14.75" customHeight="1">
      <c r="A392" s="320" t="s">
        <v>904</v>
      </c>
      <c r="B392" t="str">
        <f>+_xlfn.XLOOKUP(Tabla6[[#This Row],[ID CLIENTE]],'RESUMEN CLIENTES'!D:D,'RESUMEN CLIENTES'!A:A)</f>
        <v>Armando Josmarx Suárez Solis</v>
      </c>
      <c r="C392" t="str">
        <f>+_xlfn.XLOOKUP(Tabla6[[#This Row],[ID CLIENTE]],'RESUMEN CLIENTES'!D:D,'RESUMEN CLIENTES'!C:C)</f>
        <v>Nicaragua</v>
      </c>
      <c r="D392" s="44" t="str">
        <f>+_xlfn.XLOOKUP(Tabla6[[#This Row],[ID CLIENTE]],'RESUMEN CLIENTES'!D:D,'RESUMEN CLIENTES'!M:M)</f>
        <v>OK</v>
      </c>
      <c r="E392" s="72">
        <f>+_xlfn.XLOOKUP(Tabla6[[#This Row],[NOMBRE]],'RESUMEN CLIENTES'!A:A,'RESUMEN CLIENTES'!X:X)</f>
        <v>0.5625</v>
      </c>
      <c r="F392" s="72">
        <f>+_xlfn.XLOOKUP(Tabla6[[#This Row],[ID CLIENTE]],'RESUMEN CLIENTES'!D:D,'RESUMEN CLIENTES'!W:W)</f>
        <v>1</v>
      </c>
      <c r="G392" s="17">
        <v>45908</v>
      </c>
      <c r="H392" s="44" t="s">
        <v>81</v>
      </c>
      <c r="I392" s="2">
        <v>500</v>
      </c>
      <c r="J392" s="20" t="s">
        <v>923</v>
      </c>
      <c r="K392" t="s">
        <v>924</v>
      </c>
      <c r="L392" s="44" t="str" cm="1">
        <f t="array" ref="L392">+_xlfn.IFS(COUNTIF(INGRESOS!E:E,Tabla6[[#This Row],[ID FACTURA]])=1,"PAGADA",Tabla6[[#This Row],[ID FACTURA]]&lt;&gt;0,"EMITIDA",Tabla6[[#This Row],[ID FACTURA]]=0,"POR EMITIR")</f>
        <v>PAGADA</v>
      </c>
      <c r="M392" s="55">
        <f>+IF(Tabla6[[#This Row],[ESTADO FACTURA]]="PAGADA",Tabla6[[#This Row],[FECHA]]-_xlfn.XLOOKUP(Tabla6[[#This Row],[N° FACTURA]],INGRESOS!F:F,INGRESOS!A:A),"-")</f>
        <v>0</v>
      </c>
      <c r="N392" s="2"/>
      <c r="O392"/>
    </row>
    <row r="393" spans="1:15" ht="14.75" customHeight="1">
      <c r="A393" s="320" t="s">
        <v>904</v>
      </c>
      <c r="B393" t="str">
        <f>+_xlfn.XLOOKUP(Tabla6[[#This Row],[ID CLIENTE]],'RESUMEN CLIENTES'!D:D,'RESUMEN CLIENTES'!A:A)</f>
        <v>Armando Josmarx Suárez Solis</v>
      </c>
      <c r="C393" t="str">
        <f>+_xlfn.XLOOKUP(Tabla6[[#This Row],[ID CLIENTE]],'RESUMEN CLIENTES'!D:D,'RESUMEN CLIENTES'!C:C)</f>
        <v>Nicaragua</v>
      </c>
      <c r="D393" s="44" t="str">
        <f>+_xlfn.XLOOKUP(Tabla6[[#This Row],[ID CLIENTE]],'RESUMEN CLIENTES'!D:D,'RESUMEN CLIENTES'!M:M)</f>
        <v>OK</v>
      </c>
      <c r="E393" s="72">
        <f>+_xlfn.XLOOKUP(Tabla6[[#This Row],[NOMBRE]],'RESUMEN CLIENTES'!A:A,'RESUMEN CLIENTES'!X:X)</f>
        <v>0.5625</v>
      </c>
      <c r="F393" s="72">
        <f>+_xlfn.XLOOKUP(Tabla6[[#This Row],[ID CLIENTE]],'RESUMEN CLIENTES'!D:D,'RESUMEN CLIENTES'!W:W)</f>
        <v>1</v>
      </c>
      <c r="G393" s="17">
        <v>45908</v>
      </c>
      <c r="H393" s="44" t="s">
        <v>81</v>
      </c>
      <c r="I393" s="2">
        <v>500</v>
      </c>
      <c r="J393" s="20" t="s">
        <v>925</v>
      </c>
      <c r="K393" t="s">
        <v>926</v>
      </c>
      <c r="L393" s="44" t="str" cm="1">
        <f t="array" ref="L393">+_xlfn.IFS(COUNTIF(INGRESOS!E:E,Tabla6[[#This Row],[ID FACTURA]])=1,"PAGADA",Tabla6[[#This Row],[ID FACTURA]]&lt;&gt;0,"EMITIDA",Tabla6[[#This Row],[ID FACTURA]]=0,"POR EMITIR")</f>
        <v>PAGADA</v>
      </c>
      <c r="M393" s="55">
        <f>+IF(Tabla6[[#This Row],[ESTADO FACTURA]]="PAGADA",Tabla6[[#This Row],[FECHA]]-_xlfn.XLOOKUP(Tabla6[[#This Row],[N° FACTURA]],INGRESOS!F:F,INGRESOS!A:A),"-")</f>
        <v>0</v>
      </c>
      <c r="N393" s="2"/>
      <c r="O393"/>
    </row>
    <row r="394" spans="1:15" ht="14.75" customHeight="1">
      <c r="A394" s="320" t="s">
        <v>904</v>
      </c>
      <c r="B394" t="str">
        <f>+_xlfn.XLOOKUP(Tabla6[[#This Row],[ID CLIENTE]],'RESUMEN CLIENTES'!D:D,'RESUMEN CLIENTES'!A:A)</f>
        <v>Armando Josmarx Suárez Solis</v>
      </c>
      <c r="C394" t="str">
        <f>+_xlfn.XLOOKUP(Tabla6[[#This Row],[ID CLIENTE]],'RESUMEN CLIENTES'!D:D,'RESUMEN CLIENTES'!C:C)</f>
        <v>Nicaragua</v>
      </c>
      <c r="D394" s="44" t="str">
        <f>+_xlfn.XLOOKUP(Tabla6[[#This Row],[ID CLIENTE]],'RESUMEN CLIENTES'!D:D,'RESUMEN CLIENTES'!M:M)</f>
        <v>OK</v>
      </c>
      <c r="E394" s="72">
        <f>+_xlfn.XLOOKUP(Tabla6[[#This Row],[NOMBRE]],'RESUMEN CLIENTES'!A:A,'RESUMEN CLIENTES'!X:X)</f>
        <v>0.5625</v>
      </c>
      <c r="F394" s="72">
        <f>+_xlfn.XLOOKUP(Tabla6[[#This Row],[ID CLIENTE]],'RESUMEN CLIENTES'!D:D,'RESUMEN CLIENTES'!W:W)</f>
        <v>1</v>
      </c>
      <c r="G394" s="17">
        <v>45908</v>
      </c>
      <c r="H394" s="44" t="s">
        <v>81</v>
      </c>
      <c r="I394" s="2">
        <v>500</v>
      </c>
      <c r="J394" s="20" t="s">
        <v>927</v>
      </c>
      <c r="K394" t="s">
        <v>928</v>
      </c>
      <c r="L394" s="44" t="str" cm="1">
        <f t="array" ref="L394">+_xlfn.IFS(COUNTIF(INGRESOS!E:E,Tabla6[[#This Row],[ID FACTURA]])=1,"PAGADA",Tabla6[[#This Row],[ID FACTURA]]&lt;&gt;0,"EMITIDA",Tabla6[[#This Row],[ID FACTURA]]=0,"POR EMITIR")</f>
        <v>PAGADA</v>
      </c>
      <c r="M394" s="55">
        <f>+IF(Tabla6[[#This Row],[ESTADO FACTURA]]="PAGADA",Tabla6[[#This Row],[FECHA]]-_xlfn.XLOOKUP(Tabla6[[#This Row],[N° FACTURA]],INGRESOS!F:F,INGRESOS!A:A),"-")</f>
        <v>0</v>
      </c>
      <c r="N394" s="2"/>
      <c r="O394"/>
    </row>
    <row r="395" spans="1:15" ht="14.75" customHeight="1">
      <c r="A395" s="320" t="s">
        <v>904</v>
      </c>
      <c r="B395" t="str">
        <f>+_xlfn.XLOOKUP(Tabla6[[#This Row],[ID CLIENTE]],'RESUMEN CLIENTES'!D:D,'RESUMEN CLIENTES'!A:A)</f>
        <v>Armando Josmarx Suárez Solis</v>
      </c>
      <c r="C395" t="str">
        <f>+_xlfn.XLOOKUP(Tabla6[[#This Row],[ID CLIENTE]],'RESUMEN CLIENTES'!D:D,'RESUMEN CLIENTES'!C:C)</f>
        <v>Nicaragua</v>
      </c>
      <c r="D395" s="44" t="str">
        <f>+_xlfn.XLOOKUP(Tabla6[[#This Row],[ID CLIENTE]],'RESUMEN CLIENTES'!D:D,'RESUMEN CLIENTES'!M:M)</f>
        <v>OK</v>
      </c>
      <c r="E395" s="72">
        <f>+_xlfn.XLOOKUP(Tabla6[[#This Row],[NOMBRE]],'RESUMEN CLIENTES'!A:A,'RESUMEN CLIENTES'!X:X)</f>
        <v>0.5625</v>
      </c>
      <c r="F395" s="72">
        <f>+_xlfn.XLOOKUP(Tabla6[[#This Row],[ID CLIENTE]],'RESUMEN CLIENTES'!D:D,'RESUMEN CLIENTES'!W:W)</f>
        <v>1</v>
      </c>
      <c r="G395" s="17">
        <v>45908</v>
      </c>
      <c r="H395" s="44" t="s">
        <v>81</v>
      </c>
      <c r="I395" s="2">
        <v>500</v>
      </c>
      <c r="J395" s="20" t="s">
        <v>929</v>
      </c>
      <c r="K395" t="s">
        <v>930</v>
      </c>
      <c r="L395" s="44" t="str" cm="1">
        <f t="array" ref="L395">+_xlfn.IFS(COUNTIF(INGRESOS!E:E,Tabla6[[#This Row],[ID FACTURA]])=1,"PAGADA",Tabla6[[#This Row],[ID FACTURA]]&lt;&gt;0,"EMITIDA",Tabla6[[#This Row],[ID FACTURA]]=0,"POR EMITIR")</f>
        <v>PAGADA</v>
      </c>
      <c r="M395" s="55">
        <f>+IF(Tabla6[[#This Row],[ESTADO FACTURA]]="PAGADA",Tabla6[[#This Row],[FECHA]]-_xlfn.XLOOKUP(Tabla6[[#This Row],[N° FACTURA]],INGRESOS!F:F,INGRESOS!A:A),"-")</f>
        <v>0</v>
      </c>
      <c r="N395" s="2"/>
      <c r="O395"/>
    </row>
    <row r="396" spans="1:15" ht="14.75" customHeight="1">
      <c r="A396" s="320" t="s">
        <v>253</v>
      </c>
      <c r="B396" t="str">
        <f>+_xlfn.XLOOKUP(Tabla6[[#This Row],[ID CLIENTE]],'RESUMEN CLIENTES'!D:D,'RESUMEN CLIENTES'!A:A)</f>
        <v>Diego Alonso Salazar Palacios</v>
      </c>
      <c r="C396" t="str">
        <f>+_xlfn.XLOOKUP(Tabla6[[#This Row],[ID CLIENTE]],'RESUMEN CLIENTES'!D:D,'RESUMEN CLIENTES'!C:C)</f>
        <v>Perú</v>
      </c>
      <c r="D396" s="44" t="str">
        <f>+_xlfn.XLOOKUP(Tabla6[[#This Row],[ID CLIENTE]],'RESUMEN CLIENTES'!D:D,'RESUMEN CLIENTES'!M:M)</f>
        <v>OK</v>
      </c>
      <c r="E396" s="72">
        <f>+_xlfn.XLOOKUP(Tabla6[[#This Row],[NOMBRE]],'RESUMEN CLIENTES'!A:A,'RESUMEN CLIENTES'!X:X)</f>
        <v>0.18560606059988707</v>
      </c>
      <c r="F396" s="72">
        <f>+_xlfn.XLOOKUP(Tabla6[[#This Row],[ID CLIENTE]],'RESUMEN CLIENTES'!D:D,'RESUMEN CLIENTES'!W:W)</f>
        <v>1</v>
      </c>
      <c r="G396" s="17">
        <v>45908.041666666599</v>
      </c>
      <c r="H396" s="44" t="s">
        <v>81</v>
      </c>
      <c r="I396" s="2">
        <v>1000</v>
      </c>
      <c r="J396" s="20" t="s">
        <v>931</v>
      </c>
      <c r="K396" t="s">
        <v>932</v>
      </c>
      <c r="L396" s="44" t="str" cm="1">
        <f t="array" ref="L396">+_xlfn.IFS(COUNTIF(INGRESOS!E:E,Tabla6[[#This Row],[ID FACTURA]])=1,"PAGADA",Tabla6[[#This Row],[ID FACTURA]]&lt;&gt;0,"EMITIDA",Tabla6[[#This Row],[ID FACTURA]]=0,"POR EMITIR")</f>
        <v>PAGADA</v>
      </c>
      <c r="M396" s="55">
        <f>+IF(Tabla6[[#This Row],[ESTADO FACTURA]]="PAGADA",Tabla6[[#This Row],[FECHA]]-_xlfn.XLOOKUP(Tabla6[[#This Row],[N° FACTURA]],INGRESOS!F:F,INGRESOS!A:A),"-")</f>
        <v>4.1666666598757729E-2</v>
      </c>
      <c r="N396" s="2"/>
      <c r="O396"/>
    </row>
    <row r="397" spans="1:15" ht="14.75" customHeight="1">
      <c r="A397" s="320" t="s">
        <v>933</v>
      </c>
      <c r="B397" t="str">
        <f>+_xlfn.XLOOKUP(Tabla6[[#This Row],[ID CLIENTE]],'RESUMEN CLIENTES'!D:D,'RESUMEN CLIENTES'!A:A)</f>
        <v>Edgar Vinicio Escalante Fiallos</v>
      </c>
      <c r="C397" t="str">
        <f>+_xlfn.XLOOKUP(Tabla6[[#This Row],[ID CLIENTE]],'RESUMEN CLIENTES'!D:D,'RESUMEN CLIENTES'!C:C)</f>
        <v>Ecuador</v>
      </c>
      <c r="D397" s="44" t="str">
        <f>+_xlfn.XLOOKUP(Tabla6[[#This Row],[ID CLIENTE]],'RESUMEN CLIENTES'!D:D,'RESUMEN CLIENTES'!M:M)</f>
        <v>¡REGULARIZAR!</v>
      </c>
      <c r="E397" s="72">
        <f>+_xlfn.XLOOKUP(Tabla6[[#This Row],[NOMBRE]],'RESUMEN CLIENTES'!A:A,'RESUMEN CLIENTES'!X:X)</f>
        <v>-8.5</v>
      </c>
      <c r="F397" s="72">
        <f>+_xlfn.XLOOKUP(Tabla6[[#This Row],[ID CLIENTE]],'RESUMEN CLIENTES'!D:D,'RESUMEN CLIENTES'!W:W)</f>
        <v>1</v>
      </c>
      <c r="G397" s="17">
        <v>45909</v>
      </c>
      <c r="H397" s="44" t="s">
        <v>81</v>
      </c>
      <c r="I397" s="2">
        <v>2000</v>
      </c>
      <c r="J397" s="20" t="s">
        <v>934</v>
      </c>
      <c r="K397" t="s">
        <v>935</v>
      </c>
      <c r="L397" s="44" t="str" cm="1">
        <f t="array" ref="L397">+_xlfn.IFS(COUNTIF(INGRESOS!E:E,Tabla6[[#This Row],[ID FACTURA]])=1,"PAGADA",Tabla6[[#This Row],[ID FACTURA]]&lt;&gt;0,"EMITIDA",Tabla6[[#This Row],[ID FACTURA]]=0,"POR EMITIR")</f>
        <v>PAGADA</v>
      </c>
      <c r="M397" s="55">
        <f>+IF(Tabla6[[#This Row],[ESTADO FACTURA]]="PAGADA",Tabla6[[#This Row],[FECHA]]-_xlfn.XLOOKUP(Tabla6[[#This Row],[N° FACTURA]],INGRESOS!F:F,INGRESOS!A:A),"-")</f>
        <v>0</v>
      </c>
      <c r="N397" s="2"/>
      <c r="O397"/>
    </row>
    <row r="398" spans="1:15" ht="14.75" customHeight="1">
      <c r="A398" s="320" t="s">
        <v>787</v>
      </c>
      <c r="B398" t="str">
        <f>+_xlfn.XLOOKUP(Tabla6[[#This Row],[ID CLIENTE]],'RESUMEN CLIENTES'!D:D,'RESUMEN CLIENTES'!A:A)</f>
        <v>Florencia Luján Sapia</v>
      </c>
      <c r="C398" t="str">
        <f>+_xlfn.XLOOKUP(Tabla6[[#This Row],[ID CLIENTE]],'RESUMEN CLIENTES'!D:D,'RESUMEN CLIENTES'!C:C)</f>
        <v>Argentina</v>
      </c>
      <c r="D398" s="44" t="str">
        <f>+_xlfn.XLOOKUP(Tabla6[[#This Row],[ID CLIENTE]],'RESUMEN CLIENTES'!D:D,'RESUMEN CLIENTES'!M:M)</f>
        <v>OK</v>
      </c>
      <c r="E398" s="72">
        <f>+_xlfn.XLOOKUP(Tabla6[[#This Row],[NOMBRE]],'RESUMEN CLIENTES'!A:A,'RESUMEN CLIENTES'!X:X)</f>
        <v>-0.77777777777777779</v>
      </c>
      <c r="F398" s="72">
        <f>+_xlfn.XLOOKUP(Tabla6[[#This Row],[ID CLIENTE]],'RESUMEN CLIENTES'!D:D,'RESUMEN CLIENTES'!W:W)</f>
        <v>1</v>
      </c>
      <c r="G398" s="17">
        <v>45910</v>
      </c>
      <c r="H398" s="44" t="s">
        <v>81</v>
      </c>
      <c r="I398" s="2">
        <v>500</v>
      </c>
      <c r="J398" s="20" t="s">
        <v>936</v>
      </c>
      <c r="K398" t="s">
        <v>937</v>
      </c>
      <c r="L398" s="44" t="str" cm="1">
        <f t="array" ref="L398">+_xlfn.IFS(COUNTIF(INGRESOS!E:E,Tabla6[[#This Row],[ID FACTURA]])=1,"PAGADA",Tabla6[[#This Row],[ID FACTURA]]&lt;&gt;0,"EMITIDA",Tabla6[[#This Row],[ID FACTURA]]=0,"POR EMITIR")</f>
        <v>PAGADA</v>
      </c>
      <c r="M398" s="55">
        <f>+IF(Tabla6[[#This Row],[ESTADO FACTURA]]="PAGADA",Tabla6[[#This Row],[FECHA]]-_xlfn.XLOOKUP(Tabla6[[#This Row],[N° FACTURA]],INGRESOS!F:F,INGRESOS!A:A),"-")</f>
        <v>-2</v>
      </c>
      <c r="N398" s="2"/>
      <c r="O398"/>
    </row>
    <row r="399" spans="1:15" ht="14.75" customHeight="1">
      <c r="A399" s="320" t="s">
        <v>798</v>
      </c>
      <c r="B399" t="str">
        <f>+_xlfn.XLOOKUP(Tabla6[[#This Row],[ID CLIENTE]],'RESUMEN CLIENTES'!D:D,'RESUMEN CLIENTES'!A:A)</f>
        <v>Juan Manuel Paranzino</v>
      </c>
      <c r="C399" t="str">
        <f>+_xlfn.XLOOKUP(Tabla6[[#This Row],[ID CLIENTE]],'RESUMEN CLIENTES'!D:D,'RESUMEN CLIENTES'!C:C)</f>
        <v>Argentina</v>
      </c>
      <c r="D399" s="44" t="str">
        <f>+_xlfn.XLOOKUP(Tabla6[[#This Row],[ID CLIENTE]],'RESUMEN CLIENTES'!D:D,'RESUMEN CLIENTES'!M:M)</f>
        <v>OK</v>
      </c>
      <c r="E399" s="72">
        <f>+_xlfn.XLOOKUP(Tabla6[[#This Row],[NOMBRE]],'RESUMEN CLIENTES'!A:A,'RESUMEN CLIENTES'!X:X)</f>
        <v>-1</v>
      </c>
      <c r="F399" s="72">
        <f>+_xlfn.XLOOKUP(Tabla6[[#This Row],[ID CLIENTE]],'RESUMEN CLIENTES'!D:D,'RESUMEN CLIENTES'!W:W)</f>
        <v>0</v>
      </c>
      <c r="G399" s="17">
        <v>45910</v>
      </c>
      <c r="H399" s="44" t="s">
        <v>81</v>
      </c>
      <c r="I399" s="2">
        <v>500</v>
      </c>
      <c r="J399" s="20" t="s">
        <v>938</v>
      </c>
      <c r="K399" t="s">
        <v>939</v>
      </c>
      <c r="L399" s="44" t="str" cm="1">
        <f t="array" ref="L399">+_xlfn.IFS(COUNTIF(INGRESOS!E:E,Tabla6[[#This Row],[ID FACTURA]])=1,"PAGADA",Tabla6[[#This Row],[ID FACTURA]]&lt;&gt;0,"EMITIDA",Tabla6[[#This Row],[ID FACTURA]]=0,"POR EMITIR")</f>
        <v>PAGADA</v>
      </c>
      <c r="M399" s="55">
        <f>+IF(Tabla6[[#This Row],[ESTADO FACTURA]]="PAGADA",Tabla6[[#This Row],[FECHA]]-_xlfn.XLOOKUP(Tabla6[[#This Row],[N° FACTURA]],INGRESOS!F:F,INGRESOS!A:A),"-")</f>
        <v>-2</v>
      </c>
      <c r="N399" s="2"/>
      <c r="O399"/>
    </row>
    <row r="400" spans="1:15" ht="14.75" customHeight="1">
      <c r="A400" s="320" t="s">
        <v>274</v>
      </c>
      <c r="B400" t="str">
        <f>+_xlfn.XLOOKUP(Tabla6[[#This Row],[ID CLIENTE]],'RESUMEN CLIENTES'!D:D,'RESUMEN CLIENTES'!A:A)</f>
        <v>María de los Ángeles Gutiérrez Quevedo</v>
      </c>
      <c r="C400" t="str">
        <f>+_xlfn.XLOOKUP(Tabla6[[#This Row],[ID CLIENTE]],'RESUMEN CLIENTES'!D:D,'RESUMEN CLIENTES'!C:C)</f>
        <v>Chile</v>
      </c>
      <c r="D400" s="44" t="str">
        <f>+_xlfn.XLOOKUP(Tabla6[[#This Row],[ID CLIENTE]],'RESUMEN CLIENTES'!D:D,'RESUMEN CLIENTES'!M:M)</f>
        <v>OK</v>
      </c>
      <c r="E400" s="72">
        <f>+_xlfn.XLOOKUP(Tabla6[[#This Row],[NOMBRE]],'RESUMEN CLIENTES'!A:A,'RESUMEN CLIENTES'!X:X)</f>
        <v>0.22222222222222221</v>
      </c>
      <c r="F400" s="72">
        <f>+_xlfn.XLOOKUP(Tabla6[[#This Row],[ID CLIENTE]],'RESUMEN CLIENTES'!D:D,'RESUMEN CLIENTES'!W:W)</f>
        <v>1</v>
      </c>
      <c r="G400" s="17">
        <v>45910</v>
      </c>
      <c r="H400" s="44" t="s">
        <v>81</v>
      </c>
      <c r="I400" s="2">
        <v>1500</v>
      </c>
      <c r="J400" s="20" t="s">
        <v>940</v>
      </c>
      <c r="K400" t="s">
        <v>941</v>
      </c>
      <c r="L400" s="44" t="str" cm="1">
        <f t="array" ref="L400">+_xlfn.IFS(COUNTIF(INGRESOS!E:E,Tabla6[[#This Row],[ID FACTURA]])=1,"PAGADA",Tabla6[[#This Row],[ID FACTURA]]&lt;&gt;0,"EMITIDA",Tabla6[[#This Row],[ID FACTURA]]=0,"POR EMITIR")</f>
        <v>PAGADA</v>
      </c>
      <c r="M400" s="55">
        <f>+IF(Tabla6[[#This Row],[ESTADO FACTURA]]="PAGADA",Tabla6[[#This Row],[FECHA]]-_xlfn.XLOOKUP(Tabla6[[#This Row],[N° FACTURA]],INGRESOS!F:F,INGRESOS!A:A),"-")</f>
        <v>1</v>
      </c>
      <c r="N400" s="2"/>
      <c r="O400" s="8"/>
    </row>
    <row r="401" spans="1:15" ht="14.75" customHeight="1">
      <c r="A401" s="320" t="s">
        <v>455</v>
      </c>
      <c r="B401" t="str">
        <f>+_xlfn.XLOOKUP(Tabla6[[#This Row],[ID CLIENTE]],'RESUMEN CLIENTES'!D:D,'RESUMEN CLIENTES'!A:A)</f>
        <v>Paola Hitos</v>
      </c>
      <c r="C401" t="str">
        <f>+_xlfn.XLOOKUP(Tabla6[[#This Row],[ID CLIENTE]],'RESUMEN CLIENTES'!D:D,'RESUMEN CLIENTES'!C:C)</f>
        <v>México</v>
      </c>
      <c r="D401" s="44" t="str">
        <f>+_xlfn.XLOOKUP(Tabla6[[#This Row],[ID CLIENTE]],'RESUMEN CLIENTES'!D:D,'RESUMEN CLIENTES'!M:M)</f>
        <v>OK</v>
      </c>
      <c r="E401" s="72">
        <f>+_xlfn.XLOOKUP(Tabla6[[#This Row],[NOMBRE]],'RESUMEN CLIENTES'!A:A,'RESUMEN CLIENTES'!X:X)</f>
        <v>-0.55555555555555558</v>
      </c>
      <c r="F401" s="72">
        <f>+_xlfn.XLOOKUP(Tabla6[[#This Row],[ID CLIENTE]],'RESUMEN CLIENTES'!D:D,'RESUMEN CLIENTES'!W:W)</f>
        <v>1</v>
      </c>
      <c r="G401" s="17">
        <v>45910</v>
      </c>
      <c r="H401" s="44" t="s">
        <v>81</v>
      </c>
      <c r="I401" s="2">
        <v>1000</v>
      </c>
      <c r="J401" s="20" t="s">
        <v>942</v>
      </c>
      <c r="K401" t="s">
        <v>943</v>
      </c>
      <c r="L401" s="44" t="str" cm="1">
        <f t="array" ref="L401">+_xlfn.IFS(COUNTIF(INGRESOS!E:E,Tabla6[[#This Row],[ID FACTURA]])=1,"PAGADA",Tabla6[[#This Row],[ID FACTURA]]&lt;&gt;0,"EMITIDA",Tabla6[[#This Row],[ID FACTURA]]=0,"POR EMITIR")</f>
        <v>PAGADA</v>
      </c>
      <c r="M401" s="55">
        <f>+IF(Tabla6[[#This Row],[ESTADO FACTURA]]="PAGADA",Tabla6[[#This Row],[FECHA]]-_xlfn.XLOOKUP(Tabla6[[#This Row],[N° FACTURA]],INGRESOS!F:F,INGRESOS!A:A),"-")</f>
        <v>2</v>
      </c>
      <c r="N401" s="2"/>
      <c r="O401"/>
    </row>
    <row r="402" spans="1:15" ht="14.75" customHeight="1">
      <c r="A402" s="320" t="s">
        <v>275</v>
      </c>
      <c r="B402" t="str">
        <f>+_xlfn.XLOOKUP(Tabla6[[#This Row],[ID CLIENTE]],'RESUMEN CLIENTES'!D:D,'RESUMEN CLIENTES'!A:A)</f>
        <v>Rodrigo Alfonso Busse Hernández</v>
      </c>
      <c r="C402" t="str">
        <f>+_xlfn.XLOOKUP(Tabla6[[#This Row],[ID CLIENTE]],'RESUMEN CLIENTES'!D:D,'RESUMEN CLIENTES'!C:C)</f>
        <v>Chile</v>
      </c>
      <c r="D402" s="44" t="str">
        <f>+_xlfn.XLOOKUP(Tabla6[[#This Row],[ID CLIENTE]],'RESUMEN CLIENTES'!D:D,'RESUMEN CLIENTES'!M:M)</f>
        <v>OK</v>
      </c>
      <c r="E402" s="72">
        <f>+_xlfn.XLOOKUP(Tabla6[[#This Row],[NOMBRE]],'RESUMEN CLIENTES'!A:A,'RESUMEN CLIENTES'!X:X)</f>
        <v>0.33333333333333331</v>
      </c>
      <c r="F402" s="72">
        <f>+_xlfn.XLOOKUP(Tabla6[[#This Row],[ID CLIENTE]],'RESUMEN CLIENTES'!D:D,'RESUMEN CLIENTES'!W:W)</f>
        <v>1</v>
      </c>
      <c r="G402" s="17">
        <v>45910</v>
      </c>
      <c r="H402" s="44" t="s">
        <v>81</v>
      </c>
      <c r="I402" s="2">
        <v>1111</v>
      </c>
      <c r="J402" s="20" t="s">
        <v>944</v>
      </c>
      <c r="K402" t="s">
        <v>945</v>
      </c>
      <c r="L402" s="44" t="str" cm="1">
        <f t="array" ref="L402">+_xlfn.IFS(COUNTIF(INGRESOS!E:E,Tabla6[[#This Row],[ID FACTURA]])=1,"PAGADA",Tabla6[[#This Row],[ID FACTURA]]&lt;&gt;0,"EMITIDA",Tabla6[[#This Row],[ID FACTURA]]=0,"POR EMITIR")</f>
        <v>PAGADA</v>
      </c>
      <c r="M402" s="55">
        <f>+IF(Tabla6[[#This Row],[ESTADO FACTURA]]="PAGADA",Tabla6[[#This Row],[FECHA]]-_xlfn.XLOOKUP(Tabla6[[#This Row],[N° FACTURA]],INGRESOS!F:F,INGRESOS!A:A),"-")</f>
        <v>1</v>
      </c>
      <c r="N402" s="2"/>
      <c r="O402"/>
    </row>
    <row r="403" spans="1:15" ht="14.75" customHeight="1">
      <c r="A403" s="320" t="s">
        <v>325</v>
      </c>
      <c r="B403" t="str">
        <f>+_xlfn.XLOOKUP(Tabla6[[#This Row],[ID CLIENTE]],'RESUMEN CLIENTES'!D:D,'RESUMEN CLIENTES'!A:A)</f>
        <v>Andrea Cristina Estrada Morocho</v>
      </c>
      <c r="C403" t="str">
        <f>+_xlfn.XLOOKUP(Tabla6[[#This Row],[ID CLIENTE]],'RESUMEN CLIENTES'!D:D,'RESUMEN CLIENTES'!C:C)</f>
        <v>Ecuador</v>
      </c>
      <c r="D403" s="44" t="str">
        <f>+_xlfn.XLOOKUP(Tabla6[[#This Row],[ID CLIENTE]],'RESUMEN CLIENTES'!D:D,'RESUMEN CLIENTES'!M:M)</f>
        <v>OK</v>
      </c>
      <c r="E403" s="72">
        <f>+_xlfn.XLOOKUP(Tabla6[[#This Row],[NOMBRE]],'RESUMEN CLIENTES'!A:A,'RESUMEN CLIENTES'!X:X)</f>
        <v>-3.6666666666666665</v>
      </c>
      <c r="F403" s="72">
        <f>+_xlfn.XLOOKUP(Tabla6[[#This Row],[ID CLIENTE]],'RESUMEN CLIENTES'!D:D,'RESUMEN CLIENTES'!W:W)</f>
        <v>1</v>
      </c>
      <c r="G403" s="17">
        <v>45912</v>
      </c>
      <c r="H403" s="44" t="s">
        <v>81</v>
      </c>
      <c r="I403" s="2">
        <v>500</v>
      </c>
      <c r="J403" s="20" t="s">
        <v>946</v>
      </c>
      <c r="K403" t="s">
        <v>947</v>
      </c>
      <c r="L403" s="44" t="str" cm="1">
        <f t="array" ref="L403">+_xlfn.IFS(COUNTIF(INGRESOS!E:E,Tabla6[[#This Row],[ID FACTURA]])=1,"PAGADA",Tabla6[[#This Row],[ID FACTURA]]&lt;&gt;0,"EMITIDA",Tabla6[[#This Row],[ID FACTURA]]=0,"POR EMITIR")</f>
        <v>PAGADA</v>
      </c>
      <c r="M403" s="55">
        <f>+IF(Tabla6[[#This Row],[ESTADO FACTURA]]="PAGADA",Tabla6[[#This Row],[FECHA]]-_xlfn.XLOOKUP(Tabla6[[#This Row],[N° FACTURA]],INGRESOS!F:F,INGRESOS!A:A),"-")</f>
        <v>-3</v>
      </c>
      <c r="N403" s="2"/>
      <c r="O403"/>
    </row>
    <row r="404" spans="1:15" ht="14.75" customHeight="1">
      <c r="A404" s="320" t="s">
        <v>501</v>
      </c>
      <c r="B404" t="str">
        <f>+_xlfn.XLOOKUP(Tabla6[[#This Row],[ID CLIENTE]],'RESUMEN CLIENTES'!D:D,'RESUMEN CLIENTES'!A:A)</f>
        <v>Kimberly Chantelle Frey Arteaga</v>
      </c>
      <c r="C404" t="str">
        <f>+_xlfn.XLOOKUP(Tabla6[[#This Row],[ID CLIENTE]],'RESUMEN CLIENTES'!D:D,'RESUMEN CLIENTES'!C:C)</f>
        <v>México</v>
      </c>
      <c r="D404" s="44" t="str">
        <f>+_xlfn.XLOOKUP(Tabla6[[#This Row],[ID CLIENTE]],'RESUMEN CLIENTES'!D:D,'RESUMEN CLIENTES'!M:M)</f>
        <v>OK</v>
      </c>
      <c r="E404" s="72">
        <f>+_xlfn.XLOOKUP(Tabla6[[#This Row],[NOMBRE]],'RESUMEN CLIENTES'!A:A,'RESUMEN CLIENTES'!X:X)</f>
        <v>0</v>
      </c>
      <c r="F404" s="72">
        <f>+_xlfn.XLOOKUP(Tabla6[[#This Row],[ID CLIENTE]],'RESUMEN CLIENTES'!D:D,'RESUMEN CLIENTES'!W:W)</f>
        <v>1</v>
      </c>
      <c r="G404" s="17">
        <v>45912</v>
      </c>
      <c r="H404" s="44" t="s">
        <v>81</v>
      </c>
      <c r="I404" s="2">
        <v>1000</v>
      </c>
      <c r="J404" s="20" t="s">
        <v>948</v>
      </c>
      <c r="K404" t="s">
        <v>949</v>
      </c>
      <c r="L404" s="44" t="str" cm="1">
        <f t="array" ref="L404">+_xlfn.IFS(COUNTIF(INGRESOS!E:E,Tabla6[[#This Row],[ID FACTURA]])=1,"PAGADA",Tabla6[[#This Row],[ID FACTURA]]&lt;&gt;0,"EMITIDA",Tabla6[[#This Row],[ID FACTURA]]=0,"POR EMITIR")</f>
        <v>PAGADA</v>
      </c>
      <c r="M404" s="55">
        <f>+IF(Tabla6[[#This Row],[ESTADO FACTURA]]="PAGADA",Tabla6[[#This Row],[FECHA]]-_xlfn.XLOOKUP(Tabla6[[#This Row],[N° FACTURA]],INGRESOS!F:F,INGRESOS!A:A),"-")</f>
        <v>-1</v>
      </c>
      <c r="N404" s="2"/>
      <c r="O404"/>
    </row>
    <row r="405" spans="1:15" ht="14.75" customHeight="1">
      <c r="A405" s="320" t="s">
        <v>484</v>
      </c>
      <c r="B405" t="str">
        <f>+_xlfn.XLOOKUP(Tabla6[[#This Row],[ID CLIENTE]],'RESUMEN CLIENTES'!D:D,'RESUMEN CLIENTES'!A:A)</f>
        <v>Liliana Alejandra Gruezo Pérez</v>
      </c>
      <c r="C405" t="str">
        <f>+_xlfn.XLOOKUP(Tabla6[[#This Row],[ID CLIENTE]],'RESUMEN CLIENTES'!D:D,'RESUMEN CLIENTES'!C:C)</f>
        <v>Ecuador</v>
      </c>
      <c r="D405" s="44" t="str">
        <f>+_xlfn.XLOOKUP(Tabla6[[#This Row],[ID CLIENTE]],'RESUMEN CLIENTES'!D:D,'RESUMEN CLIENTES'!M:M)</f>
        <v>¡REGULARIZAR!</v>
      </c>
      <c r="E405" s="72">
        <f>+_xlfn.XLOOKUP(Tabla6[[#This Row],[NOMBRE]],'RESUMEN CLIENTES'!A:A,'RESUMEN CLIENTES'!X:X)</f>
        <v>-2.2857142857142856</v>
      </c>
      <c r="F405" s="72">
        <f>+_xlfn.XLOOKUP(Tabla6[[#This Row],[ID CLIENTE]],'RESUMEN CLIENTES'!D:D,'RESUMEN CLIENTES'!W:W)</f>
        <v>1</v>
      </c>
      <c r="G405" s="17">
        <v>45912</v>
      </c>
      <c r="H405" s="44" t="s">
        <v>81</v>
      </c>
      <c r="I405" s="2">
        <v>470</v>
      </c>
      <c r="J405" s="20" t="s">
        <v>950</v>
      </c>
      <c r="K405" t="s">
        <v>951</v>
      </c>
      <c r="L405" s="44" t="str" cm="1">
        <f t="array" ref="L405">+_xlfn.IFS(COUNTIF(INGRESOS!E:E,Tabla6[[#This Row],[ID FACTURA]])=1,"PAGADA",Tabla6[[#This Row],[ID FACTURA]]&lt;&gt;0,"EMITIDA",Tabla6[[#This Row],[ID FACTURA]]=0,"POR EMITIR")</f>
        <v>PAGADA</v>
      </c>
      <c r="M405" s="55">
        <f>+IF(Tabla6[[#This Row],[ESTADO FACTURA]]="PAGADA",Tabla6[[#This Row],[FECHA]]-_xlfn.XLOOKUP(Tabla6[[#This Row],[N° FACTURA]],INGRESOS!F:F,INGRESOS!A:A),"-")</f>
        <v>-4</v>
      </c>
      <c r="N405" s="2"/>
      <c r="O405"/>
    </row>
    <row r="406" spans="1:15" ht="14.75" customHeight="1">
      <c r="A406" s="320" t="s">
        <v>952</v>
      </c>
      <c r="B406" t="str">
        <f>+_xlfn.XLOOKUP(Tabla6[[#This Row],[ID CLIENTE]],'RESUMEN CLIENTES'!D:D,'RESUMEN CLIENTES'!A:A)</f>
        <v>Fernando José Fuentes Bárcenas</v>
      </c>
      <c r="C406" t="str">
        <f>+_xlfn.XLOOKUP(Tabla6[[#This Row],[ID CLIENTE]],'RESUMEN CLIENTES'!D:D,'RESUMEN CLIENTES'!C:C)</f>
        <v>El Salvador</v>
      </c>
      <c r="D406" s="44" t="str">
        <f>+_xlfn.XLOOKUP(Tabla6[[#This Row],[ID CLIENTE]],'RESUMEN CLIENTES'!D:D,'RESUMEN CLIENTES'!M:M)</f>
        <v>ELIMINADO</v>
      </c>
      <c r="E406" s="72">
        <f>+_xlfn.XLOOKUP(Tabla6[[#This Row],[NOMBRE]],'RESUMEN CLIENTES'!A:A,'RESUMEN CLIENTES'!X:X)</f>
        <v>0.4</v>
      </c>
      <c r="F406" s="72">
        <f>+_xlfn.XLOOKUP(Tabla6[[#This Row],[ID CLIENTE]],'RESUMEN CLIENTES'!D:D,'RESUMEN CLIENTES'!W:W)</f>
        <v>1</v>
      </c>
      <c r="G406" s="17">
        <v>45913</v>
      </c>
      <c r="H406" s="44" t="s">
        <v>81</v>
      </c>
      <c r="I406" s="2">
        <v>250</v>
      </c>
      <c r="J406" s="20" t="s">
        <v>953</v>
      </c>
      <c r="K406" t="s">
        <v>954</v>
      </c>
      <c r="L406" s="44" t="str" cm="1">
        <f t="array" ref="L406">+_xlfn.IFS(COUNTIF(INGRESOS!E:E,Tabla6[[#This Row],[ID FACTURA]])=1,"PAGADA",Tabla6[[#This Row],[ID FACTURA]]&lt;&gt;0,"EMITIDA",Tabla6[[#This Row],[ID FACTURA]]=0,"POR EMITIR")</f>
        <v>PAGADA</v>
      </c>
      <c r="M406" s="55">
        <f>+IF(Tabla6[[#This Row],[ESTADO FACTURA]]="PAGADA",Tabla6[[#This Row],[FECHA]]-_xlfn.XLOOKUP(Tabla6[[#This Row],[N° FACTURA]],INGRESOS!F:F,INGRESOS!A:A),"-")</f>
        <v>0</v>
      </c>
      <c r="N406" s="2"/>
      <c r="O406"/>
    </row>
    <row r="407" spans="1:15" ht="14.75" customHeight="1">
      <c r="A407" s="320" t="s">
        <v>955</v>
      </c>
      <c r="B407" t="str">
        <f>+_xlfn.XLOOKUP(Tabla6[[#This Row],[ID CLIENTE]],'RESUMEN CLIENTES'!D:D,'RESUMEN CLIENTES'!A:A)</f>
        <v>Judith Elizabeth Lopez Sanchez</v>
      </c>
      <c r="C407" t="str">
        <f>+_xlfn.XLOOKUP(Tabla6[[#This Row],[ID CLIENTE]],'RESUMEN CLIENTES'!D:D,'RESUMEN CLIENTES'!C:C)</f>
        <v>Perú</v>
      </c>
      <c r="D407" s="44" t="str">
        <f>+_xlfn.XLOOKUP(Tabla6[[#This Row],[ID CLIENTE]],'RESUMEN CLIENTES'!D:D,'RESUMEN CLIENTES'!M:M)</f>
        <v>OK</v>
      </c>
      <c r="E407" s="72">
        <f>+_xlfn.XLOOKUP(Tabla6[[#This Row],[NOMBRE]],'RESUMEN CLIENTES'!A:A,'RESUMEN CLIENTES'!X:X)</f>
        <v>0.2857142857142857</v>
      </c>
      <c r="F407" s="72">
        <f>+_xlfn.XLOOKUP(Tabla6[[#This Row],[ID CLIENTE]],'RESUMEN CLIENTES'!D:D,'RESUMEN CLIENTES'!W:W)</f>
        <v>1</v>
      </c>
      <c r="G407" s="17">
        <v>45913</v>
      </c>
      <c r="H407" s="44" t="s">
        <v>81</v>
      </c>
      <c r="I407" s="2">
        <v>2000</v>
      </c>
      <c r="J407" s="20" t="s">
        <v>956</v>
      </c>
      <c r="K407" t="s">
        <v>957</v>
      </c>
      <c r="L407" s="44" t="str" cm="1">
        <f t="array" ref="L407">+_xlfn.IFS(COUNTIF(INGRESOS!E:E,Tabla6[[#This Row],[ID FACTURA]])=1,"PAGADA",Tabla6[[#This Row],[ID FACTURA]]&lt;&gt;0,"EMITIDA",Tabla6[[#This Row],[ID FACTURA]]=0,"POR EMITIR")</f>
        <v>PAGADA</v>
      </c>
      <c r="M407" s="55">
        <f>+IF(Tabla6[[#This Row],[ESTADO FACTURA]]="PAGADA",Tabla6[[#This Row],[FECHA]]-_xlfn.XLOOKUP(Tabla6[[#This Row],[N° FACTURA]],INGRESOS!F:F,INGRESOS!A:A),"-")</f>
        <v>0</v>
      </c>
      <c r="N407" s="2"/>
      <c r="O407"/>
    </row>
    <row r="408" spans="1:15" ht="14.75" customHeight="1">
      <c r="A408" s="320" t="s">
        <v>958</v>
      </c>
      <c r="B408" t="str">
        <f>+_xlfn.XLOOKUP(Tabla6[[#This Row],[ID CLIENTE]],'RESUMEN CLIENTES'!D:D,'RESUMEN CLIENTES'!A:A)</f>
        <v>Matías Enrique Aguilera Mancilla</v>
      </c>
      <c r="C408" t="str">
        <f>+_xlfn.XLOOKUP(Tabla6[[#This Row],[ID CLIENTE]],'RESUMEN CLIENTES'!D:D,'RESUMEN CLIENTES'!C:C)</f>
        <v>Chile</v>
      </c>
      <c r="D408" s="44" t="str">
        <f>+_xlfn.XLOOKUP(Tabla6[[#This Row],[ID CLIENTE]],'RESUMEN CLIENTES'!D:D,'RESUMEN CLIENTES'!M:M)</f>
        <v>ELIMINADO</v>
      </c>
      <c r="E408" s="72">
        <f>+_xlfn.XLOOKUP(Tabla6[[#This Row],[NOMBRE]],'RESUMEN CLIENTES'!A:A,'RESUMEN CLIENTES'!X:X)</f>
        <v>-0.75</v>
      </c>
      <c r="F408" s="72">
        <f>+_xlfn.XLOOKUP(Tabla6[[#This Row],[ID CLIENTE]],'RESUMEN CLIENTES'!D:D,'RESUMEN CLIENTES'!W:W)</f>
        <v>0</v>
      </c>
      <c r="G408" s="17">
        <v>45914</v>
      </c>
      <c r="H408" s="44" t="s">
        <v>81</v>
      </c>
      <c r="I408" s="2">
        <v>500</v>
      </c>
      <c r="J408" s="20" t="s">
        <v>959</v>
      </c>
      <c r="K408" t="s">
        <v>960</v>
      </c>
      <c r="L408" s="44" t="str" cm="1">
        <f t="array" ref="L408">+_xlfn.IFS(COUNTIF(INGRESOS!E:E,Tabla6[[#This Row],[ID FACTURA]])=1,"PAGADA",Tabla6[[#This Row],[ID FACTURA]]&lt;&gt;0,"EMITIDA",Tabla6[[#This Row],[ID FACTURA]]=0,"POR EMITIR")</f>
        <v>PAGADA</v>
      </c>
      <c r="M408" s="55">
        <f>+IF(Tabla6[[#This Row],[ESTADO FACTURA]]="PAGADA",Tabla6[[#This Row],[FECHA]]-_xlfn.XLOOKUP(Tabla6[[#This Row],[N° FACTURA]],INGRESOS!F:F,INGRESOS!A:A),"-")</f>
        <v>0</v>
      </c>
      <c r="N408" s="2"/>
      <c r="O408"/>
    </row>
    <row r="409" spans="1:15" ht="14.75" customHeight="1">
      <c r="A409" s="320" t="s">
        <v>187</v>
      </c>
      <c r="B409" t="str">
        <f>+_xlfn.XLOOKUP(Tabla6[[#This Row],[ID CLIENTE]],'RESUMEN CLIENTES'!D:D,'RESUMEN CLIENTES'!A:A)</f>
        <v>Alina Maria Cervantes Real</v>
      </c>
      <c r="C409" t="str">
        <f>+_xlfn.XLOOKUP(Tabla6[[#This Row],[ID CLIENTE]],'RESUMEN CLIENTES'!D:D,'RESUMEN CLIENTES'!C:C)</f>
        <v>México</v>
      </c>
      <c r="D409" s="44" t="str">
        <f>+_xlfn.XLOOKUP(Tabla6[[#This Row],[ID CLIENTE]],'RESUMEN CLIENTES'!D:D,'RESUMEN CLIENTES'!M:M)</f>
        <v>OK</v>
      </c>
      <c r="E409" s="72">
        <f>+_xlfn.XLOOKUP(Tabla6[[#This Row],[NOMBRE]],'RESUMEN CLIENTES'!A:A,'RESUMEN CLIENTES'!X:X)</f>
        <v>21.583333333333332</v>
      </c>
      <c r="F409" s="72">
        <f>+_xlfn.XLOOKUP(Tabla6[[#This Row],[ID CLIENTE]],'RESUMEN CLIENTES'!D:D,'RESUMEN CLIENTES'!W:W)</f>
        <v>1</v>
      </c>
      <c r="G409" s="17">
        <v>45915</v>
      </c>
      <c r="H409" s="44" t="s">
        <v>81</v>
      </c>
      <c r="I409" s="2">
        <v>1500</v>
      </c>
      <c r="J409" s="20" t="s">
        <v>673</v>
      </c>
      <c r="K409" t="s">
        <v>674</v>
      </c>
      <c r="L409" s="44" t="str" cm="1">
        <f t="array" ref="L409">+_xlfn.IFS(COUNTIF(INGRESOS!E:E,Tabla6[[#This Row],[ID FACTURA]])=1,"PAGADA",Tabla6[[#This Row],[ID FACTURA]]&lt;&gt;0,"EMITIDA",Tabla6[[#This Row],[ID FACTURA]]=0,"POR EMITIR")</f>
        <v>PAGADA</v>
      </c>
      <c r="M409" s="55">
        <f>+IF(Tabla6[[#This Row],[ESTADO FACTURA]]="PAGADA",Tabla6[[#This Row],[FECHA]]-_xlfn.XLOOKUP(Tabla6[[#This Row],[N° FACTURA]],INGRESOS!F:F,INGRESOS!A:A),"-")</f>
        <v>31</v>
      </c>
      <c r="N409" s="2"/>
      <c r="O409"/>
    </row>
    <row r="410" spans="1:15" ht="14.75" customHeight="1">
      <c r="A410" s="320" t="s">
        <v>751</v>
      </c>
      <c r="B410" t="str">
        <f>+_xlfn.XLOOKUP(Tabla6[[#This Row],[ID CLIENTE]],'RESUMEN CLIENTES'!D:D,'RESUMEN CLIENTES'!A:A)</f>
        <v>Carlos Alberto Suarez Hernandez</v>
      </c>
      <c r="C410" t="str">
        <f>+_xlfn.XLOOKUP(Tabla6[[#This Row],[ID CLIENTE]],'RESUMEN CLIENTES'!D:D,'RESUMEN CLIENTES'!C:C)</f>
        <v>Colombia</v>
      </c>
      <c r="D410" s="44" t="str">
        <f>+_xlfn.XLOOKUP(Tabla6[[#This Row],[ID CLIENTE]],'RESUMEN CLIENTES'!D:D,'RESUMEN CLIENTES'!M:M)</f>
        <v>OK</v>
      </c>
      <c r="E410" s="72">
        <f>+_xlfn.XLOOKUP(Tabla6[[#This Row],[NOMBRE]],'RESUMEN CLIENTES'!A:A,'RESUMEN CLIENTES'!X:X)</f>
        <v>0</v>
      </c>
      <c r="F410" s="72">
        <f>+_xlfn.XLOOKUP(Tabla6[[#This Row],[ID CLIENTE]],'RESUMEN CLIENTES'!D:D,'RESUMEN CLIENTES'!W:W)</f>
        <v>1</v>
      </c>
      <c r="G410" s="17">
        <v>45915</v>
      </c>
      <c r="H410" s="44" t="s">
        <v>81</v>
      </c>
      <c r="I410" s="2">
        <v>1000</v>
      </c>
      <c r="J410" s="20" t="s">
        <v>963</v>
      </c>
      <c r="K410" t="s">
        <v>964</v>
      </c>
      <c r="L410" s="44" t="str" cm="1">
        <f t="array" ref="L410">+_xlfn.IFS(COUNTIF(INGRESOS!E:E,Tabla6[[#This Row],[ID FACTURA]])=1,"PAGADA",Tabla6[[#This Row],[ID FACTURA]]&lt;&gt;0,"EMITIDA",Tabla6[[#This Row],[ID FACTURA]]=0,"POR EMITIR")</f>
        <v>PAGADA</v>
      </c>
      <c r="M410" s="55">
        <f>+IF(Tabla6[[#This Row],[ESTADO FACTURA]]="PAGADA",Tabla6[[#This Row],[FECHA]]-_xlfn.XLOOKUP(Tabla6[[#This Row],[N° FACTURA]],INGRESOS!F:F,INGRESOS!A:A),"-")</f>
        <v>0</v>
      </c>
      <c r="N410" s="2"/>
      <c r="O410"/>
    </row>
    <row r="411" spans="1:15" ht="14.75" customHeight="1">
      <c r="A411" s="320" t="s">
        <v>156</v>
      </c>
      <c r="B411" t="str">
        <f>+_xlfn.XLOOKUP(Tabla6[[#This Row],[ID CLIENTE]],'RESUMEN CLIENTES'!D:D,'RESUMEN CLIENTES'!A:A)</f>
        <v>Catalina Andrea Videla Muñoz</v>
      </c>
      <c r="C411" t="str">
        <f>+_xlfn.XLOOKUP(Tabla6[[#This Row],[ID CLIENTE]],'RESUMEN CLIENTES'!D:D,'RESUMEN CLIENTES'!C:C)</f>
        <v>Chile</v>
      </c>
      <c r="D411" s="44" t="str">
        <f>+_xlfn.XLOOKUP(Tabla6[[#This Row],[ID CLIENTE]],'RESUMEN CLIENTES'!D:D,'RESUMEN CLIENTES'!M:M)</f>
        <v>OK</v>
      </c>
      <c r="E411" s="72">
        <f>+_xlfn.XLOOKUP(Tabla6[[#This Row],[NOMBRE]],'RESUMEN CLIENTES'!A:A,'RESUMEN CLIENTES'!X:X)</f>
        <v>1.5454545454545454</v>
      </c>
      <c r="F411" s="72">
        <f>+_xlfn.XLOOKUP(Tabla6[[#This Row],[ID CLIENTE]],'RESUMEN CLIENTES'!D:D,'RESUMEN CLIENTES'!W:W)</f>
        <v>1</v>
      </c>
      <c r="G411" s="17">
        <v>45915</v>
      </c>
      <c r="H411" s="44" t="s">
        <v>81</v>
      </c>
      <c r="I411" s="2">
        <v>1250</v>
      </c>
      <c r="J411" s="20" t="s">
        <v>965</v>
      </c>
      <c r="K411" t="s">
        <v>966</v>
      </c>
      <c r="L411" s="44" t="str" cm="1">
        <f t="array" ref="L411">+_xlfn.IFS(COUNTIF(INGRESOS!E:E,Tabla6[[#This Row],[ID FACTURA]])=1,"PAGADA",Tabla6[[#This Row],[ID FACTURA]]&lt;&gt;0,"EMITIDA",Tabla6[[#This Row],[ID FACTURA]]=0,"POR EMITIR")</f>
        <v>PAGADA</v>
      </c>
      <c r="M411" s="55">
        <f>+IF(Tabla6[[#This Row],[ESTADO FACTURA]]="PAGADA",Tabla6[[#This Row],[FECHA]]-_xlfn.XLOOKUP(Tabla6[[#This Row],[N° FACTURA]],INGRESOS!F:F,INGRESOS!A:A),"-")</f>
        <v>0</v>
      </c>
      <c r="N411" s="2"/>
      <c r="O411"/>
    </row>
    <row r="412" spans="1:15" ht="14.75" customHeight="1">
      <c r="A412" s="320" t="s">
        <v>95</v>
      </c>
      <c r="B412" t="str">
        <f>+_xlfn.XLOOKUP(Tabla6[[#This Row],[ID CLIENTE]],'RESUMEN CLIENTES'!D:D,'RESUMEN CLIENTES'!A:A)</f>
        <v>Gabriel Alejandro Ortega Moreno</v>
      </c>
      <c r="C412" t="str">
        <f>+_xlfn.XLOOKUP(Tabla6[[#This Row],[ID CLIENTE]],'RESUMEN CLIENTES'!D:D,'RESUMEN CLIENTES'!C:C)</f>
        <v>Ecuador</v>
      </c>
      <c r="D412" s="44" t="str">
        <f>+_xlfn.XLOOKUP(Tabla6[[#This Row],[ID CLIENTE]],'RESUMEN CLIENTES'!D:D,'RESUMEN CLIENTES'!M:M)</f>
        <v>OK</v>
      </c>
      <c r="E412" s="72">
        <f>+_xlfn.XLOOKUP(Tabla6[[#This Row],[NOMBRE]],'RESUMEN CLIENTES'!A:A,'RESUMEN CLIENTES'!X:X)</f>
        <v>-0.1111111111111111</v>
      </c>
      <c r="F412" s="72">
        <f>+_xlfn.XLOOKUP(Tabla6[[#This Row],[ID CLIENTE]],'RESUMEN CLIENTES'!D:D,'RESUMEN CLIENTES'!W:W)</f>
        <v>0</v>
      </c>
      <c r="G412" s="17">
        <v>45915</v>
      </c>
      <c r="H412" s="44" t="s">
        <v>81</v>
      </c>
      <c r="I412" s="2">
        <v>860</v>
      </c>
      <c r="J412" s="20" t="s">
        <v>967</v>
      </c>
      <c r="K412" t="s">
        <v>968</v>
      </c>
      <c r="L412" s="44" t="str" cm="1">
        <f t="array" ref="L412">+_xlfn.IFS(COUNTIF(INGRESOS!E:E,Tabla6[[#This Row],[ID FACTURA]])=1,"PAGADA",Tabla6[[#This Row],[ID FACTURA]]&lt;&gt;0,"EMITIDA",Tabla6[[#This Row],[ID FACTURA]]=0,"POR EMITIR")</f>
        <v>PAGADA</v>
      </c>
      <c r="M412" s="55">
        <f>+IF(Tabla6[[#This Row],[ESTADO FACTURA]]="PAGADA",Tabla6[[#This Row],[FECHA]]-_xlfn.XLOOKUP(Tabla6[[#This Row],[N° FACTURA]],INGRESOS!F:F,INGRESOS!A:A),"-")</f>
        <v>-1</v>
      </c>
      <c r="N412" s="2"/>
      <c r="O412" s="8" t="s">
        <v>969</v>
      </c>
    </row>
    <row r="413" spans="1:15" ht="14.75" customHeight="1">
      <c r="A413" s="320" t="s">
        <v>970</v>
      </c>
      <c r="B413" t="str">
        <f>+_xlfn.XLOOKUP(Tabla6[[#This Row],[ID CLIENTE]],'RESUMEN CLIENTES'!D:D,'RESUMEN CLIENTES'!A:A)</f>
        <v>Gustavo Alexander Gonzalez Muñoz</v>
      </c>
      <c r="C413" t="str">
        <f>+_xlfn.XLOOKUP(Tabla6[[#This Row],[ID CLIENTE]],'RESUMEN CLIENTES'!D:D,'RESUMEN CLIENTES'!C:C)</f>
        <v>Colombia</v>
      </c>
      <c r="D413" s="44" t="str">
        <f>+_xlfn.XLOOKUP(Tabla6[[#This Row],[ID CLIENTE]],'RESUMEN CLIENTES'!D:D,'RESUMEN CLIENTES'!M:M)</f>
        <v>ELIMINADO</v>
      </c>
      <c r="E413" s="72">
        <f>+_xlfn.XLOOKUP(Tabla6[[#This Row],[NOMBRE]],'RESUMEN CLIENTES'!A:A,'RESUMEN CLIENTES'!X:X)</f>
        <v>-12.8</v>
      </c>
      <c r="F413" s="72">
        <f>+_xlfn.XLOOKUP(Tabla6[[#This Row],[ID CLIENTE]],'RESUMEN CLIENTES'!D:D,'RESUMEN CLIENTES'!W:W)</f>
        <v>0</v>
      </c>
      <c r="G413" s="17">
        <v>45915</v>
      </c>
      <c r="H413" s="44" t="s">
        <v>81</v>
      </c>
      <c r="I413" s="2">
        <v>250</v>
      </c>
      <c r="J413" s="20" t="s">
        <v>971</v>
      </c>
      <c r="K413" t="s">
        <v>972</v>
      </c>
      <c r="L413" s="44" t="str" cm="1">
        <f t="array" ref="L413">+_xlfn.IFS(COUNTIF(INGRESOS!E:E,Tabla6[[#This Row],[ID FACTURA]])=1,"PAGADA",Tabla6[[#This Row],[ID FACTURA]]&lt;&gt;0,"EMITIDA",Tabla6[[#This Row],[ID FACTURA]]=0,"POR EMITIR")</f>
        <v>PAGADA</v>
      </c>
      <c r="M413" s="55">
        <f>+IF(Tabla6[[#This Row],[ESTADO FACTURA]]="PAGADA",Tabla6[[#This Row],[FECHA]]-_xlfn.XLOOKUP(Tabla6[[#This Row],[N° FACTURA]],INGRESOS!F:F,INGRESOS!A:A),"-")</f>
        <v>0</v>
      </c>
      <c r="N413" s="2"/>
      <c r="O413"/>
    </row>
    <row r="414" spans="1:15" ht="14.75" customHeight="1">
      <c r="A414" s="320" t="s">
        <v>700</v>
      </c>
      <c r="B414" t="str">
        <f>+_xlfn.XLOOKUP(Tabla6[[#This Row],[ID CLIENTE]],'RESUMEN CLIENTES'!D:D,'RESUMEN CLIENTES'!A:A)</f>
        <v>Ignacio Manuel Jesus Orellana Gutiérrez</v>
      </c>
      <c r="C414" t="str">
        <f>+_xlfn.XLOOKUP(Tabla6[[#This Row],[ID CLIENTE]],'RESUMEN CLIENTES'!D:D,'RESUMEN CLIENTES'!C:C)</f>
        <v>Chile</v>
      </c>
      <c r="D414" s="44" t="str">
        <f>+_xlfn.XLOOKUP(Tabla6[[#This Row],[ID CLIENTE]],'RESUMEN CLIENTES'!D:D,'RESUMEN CLIENTES'!M:M)</f>
        <v>OK</v>
      </c>
      <c r="E414" s="72">
        <f>+_xlfn.XLOOKUP(Tabla6[[#This Row],[NOMBRE]],'RESUMEN CLIENTES'!A:A,'RESUMEN CLIENTES'!X:X)</f>
        <v>2.4</v>
      </c>
      <c r="F414" s="72">
        <f>+_xlfn.XLOOKUP(Tabla6[[#This Row],[ID CLIENTE]],'RESUMEN CLIENTES'!D:D,'RESUMEN CLIENTES'!W:W)</f>
        <v>0</v>
      </c>
      <c r="G414" s="17">
        <v>45915</v>
      </c>
      <c r="H414" s="44" t="s">
        <v>81</v>
      </c>
      <c r="I414" s="2">
        <v>2500</v>
      </c>
      <c r="J414" s="20" t="s">
        <v>973</v>
      </c>
      <c r="K414" t="s">
        <v>974</v>
      </c>
      <c r="L414" s="44" t="str" cm="1">
        <f t="array" ref="L414">+_xlfn.IFS(COUNTIF(INGRESOS!E:E,Tabla6[[#This Row],[ID FACTURA]])=1,"PAGADA",Tabla6[[#This Row],[ID FACTURA]]&lt;&gt;0,"EMITIDA",Tabla6[[#This Row],[ID FACTURA]]=0,"POR EMITIR")</f>
        <v>PAGADA</v>
      </c>
      <c r="M414" s="55">
        <f>+IF(Tabla6[[#This Row],[ESTADO FACTURA]]="PAGADA",Tabla6[[#This Row],[FECHA]]-_xlfn.XLOOKUP(Tabla6[[#This Row],[N° FACTURA]],INGRESOS!F:F,INGRESOS!A:A),"-")</f>
        <v>6</v>
      </c>
      <c r="N414" s="2"/>
      <c r="O414"/>
    </row>
    <row r="415" spans="1:15" ht="14.75" customHeight="1">
      <c r="A415" s="320" t="s">
        <v>700</v>
      </c>
      <c r="B415" t="str">
        <f>+_xlfn.XLOOKUP(Tabla6[[#This Row],[ID CLIENTE]],'RESUMEN CLIENTES'!D:D,'RESUMEN CLIENTES'!A:A)</f>
        <v>Ignacio Manuel Jesus Orellana Gutiérrez</v>
      </c>
      <c r="C415" t="str">
        <f>+_xlfn.XLOOKUP(Tabla6[[#This Row],[ID CLIENTE]],'RESUMEN CLIENTES'!D:D,'RESUMEN CLIENTES'!C:C)</f>
        <v>Chile</v>
      </c>
      <c r="D415" s="44" t="str">
        <f>+_xlfn.XLOOKUP(Tabla6[[#This Row],[ID CLIENTE]],'RESUMEN CLIENTES'!D:D,'RESUMEN CLIENTES'!M:M)</f>
        <v>OK</v>
      </c>
      <c r="E415" s="72">
        <f>+_xlfn.XLOOKUP(Tabla6[[#This Row],[NOMBRE]],'RESUMEN CLIENTES'!A:A,'RESUMEN CLIENTES'!X:X)</f>
        <v>2.4</v>
      </c>
      <c r="F415" s="72">
        <f>+_xlfn.XLOOKUP(Tabla6[[#This Row],[ID CLIENTE]],'RESUMEN CLIENTES'!D:D,'RESUMEN CLIENTES'!W:W)</f>
        <v>0</v>
      </c>
      <c r="G415" s="17">
        <v>45915</v>
      </c>
      <c r="H415" s="44" t="s">
        <v>81</v>
      </c>
      <c r="I415" s="2">
        <v>2500</v>
      </c>
      <c r="J415" s="20" t="s">
        <v>975</v>
      </c>
      <c r="K415" t="s">
        <v>976</v>
      </c>
      <c r="L415" s="44" t="str" cm="1">
        <f t="array" ref="L415">+_xlfn.IFS(COUNTIF(INGRESOS!E:E,Tabla6[[#This Row],[ID FACTURA]])=1,"PAGADA",Tabla6[[#This Row],[ID FACTURA]]&lt;&gt;0,"EMITIDA",Tabla6[[#This Row],[ID FACTURA]]=0,"POR EMITIR")</f>
        <v>PAGADA</v>
      </c>
      <c r="M415" s="55">
        <f>+IF(Tabla6[[#This Row],[ESTADO FACTURA]]="PAGADA",Tabla6[[#This Row],[FECHA]]-_xlfn.XLOOKUP(Tabla6[[#This Row],[N° FACTURA]],INGRESOS!F:F,INGRESOS!A:A),"-")</f>
        <v>5</v>
      </c>
      <c r="N415" s="2"/>
      <c r="O415"/>
    </row>
    <row r="416" spans="1:15" ht="14.75" customHeight="1">
      <c r="A416" s="320" t="s">
        <v>700</v>
      </c>
      <c r="B416" t="str">
        <f>+_xlfn.XLOOKUP(Tabla6[[#This Row],[ID CLIENTE]],'RESUMEN CLIENTES'!D:D,'RESUMEN CLIENTES'!A:A)</f>
        <v>Ignacio Manuel Jesus Orellana Gutiérrez</v>
      </c>
      <c r="C416" t="str">
        <f>+_xlfn.XLOOKUP(Tabla6[[#This Row],[ID CLIENTE]],'RESUMEN CLIENTES'!D:D,'RESUMEN CLIENTES'!C:C)</f>
        <v>Chile</v>
      </c>
      <c r="D416" s="44" t="str">
        <f>+_xlfn.XLOOKUP(Tabla6[[#This Row],[ID CLIENTE]],'RESUMEN CLIENTES'!D:D,'RESUMEN CLIENTES'!M:M)</f>
        <v>OK</v>
      </c>
      <c r="E416" s="72">
        <f>+_xlfn.XLOOKUP(Tabla6[[#This Row],[NOMBRE]],'RESUMEN CLIENTES'!A:A,'RESUMEN CLIENTES'!X:X)</f>
        <v>2.4</v>
      </c>
      <c r="F416" s="72">
        <f>+_xlfn.XLOOKUP(Tabla6[[#This Row],[ID CLIENTE]],'RESUMEN CLIENTES'!D:D,'RESUMEN CLIENTES'!W:W)</f>
        <v>0</v>
      </c>
      <c r="G416" s="17">
        <v>45915</v>
      </c>
      <c r="H416" s="44" t="s">
        <v>81</v>
      </c>
      <c r="I416" s="2">
        <v>8062.05</v>
      </c>
      <c r="J416" s="20" t="s">
        <v>977</v>
      </c>
      <c r="K416" t="s">
        <v>978</v>
      </c>
      <c r="L416" s="44" t="str" cm="1">
        <f t="array" ref="L416">+_xlfn.IFS(COUNTIF(INGRESOS!E:E,Tabla6[[#This Row],[ID FACTURA]])=1,"PAGADA",Tabla6[[#This Row],[ID FACTURA]]&lt;&gt;0,"EMITIDA",Tabla6[[#This Row],[ID FACTURA]]=0,"POR EMITIR")</f>
        <v>PAGADA</v>
      </c>
      <c r="M416" s="55">
        <f>+IF(Tabla6[[#This Row],[ESTADO FACTURA]]="PAGADA",Tabla6[[#This Row],[FECHA]]-_xlfn.XLOOKUP(Tabla6[[#This Row],[N° FACTURA]],INGRESOS!F:F,INGRESOS!A:A),"-")</f>
        <v>-1</v>
      </c>
      <c r="N416" s="2"/>
      <c r="O416" t="s">
        <v>979</v>
      </c>
    </row>
    <row r="417" spans="1:15" ht="14.75" customHeight="1">
      <c r="A417" s="320" t="s">
        <v>103</v>
      </c>
      <c r="B417" t="str">
        <f>+_xlfn.XLOOKUP(Tabla6[[#This Row],[ID CLIENTE]],'RESUMEN CLIENTES'!D:D,'RESUMEN CLIENTES'!A:A)</f>
        <v>Isaac Ricardo Jimenez Campos</v>
      </c>
      <c r="C417" t="str">
        <f>+_xlfn.XLOOKUP(Tabla6[[#This Row],[ID CLIENTE]],'RESUMEN CLIENTES'!D:D,'RESUMEN CLIENTES'!C:C)</f>
        <v>México</v>
      </c>
      <c r="D417" s="44" t="str">
        <f>+_xlfn.XLOOKUP(Tabla6[[#This Row],[ID CLIENTE]],'RESUMEN CLIENTES'!D:D,'RESUMEN CLIENTES'!M:M)</f>
        <v>OK</v>
      </c>
      <c r="E417" s="72">
        <f>+_xlfn.XLOOKUP(Tabla6[[#This Row],[NOMBRE]],'RESUMEN CLIENTES'!A:A,'RESUMEN CLIENTES'!X:X)</f>
        <v>0.5</v>
      </c>
      <c r="F417" s="72">
        <f>+_xlfn.XLOOKUP(Tabla6[[#This Row],[ID CLIENTE]],'RESUMEN CLIENTES'!D:D,'RESUMEN CLIENTES'!W:W)</f>
        <v>1</v>
      </c>
      <c r="G417" s="17">
        <v>45915</v>
      </c>
      <c r="H417" s="44" t="s">
        <v>81</v>
      </c>
      <c r="I417" s="2">
        <v>654</v>
      </c>
      <c r="J417" s="20" t="s">
        <v>980</v>
      </c>
      <c r="K417" t="s">
        <v>981</v>
      </c>
      <c r="L417" s="44" t="str" cm="1">
        <f t="array" ref="L417">+_xlfn.IFS(COUNTIF(INGRESOS!E:E,Tabla6[[#This Row],[ID FACTURA]])=1,"PAGADA",Tabla6[[#This Row],[ID FACTURA]]&lt;&gt;0,"EMITIDA",Tabla6[[#This Row],[ID FACTURA]]=0,"POR EMITIR")</f>
        <v>PAGADA</v>
      </c>
      <c r="M417" s="55">
        <f>+IF(Tabla6[[#This Row],[ESTADO FACTURA]]="PAGADA",Tabla6[[#This Row],[FECHA]]-_xlfn.XLOOKUP(Tabla6[[#This Row],[N° FACTURA]],INGRESOS!F:F,INGRESOS!A:A),"-")</f>
        <v>0</v>
      </c>
      <c r="N417" s="2"/>
      <c r="O417"/>
    </row>
    <row r="418" spans="1:15" ht="14.75" customHeight="1">
      <c r="A418" s="320" t="s">
        <v>362</v>
      </c>
      <c r="B418" t="str">
        <f>+_xlfn.XLOOKUP(Tabla6[[#This Row],[ID CLIENTE]],'RESUMEN CLIENTES'!D:D,'RESUMEN CLIENTES'!A:A)</f>
        <v>Jessica Ayelén Culla Alvarez</v>
      </c>
      <c r="C418" t="str">
        <f>+_xlfn.XLOOKUP(Tabla6[[#This Row],[ID CLIENTE]],'RESUMEN CLIENTES'!D:D,'RESUMEN CLIENTES'!C:C)</f>
        <v>Argentina</v>
      </c>
      <c r="D418" s="44" t="str">
        <f>+_xlfn.XLOOKUP(Tabla6[[#This Row],[ID CLIENTE]],'RESUMEN CLIENTES'!D:D,'RESUMEN CLIENTES'!M:M)</f>
        <v>OK</v>
      </c>
      <c r="E418" s="72">
        <f>+_xlfn.XLOOKUP(Tabla6[[#This Row],[NOMBRE]],'RESUMEN CLIENTES'!A:A,'RESUMEN CLIENTES'!X:X)</f>
        <v>-2.1538461538461537</v>
      </c>
      <c r="F418" s="72">
        <f>+_xlfn.XLOOKUP(Tabla6[[#This Row],[ID CLIENTE]],'RESUMEN CLIENTES'!D:D,'RESUMEN CLIENTES'!W:W)</f>
        <v>1</v>
      </c>
      <c r="G418" s="17">
        <v>45915</v>
      </c>
      <c r="H418" s="44" t="s">
        <v>81</v>
      </c>
      <c r="I418" s="2">
        <v>1000</v>
      </c>
      <c r="J418" s="20" t="s">
        <v>982</v>
      </c>
      <c r="K418" t="s">
        <v>983</v>
      </c>
      <c r="L418" s="44" t="str" cm="1">
        <f t="array" ref="L418">+_xlfn.IFS(COUNTIF(INGRESOS!E:E,Tabla6[[#This Row],[ID FACTURA]])=1,"PAGADA",Tabla6[[#This Row],[ID FACTURA]]&lt;&gt;0,"EMITIDA",Tabla6[[#This Row],[ID FACTURA]]=0,"POR EMITIR")</f>
        <v>PAGADA</v>
      </c>
      <c r="M418" s="55">
        <f>+IF(Tabla6[[#This Row],[ESTADO FACTURA]]="PAGADA",Tabla6[[#This Row],[FECHA]]-_xlfn.XLOOKUP(Tabla6[[#This Row],[N° FACTURA]],INGRESOS!F:F,INGRESOS!A:A),"-")</f>
        <v>-1</v>
      </c>
      <c r="N418" s="2"/>
      <c r="O418"/>
    </row>
    <row r="419" spans="1:15" ht="14.75" customHeight="1">
      <c r="A419" s="320" t="s">
        <v>136</v>
      </c>
      <c r="B419" t="str">
        <f>+_xlfn.XLOOKUP(Tabla6[[#This Row],[ID CLIENTE]],'RESUMEN CLIENTES'!D:D,'RESUMEN CLIENTES'!A:A)</f>
        <v>Juan Pablo Martínez Cabello</v>
      </c>
      <c r="C419" t="str">
        <f>+_xlfn.XLOOKUP(Tabla6[[#This Row],[ID CLIENTE]],'RESUMEN CLIENTES'!D:D,'RESUMEN CLIENTES'!C:C)</f>
        <v>Chile</v>
      </c>
      <c r="D419" s="44" t="str">
        <f>+_xlfn.XLOOKUP(Tabla6[[#This Row],[ID CLIENTE]],'RESUMEN CLIENTES'!D:D,'RESUMEN CLIENTES'!M:M)</f>
        <v>OK</v>
      </c>
      <c r="E419" s="72">
        <f>+_xlfn.XLOOKUP(Tabla6[[#This Row],[NOMBRE]],'RESUMEN CLIENTES'!A:A,'RESUMEN CLIENTES'!X:X)</f>
        <v>1.5714285714285714</v>
      </c>
      <c r="F419" s="72">
        <f>+_xlfn.XLOOKUP(Tabla6[[#This Row],[ID CLIENTE]],'RESUMEN CLIENTES'!D:D,'RESUMEN CLIENTES'!W:W)</f>
        <v>1</v>
      </c>
      <c r="G419" s="17">
        <v>45915</v>
      </c>
      <c r="H419" s="44" t="s">
        <v>81</v>
      </c>
      <c r="I419" s="2">
        <v>1500</v>
      </c>
      <c r="J419" s="20" t="s">
        <v>984</v>
      </c>
      <c r="K419" t="s">
        <v>985</v>
      </c>
      <c r="L419" s="44" t="str" cm="1">
        <f t="array" ref="L419">+_xlfn.IFS(COUNTIF(INGRESOS!E:E,Tabla6[[#This Row],[ID FACTURA]])=1,"PAGADA",Tabla6[[#This Row],[ID FACTURA]]&lt;&gt;0,"EMITIDA",Tabla6[[#This Row],[ID FACTURA]]=0,"POR EMITIR")</f>
        <v>PAGADA</v>
      </c>
      <c r="M419" s="55">
        <f>+IF(Tabla6[[#This Row],[ESTADO FACTURA]]="PAGADA",Tabla6[[#This Row],[FECHA]]-_xlfn.XLOOKUP(Tabla6[[#This Row],[N° FACTURA]],INGRESOS!F:F,INGRESOS!A:A),"-")</f>
        <v>3</v>
      </c>
      <c r="O419"/>
    </row>
    <row r="420" spans="1:15" ht="14.75" customHeight="1">
      <c r="A420" s="320" t="s">
        <v>762</v>
      </c>
      <c r="B420" t="str">
        <f>+_xlfn.XLOOKUP(Tabla6[[#This Row],[ID CLIENTE]],'RESUMEN CLIENTES'!D:D,'RESUMEN CLIENTES'!A:A)</f>
        <v>María Stefania Gelvez Olaya</v>
      </c>
      <c r="C420" t="str">
        <f>+_xlfn.XLOOKUP(Tabla6[[#This Row],[ID CLIENTE]],'RESUMEN CLIENTES'!D:D,'RESUMEN CLIENTES'!C:C)</f>
        <v>Colombia</v>
      </c>
      <c r="D420" s="44" t="str">
        <f>+_xlfn.XLOOKUP(Tabla6[[#This Row],[ID CLIENTE]],'RESUMEN CLIENTES'!D:D,'RESUMEN CLIENTES'!M:M)</f>
        <v>OK</v>
      </c>
      <c r="E420" s="72">
        <f>+_xlfn.XLOOKUP(Tabla6[[#This Row],[NOMBRE]],'RESUMEN CLIENTES'!A:A,'RESUMEN CLIENTES'!X:X)</f>
        <v>-0.14285714285714285</v>
      </c>
      <c r="F420" s="72">
        <f>+_xlfn.XLOOKUP(Tabla6[[#This Row],[ID CLIENTE]],'RESUMEN CLIENTES'!D:D,'RESUMEN CLIENTES'!W:W)</f>
        <v>1</v>
      </c>
      <c r="G420" s="17">
        <v>45915</v>
      </c>
      <c r="H420" s="44" t="s">
        <v>81</v>
      </c>
      <c r="I420" s="2">
        <v>1000</v>
      </c>
      <c r="J420" s="20" t="s">
        <v>986</v>
      </c>
      <c r="K420" t="s">
        <v>987</v>
      </c>
      <c r="L420" s="44" t="str" cm="1">
        <f t="array" ref="L420">+_xlfn.IFS(COUNTIF(INGRESOS!E:E,Tabla6[[#This Row],[ID FACTURA]])=1,"PAGADA",Tabla6[[#This Row],[ID FACTURA]]&lt;&gt;0,"EMITIDA",Tabla6[[#This Row],[ID FACTURA]]=0,"POR EMITIR")</f>
        <v>PAGADA</v>
      </c>
      <c r="M420" s="55">
        <f>+IF(Tabla6[[#This Row],[ESTADO FACTURA]]="PAGADA",Tabla6[[#This Row],[FECHA]]-_xlfn.XLOOKUP(Tabla6[[#This Row],[N° FACTURA]],INGRESOS!F:F,INGRESOS!A:A),"-")</f>
        <v>0</v>
      </c>
      <c r="N420" s="2"/>
      <c r="O420"/>
    </row>
    <row r="421" spans="1:15" ht="14.75" customHeight="1">
      <c r="A421" s="320" t="s">
        <v>958</v>
      </c>
      <c r="B421" t="str">
        <f>+_xlfn.XLOOKUP(Tabla6[[#This Row],[ID CLIENTE]],'RESUMEN CLIENTES'!D:D,'RESUMEN CLIENTES'!A:A)</f>
        <v>Matías Enrique Aguilera Mancilla</v>
      </c>
      <c r="C421" t="str">
        <f>+_xlfn.XLOOKUP(Tabla6[[#This Row],[ID CLIENTE]],'RESUMEN CLIENTES'!D:D,'RESUMEN CLIENTES'!C:C)</f>
        <v>Chile</v>
      </c>
      <c r="D421" s="44" t="str">
        <f>+_xlfn.XLOOKUP(Tabla6[[#This Row],[ID CLIENTE]],'RESUMEN CLIENTES'!D:D,'RESUMEN CLIENTES'!M:M)</f>
        <v>ELIMINADO</v>
      </c>
      <c r="E421" s="72">
        <f>+_xlfn.XLOOKUP(Tabla6[[#This Row],[NOMBRE]],'RESUMEN CLIENTES'!A:A,'RESUMEN CLIENTES'!X:X)</f>
        <v>-0.75</v>
      </c>
      <c r="F421" s="72">
        <f>+_xlfn.XLOOKUP(Tabla6[[#This Row],[ID CLIENTE]],'RESUMEN CLIENTES'!D:D,'RESUMEN CLIENTES'!W:W)</f>
        <v>0</v>
      </c>
      <c r="G421" s="17">
        <v>45915</v>
      </c>
      <c r="H421" s="44" t="s">
        <v>81</v>
      </c>
      <c r="I421" s="2">
        <v>1000</v>
      </c>
      <c r="J421" s="20" t="s">
        <v>988</v>
      </c>
      <c r="K421" t="s">
        <v>989</v>
      </c>
      <c r="L421" s="44" t="str" cm="1">
        <f t="array" ref="L421">+_xlfn.IFS(COUNTIF(INGRESOS!E:E,Tabla6[[#This Row],[ID FACTURA]])=1,"PAGADA",Tabla6[[#This Row],[ID FACTURA]]&lt;&gt;0,"EMITIDA",Tabla6[[#This Row],[ID FACTURA]]=0,"POR EMITIR")</f>
        <v>PAGADA</v>
      </c>
      <c r="M421" s="55">
        <f>+IF(Tabla6[[#This Row],[ESTADO FACTURA]]="PAGADA",Tabla6[[#This Row],[FECHA]]-_xlfn.XLOOKUP(Tabla6[[#This Row],[N° FACTURA]],INGRESOS!F:F,INGRESOS!A:A),"-")</f>
        <v>0</v>
      </c>
      <c r="N421" s="2"/>
      <c r="O421"/>
    </row>
    <row r="422" spans="1:15" ht="14.75" customHeight="1">
      <c r="A422" s="320" t="s">
        <v>242</v>
      </c>
      <c r="B422" t="str">
        <f>+_xlfn.XLOOKUP(Tabla6[[#This Row],[ID CLIENTE]],'RESUMEN CLIENTES'!D:D,'RESUMEN CLIENTES'!A:A)</f>
        <v>Rodrigo Ignacio Rodriguez Frutos</v>
      </c>
      <c r="C422" t="str">
        <f>+_xlfn.XLOOKUP(Tabla6[[#This Row],[ID CLIENTE]],'RESUMEN CLIENTES'!D:D,'RESUMEN CLIENTES'!C:C)</f>
        <v>México</v>
      </c>
      <c r="D422" s="44" t="str">
        <f>+_xlfn.XLOOKUP(Tabla6[[#This Row],[ID CLIENTE]],'RESUMEN CLIENTES'!D:D,'RESUMEN CLIENTES'!M:M)</f>
        <v>OK</v>
      </c>
      <c r="E422" s="72">
        <f>+_xlfn.XLOOKUP(Tabla6[[#This Row],[NOMBRE]],'RESUMEN CLIENTES'!A:A,'RESUMEN CLIENTES'!X:X)</f>
        <v>-1.4285714285714286</v>
      </c>
      <c r="F422" s="72">
        <f>+_xlfn.XLOOKUP(Tabla6[[#This Row],[ID CLIENTE]],'RESUMEN CLIENTES'!D:D,'RESUMEN CLIENTES'!W:W)</f>
        <v>1</v>
      </c>
      <c r="G422" s="17">
        <v>45915</v>
      </c>
      <c r="H422" s="44" t="s">
        <v>81</v>
      </c>
      <c r="I422" s="2">
        <v>2000</v>
      </c>
      <c r="J422" s="20" t="s">
        <v>990</v>
      </c>
      <c r="K422" t="s">
        <v>991</v>
      </c>
      <c r="L422" s="44" t="str" cm="1">
        <f t="array" ref="L422">+_xlfn.IFS(COUNTIF(INGRESOS!E:E,Tabla6[[#This Row],[ID FACTURA]])=1,"PAGADA",Tabla6[[#This Row],[ID FACTURA]]&lt;&gt;0,"EMITIDA",Tabla6[[#This Row],[ID FACTURA]]=0,"POR EMITIR")</f>
        <v>PAGADA</v>
      </c>
      <c r="M422" s="55">
        <f>+IF(Tabla6[[#This Row],[ESTADO FACTURA]]="PAGADA",Tabla6[[#This Row],[FECHA]]-_xlfn.XLOOKUP(Tabla6[[#This Row],[N° FACTURA]],INGRESOS!F:F,INGRESOS!A:A),"-")</f>
        <v>-4</v>
      </c>
      <c r="N422" s="2"/>
      <c r="O422" s="8"/>
    </row>
    <row r="423" spans="1:15" ht="14.75" customHeight="1">
      <c r="A423" s="320" t="s">
        <v>90</v>
      </c>
      <c r="B423" t="str">
        <f>+_xlfn.XLOOKUP(Tabla6[[#This Row],[ID CLIENTE]],'RESUMEN CLIENTES'!D:D,'RESUMEN CLIENTES'!A:A)</f>
        <v>David Enrique Díaz Mejía</v>
      </c>
      <c r="C423" t="str">
        <f>+_xlfn.XLOOKUP(Tabla6[[#This Row],[ID CLIENTE]],'RESUMEN CLIENTES'!D:D,'RESUMEN CLIENTES'!C:C)</f>
        <v>Honduras</v>
      </c>
      <c r="D423" s="44" t="str">
        <f>+_xlfn.XLOOKUP(Tabla6[[#This Row],[ID CLIENTE]],'RESUMEN CLIENTES'!D:D,'RESUMEN CLIENTES'!M:M)</f>
        <v>OK</v>
      </c>
      <c r="E423" s="72">
        <f>+_xlfn.XLOOKUP(Tabla6[[#This Row],[NOMBRE]],'RESUMEN CLIENTES'!A:A,'RESUMEN CLIENTES'!X:X)</f>
        <v>-15.217592592592862</v>
      </c>
      <c r="F423" s="72">
        <f>+_xlfn.XLOOKUP(Tabla6[[#This Row],[ID CLIENTE]],'RESUMEN CLIENTES'!D:D,'RESUMEN CLIENTES'!W:W)</f>
        <v>1</v>
      </c>
      <c r="G423" s="17">
        <v>45915.041666666664</v>
      </c>
      <c r="H423" s="44" t="s">
        <v>81</v>
      </c>
      <c r="I423" s="2">
        <v>1000</v>
      </c>
      <c r="J423" s="20" t="s">
        <v>992</v>
      </c>
      <c r="K423" t="s">
        <v>993</v>
      </c>
      <c r="L423" s="44" t="str" cm="1">
        <f t="array" ref="L423">+_xlfn.IFS(COUNTIF(INGRESOS!E:E,Tabla6[[#This Row],[ID FACTURA]])=1,"PAGADA",Tabla6[[#This Row],[ID FACTURA]]&lt;&gt;0,"EMITIDA",Tabla6[[#This Row],[ID FACTURA]]=0,"POR EMITIR")</f>
        <v>PAGADA</v>
      </c>
      <c r="M423" s="55">
        <f>+IF(Tabla6[[#This Row],[ESTADO FACTURA]]="PAGADA",Tabla6[[#This Row],[FECHA]]-_xlfn.XLOOKUP(Tabla6[[#This Row],[N° FACTURA]],INGRESOS!F:F,INGRESOS!A:A),"-")</f>
        <v>4.1666666664241347E-2</v>
      </c>
      <c r="N423" s="2"/>
      <c r="O423"/>
    </row>
    <row r="424" spans="1:15" ht="14.75" customHeight="1">
      <c r="A424" s="320" t="s">
        <v>994</v>
      </c>
      <c r="B424" t="str">
        <f>+_xlfn.XLOOKUP(Tabla6[[#This Row],[ID CLIENTE]],'RESUMEN CLIENTES'!D:D,'RESUMEN CLIENTES'!A:A)</f>
        <v>Raúl Ernesto Martínez Orantes</v>
      </c>
      <c r="C424" t="str">
        <f>+_xlfn.XLOOKUP(Tabla6[[#This Row],[ID CLIENTE]],'RESUMEN CLIENTES'!D:D,'RESUMEN CLIENTES'!C:C)</f>
        <v>El Salvador</v>
      </c>
      <c r="D424" s="44" t="str">
        <f>+_xlfn.XLOOKUP(Tabla6[[#This Row],[ID CLIENTE]],'RESUMEN CLIENTES'!D:D,'RESUMEN CLIENTES'!M:M)</f>
        <v>OK</v>
      </c>
      <c r="E424" s="72">
        <f>+_xlfn.XLOOKUP(Tabla6[[#This Row],[NOMBRE]],'RESUMEN CLIENTES'!A:A,'RESUMEN CLIENTES'!X:X)</f>
        <v>1.1428571428571428</v>
      </c>
      <c r="F424" s="72">
        <f>+_xlfn.XLOOKUP(Tabla6[[#This Row],[ID CLIENTE]],'RESUMEN CLIENTES'!D:D,'RESUMEN CLIENTES'!W:W)</f>
        <v>1</v>
      </c>
      <c r="G424" s="17">
        <v>45916</v>
      </c>
      <c r="H424" s="44" t="s">
        <v>81</v>
      </c>
      <c r="I424" s="2">
        <v>500</v>
      </c>
      <c r="J424" s="20" t="s">
        <v>995</v>
      </c>
      <c r="K424" t="s">
        <v>996</v>
      </c>
      <c r="L424" s="44" t="str" cm="1">
        <f t="array" ref="L424">+_xlfn.IFS(COUNTIF(INGRESOS!E:E,Tabla6[[#This Row],[ID FACTURA]])=1,"PAGADA",Tabla6[[#This Row],[ID FACTURA]]&lt;&gt;0,"EMITIDA",Tabla6[[#This Row],[ID FACTURA]]=0,"POR EMITIR")</f>
        <v>PAGADA</v>
      </c>
      <c r="M424" s="55">
        <f>+IF(Tabla6[[#This Row],[ESTADO FACTURA]]="PAGADA",Tabla6[[#This Row],[FECHA]]-_xlfn.XLOOKUP(Tabla6[[#This Row],[N° FACTURA]],INGRESOS!F:F,INGRESOS!A:A),"-")</f>
        <v>0</v>
      </c>
      <c r="N424" s="2"/>
      <c r="O424"/>
    </row>
    <row r="425" spans="1:15" ht="14.75" customHeight="1">
      <c r="A425" s="320" t="s">
        <v>994</v>
      </c>
      <c r="B425" t="str">
        <f>+_xlfn.XLOOKUP(Tabla6[[#This Row],[ID CLIENTE]],'RESUMEN CLIENTES'!D:D,'RESUMEN CLIENTES'!A:A)</f>
        <v>Raúl Ernesto Martínez Orantes</v>
      </c>
      <c r="C425" t="str">
        <f>+_xlfn.XLOOKUP(Tabla6[[#This Row],[ID CLIENTE]],'RESUMEN CLIENTES'!D:D,'RESUMEN CLIENTES'!C:C)</f>
        <v>El Salvador</v>
      </c>
      <c r="D425" s="44" t="str">
        <f>+_xlfn.XLOOKUP(Tabla6[[#This Row],[ID CLIENTE]],'RESUMEN CLIENTES'!D:D,'RESUMEN CLIENTES'!M:M)</f>
        <v>OK</v>
      </c>
      <c r="E425" s="72">
        <f>+_xlfn.XLOOKUP(Tabla6[[#This Row],[NOMBRE]],'RESUMEN CLIENTES'!A:A,'RESUMEN CLIENTES'!X:X)</f>
        <v>1.1428571428571428</v>
      </c>
      <c r="F425" s="72">
        <f>+_xlfn.XLOOKUP(Tabla6[[#This Row],[ID CLIENTE]],'RESUMEN CLIENTES'!D:D,'RESUMEN CLIENTES'!W:W)</f>
        <v>1</v>
      </c>
      <c r="G425" s="17">
        <v>45917</v>
      </c>
      <c r="H425" s="44" t="s">
        <v>81</v>
      </c>
      <c r="I425" s="2">
        <v>2500</v>
      </c>
      <c r="J425" s="20" t="s">
        <v>997</v>
      </c>
      <c r="K425" t="s">
        <v>998</v>
      </c>
      <c r="L425" s="44" t="str" cm="1">
        <f t="array" ref="L425">+_xlfn.IFS(COUNTIF(INGRESOS!E:E,Tabla6[[#This Row],[ID FACTURA]])=1,"PAGADA",Tabla6[[#This Row],[ID FACTURA]]&lt;&gt;0,"EMITIDA",Tabla6[[#This Row],[ID FACTURA]]=0,"POR EMITIR")</f>
        <v>PAGADA</v>
      </c>
      <c r="M425" s="55">
        <f>+IF(Tabla6[[#This Row],[ESTADO FACTURA]]="PAGADA",Tabla6[[#This Row],[FECHA]]-_xlfn.XLOOKUP(Tabla6[[#This Row],[N° FACTURA]],INGRESOS!F:F,INGRESOS!A:A),"-")</f>
        <v>0</v>
      </c>
      <c r="N425" s="2"/>
      <c r="O425"/>
    </row>
    <row r="426" spans="1:15" ht="14.75" customHeight="1">
      <c r="A426" s="320" t="s">
        <v>247</v>
      </c>
      <c r="B426" t="str">
        <f>+_xlfn.XLOOKUP(Tabla6[[#This Row],[ID CLIENTE]],'RESUMEN CLIENTES'!D:D,'RESUMEN CLIENTES'!A:A)</f>
        <v>Nancy Gisselle Molinari Cheme</v>
      </c>
      <c r="C426" t="str">
        <f>+_xlfn.XLOOKUP(Tabla6[[#This Row],[ID CLIENTE]],'RESUMEN CLIENTES'!D:D,'RESUMEN CLIENTES'!C:C)</f>
        <v>Perú</v>
      </c>
      <c r="D426" s="44" t="str">
        <f>+_xlfn.XLOOKUP(Tabla6[[#This Row],[ID CLIENTE]],'RESUMEN CLIENTES'!D:D,'RESUMEN CLIENTES'!M:M)</f>
        <v>OK</v>
      </c>
      <c r="E426" s="72">
        <f>+_xlfn.XLOOKUP(Tabla6[[#This Row],[NOMBRE]],'RESUMEN CLIENTES'!A:A,'RESUMEN CLIENTES'!X:X)</f>
        <v>0.9</v>
      </c>
      <c r="F426" s="72">
        <f>+_xlfn.XLOOKUP(Tabla6[[#This Row],[ID CLIENTE]],'RESUMEN CLIENTES'!D:D,'RESUMEN CLIENTES'!W:W)</f>
        <v>1</v>
      </c>
      <c r="G426" s="17">
        <v>45918</v>
      </c>
      <c r="H426" s="44" t="s">
        <v>81</v>
      </c>
      <c r="I426" s="2">
        <v>1000</v>
      </c>
      <c r="J426" s="20" t="s">
        <v>999</v>
      </c>
      <c r="K426" t="s">
        <v>1000</v>
      </c>
      <c r="L426" s="44" t="str" cm="1">
        <f t="array" ref="L426">+_xlfn.IFS(COUNTIF(INGRESOS!E:E,Tabla6[[#This Row],[ID FACTURA]])=1,"PAGADA",Tabla6[[#This Row],[ID FACTURA]]&lt;&gt;0,"EMITIDA",Tabla6[[#This Row],[ID FACTURA]]=0,"POR EMITIR")</f>
        <v>PAGADA</v>
      </c>
      <c r="M426" s="55">
        <f>+IF(Tabla6[[#This Row],[ESTADO FACTURA]]="PAGADA",Tabla6[[#This Row],[FECHA]]-_xlfn.XLOOKUP(Tabla6[[#This Row],[N° FACTURA]],INGRESOS!F:F,INGRESOS!A:A),"-")</f>
        <v>0</v>
      </c>
      <c r="N426" s="2"/>
      <c r="O426"/>
    </row>
    <row r="427" spans="1:15" ht="14.75" customHeight="1">
      <c r="A427" s="320" t="s">
        <v>1001</v>
      </c>
      <c r="B427" t="str">
        <f>+_xlfn.XLOOKUP(Tabla6[[#This Row],[ID CLIENTE]],'RESUMEN CLIENTES'!D:D,'RESUMEN CLIENTES'!A:A)</f>
        <v>Karenn Yadira Tavera Lara</v>
      </c>
      <c r="C427" t="str">
        <f>+_xlfn.XLOOKUP(Tabla6[[#This Row],[ID CLIENTE]],'RESUMEN CLIENTES'!D:D,'RESUMEN CLIENTES'!C:C)</f>
        <v>México</v>
      </c>
      <c r="D427" s="44" t="str">
        <f>+_xlfn.XLOOKUP(Tabla6[[#This Row],[ID CLIENTE]],'RESUMEN CLIENTES'!D:D,'RESUMEN CLIENTES'!M:M)</f>
        <v>OK</v>
      </c>
      <c r="E427" s="72">
        <f>+_xlfn.XLOOKUP(Tabla6[[#This Row],[NOMBRE]],'RESUMEN CLIENTES'!A:A,'RESUMEN CLIENTES'!X:X)</f>
        <v>1.5</v>
      </c>
      <c r="F427" s="72">
        <f>+_xlfn.XLOOKUP(Tabla6[[#This Row],[ID CLIENTE]],'RESUMEN CLIENTES'!D:D,'RESUMEN CLIENTES'!W:W)</f>
        <v>1</v>
      </c>
      <c r="G427" s="17">
        <v>45919</v>
      </c>
      <c r="H427" s="44" t="s">
        <v>81</v>
      </c>
      <c r="I427" s="2">
        <v>1000</v>
      </c>
      <c r="J427" s="20" t="s">
        <v>1002</v>
      </c>
      <c r="K427" t="s">
        <v>1003</v>
      </c>
      <c r="L427" s="44" t="str" cm="1">
        <f t="array" ref="L427">+_xlfn.IFS(COUNTIF(INGRESOS!E:E,Tabla6[[#This Row],[ID FACTURA]])=1,"PAGADA",Tabla6[[#This Row],[ID FACTURA]]&lt;&gt;0,"EMITIDA",Tabla6[[#This Row],[ID FACTURA]]=0,"POR EMITIR")</f>
        <v>PAGADA</v>
      </c>
      <c r="M427" s="55">
        <f>+IF(Tabla6[[#This Row],[ESTADO FACTURA]]="PAGADA",Tabla6[[#This Row],[FECHA]]-_xlfn.XLOOKUP(Tabla6[[#This Row],[N° FACTURA]],INGRESOS!F:F,INGRESOS!A:A),"-")</f>
        <v>0</v>
      </c>
      <c r="N427" s="2"/>
      <c r="O427"/>
    </row>
    <row r="428" spans="1:15" ht="14.75" customHeight="1">
      <c r="A428" s="320" t="s">
        <v>574</v>
      </c>
      <c r="B428" t="str">
        <f>+_xlfn.XLOOKUP(Tabla6[[#This Row],[ID CLIENTE]],'RESUMEN CLIENTES'!D:D,'RESUMEN CLIENTES'!A:A)</f>
        <v>Astrid Mariam Enamorado Ortega</v>
      </c>
      <c r="C428" t="str">
        <f>+_xlfn.XLOOKUP(Tabla6[[#This Row],[ID CLIENTE]],'RESUMEN CLIENTES'!D:D,'RESUMEN CLIENTES'!C:C)</f>
        <v>Honduras</v>
      </c>
      <c r="D428" s="44" t="str">
        <f>+_xlfn.XLOOKUP(Tabla6[[#This Row],[ID CLIENTE]],'RESUMEN CLIENTES'!D:D,'RESUMEN CLIENTES'!M:M)</f>
        <v>OK</v>
      </c>
      <c r="E428" s="72">
        <f>+_xlfn.XLOOKUP(Tabla6[[#This Row],[NOMBRE]],'RESUMEN CLIENTES'!A:A,'RESUMEN CLIENTES'!X:X)</f>
        <v>-1.75</v>
      </c>
      <c r="F428" s="72">
        <f>+_xlfn.XLOOKUP(Tabla6[[#This Row],[ID CLIENTE]],'RESUMEN CLIENTES'!D:D,'RESUMEN CLIENTES'!W:W)</f>
        <v>0</v>
      </c>
      <c r="G428" s="17">
        <v>45920</v>
      </c>
      <c r="H428" s="44" t="s">
        <v>81</v>
      </c>
      <c r="I428" s="2">
        <v>1200</v>
      </c>
      <c r="J428" s="20" t="s">
        <v>1004</v>
      </c>
      <c r="K428" t="s">
        <v>1005</v>
      </c>
      <c r="L428" s="44" t="str" cm="1">
        <f t="array" ref="L428">+_xlfn.IFS(COUNTIF(INGRESOS!E:E,Tabla6[[#This Row],[ID FACTURA]])=1,"PAGADA",Tabla6[[#This Row],[ID FACTURA]]&lt;&gt;0,"EMITIDA",Tabla6[[#This Row],[ID FACTURA]]=0,"POR EMITIR")</f>
        <v>PAGADA</v>
      </c>
      <c r="M428" s="55">
        <f>+IF(Tabla6[[#This Row],[ESTADO FACTURA]]="PAGADA",Tabla6[[#This Row],[FECHA]]-_xlfn.XLOOKUP(Tabla6[[#This Row],[N° FACTURA]],INGRESOS!F:F,INGRESOS!A:A),"-")</f>
        <v>-3</v>
      </c>
      <c r="N428" s="2"/>
      <c r="O428"/>
    </row>
    <row r="429" spans="1:15" ht="14.75" customHeight="1">
      <c r="A429" s="320" t="s">
        <v>787</v>
      </c>
      <c r="B429" t="str">
        <f>+_xlfn.XLOOKUP(Tabla6[[#This Row],[ID CLIENTE]],'RESUMEN CLIENTES'!D:D,'RESUMEN CLIENTES'!A:A)</f>
        <v>Florencia Luján Sapia</v>
      </c>
      <c r="C429" t="str">
        <f>+_xlfn.XLOOKUP(Tabla6[[#This Row],[ID CLIENTE]],'RESUMEN CLIENTES'!D:D,'RESUMEN CLIENTES'!C:C)</f>
        <v>Argentina</v>
      </c>
      <c r="D429" s="44" t="str">
        <f>+_xlfn.XLOOKUP(Tabla6[[#This Row],[ID CLIENTE]],'RESUMEN CLIENTES'!D:D,'RESUMEN CLIENTES'!M:M)</f>
        <v>OK</v>
      </c>
      <c r="E429" s="72">
        <f>+_xlfn.XLOOKUP(Tabla6[[#This Row],[NOMBRE]],'RESUMEN CLIENTES'!A:A,'RESUMEN CLIENTES'!X:X)</f>
        <v>-0.77777777777777779</v>
      </c>
      <c r="F429" s="72">
        <f>+_xlfn.XLOOKUP(Tabla6[[#This Row],[ID CLIENTE]],'RESUMEN CLIENTES'!D:D,'RESUMEN CLIENTES'!W:W)</f>
        <v>1</v>
      </c>
      <c r="G429" s="17">
        <v>45920</v>
      </c>
      <c r="H429" s="44" t="s">
        <v>81</v>
      </c>
      <c r="I429" s="2">
        <v>750</v>
      </c>
      <c r="J429" s="20" t="s">
        <v>1006</v>
      </c>
      <c r="K429" t="s">
        <v>1007</v>
      </c>
      <c r="L429" s="44" t="str" cm="1">
        <f t="array" ref="L429">+_xlfn.IFS(COUNTIF(INGRESOS!E:E,Tabla6[[#This Row],[ID FACTURA]])=1,"PAGADA",Tabla6[[#This Row],[ID FACTURA]]&lt;&gt;0,"EMITIDA",Tabla6[[#This Row],[ID FACTURA]]=0,"POR EMITIR")</f>
        <v>PAGADA</v>
      </c>
      <c r="M429" s="55">
        <f>+IF(Tabla6[[#This Row],[ESTADO FACTURA]]="PAGADA",Tabla6[[#This Row],[FECHA]]-_xlfn.XLOOKUP(Tabla6[[#This Row],[N° FACTURA]],INGRESOS!F:F,INGRESOS!A:A),"-")</f>
        <v>-3</v>
      </c>
      <c r="N429" s="2"/>
      <c r="O429"/>
    </row>
    <row r="430" spans="1:15" ht="14.75" customHeight="1">
      <c r="A430" s="320" t="s">
        <v>798</v>
      </c>
      <c r="B430" t="str">
        <f>+_xlfn.XLOOKUP(Tabla6[[#This Row],[ID CLIENTE]],'RESUMEN CLIENTES'!D:D,'RESUMEN CLIENTES'!A:A)</f>
        <v>Juan Manuel Paranzino</v>
      </c>
      <c r="C430" t="str">
        <f>+_xlfn.XLOOKUP(Tabla6[[#This Row],[ID CLIENTE]],'RESUMEN CLIENTES'!D:D,'RESUMEN CLIENTES'!C:C)</f>
        <v>Argentina</v>
      </c>
      <c r="D430" s="44" t="str">
        <f>+_xlfn.XLOOKUP(Tabla6[[#This Row],[ID CLIENTE]],'RESUMEN CLIENTES'!D:D,'RESUMEN CLIENTES'!M:M)</f>
        <v>OK</v>
      </c>
      <c r="E430" s="72">
        <f>+_xlfn.XLOOKUP(Tabla6[[#This Row],[NOMBRE]],'RESUMEN CLIENTES'!A:A,'RESUMEN CLIENTES'!X:X)</f>
        <v>-1</v>
      </c>
      <c r="F430" s="72">
        <f>+_xlfn.XLOOKUP(Tabla6[[#This Row],[ID CLIENTE]],'RESUMEN CLIENTES'!D:D,'RESUMEN CLIENTES'!W:W)</f>
        <v>0</v>
      </c>
      <c r="G430" s="17">
        <v>45920</v>
      </c>
      <c r="H430" s="44" t="s">
        <v>81</v>
      </c>
      <c r="I430" s="2">
        <v>750</v>
      </c>
      <c r="J430" s="20" t="s">
        <v>1008</v>
      </c>
      <c r="K430" t="s">
        <v>1009</v>
      </c>
      <c r="L430" s="44" t="str" cm="1">
        <f t="array" ref="L430">+_xlfn.IFS(COUNTIF(INGRESOS!E:E,Tabla6[[#This Row],[ID FACTURA]])=1,"PAGADA",Tabla6[[#This Row],[ID FACTURA]]&lt;&gt;0,"EMITIDA",Tabla6[[#This Row],[ID FACTURA]]=0,"POR EMITIR")</f>
        <v>PAGADA</v>
      </c>
      <c r="M430" s="55">
        <f>+IF(Tabla6[[#This Row],[ESTADO FACTURA]]="PAGADA",Tabla6[[#This Row],[FECHA]]-_xlfn.XLOOKUP(Tabla6[[#This Row],[N° FACTURA]],INGRESOS!F:F,INGRESOS!A:A),"-")</f>
        <v>-3</v>
      </c>
      <c r="N430" s="2"/>
      <c r="O430"/>
    </row>
    <row r="431" spans="1:15" ht="14.75" customHeight="1">
      <c r="A431" s="320" t="s">
        <v>587</v>
      </c>
      <c r="B431" t="str">
        <f>+_xlfn.XLOOKUP(Tabla6[[#This Row],[ID CLIENTE]],'RESUMEN CLIENTES'!D:D,'RESUMEN CLIENTES'!A:A)</f>
        <v>Keidwin Perez</v>
      </c>
      <c r="C431" t="str">
        <f>+_xlfn.XLOOKUP(Tabla6[[#This Row],[ID CLIENTE]],'RESUMEN CLIENTES'!D:D,'RESUMEN CLIENTES'!C:C)</f>
        <v>Colombia</v>
      </c>
      <c r="D431" s="44" t="str">
        <f>+_xlfn.XLOOKUP(Tabla6[[#This Row],[ID CLIENTE]],'RESUMEN CLIENTES'!D:D,'RESUMEN CLIENTES'!M:M)</f>
        <v>OK</v>
      </c>
      <c r="E431" s="72">
        <f>+_xlfn.XLOOKUP(Tabla6[[#This Row],[NOMBRE]],'RESUMEN CLIENTES'!A:A,'RESUMEN CLIENTES'!X:X)</f>
        <v>-4.25</v>
      </c>
      <c r="F431" s="72">
        <f>+_xlfn.XLOOKUP(Tabla6[[#This Row],[ID CLIENTE]],'RESUMEN CLIENTES'!D:D,'RESUMEN CLIENTES'!W:W)</f>
        <v>1</v>
      </c>
      <c r="G431" s="17">
        <v>45920</v>
      </c>
      <c r="H431" s="44" t="s">
        <v>81</v>
      </c>
      <c r="I431" s="2">
        <v>750</v>
      </c>
      <c r="J431" s="20" t="s">
        <v>1010</v>
      </c>
      <c r="K431" t="s">
        <v>1011</v>
      </c>
      <c r="L431" s="44" t="str" cm="1">
        <f t="array" ref="L431">+_xlfn.IFS(COUNTIF(INGRESOS!E:E,Tabla6[[#This Row],[ID FACTURA]])=1,"PAGADA",Tabla6[[#This Row],[ID FACTURA]]&lt;&gt;0,"EMITIDA",Tabla6[[#This Row],[ID FACTURA]]=0,"POR EMITIR")</f>
        <v>PAGADA</v>
      </c>
      <c r="M431" s="55">
        <f>+IF(Tabla6[[#This Row],[ESTADO FACTURA]]="PAGADA",Tabla6[[#This Row],[FECHA]]-_xlfn.XLOOKUP(Tabla6[[#This Row],[N° FACTURA]],INGRESOS!F:F,INGRESOS!A:A),"-")</f>
        <v>-5</v>
      </c>
      <c r="N431" s="2"/>
      <c r="O431"/>
    </row>
    <row r="432" spans="1:15" ht="14.75" customHeight="1">
      <c r="A432" s="320" t="s">
        <v>250</v>
      </c>
      <c r="B432" t="str">
        <f>+_xlfn.XLOOKUP(Tabla6[[#This Row],[ID CLIENTE]],'RESUMEN CLIENTES'!D:D,'RESUMEN CLIENTES'!A:A)</f>
        <v>Fernanda Castro</v>
      </c>
      <c r="C432" t="str">
        <f>+_xlfn.XLOOKUP(Tabla6[[#This Row],[ID CLIENTE]],'RESUMEN CLIENTES'!D:D,'RESUMEN CLIENTES'!C:C)</f>
        <v>Ecuador</v>
      </c>
      <c r="D432" s="44" t="str">
        <f>+_xlfn.XLOOKUP(Tabla6[[#This Row],[ID CLIENTE]],'RESUMEN CLIENTES'!D:D,'RESUMEN CLIENTES'!M:M)</f>
        <v>OK</v>
      </c>
      <c r="E432" s="72">
        <f>+_xlfn.XLOOKUP(Tabla6[[#This Row],[NOMBRE]],'RESUMEN CLIENTES'!A:A,'RESUMEN CLIENTES'!X:X)</f>
        <v>0</v>
      </c>
      <c r="F432" s="72">
        <f>+_xlfn.XLOOKUP(Tabla6[[#This Row],[ID CLIENTE]],'RESUMEN CLIENTES'!D:D,'RESUMEN CLIENTES'!W:W)</f>
        <v>1</v>
      </c>
      <c r="G432" s="17">
        <v>45923</v>
      </c>
      <c r="H432" s="44" t="s">
        <v>81</v>
      </c>
      <c r="I432" s="2">
        <v>1000</v>
      </c>
      <c r="J432" s="20" t="s">
        <v>1012</v>
      </c>
      <c r="K432" t="s">
        <v>1013</v>
      </c>
      <c r="L432" s="44" t="str" cm="1">
        <f t="array" ref="L432">+_xlfn.IFS(COUNTIF(INGRESOS!E:E,Tabla6[[#This Row],[ID FACTURA]])=1,"PAGADA",Tabla6[[#This Row],[ID FACTURA]]&lt;&gt;0,"EMITIDA",Tabla6[[#This Row],[ID FACTURA]]=0,"POR EMITIR")</f>
        <v>PAGADA</v>
      </c>
      <c r="M432" s="55">
        <f>+IF(Tabla6[[#This Row],[ESTADO FACTURA]]="PAGADA",Tabla6[[#This Row],[FECHA]]-_xlfn.XLOOKUP(Tabla6[[#This Row],[N° FACTURA]],INGRESOS!F:F,INGRESOS!A:A),"-")</f>
        <v>1</v>
      </c>
      <c r="N432" s="2"/>
      <c r="O432"/>
    </row>
    <row r="433" spans="1:15" ht="14.75" customHeight="1">
      <c r="A433" s="320" t="s">
        <v>200</v>
      </c>
      <c r="B433" t="str">
        <f>+_xlfn.XLOOKUP(Tabla6[[#This Row],[ID CLIENTE]],'RESUMEN CLIENTES'!D:D,'RESUMEN CLIENTES'!A:A)</f>
        <v>Mateo Gabriel Martinez Dávila</v>
      </c>
      <c r="C433" t="str">
        <f>+_xlfn.XLOOKUP(Tabla6[[#This Row],[ID CLIENTE]],'RESUMEN CLIENTES'!D:D,'RESUMEN CLIENTES'!C:C)</f>
        <v>Bolivia</v>
      </c>
      <c r="D433" s="169" t="str">
        <f>+_xlfn.XLOOKUP(Tabla6[[#This Row],[ID CLIENTE]],'RESUMEN CLIENTES'!D:D,'RESUMEN CLIENTES'!M:M)</f>
        <v>OK</v>
      </c>
      <c r="E433" s="71">
        <f>+_xlfn.XLOOKUP(Tabla6[[#This Row],[NOMBRE]],'RESUMEN CLIENTES'!A:A,'RESUMEN CLIENTES'!X:X)</f>
        <v>-0.5</v>
      </c>
      <c r="F433" s="71">
        <f>+_xlfn.XLOOKUP(Tabla6[[#This Row],[ID CLIENTE]],'RESUMEN CLIENTES'!D:D,'RESUMEN CLIENTES'!W:W)</f>
        <v>0</v>
      </c>
      <c r="G433" s="17">
        <v>45923</v>
      </c>
      <c r="H433" s="169" t="s">
        <v>81</v>
      </c>
      <c r="I433" s="2">
        <v>500</v>
      </c>
      <c r="J433" s="20" t="s">
        <v>1014</v>
      </c>
      <c r="K433" t="s">
        <v>1015</v>
      </c>
      <c r="L433" s="44" t="str" cm="1">
        <f t="array" ref="L433">+_xlfn.IFS(COUNTIF(INGRESOS!E:E,Tabla6[[#This Row],[ID FACTURA]])=1,"PAGADA",Tabla6[[#This Row],[ID FACTURA]]&lt;&gt;0,"EMITIDA",Tabla6[[#This Row],[ID FACTURA]]=0,"POR EMITIR")</f>
        <v>PAGADA</v>
      </c>
      <c r="M433" s="54">
        <f>+IF(Tabla6[[#This Row],[ESTADO FACTURA]]="PAGADA",Tabla6[[#This Row],[FECHA]]-_xlfn.XLOOKUP(Tabla6[[#This Row],[N° FACTURA]],INGRESOS!F:F,INGRESOS!A:A),"-")</f>
        <v>0</v>
      </c>
      <c r="O433"/>
    </row>
    <row r="434" spans="1:15" ht="14.75" customHeight="1">
      <c r="A434" s="320" t="s">
        <v>901</v>
      </c>
      <c r="B434" t="str">
        <f>+_xlfn.XLOOKUP(Tabla6[[#This Row],[ID CLIENTE]],'RESUMEN CLIENTES'!D:D,'RESUMEN CLIENTES'!A:A)</f>
        <v>Álvaro Sebastián García Riesco</v>
      </c>
      <c r="C434" t="str">
        <f>+_xlfn.XLOOKUP(Tabla6[[#This Row],[ID CLIENTE]],'RESUMEN CLIENTES'!D:D,'RESUMEN CLIENTES'!C:C)</f>
        <v>Chile</v>
      </c>
      <c r="D434" s="44" t="str">
        <f>+_xlfn.XLOOKUP(Tabla6[[#This Row],[ID CLIENTE]],'RESUMEN CLIENTES'!D:D,'RESUMEN CLIENTES'!M:M)</f>
        <v>OK</v>
      </c>
      <c r="E434" s="72">
        <f>+_xlfn.XLOOKUP(Tabla6[[#This Row],[NOMBRE]],'RESUMEN CLIENTES'!A:A,'RESUMEN CLIENTES'!X:X)</f>
        <v>-0.33333333333333331</v>
      </c>
      <c r="F434" s="72">
        <f>+_xlfn.XLOOKUP(Tabla6[[#This Row],[ID CLIENTE]],'RESUMEN CLIENTES'!D:D,'RESUMEN CLIENTES'!W:W)</f>
        <v>0</v>
      </c>
      <c r="G434" s="17">
        <v>45924</v>
      </c>
      <c r="H434" s="44" t="s">
        <v>81</v>
      </c>
      <c r="I434" s="2">
        <v>10000</v>
      </c>
      <c r="J434" s="20" t="s">
        <v>1016</v>
      </c>
      <c r="K434" t="s">
        <v>1017</v>
      </c>
      <c r="L434" s="44" t="str" cm="1">
        <f t="array" ref="L434">+_xlfn.IFS(COUNTIF(INGRESOS!E:E,Tabla6[[#This Row],[ID FACTURA]])=1,"PAGADA",Tabla6[[#This Row],[ID FACTURA]]&lt;&gt;0,"EMITIDA",Tabla6[[#This Row],[ID FACTURA]]=0,"POR EMITIR")</f>
        <v>PAGADA</v>
      </c>
      <c r="M434" s="55">
        <f>+IF(Tabla6[[#This Row],[ESTADO FACTURA]]="PAGADA",Tabla6[[#This Row],[FECHA]]-_xlfn.XLOOKUP(Tabla6[[#This Row],[N° FACTURA]],INGRESOS!F:F,INGRESOS!A:A),"-")</f>
        <v>-1</v>
      </c>
      <c r="N434" s="2"/>
      <c r="O434"/>
    </row>
    <row r="435" spans="1:15" ht="14.75" customHeight="1">
      <c r="A435" s="320" t="s">
        <v>261</v>
      </c>
      <c r="B435" t="str">
        <f>+_xlfn.XLOOKUP(Tabla6[[#This Row],[ID CLIENTE]],'RESUMEN CLIENTES'!D:D,'RESUMEN CLIENTES'!A:A)</f>
        <v>Maryori Elizabeth Ramos Tapia</v>
      </c>
      <c r="C435" t="str">
        <f>+_xlfn.XLOOKUP(Tabla6[[#This Row],[ID CLIENTE]],'RESUMEN CLIENTES'!D:D,'RESUMEN CLIENTES'!C:C)</f>
        <v>Perú</v>
      </c>
      <c r="D435" s="44" t="str">
        <f>+_xlfn.XLOOKUP(Tabla6[[#This Row],[ID CLIENTE]],'RESUMEN CLIENTES'!D:D,'RESUMEN CLIENTES'!M:M)</f>
        <v>OK</v>
      </c>
      <c r="E435" s="72">
        <f>+_xlfn.XLOOKUP(Tabla6[[#This Row],[NOMBRE]],'RESUMEN CLIENTES'!A:A,'RESUMEN CLIENTES'!X:X)</f>
        <v>-0.88425925925952875</v>
      </c>
      <c r="F435" s="72">
        <f>+_xlfn.XLOOKUP(Tabla6[[#This Row],[ID CLIENTE]],'RESUMEN CLIENTES'!D:D,'RESUMEN CLIENTES'!W:W)</f>
        <v>1</v>
      </c>
      <c r="G435" s="17">
        <v>45924.041666666664</v>
      </c>
      <c r="H435" s="44" t="s">
        <v>81</v>
      </c>
      <c r="I435" s="2">
        <v>1000</v>
      </c>
      <c r="J435" s="20" t="s">
        <v>1018</v>
      </c>
      <c r="K435" t="s">
        <v>1019</v>
      </c>
      <c r="L435" s="44" t="str" cm="1">
        <f t="array" ref="L435">+_xlfn.IFS(COUNTIF(INGRESOS!E:E,Tabla6[[#This Row],[ID FACTURA]])=1,"PAGADA",Tabla6[[#This Row],[ID FACTURA]]&lt;&gt;0,"EMITIDA",Tabla6[[#This Row],[ID FACTURA]]=0,"POR EMITIR")</f>
        <v>PAGADA</v>
      </c>
      <c r="M435" s="55">
        <f>+IF(Tabla6[[#This Row],[ESTADO FACTURA]]="PAGADA",Tabla6[[#This Row],[FECHA]]-_xlfn.XLOOKUP(Tabla6[[#This Row],[N° FACTURA]],INGRESOS!F:F,INGRESOS!A:A),"-")</f>
        <v>4.1666666664241347E-2</v>
      </c>
      <c r="N435" s="2"/>
      <c r="O435"/>
    </row>
    <row r="436" spans="1:15" ht="14.75" customHeight="1">
      <c r="A436" s="320" t="s">
        <v>162</v>
      </c>
      <c r="B436" t="str">
        <f>+_xlfn.XLOOKUP(Tabla6[[#This Row],[ID CLIENTE]],'RESUMEN CLIENTES'!D:D,'RESUMEN CLIENTES'!A:A)</f>
        <v>Bastian Sofjer Peralta</v>
      </c>
      <c r="C436" t="str">
        <f>+_xlfn.XLOOKUP(Tabla6[[#This Row],[ID CLIENTE]],'RESUMEN CLIENTES'!D:D,'RESUMEN CLIENTES'!C:C)</f>
        <v>Chile</v>
      </c>
      <c r="D436" s="44" t="str">
        <f>+_xlfn.XLOOKUP(Tabla6[[#This Row],[ID CLIENTE]],'RESUMEN CLIENTES'!D:D,'RESUMEN CLIENTES'!M:M)</f>
        <v>OK</v>
      </c>
      <c r="E436" s="72">
        <f>+_xlfn.XLOOKUP(Tabla6[[#This Row],[NOMBRE]],'RESUMEN CLIENTES'!A:A,'RESUMEN CLIENTES'!X:X)</f>
        <v>4.125</v>
      </c>
      <c r="F436" s="72">
        <f>+_xlfn.XLOOKUP(Tabla6[[#This Row],[ID CLIENTE]],'RESUMEN CLIENTES'!D:D,'RESUMEN CLIENTES'!W:W)</f>
        <v>1</v>
      </c>
      <c r="G436" s="17">
        <v>45925</v>
      </c>
      <c r="H436" s="44" t="s">
        <v>81</v>
      </c>
      <c r="I436" s="2">
        <v>900</v>
      </c>
      <c r="J436" s="20" t="s">
        <v>1020</v>
      </c>
      <c r="K436" t="s">
        <v>1021</v>
      </c>
      <c r="L436" s="44" t="str" cm="1">
        <f t="array" ref="L436">+_xlfn.IFS(COUNTIF(INGRESOS!E:E,Tabla6[[#This Row],[ID FACTURA]])=1,"PAGADA",Tabla6[[#This Row],[ID FACTURA]]&lt;&gt;0,"EMITIDA",Tabla6[[#This Row],[ID FACTURA]]=0,"POR EMITIR")</f>
        <v>PAGADA</v>
      </c>
      <c r="M436" s="55">
        <f>+IF(Tabla6[[#This Row],[ESTADO FACTURA]]="PAGADA",Tabla6[[#This Row],[FECHA]]-_xlfn.XLOOKUP(Tabla6[[#This Row],[N° FACTURA]],INGRESOS!F:F,INGRESOS!A:A),"-")</f>
        <v>3</v>
      </c>
      <c r="N436" s="2"/>
      <c r="O436"/>
    </row>
    <row r="437" spans="1:15" ht="14.75" customHeight="1">
      <c r="A437" s="320" t="s">
        <v>322</v>
      </c>
      <c r="B437" t="str">
        <f>+_xlfn.XLOOKUP(Tabla6[[#This Row],[ID CLIENTE]],'RESUMEN CLIENTES'!D:D,'RESUMEN CLIENTES'!A:A)</f>
        <v>Mauricio Ignacio Alcayaga Romo</v>
      </c>
      <c r="C437" t="str">
        <f>+_xlfn.XLOOKUP(Tabla6[[#This Row],[ID CLIENTE]],'RESUMEN CLIENTES'!D:D,'RESUMEN CLIENTES'!C:C)</f>
        <v>Chile</v>
      </c>
      <c r="D437" s="44" t="str">
        <f>+_xlfn.XLOOKUP(Tabla6[[#This Row],[ID CLIENTE]],'RESUMEN CLIENTES'!D:D,'RESUMEN CLIENTES'!M:M)</f>
        <v>OK</v>
      </c>
      <c r="E437" s="72">
        <f>+_xlfn.XLOOKUP(Tabla6[[#This Row],[NOMBRE]],'RESUMEN CLIENTES'!A:A,'RESUMEN CLIENTES'!X:X)</f>
        <v>-0.3</v>
      </c>
      <c r="F437" s="72">
        <f>+_xlfn.XLOOKUP(Tabla6[[#This Row],[ID CLIENTE]],'RESUMEN CLIENTES'!D:D,'RESUMEN CLIENTES'!W:W)</f>
        <v>0</v>
      </c>
      <c r="G437" s="17">
        <v>45925</v>
      </c>
      <c r="H437" s="44" t="s">
        <v>81</v>
      </c>
      <c r="I437" s="2">
        <v>1000</v>
      </c>
      <c r="J437" s="20" t="s">
        <v>1022</v>
      </c>
      <c r="K437" t="s">
        <v>1023</v>
      </c>
      <c r="L437" s="44" t="str" cm="1">
        <f t="array" ref="L437">+_xlfn.IFS(COUNTIF(INGRESOS!E:E,Tabla6[[#This Row],[ID FACTURA]])=1,"PAGADA",Tabla6[[#This Row],[ID FACTURA]]&lt;&gt;0,"EMITIDA",Tabla6[[#This Row],[ID FACTURA]]=0,"POR EMITIR")</f>
        <v>PAGADA</v>
      </c>
      <c r="M437" s="55">
        <f>+IF(Tabla6[[#This Row],[ESTADO FACTURA]]="PAGADA",Tabla6[[#This Row],[FECHA]]-_xlfn.XLOOKUP(Tabla6[[#This Row],[N° FACTURA]],INGRESOS!F:F,INGRESOS!A:A),"-")</f>
        <v>0</v>
      </c>
      <c r="N437" s="2"/>
      <c r="O437"/>
    </row>
    <row r="438" spans="1:15" ht="14.75" customHeight="1">
      <c r="A438" s="320" t="s">
        <v>716</v>
      </c>
      <c r="B438" t="str">
        <f>+_xlfn.XLOOKUP(Tabla6[[#This Row],[ID CLIENTE]],'RESUMEN CLIENTES'!D:D,'RESUMEN CLIENTES'!A:A)</f>
        <v>Sofia Martínez Restrepo</v>
      </c>
      <c r="C438" t="str">
        <f>+_xlfn.XLOOKUP(Tabla6[[#This Row],[ID CLIENTE]],'RESUMEN CLIENTES'!D:D,'RESUMEN CLIENTES'!C:C)</f>
        <v>Colombia</v>
      </c>
      <c r="D438" s="44" t="str">
        <f>+_xlfn.XLOOKUP(Tabla6[[#This Row],[ID CLIENTE]],'RESUMEN CLIENTES'!D:D,'RESUMEN CLIENTES'!M:M)</f>
        <v>OK</v>
      </c>
      <c r="E438" s="72">
        <f>+_xlfn.XLOOKUP(Tabla6[[#This Row],[NOMBRE]],'RESUMEN CLIENTES'!A:A,'RESUMEN CLIENTES'!X:X)</f>
        <v>-0.33333333333333331</v>
      </c>
      <c r="F438" s="72">
        <f>+_xlfn.XLOOKUP(Tabla6[[#This Row],[ID CLIENTE]],'RESUMEN CLIENTES'!D:D,'RESUMEN CLIENTES'!W:W)</f>
        <v>1</v>
      </c>
      <c r="G438" s="17">
        <v>45925</v>
      </c>
      <c r="H438" s="44" t="s">
        <v>81</v>
      </c>
      <c r="I438" s="2">
        <v>750</v>
      </c>
      <c r="J438" s="20" t="s">
        <v>1024</v>
      </c>
      <c r="K438" t="s">
        <v>1025</v>
      </c>
      <c r="L438" s="44" t="str" cm="1">
        <f t="array" ref="L438">+_xlfn.IFS(COUNTIF(INGRESOS!E:E,Tabla6[[#This Row],[ID FACTURA]])=1,"PAGADA",Tabla6[[#This Row],[ID FACTURA]]&lt;&gt;0,"EMITIDA",Tabla6[[#This Row],[ID FACTURA]]=0,"POR EMITIR")</f>
        <v>PAGADA</v>
      </c>
      <c r="M438" s="55">
        <f>+IF(Tabla6[[#This Row],[ESTADO FACTURA]]="PAGADA",Tabla6[[#This Row],[FECHA]]-_xlfn.XLOOKUP(Tabla6[[#This Row],[N° FACTURA]],INGRESOS!F:F,INGRESOS!A:A),"-")</f>
        <v>-1</v>
      </c>
      <c r="N438" s="2"/>
      <c r="O438"/>
    </row>
    <row r="439" spans="1:15" ht="14.75" customHeight="1">
      <c r="A439" s="320" t="s">
        <v>333</v>
      </c>
      <c r="B439" t="str">
        <f>+_xlfn.XLOOKUP(Tabla6[[#This Row],[ID CLIENTE]],'RESUMEN CLIENTES'!D:D,'RESUMEN CLIENTES'!A:A)</f>
        <v>Jorge Augusto Cámbara Vargas</v>
      </c>
      <c r="C439" t="str">
        <f>+_xlfn.XLOOKUP(Tabla6[[#This Row],[ID CLIENTE]],'RESUMEN CLIENTES'!D:D,'RESUMEN CLIENTES'!C:C)</f>
        <v>Guatemala</v>
      </c>
      <c r="D439" s="44" t="str">
        <f>+_xlfn.XLOOKUP(Tabla6[[#This Row],[ID CLIENTE]],'RESUMEN CLIENTES'!D:D,'RESUMEN CLIENTES'!M:M)</f>
        <v>OK</v>
      </c>
      <c r="E439" s="72">
        <f>+_xlfn.XLOOKUP(Tabla6[[#This Row],[NOMBRE]],'RESUMEN CLIENTES'!A:A,'RESUMEN CLIENTES'!X:X)</f>
        <v>0.1157407407331953</v>
      </c>
      <c r="F439" s="72">
        <f>+_xlfn.XLOOKUP(Tabla6[[#This Row],[ID CLIENTE]],'RESUMEN CLIENTES'!D:D,'RESUMEN CLIENTES'!W:W)</f>
        <v>1</v>
      </c>
      <c r="G439" s="17">
        <v>45925.041666666599</v>
      </c>
      <c r="H439" s="44" t="s">
        <v>81</v>
      </c>
      <c r="I439" s="2">
        <v>1000</v>
      </c>
      <c r="J439" s="20" t="s">
        <v>1026</v>
      </c>
      <c r="K439" t="s">
        <v>1027</v>
      </c>
      <c r="L439" s="44" t="str" cm="1">
        <f t="array" ref="L439">+_xlfn.IFS(COUNTIF(INGRESOS!E:E,Tabla6[[#This Row],[ID FACTURA]])=1,"PAGADA",Tabla6[[#This Row],[ID FACTURA]]&lt;&gt;0,"EMITIDA",Tabla6[[#This Row],[ID FACTURA]]=0,"POR EMITIR")</f>
        <v>PAGADA</v>
      </c>
      <c r="M439" s="55">
        <f>+IF(Tabla6[[#This Row],[ESTADO FACTURA]]="PAGADA",Tabla6[[#This Row],[FECHA]]-_xlfn.XLOOKUP(Tabla6[[#This Row],[N° FACTURA]],INGRESOS!F:F,INGRESOS!A:A),"-")</f>
        <v>4.1666666598757729E-2</v>
      </c>
      <c r="N439" s="2"/>
      <c r="O439"/>
    </row>
    <row r="440" spans="1:15" ht="14.75" customHeight="1">
      <c r="A440" s="320" t="s">
        <v>706</v>
      </c>
      <c r="B440" t="str">
        <f>+_xlfn.XLOOKUP(Tabla6[[#This Row],[ID CLIENTE]],'RESUMEN CLIENTES'!D:D,'RESUMEN CLIENTES'!A:A)</f>
        <v>Virna Nathaly Montenegro Samaniego</v>
      </c>
      <c r="C440" t="str">
        <f>+_xlfn.XLOOKUP(Tabla6[[#This Row],[ID CLIENTE]],'RESUMEN CLIENTES'!D:D,'RESUMEN CLIENTES'!C:C)</f>
        <v>Ecuador</v>
      </c>
      <c r="D440" s="44" t="str">
        <f>+_xlfn.XLOOKUP(Tabla6[[#This Row],[ID CLIENTE]],'RESUMEN CLIENTES'!D:D,'RESUMEN CLIENTES'!M:M)</f>
        <v>OK</v>
      </c>
      <c r="E440" s="72">
        <f>+_xlfn.XLOOKUP(Tabla6[[#This Row],[NOMBRE]],'RESUMEN CLIENTES'!A:A,'RESUMEN CLIENTES'!X:X)</f>
        <v>7.375</v>
      </c>
      <c r="F440" s="72">
        <f>+_xlfn.XLOOKUP(Tabla6[[#This Row],[ID CLIENTE]],'RESUMEN CLIENTES'!D:D,'RESUMEN CLIENTES'!W:W)</f>
        <v>0</v>
      </c>
      <c r="G440" s="17">
        <v>45926</v>
      </c>
      <c r="H440" s="44" t="s">
        <v>81</v>
      </c>
      <c r="I440" s="2">
        <v>1540</v>
      </c>
      <c r="J440" s="20" t="s">
        <v>1028</v>
      </c>
      <c r="K440" t="s">
        <v>1029</v>
      </c>
      <c r="L440" s="44" t="str" cm="1">
        <f t="array" ref="L440">+_xlfn.IFS(COUNTIF(INGRESOS!E:E,Tabla6[[#This Row],[ID FACTURA]])=1,"PAGADA",Tabla6[[#This Row],[ID FACTURA]]&lt;&gt;0,"EMITIDA",Tabla6[[#This Row],[ID FACTURA]]=0,"POR EMITIR")</f>
        <v>PAGADA</v>
      </c>
      <c r="M440" s="55">
        <f>+IF(Tabla6[[#This Row],[ESTADO FACTURA]]="PAGADA",Tabla6[[#This Row],[FECHA]]-_xlfn.XLOOKUP(Tabla6[[#This Row],[N° FACTURA]],INGRESOS!F:F,INGRESOS!A:A),"-")</f>
        <v>0</v>
      </c>
      <c r="N440" s="2"/>
      <c r="O440" t="s">
        <v>1030</v>
      </c>
    </row>
    <row r="441" spans="1:15" ht="14.75" customHeight="1">
      <c r="A441" s="320" t="s">
        <v>87</v>
      </c>
      <c r="B441" t="str">
        <f>+_xlfn.XLOOKUP(Tabla6[[#This Row],[ID CLIENTE]],'RESUMEN CLIENTES'!D:D,'RESUMEN CLIENTES'!A:A)</f>
        <v>Jose Marcelo Marroquín Guzmán</v>
      </c>
      <c r="C441" t="str">
        <f>+_xlfn.XLOOKUP(Tabla6[[#This Row],[ID CLIENTE]],'RESUMEN CLIENTES'!D:D,'RESUMEN CLIENTES'!C:C)</f>
        <v>El Salvador</v>
      </c>
      <c r="D441" s="44" t="str">
        <f>+_xlfn.XLOOKUP(Tabla6[[#This Row],[ID CLIENTE]],'RESUMEN CLIENTES'!D:D,'RESUMEN CLIENTES'!M:M)</f>
        <v>OK</v>
      </c>
      <c r="E441" s="72">
        <f>+_xlfn.XLOOKUP(Tabla6[[#This Row],[NOMBRE]],'RESUMEN CLIENTES'!A:A,'RESUMEN CLIENTES'!X:X)</f>
        <v>-1.5833333333333333</v>
      </c>
      <c r="F441" s="72">
        <f>+_xlfn.XLOOKUP(Tabla6[[#This Row],[ID CLIENTE]],'RESUMEN CLIENTES'!D:D,'RESUMEN CLIENTES'!W:W)</f>
        <v>1</v>
      </c>
      <c r="G441" s="17">
        <v>45927</v>
      </c>
      <c r="H441" s="44" t="s">
        <v>81</v>
      </c>
      <c r="I441" s="2">
        <v>513</v>
      </c>
      <c r="J441" s="20" t="s">
        <v>1031</v>
      </c>
      <c r="K441" t="s">
        <v>1032</v>
      </c>
      <c r="L441" s="44" t="str" cm="1">
        <f t="array" ref="L441">+_xlfn.IFS(COUNTIF(INGRESOS!E:E,Tabla6[[#This Row],[ID FACTURA]])=1,"PAGADA",Tabla6[[#This Row],[ID FACTURA]]&lt;&gt;0,"EMITIDA",Tabla6[[#This Row],[ID FACTURA]]=0,"POR EMITIR")</f>
        <v>PAGADA</v>
      </c>
      <c r="M441" s="55">
        <f>+IF(Tabla6[[#This Row],[ESTADO FACTURA]]="PAGADA",Tabla6[[#This Row],[FECHA]]-_xlfn.XLOOKUP(Tabla6[[#This Row],[N° FACTURA]],INGRESOS!F:F,INGRESOS!A:A),"-")</f>
        <v>-1</v>
      </c>
      <c r="N441" s="2"/>
      <c r="O441" t="s">
        <v>359</v>
      </c>
    </row>
    <row r="442" spans="1:15" ht="14.75" customHeight="1">
      <c r="A442" s="320" t="s">
        <v>711</v>
      </c>
      <c r="B442" t="str">
        <f>+_xlfn.XLOOKUP(Tabla6[[#This Row],[ID CLIENTE]],'RESUMEN CLIENTES'!D:D,'RESUMEN CLIENTES'!A:A)</f>
        <v>Julian David Gutierrez Rodriguez</v>
      </c>
      <c r="C442" t="str">
        <f>+_xlfn.XLOOKUP(Tabla6[[#This Row],[ID CLIENTE]],'RESUMEN CLIENTES'!D:D,'RESUMEN CLIENTES'!C:C)</f>
        <v>Colombia</v>
      </c>
      <c r="D442" s="44" t="str">
        <f>+_xlfn.XLOOKUP(Tabla6[[#This Row],[ID CLIENTE]],'RESUMEN CLIENTES'!D:D,'RESUMEN CLIENTES'!M:M)</f>
        <v>OK</v>
      </c>
      <c r="E442" s="72">
        <f>+_xlfn.XLOOKUP(Tabla6[[#This Row],[NOMBRE]],'RESUMEN CLIENTES'!A:A,'RESUMEN CLIENTES'!X:X)</f>
        <v>0.7142857142857143</v>
      </c>
      <c r="F442" s="72">
        <f>+_xlfn.XLOOKUP(Tabla6[[#This Row],[ID CLIENTE]],'RESUMEN CLIENTES'!D:D,'RESUMEN CLIENTES'!W:W)</f>
        <v>1</v>
      </c>
      <c r="G442" s="17">
        <v>45927</v>
      </c>
      <c r="H442" s="44" t="s">
        <v>81</v>
      </c>
      <c r="I442" s="2">
        <v>500</v>
      </c>
      <c r="J442" s="20" t="s">
        <v>1033</v>
      </c>
      <c r="K442" t="s">
        <v>1034</v>
      </c>
      <c r="L442" s="44" t="str" cm="1">
        <f t="array" ref="L442">+_xlfn.IFS(COUNTIF(INGRESOS!E:E,Tabla6[[#This Row],[ID FACTURA]])=1,"PAGADA",Tabla6[[#This Row],[ID FACTURA]]&lt;&gt;0,"EMITIDA",Tabla6[[#This Row],[ID FACTURA]]=0,"POR EMITIR")</f>
        <v>PAGADA</v>
      </c>
      <c r="M442" s="55">
        <f>+IF(Tabla6[[#This Row],[ESTADO FACTURA]]="PAGADA",Tabla6[[#This Row],[FECHA]]-_xlfn.XLOOKUP(Tabla6[[#This Row],[N° FACTURA]],INGRESOS!F:F,INGRESOS!A:A),"-")</f>
        <v>3</v>
      </c>
      <c r="N442" s="2"/>
      <c r="O442"/>
    </row>
    <row r="443" spans="1:15" ht="14.75" customHeight="1">
      <c r="A443" s="320" t="s">
        <v>372</v>
      </c>
      <c r="B443" t="str">
        <f>+_xlfn.XLOOKUP(Tabla6[[#This Row],[ID CLIENTE]],'RESUMEN CLIENTES'!D:D,'RESUMEN CLIENTES'!A:A)</f>
        <v>Julio Nelson Adaros Moraga</v>
      </c>
      <c r="C443" t="str">
        <f>+_xlfn.XLOOKUP(Tabla6[[#This Row],[ID CLIENTE]],'RESUMEN CLIENTES'!D:D,'RESUMEN CLIENTES'!C:C)</f>
        <v>Chile</v>
      </c>
      <c r="D443" s="44" t="str">
        <f>+_xlfn.XLOOKUP(Tabla6[[#This Row],[ID CLIENTE]],'RESUMEN CLIENTES'!D:D,'RESUMEN CLIENTES'!M:M)</f>
        <v>OK</v>
      </c>
      <c r="E443" s="72">
        <f>+_xlfn.XLOOKUP(Tabla6[[#This Row],[NOMBRE]],'RESUMEN CLIENTES'!A:A,'RESUMEN CLIENTES'!X:X)</f>
        <v>1</v>
      </c>
      <c r="F443" s="72">
        <f>+_xlfn.XLOOKUP(Tabla6[[#This Row],[ID CLIENTE]],'RESUMEN CLIENTES'!D:D,'RESUMEN CLIENTES'!W:W)</f>
        <v>1</v>
      </c>
      <c r="G443" s="17">
        <v>45927</v>
      </c>
      <c r="H443" s="44" t="s">
        <v>81</v>
      </c>
      <c r="I443" s="2">
        <v>1000</v>
      </c>
      <c r="J443" s="20" t="s">
        <v>1035</v>
      </c>
      <c r="K443" t="s">
        <v>1036</v>
      </c>
      <c r="L443" s="44" t="str" cm="1">
        <f t="array" ref="L443">+_xlfn.IFS(COUNTIF(INGRESOS!E:E,Tabla6[[#This Row],[ID FACTURA]])=1,"PAGADA",Tabla6[[#This Row],[ID FACTURA]]&lt;&gt;0,"EMITIDA",Tabla6[[#This Row],[ID FACTURA]]=0,"POR EMITIR")</f>
        <v>PAGADA</v>
      </c>
      <c r="M443" s="55">
        <f>+IF(Tabla6[[#This Row],[ESTADO FACTURA]]="PAGADA",Tabla6[[#This Row],[FECHA]]-_xlfn.XLOOKUP(Tabla6[[#This Row],[N° FACTURA]],INGRESOS!F:F,INGRESOS!A:A),"-")</f>
        <v>0</v>
      </c>
      <c r="N443" s="2"/>
      <c r="O443"/>
    </row>
    <row r="444" spans="1:15" ht="14.75" customHeight="1">
      <c r="A444" s="320" t="s">
        <v>901</v>
      </c>
      <c r="B444" t="str">
        <f>+_xlfn.XLOOKUP(Tabla6[[#This Row],[ID CLIENTE]],'RESUMEN CLIENTES'!D:D,'RESUMEN CLIENTES'!A:A)</f>
        <v>Álvaro Sebastián García Riesco</v>
      </c>
      <c r="C444" t="str">
        <f>+_xlfn.XLOOKUP(Tabla6[[#This Row],[ID CLIENTE]],'RESUMEN CLIENTES'!D:D,'RESUMEN CLIENTES'!C:C)</f>
        <v>Chile</v>
      </c>
      <c r="D444" s="44" t="str">
        <f>+_xlfn.XLOOKUP(Tabla6[[#This Row],[ID CLIENTE]],'RESUMEN CLIENTES'!D:D,'RESUMEN CLIENTES'!M:M)</f>
        <v>OK</v>
      </c>
      <c r="E444" s="72">
        <f>+_xlfn.XLOOKUP(Tabla6[[#This Row],[NOMBRE]],'RESUMEN CLIENTES'!A:A,'RESUMEN CLIENTES'!X:X)</f>
        <v>-0.33333333333333331</v>
      </c>
      <c r="F444" s="72">
        <f>+_xlfn.XLOOKUP(Tabla6[[#This Row],[ID CLIENTE]],'RESUMEN CLIENTES'!D:D,'RESUMEN CLIENTES'!W:W)</f>
        <v>0</v>
      </c>
      <c r="G444" s="17">
        <v>45929</v>
      </c>
      <c r="H444" s="44" t="s">
        <v>81</v>
      </c>
      <c r="I444" s="2">
        <v>3200</v>
      </c>
      <c r="J444" s="20" t="s">
        <v>1037</v>
      </c>
      <c r="K444" t="s">
        <v>1038</v>
      </c>
      <c r="L444" s="44" t="str" cm="1">
        <f t="array" ref="L444">+_xlfn.IFS(COUNTIF(INGRESOS!E:E,Tabla6[[#This Row],[ID FACTURA]])=1,"PAGADA",Tabla6[[#This Row],[ID FACTURA]]&lt;&gt;0,"EMITIDA",Tabla6[[#This Row],[ID FACTURA]]=0,"POR EMITIR")</f>
        <v>PAGADA</v>
      </c>
      <c r="M444" s="55">
        <f>+IF(Tabla6[[#This Row],[ESTADO FACTURA]]="PAGADA",Tabla6[[#This Row],[FECHA]]-_xlfn.XLOOKUP(Tabla6[[#This Row],[N° FACTURA]],INGRESOS!F:F,INGRESOS!A:A),"-")</f>
        <v>0</v>
      </c>
      <c r="N444" s="2"/>
      <c r="O444" s="8"/>
    </row>
    <row r="445" spans="1:15" ht="14.75" customHeight="1">
      <c r="A445" s="320" t="s">
        <v>952</v>
      </c>
      <c r="B445" t="str">
        <f>+_xlfn.XLOOKUP(Tabla6[[#This Row],[ID CLIENTE]],'RESUMEN CLIENTES'!D:D,'RESUMEN CLIENTES'!A:A)</f>
        <v>Fernando José Fuentes Bárcenas</v>
      </c>
      <c r="C445" t="str">
        <f>+_xlfn.XLOOKUP(Tabla6[[#This Row],[ID CLIENTE]],'RESUMEN CLIENTES'!D:D,'RESUMEN CLIENTES'!C:C)</f>
        <v>El Salvador</v>
      </c>
      <c r="D445" s="44" t="str">
        <f>+_xlfn.XLOOKUP(Tabla6[[#This Row],[ID CLIENTE]],'RESUMEN CLIENTES'!D:D,'RESUMEN CLIENTES'!M:M)</f>
        <v>ELIMINADO</v>
      </c>
      <c r="E445" s="72">
        <f>+_xlfn.XLOOKUP(Tabla6[[#This Row],[NOMBRE]],'RESUMEN CLIENTES'!A:A,'RESUMEN CLIENTES'!X:X)</f>
        <v>0.4</v>
      </c>
      <c r="F445" s="72">
        <f>+_xlfn.XLOOKUP(Tabla6[[#This Row],[ID CLIENTE]],'RESUMEN CLIENTES'!D:D,'RESUMEN CLIENTES'!W:W)</f>
        <v>1</v>
      </c>
      <c r="G445" s="17">
        <v>45929</v>
      </c>
      <c r="H445" s="44" t="s">
        <v>81</v>
      </c>
      <c r="I445" s="2">
        <v>2750</v>
      </c>
      <c r="J445" s="20" t="s">
        <v>1039</v>
      </c>
      <c r="K445" t="s">
        <v>1040</v>
      </c>
      <c r="L445" s="44" t="str" cm="1">
        <f t="array" ref="L445">+_xlfn.IFS(COUNTIF(INGRESOS!E:E,Tabla6[[#This Row],[ID FACTURA]])=1,"PAGADA",Tabla6[[#This Row],[ID FACTURA]]&lt;&gt;0,"EMITIDA",Tabla6[[#This Row],[ID FACTURA]]=0,"POR EMITIR")</f>
        <v>PAGADA</v>
      </c>
      <c r="M445" s="55">
        <f>+IF(Tabla6[[#This Row],[ESTADO FACTURA]]="PAGADA",Tabla6[[#This Row],[FECHA]]-_xlfn.XLOOKUP(Tabla6[[#This Row],[N° FACTURA]],INGRESOS!F:F,INGRESOS!A:A),"-")</f>
        <v>0</v>
      </c>
      <c r="N445" s="2"/>
      <c r="O445"/>
    </row>
    <row r="446" spans="1:15" ht="13.75" customHeight="1">
      <c r="A446" s="320" t="s">
        <v>541</v>
      </c>
      <c r="B446" t="str">
        <f>+_xlfn.XLOOKUP(Tabla6[[#This Row],[ID CLIENTE]],'RESUMEN CLIENTES'!D:D,'RESUMEN CLIENTES'!A:A)</f>
        <v>Alejandra Goretti Figueroa Romo</v>
      </c>
      <c r="C446" t="str">
        <f>+_xlfn.XLOOKUP(Tabla6[[#This Row],[ID CLIENTE]],'RESUMEN CLIENTES'!D:D,'RESUMEN CLIENTES'!C:C)</f>
        <v>México</v>
      </c>
      <c r="D446" s="44" t="str">
        <f>+_xlfn.XLOOKUP(Tabla6[[#This Row],[ID CLIENTE]],'RESUMEN CLIENTES'!D:D,'RESUMEN CLIENTES'!M:M)</f>
        <v>OK</v>
      </c>
      <c r="E446" s="72">
        <f>+_xlfn.XLOOKUP(Tabla6[[#This Row],[NOMBRE]],'RESUMEN CLIENTES'!A:A,'RESUMEN CLIENTES'!X:X)</f>
        <v>0.75</v>
      </c>
      <c r="F446" s="72">
        <f>+_xlfn.XLOOKUP(Tabla6[[#This Row],[ID CLIENTE]],'RESUMEN CLIENTES'!D:D,'RESUMEN CLIENTES'!W:W)</f>
        <v>0</v>
      </c>
      <c r="G446" s="17">
        <v>45930</v>
      </c>
      <c r="H446" s="44" t="s">
        <v>81</v>
      </c>
      <c r="I446" s="2">
        <v>1000</v>
      </c>
      <c r="J446" s="20" t="s">
        <v>1041</v>
      </c>
      <c r="K446" t="s">
        <v>1042</v>
      </c>
      <c r="L446" s="44" t="str" cm="1">
        <f t="array" ref="L446">+_xlfn.IFS(COUNTIF(INGRESOS!E:E,Tabla6[[#This Row],[ID FACTURA]])=1,"PAGADA",Tabla6[[#This Row],[ID FACTURA]]&lt;&gt;0,"EMITIDA",Tabla6[[#This Row],[ID FACTURA]]=0,"POR EMITIR")</f>
        <v>PAGADA</v>
      </c>
      <c r="M446" s="55">
        <f>+IF(Tabla6[[#This Row],[ESTADO FACTURA]]="PAGADA",Tabla6[[#This Row],[FECHA]]-_xlfn.XLOOKUP(Tabla6[[#This Row],[N° FACTURA]],INGRESOS!F:F,INGRESOS!A:A),"-")</f>
        <v>0</v>
      </c>
      <c r="N446" s="2"/>
      <c r="O446"/>
    </row>
    <row r="447" spans="1:15" ht="14.75" customHeight="1">
      <c r="A447" s="320" t="s">
        <v>84</v>
      </c>
      <c r="B447" t="str">
        <f>+_xlfn.XLOOKUP(Tabla6[[#This Row],[ID CLIENTE]],'RESUMEN CLIENTES'!D:D,'RESUMEN CLIENTES'!A:A)</f>
        <v>Andrea Corpeño López</v>
      </c>
      <c r="C447" t="str">
        <f>+_xlfn.XLOOKUP(Tabla6[[#This Row],[ID CLIENTE]],'RESUMEN CLIENTES'!D:D,'RESUMEN CLIENTES'!C:C)</f>
        <v>El Salvador</v>
      </c>
      <c r="D447" s="44" t="str">
        <f>+_xlfn.XLOOKUP(Tabla6[[#This Row],[ID CLIENTE]],'RESUMEN CLIENTES'!D:D,'RESUMEN CLIENTES'!M:M)</f>
        <v>OK</v>
      </c>
      <c r="E447" s="72">
        <f>+_xlfn.XLOOKUP(Tabla6[[#This Row],[NOMBRE]],'RESUMEN CLIENTES'!A:A,'RESUMEN CLIENTES'!X:X)</f>
        <v>-0.81818181818181823</v>
      </c>
      <c r="F447" s="72">
        <f>+_xlfn.XLOOKUP(Tabla6[[#This Row],[ID CLIENTE]],'RESUMEN CLIENTES'!D:D,'RESUMEN CLIENTES'!W:W)</f>
        <v>0</v>
      </c>
      <c r="G447" s="17">
        <v>45930</v>
      </c>
      <c r="H447" s="44" t="s">
        <v>81</v>
      </c>
      <c r="I447" s="2">
        <v>676</v>
      </c>
      <c r="J447" s="20" t="s">
        <v>1043</v>
      </c>
      <c r="K447" t="s">
        <v>1044</v>
      </c>
      <c r="L447" s="44" t="str" cm="1">
        <f t="array" ref="L447">+_xlfn.IFS(COUNTIF(INGRESOS!E:E,Tabla6[[#This Row],[ID FACTURA]])=1,"PAGADA",Tabla6[[#This Row],[ID FACTURA]]&lt;&gt;0,"EMITIDA",Tabla6[[#This Row],[ID FACTURA]]=0,"POR EMITIR")</f>
        <v>PAGADA</v>
      </c>
      <c r="M447" s="55">
        <f>+IF(Tabla6[[#This Row],[ESTADO FACTURA]]="PAGADA",Tabla6[[#This Row],[FECHA]]-_xlfn.XLOOKUP(Tabla6[[#This Row],[N° FACTURA]],INGRESOS!F:F,INGRESOS!A:A),"-")</f>
        <v>0</v>
      </c>
      <c r="N447" s="2"/>
      <c r="O447" t="s">
        <v>1045</v>
      </c>
    </row>
    <row r="448" spans="1:15" ht="14.75" customHeight="1">
      <c r="A448" s="320" t="s">
        <v>527</v>
      </c>
      <c r="B448" t="str">
        <f>+_xlfn.XLOOKUP(Tabla6[[#This Row],[ID CLIENTE]],'RESUMEN CLIENTES'!D:D,'RESUMEN CLIENTES'!A:A)</f>
        <v>Angie Pérez Cáceres</v>
      </c>
      <c r="C448" t="str">
        <f>+_xlfn.XLOOKUP(Tabla6[[#This Row],[ID CLIENTE]],'RESUMEN CLIENTES'!D:D,'RESUMEN CLIENTES'!C:C)</f>
        <v>Perú</v>
      </c>
      <c r="D448" s="44" t="str">
        <f>+_xlfn.XLOOKUP(Tabla6[[#This Row],[ID CLIENTE]],'RESUMEN CLIENTES'!D:D,'RESUMEN CLIENTES'!M:M)</f>
        <v>OK</v>
      </c>
      <c r="E448" s="72">
        <f>+_xlfn.XLOOKUP(Tabla6[[#This Row],[NOMBRE]],'RESUMEN CLIENTES'!A:A,'RESUMEN CLIENTES'!X:X)</f>
        <v>1.625</v>
      </c>
      <c r="F448" s="72">
        <f>+_xlfn.XLOOKUP(Tabla6[[#This Row],[ID CLIENTE]],'RESUMEN CLIENTES'!D:D,'RESUMEN CLIENTES'!W:W)</f>
        <v>0</v>
      </c>
      <c r="G448" s="17">
        <v>45930</v>
      </c>
      <c r="H448" s="44" t="s">
        <v>81</v>
      </c>
      <c r="I448" s="2">
        <v>1000</v>
      </c>
      <c r="J448" s="20" t="s">
        <v>1046</v>
      </c>
      <c r="K448" t="s">
        <v>1047</v>
      </c>
      <c r="L448" s="44" t="str" cm="1">
        <f t="array" ref="L448">+_xlfn.IFS(COUNTIF(INGRESOS!E:E,Tabla6[[#This Row],[ID FACTURA]])=1,"PAGADA",Tabla6[[#This Row],[ID FACTURA]]&lt;&gt;0,"EMITIDA",Tabla6[[#This Row],[ID FACTURA]]=0,"POR EMITIR")</f>
        <v>PAGADA</v>
      </c>
      <c r="M448" s="55">
        <f>+IF(Tabla6[[#This Row],[ESTADO FACTURA]]="PAGADA",Tabla6[[#This Row],[FECHA]]-_xlfn.XLOOKUP(Tabla6[[#This Row],[N° FACTURA]],INGRESOS!F:F,INGRESOS!A:A),"-")</f>
        <v>0</v>
      </c>
      <c r="N448" s="2"/>
      <c r="O448"/>
    </row>
    <row r="449" spans="1:15" ht="14.75" customHeight="1">
      <c r="A449" s="320" t="s">
        <v>226</v>
      </c>
      <c r="B449" t="str">
        <f>+_xlfn.XLOOKUP(Tabla6[[#This Row],[ID CLIENTE]],'RESUMEN CLIENTES'!D:D,'RESUMEN CLIENTES'!A:A)</f>
        <v>Carlos Josue Escobar Morán</v>
      </c>
      <c r="C449" t="str">
        <f>+_xlfn.XLOOKUP(Tabla6[[#This Row],[ID CLIENTE]],'RESUMEN CLIENTES'!D:D,'RESUMEN CLIENTES'!C:C)</f>
        <v>El Salvador</v>
      </c>
      <c r="D449" s="44" t="str">
        <f>+_xlfn.XLOOKUP(Tabla6[[#This Row],[ID CLIENTE]],'RESUMEN CLIENTES'!D:D,'RESUMEN CLIENTES'!M:M)</f>
        <v>OK</v>
      </c>
      <c r="E449" s="72">
        <f>+_xlfn.XLOOKUP(Tabla6[[#This Row],[NOMBRE]],'RESUMEN CLIENTES'!A:A,'RESUMEN CLIENTES'!X:X)</f>
        <v>0.8</v>
      </c>
      <c r="F449" s="72">
        <f>+_xlfn.XLOOKUP(Tabla6[[#This Row],[ID CLIENTE]],'RESUMEN CLIENTES'!D:D,'RESUMEN CLIENTES'!W:W)</f>
        <v>0</v>
      </c>
      <c r="G449" s="17">
        <v>45930</v>
      </c>
      <c r="H449" s="44" t="s">
        <v>81</v>
      </c>
      <c r="I449" s="2">
        <v>500</v>
      </c>
      <c r="J449" s="20" t="s">
        <v>1048</v>
      </c>
      <c r="K449" t="s">
        <v>1049</v>
      </c>
      <c r="L449" s="44" t="str" cm="1">
        <f t="array" ref="L449">+_xlfn.IFS(COUNTIF(INGRESOS!E:E,Tabla6[[#This Row],[ID FACTURA]])=1,"PAGADA",Tabla6[[#This Row],[ID FACTURA]]&lt;&gt;0,"EMITIDA",Tabla6[[#This Row],[ID FACTURA]]=0,"POR EMITIR")</f>
        <v>PAGADA</v>
      </c>
      <c r="M449" s="55">
        <f>+IF(Tabla6[[#This Row],[ESTADO FACTURA]]="PAGADA",Tabla6[[#This Row],[FECHA]]-_xlfn.XLOOKUP(Tabla6[[#This Row],[N° FACTURA]],INGRESOS!F:F,INGRESOS!A:A),"-")</f>
        <v>1</v>
      </c>
      <c r="N449" s="2"/>
      <c r="O449"/>
    </row>
    <row r="450" spans="1:15" ht="14.75" customHeight="1">
      <c r="A450" s="320" t="s">
        <v>479</v>
      </c>
      <c r="B450" t="str">
        <f>+_xlfn.XLOOKUP(Tabla6[[#This Row],[ID CLIENTE]],'RESUMEN CLIENTES'!D:D,'RESUMEN CLIENTES'!A:A)</f>
        <v>Carlos Mersaim Olivares Sandoval</v>
      </c>
      <c r="C450" t="str">
        <f>+_xlfn.XLOOKUP(Tabla6[[#This Row],[ID CLIENTE]],'RESUMEN CLIENTES'!D:D,'RESUMEN CLIENTES'!C:C)</f>
        <v>México</v>
      </c>
      <c r="D450" s="44" t="str">
        <f>+_xlfn.XLOOKUP(Tabla6[[#This Row],[ID CLIENTE]],'RESUMEN CLIENTES'!D:D,'RESUMEN CLIENTES'!M:M)</f>
        <v>OK</v>
      </c>
      <c r="E450" s="72">
        <f>+_xlfn.XLOOKUP(Tabla6[[#This Row],[NOMBRE]],'RESUMEN CLIENTES'!A:A,'RESUMEN CLIENTES'!X:X)</f>
        <v>1.4444444444444444</v>
      </c>
      <c r="F450" s="72">
        <f>+_xlfn.XLOOKUP(Tabla6[[#This Row],[ID CLIENTE]],'RESUMEN CLIENTES'!D:D,'RESUMEN CLIENTES'!W:W)</f>
        <v>0</v>
      </c>
      <c r="G450" s="17">
        <v>45930</v>
      </c>
      <c r="H450" s="44" t="s">
        <v>81</v>
      </c>
      <c r="I450" s="2">
        <v>1000</v>
      </c>
      <c r="J450" s="20" t="s">
        <v>1050</v>
      </c>
      <c r="K450" t="s">
        <v>1051</v>
      </c>
      <c r="L450" s="44" t="str" cm="1">
        <f t="array" ref="L450">+_xlfn.IFS(COUNTIF(INGRESOS!E:E,Tabla6[[#This Row],[ID FACTURA]])=1,"PAGADA",Tabla6[[#This Row],[ID FACTURA]]&lt;&gt;0,"EMITIDA",Tabla6[[#This Row],[ID FACTURA]]=0,"POR EMITIR")</f>
        <v>PAGADA</v>
      </c>
      <c r="M450" s="55">
        <f>+IF(Tabla6[[#This Row],[ESTADO FACTURA]]="PAGADA",Tabla6[[#This Row],[FECHA]]-_xlfn.XLOOKUP(Tabla6[[#This Row],[N° FACTURA]],INGRESOS!F:F,INGRESOS!A:A),"-")</f>
        <v>0</v>
      </c>
      <c r="N450" s="2"/>
      <c r="O450"/>
    </row>
    <row r="451" spans="1:15" ht="14.75" customHeight="1">
      <c r="A451" s="320" t="s">
        <v>115</v>
      </c>
      <c r="B451" t="str">
        <f>+_xlfn.XLOOKUP(Tabla6[[#This Row],[ID CLIENTE]],'RESUMEN CLIENTES'!D:D,'RESUMEN CLIENTES'!A:A)</f>
        <v>David Hernández Viveros</v>
      </c>
      <c r="C451" t="str">
        <f>+_xlfn.XLOOKUP(Tabla6[[#This Row],[ID CLIENTE]],'RESUMEN CLIENTES'!D:D,'RESUMEN CLIENTES'!C:C)</f>
        <v>México</v>
      </c>
      <c r="D451" s="44" t="str">
        <f>+_xlfn.XLOOKUP(Tabla6[[#This Row],[ID CLIENTE]],'RESUMEN CLIENTES'!D:D,'RESUMEN CLIENTES'!M:M)</f>
        <v>OK</v>
      </c>
      <c r="E451" s="72">
        <f>+_xlfn.XLOOKUP(Tabla6[[#This Row],[NOMBRE]],'RESUMEN CLIENTES'!A:A,'RESUMEN CLIENTES'!X:X)</f>
        <v>-0.5</v>
      </c>
      <c r="F451" s="72">
        <f>+_xlfn.XLOOKUP(Tabla6[[#This Row],[ID CLIENTE]],'RESUMEN CLIENTES'!D:D,'RESUMEN CLIENTES'!W:W)</f>
        <v>1</v>
      </c>
      <c r="G451" s="17">
        <v>45930</v>
      </c>
      <c r="H451" s="44" t="s">
        <v>81</v>
      </c>
      <c r="I451" s="2">
        <v>1300</v>
      </c>
      <c r="J451" s="20" t="s">
        <v>1052</v>
      </c>
      <c r="K451" t="s">
        <v>1053</v>
      </c>
      <c r="L451" s="44" t="str" cm="1">
        <f t="array" ref="L451">+_xlfn.IFS(COUNTIF(INGRESOS!E:E,Tabla6[[#This Row],[ID FACTURA]])=1,"PAGADA",Tabla6[[#This Row],[ID FACTURA]]&lt;&gt;0,"EMITIDA",Tabla6[[#This Row],[ID FACTURA]]=0,"POR EMITIR")</f>
        <v>PAGADA</v>
      </c>
      <c r="M451" s="55">
        <f>+IF(Tabla6[[#This Row],[ESTADO FACTURA]]="PAGADA",Tabla6[[#This Row],[FECHA]]-_xlfn.XLOOKUP(Tabla6[[#This Row],[N° FACTURA]],INGRESOS!F:F,INGRESOS!A:A),"-")</f>
        <v>1</v>
      </c>
      <c r="N451" s="2"/>
      <c r="O451"/>
    </row>
    <row r="452" spans="1:15" ht="14.75" customHeight="1">
      <c r="A452" s="320" t="s">
        <v>385</v>
      </c>
      <c r="B452" t="str">
        <f>+_xlfn.XLOOKUP(Tabla6[[#This Row],[ID CLIENTE]],'RESUMEN CLIENTES'!D:D,'RESUMEN CLIENTES'!A:A)</f>
        <v>Ellen Cristina Gerónimo Bonilla</v>
      </c>
      <c r="C452" t="str">
        <f>+_xlfn.XLOOKUP(Tabla6[[#This Row],[ID CLIENTE]],'RESUMEN CLIENTES'!D:D,'RESUMEN CLIENTES'!C:C)</f>
        <v>República Dominicana</v>
      </c>
      <c r="D452" s="44" t="str">
        <f>+_xlfn.XLOOKUP(Tabla6[[#This Row],[ID CLIENTE]],'RESUMEN CLIENTES'!D:D,'RESUMEN CLIENTES'!M:M)</f>
        <v>OK</v>
      </c>
      <c r="E452" s="72">
        <f>+_xlfn.XLOOKUP(Tabla6[[#This Row],[NOMBRE]],'RESUMEN CLIENTES'!A:A,'RESUMEN CLIENTES'!X:X)</f>
        <v>1.5555555555555556</v>
      </c>
      <c r="F452" s="72">
        <f>+_xlfn.XLOOKUP(Tabla6[[#This Row],[ID CLIENTE]],'RESUMEN CLIENTES'!D:D,'RESUMEN CLIENTES'!W:W)</f>
        <v>1</v>
      </c>
      <c r="G452" s="17">
        <v>45930</v>
      </c>
      <c r="H452" s="44" t="s">
        <v>81</v>
      </c>
      <c r="I452" s="2">
        <v>600</v>
      </c>
      <c r="J452" s="20" t="s">
        <v>1054</v>
      </c>
      <c r="K452" t="s">
        <v>1055</v>
      </c>
      <c r="L452" s="44" t="str" cm="1">
        <f t="array" ref="L452">+_xlfn.IFS(COUNTIF(INGRESOS!E:E,Tabla6[[#This Row],[ID FACTURA]])=1,"PAGADA",Tabla6[[#This Row],[ID FACTURA]]&lt;&gt;0,"EMITIDA",Tabla6[[#This Row],[ID FACTURA]]=0,"POR EMITIR")</f>
        <v>PAGADA</v>
      </c>
      <c r="M452" s="55">
        <f>+IF(Tabla6[[#This Row],[ESTADO FACTURA]]="PAGADA",Tabla6[[#This Row],[FECHA]]-_xlfn.XLOOKUP(Tabla6[[#This Row],[N° FACTURA]],INGRESOS!F:F,INGRESOS!A:A),"-")</f>
        <v>1</v>
      </c>
      <c r="N452" s="2"/>
      <c r="O452"/>
    </row>
    <row r="453" spans="1:15" ht="14.75" customHeight="1">
      <c r="A453" s="320" t="s">
        <v>739</v>
      </c>
      <c r="B453" t="str">
        <f>+_xlfn.XLOOKUP(Tabla6[[#This Row],[ID CLIENTE]],'RESUMEN CLIENTES'!D:D,'RESUMEN CLIENTES'!A:A)</f>
        <v>Gilberto Martiñon Torres</v>
      </c>
      <c r="C453" t="str">
        <f>+_xlfn.XLOOKUP(Tabla6[[#This Row],[ID CLIENTE]],'RESUMEN CLIENTES'!D:D,'RESUMEN CLIENTES'!C:C)</f>
        <v>México</v>
      </c>
      <c r="D453" s="44" t="str">
        <f>+_xlfn.XLOOKUP(Tabla6[[#This Row],[ID CLIENTE]],'RESUMEN CLIENTES'!D:D,'RESUMEN CLIENTES'!M:M)</f>
        <v>OK</v>
      </c>
      <c r="E453" s="72">
        <f>+_xlfn.XLOOKUP(Tabla6[[#This Row],[NOMBRE]],'RESUMEN CLIENTES'!A:A,'RESUMEN CLIENTES'!X:X)</f>
        <v>-0.625</v>
      </c>
      <c r="F453" s="72">
        <f>+_xlfn.XLOOKUP(Tabla6[[#This Row],[ID CLIENTE]],'RESUMEN CLIENTES'!D:D,'RESUMEN CLIENTES'!W:W)</f>
        <v>0</v>
      </c>
      <c r="G453" s="17">
        <v>45930</v>
      </c>
      <c r="H453" s="44" t="s">
        <v>81</v>
      </c>
      <c r="I453" s="2">
        <v>700</v>
      </c>
      <c r="J453" s="20" t="s">
        <v>1056</v>
      </c>
      <c r="K453" t="s">
        <v>1057</v>
      </c>
      <c r="L453" s="44" t="str" cm="1">
        <f t="array" ref="L453">+_xlfn.IFS(COUNTIF(INGRESOS!E:E,Tabla6[[#This Row],[ID FACTURA]])=1,"PAGADA",Tabla6[[#This Row],[ID FACTURA]]&lt;&gt;0,"EMITIDA",Tabla6[[#This Row],[ID FACTURA]]=0,"POR EMITIR")</f>
        <v>PAGADA</v>
      </c>
      <c r="M453" s="55">
        <f>+IF(Tabla6[[#This Row],[ESTADO FACTURA]]="PAGADA",Tabla6[[#This Row],[FECHA]]-_xlfn.XLOOKUP(Tabla6[[#This Row],[N° FACTURA]],INGRESOS!F:F,INGRESOS!A:A),"-")</f>
        <v>0</v>
      </c>
      <c r="N453" s="2"/>
      <c r="O453"/>
    </row>
    <row r="454" spans="1:15" ht="14.75" customHeight="1">
      <c r="A454" s="320" t="s">
        <v>106</v>
      </c>
      <c r="B454" t="str">
        <f>+_xlfn.XLOOKUP(Tabla6[[#This Row],[ID CLIENTE]],'RESUMEN CLIENTES'!D:D,'RESUMEN CLIENTES'!A:A)</f>
        <v>Hector Armando Daza Mejia</v>
      </c>
      <c r="C454" t="str">
        <f>+_xlfn.XLOOKUP(Tabla6[[#This Row],[ID CLIENTE]],'RESUMEN CLIENTES'!D:D,'RESUMEN CLIENTES'!C:C)</f>
        <v>Colombia</v>
      </c>
      <c r="D454" s="44" t="str">
        <f>+_xlfn.XLOOKUP(Tabla6[[#This Row],[ID CLIENTE]],'RESUMEN CLIENTES'!D:D,'RESUMEN CLIENTES'!M:M)</f>
        <v>OK</v>
      </c>
      <c r="E454" s="72">
        <f>+_xlfn.XLOOKUP(Tabla6[[#This Row],[NOMBRE]],'RESUMEN CLIENTES'!A:A,'RESUMEN CLIENTES'!X:X)</f>
        <v>1.1111111111111112</v>
      </c>
      <c r="F454" s="72">
        <f>+_xlfn.XLOOKUP(Tabla6[[#This Row],[ID CLIENTE]],'RESUMEN CLIENTES'!D:D,'RESUMEN CLIENTES'!W:W)</f>
        <v>0</v>
      </c>
      <c r="G454" s="17">
        <v>45930</v>
      </c>
      <c r="H454" s="44" t="s">
        <v>81</v>
      </c>
      <c r="I454" s="2">
        <v>1500</v>
      </c>
      <c r="J454" s="20" t="s">
        <v>1058</v>
      </c>
      <c r="K454" t="s">
        <v>1059</v>
      </c>
      <c r="L454" s="44" t="str" cm="1">
        <f t="array" ref="L454">+_xlfn.IFS(COUNTIF(INGRESOS!E:E,Tabla6[[#This Row],[ID FACTURA]])=1,"PAGADA",Tabla6[[#This Row],[ID FACTURA]]&lt;&gt;0,"EMITIDA",Tabla6[[#This Row],[ID FACTURA]]=0,"POR EMITIR")</f>
        <v>PAGADA</v>
      </c>
      <c r="M454" s="55">
        <f>+IF(Tabla6[[#This Row],[ESTADO FACTURA]]="PAGADA",Tabla6[[#This Row],[FECHA]]-_xlfn.XLOOKUP(Tabla6[[#This Row],[N° FACTURA]],INGRESOS!F:F,INGRESOS!A:A),"-")</f>
        <v>3</v>
      </c>
      <c r="N454" s="2"/>
      <c r="O454"/>
    </row>
    <row r="455" spans="1:15" ht="14.75" customHeight="1">
      <c r="A455" s="320" t="s">
        <v>266</v>
      </c>
      <c r="B455" t="str">
        <f>+_xlfn.XLOOKUP(Tabla6[[#This Row],[ID CLIENTE]],'RESUMEN CLIENTES'!D:D,'RESUMEN CLIENTES'!A:A)</f>
        <v>Juan Camilo Sanchez Ramirez</v>
      </c>
      <c r="C455" t="str">
        <f>+_xlfn.XLOOKUP(Tabla6[[#This Row],[ID CLIENTE]],'RESUMEN CLIENTES'!D:D,'RESUMEN CLIENTES'!C:C)</f>
        <v>Colombia</v>
      </c>
      <c r="D455" s="44" t="str">
        <f>+_xlfn.XLOOKUP(Tabla6[[#This Row],[ID CLIENTE]],'RESUMEN CLIENTES'!D:D,'RESUMEN CLIENTES'!M:M)</f>
        <v>OK</v>
      </c>
      <c r="E455" s="72">
        <f>+_xlfn.XLOOKUP(Tabla6[[#This Row],[NOMBRE]],'RESUMEN CLIENTES'!A:A,'RESUMEN CLIENTES'!X:X)</f>
        <v>0.2</v>
      </c>
      <c r="F455" s="72">
        <f>+_xlfn.XLOOKUP(Tabla6[[#This Row],[ID CLIENTE]],'RESUMEN CLIENTES'!D:D,'RESUMEN CLIENTES'!W:W)</f>
        <v>0</v>
      </c>
      <c r="G455" s="17">
        <v>45930</v>
      </c>
      <c r="H455" s="44" t="s">
        <v>81</v>
      </c>
      <c r="I455" s="2">
        <v>1000</v>
      </c>
      <c r="J455" s="20" t="s">
        <v>1060</v>
      </c>
      <c r="K455" t="s">
        <v>1061</v>
      </c>
      <c r="L455" s="44" t="str" cm="1">
        <f t="array" ref="L455">+_xlfn.IFS(COUNTIF(INGRESOS!E:E,Tabla6[[#This Row],[ID FACTURA]])=1,"PAGADA",Tabla6[[#This Row],[ID FACTURA]]&lt;&gt;0,"EMITIDA",Tabla6[[#This Row],[ID FACTURA]]=0,"POR EMITIR")</f>
        <v>PAGADA</v>
      </c>
      <c r="M455" s="55">
        <f>+IF(Tabla6[[#This Row],[ESTADO FACTURA]]="PAGADA",Tabla6[[#This Row],[FECHA]]-_xlfn.XLOOKUP(Tabla6[[#This Row],[N° FACTURA]],INGRESOS!F:F,INGRESOS!A:A),"-")</f>
        <v>1</v>
      </c>
      <c r="N455" s="2"/>
      <c r="O455"/>
    </row>
    <row r="456" spans="1:15" ht="14.75" customHeight="1">
      <c r="A456" s="320" t="s">
        <v>132</v>
      </c>
      <c r="B456" t="str">
        <f>+_xlfn.XLOOKUP(Tabla6[[#This Row],[ID CLIENTE]],'RESUMEN CLIENTES'!D:D,'RESUMEN CLIENTES'!A:A)</f>
        <v>Katherine Salomé Herráez Maldonado</v>
      </c>
      <c r="C456" t="str">
        <f>+_xlfn.XLOOKUP(Tabla6[[#This Row],[ID CLIENTE]],'RESUMEN CLIENTES'!D:D,'RESUMEN CLIENTES'!C:C)</f>
        <v>Ecuador</v>
      </c>
      <c r="D456" s="44" t="str">
        <f>+_xlfn.XLOOKUP(Tabla6[[#This Row],[ID CLIENTE]],'RESUMEN CLIENTES'!D:D,'RESUMEN CLIENTES'!M:M)</f>
        <v>SUSPENDIDO</v>
      </c>
      <c r="E456" s="72">
        <f>+_xlfn.XLOOKUP(Tabla6[[#This Row],[NOMBRE]],'RESUMEN CLIENTES'!A:A,'RESUMEN CLIENTES'!X:X)</f>
        <v>0</v>
      </c>
      <c r="F456" s="72">
        <f>+_xlfn.XLOOKUP(Tabla6[[#This Row],[ID CLIENTE]],'RESUMEN CLIENTES'!D:D,'RESUMEN CLIENTES'!W:W)</f>
        <v>0</v>
      </c>
      <c r="G456" s="17">
        <v>45930</v>
      </c>
      <c r="H456" s="44" t="s">
        <v>81</v>
      </c>
      <c r="I456" s="2">
        <v>500</v>
      </c>
      <c r="J456"/>
      <c r="K456"/>
      <c r="L456" s="44" t="str" cm="1">
        <f t="array" ref="L456">+_xlfn.IFS(COUNTIF(INGRESOS!E:E,Tabla6[[#This Row],[ID FACTURA]])=1,"PAGADA",Tabla6[[#This Row],[ID FACTURA]]&lt;&gt;0,"EMITIDA",Tabla6[[#This Row],[ID FACTURA]]=0,"POR EMITIR")</f>
        <v>POR EMITIR</v>
      </c>
      <c r="M456" s="55" t="str">
        <f>+IF(Tabla6[[#This Row],[ESTADO FACTURA]]="PAGADA",Tabla6[[#This Row],[FECHA]]-_xlfn.XLOOKUP(Tabla6[[#This Row],[N° FACTURA]],INGRESOS!F:F,INGRESOS!A:A),"-")</f>
        <v>-</v>
      </c>
      <c r="N456" s="2"/>
      <c r="O456" t="s">
        <v>4796</v>
      </c>
    </row>
    <row r="457" spans="1:15" ht="14.75" customHeight="1">
      <c r="A457" s="320" t="s">
        <v>218</v>
      </c>
      <c r="B457" t="str">
        <f>+_xlfn.XLOOKUP(Tabla6[[#This Row],[ID CLIENTE]],'RESUMEN CLIENTES'!D:D,'RESUMEN CLIENTES'!A:A)</f>
        <v>Laura Margarita Cepeda Garrido</v>
      </c>
      <c r="C457" t="str">
        <f>+_xlfn.XLOOKUP(Tabla6[[#This Row],[ID CLIENTE]],'RESUMEN CLIENTES'!D:D,'RESUMEN CLIENTES'!C:C)</f>
        <v>Colombia</v>
      </c>
      <c r="D457" s="44" t="str">
        <f>+_xlfn.XLOOKUP(Tabla6[[#This Row],[ID CLIENTE]],'RESUMEN CLIENTES'!D:D,'RESUMEN CLIENTES'!M:M)</f>
        <v>ELIMINADO</v>
      </c>
      <c r="E457" s="72">
        <f>+_xlfn.XLOOKUP(Tabla6[[#This Row],[NOMBRE]],'RESUMEN CLIENTES'!A:A,'RESUMEN CLIENTES'!X:X)</f>
        <v>-0.2</v>
      </c>
      <c r="F457" s="72">
        <f>+_xlfn.XLOOKUP(Tabla6[[#This Row],[ID CLIENTE]],'RESUMEN CLIENTES'!D:D,'RESUMEN CLIENTES'!W:W)</f>
        <v>0</v>
      </c>
      <c r="G457" s="17">
        <v>45930</v>
      </c>
      <c r="H457" s="44" t="s">
        <v>81</v>
      </c>
      <c r="I457" s="2">
        <v>600</v>
      </c>
      <c r="J457" s="20" t="s">
        <v>1064</v>
      </c>
      <c r="K457" t="s">
        <v>1065</v>
      </c>
      <c r="L457" s="44" t="str" cm="1">
        <f t="array" ref="L457">+_xlfn.IFS(COUNTIF(INGRESOS!E:E,Tabla6[[#This Row],[ID FACTURA]])=1,"PAGADA",Tabla6[[#This Row],[ID FACTURA]]&lt;&gt;0,"EMITIDA",Tabla6[[#This Row],[ID FACTURA]]=0,"POR EMITIR")</f>
        <v>PAGADA</v>
      </c>
      <c r="M457" s="55">
        <f>+IF(Tabla6[[#This Row],[ESTADO FACTURA]]="PAGADA",Tabla6[[#This Row],[FECHA]]-_xlfn.XLOOKUP(Tabla6[[#This Row],[N° FACTURA]],INGRESOS!F:F,INGRESOS!A:A),"-")</f>
        <v>-1</v>
      </c>
      <c r="N457" s="2"/>
      <c r="O457"/>
    </row>
    <row r="458" spans="1:15" ht="14.75" customHeight="1">
      <c r="A458" s="320" t="s">
        <v>441</v>
      </c>
      <c r="B458" t="str">
        <f>+_xlfn.XLOOKUP(Tabla6[[#This Row],[ID CLIENTE]],'RESUMEN CLIENTES'!D:D,'RESUMEN CLIENTES'!A:A)</f>
        <v>Luis Manuel Villanueva Contreras</v>
      </c>
      <c r="C458" t="str">
        <f>+_xlfn.XLOOKUP(Tabla6[[#This Row],[ID CLIENTE]],'RESUMEN CLIENTES'!D:D,'RESUMEN CLIENTES'!C:C)</f>
        <v>México</v>
      </c>
      <c r="D458" s="44" t="str">
        <f>+_xlfn.XLOOKUP(Tabla6[[#This Row],[ID CLIENTE]],'RESUMEN CLIENTES'!D:D,'RESUMEN CLIENTES'!M:M)</f>
        <v>OK</v>
      </c>
      <c r="E458" s="72">
        <f>+_xlfn.XLOOKUP(Tabla6[[#This Row],[NOMBRE]],'RESUMEN CLIENTES'!A:A,'RESUMEN CLIENTES'!X:X)</f>
        <v>0.55555555555555558</v>
      </c>
      <c r="F458" s="72">
        <f>+_xlfn.XLOOKUP(Tabla6[[#This Row],[ID CLIENTE]],'RESUMEN CLIENTES'!D:D,'RESUMEN CLIENTES'!W:W)</f>
        <v>0</v>
      </c>
      <c r="G458" s="17">
        <v>45930</v>
      </c>
      <c r="H458" s="44" t="s">
        <v>81</v>
      </c>
      <c r="I458" s="2">
        <v>1000</v>
      </c>
      <c r="J458" s="20" t="s">
        <v>1066</v>
      </c>
      <c r="K458" t="s">
        <v>1067</v>
      </c>
      <c r="L458" s="44" t="str" cm="1">
        <f t="array" ref="L458">+_xlfn.IFS(COUNTIF(INGRESOS!E:E,Tabla6[[#This Row],[ID FACTURA]])=1,"PAGADA",Tabla6[[#This Row],[ID FACTURA]]&lt;&gt;0,"EMITIDA",Tabla6[[#This Row],[ID FACTURA]]=0,"POR EMITIR")</f>
        <v>PAGADA</v>
      </c>
      <c r="M458" s="55">
        <f>+IF(Tabla6[[#This Row],[ESTADO FACTURA]]="PAGADA",Tabla6[[#This Row],[FECHA]]-_xlfn.XLOOKUP(Tabla6[[#This Row],[N° FACTURA]],INGRESOS!F:F,INGRESOS!A:A),"-")</f>
        <v>1</v>
      </c>
      <c r="N458" s="2"/>
      <c r="O458"/>
    </row>
    <row r="459" spans="1:15" ht="14.75" customHeight="1">
      <c r="A459" s="320" t="s">
        <v>590</v>
      </c>
      <c r="B459" t="str">
        <f>+_xlfn.XLOOKUP(Tabla6[[#This Row],[ID CLIENTE]],'RESUMEN CLIENTES'!D:D,'RESUMEN CLIENTES'!A:A)</f>
        <v>María Lucero de Jesús Barrios Sazo</v>
      </c>
      <c r="C459" t="str">
        <f>+_xlfn.XLOOKUP(Tabla6[[#This Row],[ID CLIENTE]],'RESUMEN CLIENTES'!D:D,'RESUMEN CLIENTES'!C:C)</f>
        <v>Guatemala</v>
      </c>
      <c r="D459" s="44" t="str">
        <f>+_xlfn.XLOOKUP(Tabla6[[#This Row],[ID CLIENTE]],'RESUMEN CLIENTES'!D:D,'RESUMEN CLIENTES'!M:M)</f>
        <v>OK</v>
      </c>
      <c r="E459" s="72">
        <f>+_xlfn.XLOOKUP(Tabla6[[#This Row],[NOMBRE]],'RESUMEN CLIENTES'!A:A,'RESUMEN CLIENTES'!X:X)</f>
        <v>1.25</v>
      </c>
      <c r="F459" s="72">
        <f>+_xlfn.XLOOKUP(Tabla6[[#This Row],[ID CLIENTE]],'RESUMEN CLIENTES'!D:D,'RESUMEN CLIENTES'!W:W)</f>
        <v>0</v>
      </c>
      <c r="G459" s="17">
        <v>45930</v>
      </c>
      <c r="H459" s="44" t="s">
        <v>81</v>
      </c>
      <c r="I459" s="2">
        <v>1050</v>
      </c>
      <c r="J459" s="20" t="s">
        <v>1068</v>
      </c>
      <c r="K459" t="s">
        <v>1069</v>
      </c>
      <c r="L459" s="44" t="str" cm="1">
        <f t="array" ref="L459">+_xlfn.IFS(COUNTIF(INGRESOS!E:E,Tabla6[[#This Row],[ID FACTURA]])=1,"PAGADA",Tabla6[[#This Row],[ID FACTURA]]&lt;&gt;0,"EMITIDA",Tabla6[[#This Row],[ID FACTURA]]=0,"POR EMITIR")</f>
        <v>PAGADA</v>
      </c>
      <c r="M459" s="55">
        <f>+IF(Tabla6[[#This Row],[ESTADO FACTURA]]="PAGADA",Tabla6[[#This Row],[FECHA]]-_xlfn.XLOOKUP(Tabla6[[#This Row],[N° FACTURA]],INGRESOS!F:F,INGRESOS!A:A),"-")</f>
        <v>0</v>
      </c>
      <c r="N459" s="2"/>
      <c r="O459"/>
    </row>
    <row r="460" spans="1:15" ht="14.75" customHeight="1">
      <c r="A460" s="320" t="s">
        <v>314</v>
      </c>
      <c r="B460" t="str">
        <f>+_xlfn.XLOOKUP(Tabla6[[#This Row],[ID CLIENTE]],'RESUMEN CLIENTES'!D:D,'RESUMEN CLIENTES'!A:A)</f>
        <v>Miguel Angel Sisalima Shiña</v>
      </c>
      <c r="C460" t="str">
        <f>+_xlfn.XLOOKUP(Tabla6[[#This Row],[ID CLIENTE]],'RESUMEN CLIENTES'!D:D,'RESUMEN CLIENTES'!C:C)</f>
        <v>Ecuador</v>
      </c>
      <c r="D460" s="44" t="str">
        <f>+_xlfn.XLOOKUP(Tabla6[[#This Row],[ID CLIENTE]],'RESUMEN CLIENTES'!D:D,'RESUMEN CLIENTES'!M:M)</f>
        <v>OK</v>
      </c>
      <c r="E460" s="72">
        <f>+_xlfn.XLOOKUP(Tabla6[[#This Row],[NOMBRE]],'RESUMEN CLIENTES'!A:A,'RESUMEN CLIENTES'!X:X)</f>
        <v>0.6</v>
      </c>
      <c r="F460" s="72">
        <f>+_xlfn.XLOOKUP(Tabla6[[#This Row],[ID CLIENTE]],'RESUMEN CLIENTES'!D:D,'RESUMEN CLIENTES'!W:W)</f>
        <v>0</v>
      </c>
      <c r="G460" s="17">
        <v>45930</v>
      </c>
      <c r="H460" s="44" t="s">
        <v>81</v>
      </c>
      <c r="I460" s="2">
        <v>1000</v>
      </c>
      <c r="J460" s="20" t="s">
        <v>1070</v>
      </c>
      <c r="K460" t="s">
        <v>1071</v>
      </c>
      <c r="L460" s="44" t="str" cm="1">
        <f t="array" ref="L460">+_xlfn.IFS(COUNTIF(INGRESOS!E:E,Tabla6[[#This Row],[ID FACTURA]])=1,"PAGADA",Tabla6[[#This Row],[ID FACTURA]]&lt;&gt;0,"EMITIDA",Tabla6[[#This Row],[ID FACTURA]]=0,"POR EMITIR")</f>
        <v>PAGADA</v>
      </c>
      <c r="M460" s="55">
        <f>+IF(Tabla6[[#This Row],[ESTADO FACTURA]]="PAGADA",Tabla6[[#This Row],[FECHA]]-_xlfn.XLOOKUP(Tabla6[[#This Row],[N° FACTURA]],INGRESOS!F:F,INGRESOS!A:A),"-")</f>
        <v>0</v>
      </c>
      <c r="N460" s="2"/>
      <c r="O460"/>
    </row>
    <row r="461" spans="1:15" ht="14.75" customHeight="1">
      <c r="A461" s="320" t="s">
        <v>229</v>
      </c>
      <c r="B461" t="str">
        <f>+_xlfn.XLOOKUP(Tabla6[[#This Row],[ID CLIENTE]],'RESUMEN CLIENTES'!D:D,'RESUMEN CLIENTES'!A:A)</f>
        <v>Nathaly Gabriela Henríquez Masín</v>
      </c>
      <c r="C461" t="str">
        <f>+_xlfn.XLOOKUP(Tabla6[[#This Row],[ID CLIENTE]],'RESUMEN CLIENTES'!D:D,'RESUMEN CLIENTES'!C:C)</f>
        <v>El Salvador</v>
      </c>
      <c r="D461" s="44" t="str">
        <f>+_xlfn.XLOOKUP(Tabla6[[#This Row],[ID CLIENTE]],'RESUMEN CLIENTES'!D:D,'RESUMEN CLIENTES'!M:M)</f>
        <v>OK</v>
      </c>
      <c r="E461" s="72">
        <f>+_xlfn.XLOOKUP(Tabla6[[#This Row],[NOMBRE]],'RESUMEN CLIENTES'!A:A,'RESUMEN CLIENTES'!X:X)</f>
        <v>0.7</v>
      </c>
      <c r="F461" s="72">
        <f>+_xlfn.XLOOKUP(Tabla6[[#This Row],[ID CLIENTE]],'RESUMEN CLIENTES'!D:D,'RESUMEN CLIENTES'!W:W)</f>
        <v>0</v>
      </c>
      <c r="G461" s="17">
        <v>45930</v>
      </c>
      <c r="H461" s="44" t="s">
        <v>81</v>
      </c>
      <c r="I461" s="2">
        <v>500</v>
      </c>
      <c r="J461" s="20" t="s">
        <v>1072</v>
      </c>
      <c r="K461" t="s">
        <v>1073</v>
      </c>
      <c r="L461" s="44" t="str" cm="1">
        <f t="array" ref="L461">+_xlfn.IFS(COUNTIF(INGRESOS!E:E,Tabla6[[#This Row],[ID FACTURA]])=1,"PAGADA",Tabla6[[#This Row],[ID FACTURA]]&lt;&gt;0,"EMITIDA",Tabla6[[#This Row],[ID FACTURA]]=0,"POR EMITIR")</f>
        <v>PAGADA</v>
      </c>
      <c r="M461" s="55">
        <f>+IF(Tabla6[[#This Row],[ESTADO FACTURA]]="PAGADA",Tabla6[[#This Row],[FECHA]]-_xlfn.XLOOKUP(Tabla6[[#This Row],[N° FACTURA]],INGRESOS!F:F,INGRESOS!A:A),"-")</f>
        <v>1</v>
      </c>
      <c r="N461" s="2"/>
      <c r="O461"/>
    </row>
    <row r="462" spans="1:15" ht="14.75" customHeight="1">
      <c r="A462" s="320" t="s">
        <v>350</v>
      </c>
      <c r="B462" t="str">
        <f>+_xlfn.XLOOKUP(Tabla6[[#This Row],[ID CLIENTE]],'RESUMEN CLIENTES'!D:D,'RESUMEN CLIENTES'!A:A)</f>
        <v>Rainier Guerrero</v>
      </c>
      <c r="C462" t="str">
        <f>+_xlfn.XLOOKUP(Tabla6[[#This Row],[ID CLIENTE]],'RESUMEN CLIENTES'!D:D,'RESUMEN CLIENTES'!C:C)</f>
        <v>México</v>
      </c>
      <c r="D462" s="44" t="str">
        <f>+_xlfn.XLOOKUP(Tabla6[[#This Row],[ID CLIENTE]],'RESUMEN CLIENTES'!D:D,'RESUMEN CLIENTES'!M:M)</f>
        <v>OK</v>
      </c>
      <c r="E462" s="72">
        <f>+_xlfn.XLOOKUP(Tabla6[[#This Row],[NOMBRE]],'RESUMEN CLIENTES'!A:A,'RESUMEN CLIENTES'!X:X)</f>
        <v>-0.3</v>
      </c>
      <c r="F462" s="72">
        <f>+_xlfn.XLOOKUP(Tabla6[[#This Row],[ID CLIENTE]],'RESUMEN CLIENTES'!D:D,'RESUMEN CLIENTES'!W:W)</f>
        <v>1</v>
      </c>
      <c r="G462" s="17">
        <v>45930</v>
      </c>
      <c r="H462" s="44" t="s">
        <v>81</v>
      </c>
      <c r="I462" s="2">
        <v>1000</v>
      </c>
      <c r="J462" s="20" t="s">
        <v>1074</v>
      </c>
      <c r="K462" t="s">
        <v>1075</v>
      </c>
      <c r="L462" s="44" t="str" cm="1">
        <f t="array" ref="L462">+_xlfn.IFS(COUNTIF(INGRESOS!E:E,Tabla6[[#This Row],[ID FACTURA]])=1,"PAGADA",Tabla6[[#This Row],[ID FACTURA]]&lt;&gt;0,"EMITIDA",Tabla6[[#This Row],[ID FACTURA]]=0,"POR EMITIR")</f>
        <v>PAGADA</v>
      </c>
      <c r="M462" s="55">
        <f>+IF(Tabla6[[#This Row],[ESTADO FACTURA]]="PAGADA",Tabla6[[#This Row],[FECHA]]-_xlfn.XLOOKUP(Tabla6[[#This Row],[N° FACTURA]],INGRESOS!F:F,INGRESOS!A:A),"-")</f>
        <v>0</v>
      </c>
      <c r="N462" s="2"/>
      <c r="O462"/>
    </row>
    <row r="463" spans="1:15" ht="14.75" customHeight="1">
      <c r="A463" s="320" t="s">
        <v>744</v>
      </c>
      <c r="B463" t="str">
        <f>+_xlfn.XLOOKUP(Tabla6[[#This Row],[ID CLIENTE]],'RESUMEN CLIENTES'!D:D,'RESUMEN CLIENTES'!A:A)</f>
        <v>Martin Esteban Orellana Dominguez</v>
      </c>
      <c r="C463" t="str">
        <f>+_xlfn.XLOOKUP(Tabla6[[#This Row],[ID CLIENTE]],'RESUMEN CLIENTES'!D:D,'RESUMEN CLIENTES'!C:C)</f>
        <v>Ecuador</v>
      </c>
      <c r="D463" s="44" t="str">
        <f>+_xlfn.XLOOKUP(Tabla6[[#This Row],[ID CLIENTE]],'RESUMEN CLIENTES'!D:D,'RESUMEN CLIENTES'!M:M)</f>
        <v>OK</v>
      </c>
      <c r="E463" s="72">
        <f>+_xlfn.XLOOKUP(Tabla6[[#This Row],[NOMBRE]],'RESUMEN CLIENTES'!A:A,'RESUMEN CLIENTES'!X:X)</f>
        <v>-1.1428571428571428</v>
      </c>
      <c r="F463" s="72">
        <f>+_xlfn.XLOOKUP(Tabla6[[#This Row],[ID CLIENTE]],'RESUMEN CLIENTES'!D:D,'RESUMEN CLIENTES'!W:W)</f>
        <v>1</v>
      </c>
      <c r="G463" s="17">
        <v>45931</v>
      </c>
      <c r="H463" s="44" t="s">
        <v>81</v>
      </c>
      <c r="I463" s="2">
        <v>953</v>
      </c>
      <c r="J463" s="20" t="s">
        <v>1076</v>
      </c>
      <c r="K463" t="s">
        <v>1077</v>
      </c>
      <c r="L463" s="44" t="str" cm="1">
        <f t="array" ref="L463">+_xlfn.IFS(COUNTIF(INGRESOS!E:E,Tabla6[[#This Row],[ID FACTURA]])=1,"PAGADA",Tabla6[[#This Row],[ID FACTURA]]&lt;&gt;0,"EMITIDA",Tabla6[[#This Row],[ID FACTURA]]=0,"POR EMITIR")</f>
        <v>PAGADA</v>
      </c>
      <c r="M463" s="55">
        <f>+IF(Tabla6[[#This Row],[ESTADO FACTURA]]="PAGADA",Tabla6[[#This Row],[FECHA]]-_xlfn.XLOOKUP(Tabla6[[#This Row],[N° FACTURA]],INGRESOS!F:F,INGRESOS!A:A),"-")</f>
        <v>-1</v>
      </c>
      <c r="N463" s="2"/>
      <c r="O463"/>
    </row>
    <row r="464" spans="1:15" ht="14.75" customHeight="1">
      <c r="A464" s="320" t="s">
        <v>465</v>
      </c>
      <c r="B464" t="str">
        <f>+_xlfn.XLOOKUP(Tabla6[[#This Row],[ID CLIENTE]],'RESUMEN CLIENTES'!D:D,'RESUMEN CLIENTES'!A:A)</f>
        <v>Freddy Renzo Perez Villafuerte</v>
      </c>
      <c r="C464" t="str">
        <f>+_xlfn.XLOOKUP(Tabla6[[#This Row],[ID CLIENTE]],'RESUMEN CLIENTES'!D:D,'RESUMEN CLIENTES'!C:C)</f>
        <v>Perú</v>
      </c>
      <c r="D464" s="44" t="str">
        <f>+_xlfn.XLOOKUP(Tabla6[[#This Row],[ID CLIENTE]],'RESUMEN CLIENTES'!D:D,'RESUMEN CLIENTES'!M:M)</f>
        <v>ELIMINADO</v>
      </c>
      <c r="E464" s="72">
        <f>+_xlfn.XLOOKUP(Tabla6[[#This Row],[NOMBRE]],'RESUMEN CLIENTES'!A:A,'RESUMEN CLIENTES'!X:X)</f>
        <v>-0.25</v>
      </c>
      <c r="F464" s="72">
        <f>+_xlfn.XLOOKUP(Tabla6[[#This Row],[ID CLIENTE]],'RESUMEN CLIENTES'!D:D,'RESUMEN CLIENTES'!W:W)</f>
        <v>0</v>
      </c>
      <c r="G464" s="17">
        <v>45932</v>
      </c>
      <c r="H464" s="44" t="s">
        <v>81</v>
      </c>
      <c r="I464" s="2">
        <v>1000</v>
      </c>
      <c r="J464" s="20" t="s">
        <v>1078</v>
      </c>
      <c r="K464" t="s">
        <v>1079</v>
      </c>
      <c r="L464" s="44" t="str" cm="1">
        <f t="array" ref="L464">+_xlfn.IFS(COUNTIF(INGRESOS!E:E,Tabla6[[#This Row],[ID FACTURA]])=1,"PAGADA",Tabla6[[#This Row],[ID FACTURA]]&lt;&gt;0,"EMITIDA",Tabla6[[#This Row],[ID FACTURA]]=0,"POR EMITIR")</f>
        <v>PAGADA</v>
      </c>
      <c r="M464" s="55">
        <f>+IF(Tabla6[[#This Row],[ESTADO FACTURA]]="PAGADA",Tabla6[[#This Row],[FECHA]]-_xlfn.XLOOKUP(Tabla6[[#This Row],[N° FACTURA]],INGRESOS!F:F,INGRESOS!A:A),"-")</f>
        <v>-1</v>
      </c>
      <c r="N464" s="2"/>
      <c r="O464"/>
    </row>
    <row r="465" spans="1:15" ht="14.75" customHeight="1">
      <c r="A465" s="320" t="s">
        <v>695</v>
      </c>
      <c r="B465" t="str">
        <f>+_xlfn.XLOOKUP(Tabla6[[#This Row],[ID CLIENTE]],'RESUMEN CLIENTES'!D:D,'RESUMEN CLIENTES'!A:A)</f>
        <v>Olguer Ariel Pruna Herrera</v>
      </c>
      <c r="C465" t="str">
        <f>+_xlfn.XLOOKUP(Tabla6[[#This Row],[ID CLIENTE]],'RESUMEN CLIENTES'!D:D,'RESUMEN CLIENTES'!C:C)</f>
        <v>Ecuador</v>
      </c>
      <c r="D465" s="44" t="str">
        <f>+_xlfn.XLOOKUP(Tabla6[[#This Row],[ID CLIENTE]],'RESUMEN CLIENTES'!D:D,'RESUMEN CLIENTES'!M:M)</f>
        <v>OK</v>
      </c>
      <c r="E465" s="72">
        <f>+_xlfn.XLOOKUP(Tabla6[[#This Row],[NOMBRE]],'RESUMEN CLIENTES'!A:A,'RESUMEN CLIENTES'!X:X)</f>
        <v>0.25</v>
      </c>
      <c r="F465" s="72">
        <f>+_xlfn.XLOOKUP(Tabla6[[#This Row],[ID CLIENTE]],'RESUMEN CLIENTES'!D:D,'RESUMEN CLIENTES'!W:W)</f>
        <v>1</v>
      </c>
      <c r="G465" s="17">
        <v>45932</v>
      </c>
      <c r="H465" s="44" t="s">
        <v>81</v>
      </c>
      <c r="I465" s="2">
        <v>1000</v>
      </c>
      <c r="J465" s="20" t="s">
        <v>1080</v>
      </c>
      <c r="K465" t="s">
        <v>1081</v>
      </c>
      <c r="L465" s="44" t="str" cm="1">
        <f t="array" ref="L465">+_xlfn.IFS(COUNTIF(INGRESOS!E:E,Tabla6[[#This Row],[ID FACTURA]])=1,"PAGADA",Tabla6[[#This Row],[ID FACTURA]]&lt;&gt;0,"EMITIDA",Tabla6[[#This Row],[ID FACTURA]]=0,"POR EMITIR")</f>
        <v>PAGADA</v>
      </c>
      <c r="M465" s="55">
        <f>+IF(Tabla6[[#This Row],[ESTADO FACTURA]]="PAGADA",Tabla6[[#This Row],[FECHA]]-_xlfn.XLOOKUP(Tabla6[[#This Row],[N° FACTURA]],INGRESOS!F:F,INGRESOS!A:A),"-")</f>
        <v>-1</v>
      </c>
      <c r="N465" s="2"/>
      <c r="O465"/>
    </row>
    <row r="466" spans="1:15" ht="14.75" customHeight="1">
      <c r="A466" s="320" t="s">
        <v>530</v>
      </c>
      <c r="B466" t="str">
        <f>+_xlfn.XLOOKUP(Tabla6[[#This Row],[ID CLIENTE]],'RESUMEN CLIENTES'!D:D,'RESUMEN CLIENTES'!A:A)</f>
        <v>Antonio José Estrada Hoyo</v>
      </c>
      <c r="C466" t="str">
        <f>+_xlfn.XLOOKUP(Tabla6[[#This Row],[ID CLIENTE]],'RESUMEN CLIENTES'!D:D,'RESUMEN CLIENTES'!C:C)</f>
        <v>Venezuela</v>
      </c>
      <c r="D466" s="44" t="str">
        <f>+_xlfn.XLOOKUP(Tabla6[[#This Row],[ID CLIENTE]],'RESUMEN CLIENTES'!D:D,'RESUMEN CLIENTES'!M:M)</f>
        <v>OK</v>
      </c>
      <c r="E466" s="72">
        <f>+_xlfn.XLOOKUP(Tabla6[[#This Row],[NOMBRE]],'RESUMEN CLIENTES'!A:A,'RESUMEN CLIENTES'!X:X)</f>
        <v>0</v>
      </c>
      <c r="F466" s="72">
        <f>+_xlfn.XLOOKUP(Tabla6[[#This Row],[ID CLIENTE]],'RESUMEN CLIENTES'!D:D,'RESUMEN CLIENTES'!W:W)</f>
        <v>0</v>
      </c>
      <c r="G466" s="17">
        <v>45933</v>
      </c>
      <c r="H466" s="44" t="s">
        <v>81</v>
      </c>
      <c r="I466" s="2">
        <v>7744</v>
      </c>
      <c r="J466" s="20" t="s">
        <v>1082</v>
      </c>
      <c r="K466" t="s">
        <v>1083</v>
      </c>
      <c r="L466" s="44" t="str" cm="1">
        <f t="array" ref="L466">+_xlfn.IFS(COUNTIF(INGRESOS!E:E,Tabla6[[#This Row],[ID FACTURA]])=1,"PAGADA",Tabla6[[#This Row],[ID FACTURA]]&lt;&gt;0,"EMITIDA",Tabla6[[#This Row],[ID FACTURA]]=0,"POR EMITIR")</f>
        <v>PAGADA</v>
      </c>
      <c r="M466" s="55">
        <f>+IF(Tabla6[[#This Row],[ESTADO FACTURA]]="PAGADA",Tabla6[[#This Row],[FECHA]]-_xlfn.XLOOKUP(Tabla6[[#This Row],[N° FACTURA]],INGRESOS!F:F,INGRESOS!A:A),"-")</f>
        <v>0</v>
      </c>
      <c r="N466" s="2"/>
      <c r="O466" s="8"/>
    </row>
    <row r="467" spans="1:15" ht="14.75" customHeight="1">
      <c r="A467" s="320" t="s">
        <v>970</v>
      </c>
      <c r="B467" t="str">
        <f>+_xlfn.XLOOKUP(Tabla6[[#This Row],[ID CLIENTE]],'RESUMEN CLIENTES'!D:D,'RESUMEN CLIENTES'!A:A)</f>
        <v>Gustavo Alexander Gonzalez Muñoz</v>
      </c>
      <c r="C467" t="str">
        <f>+_xlfn.XLOOKUP(Tabla6[[#This Row],[ID CLIENTE]],'RESUMEN CLIENTES'!D:D,'RESUMEN CLIENTES'!C:C)</f>
        <v>Colombia</v>
      </c>
      <c r="D467" s="44" t="str">
        <f>+_xlfn.XLOOKUP(Tabla6[[#This Row],[ID CLIENTE]],'RESUMEN CLIENTES'!D:D,'RESUMEN CLIENTES'!M:M)</f>
        <v>ELIMINADO</v>
      </c>
      <c r="E467" s="72">
        <f>+_xlfn.XLOOKUP(Tabla6[[#This Row],[NOMBRE]],'RESUMEN CLIENTES'!A:A,'RESUMEN CLIENTES'!X:X)</f>
        <v>-12.8</v>
      </c>
      <c r="F467" s="72">
        <f>+_xlfn.XLOOKUP(Tabla6[[#This Row],[ID CLIENTE]],'RESUMEN CLIENTES'!D:D,'RESUMEN CLIENTES'!W:W)</f>
        <v>0</v>
      </c>
      <c r="G467" s="17">
        <v>45933</v>
      </c>
      <c r="H467" s="44" t="s">
        <v>81</v>
      </c>
      <c r="I467" s="2">
        <v>1000</v>
      </c>
      <c r="J467" s="20" t="s">
        <v>1084</v>
      </c>
      <c r="K467" t="s">
        <v>1085</v>
      </c>
      <c r="L467" s="44" t="str" cm="1">
        <f t="array" ref="L467">+_xlfn.IFS(COUNTIF(INGRESOS!E:E,Tabla6[[#This Row],[ID FACTURA]])=1,"PAGADA",Tabla6[[#This Row],[ID FACTURA]]&lt;&gt;0,"EMITIDA",Tabla6[[#This Row],[ID FACTURA]]=0,"POR EMITIR")</f>
        <v>PAGADA</v>
      </c>
      <c r="M467" s="55">
        <f>+IF(Tabla6[[#This Row],[ESTADO FACTURA]]="PAGADA",Tabla6[[#This Row],[FECHA]]-_xlfn.XLOOKUP(Tabla6[[#This Row],[N° FACTURA]],INGRESOS!F:F,INGRESOS!A:A),"-")</f>
        <v>-17</v>
      </c>
      <c r="N467" s="2"/>
      <c r="O467"/>
    </row>
    <row r="468" spans="1:15" ht="14.75" customHeight="1">
      <c r="A468" s="320" t="s">
        <v>970</v>
      </c>
      <c r="B468" t="str">
        <f>+_xlfn.XLOOKUP(Tabla6[[#This Row],[ID CLIENTE]],'RESUMEN CLIENTES'!D:D,'RESUMEN CLIENTES'!A:A)</f>
        <v>Gustavo Alexander Gonzalez Muñoz</v>
      </c>
      <c r="C468" t="str">
        <f>+_xlfn.XLOOKUP(Tabla6[[#This Row],[ID CLIENTE]],'RESUMEN CLIENTES'!D:D,'RESUMEN CLIENTES'!C:C)</f>
        <v>Colombia</v>
      </c>
      <c r="D468" s="44" t="str">
        <f>+_xlfn.XLOOKUP(Tabla6[[#This Row],[ID CLIENTE]],'RESUMEN CLIENTES'!D:D,'RESUMEN CLIENTES'!M:M)</f>
        <v>ELIMINADO</v>
      </c>
      <c r="E468" s="72">
        <f>+_xlfn.XLOOKUP(Tabla6[[#This Row],[NOMBRE]],'RESUMEN CLIENTES'!A:A,'RESUMEN CLIENTES'!X:X)</f>
        <v>-12.8</v>
      </c>
      <c r="F468" s="72">
        <f>+_xlfn.XLOOKUP(Tabla6[[#This Row],[ID CLIENTE]],'RESUMEN CLIENTES'!D:D,'RESUMEN CLIENTES'!W:W)</f>
        <v>0</v>
      </c>
      <c r="G468" s="17">
        <v>45933</v>
      </c>
      <c r="H468" s="44" t="s">
        <v>81</v>
      </c>
      <c r="I468" s="2">
        <v>1000</v>
      </c>
      <c r="J468" s="20" t="s">
        <v>1086</v>
      </c>
      <c r="K468" t="s">
        <v>1087</v>
      </c>
      <c r="L468" s="44" t="str" cm="1">
        <f t="array" ref="L468">+_xlfn.IFS(COUNTIF(INGRESOS!E:E,Tabla6[[#This Row],[ID FACTURA]])=1,"PAGADA",Tabla6[[#This Row],[ID FACTURA]]&lt;&gt;0,"EMITIDA",Tabla6[[#This Row],[ID FACTURA]]=0,"POR EMITIR")</f>
        <v>PAGADA</v>
      </c>
      <c r="M468" s="55">
        <f>+IF(Tabla6[[#This Row],[ESTADO FACTURA]]="PAGADA",Tabla6[[#This Row],[FECHA]]-_xlfn.XLOOKUP(Tabla6[[#This Row],[N° FACTURA]],INGRESOS!F:F,INGRESOS!A:A),"-")</f>
        <v>-16</v>
      </c>
      <c r="N468" s="2"/>
      <c r="O468"/>
    </row>
    <row r="469" spans="1:15" ht="14.75" customHeight="1">
      <c r="A469" s="320" t="s">
        <v>970</v>
      </c>
      <c r="B469" t="str">
        <f>+_xlfn.XLOOKUP(Tabla6[[#This Row],[ID CLIENTE]],'RESUMEN CLIENTES'!D:D,'RESUMEN CLIENTES'!A:A)</f>
        <v>Gustavo Alexander Gonzalez Muñoz</v>
      </c>
      <c r="C469" t="str">
        <f>+_xlfn.XLOOKUP(Tabla6[[#This Row],[ID CLIENTE]],'RESUMEN CLIENTES'!D:D,'RESUMEN CLIENTES'!C:C)</f>
        <v>Colombia</v>
      </c>
      <c r="D469" s="44" t="str">
        <f>+_xlfn.XLOOKUP(Tabla6[[#This Row],[ID CLIENTE]],'RESUMEN CLIENTES'!D:D,'RESUMEN CLIENTES'!M:M)</f>
        <v>ELIMINADO</v>
      </c>
      <c r="E469" s="72">
        <f>+_xlfn.XLOOKUP(Tabla6[[#This Row],[NOMBRE]],'RESUMEN CLIENTES'!A:A,'RESUMEN CLIENTES'!X:X)</f>
        <v>-12.8</v>
      </c>
      <c r="F469" s="72">
        <f>+_xlfn.XLOOKUP(Tabla6[[#This Row],[ID CLIENTE]],'RESUMEN CLIENTES'!D:D,'RESUMEN CLIENTES'!W:W)</f>
        <v>0</v>
      </c>
      <c r="G469" s="17">
        <v>45933</v>
      </c>
      <c r="H469" s="44" t="s">
        <v>81</v>
      </c>
      <c r="I469" s="2">
        <v>1000</v>
      </c>
      <c r="J469" s="20" t="s">
        <v>1088</v>
      </c>
      <c r="K469" t="s">
        <v>1089</v>
      </c>
      <c r="L469" s="44" t="str" cm="1">
        <f t="array" ref="L469">+_xlfn.IFS(COUNTIF(INGRESOS!E:E,Tabla6[[#This Row],[ID FACTURA]])=1,"PAGADA",Tabla6[[#This Row],[ID FACTURA]]&lt;&gt;0,"EMITIDA",Tabla6[[#This Row],[ID FACTURA]]=0,"POR EMITIR")</f>
        <v>PAGADA</v>
      </c>
      <c r="M469" s="55">
        <f>+IF(Tabla6[[#This Row],[ESTADO FACTURA]]="PAGADA",Tabla6[[#This Row],[FECHA]]-_xlfn.XLOOKUP(Tabla6[[#This Row],[N° FACTURA]],INGRESOS!F:F,INGRESOS!A:A),"-")</f>
        <v>-16</v>
      </c>
      <c r="N469" s="2"/>
      <c r="O469"/>
    </row>
    <row r="470" spans="1:15" ht="14.75" customHeight="1">
      <c r="A470" s="320" t="s">
        <v>970</v>
      </c>
      <c r="B470" t="str">
        <f>+_xlfn.XLOOKUP(Tabla6[[#This Row],[ID CLIENTE]],'RESUMEN CLIENTES'!D:D,'RESUMEN CLIENTES'!A:A)</f>
        <v>Gustavo Alexander Gonzalez Muñoz</v>
      </c>
      <c r="C470" t="str">
        <f>+_xlfn.XLOOKUP(Tabla6[[#This Row],[ID CLIENTE]],'RESUMEN CLIENTES'!D:D,'RESUMEN CLIENTES'!C:C)</f>
        <v>Colombia</v>
      </c>
      <c r="D470" s="44" t="str">
        <f>+_xlfn.XLOOKUP(Tabla6[[#This Row],[ID CLIENTE]],'RESUMEN CLIENTES'!D:D,'RESUMEN CLIENTES'!M:M)</f>
        <v>ELIMINADO</v>
      </c>
      <c r="E470" s="72">
        <f>+_xlfn.XLOOKUP(Tabla6[[#This Row],[NOMBRE]],'RESUMEN CLIENTES'!A:A,'RESUMEN CLIENTES'!X:X)</f>
        <v>-12.8</v>
      </c>
      <c r="F470" s="72">
        <f>+_xlfn.XLOOKUP(Tabla6[[#This Row],[ID CLIENTE]],'RESUMEN CLIENTES'!D:D,'RESUMEN CLIENTES'!W:W)</f>
        <v>0</v>
      </c>
      <c r="G470" s="17">
        <v>45933</v>
      </c>
      <c r="H470" s="44" t="s">
        <v>81</v>
      </c>
      <c r="I470" s="2">
        <v>2000</v>
      </c>
      <c r="J470" s="20" t="s">
        <v>1090</v>
      </c>
      <c r="K470" t="s">
        <v>1091</v>
      </c>
      <c r="L470" s="44" t="str" cm="1">
        <f t="array" ref="L470">+_xlfn.IFS(COUNTIF(INGRESOS!E:E,Tabla6[[#This Row],[ID FACTURA]])=1,"PAGADA",Tabla6[[#This Row],[ID FACTURA]]&lt;&gt;0,"EMITIDA",Tabla6[[#This Row],[ID FACTURA]]=0,"POR EMITIR")</f>
        <v>PAGADA</v>
      </c>
      <c r="M470" s="55">
        <f>+IF(Tabla6[[#This Row],[ESTADO FACTURA]]="PAGADA",Tabla6[[#This Row],[FECHA]]-_xlfn.XLOOKUP(Tabla6[[#This Row],[N° FACTURA]],INGRESOS!F:F,INGRESOS!A:A),"-")</f>
        <v>-15</v>
      </c>
      <c r="N470" s="2"/>
      <c r="O470"/>
    </row>
    <row r="471" spans="1:15" ht="14.75" customHeight="1">
      <c r="A471" s="320" t="s">
        <v>484</v>
      </c>
      <c r="B471" t="str">
        <f>+_xlfn.XLOOKUP(Tabla6[[#This Row],[ID CLIENTE]],'RESUMEN CLIENTES'!D:D,'RESUMEN CLIENTES'!A:A)</f>
        <v>Liliana Alejandra Gruezo Pérez</v>
      </c>
      <c r="C471" t="str">
        <f>+_xlfn.XLOOKUP(Tabla6[[#This Row],[ID CLIENTE]],'RESUMEN CLIENTES'!D:D,'RESUMEN CLIENTES'!C:C)</f>
        <v>Ecuador</v>
      </c>
      <c r="D471" s="44" t="str">
        <f>+_xlfn.XLOOKUP(Tabla6[[#This Row],[ID CLIENTE]],'RESUMEN CLIENTES'!D:D,'RESUMEN CLIENTES'!M:M)</f>
        <v>¡REGULARIZAR!</v>
      </c>
      <c r="E471" s="72">
        <f>+_xlfn.XLOOKUP(Tabla6[[#This Row],[NOMBRE]],'RESUMEN CLIENTES'!A:A,'RESUMEN CLIENTES'!X:X)</f>
        <v>-2.2857142857142856</v>
      </c>
      <c r="F471" s="72">
        <f>+_xlfn.XLOOKUP(Tabla6[[#This Row],[ID CLIENTE]],'RESUMEN CLIENTES'!D:D,'RESUMEN CLIENTES'!W:W)</f>
        <v>1</v>
      </c>
      <c r="G471" s="17">
        <v>45933</v>
      </c>
      <c r="H471" s="44" t="s">
        <v>81</v>
      </c>
      <c r="I471" s="2">
        <v>470</v>
      </c>
      <c r="J471" s="20" t="s">
        <v>1092</v>
      </c>
      <c r="K471" t="s">
        <v>1093</v>
      </c>
      <c r="L471" s="44" t="str" cm="1">
        <f t="array" ref="L471">+_xlfn.IFS(COUNTIF(INGRESOS!E:E,Tabla6[[#This Row],[ID FACTURA]])=1,"PAGADA",Tabla6[[#This Row],[ID FACTURA]]&lt;&gt;0,"EMITIDA",Tabla6[[#This Row],[ID FACTURA]]=0,"POR EMITIR")</f>
        <v>PAGADA</v>
      </c>
      <c r="M471" s="55">
        <f>+IF(Tabla6[[#This Row],[ESTADO FACTURA]]="PAGADA",Tabla6[[#This Row],[FECHA]]-_xlfn.XLOOKUP(Tabla6[[#This Row],[N° FACTURA]],INGRESOS!F:F,INGRESOS!A:A),"-")</f>
        <v>-2</v>
      </c>
      <c r="N471" s="2"/>
      <c r="O471"/>
    </row>
    <row r="472" spans="1:15" ht="14.75" customHeight="1">
      <c r="A472" s="320" t="s">
        <v>258</v>
      </c>
      <c r="B472" t="str">
        <f>+_xlfn.XLOOKUP(Tabla6[[#This Row],[ID CLIENTE]],'RESUMEN CLIENTES'!D:D,'RESUMEN CLIENTES'!A:A)</f>
        <v>Maria Laura Rios Pino</v>
      </c>
      <c r="C472" t="str">
        <f>+_xlfn.XLOOKUP(Tabla6[[#This Row],[ID CLIENTE]],'RESUMEN CLIENTES'!D:D,'RESUMEN CLIENTES'!C:C)</f>
        <v>Perú</v>
      </c>
      <c r="D472" s="44" t="str">
        <f>+_xlfn.XLOOKUP(Tabla6[[#This Row],[ID CLIENTE]],'RESUMEN CLIENTES'!D:D,'RESUMEN CLIENTES'!M:M)</f>
        <v>OK</v>
      </c>
      <c r="E472" s="72">
        <f>+_xlfn.XLOOKUP(Tabla6[[#This Row],[NOMBRE]],'RESUMEN CLIENTES'!A:A,'RESUMEN CLIENTES'!X:X)</f>
        <v>1.4545454545454546</v>
      </c>
      <c r="F472" s="72">
        <f>+_xlfn.XLOOKUP(Tabla6[[#This Row],[ID CLIENTE]],'RESUMEN CLIENTES'!D:D,'RESUMEN CLIENTES'!W:W)</f>
        <v>0</v>
      </c>
      <c r="G472" s="17">
        <v>45933</v>
      </c>
      <c r="H472" s="44" t="s">
        <v>81</v>
      </c>
      <c r="I472" s="19">
        <v>750</v>
      </c>
      <c r="J472" s="20" t="s">
        <v>1094</v>
      </c>
      <c r="K472" t="s">
        <v>1095</v>
      </c>
      <c r="L472" s="44" t="str" cm="1">
        <f t="array" ref="L472">+_xlfn.IFS(COUNTIF(INGRESOS!E:E,Tabla6[[#This Row],[ID FACTURA]])=1,"PAGADA",Tabla6[[#This Row],[ID FACTURA]]&lt;&gt;0,"EMITIDA",Tabla6[[#This Row],[ID FACTURA]]=0,"POR EMITIR")</f>
        <v>PAGADA</v>
      </c>
      <c r="M472" s="55">
        <f>+IF(Tabla6[[#This Row],[ESTADO FACTURA]]="PAGADA",Tabla6[[#This Row],[FECHA]]-_xlfn.XLOOKUP(Tabla6[[#This Row],[N° FACTURA]],INGRESOS!F:F,INGRESOS!A:A),"-")</f>
        <v>2</v>
      </c>
      <c r="N472" s="19"/>
      <c r="O472"/>
    </row>
    <row r="473" spans="1:15" ht="15" customHeight="1">
      <c r="A473" s="320" t="s">
        <v>407</v>
      </c>
      <c r="B473" t="str">
        <f>+_xlfn.XLOOKUP(Tabla6[[#This Row],[ID CLIENTE]],'RESUMEN CLIENTES'!D:D,'RESUMEN CLIENTES'!A:A)</f>
        <v>Mayra Leonor Rivera Paico</v>
      </c>
      <c r="C473" t="str">
        <f>+_xlfn.XLOOKUP(Tabla6[[#This Row],[ID CLIENTE]],'RESUMEN CLIENTES'!D:D,'RESUMEN CLIENTES'!C:C)</f>
        <v>Perú</v>
      </c>
      <c r="D473" s="44" t="str">
        <f>+_xlfn.XLOOKUP(Tabla6[[#This Row],[ID CLIENTE]],'RESUMEN CLIENTES'!D:D,'RESUMEN CLIENTES'!M:M)</f>
        <v>OK</v>
      </c>
      <c r="E473" s="72">
        <f>+_xlfn.XLOOKUP(Tabla6[[#This Row],[NOMBRE]],'RESUMEN CLIENTES'!A:A,'RESUMEN CLIENTES'!X:X)</f>
        <v>-0.22222222222222221</v>
      </c>
      <c r="F473" s="72">
        <f>+_xlfn.XLOOKUP(Tabla6[[#This Row],[ID CLIENTE]],'RESUMEN CLIENTES'!D:D,'RESUMEN CLIENTES'!W:W)</f>
        <v>0</v>
      </c>
      <c r="G473" s="17">
        <v>45934</v>
      </c>
      <c r="H473" s="44" t="s">
        <v>81</v>
      </c>
      <c r="I473" s="2">
        <v>1000</v>
      </c>
      <c r="J473" s="20" t="s">
        <v>1096</v>
      </c>
      <c r="K473" t="s">
        <v>1097</v>
      </c>
      <c r="L473" s="44" t="str" cm="1">
        <f t="array" ref="L473">+_xlfn.IFS(COUNTIF(INGRESOS!E:E,Tabla6[[#This Row],[ID FACTURA]])=1,"PAGADA",Tabla6[[#This Row],[ID FACTURA]]&lt;&gt;0,"EMITIDA",Tabla6[[#This Row],[ID FACTURA]]=0,"POR EMITIR")</f>
        <v>PAGADA</v>
      </c>
      <c r="M473" s="55">
        <f>+IF(Tabla6[[#This Row],[ESTADO FACTURA]]="PAGADA",Tabla6[[#This Row],[FECHA]]-_xlfn.XLOOKUP(Tabla6[[#This Row],[N° FACTURA]],INGRESOS!F:F,INGRESOS!A:A),"-")</f>
        <v>1</v>
      </c>
      <c r="N473" s="2"/>
      <c r="O473"/>
    </row>
    <row r="474" spans="1:15" ht="14.75" customHeight="1">
      <c r="A474" s="320" t="s">
        <v>447</v>
      </c>
      <c r="B474" t="str">
        <f>+_xlfn.XLOOKUP(Tabla6[[#This Row],[ID CLIENTE]],'RESUMEN CLIENTES'!D:D,'RESUMEN CLIENTES'!A:A)</f>
        <v>Yefry Onil Santana Marte</v>
      </c>
      <c r="C474" t="str">
        <f>+_xlfn.XLOOKUP(Tabla6[[#This Row],[ID CLIENTE]],'RESUMEN CLIENTES'!D:D,'RESUMEN CLIENTES'!C:C)</f>
        <v>República Dominicana</v>
      </c>
      <c r="D474" s="44" t="str">
        <f>+_xlfn.XLOOKUP(Tabla6[[#This Row],[ID CLIENTE]],'RESUMEN CLIENTES'!D:D,'RESUMEN CLIENTES'!M:M)</f>
        <v>OK</v>
      </c>
      <c r="E474" s="72">
        <f>+_xlfn.XLOOKUP(Tabla6[[#This Row],[NOMBRE]],'RESUMEN CLIENTES'!A:A,'RESUMEN CLIENTES'!X:X)</f>
        <v>-0.90909090909090906</v>
      </c>
      <c r="F474" s="72">
        <f>+_xlfn.XLOOKUP(Tabla6[[#This Row],[ID CLIENTE]],'RESUMEN CLIENTES'!D:D,'RESUMEN CLIENTES'!W:W)</f>
        <v>0</v>
      </c>
      <c r="G474" s="17">
        <v>45934</v>
      </c>
      <c r="H474" s="44" t="s">
        <v>81</v>
      </c>
      <c r="I474" s="2">
        <v>625</v>
      </c>
      <c r="J474" s="20" t="s">
        <v>1098</v>
      </c>
      <c r="K474" t="s">
        <v>1099</v>
      </c>
      <c r="L474" s="44" t="str" cm="1">
        <f t="array" ref="L474">+_xlfn.IFS(COUNTIF(INGRESOS!E:E,Tabla6[[#This Row],[ID FACTURA]])=1,"PAGADA",Tabla6[[#This Row],[ID FACTURA]]&lt;&gt;0,"EMITIDA",Tabla6[[#This Row],[ID FACTURA]]=0,"POR EMITIR")</f>
        <v>PAGADA</v>
      </c>
      <c r="M474" s="55">
        <f>+IF(Tabla6[[#This Row],[ESTADO FACTURA]]="PAGADA",Tabla6[[#This Row],[FECHA]]-_xlfn.XLOOKUP(Tabla6[[#This Row],[N° FACTURA]],INGRESOS!F:F,INGRESOS!A:A),"-")</f>
        <v>-1</v>
      </c>
      <c r="N474" s="2"/>
      <c r="O474"/>
    </row>
    <row r="475" spans="1:15" ht="14.75" customHeight="1">
      <c r="A475" s="320" t="s">
        <v>447</v>
      </c>
      <c r="B475" t="str">
        <f>+_xlfn.XLOOKUP(Tabla6[[#This Row],[ID CLIENTE]],'RESUMEN CLIENTES'!D:D,'RESUMEN CLIENTES'!A:A)</f>
        <v>Yefry Onil Santana Marte</v>
      </c>
      <c r="C475" t="str">
        <f>+_xlfn.XLOOKUP(Tabla6[[#This Row],[ID CLIENTE]],'RESUMEN CLIENTES'!D:D,'RESUMEN CLIENTES'!C:C)</f>
        <v>República Dominicana</v>
      </c>
      <c r="D475" s="44" t="str">
        <f>+_xlfn.XLOOKUP(Tabla6[[#This Row],[ID CLIENTE]],'RESUMEN CLIENTES'!D:D,'RESUMEN CLIENTES'!M:M)</f>
        <v>OK</v>
      </c>
      <c r="E475" s="72">
        <f>+_xlfn.XLOOKUP(Tabla6[[#This Row],[NOMBRE]],'RESUMEN CLIENTES'!A:A,'RESUMEN CLIENTES'!X:X)</f>
        <v>-0.90909090909090906</v>
      </c>
      <c r="F475" s="72">
        <f>+_xlfn.XLOOKUP(Tabla6[[#This Row],[ID CLIENTE]],'RESUMEN CLIENTES'!D:D,'RESUMEN CLIENTES'!W:W)</f>
        <v>0</v>
      </c>
      <c r="G475" s="17">
        <v>45934</v>
      </c>
      <c r="H475" s="44" t="s">
        <v>81</v>
      </c>
      <c r="I475" s="2">
        <v>625</v>
      </c>
      <c r="J475" s="20" t="s">
        <v>1100</v>
      </c>
      <c r="K475" t="s">
        <v>1101</v>
      </c>
      <c r="L475" s="44" t="str" cm="1">
        <f t="array" ref="L475">+_xlfn.IFS(COUNTIF(INGRESOS!E:E,Tabla6[[#This Row],[ID FACTURA]])=1,"PAGADA",Tabla6[[#This Row],[ID FACTURA]]&lt;&gt;0,"EMITIDA",Tabla6[[#This Row],[ID FACTURA]]=0,"POR EMITIR")</f>
        <v>PAGADA</v>
      </c>
      <c r="M475" s="55">
        <f>+IF(Tabla6[[#This Row],[ESTADO FACTURA]]="PAGADA",Tabla6[[#This Row],[FECHA]]-_xlfn.XLOOKUP(Tabla6[[#This Row],[N° FACTURA]],INGRESOS!F:F,INGRESOS!A:A),"-")</f>
        <v>1</v>
      </c>
      <c r="N475" s="2"/>
      <c r="O475"/>
    </row>
    <row r="476" spans="1:15" ht="14.75" customHeight="1">
      <c r="A476" s="320" t="s">
        <v>447</v>
      </c>
      <c r="B476" t="str">
        <f>+_xlfn.XLOOKUP(Tabla6[[#This Row],[ID CLIENTE]],'RESUMEN CLIENTES'!D:D,'RESUMEN CLIENTES'!A:A)</f>
        <v>Yefry Onil Santana Marte</v>
      </c>
      <c r="C476" t="str">
        <f>+_xlfn.XLOOKUP(Tabla6[[#This Row],[ID CLIENTE]],'RESUMEN CLIENTES'!D:D,'RESUMEN CLIENTES'!C:C)</f>
        <v>República Dominicana</v>
      </c>
      <c r="D476" s="44" t="str">
        <f>+_xlfn.XLOOKUP(Tabla6[[#This Row],[ID CLIENTE]],'RESUMEN CLIENTES'!D:D,'RESUMEN CLIENTES'!M:M)</f>
        <v>OK</v>
      </c>
      <c r="E476" s="72">
        <f>+_xlfn.XLOOKUP(Tabla6[[#This Row],[NOMBRE]],'RESUMEN CLIENTES'!A:A,'RESUMEN CLIENTES'!X:X)</f>
        <v>-0.90909090909090906</v>
      </c>
      <c r="F476" s="72">
        <f>+_xlfn.XLOOKUP(Tabla6[[#This Row],[ID CLIENTE]],'RESUMEN CLIENTES'!D:D,'RESUMEN CLIENTES'!W:W)</f>
        <v>0</v>
      </c>
      <c r="G476" s="17">
        <v>45934</v>
      </c>
      <c r="H476" s="44" t="s">
        <v>81</v>
      </c>
      <c r="I476" s="2">
        <v>625</v>
      </c>
      <c r="J476" s="20" t="s">
        <v>1102</v>
      </c>
      <c r="K476" t="s">
        <v>1103</v>
      </c>
      <c r="L476" s="44" t="str" cm="1">
        <f t="array" ref="L476">+_xlfn.IFS(COUNTIF(INGRESOS!E:E,Tabla6[[#This Row],[ID FACTURA]])=1,"PAGADA",Tabla6[[#This Row],[ID FACTURA]]&lt;&gt;0,"EMITIDA",Tabla6[[#This Row],[ID FACTURA]]=0,"POR EMITIR")</f>
        <v>PAGADA</v>
      </c>
      <c r="M476" s="55">
        <f>+IF(Tabla6[[#This Row],[ESTADO FACTURA]]="PAGADA",Tabla6[[#This Row],[FECHA]]-_xlfn.XLOOKUP(Tabla6[[#This Row],[N° FACTURA]],INGRESOS!F:F,INGRESOS!A:A),"-")</f>
        <v>2</v>
      </c>
      <c r="N476" s="2"/>
      <c r="O476"/>
    </row>
    <row r="477" spans="1:15" ht="14.75" customHeight="1">
      <c r="A477" s="320" t="s">
        <v>165</v>
      </c>
      <c r="B477" t="str">
        <f>+_xlfn.XLOOKUP(Tabla6[[#This Row],[ID CLIENTE]],'RESUMEN CLIENTES'!D:D,'RESUMEN CLIENTES'!A:A)</f>
        <v>Alejandra Leva Vallejo</v>
      </c>
      <c r="C477" t="str">
        <f>+_xlfn.XLOOKUP(Tabla6[[#This Row],[ID CLIENTE]],'RESUMEN CLIENTES'!D:D,'RESUMEN CLIENTES'!C:C)</f>
        <v>México</v>
      </c>
      <c r="D477" s="44" t="str">
        <f>+_xlfn.XLOOKUP(Tabla6[[#This Row],[ID CLIENTE]],'RESUMEN CLIENTES'!D:D,'RESUMEN CLIENTES'!M:M)</f>
        <v>OK</v>
      </c>
      <c r="E477" s="72">
        <f>+_xlfn.XLOOKUP(Tabla6[[#This Row],[NOMBRE]],'RESUMEN CLIENTES'!A:A,'RESUMEN CLIENTES'!X:X)</f>
        <v>0</v>
      </c>
      <c r="F477" s="72">
        <f>+_xlfn.XLOOKUP(Tabla6[[#This Row],[ID CLIENTE]],'RESUMEN CLIENTES'!D:D,'RESUMEN CLIENTES'!W:W)</f>
        <v>1</v>
      </c>
      <c r="G477" s="17">
        <v>45935</v>
      </c>
      <c r="H477" s="44" t="s">
        <v>81</v>
      </c>
      <c r="I477" s="2">
        <v>1000</v>
      </c>
      <c r="J477" s="20" t="s">
        <v>1104</v>
      </c>
      <c r="K477" t="s">
        <v>1105</v>
      </c>
      <c r="L477" s="44" t="str" cm="1">
        <f t="array" ref="L477">+_xlfn.IFS(COUNTIF(INGRESOS!E:E,Tabla6[[#This Row],[ID FACTURA]])=1,"PAGADA",Tabla6[[#This Row],[ID FACTURA]]&lt;&gt;0,"EMITIDA",Tabla6[[#This Row],[ID FACTURA]]=0,"POR EMITIR")</f>
        <v>PAGADA</v>
      </c>
      <c r="M477" s="55">
        <f>+IF(Tabla6[[#This Row],[ESTADO FACTURA]]="PAGADA",Tabla6[[#This Row],[FECHA]]-_xlfn.XLOOKUP(Tabla6[[#This Row],[N° FACTURA]],INGRESOS!F:F,INGRESOS!A:A),"-")</f>
        <v>0</v>
      </c>
      <c r="N477" s="2"/>
      <c r="O477"/>
    </row>
    <row r="478" spans="1:15" ht="14.75" customHeight="1">
      <c r="A478" s="320" t="s">
        <v>203</v>
      </c>
      <c r="B478" t="str">
        <f>+_xlfn.XLOOKUP(Tabla6[[#This Row],[ID CLIENTE]],'RESUMEN CLIENTES'!D:D,'RESUMEN CLIENTES'!A:A)</f>
        <v>Bernardita Lobo Zegers</v>
      </c>
      <c r="C478" t="str">
        <f>+_xlfn.XLOOKUP(Tabla6[[#This Row],[ID CLIENTE]],'RESUMEN CLIENTES'!D:D,'RESUMEN CLIENTES'!C:C)</f>
        <v>México</v>
      </c>
      <c r="D478" s="44" t="str">
        <f>+_xlfn.XLOOKUP(Tabla6[[#This Row],[ID CLIENTE]],'RESUMEN CLIENTES'!D:D,'RESUMEN CLIENTES'!M:M)</f>
        <v>OK</v>
      </c>
      <c r="E478" s="72">
        <f>+_xlfn.XLOOKUP(Tabla6[[#This Row],[NOMBRE]],'RESUMEN CLIENTES'!A:A,'RESUMEN CLIENTES'!X:X)</f>
        <v>-0.8</v>
      </c>
      <c r="F478" s="72">
        <f>+_xlfn.XLOOKUP(Tabla6[[#This Row],[ID CLIENTE]],'RESUMEN CLIENTES'!D:D,'RESUMEN CLIENTES'!W:W)</f>
        <v>1</v>
      </c>
      <c r="G478" s="17">
        <v>45935</v>
      </c>
      <c r="H478" s="44" t="s">
        <v>81</v>
      </c>
      <c r="I478" s="2">
        <v>1000</v>
      </c>
      <c r="J478" s="20" t="s">
        <v>1106</v>
      </c>
      <c r="K478" t="s">
        <v>1107</v>
      </c>
      <c r="L478" s="44" t="str" cm="1">
        <f t="array" ref="L478">+_xlfn.IFS(COUNTIF(INGRESOS!E:E,Tabla6[[#This Row],[ID FACTURA]])=1,"PAGADA",Tabla6[[#This Row],[ID FACTURA]]&lt;&gt;0,"EMITIDA",Tabla6[[#This Row],[ID FACTURA]]=0,"POR EMITIR")</f>
        <v>PAGADA</v>
      </c>
      <c r="M478" s="55">
        <f>+IF(Tabla6[[#This Row],[ESTADO FACTURA]]="PAGADA",Tabla6[[#This Row],[FECHA]]-_xlfn.XLOOKUP(Tabla6[[#This Row],[N° FACTURA]],INGRESOS!F:F,INGRESOS!A:A),"-")</f>
        <v>-3</v>
      </c>
      <c r="N478" s="2"/>
      <c r="O478"/>
    </row>
    <row r="479" spans="1:15" ht="14.75" customHeight="1">
      <c r="A479" s="320" t="s">
        <v>184</v>
      </c>
      <c r="B479" t="str">
        <f>+_xlfn.XLOOKUP(Tabla6[[#This Row],[ID CLIENTE]],'RESUMEN CLIENTES'!D:D,'RESUMEN CLIENTES'!A:A)</f>
        <v>Boris Andrés Silva Véliz</v>
      </c>
      <c r="C479" t="str">
        <f>+_xlfn.XLOOKUP(Tabla6[[#This Row],[ID CLIENTE]],'RESUMEN CLIENTES'!D:D,'RESUMEN CLIENTES'!C:C)</f>
        <v>Chile</v>
      </c>
      <c r="D479" s="44" t="str">
        <f>+_xlfn.XLOOKUP(Tabla6[[#This Row],[ID CLIENTE]],'RESUMEN CLIENTES'!D:D,'RESUMEN CLIENTES'!M:M)</f>
        <v>OK</v>
      </c>
      <c r="E479" s="72">
        <f>+_xlfn.XLOOKUP(Tabla6[[#This Row],[NOMBRE]],'RESUMEN CLIENTES'!A:A,'RESUMEN CLIENTES'!X:X)</f>
        <v>2.1111111111111112</v>
      </c>
      <c r="F479" s="72">
        <f>+_xlfn.XLOOKUP(Tabla6[[#This Row],[ID CLIENTE]],'RESUMEN CLIENTES'!D:D,'RESUMEN CLIENTES'!W:W)</f>
        <v>0</v>
      </c>
      <c r="G479" s="17">
        <v>45935</v>
      </c>
      <c r="H479" s="44" t="s">
        <v>81</v>
      </c>
      <c r="I479" s="2">
        <v>695</v>
      </c>
      <c r="J479" s="20" t="s">
        <v>1108</v>
      </c>
      <c r="K479" t="s">
        <v>1109</v>
      </c>
      <c r="L479" s="44" t="str" cm="1">
        <f t="array" ref="L479">+_xlfn.IFS(COUNTIF(INGRESOS!E:E,Tabla6[[#This Row],[ID FACTURA]])=1,"PAGADA",Tabla6[[#This Row],[ID FACTURA]]&lt;&gt;0,"EMITIDA",Tabla6[[#This Row],[ID FACTURA]]=0,"POR EMITIR")</f>
        <v>PAGADA</v>
      </c>
      <c r="M479" s="55">
        <f>+IF(Tabla6[[#This Row],[ESTADO FACTURA]]="PAGADA",Tabla6[[#This Row],[FECHA]]-_xlfn.XLOOKUP(Tabla6[[#This Row],[N° FACTURA]],INGRESOS!F:F,INGRESOS!A:A),"-")</f>
        <v>3</v>
      </c>
      <c r="N479" s="2"/>
      <c r="O479"/>
    </row>
    <row r="480" spans="1:15" ht="14.75" customHeight="1">
      <c r="A480" s="320" t="s">
        <v>118</v>
      </c>
      <c r="B480" t="str">
        <f>+_xlfn.XLOOKUP(Tabla6[[#This Row],[ID CLIENTE]],'RESUMEN CLIENTES'!D:D,'RESUMEN CLIENTES'!A:A)</f>
        <v>Camila Sanchez Aravena</v>
      </c>
      <c r="C480" t="str">
        <f>+_xlfn.XLOOKUP(Tabla6[[#This Row],[ID CLIENTE]],'RESUMEN CLIENTES'!D:D,'RESUMEN CLIENTES'!C:C)</f>
        <v>Chile</v>
      </c>
      <c r="D480" s="44" t="str">
        <f>+_xlfn.XLOOKUP(Tabla6[[#This Row],[ID CLIENTE]],'RESUMEN CLIENTES'!D:D,'RESUMEN CLIENTES'!M:M)</f>
        <v>OK</v>
      </c>
      <c r="E480" s="72">
        <f>+_xlfn.XLOOKUP(Tabla6[[#This Row],[NOMBRE]],'RESUMEN CLIENTES'!A:A,'RESUMEN CLIENTES'!X:X)</f>
        <v>-1</v>
      </c>
      <c r="F480" s="72">
        <f>+_xlfn.XLOOKUP(Tabla6[[#This Row],[ID CLIENTE]],'RESUMEN CLIENTES'!D:D,'RESUMEN CLIENTES'!W:W)</f>
        <v>1</v>
      </c>
      <c r="G480" s="17">
        <v>45935</v>
      </c>
      <c r="H480" s="44" t="s">
        <v>81</v>
      </c>
      <c r="I480" s="2">
        <v>600</v>
      </c>
      <c r="J480" s="20" t="s">
        <v>1110</v>
      </c>
      <c r="K480" t="s">
        <v>1111</v>
      </c>
      <c r="L480" s="44" t="str" cm="1">
        <f t="array" ref="L480">+_xlfn.IFS(COUNTIF(INGRESOS!E:E,Tabla6[[#This Row],[ID FACTURA]])=1,"PAGADA",Tabla6[[#This Row],[ID FACTURA]]&lt;&gt;0,"EMITIDA",Tabla6[[#This Row],[ID FACTURA]]=0,"POR EMITIR")</f>
        <v>PAGADA</v>
      </c>
      <c r="M480" s="55">
        <f>+IF(Tabla6[[#This Row],[ESTADO FACTURA]]="PAGADA",Tabla6[[#This Row],[FECHA]]-_xlfn.XLOOKUP(Tabla6[[#This Row],[N° FACTURA]],INGRESOS!F:F,INGRESOS!A:A),"-")</f>
        <v>1</v>
      </c>
      <c r="N480" s="2"/>
      <c r="O480"/>
    </row>
    <row r="481" spans="1:15" ht="14.75" customHeight="1">
      <c r="A481" s="320" t="s">
        <v>168</v>
      </c>
      <c r="B481" t="str">
        <f>+_xlfn.XLOOKUP(Tabla6[[#This Row],[ID CLIENTE]],'RESUMEN CLIENTES'!D:D,'RESUMEN CLIENTES'!A:A)</f>
        <v xml:space="preserve">Catalina Ochoa Urrutia
</v>
      </c>
      <c r="C481" t="str">
        <f>+_xlfn.XLOOKUP(Tabla6[[#This Row],[ID CLIENTE]],'RESUMEN CLIENTES'!D:D,'RESUMEN CLIENTES'!C:C)</f>
        <v>Chile</v>
      </c>
      <c r="D481" s="44" t="str">
        <f>+_xlfn.XLOOKUP(Tabla6[[#This Row],[ID CLIENTE]],'RESUMEN CLIENTES'!D:D,'RESUMEN CLIENTES'!M:M)</f>
        <v>OK</v>
      </c>
      <c r="E481" s="72">
        <f>+_xlfn.XLOOKUP(Tabla6[[#This Row],[NOMBRE]],'RESUMEN CLIENTES'!A:A,'RESUMEN CLIENTES'!X:X)</f>
        <v>0.75</v>
      </c>
      <c r="F481" s="72">
        <f>+_xlfn.XLOOKUP(Tabla6[[#This Row],[ID CLIENTE]],'RESUMEN CLIENTES'!D:D,'RESUMEN CLIENTES'!W:W)</f>
        <v>1</v>
      </c>
      <c r="G481" s="17">
        <v>45935</v>
      </c>
      <c r="H481" s="44" t="s">
        <v>81</v>
      </c>
      <c r="I481" s="2">
        <v>1500</v>
      </c>
      <c r="J481" s="20" t="s">
        <v>1112</v>
      </c>
      <c r="K481" t="s">
        <v>1113</v>
      </c>
      <c r="L481" s="44" t="str" cm="1">
        <f t="array" ref="L481">+_xlfn.IFS(COUNTIF(INGRESOS!E:E,Tabla6[[#This Row],[ID FACTURA]])=1,"PAGADA",Tabla6[[#This Row],[ID FACTURA]]&lt;&gt;0,"EMITIDA",Tabla6[[#This Row],[ID FACTURA]]=0,"POR EMITIR")</f>
        <v>PAGADA</v>
      </c>
      <c r="M481" s="55">
        <f>+IF(Tabla6[[#This Row],[ESTADO FACTURA]]="PAGADA",Tabla6[[#This Row],[FECHA]]-_xlfn.XLOOKUP(Tabla6[[#This Row],[N° FACTURA]],INGRESOS!F:F,INGRESOS!A:A),"-")</f>
        <v>0</v>
      </c>
      <c r="N481" s="2"/>
      <c r="O481"/>
    </row>
    <row r="482" spans="1:15" ht="14.75" customHeight="1">
      <c r="A482" s="320" t="s">
        <v>756</v>
      </c>
      <c r="B482" t="str">
        <f>+_xlfn.XLOOKUP(Tabla6[[#This Row],[ID CLIENTE]],'RESUMEN CLIENTES'!D:D,'RESUMEN CLIENTES'!A:A)</f>
        <v>Daniela Luise Reisenegger Scheel</v>
      </c>
      <c r="C482" t="str">
        <f>+_xlfn.XLOOKUP(Tabla6[[#This Row],[ID CLIENTE]],'RESUMEN CLIENTES'!D:D,'RESUMEN CLIENTES'!C:C)</f>
        <v>Chile</v>
      </c>
      <c r="D482" s="44" t="str">
        <f>+_xlfn.XLOOKUP(Tabla6[[#This Row],[ID CLIENTE]],'RESUMEN CLIENTES'!D:D,'RESUMEN CLIENTES'!M:M)</f>
        <v>ELIMINADO</v>
      </c>
      <c r="E482" s="72">
        <f>+_xlfn.XLOOKUP(Tabla6[[#This Row],[NOMBRE]],'RESUMEN CLIENTES'!A:A,'RESUMEN CLIENTES'!X:X)</f>
        <v>-4.333333333333333</v>
      </c>
      <c r="F482" s="72">
        <f>+_xlfn.XLOOKUP(Tabla6[[#This Row],[ID CLIENTE]],'RESUMEN CLIENTES'!D:D,'RESUMEN CLIENTES'!W:W)</f>
        <v>0</v>
      </c>
      <c r="G482" s="17">
        <v>45935</v>
      </c>
      <c r="H482" s="44" t="s">
        <v>81</v>
      </c>
      <c r="I482" s="2">
        <v>4000</v>
      </c>
      <c r="J482" s="20" t="s">
        <v>1114</v>
      </c>
      <c r="K482" t="s">
        <v>1115</v>
      </c>
      <c r="L482" s="44" t="str" cm="1">
        <f t="array" ref="L482">+_xlfn.IFS(COUNTIF(INGRESOS!E:E,Tabla6[[#This Row],[ID FACTURA]])=1,"PAGADA",Tabla6[[#This Row],[ID FACTURA]]&lt;&gt;0,"EMITIDA",Tabla6[[#This Row],[ID FACTURA]]=0,"POR EMITIR")</f>
        <v>PAGADA</v>
      </c>
      <c r="M482" s="55">
        <f>+IF(Tabla6[[#This Row],[ESTADO FACTURA]]="PAGADA",Tabla6[[#This Row],[FECHA]]-_xlfn.XLOOKUP(Tabla6[[#This Row],[N° FACTURA]],INGRESOS!F:F,INGRESOS!A:A),"-")</f>
        <v>-9</v>
      </c>
      <c r="N482" s="2"/>
      <c r="O482" s="8"/>
    </row>
    <row r="483" spans="1:15" ht="14.75" customHeight="1">
      <c r="A483" s="320" t="s">
        <v>194</v>
      </c>
      <c r="B483" t="str">
        <f>+_xlfn.XLOOKUP(Tabla6[[#This Row],[ID CLIENTE]],'RESUMEN CLIENTES'!D:D,'RESUMEN CLIENTES'!A:A)</f>
        <v>Dinorah Gómez Castellanos</v>
      </c>
      <c r="C483" t="str">
        <f>+_xlfn.XLOOKUP(Tabla6[[#This Row],[ID CLIENTE]],'RESUMEN CLIENTES'!D:D,'RESUMEN CLIENTES'!C:C)</f>
        <v>México</v>
      </c>
      <c r="D483" s="44" t="str">
        <f>+_xlfn.XLOOKUP(Tabla6[[#This Row],[ID CLIENTE]],'RESUMEN CLIENTES'!D:D,'RESUMEN CLIENTES'!M:M)</f>
        <v>OK</v>
      </c>
      <c r="E483" s="72">
        <f>+_xlfn.XLOOKUP(Tabla6[[#This Row],[NOMBRE]],'RESUMEN CLIENTES'!A:A,'RESUMEN CLIENTES'!X:X)</f>
        <v>2.75</v>
      </c>
      <c r="F483" s="72">
        <f>+_xlfn.XLOOKUP(Tabla6[[#This Row],[ID CLIENTE]],'RESUMEN CLIENTES'!D:D,'RESUMEN CLIENTES'!W:W)</f>
        <v>0</v>
      </c>
      <c r="G483" s="17">
        <v>45935</v>
      </c>
      <c r="H483" s="44" t="s">
        <v>81</v>
      </c>
      <c r="I483" s="2">
        <v>800</v>
      </c>
      <c r="J483" s="20" t="s">
        <v>1116</v>
      </c>
      <c r="K483" t="s">
        <v>1117</v>
      </c>
      <c r="L483" s="44" t="str" cm="1">
        <f t="array" ref="L483">+_xlfn.IFS(COUNTIF(INGRESOS!E:E,Tabla6[[#This Row],[ID FACTURA]])=1,"PAGADA",Tabla6[[#This Row],[ID FACTURA]]&lt;&gt;0,"EMITIDA",Tabla6[[#This Row],[ID FACTURA]]=0,"POR EMITIR")</f>
        <v>PAGADA</v>
      </c>
      <c r="M483" s="55">
        <f>+IF(Tabla6[[#This Row],[ESTADO FACTURA]]="PAGADA",Tabla6[[#This Row],[FECHA]]-_xlfn.XLOOKUP(Tabla6[[#This Row],[N° FACTURA]],INGRESOS!F:F,INGRESOS!A:A),"-")</f>
        <v>2</v>
      </c>
      <c r="N483" s="2"/>
      <c r="O483"/>
    </row>
    <row r="484" spans="1:15" ht="14.75" customHeight="1">
      <c r="A484" s="320" t="s">
        <v>787</v>
      </c>
      <c r="B484" t="str">
        <f>+_xlfn.XLOOKUP(Tabla6[[#This Row],[ID CLIENTE]],'RESUMEN CLIENTES'!D:D,'RESUMEN CLIENTES'!A:A)</f>
        <v>Florencia Luján Sapia</v>
      </c>
      <c r="C484" t="str">
        <f>+_xlfn.XLOOKUP(Tabla6[[#This Row],[ID CLIENTE]],'RESUMEN CLIENTES'!D:D,'RESUMEN CLIENTES'!C:C)</f>
        <v>Argentina</v>
      </c>
      <c r="D484" s="44" t="str">
        <f>+_xlfn.XLOOKUP(Tabla6[[#This Row],[ID CLIENTE]],'RESUMEN CLIENTES'!D:D,'RESUMEN CLIENTES'!M:M)</f>
        <v>OK</v>
      </c>
      <c r="E484" s="72">
        <f>+_xlfn.XLOOKUP(Tabla6[[#This Row],[NOMBRE]],'RESUMEN CLIENTES'!A:A,'RESUMEN CLIENTES'!X:X)</f>
        <v>-0.77777777777777779</v>
      </c>
      <c r="F484" s="72">
        <f>+_xlfn.XLOOKUP(Tabla6[[#This Row],[ID CLIENTE]],'RESUMEN CLIENTES'!D:D,'RESUMEN CLIENTES'!W:W)</f>
        <v>1</v>
      </c>
      <c r="G484" s="17">
        <v>45935</v>
      </c>
      <c r="H484" s="44" t="s">
        <v>81</v>
      </c>
      <c r="I484" s="2">
        <v>600</v>
      </c>
      <c r="J484" s="20" t="s">
        <v>1118</v>
      </c>
      <c r="K484" t="s">
        <v>1119</v>
      </c>
      <c r="L484" s="44" t="str" cm="1">
        <f t="array" ref="L484">+_xlfn.IFS(COUNTIF(INGRESOS!E:E,Tabla6[[#This Row],[ID FACTURA]])=1,"PAGADA",Tabla6[[#This Row],[ID FACTURA]]&lt;&gt;0,"EMITIDA",Tabla6[[#This Row],[ID FACTURA]]=0,"POR EMITIR")</f>
        <v>PAGADA</v>
      </c>
      <c r="M484" s="55">
        <f>+IF(Tabla6[[#This Row],[ESTADO FACTURA]]="PAGADA",Tabla6[[#This Row],[FECHA]]-_xlfn.XLOOKUP(Tabla6[[#This Row],[N° FACTURA]],INGRESOS!F:F,INGRESOS!A:A),"-")</f>
        <v>-2</v>
      </c>
      <c r="N484" s="2"/>
      <c r="O484"/>
    </row>
    <row r="485" spans="1:15" ht="14.75" customHeight="1">
      <c r="A485" s="320" t="s">
        <v>171</v>
      </c>
      <c r="B485" t="str">
        <f>+_xlfn.XLOOKUP(Tabla6[[#This Row],[ID CLIENTE]],'RESUMEN CLIENTES'!D:D,'RESUMEN CLIENTES'!A:A)</f>
        <v>Guillermo Alfonso Garvalena Gaxiola</v>
      </c>
      <c r="C485" t="str">
        <f>+_xlfn.XLOOKUP(Tabla6[[#This Row],[ID CLIENTE]],'RESUMEN CLIENTES'!D:D,'RESUMEN CLIENTES'!C:C)</f>
        <v>México</v>
      </c>
      <c r="D485" s="44" t="str">
        <f>+_xlfn.XLOOKUP(Tabla6[[#This Row],[ID CLIENTE]],'RESUMEN CLIENTES'!D:D,'RESUMEN CLIENTES'!M:M)</f>
        <v>OK</v>
      </c>
      <c r="E485" s="72">
        <f>+_xlfn.XLOOKUP(Tabla6[[#This Row],[NOMBRE]],'RESUMEN CLIENTES'!A:A,'RESUMEN CLIENTES'!X:X)</f>
        <v>1.173913043478261</v>
      </c>
      <c r="F485" s="72">
        <f>+_xlfn.XLOOKUP(Tabla6[[#This Row],[ID CLIENTE]],'RESUMEN CLIENTES'!D:D,'RESUMEN CLIENTES'!W:W)</f>
        <v>1</v>
      </c>
      <c r="G485" s="17">
        <v>45935</v>
      </c>
      <c r="H485" s="44" t="s">
        <v>81</v>
      </c>
      <c r="I485" s="2">
        <v>200</v>
      </c>
      <c r="J485" s="20" t="s">
        <v>1120</v>
      </c>
      <c r="K485" t="s">
        <v>1121</v>
      </c>
      <c r="L485" s="44" t="str" cm="1">
        <f t="array" ref="L485">+_xlfn.IFS(COUNTIF(INGRESOS!E:E,Tabla6[[#This Row],[ID FACTURA]])=1,"PAGADA",Tabla6[[#This Row],[ID FACTURA]]&lt;&gt;0,"EMITIDA",Tabla6[[#This Row],[ID FACTURA]]=0,"POR EMITIR")</f>
        <v>PAGADA</v>
      </c>
      <c r="M485" s="55">
        <f>+IF(Tabla6[[#This Row],[ESTADO FACTURA]]="PAGADA",Tabla6[[#This Row],[FECHA]]-_xlfn.XLOOKUP(Tabla6[[#This Row],[N° FACTURA]],INGRESOS!F:F,INGRESOS!A:A),"-")</f>
        <v>2</v>
      </c>
      <c r="N485" s="2"/>
      <c r="O485"/>
    </row>
    <row r="486" spans="1:15" ht="14.75" customHeight="1">
      <c r="A486" s="320" t="s">
        <v>171</v>
      </c>
      <c r="B486" t="str">
        <f>+_xlfn.XLOOKUP(Tabla6[[#This Row],[ID CLIENTE]],'RESUMEN CLIENTES'!D:D,'RESUMEN CLIENTES'!A:A)</f>
        <v>Guillermo Alfonso Garvalena Gaxiola</v>
      </c>
      <c r="C486" t="str">
        <f>+_xlfn.XLOOKUP(Tabla6[[#This Row],[ID CLIENTE]],'RESUMEN CLIENTES'!D:D,'RESUMEN CLIENTES'!C:C)</f>
        <v>México</v>
      </c>
      <c r="D486" s="44" t="str">
        <f>+_xlfn.XLOOKUP(Tabla6[[#This Row],[ID CLIENTE]],'RESUMEN CLIENTES'!D:D,'RESUMEN CLIENTES'!M:M)</f>
        <v>OK</v>
      </c>
      <c r="E486" s="72">
        <f>+_xlfn.XLOOKUP(Tabla6[[#This Row],[NOMBRE]],'RESUMEN CLIENTES'!A:A,'RESUMEN CLIENTES'!X:X)</f>
        <v>1.173913043478261</v>
      </c>
      <c r="F486" s="72">
        <f>+_xlfn.XLOOKUP(Tabla6[[#This Row],[ID CLIENTE]],'RESUMEN CLIENTES'!D:D,'RESUMEN CLIENTES'!W:W)</f>
        <v>1</v>
      </c>
      <c r="G486" s="17">
        <v>45935</v>
      </c>
      <c r="H486" s="44" t="s">
        <v>81</v>
      </c>
      <c r="I486" s="2">
        <v>500</v>
      </c>
      <c r="J486" s="20" t="s">
        <v>1122</v>
      </c>
      <c r="K486" t="s">
        <v>1123</v>
      </c>
      <c r="L486" s="44" t="str" cm="1">
        <f t="array" ref="L486">+_xlfn.IFS(COUNTIF(INGRESOS!E:E,Tabla6[[#This Row],[ID FACTURA]])=1,"PAGADA",Tabla6[[#This Row],[ID FACTURA]]&lt;&gt;0,"EMITIDA",Tabla6[[#This Row],[ID FACTURA]]=0,"POR EMITIR")</f>
        <v>PAGADA</v>
      </c>
      <c r="M486" s="55">
        <f>+IF(Tabla6[[#This Row],[ESTADO FACTURA]]="PAGADA",Tabla6[[#This Row],[FECHA]]-_xlfn.XLOOKUP(Tabla6[[#This Row],[N° FACTURA]],INGRESOS!F:F,INGRESOS!A:A),"-")</f>
        <v>2</v>
      </c>
      <c r="N486" s="2"/>
      <c r="O486"/>
    </row>
    <row r="487" spans="1:15" ht="14.75" customHeight="1">
      <c r="A487" s="320" t="s">
        <v>109</v>
      </c>
      <c r="B487" t="str">
        <f>+_xlfn.XLOOKUP(Tabla6[[#This Row],[ID CLIENTE]],'RESUMEN CLIENTES'!D:D,'RESUMEN CLIENTES'!A:A)</f>
        <v>Ian Job Lino Durán</v>
      </c>
      <c r="C487" t="str">
        <f>+_xlfn.XLOOKUP(Tabla6[[#This Row],[ID CLIENTE]],'RESUMEN CLIENTES'!D:D,'RESUMEN CLIENTES'!C:C)</f>
        <v>México</v>
      </c>
      <c r="D487" s="44" t="str">
        <f>+_xlfn.XLOOKUP(Tabla6[[#This Row],[ID CLIENTE]],'RESUMEN CLIENTES'!D:D,'RESUMEN CLIENTES'!M:M)</f>
        <v>OK</v>
      </c>
      <c r="E487" s="72">
        <f>+_xlfn.XLOOKUP(Tabla6[[#This Row],[NOMBRE]],'RESUMEN CLIENTES'!A:A,'RESUMEN CLIENTES'!X:X)</f>
        <v>0.1</v>
      </c>
      <c r="F487" s="72">
        <f>+_xlfn.XLOOKUP(Tabla6[[#This Row],[ID CLIENTE]],'RESUMEN CLIENTES'!D:D,'RESUMEN CLIENTES'!W:W)</f>
        <v>1</v>
      </c>
      <c r="G487" s="17">
        <v>45935</v>
      </c>
      <c r="H487" s="44" t="s">
        <v>81</v>
      </c>
      <c r="I487" s="2">
        <v>1000</v>
      </c>
      <c r="J487" s="20" t="s">
        <v>1124</v>
      </c>
      <c r="K487" t="s">
        <v>1125</v>
      </c>
      <c r="L487" s="44" t="str" cm="1">
        <f t="array" ref="L487">+_xlfn.IFS(COUNTIF(INGRESOS!E:E,Tabla6[[#This Row],[ID FACTURA]])=1,"PAGADA",Tabla6[[#This Row],[ID FACTURA]]&lt;&gt;0,"EMITIDA",Tabla6[[#This Row],[ID FACTURA]]=0,"POR EMITIR")</f>
        <v>PAGADA</v>
      </c>
      <c r="M487" s="55">
        <f>+IF(Tabla6[[#This Row],[ESTADO FACTURA]]="PAGADA",Tabla6[[#This Row],[FECHA]]-_xlfn.XLOOKUP(Tabla6[[#This Row],[N° FACTURA]],INGRESOS!F:F,INGRESOS!A:A),"-")</f>
        <v>2</v>
      </c>
      <c r="N487" s="2"/>
      <c r="O487"/>
    </row>
    <row r="488" spans="1:15" ht="14.75" customHeight="1">
      <c r="A488" s="320" t="s">
        <v>142</v>
      </c>
      <c r="B488" t="str">
        <f>+_xlfn.XLOOKUP(Tabla6[[#This Row],[ID CLIENTE]],'RESUMEN CLIENTES'!D:D,'RESUMEN CLIENTES'!A:A)</f>
        <v>Jordan Eliecer Toledo Bravo</v>
      </c>
      <c r="C488" t="str">
        <f>+_xlfn.XLOOKUP(Tabla6[[#This Row],[ID CLIENTE]],'RESUMEN CLIENTES'!D:D,'RESUMEN CLIENTES'!C:C)</f>
        <v>Chile</v>
      </c>
      <c r="D488" s="44" t="str">
        <f>+_xlfn.XLOOKUP(Tabla6[[#This Row],[ID CLIENTE]],'RESUMEN CLIENTES'!D:D,'RESUMEN CLIENTES'!M:M)</f>
        <v>OK</v>
      </c>
      <c r="E488" s="72">
        <f>+_xlfn.XLOOKUP(Tabla6[[#This Row],[NOMBRE]],'RESUMEN CLIENTES'!A:A,'RESUMEN CLIENTES'!X:X)</f>
        <v>-1.6153846153846154</v>
      </c>
      <c r="F488" s="72">
        <f>+_xlfn.XLOOKUP(Tabla6[[#This Row],[ID CLIENTE]],'RESUMEN CLIENTES'!D:D,'RESUMEN CLIENTES'!W:W)</f>
        <v>0</v>
      </c>
      <c r="G488" s="17">
        <v>45935</v>
      </c>
      <c r="H488" s="44" t="s">
        <v>81</v>
      </c>
      <c r="I488" s="2">
        <v>500</v>
      </c>
      <c r="J488" s="20" t="s">
        <v>1126</v>
      </c>
      <c r="K488" t="s">
        <v>1127</v>
      </c>
      <c r="L488" s="44" t="str" cm="1">
        <f t="array" ref="L488">+_xlfn.IFS(COUNTIF(INGRESOS!E:E,Tabla6[[#This Row],[ID FACTURA]])=1,"PAGADA",Tabla6[[#This Row],[ID FACTURA]]&lt;&gt;0,"EMITIDA",Tabla6[[#This Row],[ID FACTURA]]=0,"POR EMITIR")</f>
        <v>PAGADA</v>
      </c>
      <c r="M488" s="55">
        <f>+IF(Tabla6[[#This Row],[ESTADO FACTURA]]="PAGADA",Tabla6[[#This Row],[FECHA]]-_xlfn.XLOOKUP(Tabla6[[#This Row],[N° FACTURA]],INGRESOS!F:F,INGRESOS!A:A),"-")</f>
        <v>0</v>
      </c>
      <c r="N488" s="2"/>
      <c r="O488"/>
    </row>
    <row r="489" spans="1:15" ht="14.75" customHeight="1">
      <c r="A489" s="320" t="s">
        <v>798</v>
      </c>
      <c r="B489" t="str">
        <f>+_xlfn.XLOOKUP(Tabla6[[#This Row],[ID CLIENTE]],'RESUMEN CLIENTES'!D:D,'RESUMEN CLIENTES'!A:A)</f>
        <v>Juan Manuel Paranzino</v>
      </c>
      <c r="C489" t="str">
        <f>+_xlfn.XLOOKUP(Tabla6[[#This Row],[ID CLIENTE]],'RESUMEN CLIENTES'!D:D,'RESUMEN CLIENTES'!C:C)</f>
        <v>Argentina</v>
      </c>
      <c r="D489" s="44" t="str">
        <f>+_xlfn.XLOOKUP(Tabla6[[#This Row],[ID CLIENTE]],'RESUMEN CLIENTES'!D:D,'RESUMEN CLIENTES'!M:M)</f>
        <v>OK</v>
      </c>
      <c r="E489" s="72">
        <f>+_xlfn.XLOOKUP(Tabla6[[#This Row],[NOMBRE]],'RESUMEN CLIENTES'!A:A,'RESUMEN CLIENTES'!X:X)</f>
        <v>-1</v>
      </c>
      <c r="F489" s="72">
        <f>+_xlfn.XLOOKUP(Tabla6[[#This Row],[ID CLIENTE]],'RESUMEN CLIENTES'!D:D,'RESUMEN CLIENTES'!W:W)</f>
        <v>0</v>
      </c>
      <c r="G489" s="17">
        <v>45935</v>
      </c>
      <c r="H489" s="44" t="s">
        <v>81</v>
      </c>
      <c r="I489" s="2">
        <v>600</v>
      </c>
      <c r="J489" s="20" t="s">
        <v>1128</v>
      </c>
      <c r="K489" t="s">
        <v>1129</v>
      </c>
      <c r="L489" s="44" t="str" cm="1">
        <f t="array" ref="L489">+_xlfn.IFS(COUNTIF(INGRESOS!E:E,Tabla6[[#This Row],[ID FACTURA]])=1,"PAGADA",Tabla6[[#This Row],[ID FACTURA]]&lt;&gt;0,"EMITIDA",Tabla6[[#This Row],[ID FACTURA]]=0,"POR EMITIR")</f>
        <v>PAGADA</v>
      </c>
      <c r="M489" s="55">
        <f>+IF(Tabla6[[#This Row],[ESTADO FACTURA]]="PAGADA",Tabla6[[#This Row],[FECHA]]-_xlfn.XLOOKUP(Tabla6[[#This Row],[N° FACTURA]],INGRESOS!F:F,INGRESOS!A:A),"-")</f>
        <v>-1</v>
      </c>
      <c r="N489" s="2"/>
      <c r="O489"/>
    </row>
    <row r="490" spans="1:15" ht="14.75" customHeight="1">
      <c r="A490" s="320" t="s">
        <v>703</v>
      </c>
      <c r="B490" t="str">
        <f>+_xlfn.XLOOKUP(Tabla6[[#This Row],[ID CLIENTE]],'RESUMEN CLIENTES'!D:D,'RESUMEN CLIENTES'!A:A)</f>
        <v>Maira Paz Navas Sánchez</v>
      </c>
      <c r="C490" t="str">
        <f>+_xlfn.XLOOKUP(Tabla6[[#This Row],[ID CLIENTE]],'RESUMEN CLIENTES'!D:D,'RESUMEN CLIENTES'!C:C)</f>
        <v>Chile</v>
      </c>
      <c r="D490" s="44" t="str">
        <f>+_xlfn.XLOOKUP(Tabla6[[#This Row],[ID CLIENTE]],'RESUMEN CLIENTES'!D:D,'RESUMEN CLIENTES'!M:M)</f>
        <v>OK</v>
      </c>
      <c r="E490" s="72">
        <f>+_xlfn.XLOOKUP(Tabla6[[#This Row],[NOMBRE]],'RESUMEN CLIENTES'!A:A,'RESUMEN CLIENTES'!X:X)</f>
        <v>-1.75</v>
      </c>
      <c r="F490" s="72">
        <f>+_xlfn.XLOOKUP(Tabla6[[#This Row],[ID CLIENTE]],'RESUMEN CLIENTES'!D:D,'RESUMEN CLIENTES'!W:W)</f>
        <v>1</v>
      </c>
      <c r="G490" s="17">
        <v>45935</v>
      </c>
      <c r="H490" s="44" t="s">
        <v>81</v>
      </c>
      <c r="I490" s="2">
        <v>700</v>
      </c>
      <c r="J490" s="20" t="s">
        <v>1130</v>
      </c>
      <c r="K490" t="s">
        <v>1131</v>
      </c>
      <c r="L490" s="44" t="str" cm="1">
        <f t="array" ref="L490">+_xlfn.IFS(COUNTIF(INGRESOS!E:E,Tabla6[[#This Row],[ID FACTURA]])=1,"PAGADA",Tabla6[[#This Row],[ID FACTURA]]&lt;&gt;0,"EMITIDA",Tabla6[[#This Row],[ID FACTURA]]=0,"POR EMITIR")</f>
        <v>PAGADA</v>
      </c>
      <c r="M490" s="55">
        <f>+IF(Tabla6[[#This Row],[ESTADO FACTURA]]="PAGADA",Tabla6[[#This Row],[FECHA]]-_xlfn.XLOOKUP(Tabla6[[#This Row],[N° FACTURA]],INGRESOS!F:F,INGRESOS!A:A),"-")</f>
        <v>-2</v>
      </c>
      <c r="N490" s="2"/>
      <c r="O490"/>
    </row>
    <row r="491" spans="1:15" ht="14.75" customHeight="1">
      <c r="A491" s="320" t="s">
        <v>188</v>
      </c>
      <c r="B491" t="str">
        <f>+_xlfn.XLOOKUP(Tabla6[[#This Row],[ID CLIENTE]],'RESUMEN CLIENTES'!D:D,'RESUMEN CLIENTES'!A:A)</f>
        <v>Marco Tulio Negrete Aceves</v>
      </c>
      <c r="C491" t="str">
        <f>+_xlfn.XLOOKUP(Tabla6[[#This Row],[ID CLIENTE]],'RESUMEN CLIENTES'!D:D,'RESUMEN CLIENTES'!C:C)</f>
        <v>México</v>
      </c>
      <c r="D491" s="44" t="str">
        <f>+_xlfn.XLOOKUP(Tabla6[[#This Row],[ID CLIENTE]],'RESUMEN CLIENTES'!D:D,'RESUMEN CLIENTES'!M:M)</f>
        <v>OK</v>
      </c>
      <c r="E491" s="72">
        <f>+_xlfn.XLOOKUP(Tabla6[[#This Row],[NOMBRE]],'RESUMEN CLIENTES'!A:A,'RESUMEN CLIENTES'!X:X)</f>
        <v>2.625</v>
      </c>
      <c r="F491" s="72">
        <f>+_xlfn.XLOOKUP(Tabla6[[#This Row],[ID CLIENTE]],'RESUMEN CLIENTES'!D:D,'RESUMEN CLIENTES'!W:W)</f>
        <v>1</v>
      </c>
      <c r="G491" s="17">
        <v>45935</v>
      </c>
      <c r="H491" s="44" t="s">
        <v>81</v>
      </c>
      <c r="I491" s="2">
        <v>300</v>
      </c>
      <c r="J491" s="20" t="s">
        <v>1132</v>
      </c>
      <c r="K491" t="s">
        <v>1133</v>
      </c>
      <c r="L491" s="44" t="str" cm="1">
        <f t="array" ref="L491">+_xlfn.IFS(COUNTIF(INGRESOS!E:E,Tabla6[[#This Row],[ID FACTURA]])=1,"PAGADA",Tabla6[[#This Row],[ID FACTURA]]&lt;&gt;0,"EMITIDA",Tabla6[[#This Row],[ID FACTURA]]=0,"POR EMITIR")</f>
        <v>PAGADA</v>
      </c>
      <c r="M491" s="55">
        <f>+IF(Tabla6[[#This Row],[ESTADO FACTURA]]="PAGADA",Tabla6[[#This Row],[FECHA]]-_xlfn.XLOOKUP(Tabla6[[#This Row],[N° FACTURA]],INGRESOS!F:F,INGRESOS!A:A),"-")</f>
        <v>0</v>
      </c>
      <c r="N491" s="2"/>
      <c r="O491"/>
    </row>
    <row r="492" spans="1:15" ht="14.75" customHeight="1">
      <c r="A492" s="320" t="s">
        <v>80</v>
      </c>
      <c r="B492" t="str">
        <f>+_xlfn.XLOOKUP(Tabla6[[#This Row],[ID CLIENTE]],'RESUMEN CLIENTES'!D:D,'RESUMEN CLIENTES'!A:A)</f>
        <v>María Fernanda Alvar Sepúlveda</v>
      </c>
      <c r="C492" t="str">
        <f>+_xlfn.XLOOKUP(Tabla6[[#This Row],[ID CLIENTE]],'RESUMEN CLIENTES'!D:D,'RESUMEN CLIENTES'!C:C)</f>
        <v>Chile</v>
      </c>
      <c r="D492" s="44" t="str">
        <f>+_xlfn.XLOOKUP(Tabla6[[#This Row],[ID CLIENTE]],'RESUMEN CLIENTES'!D:D,'RESUMEN CLIENTES'!M:M)</f>
        <v>OK</v>
      </c>
      <c r="E492" s="72">
        <f>+_xlfn.XLOOKUP(Tabla6[[#This Row],[NOMBRE]],'RESUMEN CLIENTES'!A:A,'RESUMEN CLIENTES'!X:X)</f>
        <v>5</v>
      </c>
      <c r="F492" s="72">
        <f>+_xlfn.XLOOKUP(Tabla6[[#This Row],[ID CLIENTE]],'RESUMEN CLIENTES'!D:D,'RESUMEN CLIENTES'!W:W)</f>
        <v>1</v>
      </c>
      <c r="G492" s="17">
        <v>45935</v>
      </c>
      <c r="H492" s="44" t="s">
        <v>81</v>
      </c>
      <c r="I492" s="2">
        <v>582</v>
      </c>
      <c r="J492" s="20" t="s">
        <v>1134</v>
      </c>
      <c r="K492" t="s">
        <v>1135</v>
      </c>
      <c r="L492" s="44" t="str" cm="1">
        <f t="array" ref="L492">+_xlfn.IFS(COUNTIF(INGRESOS!E:E,Tabla6[[#This Row],[ID FACTURA]])=1,"PAGADA",Tabla6[[#This Row],[ID FACTURA]]&lt;&gt;0,"EMITIDA",Tabla6[[#This Row],[ID FACTURA]]=0,"POR EMITIR")</f>
        <v>PAGADA</v>
      </c>
      <c r="M492" s="55">
        <f>+IF(Tabla6[[#This Row],[ESTADO FACTURA]]="PAGADA",Tabla6[[#This Row],[FECHA]]-_xlfn.XLOOKUP(Tabla6[[#This Row],[N° FACTURA]],INGRESOS!F:F,INGRESOS!A:A),"-")</f>
        <v>2</v>
      </c>
      <c r="N492" s="2"/>
      <c r="O492"/>
    </row>
    <row r="493" spans="1:15" ht="14.75" customHeight="1">
      <c r="A493" s="320" t="s">
        <v>129</v>
      </c>
      <c r="B493" t="str">
        <f>+_xlfn.XLOOKUP(Tabla6[[#This Row],[ID CLIENTE]],'RESUMEN CLIENTES'!D:D,'RESUMEN CLIENTES'!A:A)</f>
        <v>Moira Millaray Schneider Rivera</v>
      </c>
      <c r="C493" t="str">
        <f>+_xlfn.XLOOKUP(Tabla6[[#This Row],[ID CLIENTE]],'RESUMEN CLIENTES'!D:D,'RESUMEN CLIENTES'!C:C)</f>
        <v>Chile</v>
      </c>
      <c r="D493" s="44" t="str">
        <f>+_xlfn.XLOOKUP(Tabla6[[#This Row],[ID CLIENTE]],'RESUMEN CLIENTES'!D:D,'RESUMEN CLIENTES'!M:M)</f>
        <v>OK</v>
      </c>
      <c r="E493" s="72">
        <f>+_xlfn.XLOOKUP(Tabla6[[#This Row],[NOMBRE]],'RESUMEN CLIENTES'!A:A,'RESUMEN CLIENTES'!X:X)</f>
        <v>0</v>
      </c>
      <c r="F493" s="72">
        <f>+_xlfn.XLOOKUP(Tabla6[[#This Row],[ID CLIENTE]],'RESUMEN CLIENTES'!D:D,'RESUMEN CLIENTES'!W:W)</f>
        <v>1</v>
      </c>
      <c r="G493" s="17">
        <v>45935</v>
      </c>
      <c r="H493" s="44" t="s">
        <v>81</v>
      </c>
      <c r="I493" s="2">
        <v>1000</v>
      </c>
      <c r="J493" s="20" t="s">
        <v>1136</v>
      </c>
      <c r="K493" t="s">
        <v>1137</v>
      </c>
      <c r="L493" s="44" t="str" cm="1">
        <f t="array" ref="L493">+_xlfn.IFS(COUNTIF(INGRESOS!E:E,Tabla6[[#This Row],[ID FACTURA]])=1,"PAGADA",Tabla6[[#This Row],[ID FACTURA]]&lt;&gt;0,"EMITIDA",Tabla6[[#This Row],[ID FACTURA]]=0,"POR EMITIR")</f>
        <v>PAGADA</v>
      </c>
      <c r="M493" s="55">
        <f>+IF(Tabla6[[#This Row],[ESTADO FACTURA]]="PAGADA",Tabla6[[#This Row],[FECHA]]-_xlfn.XLOOKUP(Tabla6[[#This Row],[N° FACTURA]],INGRESOS!F:F,INGRESOS!A:A),"-")</f>
        <v>2</v>
      </c>
      <c r="N493" s="2"/>
      <c r="O493"/>
    </row>
    <row r="494" spans="1:15" ht="14.75" customHeight="1">
      <c r="A494" s="320" t="s">
        <v>159</v>
      </c>
      <c r="B494" t="str">
        <f>+_xlfn.XLOOKUP(Tabla6[[#This Row],[ID CLIENTE]],'RESUMEN CLIENTES'!D:D,'RESUMEN CLIENTES'!A:A)</f>
        <v>Rodrigo Rivera Ruiz</v>
      </c>
      <c r="C494" t="str">
        <f>+_xlfn.XLOOKUP(Tabla6[[#This Row],[ID CLIENTE]],'RESUMEN CLIENTES'!D:D,'RESUMEN CLIENTES'!C:C)</f>
        <v>Chile</v>
      </c>
      <c r="D494" s="44" t="str">
        <f>+_xlfn.XLOOKUP(Tabla6[[#This Row],[ID CLIENTE]],'RESUMEN CLIENTES'!D:D,'RESUMEN CLIENTES'!M:M)</f>
        <v>OK</v>
      </c>
      <c r="E494" s="72">
        <f>+_xlfn.XLOOKUP(Tabla6[[#This Row],[NOMBRE]],'RESUMEN CLIENTES'!A:A,'RESUMEN CLIENTES'!X:X)</f>
        <v>0.8</v>
      </c>
      <c r="F494" s="72">
        <f>+_xlfn.XLOOKUP(Tabla6[[#This Row],[ID CLIENTE]],'RESUMEN CLIENTES'!D:D,'RESUMEN CLIENTES'!W:W)</f>
        <v>1</v>
      </c>
      <c r="G494" s="17">
        <v>45935</v>
      </c>
      <c r="H494" s="44" t="s">
        <v>81</v>
      </c>
      <c r="I494" s="2">
        <v>1500</v>
      </c>
      <c r="J494" s="20" t="s">
        <v>1138</v>
      </c>
      <c r="K494" t="s">
        <v>1139</v>
      </c>
      <c r="L494" s="44" t="str" cm="1">
        <f t="array" ref="L494">+_xlfn.IFS(COUNTIF(INGRESOS!E:E,Tabla6[[#This Row],[ID FACTURA]])=1,"PAGADA",Tabla6[[#This Row],[ID FACTURA]]&lt;&gt;0,"EMITIDA",Tabla6[[#This Row],[ID FACTURA]]=0,"POR EMITIR")</f>
        <v>PAGADA</v>
      </c>
      <c r="M494" s="55">
        <f>+IF(Tabla6[[#This Row],[ESTADO FACTURA]]="PAGADA",Tabla6[[#This Row],[FECHA]]-_xlfn.XLOOKUP(Tabla6[[#This Row],[N° FACTURA]],INGRESOS!F:F,INGRESOS!A:A),"-")</f>
        <v>-1</v>
      </c>
      <c r="N494" s="2"/>
      <c r="O494"/>
    </row>
    <row r="495" spans="1:15" ht="14.75" customHeight="1">
      <c r="A495" s="320" t="s">
        <v>281</v>
      </c>
      <c r="B495" t="str">
        <f>+_xlfn.XLOOKUP(Tabla6[[#This Row],[ID CLIENTE]],'RESUMEN CLIENTES'!D:D,'RESUMEN CLIENTES'!A:A)</f>
        <v>Sergio Francisco Garcia Sandoval</v>
      </c>
      <c r="C495" t="str">
        <f>+_xlfn.XLOOKUP(Tabla6[[#This Row],[ID CLIENTE]],'RESUMEN CLIENTES'!D:D,'RESUMEN CLIENTES'!C:C)</f>
        <v>Perú</v>
      </c>
      <c r="D495" s="44" t="str">
        <f>+_xlfn.XLOOKUP(Tabla6[[#This Row],[ID CLIENTE]],'RESUMEN CLIENTES'!D:D,'RESUMEN CLIENTES'!M:M)</f>
        <v>OK</v>
      </c>
      <c r="E495" s="72">
        <f>+_xlfn.XLOOKUP(Tabla6[[#This Row],[NOMBRE]],'RESUMEN CLIENTES'!A:A,'RESUMEN CLIENTES'!X:X)</f>
        <v>0.88888888888888884</v>
      </c>
      <c r="F495" s="72">
        <f>+_xlfn.XLOOKUP(Tabla6[[#This Row],[ID CLIENTE]],'RESUMEN CLIENTES'!D:D,'RESUMEN CLIENTES'!W:W)</f>
        <v>1</v>
      </c>
      <c r="G495" s="17">
        <v>45935</v>
      </c>
      <c r="H495" s="44" t="s">
        <v>81</v>
      </c>
      <c r="I495" s="2">
        <v>350</v>
      </c>
      <c r="J495" s="20" t="s">
        <v>1140</v>
      </c>
      <c r="K495" t="s">
        <v>1141</v>
      </c>
      <c r="L495" s="44" t="str" cm="1">
        <f t="array" ref="L495">+_xlfn.IFS(COUNTIF(INGRESOS!E:E,Tabla6[[#This Row],[ID FACTURA]])=1,"PAGADA",Tabla6[[#This Row],[ID FACTURA]]&lt;&gt;0,"EMITIDA",Tabla6[[#This Row],[ID FACTURA]]=0,"POR EMITIR")</f>
        <v>PAGADA</v>
      </c>
      <c r="M495" s="55">
        <f>+IF(Tabla6[[#This Row],[ESTADO FACTURA]]="PAGADA",Tabla6[[#This Row],[FECHA]]-_xlfn.XLOOKUP(Tabla6[[#This Row],[N° FACTURA]],INGRESOS!F:F,INGRESOS!A:A),"-")</f>
        <v>0</v>
      </c>
      <c r="N495" s="2"/>
      <c r="O495"/>
    </row>
    <row r="496" spans="1:15" ht="14.75" customHeight="1">
      <c r="A496" s="320" t="s">
        <v>112</v>
      </c>
      <c r="B496" t="str">
        <f>+_xlfn.XLOOKUP(Tabla6[[#This Row],[ID CLIENTE]],'RESUMEN CLIENTES'!D:D,'RESUMEN CLIENTES'!A:A)</f>
        <v>Victor Emanuel Hernández Ruíz</v>
      </c>
      <c r="C496" t="str">
        <f>+_xlfn.XLOOKUP(Tabla6[[#This Row],[ID CLIENTE]],'RESUMEN CLIENTES'!D:D,'RESUMEN CLIENTES'!C:C)</f>
        <v>México</v>
      </c>
      <c r="D496" s="44" t="str">
        <f>+_xlfn.XLOOKUP(Tabla6[[#This Row],[ID CLIENTE]],'RESUMEN CLIENTES'!D:D,'RESUMEN CLIENTES'!M:M)</f>
        <v>OK</v>
      </c>
      <c r="E496" s="72">
        <f>+_xlfn.XLOOKUP(Tabla6[[#This Row],[NOMBRE]],'RESUMEN CLIENTES'!A:A,'RESUMEN CLIENTES'!X:X)</f>
        <v>-1.2727272727272727</v>
      </c>
      <c r="F496" s="72">
        <f>+_xlfn.XLOOKUP(Tabla6[[#This Row],[ID CLIENTE]],'RESUMEN CLIENTES'!D:D,'RESUMEN CLIENTES'!W:W)</f>
        <v>1</v>
      </c>
      <c r="G496" s="17">
        <v>45935</v>
      </c>
      <c r="H496" s="44" t="s">
        <v>81</v>
      </c>
      <c r="I496" s="2">
        <v>800</v>
      </c>
      <c r="J496" s="20" t="s">
        <v>1142</v>
      </c>
      <c r="K496" t="s">
        <v>1143</v>
      </c>
      <c r="L496" s="44" t="str" cm="1">
        <f t="array" ref="L496">+_xlfn.IFS(COUNTIF(INGRESOS!E:E,Tabla6[[#This Row],[ID FACTURA]])=1,"PAGADA",Tabla6[[#This Row],[ID FACTURA]]&lt;&gt;0,"EMITIDA",Tabla6[[#This Row],[ID FACTURA]]=0,"POR EMITIR")</f>
        <v>PAGADA</v>
      </c>
      <c r="M496" s="55">
        <f>+IF(Tabla6[[#This Row],[ESTADO FACTURA]]="PAGADA",Tabla6[[#This Row],[FECHA]]-_xlfn.XLOOKUP(Tabla6[[#This Row],[N° FACTURA]],INGRESOS!F:F,INGRESOS!A:A),"-")</f>
        <v>0</v>
      </c>
      <c r="N496" s="2"/>
      <c r="O496"/>
    </row>
    <row r="497" spans="1:15" ht="14.75" customHeight="1">
      <c r="A497" s="320" t="s">
        <v>904</v>
      </c>
      <c r="B497" t="str">
        <f>+_xlfn.XLOOKUP(Tabla6[[#This Row],[ID CLIENTE]],'RESUMEN CLIENTES'!D:D,'RESUMEN CLIENTES'!A:A)</f>
        <v>Armando Josmarx Suárez Solis</v>
      </c>
      <c r="C497" t="str">
        <f>+_xlfn.XLOOKUP(Tabla6[[#This Row],[ID CLIENTE]],'RESUMEN CLIENTES'!D:D,'RESUMEN CLIENTES'!C:C)</f>
        <v>Nicaragua</v>
      </c>
      <c r="D497" s="44" t="str">
        <f>+_xlfn.XLOOKUP(Tabla6[[#This Row],[ID CLIENTE]],'RESUMEN CLIENTES'!D:D,'RESUMEN CLIENTES'!M:M)</f>
        <v>OK</v>
      </c>
      <c r="E497" s="72">
        <f>+_xlfn.XLOOKUP(Tabla6[[#This Row],[NOMBRE]],'RESUMEN CLIENTES'!A:A,'RESUMEN CLIENTES'!X:X)</f>
        <v>0.5625</v>
      </c>
      <c r="F497" s="72">
        <f>+_xlfn.XLOOKUP(Tabla6[[#This Row],[ID CLIENTE]],'RESUMEN CLIENTES'!D:D,'RESUMEN CLIENTES'!W:W)</f>
        <v>1</v>
      </c>
      <c r="G497" s="17">
        <v>45936</v>
      </c>
      <c r="H497" s="44" t="s">
        <v>81</v>
      </c>
      <c r="I497" s="2">
        <v>3700</v>
      </c>
      <c r="J497" s="20" t="s">
        <v>1144</v>
      </c>
      <c r="K497" t="s">
        <v>1145</v>
      </c>
      <c r="L497" s="44" t="str" cm="1">
        <f t="array" ref="L497">+_xlfn.IFS(COUNTIF(INGRESOS!E:E,Tabla6[[#This Row],[ID FACTURA]])=1,"PAGADA",Tabla6[[#This Row],[ID FACTURA]]&lt;&gt;0,"EMITIDA",Tabla6[[#This Row],[ID FACTURA]]=0,"POR EMITIR")</f>
        <v>PAGADA</v>
      </c>
      <c r="M497" s="55">
        <f>+IF(Tabla6[[#This Row],[ESTADO FACTURA]]="PAGADA",Tabla6[[#This Row],[FECHA]]-_xlfn.XLOOKUP(Tabla6[[#This Row],[N° FACTURA]],INGRESOS!F:F,INGRESOS!A:A),"-")</f>
        <v>1</v>
      </c>
      <c r="N497" s="2"/>
      <c r="O497"/>
    </row>
    <row r="498" spans="1:15" ht="14.75" customHeight="1">
      <c r="A498" s="320" t="s">
        <v>907</v>
      </c>
      <c r="B498" t="str">
        <f>+_xlfn.XLOOKUP(Tabla6[[#This Row],[ID CLIENTE]],'RESUMEN CLIENTES'!D:D,'RESUMEN CLIENTES'!A:A)</f>
        <v>Luis Carlos Villa Cortés</v>
      </c>
      <c r="C498" t="str">
        <f>+_xlfn.XLOOKUP(Tabla6[[#This Row],[ID CLIENTE]],'RESUMEN CLIENTES'!D:D,'RESUMEN CLIENTES'!C:C)</f>
        <v>México</v>
      </c>
      <c r="D498" s="44" t="str">
        <f>+_xlfn.XLOOKUP(Tabla6[[#This Row],[ID CLIENTE]],'RESUMEN CLIENTES'!D:D,'RESUMEN CLIENTES'!M:M)</f>
        <v>OK</v>
      </c>
      <c r="E498" s="72">
        <f>+_xlfn.XLOOKUP(Tabla6[[#This Row],[NOMBRE]],'RESUMEN CLIENTES'!A:A,'RESUMEN CLIENTES'!X:X)</f>
        <v>0</v>
      </c>
      <c r="F498" s="72">
        <f>+_xlfn.XLOOKUP(Tabla6[[#This Row],[ID CLIENTE]],'RESUMEN CLIENTES'!D:D,'RESUMEN CLIENTES'!W:W)</f>
        <v>1</v>
      </c>
      <c r="G498" s="17">
        <v>45936</v>
      </c>
      <c r="H498" s="44" t="s">
        <v>81</v>
      </c>
      <c r="I498" s="2">
        <v>1000</v>
      </c>
      <c r="J498" s="20" t="s">
        <v>1146</v>
      </c>
      <c r="K498" t="s">
        <v>1147</v>
      </c>
      <c r="L498" s="44" t="str" cm="1">
        <f t="array" ref="L498">+_xlfn.IFS(COUNTIF(INGRESOS!E:E,Tabla6[[#This Row],[ID FACTURA]])=1,"PAGADA",Tabla6[[#This Row],[ID FACTURA]]&lt;&gt;0,"EMITIDA",Tabla6[[#This Row],[ID FACTURA]]=0,"POR EMITIR")</f>
        <v>PAGADA</v>
      </c>
      <c r="M498" s="55">
        <f>+IF(Tabla6[[#This Row],[ESTADO FACTURA]]="PAGADA",Tabla6[[#This Row],[FECHA]]-_xlfn.XLOOKUP(Tabla6[[#This Row],[N° FACTURA]],INGRESOS!F:F,INGRESOS!A:A),"-")</f>
        <v>0</v>
      </c>
      <c r="N498" s="2"/>
      <c r="O498"/>
    </row>
    <row r="499" spans="1:15" ht="14.75" customHeight="1">
      <c r="A499" s="320" t="s">
        <v>278</v>
      </c>
      <c r="B499" t="str">
        <f>+_xlfn.XLOOKUP(Tabla6[[#This Row],[ID CLIENTE]],'RESUMEN CLIENTES'!D:D,'RESUMEN CLIENTES'!A:A)</f>
        <v>Liliana María Moreno Martinez</v>
      </c>
      <c r="C499" t="str">
        <f>+_xlfn.XLOOKUP(Tabla6[[#This Row],[ID CLIENTE]],'RESUMEN CLIENTES'!D:D,'RESUMEN CLIENTES'!C:C)</f>
        <v>El Salvador</v>
      </c>
      <c r="D499" s="44" t="str">
        <f>+_xlfn.XLOOKUP(Tabla6[[#This Row],[ID CLIENTE]],'RESUMEN CLIENTES'!D:D,'RESUMEN CLIENTES'!M:M)</f>
        <v>ELIMINADO</v>
      </c>
      <c r="E499" s="72">
        <f>+_xlfn.XLOOKUP(Tabla6[[#This Row],[NOMBRE]],'RESUMEN CLIENTES'!A:A,'RESUMEN CLIENTES'!X:X)</f>
        <v>-1.4444444444444444</v>
      </c>
      <c r="F499" s="72">
        <f>+_xlfn.XLOOKUP(Tabla6[[#This Row],[ID CLIENTE]],'RESUMEN CLIENTES'!D:D,'RESUMEN CLIENTES'!W:W)</f>
        <v>0</v>
      </c>
      <c r="G499" s="17">
        <v>45937</v>
      </c>
      <c r="H499" s="44" t="s">
        <v>81</v>
      </c>
      <c r="I499" s="2">
        <v>500</v>
      </c>
      <c r="J499" s="20" t="s">
        <v>1148</v>
      </c>
      <c r="K499" t="s">
        <v>1149</v>
      </c>
      <c r="L499" s="44" t="str" cm="1">
        <f t="array" ref="L499">+_xlfn.IFS(COUNTIF(INGRESOS!E:E,Tabla6[[#This Row],[ID FACTURA]])=1,"PAGADA",Tabla6[[#This Row],[ID FACTURA]]&lt;&gt;0,"EMITIDA",Tabla6[[#This Row],[ID FACTURA]]=0,"POR EMITIR")</f>
        <v>PAGADA</v>
      </c>
      <c r="M499" s="55">
        <f>+IF(Tabla6[[#This Row],[ESTADO FACTURA]]="PAGADA",Tabla6[[#This Row],[FECHA]]-_xlfn.XLOOKUP(Tabla6[[#This Row],[N° FACTURA]],INGRESOS!F:F,INGRESOS!A:A),"-")</f>
        <v>-1</v>
      </c>
      <c r="N499" s="2"/>
      <c r="O499"/>
    </row>
    <row r="500" spans="1:15" ht="14.75" customHeight="1">
      <c r="A500" s="320" t="s">
        <v>253</v>
      </c>
      <c r="B500" t="str">
        <f>+_xlfn.XLOOKUP(Tabla6[[#This Row],[ID CLIENTE]],'RESUMEN CLIENTES'!D:D,'RESUMEN CLIENTES'!A:A)</f>
        <v>Diego Alonso Salazar Palacios</v>
      </c>
      <c r="C500" t="str">
        <f>+_xlfn.XLOOKUP(Tabla6[[#This Row],[ID CLIENTE]],'RESUMEN CLIENTES'!D:D,'RESUMEN CLIENTES'!C:C)</f>
        <v>Perú</v>
      </c>
      <c r="D500" s="44" t="str">
        <f>+_xlfn.XLOOKUP(Tabla6[[#This Row],[ID CLIENTE]],'RESUMEN CLIENTES'!D:D,'RESUMEN CLIENTES'!M:M)</f>
        <v>OK</v>
      </c>
      <c r="E500" s="72">
        <f>+_xlfn.XLOOKUP(Tabla6[[#This Row],[NOMBRE]],'RESUMEN CLIENTES'!A:A,'RESUMEN CLIENTES'!X:X)</f>
        <v>0.18560606059988707</v>
      </c>
      <c r="F500" s="72">
        <f>+_xlfn.XLOOKUP(Tabla6[[#This Row],[ID CLIENTE]],'RESUMEN CLIENTES'!D:D,'RESUMEN CLIENTES'!W:W)</f>
        <v>1</v>
      </c>
      <c r="G500" s="17">
        <v>45938</v>
      </c>
      <c r="H500" s="44" t="s">
        <v>81</v>
      </c>
      <c r="I500" s="2">
        <v>1000</v>
      </c>
      <c r="J500" s="20" t="s">
        <v>1150</v>
      </c>
      <c r="K500" t="s">
        <v>1151</v>
      </c>
      <c r="L500" s="44" t="str" cm="1">
        <f t="array" ref="L500">+_xlfn.IFS(COUNTIF(INGRESOS!E:E,Tabla6[[#This Row],[ID FACTURA]])=1,"PAGADA",Tabla6[[#This Row],[ID FACTURA]]&lt;&gt;0,"EMITIDA",Tabla6[[#This Row],[ID FACTURA]]=0,"POR EMITIR")</f>
        <v>PAGADA</v>
      </c>
      <c r="M500" s="55">
        <f>+IF(Tabla6[[#This Row],[ESTADO FACTURA]]="PAGADA",Tabla6[[#This Row],[FECHA]]-_xlfn.XLOOKUP(Tabla6[[#This Row],[N° FACTURA]],INGRESOS!F:F,INGRESOS!A:A),"-")</f>
        <v>0</v>
      </c>
      <c r="N500" s="2"/>
      <c r="O500"/>
    </row>
    <row r="501" spans="1:15" ht="14.75" customHeight="1">
      <c r="A501" s="320" t="s">
        <v>1152</v>
      </c>
      <c r="B501" t="str">
        <f>+_xlfn.XLOOKUP(Tabla6[[#This Row],[ID CLIENTE]],'RESUMEN CLIENTES'!D:D,'RESUMEN CLIENTES'!A:A)</f>
        <v>Ricardo Ernesto Miño Valencia</v>
      </c>
      <c r="C501" t="str">
        <f>+_xlfn.XLOOKUP(Tabla6[[#This Row],[ID CLIENTE]],'RESUMEN CLIENTES'!D:D,'RESUMEN CLIENTES'!C:C)</f>
        <v>Ecuador</v>
      </c>
      <c r="D501" s="44" t="str">
        <f>+_xlfn.XLOOKUP(Tabla6[[#This Row],[ID CLIENTE]],'RESUMEN CLIENTES'!D:D,'RESUMEN CLIENTES'!M:M)</f>
        <v>OK</v>
      </c>
      <c r="E501" s="72">
        <f>+_xlfn.XLOOKUP(Tabla6[[#This Row],[NOMBRE]],'RESUMEN CLIENTES'!A:A,'RESUMEN CLIENTES'!X:X)</f>
        <v>-3.2</v>
      </c>
      <c r="F501" s="72">
        <f>+_xlfn.XLOOKUP(Tabla6[[#This Row],[ID CLIENTE]],'RESUMEN CLIENTES'!D:D,'RESUMEN CLIENTES'!W:W)</f>
        <v>1</v>
      </c>
      <c r="G501" s="17">
        <v>45938</v>
      </c>
      <c r="H501" s="44" t="s">
        <v>81</v>
      </c>
      <c r="I501" s="2">
        <v>2000</v>
      </c>
      <c r="J501" s="20" t="s">
        <v>1153</v>
      </c>
      <c r="K501" t="s">
        <v>1154</v>
      </c>
      <c r="L501" s="44" t="str" cm="1">
        <f t="array" ref="L501">+_xlfn.IFS(COUNTIF(INGRESOS!E:E,Tabla6[[#This Row],[ID FACTURA]])=1,"PAGADA",Tabla6[[#This Row],[ID FACTURA]]&lt;&gt;0,"EMITIDA",Tabla6[[#This Row],[ID FACTURA]]=0,"POR EMITIR")</f>
        <v>PAGADA</v>
      </c>
      <c r="M501" s="55">
        <f>+IF(Tabla6[[#This Row],[ESTADO FACTURA]]="PAGADA",Tabla6[[#This Row],[FECHA]]-_xlfn.XLOOKUP(Tabla6[[#This Row],[N° FACTURA]],INGRESOS!F:F,INGRESOS!A:A),"-")</f>
        <v>0</v>
      </c>
      <c r="N501" s="2"/>
      <c r="O501"/>
    </row>
    <row r="502" spans="1:15" ht="14.75" customHeight="1">
      <c r="A502" s="320" t="s">
        <v>1155</v>
      </c>
      <c r="B502" t="str">
        <f>+_xlfn.XLOOKUP(Tabla6[[#This Row],[ID CLIENTE]],'RESUMEN CLIENTES'!D:D,'RESUMEN CLIENTES'!A:A)</f>
        <v>Mario Arciga Casián</v>
      </c>
      <c r="C502" t="str">
        <f>+_xlfn.XLOOKUP(Tabla6[[#This Row],[ID CLIENTE]],'RESUMEN CLIENTES'!D:D,'RESUMEN CLIENTES'!C:C)</f>
        <v>México</v>
      </c>
      <c r="D502" s="44" t="str">
        <f>+_xlfn.XLOOKUP(Tabla6[[#This Row],[ID CLIENTE]],'RESUMEN CLIENTES'!D:D,'RESUMEN CLIENTES'!M:M)</f>
        <v>OK</v>
      </c>
      <c r="E502" s="72">
        <f>+_xlfn.XLOOKUP(Tabla6[[#This Row],[NOMBRE]],'RESUMEN CLIENTES'!A:A,'RESUMEN CLIENTES'!X:X)</f>
        <v>-0.66666666666666663</v>
      </c>
      <c r="F502" s="72">
        <f>+_xlfn.XLOOKUP(Tabla6[[#This Row],[ID CLIENTE]],'RESUMEN CLIENTES'!D:D,'RESUMEN CLIENTES'!W:W)</f>
        <v>1</v>
      </c>
      <c r="G502" s="17">
        <v>45939</v>
      </c>
      <c r="H502" s="44" t="s">
        <v>81</v>
      </c>
      <c r="I502" s="2">
        <v>3000</v>
      </c>
      <c r="J502" s="20" t="s">
        <v>1156</v>
      </c>
      <c r="K502" t="s">
        <v>1157</v>
      </c>
      <c r="L502" s="44" t="str" cm="1">
        <f t="array" ref="L502">+_xlfn.IFS(COUNTIF(INGRESOS!E:E,Tabla6[[#This Row],[ID FACTURA]])=1,"PAGADA",Tabla6[[#This Row],[ID FACTURA]]&lt;&gt;0,"EMITIDA",Tabla6[[#This Row],[ID FACTURA]]=0,"POR EMITIR")</f>
        <v>PAGADA</v>
      </c>
      <c r="M502" s="55">
        <f>+IF(Tabla6[[#This Row],[ESTADO FACTURA]]="PAGADA",Tabla6[[#This Row],[FECHA]]-_xlfn.XLOOKUP(Tabla6[[#This Row],[N° FACTURA]],INGRESOS!F:F,INGRESOS!A:A),"-")</f>
        <v>0</v>
      </c>
      <c r="N502" s="2"/>
      <c r="O502"/>
    </row>
    <row r="503" spans="1:15" ht="14.75" customHeight="1">
      <c r="A503" s="320" t="s">
        <v>955</v>
      </c>
      <c r="B503" t="str">
        <f>+_xlfn.XLOOKUP(Tabla6[[#This Row],[ID CLIENTE]],'RESUMEN CLIENTES'!D:D,'RESUMEN CLIENTES'!A:A)</f>
        <v>Judith Elizabeth Lopez Sanchez</v>
      </c>
      <c r="C503" t="str">
        <f>+_xlfn.XLOOKUP(Tabla6[[#This Row],[ID CLIENTE]],'RESUMEN CLIENTES'!D:D,'RESUMEN CLIENTES'!C:C)</f>
        <v>Perú</v>
      </c>
      <c r="D503" s="44" t="str">
        <f>+_xlfn.XLOOKUP(Tabla6[[#This Row],[ID CLIENTE]],'RESUMEN CLIENTES'!D:D,'RESUMEN CLIENTES'!M:M)</f>
        <v>OK</v>
      </c>
      <c r="E503" s="72">
        <f>+_xlfn.XLOOKUP(Tabla6[[#This Row],[NOMBRE]],'RESUMEN CLIENTES'!A:A,'RESUMEN CLIENTES'!X:X)</f>
        <v>0.2857142857142857</v>
      </c>
      <c r="F503" s="72">
        <f>+_xlfn.XLOOKUP(Tabla6[[#This Row],[ID CLIENTE]],'RESUMEN CLIENTES'!D:D,'RESUMEN CLIENTES'!W:W)</f>
        <v>1</v>
      </c>
      <c r="G503" s="17">
        <v>45940</v>
      </c>
      <c r="H503" s="44" t="s">
        <v>81</v>
      </c>
      <c r="I503" s="2">
        <v>4000</v>
      </c>
      <c r="J503" s="20" t="s">
        <v>1158</v>
      </c>
      <c r="K503" t="s">
        <v>1159</v>
      </c>
      <c r="L503" s="44" t="str" cm="1">
        <f t="array" ref="L503">+_xlfn.IFS(COUNTIF(INGRESOS!E:E,Tabla6[[#This Row],[ID FACTURA]])=1,"PAGADA",Tabla6[[#This Row],[ID FACTURA]]&lt;&gt;0,"EMITIDA",Tabla6[[#This Row],[ID FACTURA]]=0,"POR EMITIR")</f>
        <v>PAGADA</v>
      </c>
      <c r="M503" s="55">
        <f>+IF(Tabla6[[#This Row],[ESTADO FACTURA]]="PAGADA",Tabla6[[#This Row],[FECHA]]-_xlfn.XLOOKUP(Tabla6[[#This Row],[N° FACTURA]],INGRESOS!F:F,INGRESOS!A:A),"-")</f>
        <v>1</v>
      </c>
      <c r="N503" s="2"/>
      <c r="O503"/>
    </row>
    <row r="504" spans="1:15" ht="14.75" customHeight="1">
      <c r="A504" s="320" t="s">
        <v>274</v>
      </c>
      <c r="B504" t="str">
        <f>+_xlfn.XLOOKUP(Tabla6[[#This Row],[ID CLIENTE]],'RESUMEN CLIENTES'!D:D,'RESUMEN CLIENTES'!A:A)</f>
        <v>María de los Ángeles Gutiérrez Quevedo</v>
      </c>
      <c r="C504" t="str">
        <f>+_xlfn.XLOOKUP(Tabla6[[#This Row],[ID CLIENTE]],'RESUMEN CLIENTES'!D:D,'RESUMEN CLIENTES'!C:C)</f>
        <v>Chile</v>
      </c>
      <c r="D504" s="44" t="str">
        <f>+_xlfn.XLOOKUP(Tabla6[[#This Row],[ID CLIENTE]],'RESUMEN CLIENTES'!D:D,'RESUMEN CLIENTES'!M:M)</f>
        <v>OK</v>
      </c>
      <c r="E504" s="72">
        <f>+_xlfn.XLOOKUP(Tabla6[[#This Row],[NOMBRE]],'RESUMEN CLIENTES'!A:A,'RESUMEN CLIENTES'!X:X)</f>
        <v>0.22222222222222221</v>
      </c>
      <c r="F504" s="72">
        <f>+_xlfn.XLOOKUP(Tabla6[[#This Row],[ID CLIENTE]],'RESUMEN CLIENTES'!D:D,'RESUMEN CLIENTES'!W:W)</f>
        <v>1</v>
      </c>
      <c r="G504" s="17">
        <v>45940</v>
      </c>
      <c r="H504" s="44" t="s">
        <v>81</v>
      </c>
      <c r="I504" s="2">
        <v>1500</v>
      </c>
      <c r="J504" s="20" t="s">
        <v>1160</v>
      </c>
      <c r="K504" t="s">
        <v>1161</v>
      </c>
      <c r="L504" s="44" t="str" cm="1">
        <f t="array" ref="L504">+_xlfn.IFS(COUNTIF(INGRESOS!E:E,Tabla6[[#This Row],[ID FACTURA]])=1,"PAGADA",Tabla6[[#This Row],[ID FACTURA]]&lt;&gt;0,"EMITIDA",Tabla6[[#This Row],[ID FACTURA]]=0,"POR EMITIR")</f>
        <v>PAGADA</v>
      </c>
      <c r="M504" s="55">
        <f>+IF(Tabla6[[#This Row],[ESTADO FACTURA]]="PAGADA",Tabla6[[#This Row],[FECHA]]-_xlfn.XLOOKUP(Tabla6[[#This Row],[N° FACTURA]],INGRESOS!F:F,INGRESOS!A:A),"-")</f>
        <v>0</v>
      </c>
      <c r="N504" s="2"/>
      <c r="O504"/>
    </row>
    <row r="505" spans="1:15" ht="14.75" customHeight="1">
      <c r="A505" s="320" t="s">
        <v>455</v>
      </c>
      <c r="B505" t="str">
        <f>+_xlfn.XLOOKUP(Tabla6[[#This Row],[ID CLIENTE]],'RESUMEN CLIENTES'!D:D,'RESUMEN CLIENTES'!A:A)</f>
        <v>Paola Hitos</v>
      </c>
      <c r="C505" t="str">
        <f>+_xlfn.XLOOKUP(Tabla6[[#This Row],[ID CLIENTE]],'RESUMEN CLIENTES'!D:D,'RESUMEN CLIENTES'!C:C)</f>
        <v>México</v>
      </c>
      <c r="D505" s="44" t="str">
        <f>+_xlfn.XLOOKUP(Tabla6[[#This Row],[ID CLIENTE]],'RESUMEN CLIENTES'!D:D,'RESUMEN CLIENTES'!M:M)</f>
        <v>OK</v>
      </c>
      <c r="E505" s="72">
        <f>+_xlfn.XLOOKUP(Tabla6[[#This Row],[NOMBRE]],'RESUMEN CLIENTES'!A:A,'RESUMEN CLIENTES'!X:X)</f>
        <v>-0.55555555555555558</v>
      </c>
      <c r="F505" s="72">
        <f>+_xlfn.XLOOKUP(Tabla6[[#This Row],[ID CLIENTE]],'RESUMEN CLIENTES'!D:D,'RESUMEN CLIENTES'!W:W)</f>
        <v>1</v>
      </c>
      <c r="G505" s="17">
        <v>45940</v>
      </c>
      <c r="H505" s="44" t="s">
        <v>81</v>
      </c>
      <c r="I505" s="2">
        <v>1000</v>
      </c>
      <c r="J505" s="20" t="s">
        <v>1162</v>
      </c>
      <c r="K505" t="s">
        <v>1163</v>
      </c>
      <c r="L505" s="44" t="str" cm="1">
        <f t="array" ref="L505">+_xlfn.IFS(COUNTIF(INGRESOS!E:E,Tabla6[[#This Row],[ID FACTURA]])=1,"PAGADA",Tabla6[[#This Row],[ID FACTURA]]&lt;&gt;0,"EMITIDA",Tabla6[[#This Row],[ID FACTURA]]=0,"POR EMITIR")</f>
        <v>PAGADA</v>
      </c>
      <c r="M505" s="55">
        <f>+IF(Tabla6[[#This Row],[ESTADO FACTURA]]="PAGADA",Tabla6[[#This Row],[FECHA]]-_xlfn.XLOOKUP(Tabla6[[#This Row],[N° FACTURA]],INGRESOS!F:F,INGRESOS!A:A),"-")</f>
        <v>0</v>
      </c>
      <c r="N505" s="2"/>
      <c r="O505"/>
    </row>
    <row r="506" spans="1:15" ht="14.75" customHeight="1">
      <c r="A506" s="320" t="s">
        <v>855</v>
      </c>
      <c r="B506" t="str">
        <f>+_xlfn.XLOOKUP(Tabla6[[#This Row],[ID CLIENTE]],'RESUMEN CLIENTES'!D:D,'RESUMEN CLIENTES'!A:A)</f>
        <v>Paula Ida Elisa Saris Sommer</v>
      </c>
      <c r="C506" t="str">
        <f>+_xlfn.XLOOKUP(Tabla6[[#This Row],[ID CLIENTE]],'RESUMEN CLIENTES'!D:D,'RESUMEN CLIENTES'!C:C)</f>
        <v>Argentina</v>
      </c>
      <c r="D506" s="44" t="str">
        <f>+_xlfn.XLOOKUP(Tabla6[[#This Row],[ID CLIENTE]],'RESUMEN CLIENTES'!D:D,'RESUMEN CLIENTES'!M:M)</f>
        <v>OK</v>
      </c>
      <c r="E506" s="72">
        <f>+_xlfn.XLOOKUP(Tabla6[[#This Row],[NOMBRE]],'RESUMEN CLIENTES'!A:A,'RESUMEN CLIENTES'!X:X)</f>
        <v>-8.7894736842105257</v>
      </c>
      <c r="F506" s="72">
        <f>+_xlfn.XLOOKUP(Tabla6[[#This Row],[ID CLIENTE]],'RESUMEN CLIENTES'!D:D,'RESUMEN CLIENTES'!W:W)</f>
        <v>0</v>
      </c>
      <c r="G506" s="17">
        <v>45940</v>
      </c>
      <c r="H506" s="44" t="s">
        <v>81</v>
      </c>
      <c r="I506" s="2">
        <v>500</v>
      </c>
      <c r="J506" s="20" t="s">
        <v>1164</v>
      </c>
      <c r="K506" t="s">
        <v>1165</v>
      </c>
      <c r="L506" s="44" t="str" cm="1">
        <f t="array" ref="L506">+_xlfn.IFS(COUNTIF(INGRESOS!E:E,Tabla6[[#This Row],[ID FACTURA]])=1,"PAGADA",Tabla6[[#This Row],[ID FACTURA]]&lt;&gt;0,"EMITIDA",Tabla6[[#This Row],[ID FACTURA]]=0,"POR EMITIR")</f>
        <v>PAGADA</v>
      </c>
      <c r="M506" s="55">
        <f>+IF(Tabla6[[#This Row],[ESTADO FACTURA]]="PAGADA",Tabla6[[#This Row],[FECHA]]-_xlfn.XLOOKUP(Tabla6[[#This Row],[N° FACTURA]],INGRESOS!F:F,INGRESOS!A:A),"-")</f>
        <v>2</v>
      </c>
      <c r="N506" s="2"/>
      <c r="O506" s="8"/>
    </row>
    <row r="507" spans="1:15" ht="14.75" customHeight="1">
      <c r="A507" s="320" t="s">
        <v>275</v>
      </c>
      <c r="B507" t="str">
        <f>+_xlfn.XLOOKUP(Tabla6[[#This Row],[ID CLIENTE]],'RESUMEN CLIENTES'!D:D,'RESUMEN CLIENTES'!A:A)</f>
        <v>Rodrigo Alfonso Busse Hernández</v>
      </c>
      <c r="C507" t="str">
        <f>+_xlfn.XLOOKUP(Tabla6[[#This Row],[ID CLIENTE]],'RESUMEN CLIENTES'!D:D,'RESUMEN CLIENTES'!C:C)</f>
        <v>Chile</v>
      </c>
      <c r="D507" s="44" t="str">
        <f>+_xlfn.XLOOKUP(Tabla6[[#This Row],[ID CLIENTE]],'RESUMEN CLIENTES'!D:D,'RESUMEN CLIENTES'!M:M)</f>
        <v>OK</v>
      </c>
      <c r="E507" s="72">
        <f>+_xlfn.XLOOKUP(Tabla6[[#This Row],[NOMBRE]],'RESUMEN CLIENTES'!A:A,'RESUMEN CLIENTES'!X:X)</f>
        <v>0.33333333333333331</v>
      </c>
      <c r="F507" s="72">
        <f>+_xlfn.XLOOKUP(Tabla6[[#This Row],[ID CLIENTE]],'RESUMEN CLIENTES'!D:D,'RESUMEN CLIENTES'!W:W)</f>
        <v>1</v>
      </c>
      <c r="G507" s="17">
        <v>45940</v>
      </c>
      <c r="H507" s="44" t="s">
        <v>81</v>
      </c>
      <c r="I507" s="2">
        <v>1111</v>
      </c>
      <c r="J507" s="20" t="s">
        <v>1166</v>
      </c>
      <c r="K507" t="s">
        <v>1167</v>
      </c>
      <c r="L507" s="44" t="str" cm="1">
        <f t="array" ref="L507">+_xlfn.IFS(COUNTIF(INGRESOS!E:E,Tabla6[[#This Row],[ID FACTURA]])=1,"PAGADA",Tabla6[[#This Row],[ID FACTURA]]&lt;&gt;0,"EMITIDA",Tabla6[[#This Row],[ID FACTURA]]=0,"POR EMITIR")</f>
        <v>PAGADA</v>
      </c>
      <c r="M507" s="55">
        <f>+IF(Tabla6[[#This Row],[ESTADO FACTURA]]="PAGADA",Tabla6[[#This Row],[FECHA]]-_xlfn.XLOOKUP(Tabla6[[#This Row],[N° FACTURA]],INGRESOS!F:F,INGRESOS!A:A),"-")</f>
        <v>0</v>
      </c>
      <c r="N507" s="2"/>
      <c r="O507"/>
    </row>
    <row r="508" spans="1:15" ht="14.75" customHeight="1">
      <c r="A508" s="320" t="s">
        <v>501</v>
      </c>
      <c r="B508" t="str">
        <f>+_xlfn.XLOOKUP(Tabla6[[#This Row],[ID CLIENTE]],'RESUMEN CLIENTES'!D:D,'RESUMEN CLIENTES'!A:A)</f>
        <v>Kimberly Chantelle Frey Arteaga</v>
      </c>
      <c r="C508" t="str">
        <f>+_xlfn.XLOOKUP(Tabla6[[#This Row],[ID CLIENTE]],'RESUMEN CLIENTES'!D:D,'RESUMEN CLIENTES'!C:C)</f>
        <v>México</v>
      </c>
      <c r="D508" s="44" t="str">
        <f>+_xlfn.XLOOKUP(Tabla6[[#This Row],[ID CLIENTE]],'RESUMEN CLIENTES'!D:D,'RESUMEN CLIENTES'!M:M)</f>
        <v>OK</v>
      </c>
      <c r="E508" s="72">
        <f>+_xlfn.XLOOKUP(Tabla6[[#This Row],[NOMBRE]],'RESUMEN CLIENTES'!A:A,'RESUMEN CLIENTES'!X:X)</f>
        <v>0</v>
      </c>
      <c r="F508" s="72">
        <f>+_xlfn.XLOOKUP(Tabla6[[#This Row],[ID CLIENTE]],'RESUMEN CLIENTES'!D:D,'RESUMEN CLIENTES'!W:W)</f>
        <v>1</v>
      </c>
      <c r="G508" s="17">
        <v>45942</v>
      </c>
      <c r="H508" s="44" t="s">
        <v>81</v>
      </c>
      <c r="I508" s="2">
        <v>1000</v>
      </c>
      <c r="J508" s="20" t="s">
        <v>1168</v>
      </c>
      <c r="K508" t="s">
        <v>1169</v>
      </c>
      <c r="L508" s="44" t="str" cm="1">
        <f t="array" ref="L508">+_xlfn.IFS(COUNTIF(INGRESOS!E:E,Tabla6[[#This Row],[ID FACTURA]])=1,"PAGADA",Tabla6[[#This Row],[ID FACTURA]]&lt;&gt;0,"EMITIDA",Tabla6[[#This Row],[ID FACTURA]]=0,"POR EMITIR")</f>
        <v>PAGADA</v>
      </c>
      <c r="M508" s="55">
        <f>+IF(Tabla6[[#This Row],[ESTADO FACTURA]]="PAGADA",Tabla6[[#This Row],[FECHA]]-_xlfn.XLOOKUP(Tabla6[[#This Row],[N° FACTURA]],INGRESOS!F:F,INGRESOS!A:A),"-")</f>
        <v>-2</v>
      </c>
      <c r="N508" s="2"/>
      <c r="O508"/>
    </row>
    <row r="509" spans="1:15" ht="14.75" customHeight="1">
      <c r="A509" s="320" t="s">
        <v>187</v>
      </c>
      <c r="B509" t="str">
        <f>+_xlfn.XLOOKUP(Tabla6[[#This Row],[ID CLIENTE]],'RESUMEN CLIENTES'!D:D,'RESUMEN CLIENTES'!A:A)</f>
        <v>Alina Maria Cervantes Real</v>
      </c>
      <c r="C509" t="str">
        <f>+_xlfn.XLOOKUP(Tabla6[[#This Row],[ID CLIENTE]],'RESUMEN CLIENTES'!D:D,'RESUMEN CLIENTES'!C:C)</f>
        <v>México</v>
      </c>
      <c r="D509" s="44" t="str">
        <f>+_xlfn.XLOOKUP(Tabla6[[#This Row],[ID CLIENTE]],'RESUMEN CLIENTES'!D:D,'RESUMEN CLIENTES'!M:M)</f>
        <v>OK</v>
      </c>
      <c r="E509" s="72">
        <f>+_xlfn.XLOOKUP(Tabla6[[#This Row],[NOMBRE]],'RESUMEN CLIENTES'!A:A,'RESUMEN CLIENTES'!X:X)</f>
        <v>21.583333333333332</v>
      </c>
      <c r="F509" s="72">
        <f>+_xlfn.XLOOKUP(Tabla6[[#This Row],[ID CLIENTE]],'RESUMEN CLIENTES'!D:D,'RESUMEN CLIENTES'!W:W)</f>
        <v>1</v>
      </c>
      <c r="G509" s="17">
        <v>45945</v>
      </c>
      <c r="H509" s="44" t="s">
        <v>81</v>
      </c>
      <c r="I509" s="2">
        <v>1500</v>
      </c>
      <c r="J509" s="20" t="s">
        <v>961</v>
      </c>
      <c r="K509" t="s">
        <v>962</v>
      </c>
      <c r="L509" s="44" t="str" cm="1">
        <f t="array" ref="L509">+_xlfn.IFS(COUNTIF(INGRESOS!E:E,Tabla6[[#This Row],[ID FACTURA]])=1,"PAGADA",Tabla6[[#This Row],[ID FACTURA]]&lt;&gt;0,"EMITIDA",Tabla6[[#This Row],[ID FACTURA]]=0,"POR EMITIR")</f>
        <v>PAGADA</v>
      </c>
      <c r="M509" s="55">
        <f>+IF(Tabla6[[#This Row],[ESTADO FACTURA]]="PAGADA",Tabla6[[#This Row],[FECHA]]-_xlfn.XLOOKUP(Tabla6[[#This Row],[N° FACTURA]],INGRESOS!F:F,INGRESOS!A:A),"-")</f>
        <v>28</v>
      </c>
      <c r="N509" s="2"/>
      <c r="O509"/>
    </row>
    <row r="510" spans="1:15" ht="14.75" customHeight="1">
      <c r="A510" s="320" t="s">
        <v>325</v>
      </c>
      <c r="B510" t="str">
        <f>+_xlfn.XLOOKUP(Tabla6[[#This Row],[ID CLIENTE]],'RESUMEN CLIENTES'!D:D,'RESUMEN CLIENTES'!A:A)</f>
        <v>Andrea Cristina Estrada Morocho</v>
      </c>
      <c r="C510" t="str">
        <f>+_xlfn.XLOOKUP(Tabla6[[#This Row],[ID CLIENTE]],'RESUMEN CLIENTES'!D:D,'RESUMEN CLIENTES'!C:C)</f>
        <v>Ecuador</v>
      </c>
      <c r="D510" s="44" t="str">
        <f>+_xlfn.XLOOKUP(Tabla6[[#This Row],[ID CLIENTE]],'RESUMEN CLIENTES'!D:D,'RESUMEN CLIENTES'!M:M)</f>
        <v>OK</v>
      </c>
      <c r="E510" s="72">
        <f>+_xlfn.XLOOKUP(Tabla6[[#This Row],[NOMBRE]],'RESUMEN CLIENTES'!A:A,'RESUMEN CLIENTES'!X:X)</f>
        <v>-3.6666666666666665</v>
      </c>
      <c r="F510" s="72">
        <f>+_xlfn.XLOOKUP(Tabla6[[#This Row],[ID CLIENTE]],'RESUMEN CLIENTES'!D:D,'RESUMEN CLIENTES'!W:W)</f>
        <v>1</v>
      </c>
      <c r="G510" s="17">
        <v>45945</v>
      </c>
      <c r="H510" s="44" t="s">
        <v>81</v>
      </c>
      <c r="I510" s="2">
        <v>500</v>
      </c>
      <c r="J510" s="20" t="s">
        <v>1172</v>
      </c>
      <c r="K510" t="s">
        <v>1173</v>
      </c>
      <c r="L510" s="44" t="str" cm="1">
        <f t="array" ref="L510">+_xlfn.IFS(COUNTIF(INGRESOS!E:E,Tabla6[[#This Row],[ID FACTURA]])=1,"PAGADA",Tabla6[[#This Row],[ID FACTURA]]&lt;&gt;0,"EMITIDA",Tabla6[[#This Row],[ID FACTURA]]=0,"POR EMITIR")</f>
        <v>PAGADA</v>
      </c>
      <c r="M510" s="55">
        <f>+IF(Tabla6[[#This Row],[ESTADO FACTURA]]="PAGADA",Tabla6[[#This Row],[FECHA]]-_xlfn.XLOOKUP(Tabla6[[#This Row],[N° FACTURA]],INGRESOS!F:F,INGRESOS!A:A),"-")</f>
        <v>0</v>
      </c>
      <c r="N510" s="2"/>
      <c r="O510"/>
    </row>
    <row r="511" spans="1:15" ht="14.75" customHeight="1">
      <c r="A511" s="320" t="s">
        <v>751</v>
      </c>
      <c r="B511" t="str">
        <f>+_xlfn.XLOOKUP(Tabla6[[#This Row],[ID CLIENTE]],'RESUMEN CLIENTES'!D:D,'RESUMEN CLIENTES'!A:A)</f>
        <v>Carlos Alberto Suarez Hernandez</v>
      </c>
      <c r="C511" t="str">
        <f>+_xlfn.XLOOKUP(Tabla6[[#This Row],[ID CLIENTE]],'RESUMEN CLIENTES'!D:D,'RESUMEN CLIENTES'!C:C)</f>
        <v>Colombia</v>
      </c>
      <c r="D511" s="44" t="str">
        <f>+_xlfn.XLOOKUP(Tabla6[[#This Row],[ID CLIENTE]],'RESUMEN CLIENTES'!D:D,'RESUMEN CLIENTES'!M:M)</f>
        <v>OK</v>
      </c>
      <c r="E511" s="72">
        <f>+_xlfn.XLOOKUP(Tabla6[[#This Row],[NOMBRE]],'RESUMEN CLIENTES'!A:A,'RESUMEN CLIENTES'!X:X)</f>
        <v>0</v>
      </c>
      <c r="F511" s="72">
        <f>+_xlfn.XLOOKUP(Tabla6[[#This Row],[ID CLIENTE]],'RESUMEN CLIENTES'!D:D,'RESUMEN CLIENTES'!W:W)</f>
        <v>1</v>
      </c>
      <c r="G511" s="17">
        <v>45945</v>
      </c>
      <c r="H511" s="44" t="s">
        <v>81</v>
      </c>
      <c r="I511" s="2">
        <v>1000</v>
      </c>
      <c r="J511" s="20" t="s">
        <v>1174</v>
      </c>
      <c r="K511" t="s">
        <v>1175</v>
      </c>
      <c r="L511" s="44" t="str" cm="1">
        <f t="array" ref="L511">+_xlfn.IFS(COUNTIF(INGRESOS!E:E,Tabla6[[#This Row],[ID FACTURA]])=1,"PAGADA",Tabla6[[#This Row],[ID FACTURA]]&lt;&gt;0,"EMITIDA",Tabla6[[#This Row],[ID FACTURA]]=0,"POR EMITIR")</f>
        <v>PAGADA</v>
      </c>
      <c r="M511" s="55">
        <f>+IF(Tabla6[[#This Row],[ESTADO FACTURA]]="PAGADA",Tabla6[[#This Row],[FECHA]]-_xlfn.XLOOKUP(Tabla6[[#This Row],[N° FACTURA]],INGRESOS!F:F,INGRESOS!A:A),"-")</f>
        <v>0</v>
      </c>
      <c r="N511" s="2"/>
      <c r="O511"/>
    </row>
    <row r="512" spans="1:15" ht="14.75" customHeight="1">
      <c r="A512" s="320" t="s">
        <v>156</v>
      </c>
      <c r="B512" t="str">
        <f>+_xlfn.XLOOKUP(Tabla6[[#This Row],[ID CLIENTE]],'RESUMEN CLIENTES'!D:D,'RESUMEN CLIENTES'!A:A)</f>
        <v>Catalina Andrea Videla Muñoz</v>
      </c>
      <c r="C512" t="str">
        <f>+_xlfn.XLOOKUP(Tabla6[[#This Row],[ID CLIENTE]],'RESUMEN CLIENTES'!D:D,'RESUMEN CLIENTES'!C:C)</f>
        <v>Chile</v>
      </c>
      <c r="D512" s="44" t="str">
        <f>+_xlfn.XLOOKUP(Tabla6[[#This Row],[ID CLIENTE]],'RESUMEN CLIENTES'!D:D,'RESUMEN CLIENTES'!M:M)</f>
        <v>OK</v>
      </c>
      <c r="E512" s="72">
        <f>+_xlfn.XLOOKUP(Tabla6[[#This Row],[NOMBRE]],'RESUMEN CLIENTES'!A:A,'RESUMEN CLIENTES'!X:X)</f>
        <v>1.5454545454545454</v>
      </c>
      <c r="F512" s="72">
        <f>+_xlfn.XLOOKUP(Tabla6[[#This Row],[ID CLIENTE]],'RESUMEN CLIENTES'!D:D,'RESUMEN CLIENTES'!W:W)</f>
        <v>1</v>
      </c>
      <c r="G512" s="17">
        <v>45945</v>
      </c>
      <c r="H512" s="44" t="s">
        <v>81</v>
      </c>
      <c r="I512" s="2">
        <v>850</v>
      </c>
      <c r="J512" s="20" t="s">
        <v>1176</v>
      </c>
      <c r="K512" t="s">
        <v>1177</v>
      </c>
      <c r="L512" s="44" t="str" cm="1">
        <f t="array" ref="L512">+_xlfn.IFS(COUNTIF(INGRESOS!E:E,Tabla6[[#This Row],[ID FACTURA]])=1,"PAGADA",Tabla6[[#This Row],[ID FACTURA]]&lt;&gt;0,"EMITIDA",Tabla6[[#This Row],[ID FACTURA]]=0,"POR EMITIR")</f>
        <v>PAGADA</v>
      </c>
      <c r="M512" s="55">
        <f>+IF(Tabla6[[#This Row],[ESTADO FACTURA]]="PAGADA",Tabla6[[#This Row],[FECHA]]-_xlfn.XLOOKUP(Tabla6[[#This Row],[N° FACTURA]],INGRESOS!F:F,INGRESOS!A:A),"-")</f>
        <v>2</v>
      </c>
      <c r="N512" s="2"/>
      <c r="O512"/>
    </row>
    <row r="513" spans="1:15" ht="14.75" customHeight="1">
      <c r="A513" s="320" t="s">
        <v>1178</v>
      </c>
      <c r="B513" t="str">
        <f>+_xlfn.XLOOKUP(Tabla6[[#This Row],[ID CLIENTE]],'RESUMEN CLIENTES'!D:D,'RESUMEN CLIENTES'!A:A)</f>
        <v>Daniel Flores</v>
      </c>
      <c r="C513" t="str">
        <f>+_xlfn.XLOOKUP(Tabla6[[#This Row],[ID CLIENTE]],'RESUMEN CLIENTES'!D:D,'RESUMEN CLIENTES'!C:C)</f>
        <v>Ecuador</v>
      </c>
      <c r="D513" s="44" t="str">
        <f>+_xlfn.XLOOKUP(Tabla6[[#This Row],[ID CLIENTE]],'RESUMEN CLIENTES'!D:D,'RESUMEN CLIENTES'!M:M)</f>
        <v>OK</v>
      </c>
      <c r="E513" s="72">
        <f>+_xlfn.XLOOKUP(Tabla6[[#This Row],[NOMBRE]],'RESUMEN CLIENTES'!A:A,'RESUMEN CLIENTES'!X:X)</f>
        <v>3.8333333333333335</v>
      </c>
      <c r="F513" s="72">
        <f>+_xlfn.XLOOKUP(Tabla6[[#This Row],[ID CLIENTE]],'RESUMEN CLIENTES'!D:D,'RESUMEN CLIENTES'!W:W)</f>
        <v>1</v>
      </c>
      <c r="G513" s="17">
        <v>45945</v>
      </c>
      <c r="H513" s="44" t="s">
        <v>81</v>
      </c>
      <c r="I513" s="2">
        <v>500</v>
      </c>
      <c r="J513" s="20" t="s">
        <v>1179</v>
      </c>
      <c r="K513" t="s">
        <v>1180</v>
      </c>
      <c r="L513" s="44" t="str" cm="1">
        <f t="array" ref="L513">+_xlfn.IFS(COUNTIF(INGRESOS!E:E,Tabla6[[#This Row],[ID FACTURA]])=1,"PAGADA",Tabla6[[#This Row],[ID FACTURA]]&lt;&gt;0,"EMITIDA",Tabla6[[#This Row],[ID FACTURA]]=0,"POR EMITIR")</f>
        <v>PAGADA</v>
      </c>
      <c r="M513" s="55">
        <f>+IF(Tabla6[[#This Row],[ESTADO FACTURA]]="PAGADA",Tabla6[[#This Row],[FECHA]]-_xlfn.XLOOKUP(Tabla6[[#This Row],[N° FACTURA]],INGRESOS!F:F,INGRESOS!A:A),"-")</f>
        <v>0</v>
      </c>
      <c r="N513" s="2"/>
      <c r="O513"/>
    </row>
    <row r="514" spans="1:15" ht="14.75" customHeight="1">
      <c r="A514" s="320" t="s">
        <v>933</v>
      </c>
      <c r="B514" t="str">
        <f>+_xlfn.XLOOKUP(Tabla6[[#This Row],[ID CLIENTE]],'RESUMEN CLIENTES'!D:D,'RESUMEN CLIENTES'!A:A)</f>
        <v>Edgar Vinicio Escalante Fiallos</v>
      </c>
      <c r="C514" t="str">
        <f>+_xlfn.XLOOKUP(Tabla6[[#This Row],[ID CLIENTE]],'RESUMEN CLIENTES'!D:D,'RESUMEN CLIENTES'!C:C)</f>
        <v>Ecuador</v>
      </c>
      <c r="D514" s="44" t="str">
        <f>+_xlfn.XLOOKUP(Tabla6[[#This Row],[ID CLIENTE]],'RESUMEN CLIENTES'!D:D,'RESUMEN CLIENTES'!M:M)</f>
        <v>¡REGULARIZAR!</v>
      </c>
      <c r="E514" s="72">
        <f>+_xlfn.XLOOKUP(Tabla6[[#This Row],[NOMBRE]],'RESUMEN CLIENTES'!A:A,'RESUMEN CLIENTES'!X:X)</f>
        <v>-8.5</v>
      </c>
      <c r="F514" s="72">
        <f>+_xlfn.XLOOKUP(Tabla6[[#This Row],[ID CLIENTE]],'RESUMEN CLIENTES'!D:D,'RESUMEN CLIENTES'!W:W)</f>
        <v>1</v>
      </c>
      <c r="G514" s="17">
        <v>45945</v>
      </c>
      <c r="H514" s="44" t="s">
        <v>81</v>
      </c>
      <c r="I514" s="2">
        <v>4400</v>
      </c>
      <c r="J514" s="20" t="s">
        <v>1181</v>
      </c>
      <c r="K514" t="s">
        <v>1182</v>
      </c>
      <c r="L514" s="44" t="str" cm="1">
        <f t="array" ref="L514">+_xlfn.IFS(COUNTIF(INGRESOS!E:E,Tabla6[[#This Row],[ID FACTURA]])=1,"PAGADA",Tabla6[[#This Row],[ID FACTURA]]&lt;&gt;0,"EMITIDA",Tabla6[[#This Row],[ID FACTURA]]=0,"POR EMITIR")</f>
        <v>PAGADA</v>
      </c>
      <c r="M514" s="55">
        <f>+IF(Tabla6[[#This Row],[ESTADO FACTURA]]="PAGADA",Tabla6[[#This Row],[FECHA]]-_xlfn.XLOOKUP(Tabla6[[#This Row],[N° FACTURA]],INGRESOS!F:F,INGRESOS!A:A),"-")</f>
        <v>-17</v>
      </c>
      <c r="N514" s="2"/>
      <c r="O514" s="8"/>
    </row>
    <row r="515" spans="1:15" ht="14.75" customHeight="1">
      <c r="A515" s="320" t="s">
        <v>95</v>
      </c>
      <c r="B515" t="str">
        <f>+_xlfn.XLOOKUP(Tabla6[[#This Row],[ID CLIENTE]],'RESUMEN CLIENTES'!D:D,'RESUMEN CLIENTES'!A:A)</f>
        <v>Gabriel Alejandro Ortega Moreno</v>
      </c>
      <c r="C515" t="str">
        <f>+_xlfn.XLOOKUP(Tabla6[[#This Row],[ID CLIENTE]],'RESUMEN CLIENTES'!D:D,'RESUMEN CLIENTES'!C:C)</f>
        <v>Ecuador</v>
      </c>
      <c r="D515" s="44" t="str">
        <f>+_xlfn.XLOOKUP(Tabla6[[#This Row],[ID CLIENTE]],'RESUMEN CLIENTES'!D:D,'RESUMEN CLIENTES'!M:M)</f>
        <v>OK</v>
      </c>
      <c r="E515" s="72">
        <f>+_xlfn.XLOOKUP(Tabla6[[#This Row],[NOMBRE]],'RESUMEN CLIENTES'!A:A,'RESUMEN CLIENTES'!X:X)</f>
        <v>-0.1111111111111111</v>
      </c>
      <c r="F515" s="72">
        <f>+_xlfn.XLOOKUP(Tabla6[[#This Row],[ID CLIENTE]],'RESUMEN CLIENTES'!D:D,'RESUMEN CLIENTES'!W:W)</f>
        <v>0</v>
      </c>
      <c r="G515" s="17">
        <v>45945</v>
      </c>
      <c r="H515" s="44" t="s">
        <v>81</v>
      </c>
      <c r="I515" s="2">
        <v>200</v>
      </c>
      <c r="J515" s="20" t="s">
        <v>1183</v>
      </c>
      <c r="K515" t="s">
        <v>1184</v>
      </c>
      <c r="L515" s="44" t="str" cm="1">
        <f t="array" ref="L515">+_xlfn.IFS(COUNTIF(INGRESOS!E:E,Tabla6[[#This Row],[ID FACTURA]])=1,"PAGADA",Tabla6[[#This Row],[ID FACTURA]]&lt;&gt;0,"EMITIDA",Tabla6[[#This Row],[ID FACTURA]]=0,"POR EMITIR")</f>
        <v>PAGADA</v>
      </c>
      <c r="M515" s="55">
        <f>+IF(Tabla6[[#This Row],[ESTADO FACTURA]]="PAGADA",Tabla6[[#This Row],[FECHA]]-_xlfn.XLOOKUP(Tabla6[[#This Row],[N° FACTURA]],INGRESOS!F:F,INGRESOS!A:A),"-")</f>
        <v>-1</v>
      </c>
      <c r="N515" s="2"/>
      <c r="O515"/>
    </row>
    <row r="516" spans="1:15" ht="14.75" customHeight="1">
      <c r="A516" s="320" t="s">
        <v>98</v>
      </c>
      <c r="B516" t="str">
        <f>+_xlfn.XLOOKUP(Tabla6[[#This Row],[ID CLIENTE]],'RESUMEN CLIENTES'!D:D,'RESUMEN CLIENTES'!A:A)</f>
        <v>Gabriela Kimberlyn Moran Caiza</v>
      </c>
      <c r="C516" t="str">
        <f>+_xlfn.XLOOKUP(Tabla6[[#This Row],[ID CLIENTE]],'RESUMEN CLIENTES'!D:D,'RESUMEN CLIENTES'!C:C)</f>
        <v>Ecuador</v>
      </c>
      <c r="D516" s="44" t="str">
        <f>+_xlfn.XLOOKUP(Tabla6[[#This Row],[ID CLIENTE]],'RESUMEN CLIENTES'!D:D,'RESUMEN CLIENTES'!M:M)</f>
        <v>OK</v>
      </c>
      <c r="E516" s="72">
        <f>+_xlfn.XLOOKUP(Tabla6[[#This Row],[NOMBRE]],'RESUMEN CLIENTES'!A:A,'RESUMEN CLIENTES'!X:X)</f>
        <v>-1.25</v>
      </c>
      <c r="F516" s="72">
        <f>+_xlfn.XLOOKUP(Tabla6[[#This Row],[ID CLIENTE]],'RESUMEN CLIENTES'!D:D,'RESUMEN CLIENTES'!W:W)</f>
        <v>0</v>
      </c>
      <c r="G516" s="17">
        <v>45945</v>
      </c>
      <c r="H516" s="44" t="s">
        <v>81</v>
      </c>
      <c r="I516" s="2">
        <v>100</v>
      </c>
      <c r="J516" s="20" t="s">
        <v>1185</v>
      </c>
      <c r="K516" t="s">
        <v>1186</v>
      </c>
      <c r="L516" s="44" t="str" cm="1">
        <f t="array" ref="L516">+_xlfn.IFS(COUNTIF(INGRESOS!E:E,Tabla6[[#This Row],[ID FACTURA]])=1,"PAGADA",Tabla6[[#This Row],[ID FACTURA]]&lt;&gt;0,"EMITIDA",Tabla6[[#This Row],[ID FACTURA]]=0,"POR EMITIR")</f>
        <v>PAGADA</v>
      </c>
      <c r="M516" s="55">
        <f>+IF(Tabla6[[#This Row],[ESTADO FACTURA]]="PAGADA",Tabla6[[#This Row],[FECHA]]-_xlfn.XLOOKUP(Tabla6[[#This Row],[N° FACTURA]],INGRESOS!F:F,INGRESOS!A:A),"-")</f>
        <v>-1</v>
      </c>
      <c r="N516" s="2"/>
      <c r="O516"/>
    </row>
    <row r="517" spans="1:15" ht="14.75" customHeight="1">
      <c r="A517" s="320" t="s">
        <v>103</v>
      </c>
      <c r="B517" t="str">
        <f>+_xlfn.XLOOKUP(Tabla6[[#This Row],[ID CLIENTE]],'RESUMEN CLIENTES'!D:D,'RESUMEN CLIENTES'!A:A)</f>
        <v>Isaac Ricardo Jimenez Campos</v>
      </c>
      <c r="C517" t="str">
        <f>+_xlfn.XLOOKUP(Tabla6[[#This Row],[ID CLIENTE]],'RESUMEN CLIENTES'!D:D,'RESUMEN CLIENTES'!C:C)</f>
        <v>México</v>
      </c>
      <c r="D517" s="44" t="str">
        <f>+_xlfn.XLOOKUP(Tabla6[[#This Row],[ID CLIENTE]],'RESUMEN CLIENTES'!D:D,'RESUMEN CLIENTES'!M:M)</f>
        <v>OK</v>
      </c>
      <c r="E517" s="72">
        <f>+_xlfn.XLOOKUP(Tabla6[[#This Row],[NOMBRE]],'RESUMEN CLIENTES'!A:A,'RESUMEN CLIENTES'!X:X)</f>
        <v>0.5</v>
      </c>
      <c r="F517" s="72">
        <f>+_xlfn.XLOOKUP(Tabla6[[#This Row],[ID CLIENTE]],'RESUMEN CLIENTES'!D:D,'RESUMEN CLIENTES'!W:W)</f>
        <v>1</v>
      </c>
      <c r="G517" s="17">
        <v>45945</v>
      </c>
      <c r="H517" s="44" t="s">
        <v>81</v>
      </c>
      <c r="I517" s="2">
        <v>654</v>
      </c>
      <c r="J517" s="20" t="s">
        <v>1187</v>
      </c>
      <c r="K517" t="s">
        <v>1188</v>
      </c>
      <c r="L517" s="44" t="str" cm="1">
        <f t="array" ref="L517">+_xlfn.IFS(COUNTIF(INGRESOS!E:E,Tabla6[[#This Row],[ID FACTURA]])=1,"PAGADA",Tabla6[[#This Row],[ID FACTURA]]&lt;&gt;0,"EMITIDA",Tabla6[[#This Row],[ID FACTURA]]=0,"POR EMITIR")</f>
        <v>PAGADA</v>
      </c>
      <c r="M517" s="55">
        <f>+IF(Tabla6[[#This Row],[ESTADO FACTURA]]="PAGADA",Tabla6[[#This Row],[FECHA]]-_xlfn.XLOOKUP(Tabla6[[#This Row],[N° FACTURA]],INGRESOS!F:F,INGRESOS!A:A),"-")</f>
        <v>0</v>
      </c>
      <c r="N517" s="2"/>
      <c r="O517"/>
    </row>
    <row r="518" spans="1:15" ht="14.75" customHeight="1">
      <c r="A518" s="320" t="s">
        <v>362</v>
      </c>
      <c r="B518" t="str">
        <f>+_xlfn.XLOOKUP(Tabla6[[#This Row],[ID CLIENTE]],'RESUMEN CLIENTES'!D:D,'RESUMEN CLIENTES'!A:A)</f>
        <v>Jessica Ayelén Culla Alvarez</v>
      </c>
      <c r="C518" t="str">
        <f>+_xlfn.XLOOKUP(Tabla6[[#This Row],[ID CLIENTE]],'RESUMEN CLIENTES'!D:D,'RESUMEN CLIENTES'!C:C)</f>
        <v>Argentina</v>
      </c>
      <c r="D518" s="44" t="str">
        <f>+_xlfn.XLOOKUP(Tabla6[[#This Row],[ID CLIENTE]],'RESUMEN CLIENTES'!D:D,'RESUMEN CLIENTES'!M:M)</f>
        <v>OK</v>
      </c>
      <c r="E518" s="72">
        <f>+_xlfn.XLOOKUP(Tabla6[[#This Row],[NOMBRE]],'RESUMEN CLIENTES'!A:A,'RESUMEN CLIENTES'!X:X)</f>
        <v>-2.1538461538461537</v>
      </c>
      <c r="F518" s="72">
        <f>+_xlfn.XLOOKUP(Tabla6[[#This Row],[ID CLIENTE]],'RESUMEN CLIENTES'!D:D,'RESUMEN CLIENTES'!W:W)</f>
        <v>1</v>
      </c>
      <c r="G518" s="17">
        <v>45945</v>
      </c>
      <c r="H518" s="44" t="s">
        <v>81</v>
      </c>
      <c r="I518" s="2">
        <v>1000</v>
      </c>
      <c r="J518" s="20" t="s">
        <v>1189</v>
      </c>
      <c r="K518" t="s">
        <v>1190</v>
      </c>
      <c r="L518" s="44" t="str" cm="1">
        <f t="array" ref="L518">+_xlfn.IFS(COUNTIF(INGRESOS!E:E,Tabla6[[#This Row],[ID FACTURA]])=1,"PAGADA",Tabla6[[#This Row],[ID FACTURA]]&lt;&gt;0,"EMITIDA",Tabla6[[#This Row],[ID FACTURA]]=0,"POR EMITIR")</f>
        <v>PAGADA</v>
      </c>
      <c r="M518" s="55">
        <f>+IF(Tabla6[[#This Row],[ESTADO FACTURA]]="PAGADA",Tabla6[[#This Row],[FECHA]]-_xlfn.XLOOKUP(Tabla6[[#This Row],[N° FACTURA]],INGRESOS!F:F,INGRESOS!A:A),"-")</f>
        <v>-1</v>
      </c>
      <c r="N518" s="2"/>
      <c r="O518"/>
    </row>
    <row r="519" spans="1:15" ht="14.75" customHeight="1">
      <c r="A519" s="320" t="s">
        <v>136</v>
      </c>
      <c r="B519" t="str">
        <f>+_xlfn.XLOOKUP(Tabla6[[#This Row],[ID CLIENTE]],'RESUMEN CLIENTES'!D:D,'RESUMEN CLIENTES'!A:A)</f>
        <v>Juan Pablo Martínez Cabello</v>
      </c>
      <c r="C519" t="str">
        <f>+_xlfn.XLOOKUP(Tabla6[[#This Row],[ID CLIENTE]],'RESUMEN CLIENTES'!D:D,'RESUMEN CLIENTES'!C:C)</f>
        <v>Chile</v>
      </c>
      <c r="D519" s="44" t="str">
        <f>+_xlfn.XLOOKUP(Tabla6[[#This Row],[ID CLIENTE]],'RESUMEN CLIENTES'!D:D,'RESUMEN CLIENTES'!M:M)</f>
        <v>OK</v>
      </c>
      <c r="E519" s="72">
        <f>+_xlfn.XLOOKUP(Tabla6[[#This Row],[NOMBRE]],'RESUMEN CLIENTES'!A:A,'RESUMEN CLIENTES'!X:X)</f>
        <v>1.5714285714285714</v>
      </c>
      <c r="F519" s="72">
        <f>+_xlfn.XLOOKUP(Tabla6[[#This Row],[ID CLIENTE]],'RESUMEN CLIENTES'!D:D,'RESUMEN CLIENTES'!W:W)</f>
        <v>1</v>
      </c>
      <c r="G519" s="17">
        <v>45945</v>
      </c>
      <c r="H519" s="44" t="s">
        <v>81</v>
      </c>
      <c r="I519" s="2">
        <v>1500</v>
      </c>
      <c r="J519" s="20" t="s">
        <v>1191</v>
      </c>
      <c r="K519" t="s">
        <v>1192</v>
      </c>
      <c r="L519" s="44" t="str" cm="1">
        <f t="array" ref="L519">+_xlfn.IFS(COUNTIF(INGRESOS!E:E,Tabla6[[#This Row],[ID FACTURA]])=1,"PAGADA",Tabla6[[#This Row],[ID FACTURA]]&lt;&gt;0,"EMITIDA",Tabla6[[#This Row],[ID FACTURA]]=0,"POR EMITIR")</f>
        <v>PAGADA</v>
      </c>
      <c r="M519" s="55">
        <f>+IF(Tabla6[[#This Row],[ESTADO FACTURA]]="PAGADA",Tabla6[[#This Row],[FECHA]]-_xlfn.XLOOKUP(Tabla6[[#This Row],[N° FACTURA]],INGRESOS!F:F,INGRESOS!A:A),"-")</f>
        <v>3</v>
      </c>
      <c r="N519" s="2"/>
      <c r="O519"/>
    </row>
    <row r="520" spans="1:15" ht="14.75" customHeight="1">
      <c r="A520" s="320" t="s">
        <v>762</v>
      </c>
      <c r="B520" t="str">
        <f>+_xlfn.XLOOKUP(Tabla6[[#This Row],[ID CLIENTE]],'RESUMEN CLIENTES'!D:D,'RESUMEN CLIENTES'!A:A)</f>
        <v>María Stefania Gelvez Olaya</v>
      </c>
      <c r="C520" t="str">
        <f>+_xlfn.XLOOKUP(Tabla6[[#This Row],[ID CLIENTE]],'RESUMEN CLIENTES'!D:D,'RESUMEN CLIENTES'!C:C)</f>
        <v>Colombia</v>
      </c>
      <c r="D520" s="44" t="str">
        <f>+_xlfn.XLOOKUP(Tabla6[[#This Row],[ID CLIENTE]],'RESUMEN CLIENTES'!D:D,'RESUMEN CLIENTES'!M:M)</f>
        <v>OK</v>
      </c>
      <c r="E520" s="72">
        <f>+_xlfn.XLOOKUP(Tabla6[[#This Row],[NOMBRE]],'RESUMEN CLIENTES'!A:A,'RESUMEN CLIENTES'!X:X)</f>
        <v>-0.14285714285714285</v>
      </c>
      <c r="F520" s="72">
        <f>+_xlfn.XLOOKUP(Tabla6[[#This Row],[ID CLIENTE]],'RESUMEN CLIENTES'!D:D,'RESUMEN CLIENTES'!W:W)</f>
        <v>1</v>
      </c>
      <c r="G520" s="17">
        <v>45945</v>
      </c>
      <c r="H520" s="44" t="s">
        <v>81</v>
      </c>
      <c r="I520" s="2">
        <v>1000</v>
      </c>
      <c r="J520" s="20" t="s">
        <v>1193</v>
      </c>
      <c r="K520" t="s">
        <v>1194</v>
      </c>
      <c r="L520" s="44" t="str" cm="1">
        <f t="array" ref="L520">+_xlfn.IFS(COUNTIF(INGRESOS!E:E,Tabla6[[#This Row],[ID FACTURA]])=1,"PAGADA",Tabla6[[#This Row],[ID FACTURA]]&lt;&gt;0,"EMITIDA",Tabla6[[#This Row],[ID FACTURA]]=0,"POR EMITIR")</f>
        <v>PAGADA</v>
      </c>
      <c r="M520" s="55">
        <f>+IF(Tabla6[[#This Row],[ESTADO FACTURA]]="PAGADA",Tabla6[[#This Row],[FECHA]]-_xlfn.XLOOKUP(Tabla6[[#This Row],[N° FACTURA]],INGRESOS!F:F,INGRESOS!A:A),"-")</f>
        <v>0</v>
      </c>
      <c r="N520" s="2"/>
      <c r="O520"/>
    </row>
    <row r="521" spans="1:15" ht="14.75" customHeight="1">
      <c r="A521" s="320" t="s">
        <v>958</v>
      </c>
      <c r="B521" t="str">
        <f>+_xlfn.XLOOKUP(Tabla6[[#This Row],[ID CLIENTE]],'RESUMEN CLIENTES'!D:D,'RESUMEN CLIENTES'!A:A)</f>
        <v>Matías Enrique Aguilera Mancilla</v>
      </c>
      <c r="C521" t="str">
        <f>+_xlfn.XLOOKUP(Tabla6[[#This Row],[ID CLIENTE]],'RESUMEN CLIENTES'!D:D,'RESUMEN CLIENTES'!C:C)</f>
        <v>Chile</v>
      </c>
      <c r="D521" s="44" t="str">
        <f>+_xlfn.XLOOKUP(Tabla6[[#This Row],[ID CLIENTE]],'RESUMEN CLIENTES'!D:D,'RESUMEN CLIENTES'!M:M)</f>
        <v>ELIMINADO</v>
      </c>
      <c r="E521" s="72">
        <f>+_xlfn.XLOOKUP(Tabla6[[#This Row],[NOMBRE]],'RESUMEN CLIENTES'!A:A,'RESUMEN CLIENTES'!X:X)</f>
        <v>-0.75</v>
      </c>
      <c r="F521" s="72">
        <f>+_xlfn.XLOOKUP(Tabla6[[#This Row],[ID CLIENTE]],'RESUMEN CLIENTES'!D:D,'RESUMEN CLIENTES'!W:W)</f>
        <v>0</v>
      </c>
      <c r="G521" s="17">
        <v>45945</v>
      </c>
      <c r="H521" s="44" t="s">
        <v>81</v>
      </c>
      <c r="I521" s="2">
        <v>1500</v>
      </c>
      <c r="J521" s="20" t="s">
        <v>1195</v>
      </c>
      <c r="K521" t="s">
        <v>1196</v>
      </c>
      <c r="L521" s="44" t="str" cm="1">
        <f t="array" ref="L521">+_xlfn.IFS(COUNTIF(INGRESOS!E:E,Tabla6[[#This Row],[ID FACTURA]])=1,"PAGADA",Tabla6[[#This Row],[ID FACTURA]]&lt;&gt;0,"EMITIDA",Tabla6[[#This Row],[ID FACTURA]]=0,"POR EMITIR")</f>
        <v>PAGADA</v>
      </c>
      <c r="M521" s="55">
        <f>+IF(Tabla6[[#This Row],[ESTADO FACTURA]]="PAGADA",Tabla6[[#This Row],[FECHA]]-_xlfn.XLOOKUP(Tabla6[[#This Row],[N° FACTURA]],INGRESOS!F:F,INGRESOS!A:A),"-")</f>
        <v>-1</v>
      </c>
      <c r="N521" s="2"/>
      <c r="O521"/>
    </row>
    <row r="522" spans="1:15" ht="14.75" customHeight="1">
      <c r="A522" s="320" t="s">
        <v>242</v>
      </c>
      <c r="B522" t="str">
        <f>+_xlfn.XLOOKUP(Tabla6[[#This Row],[ID CLIENTE]],'RESUMEN CLIENTES'!D:D,'RESUMEN CLIENTES'!A:A)</f>
        <v>Rodrigo Ignacio Rodriguez Frutos</v>
      </c>
      <c r="C522" t="str">
        <f>+_xlfn.XLOOKUP(Tabla6[[#This Row],[ID CLIENTE]],'RESUMEN CLIENTES'!D:D,'RESUMEN CLIENTES'!C:C)</f>
        <v>México</v>
      </c>
      <c r="D522" s="44" t="str">
        <f>+_xlfn.XLOOKUP(Tabla6[[#This Row],[ID CLIENTE]],'RESUMEN CLIENTES'!D:D,'RESUMEN CLIENTES'!M:M)</f>
        <v>OK</v>
      </c>
      <c r="E522" s="72">
        <f>+_xlfn.XLOOKUP(Tabla6[[#This Row],[NOMBRE]],'RESUMEN CLIENTES'!A:A,'RESUMEN CLIENTES'!X:X)</f>
        <v>-1.4285714285714286</v>
      </c>
      <c r="F522" s="72">
        <f>+_xlfn.XLOOKUP(Tabla6[[#This Row],[ID CLIENTE]],'RESUMEN CLIENTES'!D:D,'RESUMEN CLIENTES'!W:W)</f>
        <v>1</v>
      </c>
      <c r="G522" s="17">
        <v>45945</v>
      </c>
      <c r="H522" s="44" t="s">
        <v>81</v>
      </c>
      <c r="I522" s="2">
        <v>2500</v>
      </c>
      <c r="J522" s="20" t="s">
        <v>1197</v>
      </c>
      <c r="K522" t="s">
        <v>1198</v>
      </c>
      <c r="L522" s="44" t="str" cm="1">
        <f t="array" ref="L522">+_xlfn.IFS(COUNTIF(INGRESOS!E:E,Tabla6[[#This Row],[ID FACTURA]])=1,"PAGADA",Tabla6[[#This Row],[ID FACTURA]]&lt;&gt;0,"EMITIDA",Tabla6[[#This Row],[ID FACTURA]]=0,"POR EMITIR")</f>
        <v>PAGADA</v>
      </c>
      <c r="M522" s="55">
        <f>+IF(Tabla6[[#This Row],[ESTADO FACTURA]]="PAGADA",Tabla6[[#This Row],[FECHA]]-_xlfn.XLOOKUP(Tabla6[[#This Row],[N° FACTURA]],INGRESOS!F:F,INGRESOS!A:A),"-")</f>
        <v>-1</v>
      </c>
      <c r="N522" s="2"/>
      <c r="O522"/>
    </row>
    <row r="523" spans="1:15" ht="14.75" customHeight="1">
      <c r="A523" s="320" t="s">
        <v>178</v>
      </c>
      <c r="B523" t="str">
        <f>+_xlfn.XLOOKUP(Tabla6[[#This Row],[ID CLIENTE]],'RESUMEN CLIENTES'!D:D,'RESUMEN CLIENTES'!A:A)</f>
        <v>Sven Sigurd Biedermann Aberg</v>
      </c>
      <c r="C523" t="str">
        <f>+_xlfn.XLOOKUP(Tabla6[[#This Row],[ID CLIENTE]],'RESUMEN CLIENTES'!D:D,'RESUMEN CLIENTES'!C:C)</f>
        <v>Chile</v>
      </c>
      <c r="D523" s="44" t="str">
        <f>+_xlfn.XLOOKUP(Tabla6[[#This Row],[ID CLIENTE]],'RESUMEN CLIENTES'!D:D,'RESUMEN CLIENTES'!M:M)</f>
        <v>OK</v>
      </c>
      <c r="E523" s="72">
        <f>+_xlfn.XLOOKUP(Tabla6[[#This Row],[NOMBRE]],'RESUMEN CLIENTES'!A:A,'RESUMEN CLIENTES'!X:X)</f>
        <v>-0.33333333333333331</v>
      </c>
      <c r="F523" s="72">
        <f>+_xlfn.XLOOKUP(Tabla6[[#This Row],[ID CLIENTE]],'RESUMEN CLIENTES'!D:D,'RESUMEN CLIENTES'!W:W)</f>
        <v>0</v>
      </c>
      <c r="G523" s="17">
        <v>45945</v>
      </c>
      <c r="H523" s="44" t="s">
        <v>81</v>
      </c>
      <c r="I523" s="2">
        <v>4000</v>
      </c>
      <c r="J523" s="20" t="s">
        <v>1199</v>
      </c>
      <c r="K523" t="s">
        <v>1200</v>
      </c>
      <c r="L523" s="44" t="str" cm="1">
        <f t="array" ref="L523">+_xlfn.IFS(COUNTIF(INGRESOS!E:E,Tabla6[[#This Row],[ID FACTURA]])=1,"PAGADA",Tabla6[[#This Row],[ID FACTURA]]&lt;&gt;0,"EMITIDA",Tabla6[[#This Row],[ID FACTURA]]=0,"POR EMITIR")</f>
        <v>PAGADA</v>
      </c>
      <c r="M523" s="55">
        <f>+IF(Tabla6[[#This Row],[ESTADO FACTURA]]="PAGADA",Tabla6[[#This Row],[FECHA]]-_xlfn.XLOOKUP(Tabla6[[#This Row],[N° FACTURA]],INGRESOS!F:F,INGRESOS!A:A),"-")</f>
        <v>1</v>
      </c>
      <c r="N523" s="2"/>
      <c r="O523"/>
    </row>
    <row r="524" spans="1:15" ht="14.75" customHeight="1">
      <c r="A524" s="320" t="s">
        <v>1201</v>
      </c>
      <c r="B524" t="str">
        <f>+_xlfn.XLOOKUP(Tabla6[[#This Row],[ID CLIENTE]],'RESUMEN CLIENTES'!D:D,'RESUMEN CLIENTES'!A:A)</f>
        <v>María Soledad Tituana Asanza</v>
      </c>
      <c r="C524" t="str">
        <f>+_xlfn.XLOOKUP(Tabla6[[#This Row],[ID CLIENTE]],'RESUMEN CLIENTES'!D:D,'RESUMEN CLIENTES'!C:C)</f>
        <v>Ecuador</v>
      </c>
      <c r="D524" s="44" t="str">
        <f>+_xlfn.XLOOKUP(Tabla6[[#This Row],[ID CLIENTE]],'RESUMEN CLIENTES'!D:D,'RESUMEN CLIENTES'!M:M)</f>
        <v>OK</v>
      </c>
      <c r="E524" s="72">
        <f>+_xlfn.XLOOKUP(Tabla6[[#This Row],[NOMBRE]],'RESUMEN CLIENTES'!A:A,'RESUMEN CLIENTES'!X:X)</f>
        <v>-0.16666666666666666</v>
      </c>
      <c r="F524" s="72">
        <f>+_xlfn.XLOOKUP(Tabla6[[#This Row],[ID CLIENTE]],'RESUMEN CLIENTES'!D:D,'RESUMEN CLIENTES'!W:W)</f>
        <v>0</v>
      </c>
      <c r="G524" s="17">
        <v>45946</v>
      </c>
      <c r="H524" s="44" t="s">
        <v>81</v>
      </c>
      <c r="I524" s="2">
        <v>500</v>
      </c>
      <c r="J524" s="20" t="s">
        <v>1202</v>
      </c>
      <c r="K524" t="s">
        <v>1203</v>
      </c>
      <c r="L524" s="44" t="str" cm="1">
        <f t="array" ref="L524">+_xlfn.IFS(COUNTIF(INGRESOS!E:E,Tabla6[[#This Row],[ID FACTURA]])=1,"PAGADA",Tabla6[[#This Row],[ID FACTURA]]&lt;&gt;0,"EMITIDA",Tabla6[[#This Row],[ID FACTURA]]=0,"POR EMITIR")</f>
        <v>PAGADA</v>
      </c>
      <c r="M524" s="55">
        <f>+IF(Tabla6[[#This Row],[ESTADO FACTURA]]="PAGADA",Tabla6[[#This Row],[FECHA]]-_xlfn.XLOOKUP(Tabla6[[#This Row],[N° FACTURA]],INGRESOS!F:F,INGRESOS!A:A),"-")</f>
        <v>0</v>
      </c>
      <c r="N524" s="2"/>
      <c r="O524"/>
    </row>
    <row r="525" spans="1:15" ht="14.75" customHeight="1">
      <c r="A525" s="320" t="s">
        <v>1201</v>
      </c>
      <c r="B525" t="str">
        <f>+_xlfn.XLOOKUP(Tabla6[[#This Row],[ID CLIENTE]],'RESUMEN CLIENTES'!D:D,'RESUMEN CLIENTES'!A:A)</f>
        <v>María Soledad Tituana Asanza</v>
      </c>
      <c r="C525" t="str">
        <f>+_xlfn.XLOOKUP(Tabla6[[#This Row],[ID CLIENTE]],'RESUMEN CLIENTES'!D:D,'RESUMEN CLIENTES'!C:C)</f>
        <v>Ecuador</v>
      </c>
      <c r="D525" s="44" t="str">
        <f>+_xlfn.XLOOKUP(Tabla6[[#This Row],[ID CLIENTE]],'RESUMEN CLIENTES'!D:D,'RESUMEN CLIENTES'!M:M)</f>
        <v>OK</v>
      </c>
      <c r="E525" s="72">
        <f>+_xlfn.XLOOKUP(Tabla6[[#This Row],[NOMBRE]],'RESUMEN CLIENTES'!A:A,'RESUMEN CLIENTES'!X:X)</f>
        <v>-0.16666666666666666</v>
      </c>
      <c r="F525" s="72">
        <f>+_xlfn.XLOOKUP(Tabla6[[#This Row],[ID CLIENTE]],'RESUMEN CLIENTES'!D:D,'RESUMEN CLIENTES'!W:W)</f>
        <v>0</v>
      </c>
      <c r="G525" s="17">
        <v>45946</v>
      </c>
      <c r="H525" s="44" t="s">
        <v>81</v>
      </c>
      <c r="I525" s="2">
        <v>1000</v>
      </c>
      <c r="J525" s="20" t="s">
        <v>1204</v>
      </c>
      <c r="K525" t="s">
        <v>1205</v>
      </c>
      <c r="L525" s="44" t="str" cm="1">
        <f t="array" ref="L525">+_xlfn.IFS(COUNTIF(INGRESOS!E:E,Tabla6[[#This Row],[ID FACTURA]])=1,"PAGADA",Tabla6[[#This Row],[ID FACTURA]]&lt;&gt;0,"EMITIDA",Tabla6[[#This Row],[ID FACTURA]]=0,"POR EMITIR")</f>
        <v>PAGADA</v>
      </c>
      <c r="M525" s="55">
        <f>+IF(Tabla6[[#This Row],[ESTADO FACTURA]]="PAGADA",Tabla6[[#This Row],[FECHA]]-_xlfn.XLOOKUP(Tabla6[[#This Row],[N° FACTURA]],INGRESOS!F:F,INGRESOS!A:A),"-")</f>
        <v>-1</v>
      </c>
      <c r="N525" s="2"/>
      <c r="O525"/>
    </row>
    <row r="526" spans="1:15" ht="14.75" customHeight="1">
      <c r="A526" s="320" t="s">
        <v>1206</v>
      </c>
      <c r="B526" t="str">
        <f>+_xlfn.XLOOKUP(Tabla6[[#This Row],[ID CLIENTE]],'RESUMEN CLIENTES'!D:D,'RESUMEN CLIENTES'!A:A)</f>
        <v>Bryan Israel Jiménez Puente</v>
      </c>
      <c r="C526" t="str">
        <f>+_xlfn.XLOOKUP(Tabla6[[#This Row],[ID CLIENTE]],'RESUMEN CLIENTES'!D:D,'RESUMEN CLIENTES'!C:C)</f>
        <v>Ecuador</v>
      </c>
      <c r="D526" s="44" t="str">
        <f>+_xlfn.XLOOKUP(Tabla6[[#This Row],[ID CLIENTE]],'RESUMEN CLIENTES'!D:D,'RESUMEN CLIENTES'!M:M)</f>
        <v>OK</v>
      </c>
      <c r="E526" s="72">
        <f>+_xlfn.XLOOKUP(Tabla6[[#This Row],[NOMBRE]],'RESUMEN CLIENTES'!A:A,'RESUMEN CLIENTES'!X:X)</f>
        <v>1</v>
      </c>
      <c r="F526" s="72">
        <f>+_xlfn.XLOOKUP(Tabla6[[#This Row],[ID CLIENTE]],'RESUMEN CLIENTES'!D:D,'RESUMEN CLIENTES'!W:W)</f>
        <v>0</v>
      </c>
      <c r="G526" s="17">
        <v>45947</v>
      </c>
      <c r="H526" s="44" t="s">
        <v>81</v>
      </c>
      <c r="I526" s="2">
        <v>250</v>
      </c>
      <c r="J526" s="20" t="s">
        <v>1207</v>
      </c>
      <c r="K526" t="s">
        <v>1208</v>
      </c>
      <c r="L526" s="44" t="str" cm="1">
        <f t="array" ref="L526">+_xlfn.IFS(COUNTIF(INGRESOS!E:E,Tabla6[[#This Row],[ID FACTURA]])=1,"PAGADA",Tabla6[[#This Row],[ID FACTURA]]&lt;&gt;0,"EMITIDA",Tabla6[[#This Row],[ID FACTURA]]=0,"POR EMITIR")</f>
        <v>PAGADA</v>
      </c>
      <c r="M526" s="55">
        <f>+IF(Tabla6[[#This Row],[ESTADO FACTURA]]="PAGADA",Tabla6[[#This Row],[FECHA]]-_xlfn.XLOOKUP(Tabla6[[#This Row],[N° FACTURA]],INGRESOS!F:F,INGRESOS!A:A),"-")</f>
        <v>0</v>
      </c>
      <c r="N526" s="2"/>
      <c r="O526"/>
    </row>
    <row r="527" spans="1:15" ht="14.75" customHeight="1">
      <c r="A527" s="320" t="s">
        <v>247</v>
      </c>
      <c r="B527" t="str">
        <f>+_xlfn.XLOOKUP(Tabla6[[#This Row],[ID CLIENTE]],'RESUMEN CLIENTES'!D:D,'RESUMEN CLIENTES'!A:A)</f>
        <v>Nancy Gisselle Molinari Cheme</v>
      </c>
      <c r="C527" t="str">
        <f>+_xlfn.XLOOKUP(Tabla6[[#This Row],[ID CLIENTE]],'RESUMEN CLIENTES'!D:D,'RESUMEN CLIENTES'!C:C)</f>
        <v>Perú</v>
      </c>
      <c r="D527" s="44" t="str">
        <f>+_xlfn.XLOOKUP(Tabla6[[#This Row],[ID CLIENTE]],'RESUMEN CLIENTES'!D:D,'RESUMEN CLIENTES'!M:M)</f>
        <v>OK</v>
      </c>
      <c r="E527" s="72">
        <f>+_xlfn.XLOOKUP(Tabla6[[#This Row],[NOMBRE]],'RESUMEN CLIENTES'!A:A,'RESUMEN CLIENTES'!X:X)</f>
        <v>0.9</v>
      </c>
      <c r="F527" s="72">
        <f>+_xlfn.XLOOKUP(Tabla6[[#This Row],[ID CLIENTE]],'RESUMEN CLIENTES'!D:D,'RESUMEN CLIENTES'!W:W)</f>
        <v>1</v>
      </c>
      <c r="G527" s="17">
        <v>45948</v>
      </c>
      <c r="H527" s="44" t="s">
        <v>81</v>
      </c>
      <c r="I527" s="2">
        <v>1000</v>
      </c>
      <c r="J527" s="20" t="s">
        <v>1209</v>
      </c>
      <c r="K527" t="s">
        <v>1210</v>
      </c>
      <c r="L527" s="44" t="str" cm="1">
        <f t="array" ref="L527">+_xlfn.IFS(COUNTIF(INGRESOS!E:E,Tabla6[[#This Row],[ID FACTURA]])=1,"PAGADA",Tabla6[[#This Row],[ID FACTURA]]&lt;&gt;0,"EMITIDA",Tabla6[[#This Row],[ID FACTURA]]=0,"POR EMITIR")</f>
        <v>PAGADA</v>
      </c>
      <c r="M527" s="55">
        <f>+IF(Tabla6[[#This Row],[ESTADO FACTURA]]="PAGADA",Tabla6[[#This Row],[FECHA]]-_xlfn.XLOOKUP(Tabla6[[#This Row],[N° FACTURA]],INGRESOS!F:F,INGRESOS!A:A),"-")</f>
        <v>1</v>
      </c>
      <c r="N527" s="2"/>
      <c r="O527"/>
    </row>
    <row r="528" spans="1:15" ht="14.75" customHeight="1">
      <c r="A528" s="320" t="s">
        <v>1001</v>
      </c>
      <c r="B528" t="str">
        <f>+_xlfn.XLOOKUP(Tabla6[[#This Row],[ID CLIENTE]],'RESUMEN CLIENTES'!D:D,'RESUMEN CLIENTES'!A:A)</f>
        <v>Karenn Yadira Tavera Lara</v>
      </c>
      <c r="C528" t="str">
        <f>+_xlfn.XLOOKUP(Tabla6[[#This Row],[ID CLIENTE]],'RESUMEN CLIENTES'!D:D,'RESUMEN CLIENTES'!C:C)</f>
        <v>México</v>
      </c>
      <c r="D528" s="44" t="str">
        <f>+_xlfn.XLOOKUP(Tabla6[[#This Row],[ID CLIENTE]],'RESUMEN CLIENTES'!D:D,'RESUMEN CLIENTES'!M:M)</f>
        <v>OK</v>
      </c>
      <c r="E528" s="72">
        <f>+_xlfn.XLOOKUP(Tabla6[[#This Row],[NOMBRE]],'RESUMEN CLIENTES'!A:A,'RESUMEN CLIENTES'!X:X)</f>
        <v>1.5</v>
      </c>
      <c r="F528" s="72">
        <f>+_xlfn.XLOOKUP(Tabla6[[#This Row],[ID CLIENTE]],'RESUMEN CLIENTES'!D:D,'RESUMEN CLIENTES'!W:W)</f>
        <v>1</v>
      </c>
      <c r="G528" s="17">
        <v>45949</v>
      </c>
      <c r="H528" s="44" t="s">
        <v>81</v>
      </c>
      <c r="I528" s="2">
        <v>1000</v>
      </c>
      <c r="J528" s="20" t="s">
        <v>1211</v>
      </c>
      <c r="K528" t="s">
        <v>1212</v>
      </c>
      <c r="L528" s="44" t="str" cm="1">
        <f t="array" ref="L528">+_xlfn.IFS(COUNTIF(INGRESOS!E:E,Tabla6[[#This Row],[ID FACTURA]])=1,"PAGADA",Tabla6[[#This Row],[ID FACTURA]]&lt;&gt;0,"EMITIDA",Tabla6[[#This Row],[ID FACTURA]]=0,"POR EMITIR")</f>
        <v>PAGADA</v>
      </c>
      <c r="M528" s="55">
        <f>+IF(Tabla6[[#This Row],[ESTADO FACTURA]]="PAGADA",Tabla6[[#This Row],[FECHA]]-_xlfn.XLOOKUP(Tabla6[[#This Row],[N° FACTURA]],INGRESOS!F:F,INGRESOS!A:A),"-")</f>
        <v>-11</v>
      </c>
      <c r="N528" s="2"/>
      <c r="O528" s="8"/>
    </row>
    <row r="529" spans="1:15" ht="14.75" customHeight="1">
      <c r="A529" s="320" t="s">
        <v>574</v>
      </c>
      <c r="B529" t="str">
        <f>+_xlfn.XLOOKUP(Tabla6[[#This Row],[ID CLIENTE]],'RESUMEN CLIENTES'!D:D,'RESUMEN CLIENTES'!A:A)</f>
        <v>Astrid Mariam Enamorado Ortega</v>
      </c>
      <c r="C529" t="str">
        <f>+_xlfn.XLOOKUP(Tabla6[[#This Row],[ID CLIENTE]],'RESUMEN CLIENTES'!D:D,'RESUMEN CLIENTES'!C:C)</f>
        <v>Honduras</v>
      </c>
      <c r="D529" s="44" t="str">
        <f>+_xlfn.XLOOKUP(Tabla6[[#This Row],[ID CLIENTE]],'RESUMEN CLIENTES'!D:D,'RESUMEN CLIENTES'!M:M)</f>
        <v>OK</v>
      </c>
      <c r="E529" s="72">
        <f>+_xlfn.XLOOKUP(Tabla6[[#This Row],[NOMBRE]],'RESUMEN CLIENTES'!A:A,'RESUMEN CLIENTES'!X:X)</f>
        <v>-1.75</v>
      </c>
      <c r="F529" s="72">
        <f>+_xlfn.XLOOKUP(Tabla6[[#This Row],[ID CLIENTE]],'RESUMEN CLIENTES'!D:D,'RESUMEN CLIENTES'!W:W)</f>
        <v>0</v>
      </c>
      <c r="G529" s="17">
        <v>45950</v>
      </c>
      <c r="H529" s="44" t="s">
        <v>81</v>
      </c>
      <c r="I529" s="2">
        <v>1200</v>
      </c>
      <c r="J529" s="20" t="s">
        <v>1213</v>
      </c>
      <c r="K529" t="s">
        <v>1214</v>
      </c>
      <c r="L529" s="44" t="str" cm="1">
        <f t="array" ref="L529">+_xlfn.IFS(COUNTIF(INGRESOS!E:E,Tabla6[[#This Row],[ID FACTURA]])=1,"PAGADA",Tabla6[[#This Row],[ID FACTURA]]&lt;&gt;0,"EMITIDA",Tabla6[[#This Row],[ID FACTURA]]=0,"POR EMITIR")</f>
        <v>PAGADA</v>
      </c>
      <c r="M529" s="55">
        <f>+IF(Tabla6[[#This Row],[ESTADO FACTURA]]="PAGADA",Tabla6[[#This Row],[FECHA]]-_xlfn.XLOOKUP(Tabla6[[#This Row],[N° FACTURA]],INGRESOS!F:F,INGRESOS!A:A),"-")</f>
        <v>-2</v>
      </c>
      <c r="N529" s="2"/>
      <c r="O529"/>
    </row>
    <row r="530" spans="1:15" ht="14.75" customHeight="1">
      <c r="A530" s="320" t="s">
        <v>587</v>
      </c>
      <c r="B530" t="str">
        <f>+_xlfn.XLOOKUP(Tabla6[[#This Row],[ID CLIENTE]],'RESUMEN CLIENTES'!D:D,'RESUMEN CLIENTES'!A:A)</f>
        <v>Keidwin Perez</v>
      </c>
      <c r="C530" t="str">
        <f>+_xlfn.XLOOKUP(Tabla6[[#This Row],[ID CLIENTE]],'RESUMEN CLIENTES'!D:D,'RESUMEN CLIENTES'!C:C)</f>
        <v>Colombia</v>
      </c>
      <c r="D530" s="44" t="str">
        <f>+_xlfn.XLOOKUP(Tabla6[[#This Row],[ID CLIENTE]],'RESUMEN CLIENTES'!D:D,'RESUMEN CLIENTES'!M:M)</f>
        <v>OK</v>
      </c>
      <c r="E530" s="72">
        <f>+_xlfn.XLOOKUP(Tabla6[[#This Row],[NOMBRE]],'RESUMEN CLIENTES'!A:A,'RESUMEN CLIENTES'!X:X)</f>
        <v>-4.25</v>
      </c>
      <c r="F530" s="72">
        <f>+_xlfn.XLOOKUP(Tabla6[[#This Row],[ID CLIENTE]],'RESUMEN CLIENTES'!D:D,'RESUMEN CLIENTES'!W:W)</f>
        <v>1</v>
      </c>
      <c r="G530" s="17">
        <v>45950</v>
      </c>
      <c r="H530" s="44" t="s">
        <v>81</v>
      </c>
      <c r="I530" s="2">
        <v>750</v>
      </c>
      <c r="J530" s="20" t="s">
        <v>1215</v>
      </c>
      <c r="K530" t="s">
        <v>1216</v>
      </c>
      <c r="L530" s="44" t="str" cm="1">
        <f t="array" ref="L530">+_xlfn.IFS(COUNTIF(INGRESOS!E:E,Tabla6[[#This Row],[ID FACTURA]])=1,"PAGADA",Tabla6[[#This Row],[ID FACTURA]]&lt;&gt;0,"EMITIDA",Tabla6[[#This Row],[ID FACTURA]]=0,"POR EMITIR")</f>
        <v>PAGADA</v>
      </c>
      <c r="M530" s="55">
        <f>+IF(Tabla6[[#This Row],[ESTADO FACTURA]]="PAGADA",Tabla6[[#This Row],[FECHA]]-_xlfn.XLOOKUP(Tabla6[[#This Row],[N° FACTURA]],INGRESOS!F:F,INGRESOS!A:A),"-")</f>
        <v>-7</v>
      </c>
      <c r="N530" s="2"/>
      <c r="O530"/>
    </row>
    <row r="531" spans="1:15" ht="14.75" customHeight="1">
      <c r="A531" s="320" t="s">
        <v>250</v>
      </c>
      <c r="B531" t="str">
        <f>+_xlfn.XLOOKUP(Tabla6[[#This Row],[ID CLIENTE]],'RESUMEN CLIENTES'!D:D,'RESUMEN CLIENTES'!A:A)</f>
        <v>Fernanda Castro</v>
      </c>
      <c r="C531" t="str">
        <f>+_xlfn.XLOOKUP(Tabla6[[#This Row],[ID CLIENTE]],'RESUMEN CLIENTES'!D:D,'RESUMEN CLIENTES'!C:C)</f>
        <v>Ecuador</v>
      </c>
      <c r="D531" s="44" t="str">
        <f>+_xlfn.XLOOKUP(Tabla6[[#This Row],[ID CLIENTE]],'RESUMEN CLIENTES'!D:D,'RESUMEN CLIENTES'!M:M)</f>
        <v>OK</v>
      </c>
      <c r="E531" s="72">
        <f>+_xlfn.XLOOKUP(Tabla6[[#This Row],[NOMBRE]],'RESUMEN CLIENTES'!A:A,'RESUMEN CLIENTES'!X:X)</f>
        <v>0</v>
      </c>
      <c r="F531" s="72">
        <f>+_xlfn.XLOOKUP(Tabla6[[#This Row],[ID CLIENTE]],'RESUMEN CLIENTES'!D:D,'RESUMEN CLIENTES'!W:W)</f>
        <v>1</v>
      </c>
      <c r="G531" s="17">
        <v>45953</v>
      </c>
      <c r="H531" s="44" t="s">
        <v>81</v>
      </c>
      <c r="I531" s="2">
        <v>1000</v>
      </c>
      <c r="J531" s="20" t="s">
        <v>1217</v>
      </c>
      <c r="K531" t="s">
        <v>1218</v>
      </c>
      <c r="L531" s="44" t="str" cm="1">
        <f t="array" ref="L531">+_xlfn.IFS(COUNTIF(INGRESOS!E:E,Tabla6[[#This Row],[ID FACTURA]])=1,"PAGADA",Tabla6[[#This Row],[ID FACTURA]]&lt;&gt;0,"EMITIDA",Tabla6[[#This Row],[ID FACTURA]]=0,"POR EMITIR")</f>
        <v>PAGADA</v>
      </c>
      <c r="M531" s="55">
        <f>+IF(Tabla6[[#This Row],[ESTADO FACTURA]]="PAGADA",Tabla6[[#This Row],[FECHA]]-_xlfn.XLOOKUP(Tabla6[[#This Row],[N° FACTURA]],INGRESOS!F:F,INGRESOS!A:A),"-")</f>
        <v>0</v>
      </c>
      <c r="N531" s="2"/>
      <c r="O531"/>
    </row>
    <row r="532" spans="1:15" ht="14.75" customHeight="1">
      <c r="A532" s="320" t="s">
        <v>994</v>
      </c>
      <c r="B532" t="str">
        <f>+_xlfn.XLOOKUP(Tabla6[[#This Row],[ID CLIENTE]],'RESUMEN CLIENTES'!D:D,'RESUMEN CLIENTES'!A:A)</f>
        <v>Raúl Ernesto Martínez Orantes</v>
      </c>
      <c r="C532" t="str">
        <f>+_xlfn.XLOOKUP(Tabla6[[#This Row],[ID CLIENTE]],'RESUMEN CLIENTES'!D:D,'RESUMEN CLIENTES'!C:C)</f>
        <v>El Salvador</v>
      </c>
      <c r="D532" s="44" t="str">
        <f>+_xlfn.XLOOKUP(Tabla6[[#This Row],[ID CLIENTE]],'RESUMEN CLIENTES'!D:D,'RESUMEN CLIENTES'!M:M)</f>
        <v>OK</v>
      </c>
      <c r="E532" s="72">
        <f>+_xlfn.XLOOKUP(Tabla6[[#This Row],[NOMBRE]],'RESUMEN CLIENTES'!A:A,'RESUMEN CLIENTES'!X:X)</f>
        <v>1.1428571428571428</v>
      </c>
      <c r="F532" s="72">
        <f>+_xlfn.XLOOKUP(Tabla6[[#This Row],[ID CLIENTE]],'RESUMEN CLIENTES'!D:D,'RESUMEN CLIENTES'!W:W)</f>
        <v>1</v>
      </c>
      <c r="G532" s="17">
        <v>45953</v>
      </c>
      <c r="H532" s="44" t="s">
        <v>81</v>
      </c>
      <c r="I532" s="2">
        <v>850</v>
      </c>
      <c r="J532" s="20" t="s">
        <v>1219</v>
      </c>
      <c r="K532" t="s">
        <v>1220</v>
      </c>
      <c r="L532" s="44" t="str" cm="1">
        <f t="array" ref="L532">+_xlfn.IFS(COUNTIF(INGRESOS!E:E,Tabla6[[#This Row],[ID FACTURA]])=1,"PAGADA",Tabla6[[#This Row],[ID FACTURA]]&lt;&gt;0,"EMITIDA",Tabla6[[#This Row],[ID FACTURA]]=0,"POR EMITIR")</f>
        <v>PAGADA</v>
      </c>
      <c r="M532" s="55">
        <f>+IF(Tabla6[[#This Row],[ESTADO FACTURA]]="PAGADA",Tabla6[[#This Row],[FECHA]]-_xlfn.XLOOKUP(Tabla6[[#This Row],[N° FACTURA]],INGRESOS!F:F,INGRESOS!A:A),"-")</f>
        <v>1</v>
      </c>
      <c r="N532" s="2"/>
      <c r="O532"/>
    </row>
    <row r="533" spans="1:15" ht="14.75" customHeight="1">
      <c r="A533" s="320" t="s">
        <v>1206</v>
      </c>
      <c r="B533" t="str">
        <f>+_xlfn.XLOOKUP(Tabla6[[#This Row],[ID CLIENTE]],'RESUMEN CLIENTES'!D:D,'RESUMEN CLIENTES'!A:A)</f>
        <v>Bryan Israel Jiménez Puente</v>
      </c>
      <c r="C533" t="str">
        <f>+_xlfn.XLOOKUP(Tabla6[[#This Row],[ID CLIENTE]],'RESUMEN CLIENTES'!D:D,'RESUMEN CLIENTES'!C:C)</f>
        <v>Ecuador</v>
      </c>
      <c r="D533" s="44" t="str">
        <f>+_xlfn.XLOOKUP(Tabla6[[#This Row],[ID CLIENTE]],'RESUMEN CLIENTES'!D:D,'RESUMEN CLIENTES'!M:M)</f>
        <v>OK</v>
      </c>
      <c r="E533" s="72">
        <f>+_xlfn.XLOOKUP(Tabla6[[#This Row],[NOMBRE]],'RESUMEN CLIENTES'!A:A,'RESUMEN CLIENTES'!X:X)</f>
        <v>1</v>
      </c>
      <c r="F533" s="72">
        <f>+_xlfn.XLOOKUP(Tabla6[[#This Row],[ID CLIENTE]],'RESUMEN CLIENTES'!D:D,'RESUMEN CLIENTES'!W:W)</f>
        <v>0</v>
      </c>
      <c r="G533" s="17">
        <v>45954</v>
      </c>
      <c r="H533" s="44" t="s">
        <v>81</v>
      </c>
      <c r="I533" s="2">
        <v>2750</v>
      </c>
      <c r="J533" s="20" t="s">
        <v>1221</v>
      </c>
      <c r="K533" t="s">
        <v>1222</v>
      </c>
      <c r="L533" s="44" t="str" cm="1">
        <f t="array" ref="L533">+_xlfn.IFS(COUNTIF(INGRESOS!E:E,Tabla6[[#This Row],[ID FACTURA]])=1,"PAGADA",Tabla6[[#This Row],[ID FACTURA]]&lt;&gt;0,"EMITIDA",Tabla6[[#This Row],[ID FACTURA]]=0,"POR EMITIR")</f>
        <v>PAGADA</v>
      </c>
      <c r="M533" s="55">
        <f>+IF(Tabla6[[#This Row],[ESTADO FACTURA]]="PAGADA",Tabla6[[#This Row],[FECHA]]-_xlfn.XLOOKUP(Tabla6[[#This Row],[N° FACTURA]],INGRESOS!F:F,INGRESOS!A:A),"-")</f>
        <v>0</v>
      </c>
      <c r="N533" s="2"/>
      <c r="O533"/>
    </row>
    <row r="534" spans="1:15" ht="14.75" customHeight="1">
      <c r="A534" s="320" t="s">
        <v>261</v>
      </c>
      <c r="B534" t="str">
        <f>+_xlfn.XLOOKUP(Tabla6[[#This Row],[ID CLIENTE]],'RESUMEN CLIENTES'!D:D,'RESUMEN CLIENTES'!A:A)</f>
        <v>Maryori Elizabeth Ramos Tapia</v>
      </c>
      <c r="C534" t="str">
        <f>+_xlfn.XLOOKUP(Tabla6[[#This Row],[ID CLIENTE]],'RESUMEN CLIENTES'!D:D,'RESUMEN CLIENTES'!C:C)</f>
        <v>Perú</v>
      </c>
      <c r="D534" s="44" t="str">
        <f>+_xlfn.XLOOKUP(Tabla6[[#This Row],[ID CLIENTE]],'RESUMEN CLIENTES'!D:D,'RESUMEN CLIENTES'!M:M)</f>
        <v>OK</v>
      </c>
      <c r="E534" s="72">
        <f>+_xlfn.XLOOKUP(Tabla6[[#This Row],[NOMBRE]],'RESUMEN CLIENTES'!A:A,'RESUMEN CLIENTES'!X:X)</f>
        <v>-0.88425925925952875</v>
      </c>
      <c r="F534" s="72">
        <f>+_xlfn.XLOOKUP(Tabla6[[#This Row],[ID CLIENTE]],'RESUMEN CLIENTES'!D:D,'RESUMEN CLIENTES'!W:W)</f>
        <v>1</v>
      </c>
      <c r="G534" s="17">
        <v>45954</v>
      </c>
      <c r="H534" s="44" t="s">
        <v>81</v>
      </c>
      <c r="I534" s="2">
        <v>1000</v>
      </c>
      <c r="J534" s="20" t="s">
        <v>1223</v>
      </c>
      <c r="K534" t="s">
        <v>1224</v>
      </c>
      <c r="L534" s="44" t="str" cm="1">
        <f t="array" ref="L534">+_xlfn.IFS(COUNTIF(INGRESOS!E:E,Tabla6[[#This Row],[ID FACTURA]])=1,"PAGADA",Tabla6[[#This Row],[ID FACTURA]]&lt;&gt;0,"EMITIDA",Tabla6[[#This Row],[ID FACTURA]]=0,"POR EMITIR")</f>
        <v>PAGADA</v>
      </c>
      <c r="M534" s="55">
        <f>+IF(Tabla6[[#This Row],[ESTADO FACTURA]]="PAGADA",Tabla6[[#This Row],[FECHA]]-_xlfn.XLOOKUP(Tabla6[[#This Row],[N° FACTURA]],INGRESOS!F:F,INGRESOS!A:A),"-")</f>
        <v>-3</v>
      </c>
      <c r="N534" s="2"/>
      <c r="O534"/>
    </row>
    <row r="535" spans="1:15" ht="14.75" customHeight="1">
      <c r="A535" s="320" t="s">
        <v>162</v>
      </c>
      <c r="B535" t="str">
        <f>+_xlfn.XLOOKUP(Tabla6[[#This Row],[ID CLIENTE]],'RESUMEN CLIENTES'!D:D,'RESUMEN CLIENTES'!A:A)</f>
        <v>Bastian Sofjer Peralta</v>
      </c>
      <c r="C535" t="str">
        <f>+_xlfn.XLOOKUP(Tabla6[[#This Row],[ID CLIENTE]],'RESUMEN CLIENTES'!D:D,'RESUMEN CLIENTES'!C:C)</f>
        <v>Chile</v>
      </c>
      <c r="D535" s="44" t="str">
        <f>+_xlfn.XLOOKUP(Tabla6[[#This Row],[ID CLIENTE]],'RESUMEN CLIENTES'!D:D,'RESUMEN CLIENTES'!M:M)</f>
        <v>OK</v>
      </c>
      <c r="E535" s="72">
        <f>+_xlfn.XLOOKUP(Tabla6[[#This Row],[NOMBRE]],'RESUMEN CLIENTES'!A:A,'RESUMEN CLIENTES'!X:X)</f>
        <v>4.125</v>
      </c>
      <c r="F535" s="72">
        <f>+_xlfn.XLOOKUP(Tabla6[[#This Row],[ID CLIENTE]],'RESUMEN CLIENTES'!D:D,'RESUMEN CLIENTES'!W:W)</f>
        <v>1</v>
      </c>
      <c r="G535" s="17">
        <v>45955</v>
      </c>
      <c r="H535" s="44" t="s">
        <v>81</v>
      </c>
      <c r="I535" s="2">
        <v>900</v>
      </c>
      <c r="J535" s="20" t="s">
        <v>1225</v>
      </c>
      <c r="K535" t="s">
        <v>1226</v>
      </c>
      <c r="L535" s="44" t="str" cm="1">
        <f t="array" ref="L535">+_xlfn.IFS(COUNTIF(INGRESOS!E:E,Tabla6[[#This Row],[ID FACTURA]])=1,"PAGADA",Tabla6[[#This Row],[ID FACTURA]]&lt;&gt;0,"EMITIDA",Tabla6[[#This Row],[ID FACTURA]]=0,"POR EMITIR")</f>
        <v>PAGADA</v>
      </c>
      <c r="M535" s="55">
        <f>+IF(Tabla6[[#This Row],[ESTADO FACTURA]]="PAGADA",Tabla6[[#This Row],[FECHA]]-_xlfn.XLOOKUP(Tabla6[[#This Row],[N° FACTURA]],INGRESOS!F:F,INGRESOS!A:A),"-")</f>
        <v>3</v>
      </c>
      <c r="N535" s="2"/>
      <c r="O535"/>
    </row>
    <row r="536" spans="1:15" ht="14.75" customHeight="1">
      <c r="A536" s="320" t="s">
        <v>333</v>
      </c>
      <c r="B536" t="str">
        <f>+_xlfn.XLOOKUP(Tabla6[[#This Row],[ID CLIENTE]],'RESUMEN CLIENTES'!D:D,'RESUMEN CLIENTES'!A:A)</f>
        <v>Jorge Augusto Cámbara Vargas</v>
      </c>
      <c r="C536" t="str">
        <f>+_xlfn.XLOOKUP(Tabla6[[#This Row],[ID CLIENTE]],'RESUMEN CLIENTES'!D:D,'RESUMEN CLIENTES'!C:C)</f>
        <v>Guatemala</v>
      </c>
      <c r="D536" s="44" t="str">
        <f>+_xlfn.XLOOKUP(Tabla6[[#This Row],[ID CLIENTE]],'RESUMEN CLIENTES'!D:D,'RESUMEN CLIENTES'!M:M)</f>
        <v>OK</v>
      </c>
      <c r="E536" s="72">
        <f>+_xlfn.XLOOKUP(Tabla6[[#This Row],[NOMBRE]],'RESUMEN CLIENTES'!A:A,'RESUMEN CLIENTES'!X:X)</f>
        <v>0.1157407407331953</v>
      </c>
      <c r="F536" s="72">
        <f>+_xlfn.XLOOKUP(Tabla6[[#This Row],[ID CLIENTE]],'RESUMEN CLIENTES'!D:D,'RESUMEN CLIENTES'!W:W)</f>
        <v>1</v>
      </c>
      <c r="G536" s="17">
        <v>45955</v>
      </c>
      <c r="H536" s="44" t="s">
        <v>81</v>
      </c>
      <c r="I536" s="2">
        <v>1000</v>
      </c>
      <c r="J536" s="20" t="s">
        <v>1227</v>
      </c>
      <c r="K536" t="s">
        <v>1228</v>
      </c>
      <c r="L536" s="44" t="str" cm="1">
        <f t="array" ref="L536">+_xlfn.IFS(COUNTIF(INGRESOS!E:E,Tabla6[[#This Row],[ID FACTURA]])=1,"PAGADA",Tabla6[[#This Row],[ID FACTURA]]&lt;&gt;0,"EMITIDA",Tabla6[[#This Row],[ID FACTURA]]=0,"POR EMITIR")</f>
        <v>PAGADA</v>
      </c>
      <c r="M536" s="55">
        <f>+IF(Tabla6[[#This Row],[ESTADO FACTURA]]="PAGADA",Tabla6[[#This Row],[FECHA]]-_xlfn.XLOOKUP(Tabla6[[#This Row],[N° FACTURA]],INGRESOS!F:F,INGRESOS!A:A),"-")</f>
        <v>0</v>
      </c>
      <c r="N536" s="2"/>
      <c r="O536"/>
    </row>
    <row r="537" spans="1:15" ht="14.75" customHeight="1">
      <c r="A537" s="320" t="s">
        <v>87</v>
      </c>
      <c r="B537" t="str">
        <f>+_xlfn.XLOOKUP(Tabla6[[#This Row],[ID CLIENTE]],'RESUMEN CLIENTES'!D:D,'RESUMEN CLIENTES'!A:A)</f>
        <v>Jose Marcelo Marroquín Guzmán</v>
      </c>
      <c r="C537" t="str">
        <f>+_xlfn.XLOOKUP(Tabla6[[#This Row],[ID CLIENTE]],'RESUMEN CLIENTES'!D:D,'RESUMEN CLIENTES'!C:C)</f>
        <v>El Salvador</v>
      </c>
      <c r="D537" s="44" t="str">
        <f>+_xlfn.XLOOKUP(Tabla6[[#This Row],[ID CLIENTE]],'RESUMEN CLIENTES'!D:D,'RESUMEN CLIENTES'!M:M)</f>
        <v>OK</v>
      </c>
      <c r="E537" s="72">
        <f>+_xlfn.XLOOKUP(Tabla6[[#This Row],[NOMBRE]],'RESUMEN CLIENTES'!A:A,'RESUMEN CLIENTES'!X:X)</f>
        <v>-1.5833333333333333</v>
      </c>
      <c r="F537" s="72">
        <f>+_xlfn.XLOOKUP(Tabla6[[#This Row],[ID CLIENTE]],'RESUMEN CLIENTES'!D:D,'RESUMEN CLIENTES'!W:W)</f>
        <v>1</v>
      </c>
      <c r="G537" s="17">
        <v>45955</v>
      </c>
      <c r="H537" s="44" t="s">
        <v>81</v>
      </c>
      <c r="I537" s="2">
        <v>400</v>
      </c>
      <c r="J537" s="20" t="s">
        <v>1229</v>
      </c>
      <c r="K537" t="s">
        <v>1230</v>
      </c>
      <c r="L537" s="44" t="str" cm="1">
        <f t="array" ref="L537">+_xlfn.IFS(COUNTIF(INGRESOS!E:E,Tabla6[[#This Row],[ID FACTURA]])=1,"PAGADA",Tabla6[[#This Row],[ID FACTURA]]&lt;&gt;0,"EMITIDA",Tabla6[[#This Row],[ID FACTURA]]=0,"POR EMITIR")</f>
        <v>PAGADA</v>
      </c>
      <c r="M537" s="55">
        <f>+IF(Tabla6[[#This Row],[ESTADO FACTURA]]="PAGADA",Tabla6[[#This Row],[FECHA]]-_xlfn.XLOOKUP(Tabla6[[#This Row],[N° FACTURA]],INGRESOS!F:F,INGRESOS!A:A),"-")</f>
        <v>-2</v>
      </c>
      <c r="N537" s="2"/>
      <c r="O537"/>
    </row>
    <row r="538" spans="1:15" ht="14.75" customHeight="1">
      <c r="A538" s="320" t="s">
        <v>322</v>
      </c>
      <c r="B538" t="str">
        <f>+_xlfn.XLOOKUP(Tabla6[[#This Row],[ID CLIENTE]],'RESUMEN CLIENTES'!D:D,'RESUMEN CLIENTES'!A:A)</f>
        <v>Mauricio Ignacio Alcayaga Romo</v>
      </c>
      <c r="C538" t="str">
        <f>+_xlfn.XLOOKUP(Tabla6[[#This Row],[ID CLIENTE]],'RESUMEN CLIENTES'!D:D,'RESUMEN CLIENTES'!C:C)</f>
        <v>Chile</v>
      </c>
      <c r="D538" s="44" t="str">
        <f>+_xlfn.XLOOKUP(Tabla6[[#This Row],[ID CLIENTE]],'RESUMEN CLIENTES'!D:D,'RESUMEN CLIENTES'!M:M)</f>
        <v>OK</v>
      </c>
      <c r="E538" s="72">
        <f>+_xlfn.XLOOKUP(Tabla6[[#This Row],[NOMBRE]],'RESUMEN CLIENTES'!A:A,'RESUMEN CLIENTES'!X:X)</f>
        <v>-0.3</v>
      </c>
      <c r="F538" s="72">
        <f>+_xlfn.XLOOKUP(Tabla6[[#This Row],[ID CLIENTE]],'RESUMEN CLIENTES'!D:D,'RESUMEN CLIENTES'!W:W)</f>
        <v>0</v>
      </c>
      <c r="G538" s="17">
        <v>45955</v>
      </c>
      <c r="H538" s="44" t="s">
        <v>81</v>
      </c>
      <c r="I538" s="2">
        <f>1000-510</f>
        <v>490</v>
      </c>
      <c r="J538" s="20" t="s">
        <v>1231</v>
      </c>
      <c r="K538" t="s">
        <v>1232</v>
      </c>
      <c r="L538" s="44" t="str" cm="1">
        <f t="array" ref="L538">+_xlfn.IFS(COUNTIF(INGRESOS!E:E,Tabla6[[#This Row],[ID FACTURA]])=1,"PAGADA",Tabla6[[#This Row],[ID FACTURA]]&lt;&gt;0,"EMITIDA",Tabla6[[#This Row],[ID FACTURA]]=0,"POR EMITIR")</f>
        <v>PAGADA</v>
      </c>
      <c r="M538" s="55">
        <f>+IF(Tabla6[[#This Row],[ESTADO FACTURA]]="PAGADA",Tabla6[[#This Row],[FECHA]]-_xlfn.XLOOKUP(Tabla6[[#This Row],[N° FACTURA]],INGRESOS!F:F,INGRESOS!A:A),"-")</f>
        <v>1</v>
      </c>
      <c r="N538" s="2">
        <v>510</v>
      </c>
      <c r="O538" t="s">
        <v>1233</v>
      </c>
    </row>
    <row r="539" spans="1:15" ht="14.75" customHeight="1">
      <c r="A539" s="320" t="s">
        <v>716</v>
      </c>
      <c r="B539" t="str">
        <f>+_xlfn.XLOOKUP(Tabla6[[#This Row],[ID CLIENTE]],'RESUMEN CLIENTES'!D:D,'RESUMEN CLIENTES'!A:A)</f>
        <v>Sofia Martínez Restrepo</v>
      </c>
      <c r="C539" t="str">
        <f>+_xlfn.XLOOKUP(Tabla6[[#This Row],[ID CLIENTE]],'RESUMEN CLIENTES'!D:D,'RESUMEN CLIENTES'!C:C)</f>
        <v>Colombia</v>
      </c>
      <c r="D539" s="44" t="str">
        <f>+_xlfn.XLOOKUP(Tabla6[[#This Row],[ID CLIENTE]],'RESUMEN CLIENTES'!D:D,'RESUMEN CLIENTES'!M:M)</f>
        <v>OK</v>
      </c>
      <c r="E539" s="72">
        <f>+_xlfn.XLOOKUP(Tabla6[[#This Row],[NOMBRE]],'RESUMEN CLIENTES'!A:A,'RESUMEN CLIENTES'!X:X)</f>
        <v>-0.33333333333333331</v>
      </c>
      <c r="F539" s="72">
        <f>+_xlfn.XLOOKUP(Tabla6[[#This Row],[ID CLIENTE]],'RESUMEN CLIENTES'!D:D,'RESUMEN CLIENTES'!W:W)</f>
        <v>1</v>
      </c>
      <c r="G539" s="17">
        <v>45955</v>
      </c>
      <c r="H539" s="44" t="s">
        <v>81</v>
      </c>
      <c r="I539" s="2">
        <v>1000</v>
      </c>
      <c r="J539" s="20" t="s">
        <v>1234</v>
      </c>
      <c r="K539" t="s">
        <v>1235</v>
      </c>
      <c r="L539" s="44" t="str" cm="1">
        <f t="array" ref="L539">+_xlfn.IFS(COUNTIF(INGRESOS!E:E,Tabla6[[#This Row],[ID FACTURA]])=1,"PAGADA",Tabla6[[#This Row],[ID FACTURA]]&lt;&gt;0,"EMITIDA",Tabla6[[#This Row],[ID FACTURA]]=0,"POR EMITIR")</f>
        <v>PAGADA</v>
      </c>
      <c r="M539" s="55">
        <f>+IF(Tabla6[[#This Row],[ESTADO FACTURA]]="PAGADA",Tabla6[[#This Row],[FECHA]]-_xlfn.XLOOKUP(Tabla6[[#This Row],[N° FACTURA]],INGRESOS!F:F,INGRESOS!A:A),"-")</f>
        <v>-2</v>
      </c>
      <c r="N539" s="2"/>
      <c r="O539"/>
    </row>
    <row r="540" spans="1:15" ht="14.75" customHeight="1">
      <c r="A540" s="320" t="s">
        <v>780</v>
      </c>
      <c r="B540" t="str">
        <f>+_xlfn.XLOOKUP(Tabla6[[#This Row],[ID CLIENTE]],'RESUMEN CLIENTES'!D:D,'RESUMEN CLIENTES'!A:A)</f>
        <v>Daniel Mauricio Rojas Pérez</v>
      </c>
      <c r="C540" t="str">
        <f>+_xlfn.XLOOKUP(Tabla6[[#This Row],[ID CLIENTE]],'RESUMEN CLIENTES'!D:D,'RESUMEN CLIENTES'!C:C)</f>
        <v>Colombia</v>
      </c>
      <c r="D540" s="44" t="str">
        <f>+_xlfn.XLOOKUP(Tabla6[[#This Row],[ID CLIENTE]],'RESUMEN CLIENTES'!D:D,'RESUMEN CLIENTES'!M:M)</f>
        <v>ELIMINADO</v>
      </c>
      <c r="E540" s="72">
        <f>+_xlfn.XLOOKUP(Tabla6[[#This Row],[NOMBRE]],'RESUMEN CLIENTES'!A:A,'RESUMEN CLIENTES'!X:X)</f>
        <v>-0.5</v>
      </c>
      <c r="F540" s="72">
        <f>+_xlfn.XLOOKUP(Tabla6[[#This Row],[ID CLIENTE]],'RESUMEN CLIENTES'!D:D,'RESUMEN CLIENTES'!W:W)</f>
        <v>0</v>
      </c>
      <c r="G540" s="17">
        <v>45956</v>
      </c>
      <c r="H540" s="44" t="s">
        <v>81</v>
      </c>
      <c r="I540" s="2">
        <v>1000</v>
      </c>
      <c r="J540" s="20" t="s">
        <v>1236</v>
      </c>
      <c r="K540" t="s">
        <v>1237</v>
      </c>
      <c r="L540" s="44" t="str" cm="1">
        <f t="array" ref="L540">+_xlfn.IFS(COUNTIF(INGRESOS!E:E,Tabla6[[#This Row],[ID FACTURA]])=1,"PAGADA",Tabla6[[#This Row],[ID FACTURA]]&lt;&gt;0,"EMITIDA",Tabla6[[#This Row],[ID FACTURA]]=0,"POR EMITIR")</f>
        <v>PAGADA</v>
      </c>
      <c r="M540" s="55">
        <f>+IF(Tabla6[[#This Row],[ESTADO FACTURA]]="PAGADA",Tabla6[[#This Row],[FECHA]]-_xlfn.XLOOKUP(Tabla6[[#This Row],[N° FACTURA]],INGRESOS!F:F,INGRESOS!A:A),"-")</f>
        <v>-1</v>
      </c>
      <c r="N540" s="2"/>
      <c r="O540"/>
    </row>
    <row r="541" spans="1:15" ht="14.75" customHeight="1">
      <c r="A541" s="320" t="s">
        <v>807</v>
      </c>
      <c r="B541" t="str">
        <f>+_xlfn.XLOOKUP(Tabla6[[#This Row],[ID CLIENTE]],'RESUMEN CLIENTES'!D:D,'RESUMEN CLIENTES'!A:A)</f>
        <v xml:space="preserve">María del Mar Ordóñez Dussan
</v>
      </c>
      <c r="C541" t="str">
        <f>+_xlfn.XLOOKUP(Tabla6[[#This Row],[ID CLIENTE]],'RESUMEN CLIENTES'!D:D,'RESUMEN CLIENTES'!C:C)</f>
        <v>Colombia</v>
      </c>
      <c r="D541" s="44" t="str">
        <f>+_xlfn.XLOOKUP(Tabla6[[#This Row],[ID CLIENTE]],'RESUMEN CLIENTES'!D:D,'RESUMEN CLIENTES'!M:M)</f>
        <v>ELIMINADO</v>
      </c>
      <c r="E541" s="72">
        <f>+_xlfn.XLOOKUP(Tabla6[[#This Row],[NOMBRE]],'RESUMEN CLIENTES'!A:A,'RESUMEN CLIENTES'!X:X)</f>
        <v>-0.5</v>
      </c>
      <c r="F541" s="72">
        <f>+_xlfn.XLOOKUP(Tabla6[[#This Row],[ID CLIENTE]],'RESUMEN CLIENTES'!D:D,'RESUMEN CLIENTES'!W:W)</f>
        <v>0</v>
      </c>
      <c r="G541" s="17">
        <v>45956</v>
      </c>
      <c r="H541" s="44" t="s">
        <v>81</v>
      </c>
      <c r="I541" s="2">
        <v>1000</v>
      </c>
      <c r="J541" s="20" t="s">
        <v>1238</v>
      </c>
      <c r="K541" t="s">
        <v>1239</v>
      </c>
      <c r="L541" s="44" t="str" cm="1">
        <f t="array" ref="L541">+_xlfn.IFS(COUNTIF(INGRESOS!E:E,Tabla6[[#This Row],[ID FACTURA]])=1,"PAGADA",Tabla6[[#This Row],[ID FACTURA]]&lt;&gt;0,"EMITIDA",Tabla6[[#This Row],[ID FACTURA]]=0,"POR EMITIR")</f>
        <v>PAGADA</v>
      </c>
      <c r="M541" s="55">
        <f>+IF(Tabla6[[#This Row],[ESTADO FACTURA]]="PAGADA",Tabla6[[#This Row],[FECHA]]-_xlfn.XLOOKUP(Tabla6[[#This Row],[N° FACTURA]],INGRESOS!F:F,INGRESOS!A:A),"-")</f>
        <v>-1</v>
      </c>
      <c r="N541" s="2"/>
      <c r="O541"/>
    </row>
    <row r="542" spans="1:15" ht="14.75" customHeight="1">
      <c r="A542" s="320" t="s">
        <v>706</v>
      </c>
      <c r="B542" t="str">
        <f>+_xlfn.XLOOKUP(Tabla6[[#This Row],[ID CLIENTE]],'RESUMEN CLIENTES'!D:D,'RESUMEN CLIENTES'!A:A)</f>
        <v>Virna Nathaly Montenegro Samaniego</v>
      </c>
      <c r="C542" t="str">
        <f>+_xlfn.XLOOKUP(Tabla6[[#This Row],[ID CLIENTE]],'RESUMEN CLIENTES'!D:D,'RESUMEN CLIENTES'!C:C)</f>
        <v>Ecuador</v>
      </c>
      <c r="D542" s="44" t="str">
        <f>+_xlfn.XLOOKUP(Tabla6[[#This Row],[ID CLIENTE]],'RESUMEN CLIENTES'!D:D,'RESUMEN CLIENTES'!M:M)</f>
        <v>OK</v>
      </c>
      <c r="E542" s="72">
        <f>+_xlfn.XLOOKUP(Tabla6[[#This Row],[NOMBRE]],'RESUMEN CLIENTES'!A:A,'RESUMEN CLIENTES'!X:X)</f>
        <v>7.375</v>
      </c>
      <c r="F542" s="72">
        <f>+_xlfn.XLOOKUP(Tabla6[[#This Row],[ID CLIENTE]],'RESUMEN CLIENTES'!D:D,'RESUMEN CLIENTES'!W:W)</f>
        <v>0</v>
      </c>
      <c r="G542" s="17">
        <v>45956</v>
      </c>
      <c r="H542" s="44" t="s">
        <v>81</v>
      </c>
      <c r="I542" s="2">
        <v>1000</v>
      </c>
      <c r="J542" s="20" t="s">
        <v>1240</v>
      </c>
      <c r="K542" t="s">
        <v>1241</v>
      </c>
      <c r="L542" s="44" t="str" cm="1">
        <f t="array" ref="L542">+_xlfn.IFS(COUNTIF(INGRESOS!E:E,Tabla6[[#This Row],[ID FACTURA]])=1,"PAGADA",Tabla6[[#This Row],[ID FACTURA]]&lt;&gt;0,"EMITIDA",Tabla6[[#This Row],[ID FACTURA]]=0,"POR EMITIR")</f>
        <v>PAGADA</v>
      </c>
      <c r="M542" s="55">
        <f>+IF(Tabla6[[#This Row],[ESTADO FACTURA]]="PAGADA",Tabla6[[#This Row],[FECHA]]-_xlfn.XLOOKUP(Tabla6[[#This Row],[N° FACTURA]],INGRESOS!F:F,INGRESOS!A:A),"-")</f>
        <v>-1</v>
      </c>
      <c r="N542" s="2"/>
      <c r="O542"/>
    </row>
    <row r="543" spans="1:15" ht="14.75" customHeight="1">
      <c r="A543" s="320" t="s">
        <v>1242</v>
      </c>
      <c r="B543" t="str">
        <f>+_xlfn.XLOOKUP(Tabla6[[#This Row],[ID CLIENTE]],'RESUMEN CLIENTES'!D:D,'RESUMEN CLIENTES'!A:A)</f>
        <v>Abrahan Sejas Ocaña</v>
      </c>
      <c r="C543" t="str">
        <f>+_xlfn.XLOOKUP(Tabla6[[#This Row],[ID CLIENTE]],'RESUMEN CLIENTES'!D:D,'RESUMEN CLIENTES'!C:C)</f>
        <v>Bolivia</v>
      </c>
      <c r="D543" s="44" t="str">
        <f>+_xlfn.XLOOKUP(Tabla6[[#This Row],[ID CLIENTE]],'RESUMEN CLIENTES'!D:D,'RESUMEN CLIENTES'!M:M)</f>
        <v>ELIMINADO</v>
      </c>
      <c r="E543" s="71">
        <f>+_xlfn.XLOOKUP(Tabla6[[#This Row],[NOMBRE]],'RESUMEN CLIENTES'!A:A,'RESUMEN CLIENTES'!X:X)</f>
        <v>0</v>
      </c>
      <c r="F543" s="71">
        <f>+_xlfn.XLOOKUP(Tabla6[[#This Row],[ID CLIENTE]],'RESUMEN CLIENTES'!D:D,'RESUMEN CLIENTES'!W:W)</f>
        <v>0</v>
      </c>
      <c r="G543" s="17">
        <v>45957</v>
      </c>
      <c r="H543" s="44" t="s">
        <v>81</v>
      </c>
      <c r="I543" s="2">
        <v>50</v>
      </c>
      <c r="J543" s="20" t="s">
        <v>1243</v>
      </c>
      <c r="K543" t="s">
        <v>1244</v>
      </c>
      <c r="L543" s="44" t="str" cm="1">
        <f t="array" ref="L543">+_xlfn.IFS(COUNTIF(INGRESOS!E:E,Tabla6[[#This Row],[ID FACTURA]])=1,"PAGADA",Tabla6[[#This Row],[ID FACTURA]]&lt;&gt;0,"EMITIDA",Tabla6[[#This Row],[ID FACTURA]]=0,"POR EMITIR")</f>
        <v>PAGADA</v>
      </c>
      <c r="M543" s="55">
        <f>+IF(Tabla6[[#This Row],[ESTADO FACTURA]]="PAGADA",Tabla6[[#This Row],[FECHA]]-_xlfn.XLOOKUP(Tabla6[[#This Row],[N° FACTURA]],INGRESOS!F:F,INGRESOS!A:A),"-")</f>
        <v>0</v>
      </c>
      <c r="N543" s="2"/>
      <c r="O543"/>
    </row>
    <row r="544" spans="1:15" ht="14.75" customHeight="1">
      <c r="A544" s="320" t="s">
        <v>1245</v>
      </c>
      <c r="B544" t="str">
        <f>+_xlfn.XLOOKUP(Tabla6[[#This Row],[ID CLIENTE]],'RESUMEN CLIENTES'!D:D,'RESUMEN CLIENTES'!A:A)</f>
        <v>Constanza Andrea Águila Vergara</v>
      </c>
      <c r="C544" t="str">
        <f>+_xlfn.XLOOKUP(Tabla6[[#This Row],[ID CLIENTE]],'RESUMEN CLIENTES'!D:D,'RESUMEN CLIENTES'!C:C)</f>
        <v>Chile</v>
      </c>
      <c r="D544" s="44" t="str">
        <f>+_xlfn.XLOOKUP(Tabla6[[#This Row],[ID CLIENTE]],'RESUMEN CLIENTES'!D:D,'RESUMEN CLIENTES'!M:M)</f>
        <v>OK</v>
      </c>
      <c r="E544" s="71">
        <f>+_xlfn.XLOOKUP(Tabla6[[#This Row],[NOMBRE]],'RESUMEN CLIENTES'!A:A,'RESUMEN CLIENTES'!X:X)</f>
        <v>-0.2</v>
      </c>
      <c r="F544" s="71">
        <f>+_xlfn.XLOOKUP(Tabla6[[#This Row],[ID CLIENTE]],'RESUMEN CLIENTES'!D:D,'RESUMEN CLIENTES'!W:W)</f>
        <v>1</v>
      </c>
      <c r="G544" s="17">
        <v>45957</v>
      </c>
      <c r="H544" s="44" t="s">
        <v>81</v>
      </c>
      <c r="I544" s="2">
        <v>3000</v>
      </c>
      <c r="J544" s="20" t="s">
        <v>1246</v>
      </c>
      <c r="K544" t="s">
        <v>1247</v>
      </c>
      <c r="L544" s="44" t="str" cm="1">
        <f t="array" ref="L544">+_xlfn.IFS(COUNTIF(INGRESOS!E:E,Tabla6[[#This Row],[ID FACTURA]])=1,"PAGADA",Tabla6[[#This Row],[ID FACTURA]]&lt;&gt;0,"EMITIDA",Tabla6[[#This Row],[ID FACTURA]]=0,"POR EMITIR")</f>
        <v>PAGADA</v>
      </c>
      <c r="M544" s="55">
        <f>+IF(Tabla6[[#This Row],[ESTADO FACTURA]]="PAGADA",Tabla6[[#This Row],[FECHA]]-_xlfn.XLOOKUP(Tabla6[[#This Row],[N° FACTURA]],INGRESOS!F:F,INGRESOS!A:A),"-")</f>
        <v>0</v>
      </c>
      <c r="N544" s="2"/>
      <c r="O544"/>
    </row>
    <row r="545" spans="1:15" ht="14.75" customHeight="1">
      <c r="A545" s="320" t="s">
        <v>756</v>
      </c>
      <c r="B545" t="str">
        <f>+_xlfn.XLOOKUP(Tabla6[[#This Row],[ID CLIENTE]],'RESUMEN CLIENTES'!D:D,'RESUMEN CLIENTES'!A:A)</f>
        <v>Daniela Luise Reisenegger Scheel</v>
      </c>
      <c r="C545" t="str">
        <f>+_xlfn.XLOOKUP(Tabla6[[#This Row],[ID CLIENTE]],'RESUMEN CLIENTES'!D:D,'RESUMEN CLIENTES'!C:C)</f>
        <v>Chile</v>
      </c>
      <c r="D545" s="44" t="str">
        <f>+_xlfn.XLOOKUP(Tabla6[[#This Row],[ID CLIENTE]],'RESUMEN CLIENTES'!D:D,'RESUMEN CLIENTES'!M:M)</f>
        <v>ELIMINADO</v>
      </c>
      <c r="E545" s="72">
        <f>+_xlfn.XLOOKUP(Tabla6[[#This Row],[NOMBRE]],'RESUMEN CLIENTES'!A:A,'RESUMEN CLIENTES'!X:X)</f>
        <v>-4.333333333333333</v>
      </c>
      <c r="F545" s="72">
        <f>+_xlfn.XLOOKUP(Tabla6[[#This Row],[ID CLIENTE]],'RESUMEN CLIENTES'!D:D,'RESUMEN CLIENTES'!W:W)</f>
        <v>0</v>
      </c>
      <c r="G545" s="17">
        <v>45957</v>
      </c>
      <c r="H545" s="44" t="s">
        <v>81</v>
      </c>
      <c r="I545" s="2">
        <v>8200</v>
      </c>
      <c r="J545"/>
      <c r="K545"/>
      <c r="L545" s="44" t="str" cm="1">
        <f t="array" ref="L545">+_xlfn.IFS(COUNTIF(INGRESOS!E:E,Tabla6[[#This Row],[ID FACTURA]])=1,"PAGADA",Tabla6[[#This Row],[ID FACTURA]]&lt;&gt;0,"EMITIDA",Tabla6[[#This Row],[ID FACTURA]]=0,"POR EMITIR")</f>
        <v>POR EMITIR</v>
      </c>
      <c r="M545" s="55" t="str">
        <f>+IF(Tabla6[[#This Row],[ESTADO FACTURA]]="PAGADA",Tabla6[[#This Row],[FECHA]]-_xlfn.XLOOKUP(Tabla6[[#This Row],[N° FACTURA]],INGRESOS!F:F,INGRESOS!A:A),"-")</f>
        <v>-</v>
      </c>
      <c r="N545" s="2"/>
      <c r="O545" t="s">
        <v>1471</v>
      </c>
    </row>
    <row r="546" spans="1:15" ht="14.75" customHeight="1">
      <c r="A546" s="320" t="s">
        <v>1248</v>
      </c>
      <c r="B546" t="str">
        <f>+_xlfn.XLOOKUP(Tabla6[[#This Row],[ID CLIENTE]],'RESUMEN CLIENTES'!D:D,'RESUMEN CLIENTES'!A:A)</f>
        <v>Emily Vanessa Tapia Villalobos</v>
      </c>
      <c r="C546" t="str">
        <f>+_xlfn.XLOOKUP(Tabla6[[#This Row],[ID CLIENTE]],'RESUMEN CLIENTES'!D:D,'RESUMEN CLIENTES'!C:C)</f>
        <v>Chile</v>
      </c>
      <c r="D546" s="44" t="str">
        <f>+_xlfn.XLOOKUP(Tabla6[[#This Row],[ID CLIENTE]],'RESUMEN CLIENTES'!D:D,'RESUMEN CLIENTES'!M:M)</f>
        <v>OK</v>
      </c>
      <c r="E546" s="71">
        <f>+_xlfn.XLOOKUP(Tabla6[[#This Row],[NOMBRE]],'RESUMEN CLIENTES'!A:A,'RESUMEN CLIENTES'!X:X)</f>
        <v>0.33333333333333331</v>
      </c>
      <c r="F546" s="71">
        <f>+_xlfn.XLOOKUP(Tabla6[[#This Row],[ID CLIENTE]],'RESUMEN CLIENTES'!D:D,'RESUMEN CLIENTES'!W:W)</f>
        <v>0</v>
      </c>
      <c r="G546" s="17">
        <v>45957</v>
      </c>
      <c r="H546" s="44" t="s">
        <v>81</v>
      </c>
      <c r="I546" s="2">
        <v>100</v>
      </c>
      <c r="J546" s="20" t="s">
        <v>1249</v>
      </c>
      <c r="K546" t="s">
        <v>1250</v>
      </c>
      <c r="L546" s="44" t="str" cm="1">
        <f t="array" ref="L546">+_xlfn.IFS(COUNTIF(INGRESOS!E:E,Tabla6[[#This Row],[ID FACTURA]])=1,"PAGADA",Tabla6[[#This Row],[ID FACTURA]]&lt;&gt;0,"EMITIDA",Tabla6[[#This Row],[ID FACTURA]]=0,"POR EMITIR")</f>
        <v>PAGADA</v>
      </c>
      <c r="M546" s="55">
        <f>+IF(Tabla6[[#This Row],[ESTADO FACTURA]]="PAGADA",Tabla6[[#This Row],[FECHA]]-_xlfn.XLOOKUP(Tabla6[[#This Row],[N° FACTURA]],INGRESOS!F:F,INGRESOS!A:A),"-")</f>
        <v>-1</v>
      </c>
      <c r="N546" s="2"/>
      <c r="O546"/>
    </row>
    <row r="547" spans="1:15" ht="14.75" customHeight="1">
      <c r="A547" s="320" t="s">
        <v>1251</v>
      </c>
      <c r="B547" t="str">
        <f>+_xlfn.XLOOKUP(Tabla6[[#This Row],[ID CLIENTE]],'RESUMEN CLIENTES'!D:D,'RESUMEN CLIENTES'!A:A)</f>
        <v>Erick Ernesto Angulo Campos</v>
      </c>
      <c r="C547" t="str">
        <f>+_xlfn.XLOOKUP(Tabla6[[#This Row],[ID CLIENTE]],'RESUMEN CLIENTES'!D:D,'RESUMEN CLIENTES'!C:C)</f>
        <v>Chile</v>
      </c>
      <c r="D547" s="44" t="str">
        <f>+_xlfn.XLOOKUP(Tabla6[[#This Row],[ID CLIENTE]],'RESUMEN CLIENTES'!D:D,'RESUMEN CLIENTES'!M:M)</f>
        <v>OK</v>
      </c>
      <c r="E547" s="71">
        <f>+_xlfn.XLOOKUP(Tabla6[[#This Row],[NOMBRE]],'RESUMEN CLIENTES'!A:A,'RESUMEN CLIENTES'!X:X)</f>
        <v>-0.66666666666666663</v>
      </c>
      <c r="F547" s="71">
        <f>+_xlfn.XLOOKUP(Tabla6[[#This Row],[ID CLIENTE]],'RESUMEN CLIENTES'!D:D,'RESUMEN CLIENTES'!W:W)</f>
        <v>0</v>
      </c>
      <c r="G547" s="17">
        <v>45957</v>
      </c>
      <c r="H547" s="44" t="s">
        <v>81</v>
      </c>
      <c r="I547" s="2">
        <v>100</v>
      </c>
      <c r="J547" s="20" t="s">
        <v>1252</v>
      </c>
      <c r="K547" t="s">
        <v>1253</v>
      </c>
      <c r="L547" s="44" t="str" cm="1">
        <f t="array" ref="L547">+_xlfn.IFS(COUNTIF(INGRESOS!E:E,Tabla6[[#This Row],[ID FACTURA]])=1,"PAGADA",Tabla6[[#This Row],[ID FACTURA]]&lt;&gt;0,"EMITIDA",Tabla6[[#This Row],[ID FACTURA]]=0,"POR EMITIR")</f>
        <v>PAGADA</v>
      </c>
      <c r="M547" s="55">
        <f>+IF(Tabla6[[#This Row],[ESTADO FACTURA]]="PAGADA",Tabla6[[#This Row],[FECHA]]-_xlfn.XLOOKUP(Tabla6[[#This Row],[N° FACTURA]],INGRESOS!F:F,INGRESOS!A:A),"-")</f>
        <v>-1</v>
      </c>
      <c r="N547" s="2"/>
      <c r="O547"/>
    </row>
    <row r="548" spans="1:15" ht="14.75" customHeight="1">
      <c r="A548" s="320" t="s">
        <v>711</v>
      </c>
      <c r="B548" t="str">
        <f>+_xlfn.XLOOKUP(Tabla6[[#This Row],[ID CLIENTE]],'RESUMEN CLIENTES'!D:D,'RESUMEN CLIENTES'!A:A)</f>
        <v>Julian David Gutierrez Rodriguez</v>
      </c>
      <c r="C548" t="str">
        <f>+_xlfn.XLOOKUP(Tabla6[[#This Row],[ID CLIENTE]],'RESUMEN CLIENTES'!D:D,'RESUMEN CLIENTES'!C:C)</f>
        <v>Colombia</v>
      </c>
      <c r="D548" s="44" t="str">
        <f>+_xlfn.XLOOKUP(Tabla6[[#This Row],[ID CLIENTE]],'RESUMEN CLIENTES'!D:D,'RESUMEN CLIENTES'!M:M)</f>
        <v>OK</v>
      </c>
      <c r="E548" s="72">
        <f>+_xlfn.XLOOKUP(Tabla6[[#This Row],[NOMBRE]],'RESUMEN CLIENTES'!A:A,'RESUMEN CLIENTES'!X:X)</f>
        <v>0.7142857142857143</v>
      </c>
      <c r="F548" s="72">
        <f>+_xlfn.XLOOKUP(Tabla6[[#This Row],[ID CLIENTE]],'RESUMEN CLIENTES'!D:D,'RESUMEN CLIENTES'!W:W)</f>
        <v>1</v>
      </c>
      <c r="G548" s="17">
        <v>45957</v>
      </c>
      <c r="H548" s="44" t="s">
        <v>81</v>
      </c>
      <c r="I548" s="2">
        <v>500</v>
      </c>
      <c r="J548" s="20" t="s">
        <v>1254</v>
      </c>
      <c r="K548" t="s">
        <v>1255</v>
      </c>
      <c r="L548" s="44" t="str" cm="1">
        <f t="array" ref="L548">+_xlfn.IFS(COUNTIF(INGRESOS!E:E,Tabla6[[#This Row],[ID FACTURA]])=1,"PAGADA",Tabla6[[#This Row],[ID FACTURA]]&lt;&gt;0,"EMITIDA",Tabla6[[#This Row],[ID FACTURA]]=0,"POR EMITIR")</f>
        <v>PAGADA</v>
      </c>
      <c r="M548" s="55">
        <f>+IF(Tabla6[[#This Row],[ESTADO FACTURA]]="PAGADA",Tabla6[[#This Row],[FECHA]]-_xlfn.XLOOKUP(Tabla6[[#This Row],[N° FACTURA]],INGRESOS!F:F,INGRESOS!A:A),"-")</f>
        <v>2</v>
      </c>
      <c r="N548" s="2"/>
      <c r="O548"/>
    </row>
    <row r="549" spans="1:15" ht="14.75" customHeight="1">
      <c r="A549" s="320" t="s">
        <v>372</v>
      </c>
      <c r="B549" t="str">
        <f>+_xlfn.XLOOKUP(Tabla6[[#This Row],[ID CLIENTE]],'RESUMEN CLIENTES'!D:D,'RESUMEN CLIENTES'!A:A)</f>
        <v>Julio Nelson Adaros Moraga</v>
      </c>
      <c r="C549" t="str">
        <f>+_xlfn.XLOOKUP(Tabla6[[#This Row],[ID CLIENTE]],'RESUMEN CLIENTES'!D:D,'RESUMEN CLIENTES'!C:C)</f>
        <v>Chile</v>
      </c>
      <c r="D549" s="44" t="str">
        <f>+_xlfn.XLOOKUP(Tabla6[[#This Row],[ID CLIENTE]],'RESUMEN CLIENTES'!D:D,'RESUMEN CLIENTES'!M:M)</f>
        <v>OK</v>
      </c>
      <c r="E549" s="72">
        <f>+_xlfn.XLOOKUP(Tabla6[[#This Row],[NOMBRE]],'RESUMEN CLIENTES'!A:A,'RESUMEN CLIENTES'!X:X)</f>
        <v>1</v>
      </c>
      <c r="F549" s="72">
        <f>+_xlfn.XLOOKUP(Tabla6[[#This Row],[ID CLIENTE]],'RESUMEN CLIENTES'!D:D,'RESUMEN CLIENTES'!W:W)</f>
        <v>1</v>
      </c>
      <c r="G549" s="17">
        <v>45957</v>
      </c>
      <c r="H549" s="44" t="s">
        <v>81</v>
      </c>
      <c r="I549" s="2">
        <v>1000</v>
      </c>
      <c r="J549" s="20" t="s">
        <v>1256</v>
      </c>
      <c r="K549" t="s">
        <v>1257</v>
      </c>
      <c r="L549" s="44" t="str" cm="1">
        <f t="array" ref="L549">+_xlfn.IFS(COUNTIF(INGRESOS!E:E,Tabla6[[#This Row],[ID FACTURA]])=1,"PAGADA",Tabla6[[#This Row],[ID FACTURA]]&lt;&gt;0,"EMITIDA",Tabla6[[#This Row],[ID FACTURA]]=0,"POR EMITIR")</f>
        <v>PAGADA</v>
      </c>
      <c r="M549" s="55">
        <f>+IF(Tabla6[[#This Row],[ESTADO FACTURA]]="PAGADA",Tabla6[[#This Row],[FECHA]]-_xlfn.XLOOKUP(Tabla6[[#This Row],[N° FACTURA]],INGRESOS!F:F,INGRESOS!A:A),"-")</f>
        <v>3</v>
      </c>
      <c r="N549" s="2"/>
      <c r="O549"/>
    </row>
    <row r="550" spans="1:15" ht="14.75" customHeight="1">
      <c r="A550" s="320" t="s">
        <v>541</v>
      </c>
      <c r="B550" t="str">
        <f>+_xlfn.XLOOKUP(Tabla6[[#This Row],[ID CLIENTE]],'RESUMEN CLIENTES'!D:D,'RESUMEN CLIENTES'!A:A)</f>
        <v>Alejandra Goretti Figueroa Romo</v>
      </c>
      <c r="C550" t="str">
        <f>+_xlfn.XLOOKUP(Tabla6[[#This Row],[ID CLIENTE]],'RESUMEN CLIENTES'!D:D,'RESUMEN CLIENTES'!C:C)</f>
        <v>México</v>
      </c>
      <c r="D550" s="44" t="str">
        <f>+_xlfn.XLOOKUP(Tabla6[[#This Row],[ID CLIENTE]],'RESUMEN CLIENTES'!D:D,'RESUMEN CLIENTES'!M:M)</f>
        <v>OK</v>
      </c>
      <c r="E550" s="72">
        <f>+_xlfn.XLOOKUP(Tabla6[[#This Row],[NOMBRE]],'RESUMEN CLIENTES'!A:A,'RESUMEN CLIENTES'!X:X)</f>
        <v>0.75</v>
      </c>
      <c r="F550" s="72">
        <f>+_xlfn.XLOOKUP(Tabla6[[#This Row],[ID CLIENTE]],'RESUMEN CLIENTES'!D:D,'RESUMEN CLIENTES'!W:W)</f>
        <v>0</v>
      </c>
      <c r="G550" s="17">
        <v>45960</v>
      </c>
      <c r="H550" s="44" t="s">
        <v>81</v>
      </c>
      <c r="I550" s="2">
        <v>1000</v>
      </c>
      <c r="J550" s="20" t="s">
        <v>1258</v>
      </c>
      <c r="K550" t="s">
        <v>1259</v>
      </c>
      <c r="L550" s="44" t="str" cm="1">
        <f t="array" ref="L550">+_xlfn.IFS(COUNTIF(INGRESOS!E:E,Tabla6[[#This Row],[ID FACTURA]])=1,"PAGADA",Tabla6[[#This Row],[ID FACTURA]]&lt;&gt;0,"EMITIDA",Tabla6[[#This Row],[ID FACTURA]]=0,"POR EMITIR")</f>
        <v>PAGADA</v>
      </c>
      <c r="M550" s="55">
        <f>+IF(Tabla6[[#This Row],[ESTADO FACTURA]]="PAGADA",Tabla6[[#This Row],[FECHA]]-_xlfn.XLOOKUP(Tabla6[[#This Row],[N° FACTURA]],INGRESOS!F:F,INGRESOS!A:A),"-")</f>
        <v>0</v>
      </c>
      <c r="N550" s="2"/>
      <c r="O550"/>
    </row>
    <row r="551" spans="1:15" ht="14.75" customHeight="1">
      <c r="A551" s="320" t="s">
        <v>84</v>
      </c>
      <c r="B551" t="str">
        <f>+_xlfn.XLOOKUP(Tabla6[[#This Row],[ID CLIENTE]],'RESUMEN CLIENTES'!D:D,'RESUMEN CLIENTES'!A:A)</f>
        <v>Andrea Corpeño López</v>
      </c>
      <c r="C551" t="str">
        <f>+_xlfn.XLOOKUP(Tabla6[[#This Row],[ID CLIENTE]],'RESUMEN CLIENTES'!D:D,'RESUMEN CLIENTES'!C:C)</f>
        <v>El Salvador</v>
      </c>
      <c r="D551" s="44" t="str">
        <f>+_xlfn.XLOOKUP(Tabla6[[#This Row],[ID CLIENTE]],'RESUMEN CLIENTES'!D:D,'RESUMEN CLIENTES'!M:M)</f>
        <v>OK</v>
      </c>
      <c r="E551" s="72">
        <f>+_xlfn.XLOOKUP(Tabla6[[#This Row],[NOMBRE]],'RESUMEN CLIENTES'!A:A,'RESUMEN CLIENTES'!X:X)</f>
        <v>-0.81818181818181823</v>
      </c>
      <c r="F551" s="72">
        <f>+_xlfn.XLOOKUP(Tabla6[[#This Row],[ID CLIENTE]],'RESUMEN CLIENTES'!D:D,'RESUMEN CLIENTES'!W:W)</f>
        <v>0</v>
      </c>
      <c r="G551" s="17">
        <v>45960</v>
      </c>
      <c r="H551" s="44" t="s">
        <v>81</v>
      </c>
      <c r="I551" s="2">
        <v>400</v>
      </c>
      <c r="J551" s="20" t="s">
        <v>1260</v>
      </c>
      <c r="K551" t="s">
        <v>1261</v>
      </c>
      <c r="L551" s="44" t="str" cm="1">
        <f t="array" ref="L551">+_xlfn.IFS(COUNTIF(INGRESOS!E:E,Tabla6[[#This Row],[ID FACTURA]])=1,"PAGADA",Tabla6[[#This Row],[ID FACTURA]]&lt;&gt;0,"EMITIDA",Tabla6[[#This Row],[ID FACTURA]]=0,"POR EMITIR")</f>
        <v>PAGADA</v>
      </c>
      <c r="M551" s="55">
        <f>+IF(Tabla6[[#This Row],[ESTADO FACTURA]]="PAGADA",Tabla6[[#This Row],[FECHA]]-_xlfn.XLOOKUP(Tabla6[[#This Row],[N° FACTURA]],INGRESOS!F:F,INGRESOS!A:A),"-")</f>
        <v>0</v>
      </c>
      <c r="N551" s="2"/>
      <c r="O551"/>
    </row>
    <row r="552" spans="1:15" ht="14.75" customHeight="1">
      <c r="A552" s="320" t="s">
        <v>226</v>
      </c>
      <c r="B552" t="str">
        <f>+_xlfn.XLOOKUP(Tabla6[[#This Row],[ID CLIENTE]],'RESUMEN CLIENTES'!D:D,'RESUMEN CLIENTES'!A:A)</f>
        <v>Carlos Josue Escobar Morán</v>
      </c>
      <c r="C552" t="str">
        <f>+_xlfn.XLOOKUP(Tabla6[[#This Row],[ID CLIENTE]],'RESUMEN CLIENTES'!D:D,'RESUMEN CLIENTES'!C:C)</f>
        <v>El Salvador</v>
      </c>
      <c r="D552" s="44" t="str">
        <f>+_xlfn.XLOOKUP(Tabla6[[#This Row],[ID CLIENTE]],'RESUMEN CLIENTES'!D:D,'RESUMEN CLIENTES'!M:M)</f>
        <v>OK</v>
      </c>
      <c r="E552" s="72">
        <f>+_xlfn.XLOOKUP(Tabla6[[#This Row],[NOMBRE]],'RESUMEN CLIENTES'!A:A,'RESUMEN CLIENTES'!X:X)</f>
        <v>0.8</v>
      </c>
      <c r="F552" s="72">
        <f>+_xlfn.XLOOKUP(Tabla6[[#This Row],[ID CLIENTE]],'RESUMEN CLIENTES'!D:D,'RESUMEN CLIENTES'!W:W)</f>
        <v>0</v>
      </c>
      <c r="G552" s="17">
        <v>45960</v>
      </c>
      <c r="H552" s="44" t="s">
        <v>81</v>
      </c>
      <c r="I552" s="2">
        <v>500</v>
      </c>
      <c r="J552" s="20" t="s">
        <v>1262</v>
      </c>
      <c r="K552" t="s">
        <v>1263</v>
      </c>
      <c r="L552" s="44" t="str" cm="1">
        <f t="array" ref="L552">+_xlfn.IFS(COUNTIF(INGRESOS!E:E,Tabla6[[#This Row],[ID FACTURA]])=1,"PAGADA",Tabla6[[#This Row],[ID FACTURA]]&lt;&gt;0,"EMITIDA",Tabla6[[#This Row],[ID FACTURA]]=0,"POR EMITIR")</f>
        <v>PAGADA</v>
      </c>
      <c r="M552" s="55">
        <f>+IF(Tabla6[[#This Row],[ESTADO FACTURA]]="PAGADA",Tabla6[[#This Row],[FECHA]]-_xlfn.XLOOKUP(Tabla6[[#This Row],[N° FACTURA]],INGRESOS!F:F,INGRESOS!A:A),"-")</f>
        <v>2</v>
      </c>
      <c r="N552" s="2"/>
      <c r="O552"/>
    </row>
    <row r="553" spans="1:15" ht="14.75" customHeight="1">
      <c r="A553" s="320" t="s">
        <v>479</v>
      </c>
      <c r="B553" t="str">
        <f>+_xlfn.XLOOKUP(Tabla6[[#This Row],[ID CLIENTE]],'RESUMEN CLIENTES'!D:D,'RESUMEN CLIENTES'!A:A)</f>
        <v>Carlos Mersaim Olivares Sandoval</v>
      </c>
      <c r="C553" t="str">
        <f>+_xlfn.XLOOKUP(Tabla6[[#This Row],[ID CLIENTE]],'RESUMEN CLIENTES'!D:D,'RESUMEN CLIENTES'!C:C)</f>
        <v>México</v>
      </c>
      <c r="D553" s="44" t="str">
        <f>+_xlfn.XLOOKUP(Tabla6[[#This Row],[ID CLIENTE]],'RESUMEN CLIENTES'!D:D,'RESUMEN CLIENTES'!M:M)</f>
        <v>OK</v>
      </c>
      <c r="E553" s="72">
        <f>+_xlfn.XLOOKUP(Tabla6[[#This Row],[NOMBRE]],'RESUMEN CLIENTES'!A:A,'RESUMEN CLIENTES'!X:X)</f>
        <v>1.4444444444444444</v>
      </c>
      <c r="F553" s="72">
        <f>+_xlfn.XLOOKUP(Tabla6[[#This Row],[ID CLIENTE]],'RESUMEN CLIENTES'!D:D,'RESUMEN CLIENTES'!W:W)</f>
        <v>0</v>
      </c>
      <c r="G553" s="17">
        <v>45960</v>
      </c>
      <c r="H553" s="44" t="s">
        <v>81</v>
      </c>
      <c r="I553" s="2">
        <f>1000-300</f>
        <v>700</v>
      </c>
      <c r="J553" s="20" t="s">
        <v>1264</v>
      </c>
      <c r="K553" t="s">
        <v>1265</v>
      </c>
      <c r="L553" s="44" t="str" cm="1">
        <f t="array" ref="L553">+_xlfn.IFS(COUNTIF(INGRESOS!E:E,Tabla6[[#This Row],[ID FACTURA]])=1,"PAGADA",Tabla6[[#This Row],[ID FACTURA]]&lt;&gt;0,"EMITIDA",Tabla6[[#This Row],[ID FACTURA]]=0,"POR EMITIR")</f>
        <v>PAGADA</v>
      </c>
      <c r="M553" s="55">
        <f>+IF(Tabla6[[#This Row],[ESTADO FACTURA]]="PAGADA",Tabla6[[#This Row],[FECHA]]-_xlfn.XLOOKUP(Tabla6[[#This Row],[N° FACTURA]],INGRESOS!F:F,INGRESOS!A:A),"-")</f>
        <v>0</v>
      </c>
      <c r="N553" s="2">
        <v>300</v>
      </c>
      <c r="O553" t="s">
        <v>1233</v>
      </c>
    </row>
    <row r="554" spans="1:15" ht="14.75" customHeight="1">
      <c r="A554" s="320" t="s">
        <v>115</v>
      </c>
      <c r="B554" t="str">
        <f>+_xlfn.XLOOKUP(Tabla6[[#This Row],[ID CLIENTE]],'RESUMEN CLIENTES'!D:D,'RESUMEN CLIENTES'!A:A)</f>
        <v>David Hernández Viveros</v>
      </c>
      <c r="C554" t="str">
        <f>+_xlfn.XLOOKUP(Tabla6[[#This Row],[ID CLIENTE]],'RESUMEN CLIENTES'!D:D,'RESUMEN CLIENTES'!C:C)</f>
        <v>México</v>
      </c>
      <c r="D554" s="44" t="str">
        <f>+_xlfn.XLOOKUP(Tabla6[[#This Row],[ID CLIENTE]],'RESUMEN CLIENTES'!D:D,'RESUMEN CLIENTES'!M:M)</f>
        <v>OK</v>
      </c>
      <c r="E554" s="72">
        <f>+_xlfn.XLOOKUP(Tabla6[[#This Row],[NOMBRE]],'RESUMEN CLIENTES'!A:A,'RESUMEN CLIENTES'!X:X)</f>
        <v>-0.5</v>
      </c>
      <c r="F554" s="72">
        <f>+_xlfn.XLOOKUP(Tabla6[[#This Row],[ID CLIENTE]],'RESUMEN CLIENTES'!D:D,'RESUMEN CLIENTES'!W:W)</f>
        <v>1</v>
      </c>
      <c r="G554" s="17">
        <v>45960</v>
      </c>
      <c r="H554" s="44" t="s">
        <v>81</v>
      </c>
      <c r="I554" s="2">
        <v>1300</v>
      </c>
      <c r="J554" s="20" t="s">
        <v>1266</v>
      </c>
      <c r="K554" t="s">
        <v>1267</v>
      </c>
      <c r="L554" s="44" t="str" cm="1">
        <f t="array" ref="L554">+_xlfn.IFS(COUNTIF(INGRESOS!E:E,Tabla6[[#This Row],[ID FACTURA]])=1,"PAGADA",Tabla6[[#This Row],[ID FACTURA]]&lt;&gt;0,"EMITIDA",Tabla6[[#This Row],[ID FACTURA]]=0,"POR EMITIR")</f>
        <v>PAGADA</v>
      </c>
      <c r="M554" s="55">
        <f>+IF(Tabla6[[#This Row],[ESTADO FACTURA]]="PAGADA",Tabla6[[#This Row],[FECHA]]-_xlfn.XLOOKUP(Tabla6[[#This Row],[N° FACTURA]],INGRESOS!F:F,INGRESOS!A:A),"-")</f>
        <v>1</v>
      </c>
      <c r="N554" s="2"/>
      <c r="O554"/>
    </row>
    <row r="555" spans="1:15" ht="14.75" customHeight="1">
      <c r="A555" s="320" t="s">
        <v>385</v>
      </c>
      <c r="B555" t="str">
        <f>+_xlfn.XLOOKUP(Tabla6[[#This Row],[ID CLIENTE]],'RESUMEN CLIENTES'!D:D,'RESUMEN CLIENTES'!A:A)</f>
        <v>Ellen Cristina Gerónimo Bonilla</v>
      </c>
      <c r="C555" t="str">
        <f>+_xlfn.XLOOKUP(Tabla6[[#This Row],[ID CLIENTE]],'RESUMEN CLIENTES'!D:D,'RESUMEN CLIENTES'!C:C)</f>
        <v>República Dominicana</v>
      </c>
      <c r="D555" s="44" t="str">
        <f>+_xlfn.XLOOKUP(Tabla6[[#This Row],[ID CLIENTE]],'RESUMEN CLIENTES'!D:D,'RESUMEN CLIENTES'!M:M)</f>
        <v>OK</v>
      </c>
      <c r="E555" s="72">
        <f>+_xlfn.XLOOKUP(Tabla6[[#This Row],[NOMBRE]],'RESUMEN CLIENTES'!A:A,'RESUMEN CLIENTES'!X:X)</f>
        <v>1.5555555555555556</v>
      </c>
      <c r="F555" s="72">
        <f>+_xlfn.XLOOKUP(Tabla6[[#This Row],[ID CLIENTE]],'RESUMEN CLIENTES'!D:D,'RESUMEN CLIENTES'!W:W)</f>
        <v>1</v>
      </c>
      <c r="G555" s="17">
        <v>45960</v>
      </c>
      <c r="H555" s="44" t="s">
        <v>81</v>
      </c>
      <c r="I555" s="2">
        <v>600</v>
      </c>
      <c r="J555" s="20" t="s">
        <v>1268</v>
      </c>
      <c r="K555" t="s">
        <v>1269</v>
      </c>
      <c r="L555" s="44" t="str" cm="1">
        <f t="array" ref="L555">+_xlfn.IFS(COUNTIF(INGRESOS!E:E,Tabla6[[#This Row],[ID FACTURA]])=1,"PAGADA",Tabla6[[#This Row],[ID FACTURA]]&lt;&gt;0,"EMITIDA",Tabla6[[#This Row],[ID FACTURA]]=0,"POR EMITIR")</f>
        <v>PAGADA</v>
      </c>
      <c r="M555" s="55">
        <f>+IF(Tabla6[[#This Row],[ESTADO FACTURA]]="PAGADA",Tabla6[[#This Row],[FECHA]]-_xlfn.XLOOKUP(Tabla6[[#This Row],[N° FACTURA]],INGRESOS!F:F,INGRESOS!A:A),"-")</f>
        <v>1</v>
      </c>
      <c r="N555" s="2"/>
      <c r="O555"/>
    </row>
    <row r="556" spans="1:15" ht="14.75" customHeight="1">
      <c r="A556" s="320" t="s">
        <v>739</v>
      </c>
      <c r="B556" t="str">
        <f>+_xlfn.XLOOKUP(Tabla6[[#This Row],[ID CLIENTE]],'RESUMEN CLIENTES'!D:D,'RESUMEN CLIENTES'!A:A)</f>
        <v>Gilberto Martiñon Torres</v>
      </c>
      <c r="C556" t="str">
        <f>+_xlfn.XLOOKUP(Tabla6[[#This Row],[ID CLIENTE]],'RESUMEN CLIENTES'!D:D,'RESUMEN CLIENTES'!C:C)</f>
        <v>México</v>
      </c>
      <c r="D556" s="44" t="str">
        <f>+_xlfn.XLOOKUP(Tabla6[[#This Row],[ID CLIENTE]],'RESUMEN CLIENTES'!D:D,'RESUMEN CLIENTES'!M:M)</f>
        <v>OK</v>
      </c>
      <c r="E556" s="72">
        <f>+_xlfn.XLOOKUP(Tabla6[[#This Row],[NOMBRE]],'RESUMEN CLIENTES'!A:A,'RESUMEN CLIENTES'!X:X)</f>
        <v>-0.625</v>
      </c>
      <c r="F556" s="72">
        <f>+_xlfn.XLOOKUP(Tabla6[[#This Row],[ID CLIENTE]],'RESUMEN CLIENTES'!D:D,'RESUMEN CLIENTES'!W:W)</f>
        <v>0</v>
      </c>
      <c r="G556" s="17">
        <v>45960</v>
      </c>
      <c r="H556" s="44" t="s">
        <v>81</v>
      </c>
      <c r="I556" s="2">
        <v>700</v>
      </c>
      <c r="J556" s="20" t="s">
        <v>1270</v>
      </c>
      <c r="K556" t="s">
        <v>1271</v>
      </c>
      <c r="L556" s="44" t="str" cm="1">
        <f t="array" ref="L556">+_xlfn.IFS(COUNTIF(INGRESOS!E:E,Tabla6[[#This Row],[ID FACTURA]])=1,"PAGADA",Tabla6[[#This Row],[ID FACTURA]]&lt;&gt;0,"EMITIDA",Tabla6[[#This Row],[ID FACTURA]]=0,"POR EMITIR")</f>
        <v>PAGADA</v>
      </c>
      <c r="M556" s="55">
        <f>+IF(Tabla6[[#This Row],[ESTADO FACTURA]]="PAGADA",Tabla6[[#This Row],[FECHA]]-_xlfn.XLOOKUP(Tabla6[[#This Row],[N° FACTURA]],INGRESOS!F:F,INGRESOS!A:A),"-")</f>
        <v>-1</v>
      </c>
      <c r="N556" s="2"/>
      <c r="O556"/>
    </row>
    <row r="557" spans="1:15" ht="14.75" customHeight="1">
      <c r="A557" s="320" t="s">
        <v>106</v>
      </c>
      <c r="B557" t="str">
        <f>+_xlfn.XLOOKUP(Tabla6[[#This Row],[ID CLIENTE]],'RESUMEN CLIENTES'!D:D,'RESUMEN CLIENTES'!A:A)</f>
        <v>Hector Armando Daza Mejia</v>
      </c>
      <c r="C557" t="str">
        <f>+_xlfn.XLOOKUP(Tabla6[[#This Row],[ID CLIENTE]],'RESUMEN CLIENTES'!D:D,'RESUMEN CLIENTES'!C:C)</f>
        <v>Colombia</v>
      </c>
      <c r="D557" s="44" t="str">
        <f>+_xlfn.XLOOKUP(Tabla6[[#This Row],[ID CLIENTE]],'RESUMEN CLIENTES'!D:D,'RESUMEN CLIENTES'!M:M)</f>
        <v>OK</v>
      </c>
      <c r="E557" s="72">
        <f>+_xlfn.XLOOKUP(Tabla6[[#This Row],[NOMBRE]],'RESUMEN CLIENTES'!A:A,'RESUMEN CLIENTES'!X:X)</f>
        <v>1.1111111111111112</v>
      </c>
      <c r="F557" s="72">
        <f>+_xlfn.XLOOKUP(Tabla6[[#This Row],[ID CLIENTE]],'RESUMEN CLIENTES'!D:D,'RESUMEN CLIENTES'!W:W)</f>
        <v>0</v>
      </c>
      <c r="G557" s="17">
        <v>45960</v>
      </c>
      <c r="H557" s="44" t="s">
        <v>81</v>
      </c>
      <c r="I557" s="2">
        <v>1500</v>
      </c>
      <c r="J557" s="20" t="s">
        <v>1272</v>
      </c>
      <c r="K557" t="s">
        <v>1273</v>
      </c>
      <c r="L557" s="44" t="str" cm="1">
        <f t="array" ref="L557">+_xlfn.IFS(COUNTIF(INGRESOS!E:E,Tabla6[[#This Row],[ID FACTURA]])=1,"PAGADA",Tabla6[[#This Row],[ID FACTURA]]&lt;&gt;0,"EMITIDA",Tabla6[[#This Row],[ID FACTURA]]=0,"POR EMITIR")</f>
        <v>PAGADA</v>
      </c>
      <c r="M557" s="55">
        <f>+IF(Tabla6[[#This Row],[ESTADO FACTURA]]="PAGADA",Tabla6[[#This Row],[FECHA]]-_xlfn.XLOOKUP(Tabla6[[#This Row],[N° FACTURA]],INGRESOS!F:F,INGRESOS!A:A),"-")</f>
        <v>0</v>
      </c>
      <c r="N557" s="2"/>
      <c r="O557"/>
    </row>
    <row r="558" spans="1:15" ht="14.75" customHeight="1">
      <c r="A558" s="320" t="s">
        <v>266</v>
      </c>
      <c r="B558" t="str">
        <f>+_xlfn.XLOOKUP(Tabla6[[#This Row],[ID CLIENTE]],'RESUMEN CLIENTES'!D:D,'RESUMEN CLIENTES'!A:A)</f>
        <v>Juan Camilo Sanchez Ramirez</v>
      </c>
      <c r="C558" t="str">
        <f>+_xlfn.XLOOKUP(Tabla6[[#This Row],[ID CLIENTE]],'RESUMEN CLIENTES'!D:D,'RESUMEN CLIENTES'!C:C)</f>
        <v>Colombia</v>
      </c>
      <c r="D558" s="44" t="str">
        <f>+_xlfn.XLOOKUP(Tabla6[[#This Row],[ID CLIENTE]],'RESUMEN CLIENTES'!D:D,'RESUMEN CLIENTES'!M:M)</f>
        <v>OK</v>
      </c>
      <c r="E558" s="72">
        <f>+_xlfn.XLOOKUP(Tabla6[[#This Row],[NOMBRE]],'RESUMEN CLIENTES'!A:A,'RESUMEN CLIENTES'!X:X)</f>
        <v>0.2</v>
      </c>
      <c r="F558" s="72">
        <f>+_xlfn.XLOOKUP(Tabla6[[#This Row],[ID CLIENTE]],'RESUMEN CLIENTES'!D:D,'RESUMEN CLIENTES'!W:W)</f>
        <v>0</v>
      </c>
      <c r="G558" s="17">
        <v>45960</v>
      </c>
      <c r="H558" s="44" t="s">
        <v>81</v>
      </c>
      <c r="I558" s="2">
        <v>1000</v>
      </c>
      <c r="J558" s="20" t="s">
        <v>1274</v>
      </c>
      <c r="K558" t="s">
        <v>1275</v>
      </c>
      <c r="L558" s="44" t="str" cm="1">
        <f t="array" ref="L558">+_xlfn.IFS(COUNTIF(INGRESOS!E:E,Tabla6[[#This Row],[ID FACTURA]])=1,"PAGADA",Tabla6[[#This Row],[ID FACTURA]]&lt;&gt;0,"EMITIDA",Tabla6[[#This Row],[ID FACTURA]]=0,"POR EMITIR")</f>
        <v>PAGADA</v>
      </c>
      <c r="M558" s="55">
        <f>+IF(Tabla6[[#This Row],[ESTADO FACTURA]]="PAGADA",Tabla6[[#This Row],[FECHA]]-_xlfn.XLOOKUP(Tabla6[[#This Row],[N° FACTURA]],INGRESOS!F:F,INGRESOS!A:A),"-")</f>
        <v>1</v>
      </c>
      <c r="N558" s="2"/>
      <c r="O558"/>
    </row>
    <row r="559" spans="1:15" ht="14.75" customHeight="1">
      <c r="A559" s="320" t="s">
        <v>441</v>
      </c>
      <c r="B559" t="str">
        <f>+_xlfn.XLOOKUP(Tabla6[[#This Row],[ID CLIENTE]],'RESUMEN CLIENTES'!D:D,'RESUMEN CLIENTES'!A:A)</f>
        <v>Luis Manuel Villanueva Contreras</v>
      </c>
      <c r="C559" t="str">
        <f>+_xlfn.XLOOKUP(Tabla6[[#This Row],[ID CLIENTE]],'RESUMEN CLIENTES'!D:D,'RESUMEN CLIENTES'!C:C)</f>
        <v>México</v>
      </c>
      <c r="D559" s="44" t="str">
        <f>+_xlfn.XLOOKUP(Tabla6[[#This Row],[ID CLIENTE]],'RESUMEN CLIENTES'!D:D,'RESUMEN CLIENTES'!M:M)</f>
        <v>OK</v>
      </c>
      <c r="E559" s="72">
        <f>+_xlfn.XLOOKUP(Tabla6[[#This Row],[NOMBRE]],'RESUMEN CLIENTES'!A:A,'RESUMEN CLIENTES'!X:X)</f>
        <v>0.55555555555555558</v>
      </c>
      <c r="F559" s="72">
        <f>+_xlfn.XLOOKUP(Tabla6[[#This Row],[ID CLIENTE]],'RESUMEN CLIENTES'!D:D,'RESUMEN CLIENTES'!W:W)</f>
        <v>0</v>
      </c>
      <c r="G559" s="17">
        <v>45960</v>
      </c>
      <c r="H559" s="44" t="s">
        <v>81</v>
      </c>
      <c r="I559" s="2">
        <v>1000</v>
      </c>
      <c r="J559" s="20" t="s">
        <v>1276</v>
      </c>
      <c r="K559" t="s">
        <v>1277</v>
      </c>
      <c r="L559" s="44" t="str" cm="1">
        <f t="array" ref="L559">+_xlfn.IFS(COUNTIF(INGRESOS!E:E,Tabla6[[#This Row],[ID FACTURA]])=1,"PAGADA",Tabla6[[#This Row],[ID FACTURA]]&lt;&gt;0,"EMITIDA",Tabla6[[#This Row],[ID FACTURA]]=0,"POR EMITIR")</f>
        <v>PAGADA</v>
      </c>
      <c r="M559" s="55">
        <f>+IF(Tabla6[[#This Row],[ESTADO FACTURA]]="PAGADA",Tabla6[[#This Row],[FECHA]]-_xlfn.XLOOKUP(Tabla6[[#This Row],[N° FACTURA]],INGRESOS!F:F,INGRESOS!A:A),"-")</f>
        <v>0</v>
      </c>
      <c r="N559" s="2"/>
      <c r="O559"/>
    </row>
    <row r="560" spans="1:15" ht="14.75" customHeight="1">
      <c r="A560" s="320" t="s">
        <v>590</v>
      </c>
      <c r="B560" t="str">
        <f>+_xlfn.XLOOKUP(Tabla6[[#This Row],[ID CLIENTE]],'RESUMEN CLIENTES'!D:D,'RESUMEN CLIENTES'!A:A)</f>
        <v>María Lucero de Jesús Barrios Sazo</v>
      </c>
      <c r="C560" t="str">
        <f>+_xlfn.XLOOKUP(Tabla6[[#This Row],[ID CLIENTE]],'RESUMEN CLIENTES'!D:D,'RESUMEN CLIENTES'!C:C)</f>
        <v>Guatemala</v>
      </c>
      <c r="D560" s="44" t="str">
        <f>+_xlfn.XLOOKUP(Tabla6[[#This Row],[ID CLIENTE]],'RESUMEN CLIENTES'!D:D,'RESUMEN CLIENTES'!M:M)</f>
        <v>OK</v>
      </c>
      <c r="E560" s="72">
        <f>+_xlfn.XLOOKUP(Tabla6[[#This Row],[NOMBRE]],'RESUMEN CLIENTES'!A:A,'RESUMEN CLIENTES'!X:X)</f>
        <v>1.25</v>
      </c>
      <c r="F560" s="72">
        <f>+_xlfn.XLOOKUP(Tabla6[[#This Row],[ID CLIENTE]],'RESUMEN CLIENTES'!D:D,'RESUMEN CLIENTES'!W:W)</f>
        <v>0</v>
      </c>
      <c r="G560" s="17">
        <v>45960</v>
      </c>
      <c r="H560" s="44" t="s">
        <v>81</v>
      </c>
      <c r="I560" s="2">
        <v>700</v>
      </c>
      <c r="J560" s="20" t="s">
        <v>1278</v>
      </c>
      <c r="K560" t="s">
        <v>1279</v>
      </c>
      <c r="L560" s="44" t="str" cm="1">
        <f t="array" ref="L560">+_xlfn.IFS(COUNTIF(INGRESOS!E:E,Tabla6[[#This Row],[ID FACTURA]])=1,"PAGADA",Tabla6[[#This Row],[ID FACTURA]]&lt;&gt;0,"EMITIDA",Tabla6[[#This Row],[ID FACTURA]]=0,"POR EMITIR")</f>
        <v>PAGADA</v>
      </c>
      <c r="M560" s="55">
        <f>+IF(Tabla6[[#This Row],[ESTADO FACTURA]]="PAGADA",Tabla6[[#This Row],[FECHA]]-_xlfn.XLOOKUP(Tabla6[[#This Row],[N° FACTURA]],INGRESOS!F:F,INGRESOS!A:A),"-")</f>
        <v>0</v>
      </c>
      <c r="N560" s="2"/>
      <c r="O560"/>
    </row>
    <row r="561" spans="1:15" ht="14.75" customHeight="1">
      <c r="A561" s="320" t="s">
        <v>314</v>
      </c>
      <c r="B561" t="str">
        <f>+_xlfn.XLOOKUP(Tabla6[[#This Row],[ID CLIENTE]],'RESUMEN CLIENTES'!D:D,'RESUMEN CLIENTES'!A:A)</f>
        <v>Miguel Angel Sisalima Shiña</v>
      </c>
      <c r="C561" t="str">
        <f>+_xlfn.XLOOKUP(Tabla6[[#This Row],[ID CLIENTE]],'RESUMEN CLIENTES'!D:D,'RESUMEN CLIENTES'!C:C)</f>
        <v>Ecuador</v>
      </c>
      <c r="D561" s="44" t="str">
        <f>+_xlfn.XLOOKUP(Tabla6[[#This Row],[ID CLIENTE]],'RESUMEN CLIENTES'!D:D,'RESUMEN CLIENTES'!M:M)</f>
        <v>OK</v>
      </c>
      <c r="E561" s="72">
        <f>+_xlfn.XLOOKUP(Tabla6[[#This Row],[NOMBRE]],'RESUMEN CLIENTES'!A:A,'RESUMEN CLIENTES'!X:X)</f>
        <v>0.6</v>
      </c>
      <c r="F561" s="72">
        <f>+_xlfn.XLOOKUP(Tabla6[[#This Row],[ID CLIENTE]],'RESUMEN CLIENTES'!D:D,'RESUMEN CLIENTES'!W:W)</f>
        <v>0</v>
      </c>
      <c r="G561" s="17">
        <v>45960</v>
      </c>
      <c r="H561" s="44" t="s">
        <v>81</v>
      </c>
      <c r="I561" s="2">
        <v>1000</v>
      </c>
      <c r="J561" s="20" t="s">
        <v>1280</v>
      </c>
      <c r="K561" t="s">
        <v>1281</v>
      </c>
      <c r="L561" s="44" t="str" cm="1">
        <f t="array" ref="L561">+_xlfn.IFS(COUNTIF(INGRESOS!E:E,Tabla6[[#This Row],[ID FACTURA]])=1,"PAGADA",Tabla6[[#This Row],[ID FACTURA]]&lt;&gt;0,"EMITIDA",Tabla6[[#This Row],[ID FACTURA]]=0,"POR EMITIR")</f>
        <v>PAGADA</v>
      </c>
      <c r="M561" s="55">
        <f>+IF(Tabla6[[#This Row],[ESTADO FACTURA]]="PAGADA",Tabla6[[#This Row],[FECHA]]-_xlfn.XLOOKUP(Tabla6[[#This Row],[N° FACTURA]],INGRESOS!F:F,INGRESOS!A:A),"-")</f>
        <v>0</v>
      </c>
      <c r="N561" s="2"/>
      <c r="O561"/>
    </row>
    <row r="562" spans="1:15" ht="14.75" customHeight="1">
      <c r="A562" s="320" t="s">
        <v>229</v>
      </c>
      <c r="B562" t="str">
        <f>+_xlfn.XLOOKUP(Tabla6[[#This Row],[ID CLIENTE]],'RESUMEN CLIENTES'!D:D,'RESUMEN CLIENTES'!A:A)</f>
        <v>Nathaly Gabriela Henríquez Masín</v>
      </c>
      <c r="C562" t="str">
        <f>+_xlfn.XLOOKUP(Tabla6[[#This Row],[ID CLIENTE]],'RESUMEN CLIENTES'!D:D,'RESUMEN CLIENTES'!C:C)</f>
        <v>El Salvador</v>
      </c>
      <c r="D562" s="44" t="str">
        <f>+_xlfn.XLOOKUP(Tabla6[[#This Row],[ID CLIENTE]],'RESUMEN CLIENTES'!D:D,'RESUMEN CLIENTES'!M:M)</f>
        <v>OK</v>
      </c>
      <c r="E562" s="72">
        <f>+_xlfn.XLOOKUP(Tabla6[[#This Row],[NOMBRE]],'RESUMEN CLIENTES'!A:A,'RESUMEN CLIENTES'!X:X)</f>
        <v>0.7</v>
      </c>
      <c r="F562" s="72">
        <f>+_xlfn.XLOOKUP(Tabla6[[#This Row],[ID CLIENTE]],'RESUMEN CLIENTES'!D:D,'RESUMEN CLIENTES'!W:W)</f>
        <v>0</v>
      </c>
      <c r="G562" s="17">
        <v>45960</v>
      </c>
      <c r="H562" s="44" t="s">
        <v>81</v>
      </c>
      <c r="I562" s="2">
        <v>500</v>
      </c>
      <c r="J562" s="20" t="s">
        <v>1282</v>
      </c>
      <c r="K562" t="s">
        <v>1283</v>
      </c>
      <c r="L562" s="44" t="str" cm="1">
        <f t="array" ref="L562">+_xlfn.IFS(COUNTIF(INGRESOS!E:E,Tabla6[[#This Row],[ID FACTURA]])=1,"PAGADA",Tabla6[[#This Row],[ID FACTURA]]&lt;&gt;0,"EMITIDA",Tabla6[[#This Row],[ID FACTURA]]=0,"POR EMITIR")</f>
        <v>PAGADA</v>
      </c>
      <c r="M562" s="55">
        <f>+IF(Tabla6[[#This Row],[ESTADO FACTURA]]="PAGADA",Tabla6[[#This Row],[FECHA]]-_xlfn.XLOOKUP(Tabla6[[#This Row],[N° FACTURA]],INGRESOS!F:F,INGRESOS!A:A),"-")</f>
        <v>2</v>
      </c>
      <c r="N562" s="2"/>
      <c r="O562"/>
    </row>
    <row r="563" spans="1:15" ht="14.75" customHeight="1">
      <c r="A563" s="320" t="s">
        <v>350</v>
      </c>
      <c r="B563" t="str">
        <f>+_xlfn.XLOOKUP(Tabla6[[#This Row],[ID CLIENTE]],'RESUMEN CLIENTES'!D:D,'RESUMEN CLIENTES'!A:A)</f>
        <v>Rainier Guerrero</v>
      </c>
      <c r="C563" t="str">
        <f>+_xlfn.XLOOKUP(Tabla6[[#This Row],[ID CLIENTE]],'RESUMEN CLIENTES'!D:D,'RESUMEN CLIENTES'!C:C)</f>
        <v>México</v>
      </c>
      <c r="D563" s="44" t="str">
        <f>+_xlfn.XLOOKUP(Tabla6[[#This Row],[ID CLIENTE]],'RESUMEN CLIENTES'!D:D,'RESUMEN CLIENTES'!M:M)</f>
        <v>OK</v>
      </c>
      <c r="E563" s="72">
        <f>+_xlfn.XLOOKUP(Tabla6[[#This Row],[NOMBRE]],'RESUMEN CLIENTES'!A:A,'RESUMEN CLIENTES'!X:X)</f>
        <v>-0.3</v>
      </c>
      <c r="F563" s="72">
        <f>+_xlfn.XLOOKUP(Tabla6[[#This Row],[ID CLIENTE]],'RESUMEN CLIENTES'!D:D,'RESUMEN CLIENTES'!W:W)</f>
        <v>1</v>
      </c>
      <c r="G563" s="17">
        <v>45960</v>
      </c>
      <c r="H563" s="44" t="s">
        <v>81</v>
      </c>
      <c r="I563" s="2">
        <v>1000</v>
      </c>
      <c r="J563" s="20" t="s">
        <v>1284</v>
      </c>
      <c r="K563" t="s">
        <v>1285</v>
      </c>
      <c r="L563" s="44" t="str" cm="1">
        <f t="array" ref="L563">+_xlfn.IFS(COUNTIF(INGRESOS!E:E,Tabla6[[#This Row],[ID FACTURA]])=1,"PAGADA",Tabla6[[#This Row],[ID FACTURA]]&lt;&gt;0,"EMITIDA",Tabla6[[#This Row],[ID FACTURA]]=0,"POR EMITIR")</f>
        <v>PAGADA</v>
      </c>
      <c r="M563" s="55">
        <f>+IF(Tabla6[[#This Row],[ESTADO FACTURA]]="PAGADA",Tabla6[[#This Row],[FECHA]]-_xlfn.XLOOKUP(Tabla6[[#This Row],[N° FACTURA]],INGRESOS!F:F,INGRESOS!A:A),"-")</f>
        <v>0</v>
      </c>
      <c r="N563" s="2"/>
      <c r="O563"/>
    </row>
    <row r="564" spans="1:15" ht="14.75" customHeight="1">
      <c r="A564" s="320" t="s">
        <v>527</v>
      </c>
      <c r="B564" t="str">
        <f>+_xlfn.XLOOKUP(Tabla6[[#This Row],[ID CLIENTE]],'RESUMEN CLIENTES'!D:D,'RESUMEN CLIENTES'!A:A)</f>
        <v>Angie Pérez Cáceres</v>
      </c>
      <c r="C564" t="str">
        <f>+_xlfn.XLOOKUP(Tabla6[[#This Row],[ID CLIENTE]],'RESUMEN CLIENTES'!D:D,'RESUMEN CLIENTES'!C:C)</f>
        <v>Perú</v>
      </c>
      <c r="D564" s="44" t="str">
        <f>+_xlfn.XLOOKUP(Tabla6[[#This Row],[ID CLIENTE]],'RESUMEN CLIENTES'!D:D,'RESUMEN CLIENTES'!M:M)</f>
        <v>OK</v>
      </c>
      <c r="E564" s="72">
        <f>+_xlfn.XLOOKUP(Tabla6[[#This Row],[NOMBRE]],'RESUMEN CLIENTES'!A:A,'RESUMEN CLIENTES'!X:X)</f>
        <v>1.625</v>
      </c>
      <c r="F564" s="72">
        <f>+_xlfn.XLOOKUP(Tabla6[[#This Row],[ID CLIENTE]],'RESUMEN CLIENTES'!D:D,'RESUMEN CLIENTES'!W:W)</f>
        <v>0</v>
      </c>
      <c r="G564" s="17">
        <v>45961</v>
      </c>
      <c r="H564" s="44" t="s">
        <v>81</v>
      </c>
      <c r="I564" s="2">
        <v>1000</v>
      </c>
      <c r="J564" s="20" t="s">
        <v>1286</v>
      </c>
      <c r="K564" t="s">
        <v>1287</v>
      </c>
      <c r="L564" s="44" t="str" cm="1">
        <f t="array" ref="L564">+_xlfn.IFS(COUNTIF(INGRESOS!E:E,Tabla6[[#This Row],[ID FACTURA]])=1,"PAGADA",Tabla6[[#This Row],[ID FACTURA]]&lt;&gt;0,"EMITIDA",Tabla6[[#This Row],[ID FACTURA]]=0,"POR EMITIR")</f>
        <v>PAGADA</v>
      </c>
      <c r="M564" s="55">
        <f>+IF(Tabla6[[#This Row],[ESTADO FACTURA]]="PAGADA",Tabla6[[#This Row],[FECHA]]-_xlfn.XLOOKUP(Tabla6[[#This Row],[N° FACTURA]],INGRESOS!F:F,INGRESOS!A:A),"-")</f>
        <v>1</v>
      </c>
      <c r="N564" s="2"/>
      <c r="O564"/>
    </row>
    <row r="565" spans="1:15" ht="14.75" customHeight="1">
      <c r="A565" s="320" t="s">
        <v>468</v>
      </c>
      <c r="B565" t="str">
        <f>+_xlfn.XLOOKUP(Tabla6[[#This Row],[ID CLIENTE]],'RESUMEN CLIENTES'!D:D,'RESUMEN CLIENTES'!A:A)</f>
        <v>Julian Medina</v>
      </c>
      <c r="C565" t="str">
        <f>+_xlfn.XLOOKUP(Tabla6[[#This Row],[ID CLIENTE]],'RESUMEN CLIENTES'!D:D,'RESUMEN CLIENTES'!C:C)</f>
        <v>Ecuador</v>
      </c>
      <c r="D565" s="44" t="str">
        <f>+_xlfn.XLOOKUP(Tabla6[[#This Row],[ID CLIENTE]],'RESUMEN CLIENTES'!D:D,'RESUMEN CLIENTES'!M:M)</f>
        <v>OK</v>
      </c>
      <c r="E565" s="72">
        <f>+_xlfn.XLOOKUP(Tabla6[[#This Row],[NOMBRE]],'RESUMEN CLIENTES'!A:A,'RESUMEN CLIENTES'!X:X)</f>
        <v>-0.5</v>
      </c>
      <c r="F565" s="72">
        <f>+_xlfn.XLOOKUP(Tabla6[[#This Row],[ID CLIENTE]],'RESUMEN CLIENTES'!D:D,'RESUMEN CLIENTES'!W:W)</f>
        <v>0</v>
      </c>
      <c r="G565" s="17">
        <v>45961</v>
      </c>
      <c r="H565" s="44" t="s">
        <v>81</v>
      </c>
      <c r="I565" s="2">
        <v>3750</v>
      </c>
      <c r="J565" s="20" t="s">
        <v>1288</v>
      </c>
      <c r="K565" t="s">
        <v>1289</v>
      </c>
      <c r="L565" s="44" t="str" cm="1">
        <f t="array" ref="L565">+_xlfn.IFS(COUNTIF(INGRESOS!E:E,Tabla6[[#This Row],[ID FACTURA]])=1,"PAGADA",Tabla6[[#This Row],[ID FACTURA]]&lt;&gt;0,"EMITIDA",Tabla6[[#This Row],[ID FACTURA]]=0,"POR EMITIR")</f>
        <v>PAGADA</v>
      </c>
      <c r="M565" s="55">
        <f>+IF(Tabla6[[#This Row],[ESTADO FACTURA]]="PAGADA",Tabla6[[#This Row],[FECHA]]-_xlfn.XLOOKUP(Tabla6[[#This Row],[N° FACTURA]],INGRESOS!F:F,INGRESOS!A:A),"-")</f>
        <v>-1</v>
      </c>
      <c r="N565" s="2"/>
      <c r="O565"/>
    </row>
    <row r="566" spans="1:15" ht="14.75" customHeight="1">
      <c r="A566" s="320" t="s">
        <v>1178</v>
      </c>
      <c r="B566" t="str">
        <f>+_xlfn.XLOOKUP(Tabla6[[#This Row],[ID CLIENTE]],'RESUMEN CLIENTES'!D:D,'RESUMEN CLIENTES'!A:A)</f>
        <v>Daniel Flores</v>
      </c>
      <c r="C566" t="str">
        <f>+_xlfn.XLOOKUP(Tabla6[[#This Row],[ID CLIENTE]],'RESUMEN CLIENTES'!D:D,'RESUMEN CLIENTES'!C:C)</f>
        <v>Ecuador</v>
      </c>
      <c r="D566" s="44" t="str">
        <f>+_xlfn.XLOOKUP(Tabla6[[#This Row],[ID CLIENTE]],'RESUMEN CLIENTES'!D:D,'RESUMEN CLIENTES'!M:M)</f>
        <v>OK</v>
      </c>
      <c r="E566" s="72">
        <f>+_xlfn.XLOOKUP(Tabla6[[#This Row],[NOMBRE]],'RESUMEN CLIENTES'!A:A,'RESUMEN CLIENTES'!X:X)</f>
        <v>3.8333333333333335</v>
      </c>
      <c r="F566" s="72">
        <f>+_xlfn.XLOOKUP(Tabla6[[#This Row],[ID CLIENTE]],'RESUMEN CLIENTES'!D:D,'RESUMEN CLIENTES'!W:W)</f>
        <v>1</v>
      </c>
      <c r="G566" s="17">
        <v>45962</v>
      </c>
      <c r="H566" s="44" t="s">
        <v>81</v>
      </c>
      <c r="I566" s="2">
        <v>2500</v>
      </c>
      <c r="J566" s="20" t="s">
        <v>1290</v>
      </c>
      <c r="K566" t="s">
        <v>1291</v>
      </c>
      <c r="L566" s="44" t="str" cm="1">
        <f t="array" ref="L566">+_xlfn.IFS(COUNTIF(INGRESOS!E:E,Tabla6[[#This Row],[ID FACTURA]])=1,"PAGADA",Tabla6[[#This Row],[ID FACTURA]]&lt;&gt;0,"EMITIDA",Tabla6[[#This Row],[ID FACTURA]]=0,"POR EMITIR")</f>
        <v>PAGADA</v>
      </c>
      <c r="M566" s="55">
        <f>+IF(Tabla6[[#This Row],[ESTADO FACTURA]]="PAGADA",Tabla6[[#This Row],[FECHA]]-_xlfn.XLOOKUP(Tabla6[[#This Row],[N° FACTURA]],INGRESOS!F:F,INGRESOS!A:A),"-")</f>
        <v>-4</v>
      </c>
      <c r="N566" s="2"/>
      <c r="O566"/>
    </row>
    <row r="567" spans="1:15" ht="14.75" customHeight="1">
      <c r="A567" s="320" t="s">
        <v>744</v>
      </c>
      <c r="B567" t="str">
        <f>+_xlfn.XLOOKUP(Tabla6[[#This Row],[ID CLIENTE]],'RESUMEN CLIENTES'!D:D,'RESUMEN CLIENTES'!A:A)</f>
        <v>Martin Esteban Orellana Dominguez</v>
      </c>
      <c r="C567" t="str">
        <f>+_xlfn.XLOOKUP(Tabla6[[#This Row],[ID CLIENTE]],'RESUMEN CLIENTES'!D:D,'RESUMEN CLIENTES'!C:C)</f>
        <v>Ecuador</v>
      </c>
      <c r="D567" s="44" t="str">
        <f>+_xlfn.XLOOKUP(Tabla6[[#This Row],[ID CLIENTE]],'RESUMEN CLIENTES'!D:D,'RESUMEN CLIENTES'!M:M)</f>
        <v>OK</v>
      </c>
      <c r="E567" s="72">
        <f>+_xlfn.XLOOKUP(Tabla6[[#This Row],[NOMBRE]],'RESUMEN CLIENTES'!A:A,'RESUMEN CLIENTES'!X:X)</f>
        <v>-1.1428571428571428</v>
      </c>
      <c r="F567" s="72">
        <f>+_xlfn.XLOOKUP(Tabla6[[#This Row],[ID CLIENTE]],'RESUMEN CLIENTES'!D:D,'RESUMEN CLIENTES'!W:W)</f>
        <v>1</v>
      </c>
      <c r="G567" s="17">
        <v>45962</v>
      </c>
      <c r="H567" s="44" t="s">
        <v>81</v>
      </c>
      <c r="I567" s="2">
        <v>1453</v>
      </c>
      <c r="J567" s="20" t="s">
        <v>1292</v>
      </c>
      <c r="K567" t="s">
        <v>1293</v>
      </c>
      <c r="L567" s="44" t="str" cm="1">
        <f t="array" ref="L567">+_xlfn.IFS(COUNTIF(INGRESOS!E:E,Tabla6[[#This Row],[ID FACTURA]])=1,"PAGADA",Tabla6[[#This Row],[ID FACTURA]]&lt;&gt;0,"EMITIDA",Tabla6[[#This Row],[ID FACTURA]]=0,"POR EMITIR")</f>
        <v>PAGADA</v>
      </c>
      <c r="M567" s="55">
        <f>+IF(Tabla6[[#This Row],[ESTADO FACTURA]]="PAGADA",Tabla6[[#This Row],[FECHA]]-_xlfn.XLOOKUP(Tabla6[[#This Row],[N° FACTURA]],INGRESOS!F:F,INGRESOS!A:A),"-")</f>
        <v>-3</v>
      </c>
      <c r="N567" s="2"/>
      <c r="O567"/>
    </row>
    <row r="568" spans="1:15" ht="14.75" customHeight="1">
      <c r="A568" s="320" t="s">
        <v>952</v>
      </c>
      <c r="B568" t="str">
        <f>+_xlfn.XLOOKUP(Tabla6[[#This Row],[ID CLIENTE]],'RESUMEN CLIENTES'!D:D,'RESUMEN CLIENTES'!A:A)</f>
        <v>Fernando José Fuentes Bárcenas</v>
      </c>
      <c r="C568" t="str">
        <f>+_xlfn.XLOOKUP(Tabla6[[#This Row],[ID CLIENTE]],'RESUMEN CLIENTES'!D:D,'RESUMEN CLIENTES'!C:C)</f>
        <v>El Salvador</v>
      </c>
      <c r="D568" s="44" t="str">
        <f>+_xlfn.XLOOKUP(Tabla6[[#This Row],[ID CLIENTE]],'RESUMEN CLIENTES'!D:D,'RESUMEN CLIENTES'!M:M)</f>
        <v>ELIMINADO</v>
      </c>
      <c r="E568" s="72">
        <f>+_xlfn.XLOOKUP(Tabla6[[#This Row],[NOMBRE]],'RESUMEN CLIENTES'!A:A,'RESUMEN CLIENTES'!X:X)</f>
        <v>0.4</v>
      </c>
      <c r="F568" s="72">
        <f>+_xlfn.XLOOKUP(Tabla6[[#This Row],[ID CLIENTE]],'RESUMEN CLIENTES'!D:D,'RESUMEN CLIENTES'!W:W)</f>
        <v>1</v>
      </c>
      <c r="G568" s="17">
        <v>45963</v>
      </c>
      <c r="H568" s="44" t="s">
        <v>81</v>
      </c>
      <c r="I568" s="2">
        <v>1000</v>
      </c>
      <c r="J568" s="20" t="s">
        <v>1294</v>
      </c>
      <c r="K568" t="s">
        <v>1295</v>
      </c>
      <c r="L568" s="44" t="str" cm="1">
        <f t="array" ref="L568">+_xlfn.IFS(COUNTIF(INGRESOS!E:E,Tabla6[[#This Row],[ID FACTURA]])=1,"PAGADA",Tabla6[[#This Row],[ID FACTURA]]&lt;&gt;0,"EMITIDA",Tabla6[[#This Row],[ID FACTURA]]=0,"POR EMITIR")</f>
        <v>PAGADA</v>
      </c>
      <c r="M568" s="55">
        <f>+IF(Tabla6[[#This Row],[ESTADO FACTURA]]="PAGADA",Tabla6[[#This Row],[FECHA]]-_xlfn.XLOOKUP(Tabla6[[#This Row],[N° FACTURA]],INGRESOS!F:F,INGRESOS!A:A),"-")</f>
        <v>2</v>
      </c>
      <c r="N568" s="2"/>
      <c r="O568"/>
    </row>
    <row r="569" spans="1:15" ht="14.75" customHeight="1">
      <c r="A569" s="320" t="s">
        <v>695</v>
      </c>
      <c r="B569" t="str">
        <f>+_xlfn.XLOOKUP(Tabla6[[#This Row],[ID CLIENTE]],'RESUMEN CLIENTES'!D:D,'RESUMEN CLIENTES'!A:A)</f>
        <v>Olguer Ariel Pruna Herrera</v>
      </c>
      <c r="C569" t="str">
        <f>+_xlfn.XLOOKUP(Tabla6[[#This Row],[ID CLIENTE]],'RESUMEN CLIENTES'!D:D,'RESUMEN CLIENTES'!C:C)</f>
        <v>Ecuador</v>
      </c>
      <c r="D569" s="44" t="str">
        <f>+_xlfn.XLOOKUP(Tabla6[[#This Row],[ID CLIENTE]],'RESUMEN CLIENTES'!D:D,'RESUMEN CLIENTES'!M:M)</f>
        <v>OK</v>
      </c>
      <c r="E569" s="72">
        <f>+_xlfn.XLOOKUP(Tabla6[[#This Row],[NOMBRE]],'RESUMEN CLIENTES'!A:A,'RESUMEN CLIENTES'!X:X)</f>
        <v>0.25</v>
      </c>
      <c r="F569" s="72">
        <f>+_xlfn.XLOOKUP(Tabla6[[#This Row],[ID CLIENTE]],'RESUMEN CLIENTES'!D:D,'RESUMEN CLIENTES'!W:W)</f>
        <v>1</v>
      </c>
      <c r="G569" s="17">
        <v>45963</v>
      </c>
      <c r="H569" s="44" t="s">
        <v>81</v>
      </c>
      <c r="I569" s="2">
        <v>1000</v>
      </c>
      <c r="J569" s="20" t="s">
        <v>1296</v>
      </c>
      <c r="K569" t="s">
        <v>1297</v>
      </c>
      <c r="L569" s="44" t="str" cm="1">
        <f t="array" ref="L569">+_xlfn.IFS(COUNTIF(INGRESOS!E:E,Tabla6[[#This Row],[ID FACTURA]])=1,"PAGADA",Tabla6[[#This Row],[ID FACTURA]]&lt;&gt;0,"EMITIDA",Tabla6[[#This Row],[ID FACTURA]]=0,"POR EMITIR")</f>
        <v>PAGADA</v>
      </c>
      <c r="M569" s="55">
        <f>+IF(Tabla6[[#This Row],[ESTADO FACTURA]]="PAGADA",Tabla6[[#This Row],[FECHA]]-_xlfn.XLOOKUP(Tabla6[[#This Row],[N° FACTURA]],INGRESOS!F:F,INGRESOS!A:A),"-")</f>
        <v>0</v>
      </c>
      <c r="N569" s="2"/>
      <c r="O569"/>
    </row>
    <row r="570" spans="1:15" ht="14.75" customHeight="1">
      <c r="A570" s="320" t="s">
        <v>1248</v>
      </c>
      <c r="B570" t="str">
        <f>+_xlfn.XLOOKUP(Tabla6[[#This Row],[ID CLIENTE]],'RESUMEN CLIENTES'!D:D,'RESUMEN CLIENTES'!A:A)</f>
        <v>Emily Vanessa Tapia Villalobos</v>
      </c>
      <c r="C570" t="str">
        <f>+_xlfn.XLOOKUP(Tabla6[[#This Row],[ID CLIENTE]],'RESUMEN CLIENTES'!D:D,'RESUMEN CLIENTES'!C:C)</f>
        <v>Chile</v>
      </c>
      <c r="D570" s="44" t="str">
        <f>+_xlfn.XLOOKUP(Tabla6[[#This Row],[ID CLIENTE]],'RESUMEN CLIENTES'!D:D,'RESUMEN CLIENTES'!M:M)</f>
        <v>OK</v>
      </c>
      <c r="E570" s="71">
        <f>+_xlfn.XLOOKUP(Tabla6[[#This Row],[NOMBRE]],'RESUMEN CLIENTES'!A:A,'RESUMEN CLIENTES'!X:X)</f>
        <v>0.33333333333333331</v>
      </c>
      <c r="F570" s="71">
        <f>+_xlfn.XLOOKUP(Tabla6[[#This Row],[ID CLIENTE]],'RESUMEN CLIENTES'!D:D,'RESUMEN CLIENTES'!W:W)</f>
        <v>0</v>
      </c>
      <c r="G570" s="17">
        <v>45964</v>
      </c>
      <c r="H570" s="44" t="s">
        <v>81</v>
      </c>
      <c r="I570" s="2">
        <v>900</v>
      </c>
      <c r="J570" s="20" t="s">
        <v>1298</v>
      </c>
      <c r="K570" t="s">
        <v>1299</v>
      </c>
      <c r="L570" s="44" t="str" cm="1">
        <f t="array" ref="L570">+_xlfn.IFS(COUNTIF(INGRESOS!E:E,Tabla6[[#This Row],[ID FACTURA]])=1,"PAGADA",Tabla6[[#This Row],[ID FACTURA]]&lt;&gt;0,"EMITIDA",Tabla6[[#This Row],[ID FACTURA]]=0,"POR EMITIR")</f>
        <v>PAGADA</v>
      </c>
      <c r="M570" s="55">
        <f>+IF(Tabla6[[#This Row],[ESTADO FACTURA]]="PAGADA",Tabla6[[#This Row],[FECHA]]-_xlfn.XLOOKUP(Tabla6[[#This Row],[N° FACTURA]],INGRESOS!F:F,INGRESOS!A:A),"-")</f>
        <v>0</v>
      </c>
      <c r="N570" s="2"/>
      <c r="O570" s="2"/>
    </row>
    <row r="571" spans="1:15" ht="14.75" customHeight="1">
      <c r="A571" s="320" t="s">
        <v>1251</v>
      </c>
      <c r="B571" t="str">
        <f>+_xlfn.XLOOKUP(Tabla6[[#This Row],[ID CLIENTE]],'RESUMEN CLIENTES'!D:D,'RESUMEN CLIENTES'!A:A)</f>
        <v>Erick Ernesto Angulo Campos</v>
      </c>
      <c r="C571" t="str">
        <f>+_xlfn.XLOOKUP(Tabla6[[#This Row],[ID CLIENTE]],'RESUMEN CLIENTES'!D:D,'RESUMEN CLIENTES'!C:C)</f>
        <v>Chile</v>
      </c>
      <c r="D571" s="44" t="str">
        <f>+_xlfn.XLOOKUP(Tabla6[[#This Row],[ID CLIENTE]],'RESUMEN CLIENTES'!D:D,'RESUMEN CLIENTES'!M:M)</f>
        <v>OK</v>
      </c>
      <c r="E571" s="71">
        <f>+_xlfn.XLOOKUP(Tabla6[[#This Row],[NOMBRE]],'RESUMEN CLIENTES'!A:A,'RESUMEN CLIENTES'!X:X)</f>
        <v>-0.66666666666666663</v>
      </c>
      <c r="F571" s="71">
        <f>+_xlfn.XLOOKUP(Tabla6[[#This Row],[ID CLIENTE]],'RESUMEN CLIENTES'!D:D,'RESUMEN CLIENTES'!W:W)</f>
        <v>0</v>
      </c>
      <c r="G571" s="17">
        <v>45964</v>
      </c>
      <c r="H571" s="44" t="s">
        <v>81</v>
      </c>
      <c r="I571" s="2">
        <v>900</v>
      </c>
      <c r="J571" s="20" t="s">
        <v>1300</v>
      </c>
      <c r="K571" t="s">
        <v>1301</v>
      </c>
      <c r="L571" s="44" t="str" cm="1">
        <f t="array" ref="L571">+_xlfn.IFS(COUNTIF(INGRESOS!E:E,Tabla6[[#This Row],[ID FACTURA]])=1,"PAGADA",Tabla6[[#This Row],[ID FACTURA]]&lt;&gt;0,"EMITIDA",Tabla6[[#This Row],[ID FACTURA]]=0,"POR EMITIR")</f>
        <v>PAGADA</v>
      </c>
      <c r="M571" s="55">
        <f>+IF(Tabla6[[#This Row],[ESTADO FACTURA]]="PAGADA",Tabla6[[#This Row],[FECHA]]-_xlfn.XLOOKUP(Tabla6[[#This Row],[N° FACTURA]],INGRESOS!F:F,INGRESOS!A:A),"-")</f>
        <v>0</v>
      </c>
      <c r="N571" s="2"/>
      <c r="O571"/>
    </row>
    <row r="572" spans="1:15" ht="14.75" customHeight="1">
      <c r="A572" s="320" t="s">
        <v>258</v>
      </c>
      <c r="B572" t="str">
        <f>+_xlfn.XLOOKUP(Tabla6[[#This Row],[ID CLIENTE]],'RESUMEN CLIENTES'!D:D,'RESUMEN CLIENTES'!A:A)</f>
        <v>Maria Laura Rios Pino</v>
      </c>
      <c r="C572" t="str">
        <f>+_xlfn.XLOOKUP(Tabla6[[#This Row],[ID CLIENTE]],'RESUMEN CLIENTES'!D:D,'RESUMEN CLIENTES'!C:C)</f>
        <v>Perú</v>
      </c>
      <c r="D572" s="44" t="str">
        <f>+_xlfn.XLOOKUP(Tabla6[[#This Row],[ID CLIENTE]],'RESUMEN CLIENTES'!D:D,'RESUMEN CLIENTES'!M:M)</f>
        <v>OK</v>
      </c>
      <c r="E572" s="72">
        <f>+_xlfn.XLOOKUP(Tabla6[[#This Row],[NOMBRE]],'RESUMEN CLIENTES'!A:A,'RESUMEN CLIENTES'!X:X)</f>
        <v>1.4545454545454546</v>
      </c>
      <c r="F572" s="72">
        <f>+_xlfn.XLOOKUP(Tabla6[[#This Row],[ID CLIENTE]],'RESUMEN CLIENTES'!D:D,'RESUMEN CLIENTES'!W:W)</f>
        <v>0</v>
      </c>
      <c r="G572" s="17">
        <v>45964</v>
      </c>
      <c r="H572" s="44" t="s">
        <v>81</v>
      </c>
      <c r="I572" s="19">
        <v>750</v>
      </c>
      <c r="J572" s="20" t="s">
        <v>1302</v>
      </c>
      <c r="K572" t="s">
        <v>1303</v>
      </c>
      <c r="L572" s="44" t="str" cm="1">
        <f t="array" ref="L572">+_xlfn.IFS(COUNTIF(INGRESOS!E:E,Tabla6[[#This Row],[ID FACTURA]])=1,"PAGADA",Tabla6[[#This Row],[ID FACTURA]]&lt;&gt;0,"EMITIDA",Tabla6[[#This Row],[ID FACTURA]]=0,"POR EMITIR")</f>
        <v>PAGADA</v>
      </c>
      <c r="M572" s="55">
        <f>+IF(Tabla6[[#This Row],[ESTADO FACTURA]]="PAGADA",Tabla6[[#This Row],[FECHA]]-_xlfn.XLOOKUP(Tabla6[[#This Row],[N° FACTURA]],INGRESOS!F:F,INGRESOS!A:A),"-")</f>
        <v>3</v>
      </c>
      <c r="N572" s="19"/>
      <c r="O572"/>
    </row>
    <row r="573" spans="1:15" ht="14.75" customHeight="1">
      <c r="A573" s="320" t="s">
        <v>407</v>
      </c>
      <c r="B573" t="str">
        <f>+_xlfn.XLOOKUP(Tabla6[[#This Row],[ID CLIENTE]],'RESUMEN CLIENTES'!D:D,'RESUMEN CLIENTES'!A:A)</f>
        <v>Mayra Leonor Rivera Paico</v>
      </c>
      <c r="C573" t="str">
        <f>+_xlfn.XLOOKUP(Tabla6[[#This Row],[ID CLIENTE]],'RESUMEN CLIENTES'!D:D,'RESUMEN CLIENTES'!C:C)</f>
        <v>Perú</v>
      </c>
      <c r="D573" s="44" t="str">
        <f>+_xlfn.XLOOKUP(Tabla6[[#This Row],[ID CLIENTE]],'RESUMEN CLIENTES'!D:D,'RESUMEN CLIENTES'!M:M)</f>
        <v>OK</v>
      </c>
      <c r="E573" s="72">
        <f>+_xlfn.XLOOKUP(Tabla6[[#This Row],[NOMBRE]],'RESUMEN CLIENTES'!A:A,'RESUMEN CLIENTES'!X:X)</f>
        <v>-0.22222222222222221</v>
      </c>
      <c r="F573" s="72">
        <f>+_xlfn.XLOOKUP(Tabla6[[#This Row],[ID CLIENTE]],'RESUMEN CLIENTES'!D:D,'RESUMEN CLIENTES'!W:W)</f>
        <v>0</v>
      </c>
      <c r="G573" s="17">
        <v>45965</v>
      </c>
      <c r="H573" s="44" t="s">
        <v>81</v>
      </c>
      <c r="I573" s="2">
        <v>1000</v>
      </c>
      <c r="J573" s="20" t="s">
        <v>1304</v>
      </c>
      <c r="K573" t="s">
        <v>1305</v>
      </c>
      <c r="L573" s="44" t="str" cm="1">
        <f t="array" ref="L573">+_xlfn.IFS(COUNTIF(INGRESOS!E:E,Tabla6[[#This Row],[ID FACTURA]])=1,"PAGADA",Tabla6[[#This Row],[ID FACTURA]]&lt;&gt;0,"EMITIDA",Tabla6[[#This Row],[ID FACTURA]]=0,"POR EMITIR")</f>
        <v>PAGADA</v>
      </c>
      <c r="M573" s="55">
        <f>+IF(Tabla6[[#This Row],[ESTADO FACTURA]]="PAGADA",Tabla6[[#This Row],[FECHA]]-_xlfn.XLOOKUP(Tabla6[[#This Row],[N° FACTURA]],INGRESOS!F:F,INGRESOS!A:A),"-")</f>
        <v>0</v>
      </c>
      <c r="N573" s="2"/>
      <c r="O573"/>
    </row>
    <row r="574" spans="1:15" ht="14.75" customHeight="1">
      <c r="A574" s="320" t="s">
        <v>447</v>
      </c>
      <c r="B574" t="str">
        <f>+_xlfn.XLOOKUP(Tabla6[[#This Row],[ID CLIENTE]],'RESUMEN CLIENTES'!D:D,'RESUMEN CLIENTES'!A:A)</f>
        <v>Yefry Onil Santana Marte</v>
      </c>
      <c r="C574" t="str">
        <f>+_xlfn.XLOOKUP(Tabla6[[#This Row],[ID CLIENTE]],'RESUMEN CLIENTES'!D:D,'RESUMEN CLIENTES'!C:C)</f>
        <v>República Dominicana</v>
      </c>
      <c r="D574" s="44" t="str">
        <f>+_xlfn.XLOOKUP(Tabla6[[#This Row],[ID CLIENTE]],'RESUMEN CLIENTES'!D:D,'RESUMEN CLIENTES'!M:M)</f>
        <v>OK</v>
      </c>
      <c r="E574" s="71">
        <f>+_xlfn.XLOOKUP(Tabla6[[#This Row],[NOMBRE]],'RESUMEN CLIENTES'!A:A,'RESUMEN CLIENTES'!X:X)</f>
        <v>-0.90909090909090906</v>
      </c>
      <c r="F574" s="71">
        <f>+_xlfn.XLOOKUP(Tabla6[[#This Row],[ID CLIENTE]],'RESUMEN CLIENTES'!D:D,'RESUMEN CLIENTES'!W:W)</f>
        <v>0</v>
      </c>
      <c r="G574" s="17">
        <v>45965</v>
      </c>
      <c r="H574" s="44" t="s">
        <v>81</v>
      </c>
      <c r="I574" s="2">
        <v>625</v>
      </c>
      <c r="J574" s="20" t="s">
        <v>1306</v>
      </c>
      <c r="K574" t="s">
        <v>1307</v>
      </c>
      <c r="L574" s="44" t="str" cm="1">
        <f t="array" ref="L574">+_xlfn.IFS(COUNTIF(INGRESOS!E:E,Tabla6[[#This Row],[ID FACTURA]])=1,"PAGADA",Tabla6[[#This Row],[ID FACTURA]]&lt;&gt;0,"EMITIDA",Tabla6[[#This Row],[ID FACTURA]]=0,"POR EMITIR")</f>
        <v>PAGADA</v>
      </c>
      <c r="M574" s="55">
        <f>+IF(Tabla6[[#This Row],[ESTADO FACTURA]]="PAGADA",Tabla6[[#This Row],[FECHA]]-_xlfn.XLOOKUP(Tabla6[[#This Row],[N° FACTURA]],INGRESOS!F:F,INGRESOS!A:A),"-")</f>
        <v>-1</v>
      </c>
      <c r="N574" s="2"/>
      <c r="O574"/>
    </row>
    <row r="575" spans="1:15" ht="14.75" customHeight="1">
      <c r="A575" s="320" t="s">
        <v>447</v>
      </c>
      <c r="B575" t="str">
        <f>+_xlfn.XLOOKUP(Tabla6[[#This Row],[ID CLIENTE]],'RESUMEN CLIENTES'!D:D,'RESUMEN CLIENTES'!A:A)</f>
        <v>Yefry Onil Santana Marte</v>
      </c>
      <c r="C575" t="str">
        <f>+_xlfn.XLOOKUP(Tabla6[[#This Row],[ID CLIENTE]],'RESUMEN CLIENTES'!D:D,'RESUMEN CLIENTES'!C:C)</f>
        <v>República Dominicana</v>
      </c>
      <c r="D575" s="44" t="str">
        <f>+_xlfn.XLOOKUP(Tabla6[[#This Row],[ID CLIENTE]],'RESUMEN CLIENTES'!D:D,'RESUMEN CLIENTES'!M:M)</f>
        <v>OK</v>
      </c>
      <c r="E575" s="71">
        <f>+_xlfn.XLOOKUP(Tabla6[[#This Row],[NOMBRE]],'RESUMEN CLIENTES'!A:A,'RESUMEN CLIENTES'!X:X)</f>
        <v>-0.90909090909090906</v>
      </c>
      <c r="F575" s="71">
        <f>+_xlfn.XLOOKUP(Tabla6[[#This Row],[ID CLIENTE]],'RESUMEN CLIENTES'!D:D,'RESUMEN CLIENTES'!W:W)</f>
        <v>0</v>
      </c>
      <c r="G575" s="17">
        <v>45965</v>
      </c>
      <c r="H575" s="44" t="s">
        <v>81</v>
      </c>
      <c r="I575" s="2">
        <v>625</v>
      </c>
      <c r="J575" s="20" t="s">
        <v>1308</v>
      </c>
      <c r="K575" t="s">
        <v>1309</v>
      </c>
      <c r="L575" s="44" t="str" cm="1">
        <f t="array" ref="L575">+_xlfn.IFS(COUNTIF(INGRESOS!E:E,Tabla6[[#This Row],[ID FACTURA]])=1,"PAGADA",Tabla6[[#This Row],[ID FACTURA]]&lt;&gt;0,"EMITIDA",Tabla6[[#This Row],[ID FACTURA]]=0,"POR EMITIR")</f>
        <v>PAGADA</v>
      </c>
      <c r="M575" s="55">
        <f>+IF(Tabla6[[#This Row],[ESTADO FACTURA]]="PAGADA",Tabla6[[#This Row],[FECHA]]-_xlfn.XLOOKUP(Tabla6[[#This Row],[N° FACTURA]],INGRESOS!F:F,INGRESOS!A:A),"-")</f>
        <v>-1</v>
      </c>
      <c r="N575" s="2"/>
      <c r="O575"/>
    </row>
    <row r="576" spans="1:15" ht="14.75" customHeight="1">
      <c r="A576" s="320" t="s">
        <v>447</v>
      </c>
      <c r="B576" t="str">
        <f>+_xlfn.XLOOKUP(Tabla6[[#This Row],[ID CLIENTE]],'RESUMEN CLIENTES'!D:D,'RESUMEN CLIENTES'!A:A)</f>
        <v>Yefry Onil Santana Marte</v>
      </c>
      <c r="C576" t="str">
        <f>+_xlfn.XLOOKUP(Tabla6[[#This Row],[ID CLIENTE]],'RESUMEN CLIENTES'!D:D,'RESUMEN CLIENTES'!C:C)</f>
        <v>República Dominicana</v>
      </c>
      <c r="D576" s="44" t="str">
        <f>+_xlfn.XLOOKUP(Tabla6[[#This Row],[ID CLIENTE]],'RESUMEN CLIENTES'!D:D,'RESUMEN CLIENTES'!M:M)</f>
        <v>OK</v>
      </c>
      <c r="E576" s="72">
        <f>+_xlfn.XLOOKUP(Tabla6[[#This Row],[NOMBRE]],'RESUMEN CLIENTES'!A:A,'RESUMEN CLIENTES'!X:X)</f>
        <v>-0.90909090909090906</v>
      </c>
      <c r="F576" s="72">
        <f>+_xlfn.XLOOKUP(Tabla6[[#This Row],[ID CLIENTE]],'RESUMEN CLIENTES'!D:D,'RESUMEN CLIENTES'!W:W)</f>
        <v>0</v>
      </c>
      <c r="G576" s="17">
        <v>45965</v>
      </c>
      <c r="H576" s="44" t="s">
        <v>81</v>
      </c>
      <c r="I576" s="2">
        <v>625</v>
      </c>
      <c r="J576" s="20" t="s">
        <v>1310</v>
      </c>
      <c r="K576" t="s">
        <v>1311</v>
      </c>
      <c r="L576" s="44" t="str" cm="1">
        <f t="array" ref="L576">+_xlfn.IFS(COUNTIF(INGRESOS!E:E,Tabla6[[#This Row],[ID FACTURA]])=1,"PAGADA",Tabla6[[#This Row],[ID FACTURA]]&lt;&gt;0,"EMITIDA",Tabla6[[#This Row],[ID FACTURA]]=0,"POR EMITIR")</f>
        <v>PAGADA</v>
      </c>
      <c r="M576" s="55">
        <f>+IF(Tabla6[[#This Row],[ESTADO FACTURA]]="PAGADA",Tabla6[[#This Row],[FECHA]]-_xlfn.XLOOKUP(Tabla6[[#This Row],[N° FACTURA]],INGRESOS!F:F,INGRESOS!A:A),"-")</f>
        <v>-1</v>
      </c>
      <c r="N576" s="2"/>
      <c r="O576"/>
    </row>
    <row r="577" spans="1:15" ht="14.75" customHeight="1">
      <c r="A577" s="320" t="s">
        <v>165</v>
      </c>
      <c r="B577" t="str">
        <f>+_xlfn.XLOOKUP(Tabla6[[#This Row],[ID CLIENTE]],'RESUMEN CLIENTES'!D:D,'RESUMEN CLIENTES'!A:A)</f>
        <v>Alejandra Leva Vallejo</v>
      </c>
      <c r="C577" t="str">
        <f>+_xlfn.XLOOKUP(Tabla6[[#This Row],[ID CLIENTE]],'RESUMEN CLIENTES'!D:D,'RESUMEN CLIENTES'!C:C)</f>
        <v>México</v>
      </c>
      <c r="D577" s="44" t="str">
        <f>+_xlfn.XLOOKUP(Tabla6[[#This Row],[ID CLIENTE]],'RESUMEN CLIENTES'!D:D,'RESUMEN CLIENTES'!M:M)</f>
        <v>OK</v>
      </c>
      <c r="E577" s="72">
        <f>+_xlfn.XLOOKUP(Tabla6[[#This Row],[NOMBRE]],'RESUMEN CLIENTES'!A:A,'RESUMEN CLIENTES'!X:X)</f>
        <v>0</v>
      </c>
      <c r="F577" s="72">
        <f>+_xlfn.XLOOKUP(Tabla6[[#This Row],[ID CLIENTE]],'RESUMEN CLIENTES'!D:D,'RESUMEN CLIENTES'!W:W)</f>
        <v>1</v>
      </c>
      <c r="G577" s="17">
        <v>45966</v>
      </c>
      <c r="H577" s="44" t="s">
        <v>81</v>
      </c>
      <c r="I577" s="2">
        <v>1000</v>
      </c>
      <c r="J577" s="20" t="s">
        <v>1312</v>
      </c>
      <c r="K577" t="s">
        <v>1313</v>
      </c>
      <c r="L577" s="44" t="str" cm="1">
        <f t="array" ref="L577">+_xlfn.IFS(COUNTIF(INGRESOS!E:E,Tabla6[[#This Row],[ID FACTURA]])=1,"PAGADA",Tabla6[[#This Row],[ID FACTURA]]&lt;&gt;0,"EMITIDA",Tabla6[[#This Row],[ID FACTURA]]=0,"POR EMITIR")</f>
        <v>PAGADA</v>
      </c>
      <c r="M577" s="55">
        <f>+IF(Tabla6[[#This Row],[ESTADO FACTURA]]="PAGADA",Tabla6[[#This Row],[FECHA]]-_xlfn.XLOOKUP(Tabla6[[#This Row],[N° FACTURA]],INGRESOS!F:F,INGRESOS!A:A),"-")</f>
        <v>-1</v>
      </c>
      <c r="N577" s="2"/>
      <c r="O577"/>
    </row>
    <row r="578" spans="1:15" ht="14.75" customHeight="1">
      <c r="A578" s="320" t="s">
        <v>203</v>
      </c>
      <c r="B578" t="str">
        <f>+_xlfn.XLOOKUP(Tabla6[[#This Row],[ID CLIENTE]],'RESUMEN CLIENTES'!D:D,'RESUMEN CLIENTES'!A:A)</f>
        <v>Bernardita Lobo Zegers</v>
      </c>
      <c r="C578" t="str">
        <f>+_xlfn.XLOOKUP(Tabla6[[#This Row],[ID CLIENTE]],'RESUMEN CLIENTES'!D:D,'RESUMEN CLIENTES'!C:C)</f>
        <v>México</v>
      </c>
      <c r="D578" s="44" t="str">
        <f>+_xlfn.XLOOKUP(Tabla6[[#This Row],[ID CLIENTE]],'RESUMEN CLIENTES'!D:D,'RESUMEN CLIENTES'!M:M)</f>
        <v>OK</v>
      </c>
      <c r="E578" s="72">
        <f>+_xlfn.XLOOKUP(Tabla6[[#This Row],[NOMBRE]],'RESUMEN CLIENTES'!A:A,'RESUMEN CLIENTES'!X:X)</f>
        <v>-0.8</v>
      </c>
      <c r="F578" s="72">
        <f>+_xlfn.XLOOKUP(Tabla6[[#This Row],[ID CLIENTE]],'RESUMEN CLIENTES'!D:D,'RESUMEN CLIENTES'!W:W)</f>
        <v>1</v>
      </c>
      <c r="G578" s="17">
        <v>45966</v>
      </c>
      <c r="H578" s="44" t="s">
        <v>81</v>
      </c>
      <c r="I578" s="2">
        <v>800</v>
      </c>
      <c r="J578" s="20" t="s">
        <v>1314</v>
      </c>
      <c r="K578" t="s">
        <v>1315</v>
      </c>
      <c r="L578" s="44" t="str" cm="1">
        <f t="array" ref="L578">+_xlfn.IFS(COUNTIF(INGRESOS!E:E,Tabla6[[#This Row],[ID FACTURA]])=1,"PAGADA",Tabla6[[#This Row],[ID FACTURA]]&lt;&gt;0,"EMITIDA",Tabla6[[#This Row],[ID FACTURA]]=0,"POR EMITIR")</f>
        <v>PAGADA</v>
      </c>
      <c r="M578" s="55">
        <f>+IF(Tabla6[[#This Row],[ESTADO FACTURA]]="PAGADA",Tabla6[[#This Row],[FECHA]]-_xlfn.XLOOKUP(Tabla6[[#This Row],[N° FACTURA]],INGRESOS!F:F,INGRESOS!A:A),"-")</f>
        <v>-2</v>
      </c>
      <c r="N578" s="2"/>
      <c r="O578"/>
    </row>
    <row r="579" spans="1:15" ht="14.75" customHeight="1">
      <c r="A579" s="320" t="s">
        <v>184</v>
      </c>
      <c r="B579" t="str">
        <f>+_xlfn.XLOOKUP(Tabla6[[#This Row],[ID CLIENTE]],'RESUMEN CLIENTES'!D:D,'RESUMEN CLIENTES'!A:A)</f>
        <v>Boris Andrés Silva Véliz</v>
      </c>
      <c r="C579" t="str">
        <f>+_xlfn.XLOOKUP(Tabla6[[#This Row],[ID CLIENTE]],'RESUMEN CLIENTES'!D:D,'RESUMEN CLIENTES'!C:C)</f>
        <v>Chile</v>
      </c>
      <c r="D579" s="44" t="str">
        <f>+_xlfn.XLOOKUP(Tabla6[[#This Row],[ID CLIENTE]],'RESUMEN CLIENTES'!D:D,'RESUMEN CLIENTES'!M:M)</f>
        <v>OK</v>
      </c>
      <c r="E579" s="72">
        <f>+_xlfn.XLOOKUP(Tabla6[[#This Row],[NOMBRE]],'RESUMEN CLIENTES'!A:A,'RESUMEN CLIENTES'!X:X)</f>
        <v>2.1111111111111112</v>
      </c>
      <c r="F579" s="72">
        <f>+_xlfn.XLOOKUP(Tabla6[[#This Row],[ID CLIENTE]],'RESUMEN CLIENTES'!D:D,'RESUMEN CLIENTES'!W:W)</f>
        <v>0</v>
      </c>
      <c r="G579" s="17">
        <v>45966</v>
      </c>
      <c r="H579" s="44" t="s">
        <v>81</v>
      </c>
      <c r="I579" s="2">
        <f>695-76</f>
        <v>619</v>
      </c>
      <c r="J579" s="20" t="s">
        <v>1316</v>
      </c>
      <c r="K579" t="s">
        <v>1317</v>
      </c>
      <c r="L579" s="44" t="str" cm="1">
        <f t="array" ref="L579">+_xlfn.IFS(COUNTIF(INGRESOS!E:E,Tabla6[[#This Row],[ID FACTURA]])=1,"PAGADA",Tabla6[[#This Row],[ID FACTURA]]&lt;&gt;0,"EMITIDA",Tabla6[[#This Row],[ID FACTURA]]=0,"POR EMITIR")</f>
        <v>PAGADA</v>
      </c>
      <c r="M579" s="55">
        <f>+IF(Tabla6[[#This Row],[ESTADO FACTURA]]="PAGADA",Tabla6[[#This Row],[FECHA]]-_xlfn.XLOOKUP(Tabla6[[#This Row],[N° FACTURA]],INGRESOS!F:F,INGRESOS!A:A),"-")</f>
        <v>2</v>
      </c>
      <c r="N579" s="2">
        <v>76</v>
      </c>
      <c r="O579" t="s">
        <v>1233</v>
      </c>
    </row>
    <row r="580" spans="1:15" ht="14.75" customHeight="1">
      <c r="A580" s="320" t="s">
        <v>1206</v>
      </c>
      <c r="B580" t="str">
        <f>+_xlfn.XLOOKUP(Tabla6[[#This Row],[ID CLIENTE]],'RESUMEN CLIENTES'!D:D,'RESUMEN CLIENTES'!A:A)</f>
        <v>Bryan Israel Jiménez Puente</v>
      </c>
      <c r="C580" t="str">
        <f>+_xlfn.XLOOKUP(Tabla6[[#This Row],[ID CLIENTE]],'RESUMEN CLIENTES'!D:D,'RESUMEN CLIENTES'!C:C)</f>
        <v>Ecuador</v>
      </c>
      <c r="D580" s="44" t="str">
        <f>+_xlfn.XLOOKUP(Tabla6[[#This Row],[ID CLIENTE]],'RESUMEN CLIENTES'!D:D,'RESUMEN CLIENTES'!M:M)</f>
        <v>OK</v>
      </c>
      <c r="E580" s="72">
        <f>+_xlfn.XLOOKUP(Tabla6[[#This Row],[NOMBRE]],'RESUMEN CLIENTES'!A:A,'RESUMEN CLIENTES'!X:X)</f>
        <v>1</v>
      </c>
      <c r="F580" s="72">
        <f>+_xlfn.XLOOKUP(Tabla6[[#This Row],[ID CLIENTE]],'RESUMEN CLIENTES'!D:D,'RESUMEN CLIENTES'!W:W)</f>
        <v>0</v>
      </c>
      <c r="G580" s="17">
        <v>45966</v>
      </c>
      <c r="H580" s="44" t="s">
        <v>81</v>
      </c>
      <c r="I580" s="2">
        <v>1000</v>
      </c>
      <c r="J580" s="20" t="s">
        <v>1318</v>
      </c>
      <c r="K580" t="s">
        <v>1319</v>
      </c>
      <c r="L580" s="44" t="str" cm="1">
        <f t="array" ref="L580">+_xlfn.IFS(COUNTIF(INGRESOS!E:E,Tabla6[[#This Row],[ID FACTURA]])=1,"PAGADA",Tabla6[[#This Row],[ID FACTURA]]&lt;&gt;0,"EMITIDA",Tabla6[[#This Row],[ID FACTURA]]=0,"POR EMITIR")</f>
        <v>PAGADA</v>
      </c>
      <c r="M580" s="55">
        <f>+IF(Tabla6[[#This Row],[ESTADO FACTURA]]="PAGADA",Tabla6[[#This Row],[FECHA]]-_xlfn.XLOOKUP(Tabla6[[#This Row],[N° FACTURA]],INGRESOS!F:F,INGRESOS!A:A),"-")</f>
        <v>0</v>
      </c>
      <c r="N580" s="2"/>
      <c r="O580"/>
    </row>
    <row r="581" spans="1:15" ht="14.75" customHeight="1">
      <c r="A581" s="320" t="s">
        <v>118</v>
      </c>
      <c r="B581" t="str">
        <f>+_xlfn.XLOOKUP(Tabla6[[#This Row],[ID CLIENTE]],'RESUMEN CLIENTES'!D:D,'RESUMEN CLIENTES'!A:A)</f>
        <v>Camila Sanchez Aravena</v>
      </c>
      <c r="C581" t="str">
        <f>+_xlfn.XLOOKUP(Tabla6[[#This Row],[ID CLIENTE]],'RESUMEN CLIENTES'!D:D,'RESUMEN CLIENTES'!C:C)</f>
        <v>Chile</v>
      </c>
      <c r="D581" s="44" t="str">
        <f>+_xlfn.XLOOKUP(Tabla6[[#This Row],[ID CLIENTE]],'RESUMEN CLIENTES'!D:D,'RESUMEN CLIENTES'!M:M)</f>
        <v>OK</v>
      </c>
      <c r="E581" s="72">
        <f>+_xlfn.XLOOKUP(Tabla6[[#This Row],[NOMBRE]],'RESUMEN CLIENTES'!A:A,'RESUMEN CLIENTES'!X:X)</f>
        <v>-1</v>
      </c>
      <c r="F581" s="72">
        <f>+_xlfn.XLOOKUP(Tabla6[[#This Row],[ID CLIENTE]],'RESUMEN CLIENTES'!D:D,'RESUMEN CLIENTES'!W:W)</f>
        <v>1</v>
      </c>
      <c r="G581" s="17">
        <v>45966</v>
      </c>
      <c r="H581" s="44" t="s">
        <v>81</v>
      </c>
      <c r="I581" s="2">
        <v>600</v>
      </c>
      <c r="J581" s="20" t="s">
        <v>1320</v>
      </c>
      <c r="K581" t="s">
        <v>1321</v>
      </c>
      <c r="L581" s="44" t="str" cm="1">
        <f t="array" ref="L581">+_xlfn.IFS(COUNTIF(INGRESOS!E:E,Tabla6[[#This Row],[ID FACTURA]])=1,"PAGADA",Tabla6[[#This Row],[ID FACTURA]]&lt;&gt;0,"EMITIDA",Tabla6[[#This Row],[ID FACTURA]]=0,"POR EMITIR")</f>
        <v>PAGADA</v>
      </c>
      <c r="M581" s="55">
        <f>+IF(Tabla6[[#This Row],[ESTADO FACTURA]]="PAGADA",Tabla6[[#This Row],[FECHA]]-_xlfn.XLOOKUP(Tabla6[[#This Row],[N° FACTURA]],INGRESOS!F:F,INGRESOS!A:A),"-")</f>
        <v>2</v>
      </c>
      <c r="N581" s="2"/>
      <c r="O581"/>
    </row>
    <row r="582" spans="1:15" ht="14.75" customHeight="1">
      <c r="A582" s="320" t="s">
        <v>168</v>
      </c>
      <c r="B582" t="str">
        <f>+_xlfn.XLOOKUP(Tabla6[[#This Row],[ID CLIENTE]],'RESUMEN CLIENTES'!D:D,'RESUMEN CLIENTES'!A:A)</f>
        <v xml:space="preserve">Catalina Ochoa Urrutia
</v>
      </c>
      <c r="C582" t="str">
        <f>+_xlfn.XLOOKUP(Tabla6[[#This Row],[ID CLIENTE]],'RESUMEN CLIENTES'!D:D,'RESUMEN CLIENTES'!C:C)</f>
        <v>Chile</v>
      </c>
      <c r="D582" s="44" t="str">
        <f>+_xlfn.XLOOKUP(Tabla6[[#This Row],[ID CLIENTE]],'RESUMEN CLIENTES'!D:D,'RESUMEN CLIENTES'!M:M)</f>
        <v>OK</v>
      </c>
      <c r="E582" s="72">
        <f>+_xlfn.XLOOKUP(Tabla6[[#This Row],[NOMBRE]],'RESUMEN CLIENTES'!A:A,'RESUMEN CLIENTES'!X:X)</f>
        <v>0.75</v>
      </c>
      <c r="F582" s="72">
        <f>+_xlfn.XLOOKUP(Tabla6[[#This Row],[ID CLIENTE]],'RESUMEN CLIENTES'!D:D,'RESUMEN CLIENTES'!W:W)</f>
        <v>1</v>
      </c>
      <c r="G582" s="17">
        <v>45966</v>
      </c>
      <c r="H582" s="44" t="s">
        <v>81</v>
      </c>
      <c r="I582" s="2">
        <v>1500</v>
      </c>
      <c r="J582" s="20" t="s">
        <v>1322</v>
      </c>
      <c r="K582" t="s">
        <v>1323</v>
      </c>
      <c r="L582" s="44" t="str" cm="1">
        <f t="array" ref="L582">+_xlfn.IFS(COUNTIF(INGRESOS!E:E,Tabla6[[#This Row],[ID FACTURA]])=1,"PAGADA",Tabla6[[#This Row],[ID FACTURA]]&lt;&gt;0,"EMITIDA",Tabla6[[#This Row],[ID FACTURA]]=0,"POR EMITIR")</f>
        <v>PAGADA</v>
      </c>
      <c r="M582" s="55">
        <f>+IF(Tabla6[[#This Row],[ESTADO FACTURA]]="PAGADA",Tabla6[[#This Row],[FECHA]]-_xlfn.XLOOKUP(Tabla6[[#This Row],[N° FACTURA]],INGRESOS!F:F,INGRESOS!A:A),"-")</f>
        <v>2</v>
      </c>
      <c r="N582" s="2"/>
      <c r="O582"/>
    </row>
    <row r="583" spans="1:15" ht="15" customHeight="1">
      <c r="A583" s="320" t="s">
        <v>194</v>
      </c>
      <c r="B583" t="str">
        <f>+_xlfn.XLOOKUP(Tabla6[[#This Row],[ID CLIENTE]],'RESUMEN CLIENTES'!D:D,'RESUMEN CLIENTES'!A:A)</f>
        <v>Dinorah Gómez Castellanos</v>
      </c>
      <c r="C583" t="str">
        <f>+_xlfn.XLOOKUP(Tabla6[[#This Row],[ID CLIENTE]],'RESUMEN CLIENTES'!D:D,'RESUMEN CLIENTES'!C:C)</f>
        <v>México</v>
      </c>
      <c r="D583" s="44" t="str">
        <f>+_xlfn.XLOOKUP(Tabla6[[#This Row],[ID CLIENTE]],'RESUMEN CLIENTES'!D:D,'RESUMEN CLIENTES'!M:M)</f>
        <v>OK</v>
      </c>
      <c r="E583" s="72">
        <f>+_xlfn.XLOOKUP(Tabla6[[#This Row],[NOMBRE]],'RESUMEN CLIENTES'!A:A,'RESUMEN CLIENTES'!X:X)</f>
        <v>2.75</v>
      </c>
      <c r="F583" s="72">
        <f>+_xlfn.XLOOKUP(Tabla6[[#This Row],[ID CLIENTE]],'RESUMEN CLIENTES'!D:D,'RESUMEN CLIENTES'!W:W)</f>
        <v>0</v>
      </c>
      <c r="G583" s="17">
        <v>45966</v>
      </c>
      <c r="H583" s="44" t="s">
        <v>81</v>
      </c>
      <c r="I583" s="2">
        <f>800-674</f>
        <v>126</v>
      </c>
      <c r="J583" s="20" t="s">
        <v>1324</v>
      </c>
      <c r="K583" t="s">
        <v>1325</v>
      </c>
      <c r="L583" s="44" t="str" cm="1">
        <f t="array" ref="L583">+_xlfn.IFS(COUNTIF(INGRESOS!E:E,Tabla6[[#This Row],[ID FACTURA]])=1,"PAGADA",Tabla6[[#This Row],[ID FACTURA]]&lt;&gt;0,"EMITIDA",Tabla6[[#This Row],[ID FACTURA]]=0,"POR EMITIR")</f>
        <v>PAGADA</v>
      </c>
      <c r="M583" s="55">
        <f>+IF(Tabla6[[#This Row],[ESTADO FACTURA]]="PAGADA",Tabla6[[#This Row],[FECHA]]-_xlfn.XLOOKUP(Tabla6[[#This Row],[N° FACTURA]],INGRESOS!F:F,INGRESOS!A:A),"-")</f>
        <v>2</v>
      </c>
      <c r="N583" s="2">
        <v>674</v>
      </c>
      <c r="O583" t="s">
        <v>1233</v>
      </c>
    </row>
    <row r="584" spans="1:15" ht="14.75" customHeight="1">
      <c r="A584" s="320" t="s">
        <v>787</v>
      </c>
      <c r="B584" t="str">
        <f>+_xlfn.XLOOKUP(Tabla6[[#This Row],[ID CLIENTE]],'RESUMEN CLIENTES'!D:D,'RESUMEN CLIENTES'!A:A)</f>
        <v>Florencia Luján Sapia</v>
      </c>
      <c r="C584" t="str">
        <f>+_xlfn.XLOOKUP(Tabla6[[#This Row],[ID CLIENTE]],'RESUMEN CLIENTES'!D:D,'RESUMEN CLIENTES'!C:C)</f>
        <v>Argentina</v>
      </c>
      <c r="D584" s="44" t="str">
        <f>+_xlfn.XLOOKUP(Tabla6[[#This Row],[ID CLIENTE]],'RESUMEN CLIENTES'!D:D,'RESUMEN CLIENTES'!M:M)</f>
        <v>OK</v>
      </c>
      <c r="E584" s="72">
        <f>+_xlfn.XLOOKUP(Tabla6[[#This Row],[NOMBRE]],'RESUMEN CLIENTES'!A:A,'RESUMEN CLIENTES'!X:X)</f>
        <v>-0.77777777777777779</v>
      </c>
      <c r="F584" s="72">
        <f>+_xlfn.XLOOKUP(Tabla6[[#This Row],[ID CLIENTE]],'RESUMEN CLIENTES'!D:D,'RESUMEN CLIENTES'!W:W)</f>
        <v>1</v>
      </c>
      <c r="G584" s="17">
        <v>45966</v>
      </c>
      <c r="H584" s="44" t="s">
        <v>81</v>
      </c>
      <c r="I584" s="2">
        <v>600</v>
      </c>
      <c r="J584" s="20" t="s">
        <v>1326</v>
      </c>
      <c r="K584" t="s">
        <v>1327</v>
      </c>
      <c r="L584" s="44" t="str" cm="1">
        <f t="array" ref="L584">+_xlfn.IFS(COUNTIF(INGRESOS!E:E,Tabla6[[#This Row],[ID FACTURA]])=1,"PAGADA",Tabla6[[#This Row],[ID FACTURA]]&lt;&gt;0,"EMITIDA",Tabla6[[#This Row],[ID FACTURA]]=0,"POR EMITIR")</f>
        <v>PAGADA</v>
      </c>
      <c r="M584" s="55">
        <f>+IF(Tabla6[[#This Row],[ESTADO FACTURA]]="PAGADA",Tabla6[[#This Row],[FECHA]]-_xlfn.XLOOKUP(Tabla6[[#This Row],[N° FACTURA]],INGRESOS!F:F,INGRESOS!A:A),"-")</f>
        <v>-1</v>
      </c>
      <c r="N584" s="2"/>
      <c r="O584"/>
    </row>
    <row r="585" spans="1:15" ht="14.75" customHeight="1">
      <c r="A585" s="320" t="s">
        <v>171</v>
      </c>
      <c r="B585" t="str">
        <f>+_xlfn.XLOOKUP(Tabla6[[#This Row],[ID CLIENTE]],'RESUMEN CLIENTES'!D:D,'RESUMEN CLIENTES'!A:A)</f>
        <v>Guillermo Alfonso Garvalena Gaxiola</v>
      </c>
      <c r="C585" t="str">
        <f>+_xlfn.XLOOKUP(Tabla6[[#This Row],[ID CLIENTE]],'RESUMEN CLIENTES'!D:D,'RESUMEN CLIENTES'!C:C)</f>
        <v>México</v>
      </c>
      <c r="D585" s="44" t="str">
        <f>+_xlfn.XLOOKUP(Tabla6[[#This Row],[ID CLIENTE]],'RESUMEN CLIENTES'!D:D,'RESUMEN CLIENTES'!M:M)</f>
        <v>OK</v>
      </c>
      <c r="E585" s="72">
        <f>+_xlfn.XLOOKUP(Tabla6[[#This Row],[NOMBRE]],'RESUMEN CLIENTES'!A:A,'RESUMEN CLIENTES'!X:X)</f>
        <v>1.173913043478261</v>
      </c>
      <c r="F585" s="72">
        <f>+_xlfn.XLOOKUP(Tabla6[[#This Row],[ID CLIENTE]],'RESUMEN CLIENTES'!D:D,'RESUMEN CLIENTES'!W:W)</f>
        <v>1</v>
      </c>
      <c r="G585" s="17">
        <v>45966</v>
      </c>
      <c r="H585" s="44" t="s">
        <v>81</v>
      </c>
      <c r="I585" s="2">
        <v>200</v>
      </c>
      <c r="J585" s="20" t="s">
        <v>1328</v>
      </c>
      <c r="K585" t="s">
        <v>1329</v>
      </c>
      <c r="L585" s="44" t="str" cm="1">
        <f t="array" ref="L585">+_xlfn.IFS(COUNTIF(INGRESOS!E:E,Tabla6[[#This Row],[ID FACTURA]])=1,"PAGADA",Tabla6[[#This Row],[ID FACTURA]]&lt;&gt;0,"EMITIDA",Tabla6[[#This Row],[ID FACTURA]]=0,"POR EMITIR")</f>
        <v>PAGADA</v>
      </c>
      <c r="M585" s="55">
        <f>+IF(Tabla6[[#This Row],[ESTADO FACTURA]]="PAGADA",Tabla6[[#This Row],[FECHA]]-_xlfn.XLOOKUP(Tabla6[[#This Row],[N° FACTURA]],INGRESOS!F:F,INGRESOS!A:A),"-")</f>
        <v>2</v>
      </c>
      <c r="N585" s="2"/>
      <c r="O585"/>
    </row>
    <row r="586" spans="1:15" ht="14.75" customHeight="1">
      <c r="A586" s="320" t="s">
        <v>171</v>
      </c>
      <c r="B586" t="str">
        <f>+_xlfn.XLOOKUP(Tabla6[[#This Row],[ID CLIENTE]],'RESUMEN CLIENTES'!D:D,'RESUMEN CLIENTES'!A:A)</f>
        <v>Guillermo Alfonso Garvalena Gaxiola</v>
      </c>
      <c r="C586" t="str">
        <f>+_xlfn.XLOOKUP(Tabla6[[#This Row],[ID CLIENTE]],'RESUMEN CLIENTES'!D:D,'RESUMEN CLIENTES'!C:C)</f>
        <v>México</v>
      </c>
      <c r="D586" s="44" t="str">
        <f>+_xlfn.XLOOKUP(Tabla6[[#This Row],[ID CLIENTE]],'RESUMEN CLIENTES'!D:D,'RESUMEN CLIENTES'!M:M)</f>
        <v>OK</v>
      </c>
      <c r="E586" s="72">
        <f>+_xlfn.XLOOKUP(Tabla6[[#This Row],[NOMBRE]],'RESUMEN CLIENTES'!A:A,'RESUMEN CLIENTES'!X:X)</f>
        <v>1.173913043478261</v>
      </c>
      <c r="F586" s="72">
        <f>+_xlfn.XLOOKUP(Tabla6[[#This Row],[ID CLIENTE]],'RESUMEN CLIENTES'!D:D,'RESUMEN CLIENTES'!W:W)</f>
        <v>1</v>
      </c>
      <c r="G586" s="17">
        <v>45966</v>
      </c>
      <c r="H586" s="44" t="s">
        <v>81</v>
      </c>
      <c r="I586" s="2">
        <v>500</v>
      </c>
      <c r="J586" s="20" t="s">
        <v>1330</v>
      </c>
      <c r="K586" t="s">
        <v>1331</v>
      </c>
      <c r="L586" s="44" t="str" cm="1">
        <f t="array" ref="L586">+_xlfn.IFS(COUNTIF(INGRESOS!E:E,Tabla6[[#This Row],[ID FACTURA]])=1,"PAGADA",Tabla6[[#This Row],[ID FACTURA]]&lt;&gt;0,"EMITIDA",Tabla6[[#This Row],[ID FACTURA]]=0,"POR EMITIR")</f>
        <v>PAGADA</v>
      </c>
      <c r="M586" s="55">
        <f>+IF(Tabla6[[#This Row],[ESTADO FACTURA]]="PAGADA",Tabla6[[#This Row],[FECHA]]-_xlfn.XLOOKUP(Tabla6[[#This Row],[N° FACTURA]],INGRESOS!F:F,INGRESOS!A:A),"-")</f>
        <v>2</v>
      </c>
      <c r="N586" s="2"/>
      <c r="O586"/>
    </row>
    <row r="587" spans="1:15" ht="14.75" customHeight="1">
      <c r="A587" s="320" t="s">
        <v>109</v>
      </c>
      <c r="B587" t="str">
        <f>+_xlfn.XLOOKUP(Tabla6[[#This Row],[ID CLIENTE]],'RESUMEN CLIENTES'!D:D,'RESUMEN CLIENTES'!A:A)</f>
        <v>Ian Job Lino Durán</v>
      </c>
      <c r="C587" t="str">
        <f>+_xlfn.XLOOKUP(Tabla6[[#This Row],[ID CLIENTE]],'RESUMEN CLIENTES'!D:D,'RESUMEN CLIENTES'!C:C)</f>
        <v>México</v>
      </c>
      <c r="D587" s="44" t="str">
        <f>+_xlfn.XLOOKUP(Tabla6[[#This Row],[ID CLIENTE]],'RESUMEN CLIENTES'!D:D,'RESUMEN CLIENTES'!M:M)</f>
        <v>OK</v>
      </c>
      <c r="E587" s="72">
        <f>+_xlfn.XLOOKUP(Tabla6[[#This Row],[NOMBRE]],'RESUMEN CLIENTES'!A:A,'RESUMEN CLIENTES'!X:X)</f>
        <v>0.1</v>
      </c>
      <c r="F587" s="72">
        <f>+_xlfn.XLOOKUP(Tabla6[[#This Row],[ID CLIENTE]],'RESUMEN CLIENTES'!D:D,'RESUMEN CLIENTES'!W:W)</f>
        <v>1</v>
      </c>
      <c r="G587" s="17">
        <v>45966</v>
      </c>
      <c r="H587" s="44" t="s">
        <v>81</v>
      </c>
      <c r="I587" s="2">
        <v>700</v>
      </c>
      <c r="J587" s="20" t="s">
        <v>1332</v>
      </c>
      <c r="K587" t="s">
        <v>1333</v>
      </c>
      <c r="L587" s="44" t="str" cm="1">
        <f t="array" ref="L587">+_xlfn.IFS(COUNTIF(INGRESOS!E:E,Tabla6[[#This Row],[ID FACTURA]])=1,"PAGADA",Tabla6[[#This Row],[ID FACTURA]]&lt;&gt;0,"EMITIDA",Tabla6[[#This Row],[ID FACTURA]]=0,"POR EMITIR")</f>
        <v>PAGADA</v>
      </c>
      <c r="M587" s="55">
        <f>+IF(Tabla6[[#This Row],[ESTADO FACTURA]]="PAGADA",Tabla6[[#This Row],[FECHA]]-_xlfn.XLOOKUP(Tabla6[[#This Row],[N° FACTURA]],INGRESOS!F:F,INGRESOS!A:A),"-")</f>
        <v>-3</v>
      </c>
      <c r="N587" s="2"/>
      <c r="O587" s="8"/>
    </row>
    <row r="588" spans="1:15" ht="14.75" customHeight="1">
      <c r="A588" s="320" t="s">
        <v>142</v>
      </c>
      <c r="B588" t="str">
        <f>+_xlfn.XLOOKUP(Tabla6[[#This Row],[ID CLIENTE]],'RESUMEN CLIENTES'!D:D,'RESUMEN CLIENTES'!A:A)</f>
        <v>Jordan Eliecer Toledo Bravo</v>
      </c>
      <c r="C588" t="str">
        <f>+_xlfn.XLOOKUP(Tabla6[[#This Row],[ID CLIENTE]],'RESUMEN CLIENTES'!D:D,'RESUMEN CLIENTES'!C:C)</f>
        <v>Chile</v>
      </c>
      <c r="D588" s="44" t="str">
        <f>+_xlfn.XLOOKUP(Tabla6[[#This Row],[ID CLIENTE]],'RESUMEN CLIENTES'!D:D,'RESUMEN CLIENTES'!M:M)</f>
        <v>OK</v>
      </c>
      <c r="E588" s="72">
        <f>+_xlfn.XLOOKUP(Tabla6[[#This Row],[NOMBRE]],'RESUMEN CLIENTES'!A:A,'RESUMEN CLIENTES'!X:X)</f>
        <v>-1.6153846153846154</v>
      </c>
      <c r="F588" s="72">
        <f>+_xlfn.XLOOKUP(Tabla6[[#This Row],[ID CLIENTE]],'RESUMEN CLIENTES'!D:D,'RESUMEN CLIENTES'!W:W)</f>
        <v>0</v>
      </c>
      <c r="G588" s="17">
        <v>45966</v>
      </c>
      <c r="H588" s="44" t="s">
        <v>81</v>
      </c>
      <c r="I588" s="2">
        <v>500</v>
      </c>
      <c r="J588" s="20" t="s">
        <v>1334</v>
      </c>
      <c r="K588" t="s">
        <v>1335</v>
      </c>
      <c r="L588" s="44" t="str" cm="1">
        <f t="array" ref="L588">+_xlfn.IFS(COUNTIF(INGRESOS!E:E,Tabla6[[#This Row],[ID FACTURA]])=1,"PAGADA",Tabla6[[#This Row],[ID FACTURA]]&lt;&gt;0,"EMITIDA",Tabla6[[#This Row],[ID FACTURA]]=0,"POR EMITIR")</f>
        <v>PAGADA</v>
      </c>
      <c r="M588" s="55">
        <f>+IF(Tabla6[[#This Row],[ESTADO FACTURA]]="PAGADA",Tabla6[[#This Row],[FECHA]]-_xlfn.XLOOKUP(Tabla6[[#This Row],[N° FACTURA]],INGRESOS!F:F,INGRESOS!A:A),"-")</f>
        <v>-5</v>
      </c>
      <c r="N588" s="2"/>
      <c r="O588"/>
    </row>
    <row r="589" spans="1:15" ht="14.75" customHeight="1">
      <c r="A589" s="320" t="s">
        <v>798</v>
      </c>
      <c r="B589" t="str">
        <f>+_xlfn.XLOOKUP(Tabla6[[#This Row],[ID CLIENTE]],'RESUMEN CLIENTES'!D:D,'RESUMEN CLIENTES'!A:A)</f>
        <v>Juan Manuel Paranzino</v>
      </c>
      <c r="C589" t="str">
        <f>+_xlfn.XLOOKUP(Tabla6[[#This Row],[ID CLIENTE]],'RESUMEN CLIENTES'!D:D,'RESUMEN CLIENTES'!C:C)</f>
        <v>Argentina</v>
      </c>
      <c r="D589" s="44" t="str">
        <f>+_xlfn.XLOOKUP(Tabla6[[#This Row],[ID CLIENTE]],'RESUMEN CLIENTES'!D:D,'RESUMEN CLIENTES'!M:M)</f>
        <v>OK</v>
      </c>
      <c r="E589" s="72">
        <f>+_xlfn.XLOOKUP(Tabla6[[#This Row],[NOMBRE]],'RESUMEN CLIENTES'!A:A,'RESUMEN CLIENTES'!X:X)</f>
        <v>-1</v>
      </c>
      <c r="F589" s="72">
        <f>+_xlfn.XLOOKUP(Tabla6[[#This Row],[ID CLIENTE]],'RESUMEN CLIENTES'!D:D,'RESUMEN CLIENTES'!W:W)</f>
        <v>0</v>
      </c>
      <c r="G589" s="17">
        <v>45966</v>
      </c>
      <c r="H589" s="44" t="s">
        <v>81</v>
      </c>
      <c r="I589" s="2">
        <v>600</v>
      </c>
      <c r="J589" s="20" t="s">
        <v>1336</v>
      </c>
      <c r="K589" t="s">
        <v>1337</v>
      </c>
      <c r="L589" s="44" t="str" cm="1">
        <f t="array" ref="L589">+_xlfn.IFS(COUNTIF(INGRESOS!E:E,Tabla6[[#This Row],[ID FACTURA]])=1,"PAGADA",Tabla6[[#This Row],[ID FACTURA]]&lt;&gt;0,"EMITIDA",Tabla6[[#This Row],[ID FACTURA]]=0,"POR EMITIR")</f>
        <v>PAGADA</v>
      </c>
      <c r="M589" s="55">
        <f>+IF(Tabla6[[#This Row],[ESTADO FACTURA]]="PAGADA",Tabla6[[#This Row],[FECHA]]-_xlfn.XLOOKUP(Tabla6[[#This Row],[N° FACTURA]],INGRESOS!F:F,INGRESOS!A:A),"-")</f>
        <v>-2</v>
      </c>
      <c r="N589" s="2"/>
      <c r="O589"/>
    </row>
    <row r="590" spans="1:15" ht="14.75" customHeight="1">
      <c r="A590" s="320" t="s">
        <v>955</v>
      </c>
      <c r="B590" t="str">
        <f>+_xlfn.XLOOKUP(Tabla6[[#This Row],[ID CLIENTE]],'RESUMEN CLIENTES'!D:D,'RESUMEN CLIENTES'!A:A)</f>
        <v>Judith Elizabeth Lopez Sanchez</v>
      </c>
      <c r="C590" t="str">
        <f>+_xlfn.XLOOKUP(Tabla6[[#This Row],[ID CLIENTE]],'RESUMEN CLIENTES'!D:D,'RESUMEN CLIENTES'!C:C)</f>
        <v>Perú</v>
      </c>
      <c r="D590" s="44" t="str">
        <f>+_xlfn.XLOOKUP(Tabla6[[#This Row],[ID CLIENTE]],'RESUMEN CLIENTES'!D:D,'RESUMEN CLIENTES'!M:M)</f>
        <v>OK</v>
      </c>
      <c r="E590" s="72">
        <f>+_xlfn.XLOOKUP(Tabla6[[#This Row],[NOMBRE]],'RESUMEN CLIENTES'!A:A,'RESUMEN CLIENTES'!X:X)</f>
        <v>0.2857142857142857</v>
      </c>
      <c r="F590" s="72">
        <f>+_xlfn.XLOOKUP(Tabla6[[#This Row],[ID CLIENTE]],'RESUMEN CLIENTES'!D:D,'RESUMEN CLIENTES'!W:W)</f>
        <v>1</v>
      </c>
      <c r="G590" s="17">
        <v>45966</v>
      </c>
      <c r="H590" s="44" t="s">
        <v>81</v>
      </c>
      <c r="I590" s="2">
        <v>1000</v>
      </c>
      <c r="J590" s="20" t="s">
        <v>1338</v>
      </c>
      <c r="K590" t="s">
        <v>1339</v>
      </c>
      <c r="L590" s="44" t="str" cm="1">
        <f t="array" ref="L590">+_xlfn.IFS(COUNTIF(INGRESOS!E:E,Tabla6[[#This Row],[ID FACTURA]])=1,"PAGADA",Tabla6[[#This Row],[ID FACTURA]]&lt;&gt;0,"EMITIDA",Tabla6[[#This Row],[ID FACTURA]]=0,"POR EMITIR")</f>
        <v>PAGADA</v>
      </c>
      <c r="M590" s="55">
        <f>+IF(Tabla6[[#This Row],[ESTADO FACTURA]]="PAGADA",Tabla6[[#This Row],[FECHA]]-_xlfn.XLOOKUP(Tabla6[[#This Row],[N° FACTURA]],INGRESOS!F:F,INGRESOS!A:A),"-")</f>
        <v>0</v>
      </c>
      <c r="N590" s="2"/>
      <c r="O590"/>
    </row>
    <row r="591" spans="1:15" ht="14.75" customHeight="1">
      <c r="A591" s="320" t="s">
        <v>703</v>
      </c>
      <c r="B591" t="str">
        <f>+_xlfn.XLOOKUP(Tabla6[[#This Row],[ID CLIENTE]],'RESUMEN CLIENTES'!D:D,'RESUMEN CLIENTES'!A:A)</f>
        <v>Maira Paz Navas Sánchez</v>
      </c>
      <c r="C591" t="str">
        <f>+_xlfn.XLOOKUP(Tabla6[[#This Row],[ID CLIENTE]],'RESUMEN CLIENTES'!D:D,'RESUMEN CLIENTES'!C:C)</f>
        <v>Chile</v>
      </c>
      <c r="D591" s="44" t="str">
        <f>+_xlfn.XLOOKUP(Tabla6[[#This Row],[ID CLIENTE]],'RESUMEN CLIENTES'!D:D,'RESUMEN CLIENTES'!M:M)</f>
        <v>OK</v>
      </c>
      <c r="E591" s="72">
        <f>+_xlfn.XLOOKUP(Tabla6[[#This Row],[NOMBRE]],'RESUMEN CLIENTES'!A:A,'RESUMEN CLIENTES'!X:X)</f>
        <v>-1.75</v>
      </c>
      <c r="F591" s="72">
        <f>+_xlfn.XLOOKUP(Tabla6[[#This Row],[ID CLIENTE]],'RESUMEN CLIENTES'!D:D,'RESUMEN CLIENTES'!W:W)</f>
        <v>1</v>
      </c>
      <c r="G591" s="17">
        <v>45966</v>
      </c>
      <c r="H591" s="44" t="s">
        <v>81</v>
      </c>
      <c r="I591" s="2">
        <v>700</v>
      </c>
      <c r="J591" s="20" t="s">
        <v>1340</v>
      </c>
      <c r="K591" t="s">
        <v>1341</v>
      </c>
      <c r="L591" s="44" t="str" cm="1">
        <f t="array" ref="L591">+_xlfn.IFS(COUNTIF(INGRESOS!E:E,Tabla6[[#This Row],[ID FACTURA]])=1,"PAGADA",Tabla6[[#This Row],[ID FACTURA]]&lt;&gt;0,"EMITIDA",Tabla6[[#This Row],[ID FACTURA]]=0,"POR EMITIR")</f>
        <v>PAGADA</v>
      </c>
      <c r="M591" s="55">
        <f>+IF(Tabla6[[#This Row],[ESTADO FACTURA]]="PAGADA",Tabla6[[#This Row],[FECHA]]-_xlfn.XLOOKUP(Tabla6[[#This Row],[N° FACTURA]],INGRESOS!F:F,INGRESOS!A:A),"-")</f>
        <v>-8</v>
      </c>
      <c r="N591" s="2"/>
      <c r="O591"/>
    </row>
    <row r="592" spans="1:15" ht="14.75" customHeight="1">
      <c r="A592" s="320" t="s">
        <v>188</v>
      </c>
      <c r="B592" t="str">
        <f>+_xlfn.XLOOKUP(Tabla6[[#This Row],[ID CLIENTE]],'RESUMEN CLIENTES'!D:D,'RESUMEN CLIENTES'!A:A)</f>
        <v>Marco Tulio Negrete Aceves</v>
      </c>
      <c r="C592" t="str">
        <f>+_xlfn.XLOOKUP(Tabla6[[#This Row],[ID CLIENTE]],'RESUMEN CLIENTES'!D:D,'RESUMEN CLIENTES'!C:C)</f>
        <v>México</v>
      </c>
      <c r="D592" s="44" t="str">
        <f>+_xlfn.XLOOKUP(Tabla6[[#This Row],[ID CLIENTE]],'RESUMEN CLIENTES'!D:D,'RESUMEN CLIENTES'!M:M)</f>
        <v>OK</v>
      </c>
      <c r="E592" s="72">
        <f>+_xlfn.XLOOKUP(Tabla6[[#This Row],[NOMBRE]],'RESUMEN CLIENTES'!A:A,'RESUMEN CLIENTES'!X:X)</f>
        <v>2.625</v>
      </c>
      <c r="F592" s="72">
        <f>+_xlfn.XLOOKUP(Tabla6[[#This Row],[ID CLIENTE]],'RESUMEN CLIENTES'!D:D,'RESUMEN CLIENTES'!W:W)</f>
        <v>1</v>
      </c>
      <c r="G592" s="17">
        <v>45966</v>
      </c>
      <c r="H592" s="44" t="s">
        <v>81</v>
      </c>
      <c r="I592" s="2">
        <v>0</v>
      </c>
      <c r="J592"/>
      <c r="K592"/>
      <c r="L592" s="44" t="str" cm="1">
        <f t="array" ref="L592">+_xlfn.IFS(COUNTIF(INGRESOS!E:E,Tabla6[[#This Row],[ID FACTURA]])=1,"PAGADA",Tabla6[[#This Row],[ID FACTURA]]&lt;&gt;0,"EMITIDA",Tabla6[[#This Row],[ID FACTURA]]=0,"POR EMITIR")</f>
        <v>POR EMITIR</v>
      </c>
      <c r="M592" s="55" t="str">
        <f>+IF(Tabla6[[#This Row],[ESTADO FACTURA]]="PAGADA",Tabla6[[#This Row],[FECHA]]-_xlfn.XLOOKUP(Tabla6[[#This Row],[N° FACTURA]],INGRESOS!F:F,INGRESOS!A:A),"-")</f>
        <v>-</v>
      </c>
      <c r="N592" s="2">
        <v>300</v>
      </c>
      <c r="O592" t="s">
        <v>1342</v>
      </c>
    </row>
    <row r="593" spans="1:15" ht="14.75" customHeight="1">
      <c r="A593" s="320" t="s">
        <v>80</v>
      </c>
      <c r="B593" t="str">
        <f>+_xlfn.XLOOKUP(Tabla6[[#This Row],[ID CLIENTE]],'RESUMEN CLIENTES'!D:D,'RESUMEN CLIENTES'!A:A)</f>
        <v>María Fernanda Alvar Sepúlveda</v>
      </c>
      <c r="C593" t="str">
        <f>+_xlfn.XLOOKUP(Tabla6[[#This Row],[ID CLIENTE]],'RESUMEN CLIENTES'!D:D,'RESUMEN CLIENTES'!C:C)</f>
        <v>Chile</v>
      </c>
      <c r="D593" s="44" t="str">
        <f>+_xlfn.XLOOKUP(Tabla6[[#This Row],[ID CLIENTE]],'RESUMEN CLIENTES'!D:D,'RESUMEN CLIENTES'!M:M)</f>
        <v>OK</v>
      </c>
      <c r="E593" s="72">
        <f>+_xlfn.XLOOKUP(Tabla6[[#This Row],[NOMBRE]],'RESUMEN CLIENTES'!A:A,'RESUMEN CLIENTES'!X:X)</f>
        <v>5</v>
      </c>
      <c r="F593" s="72">
        <f>+_xlfn.XLOOKUP(Tabla6[[#This Row],[ID CLIENTE]],'RESUMEN CLIENTES'!D:D,'RESUMEN CLIENTES'!W:W)</f>
        <v>1</v>
      </c>
      <c r="G593" s="17">
        <v>45966</v>
      </c>
      <c r="H593" s="44" t="s">
        <v>81</v>
      </c>
      <c r="I593" s="2">
        <v>800</v>
      </c>
      <c r="J593" s="20" t="s">
        <v>1343</v>
      </c>
      <c r="K593" t="s">
        <v>1344</v>
      </c>
      <c r="L593" s="44" t="str" cm="1">
        <f t="array" ref="L593">+_xlfn.IFS(COUNTIF(INGRESOS!E:E,Tabla6[[#This Row],[ID FACTURA]])=1,"PAGADA",Tabla6[[#This Row],[ID FACTURA]]&lt;&gt;0,"EMITIDA",Tabla6[[#This Row],[ID FACTURA]]=0,"POR EMITIR")</f>
        <v>PAGADA</v>
      </c>
      <c r="M593" s="55">
        <f>+IF(Tabla6[[#This Row],[ESTADO FACTURA]]="PAGADA",Tabla6[[#This Row],[FECHA]]-_xlfn.XLOOKUP(Tabla6[[#This Row],[N° FACTURA]],INGRESOS!F:F,INGRESOS!A:A),"-")</f>
        <v>1</v>
      </c>
      <c r="N593" s="2"/>
      <c r="O593"/>
    </row>
    <row r="594" spans="1:15" ht="14.75" customHeight="1">
      <c r="A594" s="320" t="s">
        <v>1155</v>
      </c>
      <c r="B594" t="str">
        <f>+_xlfn.XLOOKUP(Tabla6[[#This Row],[ID CLIENTE]],'RESUMEN CLIENTES'!D:D,'RESUMEN CLIENTES'!A:A)</f>
        <v>Mario Arciga Casián</v>
      </c>
      <c r="C594" t="str">
        <f>+_xlfn.XLOOKUP(Tabla6[[#This Row],[ID CLIENTE]],'RESUMEN CLIENTES'!D:D,'RESUMEN CLIENTES'!C:C)</f>
        <v>México</v>
      </c>
      <c r="D594" s="44" t="str">
        <f>+_xlfn.XLOOKUP(Tabla6[[#This Row],[ID CLIENTE]],'RESUMEN CLIENTES'!D:D,'RESUMEN CLIENTES'!M:M)</f>
        <v>OK</v>
      </c>
      <c r="E594" s="72">
        <f>+_xlfn.XLOOKUP(Tabla6[[#This Row],[NOMBRE]],'RESUMEN CLIENTES'!A:A,'RESUMEN CLIENTES'!X:X)</f>
        <v>-0.66666666666666663</v>
      </c>
      <c r="F594" s="72">
        <f>+_xlfn.XLOOKUP(Tabla6[[#This Row],[ID CLIENTE]],'RESUMEN CLIENTES'!D:D,'RESUMEN CLIENTES'!W:W)</f>
        <v>1</v>
      </c>
      <c r="G594" s="17">
        <v>45966</v>
      </c>
      <c r="H594" s="44" t="s">
        <v>81</v>
      </c>
      <c r="I594" s="2">
        <v>1000</v>
      </c>
      <c r="J594" s="20" t="s">
        <v>1345</v>
      </c>
      <c r="K594" t="s">
        <v>1346</v>
      </c>
      <c r="L594" s="44" t="str" cm="1">
        <f t="array" ref="L594">+_xlfn.IFS(COUNTIF(INGRESOS!E:E,Tabla6[[#This Row],[ID FACTURA]])=1,"PAGADA",Tabla6[[#This Row],[ID FACTURA]]&lt;&gt;0,"EMITIDA",Tabla6[[#This Row],[ID FACTURA]]=0,"POR EMITIR")</f>
        <v>PAGADA</v>
      </c>
      <c r="M594" s="55">
        <f>+IF(Tabla6[[#This Row],[ESTADO FACTURA]]="PAGADA",Tabla6[[#This Row],[FECHA]]-_xlfn.XLOOKUP(Tabla6[[#This Row],[N° FACTURA]],INGRESOS!F:F,INGRESOS!A:A),"-")</f>
        <v>0</v>
      </c>
      <c r="N594" s="2"/>
      <c r="O594"/>
    </row>
    <row r="595" spans="1:15" ht="14.75" customHeight="1">
      <c r="A595" s="320" t="s">
        <v>958</v>
      </c>
      <c r="B595" t="str">
        <f>+_xlfn.XLOOKUP(Tabla6[[#This Row],[ID CLIENTE]],'RESUMEN CLIENTES'!D:D,'RESUMEN CLIENTES'!A:A)</f>
        <v>Matías Enrique Aguilera Mancilla</v>
      </c>
      <c r="C595" t="str">
        <f>+_xlfn.XLOOKUP(Tabla6[[#This Row],[ID CLIENTE]],'RESUMEN CLIENTES'!D:D,'RESUMEN CLIENTES'!C:C)</f>
        <v>Chile</v>
      </c>
      <c r="D595" s="44" t="str">
        <f>+_xlfn.XLOOKUP(Tabla6[[#This Row],[ID CLIENTE]],'RESUMEN CLIENTES'!D:D,'RESUMEN CLIENTES'!M:M)</f>
        <v>ELIMINADO</v>
      </c>
      <c r="E595" s="72">
        <f>+_xlfn.XLOOKUP(Tabla6[[#This Row],[NOMBRE]],'RESUMEN CLIENTES'!A:A,'RESUMEN CLIENTES'!X:X)</f>
        <v>-0.75</v>
      </c>
      <c r="F595" s="72">
        <f>+_xlfn.XLOOKUP(Tabla6[[#This Row],[ID CLIENTE]],'RESUMEN CLIENTES'!D:D,'RESUMEN CLIENTES'!W:W)</f>
        <v>0</v>
      </c>
      <c r="G595" s="17">
        <v>45966</v>
      </c>
      <c r="H595" s="44" t="s">
        <v>81</v>
      </c>
      <c r="I595" s="2">
        <v>1000</v>
      </c>
      <c r="J595" s="20" t="s">
        <v>1347</v>
      </c>
      <c r="K595" t="s">
        <v>1348</v>
      </c>
      <c r="L595" s="44" t="str" cm="1">
        <f t="array" ref="L595">+_xlfn.IFS(COUNTIF(INGRESOS!E:E,Tabla6[[#This Row],[ID FACTURA]])=1,"PAGADA",Tabla6[[#This Row],[ID FACTURA]]&lt;&gt;0,"EMITIDA",Tabla6[[#This Row],[ID FACTURA]]=0,"POR EMITIR")</f>
        <v>PAGADA</v>
      </c>
      <c r="M595" s="55">
        <f>+IF(Tabla6[[#This Row],[ESTADO FACTURA]]="PAGADA",Tabla6[[#This Row],[FECHA]]-_xlfn.XLOOKUP(Tabla6[[#This Row],[N° FACTURA]],INGRESOS!F:F,INGRESOS!A:A),"-")</f>
        <v>-2</v>
      </c>
      <c r="N595" s="2"/>
      <c r="O595"/>
    </row>
    <row r="596" spans="1:15" ht="14.75" customHeight="1">
      <c r="A596" s="320" t="s">
        <v>129</v>
      </c>
      <c r="B596" t="str">
        <f>+_xlfn.XLOOKUP(Tabla6[[#This Row],[ID CLIENTE]],'RESUMEN CLIENTES'!D:D,'RESUMEN CLIENTES'!A:A)</f>
        <v>Moira Millaray Schneider Rivera</v>
      </c>
      <c r="C596" t="str">
        <f>+_xlfn.XLOOKUP(Tabla6[[#This Row],[ID CLIENTE]],'RESUMEN CLIENTES'!D:D,'RESUMEN CLIENTES'!C:C)</f>
        <v>Chile</v>
      </c>
      <c r="D596" s="44" t="str">
        <f>+_xlfn.XLOOKUP(Tabla6[[#This Row],[ID CLIENTE]],'RESUMEN CLIENTES'!D:D,'RESUMEN CLIENTES'!M:M)</f>
        <v>OK</v>
      </c>
      <c r="E596" s="72">
        <f>+_xlfn.XLOOKUP(Tabla6[[#This Row],[NOMBRE]],'RESUMEN CLIENTES'!A:A,'RESUMEN CLIENTES'!X:X)</f>
        <v>0</v>
      </c>
      <c r="F596" s="72">
        <f>+_xlfn.XLOOKUP(Tabla6[[#This Row],[ID CLIENTE]],'RESUMEN CLIENTES'!D:D,'RESUMEN CLIENTES'!W:W)</f>
        <v>1</v>
      </c>
      <c r="G596" s="17">
        <v>45966</v>
      </c>
      <c r="H596" s="44" t="s">
        <v>81</v>
      </c>
      <c r="I596" s="2">
        <v>1000</v>
      </c>
      <c r="J596" s="20" t="s">
        <v>1349</v>
      </c>
      <c r="K596" t="s">
        <v>1350</v>
      </c>
      <c r="L596" s="44" t="str" cm="1">
        <f t="array" ref="L596">+_xlfn.IFS(COUNTIF(INGRESOS!E:E,Tabla6[[#This Row],[ID FACTURA]])=1,"PAGADA",Tabla6[[#This Row],[ID FACTURA]]&lt;&gt;0,"EMITIDA",Tabla6[[#This Row],[ID FACTURA]]=0,"POR EMITIR")</f>
        <v>PAGADA</v>
      </c>
      <c r="M596" s="55">
        <f>+IF(Tabla6[[#This Row],[ESTADO FACTURA]]="PAGADA",Tabla6[[#This Row],[FECHA]]-_xlfn.XLOOKUP(Tabla6[[#This Row],[N° FACTURA]],INGRESOS!F:F,INGRESOS!A:A),"-")</f>
        <v>0</v>
      </c>
      <c r="N596" s="2"/>
      <c r="O596"/>
    </row>
    <row r="597" spans="1:15" ht="14.75" customHeight="1">
      <c r="A597" s="320" t="s">
        <v>159</v>
      </c>
      <c r="B597" t="str">
        <f>+_xlfn.XLOOKUP(Tabla6[[#This Row],[ID CLIENTE]],'RESUMEN CLIENTES'!D:D,'RESUMEN CLIENTES'!A:A)</f>
        <v>Rodrigo Rivera Ruiz</v>
      </c>
      <c r="C597" t="str">
        <f>+_xlfn.XLOOKUP(Tabla6[[#This Row],[ID CLIENTE]],'RESUMEN CLIENTES'!D:D,'RESUMEN CLIENTES'!C:C)</f>
        <v>Chile</v>
      </c>
      <c r="D597" s="44" t="str">
        <f>+_xlfn.XLOOKUP(Tabla6[[#This Row],[ID CLIENTE]],'RESUMEN CLIENTES'!D:D,'RESUMEN CLIENTES'!M:M)</f>
        <v>OK</v>
      </c>
      <c r="E597" s="72">
        <f>+_xlfn.XLOOKUP(Tabla6[[#This Row],[NOMBRE]],'RESUMEN CLIENTES'!A:A,'RESUMEN CLIENTES'!X:X)</f>
        <v>0.8</v>
      </c>
      <c r="F597" s="72">
        <f>+_xlfn.XLOOKUP(Tabla6[[#This Row],[ID CLIENTE]],'RESUMEN CLIENTES'!D:D,'RESUMEN CLIENTES'!W:W)</f>
        <v>1</v>
      </c>
      <c r="G597" s="17">
        <v>45966</v>
      </c>
      <c r="H597" s="44" t="s">
        <v>81</v>
      </c>
      <c r="I597" s="2">
        <v>1000</v>
      </c>
      <c r="J597" s="20" t="s">
        <v>1351</v>
      </c>
      <c r="K597" t="s">
        <v>1352</v>
      </c>
      <c r="L597" s="44" t="str" cm="1">
        <f t="array" ref="L597">+_xlfn.IFS(COUNTIF(INGRESOS!E:E,Tabla6[[#This Row],[ID FACTURA]])=1,"PAGADA",Tabla6[[#This Row],[ID FACTURA]]&lt;&gt;0,"EMITIDA",Tabla6[[#This Row],[ID FACTURA]]=0,"POR EMITIR")</f>
        <v>PAGADA</v>
      </c>
      <c r="M597" s="55">
        <f>+IF(Tabla6[[#This Row],[ESTADO FACTURA]]="PAGADA",Tabla6[[#This Row],[FECHA]]-_xlfn.XLOOKUP(Tabla6[[#This Row],[N° FACTURA]],INGRESOS!F:F,INGRESOS!A:A),"-")</f>
        <v>3</v>
      </c>
      <c r="N597" s="2"/>
      <c r="O597"/>
    </row>
    <row r="598" spans="1:15" ht="14.75" customHeight="1">
      <c r="A598" s="320" t="s">
        <v>281</v>
      </c>
      <c r="B598" t="str">
        <f>+_xlfn.XLOOKUP(Tabla6[[#This Row],[ID CLIENTE]],'RESUMEN CLIENTES'!D:D,'RESUMEN CLIENTES'!A:A)</f>
        <v>Sergio Francisco Garcia Sandoval</v>
      </c>
      <c r="C598" t="str">
        <f>+_xlfn.XLOOKUP(Tabla6[[#This Row],[ID CLIENTE]],'RESUMEN CLIENTES'!D:D,'RESUMEN CLIENTES'!C:C)</f>
        <v>Perú</v>
      </c>
      <c r="D598" s="44" t="str">
        <f>+_xlfn.XLOOKUP(Tabla6[[#This Row],[ID CLIENTE]],'RESUMEN CLIENTES'!D:D,'RESUMEN CLIENTES'!M:M)</f>
        <v>OK</v>
      </c>
      <c r="E598" s="72">
        <f>+_xlfn.XLOOKUP(Tabla6[[#This Row],[NOMBRE]],'RESUMEN CLIENTES'!A:A,'RESUMEN CLIENTES'!X:X)</f>
        <v>0.88888888888888884</v>
      </c>
      <c r="F598" s="72">
        <f>+_xlfn.XLOOKUP(Tabla6[[#This Row],[ID CLIENTE]],'RESUMEN CLIENTES'!D:D,'RESUMEN CLIENTES'!W:W)</f>
        <v>1</v>
      </c>
      <c r="G598" s="17">
        <v>45966</v>
      </c>
      <c r="H598" s="44" t="s">
        <v>81</v>
      </c>
      <c r="I598" s="2">
        <v>350</v>
      </c>
      <c r="J598" s="20" t="s">
        <v>1353</v>
      </c>
      <c r="K598" t="s">
        <v>1354</v>
      </c>
      <c r="L598" s="44" t="str" cm="1">
        <f t="array" ref="L598">+_xlfn.IFS(COUNTIF(INGRESOS!E:E,Tabla6[[#This Row],[ID FACTURA]])=1,"PAGADA",Tabla6[[#This Row],[ID FACTURA]]&lt;&gt;0,"EMITIDA",Tabla6[[#This Row],[ID FACTURA]]=0,"POR EMITIR")</f>
        <v>PAGADA</v>
      </c>
      <c r="M598" s="55">
        <f>+IF(Tabla6[[#This Row],[ESTADO FACTURA]]="PAGADA",Tabla6[[#This Row],[FECHA]]-_xlfn.XLOOKUP(Tabla6[[#This Row],[N° FACTURA]],INGRESOS!F:F,INGRESOS!A:A),"-")</f>
        <v>1</v>
      </c>
      <c r="N598" s="2"/>
      <c r="O598"/>
    </row>
    <row r="599" spans="1:15" ht="14.75" customHeight="1">
      <c r="A599" s="320" t="s">
        <v>112</v>
      </c>
      <c r="B599" t="str">
        <f>+_xlfn.XLOOKUP(Tabla6[[#This Row],[ID CLIENTE]],'RESUMEN CLIENTES'!D:D,'RESUMEN CLIENTES'!A:A)</f>
        <v>Victor Emanuel Hernández Ruíz</v>
      </c>
      <c r="C599" t="str">
        <f>+_xlfn.XLOOKUP(Tabla6[[#This Row],[ID CLIENTE]],'RESUMEN CLIENTES'!D:D,'RESUMEN CLIENTES'!C:C)</f>
        <v>México</v>
      </c>
      <c r="D599" s="44" t="str">
        <f>+_xlfn.XLOOKUP(Tabla6[[#This Row],[ID CLIENTE]],'RESUMEN CLIENTES'!D:D,'RESUMEN CLIENTES'!M:M)</f>
        <v>OK</v>
      </c>
      <c r="E599" s="72">
        <f>+_xlfn.XLOOKUP(Tabla6[[#This Row],[NOMBRE]],'RESUMEN CLIENTES'!A:A,'RESUMEN CLIENTES'!X:X)</f>
        <v>-1.2727272727272727</v>
      </c>
      <c r="F599" s="72">
        <f>+_xlfn.XLOOKUP(Tabla6[[#This Row],[ID CLIENTE]],'RESUMEN CLIENTES'!D:D,'RESUMEN CLIENTES'!W:W)</f>
        <v>1</v>
      </c>
      <c r="G599" s="17">
        <v>45966</v>
      </c>
      <c r="H599" s="44" t="s">
        <v>81</v>
      </c>
      <c r="I599" s="2">
        <f>800-141-58</f>
        <v>601</v>
      </c>
      <c r="J599" s="20" t="s">
        <v>1355</v>
      </c>
      <c r="K599" t="s">
        <v>1356</v>
      </c>
      <c r="L599" s="44" t="str" cm="1">
        <f t="array" ref="L599">+_xlfn.IFS(COUNTIF(INGRESOS!E:E,Tabla6[[#This Row],[ID FACTURA]])=1,"PAGADA",Tabla6[[#This Row],[ID FACTURA]]&lt;&gt;0,"EMITIDA",Tabla6[[#This Row],[ID FACTURA]]=0,"POR EMITIR")</f>
        <v>PAGADA</v>
      </c>
      <c r="M599" s="55">
        <f>+IF(Tabla6[[#This Row],[ESTADO FACTURA]]="PAGADA",Tabla6[[#This Row],[FECHA]]-_xlfn.XLOOKUP(Tabla6[[#This Row],[N° FACTURA]],INGRESOS!F:F,INGRESOS!A:A),"-")</f>
        <v>-2</v>
      </c>
      <c r="N599" s="2"/>
      <c r="O599"/>
    </row>
    <row r="600" spans="1:15" ht="14.75" customHeight="1">
      <c r="A600" s="320" t="s">
        <v>1357</v>
      </c>
      <c r="B600" t="str">
        <f>+_xlfn.XLOOKUP(Tabla6[[#This Row],[ID CLIENTE]],'RESUMEN CLIENTES'!D:D,'RESUMEN CLIENTES'!A:A)</f>
        <v>Angel Andres Velastegui Huebla</v>
      </c>
      <c r="C600" t="str">
        <f>+_xlfn.XLOOKUP(Tabla6[[#This Row],[ID CLIENTE]],'RESUMEN CLIENTES'!D:D,'RESUMEN CLIENTES'!C:C)</f>
        <v>Ecuador</v>
      </c>
      <c r="D600" s="44" t="str">
        <f>+_xlfn.XLOOKUP(Tabla6[[#This Row],[ID CLIENTE]],'RESUMEN CLIENTES'!D:D,'RESUMEN CLIENTES'!M:M)</f>
        <v>OK</v>
      </c>
      <c r="E600" s="71">
        <f>+_xlfn.XLOOKUP(Tabla6[[#This Row],[NOMBRE]],'RESUMEN CLIENTES'!A:A,'RESUMEN CLIENTES'!X:X)</f>
        <v>0</v>
      </c>
      <c r="F600" s="71">
        <f>+_xlfn.XLOOKUP(Tabla6[[#This Row],[ID CLIENTE]],'RESUMEN CLIENTES'!D:D,'RESUMEN CLIENTES'!W:W)</f>
        <v>1</v>
      </c>
      <c r="G600" s="17">
        <v>45967</v>
      </c>
      <c r="H600" s="44" t="s">
        <v>81</v>
      </c>
      <c r="I600" s="2">
        <v>250</v>
      </c>
      <c r="J600" s="20" t="s">
        <v>1358</v>
      </c>
      <c r="K600" t="s">
        <v>1359</v>
      </c>
      <c r="L600" s="44" t="str" cm="1">
        <f t="array" ref="L600">+_xlfn.IFS(COUNTIF(INGRESOS!E:E,Tabla6[[#This Row],[ID FACTURA]])=1,"PAGADA",Tabla6[[#This Row],[ID FACTURA]]&lt;&gt;0,"EMITIDA",Tabla6[[#This Row],[ID FACTURA]]=0,"POR EMITIR")</f>
        <v>PAGADA</v>
      </c>
      <c r="M600" s="55">
        <f>+IF(Tabla6[[#This Row],[ESTADO FACTURA]]="PAGADA",Tabla6[[#This Row],[FECHA]]-_xlfn.XLOOKUP(Tabla6[[#This Row],[N° FACTURA]],INGRESOS!F:F,INGRESOS!A:A),"-")</f>
        <v>0</v>
      </c>
      <c r="N600" s="2"/>
      <c r="O600"/>
    </row>
    <row r="601" spans="1:15" ht="14.75" customHeight="1">
      <c r="A601" s="320" t="s">
        <v>904</v>
      </c>
      <c r="B601" t="str">
        <f>+_xlfn.XLOOKUP(Tabla6[[#This Row],[ID CLIENTE]],'RESUMEN CLIENTES'!D:D,'RESUMEN CLIENTES'!A:A)</f>
        <v>Armando Josmarx Suárez Solis</v>
      </c>
      <c r="C601" t="str">
        <f>+_xlfn.XLOOKUP(Tabla6[[#This Row],[ID CLIENTE]],'RESUMEN CLIENTES'!D:D,'RESUMEN CLIENTES'!C:C)</f>
        <v>Nicaragua</v>
      </c>
      <c r="D601" s="44" t="str">
        <f>+_xlfn.XLOOKUP(Tabla6[[#This Row],[ID CLIENTE]],'RESUMEN CLIENTES'!D:D,'RESUMEN CLIENTES'!M:M)</f>
        <v>OK</v>
      </c>
      <c r="E601" s="72">
        <f>+_xlfn.XLOOKUP(Tabla6[[#This Row],[NOMBRE]],'RESUMEN CLIENTES'!A:A,'RESUMEN CLIENTES'!X:X)</f>
        <v>0.5625</v>
      </c>
      <c r="F601" s="72">
        <f>+_xlfn.XLOOKUP(Tabla6[[#This Row],[ID CLIENTE]],'RESUMEN CLIENTES'!D:D,'RESUMEN CLIENTES'!W:W)</f>
        <v>1</v>
      </c>
      <c r="G601" s="17">
        <v>45967</v>
      </c>
      <c r="H601" s="44" t="s">
        <v>81</v>
      </c>
      <c r="I601" s="2">
        <v>925</v>
      </c>
      <c r="J601" s="20" t="s">
        <v>1360</v>
      </c>
      <c r="K601" t="s">
        <v>1361</v>
      </c>
      <c r="L601" s="44" t="str" cm="1">
        <f t="array" ref="L601">+_xlfn.IFS(COUNTIF(INGRESOS!E:E,Tabla6[[#This Row],[ID FACTURA]])=1,"PAGADA",Tabla6[[#This Row],[ID FACTURA]]&lt;&gt;0,"EMITIDA",Tabla6[[#This Row],[ID FACTURA]]=0,"POR EMITIR")</f>
        <v>PAGADA</v>
      </c>
      <c r="M601" s="55">
        <f>+IF(Tabla6[[#This Row],[ESTADO FACTURA]]="PAGADA",Tabla6[[#This Row],[FECHA]]-_xlfn.XLOOKUP(Tabla6[[#This Row],[N° FACTURA]],INGRESOS!F:F,INGRESOS!A:A),"-")</f>
        <v>0</v>
      </c>
      <c r="N601" s="2"/>
      <c r="O601"/>
    </row>
    <row r="602" spans="1:15" ht="14.75" customHeight="1">
      <c r="A602" s="320" t="s">
        <v>904</v>
      </c>
      <c r="B602" t="str">
        <f>+_xlfn.XLOOKUP(Tabla6[[#This Row],[ID CLIENTE]],'RESUMEN CLIENTES'!D:D,'RESUMEN CLIENTES'!A:A)</f>
        <v>Armando Josmarx Suárez Solis</v>
      </c>
      <c r="C602" t="str">
        <f>+_xlfn.XLOOKUP(Tabla6[[#This Row],[ID CLIENTE]],'RESUMEN CLIENTES'!D:D,'RESUMEN CLIENTES'!C:C)</f>
        <v>Nicaragua</v>
      </c>
      <c r="D602" s="44" t="str">
        <f>+_xlfn.XLOOKUP(Tabla6[[#This Row],[ID CLIENTE]],'RESUMEN CLIENTES'!D:D,'RESUMEN CLIENTES'!M:M)</f>
        <v>OK</v>
      </c>
      <c r="E602" s="72">
        <f>+_xlfn.XLOOKUP(Tabla6[[#This Row],[NOMBRE]],'RESUMEN CLIENTES'!A:A,'RESUMEN CLIENTES'!X:X)</f>
        <v>0.5625</v>
      </c>
      <c r="F602" s="72">
        <f>+_xlfn.XLOOKUP(Tabla6[[#This Row],[ID CLIENTE]],'RESUMEN CLIENTES'!D:D,'RESUMEN CLIENTES'!W:W)</f>
        <v>1</v>
      </c>
      <c r="G602" s="17">
        <v>45967</v>
      </c>
      <c r="H602" s="44" t="s">
        <v>81</v>
      </c>
      <c r="I602" s="2">
        <v>925</v>
      </c>
      <c r="J602" s="20" t="s">
        <v>1362</v>
      </c>
      <c r="K602" t="s">
        <v>1363</v>
      </c>
      <c r="L602" s="44" t="str" cm="1">
        <f t="array" ref="L602">+_xlfn.IFS(COUNTIF(INGRESOS!E:E,Tabla6[[#This Row],[ID FACTURA]])=1,"PAGADA",Tabla6[[#This Row],[ID FACTURA]]&lt;&gt;0,"EMITIDA",Tabla6[[#This Row],[ID FACTURA]]=0,"POR EMITIR")</f>
        <v>PAGADA</v>
      </c>
      <c r="M602" s="55">
        <f>+IF(Tabla6[[#This Row],[ESTADO FACTURA]]="PAGADA",Tabla6[[#This Row],[FECHA]]-_xlfn.XLOOKUP(Tabla6[[#This Row],[N° FACTURA]],INGRESOS!F:F,INGRESOS!A:A),"-")</f>
        <v>0</v>
      </c>
      <c r="N602" s="2"/>
      <c r="O602"/>
    </row>
    <row r="603" spans="1:15" ht="14.75" customHeight="1">
      <c r="A603" s="320" t="s">
        <v>904</v>
      </c>
      <c r="B603" t="str">
        <f>+_xlfn.XLOOKUP(Tabla6[[#This Row],[ID CLIENTE]],'RESUMEN CLIENTES'!D:D,'RESUMEN CLIENTES'!A:A)</f>
        <v>Armando Josmarx Suárez Solis</v>
      </c>
      <c r="C603" t="str">
        <f>+_xlfn.XLOOKUP(Tabla6[[#This Row],[ID CLIENTE]],'RESUMEN CLIENTES'!D:D,'RESUMEN CLIENTES'!C:C)</f>
        <v>Nicaragua</v>
      </c>
      <c r="D603" s="44" t="str">
        <f>+_xlfn.XLOOKUP(Tabla6[[#This Row],[ID CLIENTE]],'RESUMEN CLIENTES'!D:D,'RESUMEN CLIENTES'!M:M)</f>
        <v>OK</v>
      </c>
      <c r="E603" s="72">
        <f>+_xlfn.XLOOKUP(Tabla6[[#This Row],[NOMBRE]],'RESUMEN CLIENTES'!A:A,'RESUMEN CLIENTES'!X:X)</f>
        <v>0.5625</v>
      </c>
      <c r="F603" s="72">
        <f>+_xlfn.XLOOKUP(Tabla6[[#This Row],[ID CLIENTE]],'RESUMEN CLIENTES'!D:D,'RESUMEN CLIENTES'!W:W)</f>
        <v>1</v>
      </c>
      <c r="G603" s="17">
        <v>45967</v>
      </c>
      <c r="H603" s="44" t="s">
        <v>81</v>
      </c>
      <c r="I603" s="2">
        <v>925</v>
      </c>
      <c r="J603" s="20" t="s">
        <v>1364</v>
      </c>
      <c r="K603" t="s">
        <v>1365</v>
      </c>
      <c r="L603" s="44" t="str" cm="1">
        <f t="array" ref="L603">+_xlfn.IFS(COUNTIF(INGRESOS!E:E,Tabla6[[#This Row],[ID FACTURA]])=1,"PAGADA",Tabla6[[#This Row],[ID FACTURA]]&lt;&gt;0,"EMITIDA",Tabla6[[#This Row],[ID FACTURA]]=0,"POR EMITIR")</f>
        <v>PAGADA</v>
      </c>
      <c r="M603" s="55">
        <f>+IF(Tabla6[[#This Row],[ESTADO FACTURA]]="PAGADA",Tabla6[[#This Row],[FECHA]]-_xlfn.XLOOKUP(Tabla6[[#This Row],[N° FACTURA]],INGRESOS!F:F,INGRESOS!A:A),"-")</f>
        <v>0</v>
      </c>
      <c r="N603" s="2"/>
      <c r="O603"/>
    </row>
    <row r="604" spans="1:15" ht="14.75" customHeight="1">
      <c r="A604" s="320" t="s">
        <v>904</v>
      </c>
      <c r="B604" t="str">
        <f>+_xlfn.XLOOKUP(Tabla6[[#This Row],[ID CLIENTE]],'RESUMEN CLIENTES'!D:D,'RESUMEN CLIENTES'!A:A)</f>
        <v>Armando Josmarx Suárez Solis</v>
      </c>
      <c r="C604" t="str">
        <f>+_xlfn.XLOOKUP(Tabla6[[#This Row],[ID CLIENTE]],'RESUMEN CLIENTES'!D:D,'RESUMEN CLIENTES'!C:C)</f>
        <v>Nicaragua</v>
      </c>
      <c r="D604" s="44" t="str">
        <f>+_xlfn.XLOOKUP(Tabla6[[#This Row],[ID CLIENTE]],'RESUMEN CLIENTES'!D:D,'RESUMEN CLIENTES'!M:M)</f>
        <v>OK</v>
      </c>
      <c r="E604" s="72">
        <f>+_xlfn.XLOOKUP(Tabla6[[#This Row],[NOMBRE]],'RESUMEN CLIENTES'!A:A,'RESUMEN CLIENTES'!X:X)</f>
        <v>0.5625</v>
      </c>
      <c r="F604" s="72">
        <f>+_xlfn.XLOOKUP(Tabla6[[#This Row],[ID CLIENTE]],'RESUMEN CLIENTES'!D:D,'RESUMEN CLIENTES'!W:W)</f>
        <v>1</v>
      </c>
      <c r="G604" s="17">
        <v>45967</v>
      </c>
      <c r="H604" s="44" t="s">
        <v>81</v>
      </c>
      <c r="I604" s="2">
        <v>925</v>
      </c>
      <c r="J604" s="20" t="s">
        <v>1366</v>
      </c>
      <c r="K604" t="s">
        <v>1367</v>
      </c>
      <c r="L604" s="44" t="str" cm="1">
        <f t="array" ref="L604">+_xlfn.IFS(COUNTIF(INGRESOS!E:E,Tabla6[[#This Row],[ID FACTURA]])=1,"PAGADA",Tabla6[[#This Row],[ID FACTURA]]&lt;&gt;0,"EMITIDA",Tabla6[[#This Row],[ID FACTURA]]=0,"POR EMITIR")</f>
        <v>PAGADA</v>
      </c>
      <c r="M604" s="55">
        <f>+IF(Tabla6[[#This Row],[ESTADO FACTURA]]="PAGADA",Tabla6[[#This Row],[FECHA]]-_xlfn.XLOOKUP(Tabla6[[#This Row],[N° FACTURA]],INGRESOS!F:F,INGRESOS!A:A),"-")</f>
        <v>0</v>
      </c>
      <c r="N604" s="2"/>
      <c r="O604"/>
    </row>
    <row r="605" spans="1:15" ht="14.75" customHeight="1">
      <c r="A605" s="320" t="s">
        <v>907</v>
      </c>
      <c r="B605" t="str">
        <f>+_xlfn.XLOOKUP(Tabla6[[#This Row],[ID CLIENTE]],'RESUMEN CLIENTES'!D:D,'RESUMEN CLIENTES'!A:A)</f>
        <v>Luis Carlos Villa Cortés</v>
      </c>
      <c r="C605" t="str">
        <f>+_xlfn.XLOOKUP(Tabla6[[#This Row],[ID CLIENTE]],'RESUMEN CLIENTES'!D:D,'RESUMEN CLIENTES'!C:C)</f>
        <v>México</v>
      </c>
      <c r="D605" s="44" t="str">
        <f>+_xlfn.XLOOKUP(Tabla6[[#This Row],[ID CLIENTE]],'RESUMEN CLIENTES'!D:D,'RESUMEN CLIENTES'!M:M)</f>
        <v>OK</v>
      </c>
      <c r="E605" s="72">
        <f>+_xlfn.XLOOKUP(Tabla6[[#This Row],[NOMBRE]],'RESUMEN CLIENTES'!A:A,'RESUMEN CLIENTES'!X:X)</f>
        <v>0</v>
      </c>
      <c r="F605" s="72">
        <f>+_xlfn.XLOOKUP(Tabla6[[#This Row],[ID CLIENTE]],'RESUMEN CLIENTES'!D:D,'RESUMEN CLIENTES'!W:W)</f>
        <v>1</v>
      </c>
      <c r="G605" s="17">
        <v>45967</v>
      </c>
      <c r="H605" s="44" t="s">
        <v>81</v>
      </c>
      <c r="I605" s="2">
        <v>1000</v>
      </c>
      <c r="J605" s="20" t="s">
        <v>1368</v>
      </c>
      <c r="K605" t="s">
        <v>1369</v>
      </c>
      <c r="L605" s="44" t="str" cm="1">
        <f t="array" ref="L605">+_xlfn.IFS(COUNTIF(INGRESOS!E:E,Tabla6[[#This Row],[ID FACTURA]])=1,"PAGADA",Tabla6[[#This Row],[ID FACTURA]]&lt;&gt;0,"EMITIDA",Tabla6[[#This Row],[ID FACTURA]]=0,"POR EMITIR")</f>
        <v>PAGADA</v>
      </c>
      <c r="M605" s="55">
        <f>+IF(Tabla6[[#This Row],[ESTADO FACTURA]]="PAGADA",Tabla6[[#This Row],[FECHA]]-_xlfn.XLOOKUP(Tabla6[[#This Row],[N° FACTURA]],INGRESOS!F:F,INGRESOS!A:A),"-")</f>
        <v>0</v>
      </c>
      <c r="N605" s="2"/>
      <c r="O605"/>
    </row>
    <row r="606" spans="1:15" ht="14.75" customHeight="1">
      <c r="A606" s="320" t="s">
        <v>1152</v>
      </c>
      <c r="B606" t="str">
        <f>+_xlfn.XLOOKUP(Tabla6[[#This Row],[ID CLIENTE]],'RESUMEN CLIENTES'!D:D,'RESUMEN CLIENTES'!A:A)</f>
        <v>Ricardo Ernesto Miño Valencia</v>
      </c>
      <c r="C606" t="str">
        <f>+_xlfn.XLOOKUP(Tabla6[[#This Row],[ID CLIENTE]],'RESUMEN CLIENTES'!D:D,'RESUMEN CLIENTES'!C:C)</f>
        <v>Ecuador</v>
      </c>
      <c r="D606" s="44" t="str">
        <f>+_xlfn.XLOOKUP(Tabla6[[#This Row],[ID CLIENTE]],'RESUMEN CLIENTES'!D:D,'RESUMEN CLIENTES'!M:M)</f>
        <v>OK</v>
      </c>
      <c r="E606" s="72">
        <f>+_xlfn.XLOOKUP(Tabla6[[#This Row],[NOMBRE]],'RESUMEN CLIENTES'!A:A,'RESUMEN CLIENTES'!X:X)</f>
        <v>-3.2</v>
      </c>
      <c r="F606" s="72">
        <f>+_xlfn.XLOOKUP(Tabla6[[#This Row],[ID CLIENTE]],'RESUMEN CLIENTES'!D:D,'RESUMEN CLIENTES'!W:W)</f>
        <v>1</v>
      </c>
      <c r="G606" s="17">
        <v>45967</v>
      </c>
      <c r="H606" s="44" t="s">
        <v>81</v>
      </c>
      <c r="I606" s="2">
        <v>700</v>
      </c>
      <c r="J606" s="20" t="s">
        <v>1370</v>
      </c>
      <c r="K606" t="s">
        <v>1371</v>
      </c>
      <c r="L606" s="44" t="str" cm="1">
        <f t="array" ref="L606">+_xlfn.IFS(COUNTIF(INGRESOS!E:E,Tabla6[[#This Row],[ID FACTURA]])=1,"PAGADA",Tabla6[[#This Row],[ID FACTURA]]&lt;&gt;0,"EMITIDA",Tabla6[[#This Row],[ID FACTURA]]=0,"POR EMITIR")</f>
        <v>PAGADA</v>
      </c>
      <c r="M606" s="55">
        <f>+IF(Tabla6[[#This Row],[ESTADO FACTURA]]="PAGADA",Tabla6[[#This Row],[FECHA]]-_xlfn.XLOOKUP(Tabla6[[#This Row],[N° FACTURA]],INGRESOS!F:F,INGRESOS!A:A),"-")</f>
        <v>-5</v>
      </c>
      <c r="N606" s="2"/>
      <c r="O606" s="8"/>
    </row>
    <row r="607" spans="1:15" ht="14.75" customHeight="1">
      <c r="A607" s="320" t="s">
        <v>278</v>
      </c>
      <c r="B607" t="str">
        <f>+_xlfn.XLOOKUP(Tabla6[[#This Row],[ID CLIENTE]],'RESUMEN CLIENTES'!D:D,'RESUMEN CLIENTES'!A:A)</f>
        <v>Liliana María Moreno Martinez</v>
      </c>
      <c r="C607" t="str">
        <f>+_xlfn.XLOOKUP(Tabla6[[#This Row],[ID CLIENTE]],'RESUMEN CLIENTES'!D:D,'RESUMEN CLIENTES'!C:C)</f>
        <v>El Salvador</v>
      </c>
      <c r="D607" s="44" t="str">
        <f>+_xlfn.XLOOKUP(Tabla6[[#This Row],[ID CLIENTE]],'RESUMEN CLIENTES'!D:D,'RESUMEN CLIENTES'!M:M)</f>
        <v>ELIMINADO</v>
      </c>
      <c r="E607" s="72">
        <f>+_xlfn.XLOOKUP(Tabla6[[#This Row],[NOMBRE]],'RESUMEN CLIENTES'!A:A,'RESUMEN CLIENTES'!X:X)</f>
        <v>-1.4444444444444444</v>
      </c>
      <c r="F607" s="72">
        <f>+_xlfn.XLOOKUP(Tabla6[[#This Row],[ID CLIENTE]],'RESUMEN CLIENTES'!D:D,'RESUMEN CLIENTES'!W:W)</f>
        <v>0</v>
      </c>
      <c r="G607" s="17">
        <v>45968</v>
      </c>
      <c r="H607" s="44" t="s">
        <v>81</v>
      </c>
      <c r="I607" s="2">
        <v>500</v>
      </c>
      <c r="J607" s="20" t="s">
        <v>1372</v>
      </c>
      <c r="K607" t="s">
        <v>1373</v>
      </c>
      <c r="L607" s="44" t="str" cm="1">
        <f t="array" ref="L607">+_xlfn.IFS(COUNTIF(INGRESOS!E:E,Tabla6[[#This Row],[ID FACTURA]])=1,"PAGADA",Tabla6[[#This Row],[ID FACTURA]]&lt;&gt;0,"EMITIDA",Tabla6[[#This Row],[ID FACTURA]]=0,"POR EMITIR")</f>
        <v>PAGADA</v>
      </c>
      <c r="M607" s="55">
        <f>+IF(Tabla6[[#This Row],[ESTADO FACTURA]]="PAGADA",Tabla6[[#This Row],[FECHA]]-_xlfn.XLOOKUP(Tabla6[[#This Row],[N° FACTURA]],INGRESOS!F:F,INGRESOS!A:A),"-")</f>
        <v>-7</v>
      </c>
      <c r="N607" s="2"/>
      <c r="O607"/>
    </row>
    <row r="608" spans="1:15" ht="14.75" customHeight="1">
      <c r="A608" s="320" t="s">
        <v>1374</v>
      </c>
      <c r="B608" t="str">
        <f>+_xlfn.XLOOKUP(Tabla6[[#This Row],[ID CLIENTE]],'RESUMEN CLIENTES'!D:D,'RESUMEN CLIENTES'!A:A)</f>
        <v>Samuel Sebastián Marmolejo Saldarriaga</v>
      </c>
      <c r="C608" t="str">
        <f>+_xlfn.XLOOKUP(Tabla6[[#This Row],[ID CLIENTE]],'RESUMEN CLIENTES'!D:D,'RESUMEN CLIENTES'!C:C)</f>
        <v>Perú</v>
      </c>
      <c r="D608" s="44" t="str">
        <f>+_xlfn.XLOOKUP(Tabla6[[#This Row],[ID CLIENTE]],'RESUMEN CLIENTES'!D:D,'RESUMEN CLIENTES'!M:M)</f>
        <v>OK</v>
      </c>
      <c r="E608" s="71">
        <f>+_xlfn.XLOOKUP(Tabla6[[#This Row],[NOMBRE]],'RESUMEN CLIENTES'!A:A,'RESUMEN CLIENTES'!X:X)</f>
        <v>-0.5</v>
      </c>
      <c r="F608" s="71">
        <f>+_xlfn.XLOOKUP(Tabla6[[#This Row],[ID CLIENTE]],'RESUMEN CLIENTES'!D:D,'RESUMEN CLIENTES'!W:W)</f>
        <v>0</v>
      </c>
      <c r="G608" s="17">
        <v>45968</v>
      </c>
      <c r="H608" s="44" t="s">
        <v>81</v>
      </c>
      <c r="I608" s="2">
        <v>500</v>
      </c>
      <c r="J608" s="20" t="s">
        <v>1375</v>
      </c>
      <c r="K608" t="s">
        <v>1376</v>
      </c>
      <c r="L608" s="44" t="str" cm="1">
        <f t="array" ref="L608">+_xlfn.IFS(COUNTIF(INGRESOS!E:E,Tabla6[[#This Row],[ID FACTURA]])=1,"PAGADA",Tabla6[[#This Row],[ID FACTURA]]&lt;&gt;0,"EMITIDA",Tabla6[[#This Row],[ID FACTURA]]=0,"POR EMITIR")</f>
        <v>PAGADA</v>
      </c>
      <c r="M608" s="55">
        <f>+IF(Tabla6[[#This Row],[ESTADO FACTURA]]="PAGADA",Tabla6[[#This Row],[FECHA]]-_xlfn.XLOOKUP(Tabla6[[#This Row],[N° FACTURA]],INGRESOS!F:F,INGRESOS!A:A),"-")</f>
        <v>-2</v>
      </c>
      <c r="N608" s="2"/>
      <c r="O608"/>
    </row>
    <row r="609" spans="1:15" ht="14.75" customHeight="1">
      <c r="A609" s="320" t="s">
        <v>1357</v>
      </c>
      <c r="B609" t="str">
        <f>+_xlfn.XLOOKUP(Tabla6[[#This Row],[ID CLIENTE]],'RESUMEN CLIENTES'!D:D,'RESUMEN CLIENTES'!A:A)</f>
        <v>Angel Andres Velastegui Huebla</v>
      </c>
      <c r="C609" t="str">
        <f>+_xlfn.XLOOKUP(Tabla6[[#This Row],[ID CLIENTE]],'RESUMEN CLIENTES'!D:D,'RESUMEN CLIENTES'!C:C)</f>
        <v>Ecuador</v>
      </c>
      <c r="D609" s="44" t="str">
        <f>+_xlfn.XLOOKUP(Tabla6[[#This Row],[ID CLIENTE]],'RESUMEN CLIENTES'!D:D,'RESUMEN CLIENTES'!M:M)</f>
        <v>OK</v>
      </c>
      <c r="E609" s="71">
        <f>+_xlfn.XLOOKUP(Tabla6[[#This Row],[NOMBRE]],'RESUMEN CLIENTES'!A:A,'RESUMEN CLIENTES'!X:X)</f>
        <v>0</v>
      </c>
      <c r="F609" s="71">
        <f>+_xlfn.XLOOKUP(Tabla6[[#This Row],[ID CLIENTE]],'RESUMEN CLIENTES'!D:D,'RESUMEN CLIENTES'!W:W)</f>
        <v>1</v>
      </c>
      <c r="G609" s="17">
        <v>45969</v>
      </c>
      <c r="H609" s="44" t="s">
        <v>81</v>
      </c>
      <c r="I609" s="2">
        <v>2750</v>
      </c>
      <c r="J609" s="20" t="s">
        <v>1377</v>
      </c>
      <c r="K609" t="s">
        <v>1378</v>
      </c>
      <c r="L609" s="44" t="str" cm="1">
        <f t="array" ref="L609">+_xlfn.IFS(COUNTIF(INGRESOS!E:E,Tabla6[[#This Row],[ID FACTURA]])=1,"PAGADA",Tabla6[[#This Row],[ID FACTURA]]&lt;&gt;0,"EMITIDA",Tabla6[[#This Row],[ID FACTURA]]=0,"POR EMITIR")</f>
        <v>PAGADA</v>
      </c>
      <c r="M609" s="55">
        <f>+IF(Tabla6[[#This Row],[ESTADO FACTURA]]="PAGADA",Tabla6[[#This Row],[FECHA]]-_xlfn.XLOOKUP(Tabla6[[#This Row],[N° FACTURA]],INGRESOS!F:F,INGRESOS!A:A),"-")</f>
        <v>1</v>
      </c>
      <c r="N609" s="2"/>
      <c r="O609"/>
    </row>
    <row r="610" spans="1:15" ht="14.75" customHeight="1">
      <c r="A610" s="320" t="s">
        <v>253</v>
      </c>
      <c r="B610" t="str">
        <f>+_xlfn.XLOOKUP(Tabla6[[#This Row],[ID CLIENTE]],'RESUMEN CLIENTES'!D:D,'RESUMEN CLIENTES'!A:A)</f>
        <v>Diego Alonso Salazar Palacios</v>
      </c>
      <c r="C610" t="str">
        <f>+_xlfn.XLOOKUP(Tabla6[[#This Row],[ID CLIENTE]],'RESUMEN CLIENTES'!D:D,'RESUMEN CLIENTES'!C:C)</f>
        <v>Perú</v>
      </c>
      <c r="D610" s="44" t="str">
        <f>+_xlfn.XLOOKUP(Tabla6[[#This Row],[ID CLIENTE]],'RESUMEN CLIENTES'!D:D,'RESUMEN CLIENTES'!M:M)</f>
        <v>OK</v>
      </c>
      <c r="E610" s="72">
        <f>+_xlfn.XLOOKUP(Tabla6[[#This Row],[NOMBRE]],'RESUMEN CLIENTES'!A:A,'RESUMEN CLIENTES'!X:X)</f>
        <v>0.18560606059988707</v>
      </c>
      <c r="F610" s="72">
        <f>+_xlfn.XLOOKUP(Tabla6[[#This Row],[ID CLIENTE]],'RESUMEN CLIENTES'!D:D,'RESUMEN CLIENTES'!W:W)</f>
        <v>1</v>
      </c>
      <c r="G610" s="17">
        <v>45969</v>
      </c>
      <c r="H610" s="44" t="s">
        <v>81</v>
      </c>
      <c r="I610" s="2">
        <v>1000</v>
      </c>
      <c r="J610" s="20" t="s">
        <v>1379</v>
      </c>
      <c r="K610" t="s">
        <v>1380</v>
      </c>
      <c r="L610" s="44" t="str" cm="1">
        <f t="array" ref="L610">+_xlfn.IFS(COUNTIF(INGRESOS!E:E,Tabla6[[#This Row],[ID FACTURA]])=1,"PAGADA",Tabla6[[#This Row],[ID FACTURA]]&lt;&gt;0,"EMITIDA",Tabla6[[#This Row],[ID FACTURA]]=0,"POR EMITIR")</f>
        <v>PAGADA</v>
      </c>
      <c r="M610" s="55">
        <f>+IF(Tabla6[[#This Row],[ESTADO FACTURA]]="PAGADA",Tabla6[[#This Row],[FECHA]]-_xlfn.XLOOKUP(Tabla6[[#This Row],[N° FACTURA]],INGRESOS!F:F,INGRESOS!A:A),"-")</f>
        <v>0</v>
      </c>
      <c r="N610" s="2"/>
      <c r="O610"/>
    </row>
    <row r="611" spans="1:15" ht="14.75" customHeight="1">
      <c r="A611" s="320" t="s">
        <v>274</v>
      </c>
      <c r="B611" t="str">
        <f>+_xlfn.XLOOKUP(Tabla6[[#This Row],[ID CLIENTE]],'RESUMEN CLIENTES'!D:D,'RESUMEN CLIENTES'!A:A)</f>
        <v>María de los Ángeles Gutiérrez Quevedo</v>
      </c>
      <c r="C611" t="str">
        <f>+_xlfn.XLOOKUP(Tabla6[[#This Row],[ID CLIENTE]],'RESUMEN CLIENTES'!D:D,'RESUMEN CLIENTES'!C:C)</f>
        <v>Chile</v>
      </c>
      <c r="D611" s="44" t="str">
        <f>+_xlfn.XLOOKUP(Tabla6[[#This Row],[ID CLIENTE]],'RESUMEN CLIENTES'!D:D,'RESUMEN CLIENTES'!M:M)</f>
        <v>OK</v>
      </c>
      <c r="E611" s="72">
        <f>+_xlfn.XLOOKUP(Tabla6[[#This Row],[NOMBRE]],'RESUMEN CLIENTES'!A:A,'RESUMEN CLIENTES'!X:X)</f>
        <v>0.22222222222222221</v>
      </c>
      <c r="F611" s="72">
        <f>+_xlfn.XLOOKUP(Tabla6[[#This Row],[ID CLIENTE]],'RESUMEN CLIENTES'!D:D,'RESUMEN CLIENTES'!W:W)</f>
        <v>1</v>
      </c>
      <c r="G611" s="17">
        <v>45971</v>
      </c>
      <c r="H611" s="44" t="s">
        <v>81</v>
      </c>
      <c r="I611" s="2">
        <v>1500</v>
      </c>
      <c r="J611" s="20" t="s">
        <v>1381</v>
      </c>
      <c r="K611" t="s">
        <v>1382</v>
      </c>
      <c r="L611" s="44" t="str" cm="1">
        <f t="array" ref="L611">+_xlfn.IFS(COUNTIF(INGRESOS!E:E,Tabla6[[#This Row],[ID FACTURA]])=1,"PAGADA",Tabla6[[#This Row],[ID FACTURA]]&lt;&gt;0,"EMITIDA",Tabla6[[#This Row],[ID FACTURA]]=0,"POR EMITIR")</f>
        <v>PAGADA</v>
      </c>
      <c r="M611" s="55">
        <f>+IF(Tabla6[[#This Row],[ESTADO FACTURA]]="PAGADA",Tabla6[[#This Row],[FECHA]]-_xlfn.XLOOKUP(Tabla6[[#This Row],[N° FACTURA]],INGRESOS!F:F,INGRESOS!A:A),"-")</f>
        <v>0</v>
      </c>
      <c r="N611" s="2"/>
      <c r="O611"/>
    </row>
    <row r="612" spans="1:15" ht="14.75" customHeight="1">
      <c r="A612" s="320" t="s">
        <v>455</v>
      </c>
      <c r="B612" t="str">
        <f>+_xlfn.XLOOKUP(Tabla6[[#This Row],[ID CLIENTE]],'RESUMEN CLIENTES'!D:D,'RESUMEN CLIENTES'!A:A)</f>
        <v>Paola Hitos</v>
      </c>
      <c r="C612" t="str">
        <f>+_xlfn.XLOOKUP(Tabla6[[#This Row],[ID CLIENTE]],'RESUMEN CLIENTES'!D:D,'RESUMEN CLIENTES'!C:C)</f>
        <v>México</v>
      </c>
      <c r="D612" s="44" t="str">
        <f>+_xlfn.XLOOKUP(Tabla6[[#This Row],[ID CLIENTE]],'RESUMEN CLIENTES'!D:D,'RESUMEN CLIENTES'!M:M)</f>
        <v>OK</v>
      </c>
      <c r="E612" s="72">
        <f>+_xlfn.XLOOKUP(Tabla6[[#This Row],[NOMBRE]],'RESUMEN CLIENTES'!A:A,'RESUMEN CLIENTES'!X:X)</f>
        <v>-0.55555555555555558</v>
      </c>
      <c r="F612" s="72">
        <f>+_xlfn.XLOOKUP(Tabla6[[#This Row],[ID CLIENTE]],'RESUMEN CLIENTES'!D:D,'RESUMEN CLIENTES'!W:W)</f>
        <v>1</v>
      </c>
      <c r="G612" s="17">
        <v>45971</v>
      </c>
      <c r="H612" s="44" t="s">
        <v>81</v>
      </c>
      <c r="I612" s="2">
        <v>1000</v>
      </c>
      <c r="J612" s="20" t="s">
        <v>1383</v>
      </c>
      <c r="K612" t="s">
        <v>1384</v>
      </c>
      <c r="L612" s="44" t="str" cm="1">
        <f t="array" ref="L612">+_xlfn.IFS(COUNTIF(INGRESOS!E:E,Tabla6[[#This Row],[ID FACTURA]])=1,"PAGADA",Tabla6[[#This Row],[ID FACTURA]]&lt;&gt;0,"EMITIDA",Tabla6[[#This Row],[ID FACTURA]]=0,"POR EMITIR")</f>
        <v>PAGADA</v>
      </c>
      <c r="M612" s="55">
        <f>+IF(Tabla6[[#This Row],[ESTADO FACTURA]]="PAGADA",Tabla6[[#This Row],[FECHA]]-_xlfn.XLOOKUP(Tabla6[[#This Row],[N° FACTURA]],INGRESOS!F:F,INGRESOS!A:A),"-")</f>
        <v>0</v>
      </c>
      <c r="N612" s="2"/>
      <c r="O612"/>
    </row>
    <row r="613" spans="1:15" ht="14.75" customHeight="1">
      <c r="A613" s="320" t="s">
        <v>855</v>
      </c>
      <c r="B613" t="str">
        <f>+_xlfn.XLOOKUP(Tabla6[[#This Row],[ID CLIENTE]],'RESUMEN CLIENTES'!D:D,'RESUMEN CLIENTES'!A:A)</f>
        <v>Paula Ida Elisa Saris Sommer</v>
      </c>
      <c r="C613" t="str">
        <f>+_xlfn.XLOOKUP(Tabla6[[#This Row],[ID CLIENTE]],'RESUMEN CLIENTES'!D:D,'RESUMEN CLIENTES'!C:C)</f>
        <v>Argentina</v>
      </c>
      <c r="D613" s="44" t="str">
        <f>+_xlfn.XLOOKUP(Tabla6[[#This Row],[ID CLIENTE]],'RESUMEN CLIENTES'!D:D,'RESUMEN CLIENTES'!M:M)</f>
        <v>OK</v>
      </c>
      <c r="E613" s="72">
        <f>+_xlfn.XLOOKUP(Tabla6[[#This Row],[NOMBRE]],'RESUMEN CLIENTES'!A:A,'RESUMEN CLIENTES'!X:X)</f>
        <v>-8.7894736842105257</v>
      </c>
      <c r="F613" s="72">
        <f>+_xlfn.XLOOKUP(Tabla6[[#This Row],[ID CLIENTE]],'RESUMEN CLIENTES'!D:D,'RESUMEN CLIENTES'!W:W)</f>
        <v>0</v>
      </c>
      <c r="G613" s="17">
        <v>45971</v>
      </c>
      <c r="H613" s="44" t="s">
        <v>81</v>
      </c>
      <c r="I613" s="2">
        <v>500</v>
      </c>
      <c r="J613" s="20" t="s">
        <v>1385</v>
      </c>
      <c r="K613" t="s">
        <v>1386</v>
      </c>
      <c r="L613" s="44" t="str" cm="1">
        <f t="array" ref="L613">+_xlfn.IFS(COUNTIF(INGRESOS!E:E,Tabla6[[#This Row],[ID FACTURA]])=1,"PAGADA",Tabla6[[#This Row],[ID FACTURA]]&lt;&gt;0,"EMITIDA",Tabla6[[#This Row],[ID FACTURA]]=0,"POR EMITIR")</f>
        <v>PAGADA</v>
      </c>
      <c r="M613" s="55">
        <f>+IF(Tabla6[[#This Row],[ESTADO FACTURA]]="PAGADA",Tabla6[[#This Row],[FECHA]]-_xlfn.XLOOKUP(Tabla6[[#This Row],[N° FACTURA]],INGRESOS!F:F,INGRESOS!A:A),"-")</f>
        <v>-3</v>
      </c>
      <c r="N613" s="2"/>
      <c r="O613"/>
    </row>
    <row r="614" spans="1:15" ht="14.75" customHeight="1">
      <c r="A614" s="320" t="s">
        <v>275</v>
      </c>
      <c r="B614" t="str">
        <f>+_xlfn.XLOOKUP(Tabla6[[#This Row],[ID CLIENTE]],'RESUMEN CLIENTES'!D:D,'RESUMEN CLIENTES'!A:A)</f>
        <v>Rodrigo Alfonso Busse Hernández</v>
      </c>
      <c r="C614" t="str">
        <f>+_xlfn.XLOOKUP(Tabla6[[#This Row],[ID CLIENTE]],'RESUMEN CLIENTES'!D:D,'RESUMEN CLIENTES'!C:C)</f>
        <v>Chile</v>
      </c>
      <c r="D614" s="44" t="str">
        <f>+_xlfn.XLOOKUP(Tabla6[[#This Row],[ID CLIENTE]],'RESUMEN CLIENTES'!D:D,'RESUMEN CLIENTES'!M:M)</f>
        <v>OK</v>
      </c>
      <c r="E614" s="72">
        <f>+_xlfn.XLOOKUP(Tabla6[[#This Row],[NOMBRE]],'RESUMEN CLIENTES'!A:A,'RESUMEN CLIENTES'!X:X)</f>
        <v>0.33333333333333331</v>
      </c>
      <c r="F614" s="72">
        <f>+_xlfn.XLOOKUP(Tabla6[[#This Row],[ID CLIENTE]],'RESUMEN CLIENTES'!D:D,'RESUMEN CLIENTES'!W:W)</f>
        <v>1</v>
      </c>
      <c r="G614" s="17">
        <v>45971</v>
      </c>
      <c r="H614" s="44" t="s">
        <v>81</v>
      </c>
      <c r="I614" s="2">
        <v>1111</v>
      </c>
      <c r="J614" s="20" t="s">
        <v>1387</v>
      </c>
      <c r="K614" t="s">
        <v>1388</v>
      </c>
      <c r="L614" s="44" t="str" cm="1">
        <f t="array" ref="L614">+_xlfn.IFS(COUNTIF(INGRESOS!E:E,Tabla6[[#This Row],[ID FACTURA]])=1,"PAGADA",Tabla6[[#This Row],[ID FACTURA]]&lt;&gt;0,"EMITIDA",Tabla6[[#This Row],[ID FACTURA]]=0,"POR EMITIR")</f>
        <v>PAGADA</v>
      </c>
      <c r="M614" s="55">
        <f>+IF(Tabla6[[#This Row],[ESTADO FACTURA]]="PAGADA",Tabla6[[#This Row],[FECHA]]-_xlfn.XLOOKUP(Tabla6[[#This Row],[N° FACTURA]],INGRESOS!F:F,INGRESOS!A:A),"-")</f>
        <v>1</v>
      </c>
      <c r="N614" s="2"/>
      <c r="O614"/>
    </row>
    <row r="615" spans="1:15" ht="14.75" customHeight="1">
      <c r="A615" s="320" t="s">
        <v>501</v>
      </c>
      <c r="B615" t="str">
        <f>+_xlfn.XLOOKUP(Tabla6[[#This Row],[ID CLIENTE]],'RESUMEN CLIENTES'!D:D,'RESUMEN CLIENTES'!A:A)</f>
        <v>Kimberly Chantelle Frey Arteaga</v>
      </c>
      <c r="C615" t="str">
        <f>+_xlfn.XLOOKUP(Tabla6[[#This Row],[ID CLIENTE]],'RESUMEN CLIENTES'!D:D,'RESUMEN CLIENTES'!C:C)</f>
        <v>México</v>
      </c>
      <c r="D615" s="44" t="str">
        <f>+_xlfn.XLOOKUP(Tabla6[[#This Row],[ID CLIENTE]],'RESUMEN CLIENTES'!D:D,'RESUMEN CLIENTES'!M:M)</f>
        <v>OK</v>
      </c>
      <c r="E615" s="72">
        <f>+_xlfn.XLOOKUP(Tabla6[[#This Row],[NOMBRE]],'RESUMEN CLIENTES'!A:A,'RESUMEN CLIENTES'!X:X)</f>
        <v>0</v>
      </c>
      <c r="F615" s="72">
        <f>+_xlfn.XLOOKUP(Tabla6[[#This Row],[ID CLIENTE]],'RESUMEN CLIENTES'!D:D,'RESUMEN CLIENTES'!W:W)</f>
        <v>1</v>
      </c>
      <c r="G615" s="17">
        <v>45973</v>
      </c>
      <c r="H615" s="44" t="s">
        <v>81</v>
      </c>
      <c r="I615" s="2">
        <v>1000</v>
      </c>
      <c r="J615" s="20" t="s">
        <v>1389</v>
      </c>
      <c r="K615" t="s">
        <v>1390</v>
      </c>
      <c r="L615" s="44" t="str" cm="1">
        <f t="array" ref="L615">+_xlfn.IFS(COUNTIF(INGRESOS!E:E,Tabla6[[#This Row],[ID FACTURA]])=1,"PAGADA",Tabla6[[#This Row],[ID FACTURA]]&lt;&gt;0,"EMITIDA",Tabla6[[#This Row],[ID FACTURA]]=0,"POR EMITIR")</f>
        <v>PAGADA</v>
      </c>
      <c r="M615" s="55">
        <f>+IF(Tabla6[[#This Row],[ESTADO FACTURA]]="PAGADA",Tabla6[[#This Row],[FECHA]]-_xlfn.XLOOKUP(Tabla6[[#This Row],[N° FACTURA]],INGRESOS!F:F,INGRESOS!A:A),"-")</f>
        <v>-1</v>
      </c>
      <c r="N615" s="2"/>
      <c r="O615"/>
    </row>
    <row r="616" spans="1:15" ht="14.75" customHeight="1">
      <c r="A616" s="320" t="s">
        <v>187</v>
      </c>
      <c r="B616" t="str">
        <f>+_xlfn.XLOOKUP(Tabla6[[#This Row],[ID CLIENTE]],'RESUMEN CLIENTES'!D:D,'RESUMEN CLIENTES'!A:A)</f>
        <v>Alina Maria Cervantes Real</v>
      </c>
      <c r="C616" t="str">
        <f>+_xlfn.XLOOKUP(Tabla6[[#This Row],[ID CLIENTE]],'RESUMEN CLIENTES'!D:D,'RESUMEN CLIENTES'!C:C)</f>
        <v>México</v>
      </c>
      <c r="D616" s="44" t="str">
        <f>+_xlfn.XLOOKUP(Tabla6[[#This Row],[ID CLIENTE]],'RESUMEN CLIENTES'!D:D,'RESUMEN CLIENTES'!M:M)</f>
        <v>OK</v>
      </c>
      <c r="E616" s="72">
        <f>+_xlfn.XLOOKUP(Tabla6[[#This Row],[NOMBRE]],'RESUMEN CLIENTES'!A:A,'RESUMEN CLIENTES'!X:X)</f>
        <v>21.583333333333332</v>
      </c>
      <c r="F616" s="72">
        <f>+_xlfn.XLOOKUP(Tabla6[[#This Row],[ID CLIENTE]],'RESUMEN CLIENTES'!D:D,'RESUMEN CLIENTES'!W:W)</f>
        <v>1</v>
      </c>
      <c r="G616" s="17">
        <v>45976</v>
      </c>
      <c r="H616" s="44" t="s">
        <v>81</v>
      </c>
      <c r="I616" s="2">
        <v>1500</v>
      </c>
      <c r="J616" s="20" t="s">
        <v>1170</v>
      </c>
      <c r="K616" t="s">
        <v>1171</v>
      </c>
      <c r="L616" s="44" t="str" cm="1">
        <f t="array" ref="L616">+_xlfn.IFS(COUNTIF(INGRESOS!E:E,Tabla6[[#This Row],[ID FACTURA]])=1,"PAGADA",Tabla6[[#This Row],[ID FACTURA]]&lt;&gt;0,"EMITIDA",Tabla6[[#This Row],[ID FACTURA]]=0,"POR EMITIR")</f>
        <v>PAGADA</v>
      </c>
      <c r="M616" s="55">
        <f>+IF(Tabla6[[#This Row],[ESTADO FACTURA]]="PAGADA",Tabla6[[#This Row],[FECHA]]-_xlfn.XLOOKUP(Tabla6[[#This Row],[N° FACTURA]],INGRESOS!F:F,INGRESOS!A:A),"-")</f>
        <v>31</v>
      </c>
      <c r="N616" s="2"/>
      <c r="O616"/>
    </row>
    <row r="617" spans="1:15" ht="14.75" customHeight="1">
      <c r="A617" s="320" t="s">
        <v>325</v>
      </c>
      <c r="B617" t="str">
        <f>+_xlfn.XLOOKUP(Tabla6[[#This Row],[ID CLIENTE]],'RESUMEN CLIENTES'!D:D,'RESUMEN CLIENTES'!A:A)</f>
        <v>Andrea Cristina Estrada Morocho</v>
      </c>
      <c r="C617" t="str">
        <f>+_xlfn.XLOOKUP(Tabla6[[#This Row],[ID CLIENTE]],'RESUMEN CLIENTES'!D:D,'RESUMEN CLIENTES'!C:C)</f>
        <v>Ecuador</v>
      </c>
      <c r="D617" s="44" t="str">
        <f>+_xlfn.XLOOKUP(Tabla6[[#This Row],[ID CLIENTE]],'RESUMEN CLIENTES'!D:D,'RESUMEN CLIENTES'!M:M)</f>
        <v>OK</v>
      </c>
      <c r="E617" s="72">
        <f>+_xlfn.XLOOKUP(Tabla6[[#This Row],[NOMBRE]],'RESUMEN CLIENTES'!A:A,'RESUMEN CLIENTES'!X:X)</f>
        <v>-3.6666666666666665</v>
      </c>
      <c r="F617" s="72">
        <f>+_xlfn.XLOOKUP(Tabla6[[#This Row],[ID CLIENTE]],'RESUMEN CLIENTES'!D:D,'RESUMEN CLIENTES'!W:W)</f>
        <v>1</v>
      </c>
      <c r="G617" s="17">
        <v>45976</v>
      </c>
      <c r="H617" s="44" t="s">
        <v>81</v>
      </c>
      <c r="I617" s="2">
        <v>500</v>
      </c>
      <c r="J617" s="20" t="s">
        <v>1393</v>
      </c>
      <c r="K617" t="s">
        <v>1394</v>
      </c>
      <c r="L617" s="44" t="str" cm="1">
        <f t="array" ref="L617">+_xlfn.IFS(COUNTIF(INGRESOS!E:E,Tabla6[[#This Row],[ID FACTURA]])=1,"PAGADA",Tabla6[[#This Row],[ID FACTURA]]&lt;&gt;0,"EMITIDA",Tabla6[[#This Row],[ID FACTURA]]=0,"POR EMITIR")</f>
        <v>PAGADA</v>
      </c>
      <c r="M617" s="55">
        <f>+IF(Tabla6[[#This Row],[ESTADO FACTURA]]="PAGADA",Tabla6[[#This Row],[FECHA]]-_xlfn.XLOOKUP(Tabla6[[#This Row],[N° FACTURA]],INGRESOS!F:F,INGRESOS!A:A),"-")</f>
        <v>1</v>
      </c>
      <c r="N617" s="2"/>
      <c r="O617"/>
    </row>
    <row r="618" spans="1:15" ht="14.75" customHeight="1">
      <c r="A618" s="320" t="s">
        <v>751</v>
      </c>
      <c r="B618" t="str">
        <f>+_xlfn.XLOOKUP(Tabla6[[#This Row],[ID CLIENTE]],'RESUMEN CLIENTES'!D:D,'RESUMEN CLIENTES'!A:A)</f>
        <v>Carlos Alberto Suarez Hernandez</v>
      </c>
      <c r="C618" t="str">
        <f>+_xlfn.XLOOKUP(Tabla6[[#This Row],[ID CLIENTE]],'RESUMEN CLIENTES'!D:D,'RESUMEN CLIENTES'!C:C)</f>
        <v>Colombia</v>
      </c>
      <c r="D618" s="44" t="str">
        <f>+_xlfn.XLOOKUP(Tabla6[[#This Row],[ID CLIENTE]],'RESUMEN CLIENTES'!D:D,'RESUMEN CLIENTES'!M:M)</f>
        <v>OK</v>
      </c>
      <c r="E618" s="72">
        <f>+_xlfn.XLOOKUP(Tabla6[[#This Row],[NOMBRE]],'RESUMEN CLIENTES'!A:A,'RESUMEN CLIENTES'!X:X)</f>
        <v>0</v>
      </c>
      <c r="F618" s="72">
        <f>+_xlfn.XLOOKUP(Tabla6[[#This Row],[ID CLIENTE]],'RESUMEN CLIENTES'!D:D,'RESUMEN CLIENTES'!W:W)</f>
        <v>1</v>
      </c>
      <c r="G618" s="17">
        <v>45976</v>
      </c>
      <c r="H618" s="44" t="s">
        <v>81</v>
      </c>
      <c r="I618" s="2">
        <v>1000</v>
      </c>
      <c r="J618" s="20" t="s">
        <v>1395</v>
      </c>
      <c r="K618" t="s">
        <v>1396</v>
      </c>
      <c r="L618" s="44" t="str" cm="1">
        <f t="array" ref="L618">+_xlfn.IFS(COUNTIF(INGRESOS!E:E,Tabla6[[#This Row],[ID FACTURA]])=1,"PAGADA",Tabla6[[#This Row],[ID FACTURA]]&lt;&gt;0,"EMITIDA",Tabla6[[#This Row],[ID FACTURA]]=0,"POR EMITIR")</f>
        <v>PAGADA</v>
      </c>
      <c r="M618" s="55">
        <f>+IF(Tabla6[[#This Row],[ESTADO FACTURA]]="PAGADA",Tabla6[[#This Row],[FECHA]]-_xlfn.XLOOKUP(Tabla6[[#This Row],[N° FACTURA]],INGRESOS!F:F,INGRESOS!A:A),"-")</f>
        <v>0</v>
      </c>
      <c r="N618" s="2"/>
      <c r="O618"/>
    </row>
    <row r="619" spans="1:15" ht="14.75" customHeight="1">
      <c r="A619" s="320" t="s">
        <v>156</v>
      </c>
      <c r="B619" t="str">
        <f>+_xlfn.XLOOKUP(Tabla6[[#This Row],[ID CLIENTE]],'RESUMEN CLIENTES'!D:D,'RESUMEN CLIENTES'!A:A)</f>
        <v>Catalina Andrea Videla Muñoz</v>
      </c>
      <c r="C619" t="str">
        <f>+_xlfn.XLOOKUP(Tabla6[[#This Row],[ID CLIENTE]],'RESUMEN CLIENTES'!D:D,'RESUMEN CLIENTES'!C:C)</f>
        <v>Chile</v>
      </c>
      <c r="D619" s="44" t="str">
        <f>+_xlfn.XLOOKUP(Tabla6[[#This Row],[ID CLIENTE]],'RESUMEN CLIENTES'!D:D,'RESUMEN CLIENTES'!M:M)</f>
        <v>OK</v>
      </c>
      <c r="E619" s="72">
        <f>+_xlfn.XLOOKUP(Tabla6[[#This Row],[NOMBRE]],'RESUMEN CLIENTES'!A:A,'RESUMEN CLIENTES'!X:X)</f>
        <v>1.5454545454545454</v>
      </c>
      <c r="F619" s="72">
        <f>+_xlfn.XLOOKUP(Tabla6[[#This Row],[ID CLIENTE]],'RESUMEN CLIENTES'!D:D,'RESUMEN CLIENTES'!W:W)</f>
        <v>1</v>
      </c>
      <c r="G619" s="17">
        <v>45976</v>
      </c>
      <c r="H619" s="44" t="s">
        <v>81</v>
      </c>
      <c r="I619" s="2">
        <v>850</v>
      </c>
      <c r="J619" s="20" t="s">
        <v>1397</v>
      </c>
      <c r="K619" t="s">
        <v>1398</v>
      </c>
      <c r="L619" s="44" t="str" cm="1">
        <f t="array" ref="L619">+_xlfn.IFS(COUNTIF(INGRESOS!E:E,Tabla6[[#This Row],[ID FACTURA]])=1,"PAGADA",Tabla6[[#This Row],[ID FACTURA]]&lt;&gt;0,"EMITIDA",Tabla6[[#This Row],[ID FACTURA]]=0,"POR EMITIR")</f>
        <v>PAGADA</v>
      </c>
      <c r="M619" s="55">
        <f>+IF(Tabla6[[#This Row],[ESTADO FACTURA]]="PAGADA",Tabla6[[#This Row],[FECHA]]-_xlfn.XLOOKUP(Tabla6[[#This Row],[N° FACTURA]],INGRESOS!F:F,INGRESOS!A:A),"-")</f>
        <v>3</v>
      </c>
      <c r="N619" s="2"/>
      <c r="O619"/>
    </row>
    <row r="620" spans="1:15" ht="14.75" customHeight="1">
      <c r="A620" s="320" t="s">
        <v>90</v>
      </c>
      <c r="B620" t="str">
        <f>+_xlfn.XLOOKUP(Tabla6[[#This Row],[ID CLIENTE]],'RESUMEN CLIENTES'!D:D,'RESUMEN CLIENTES'!A:A)</f>
        <v>David Enrique Díaz Mejía</v>
      </c>
      <c r="C620" t="str">
        <f>+_xlfn.XLOOKUP(Tabla6[[#This Row],[ID CLIENTE]],'RESUMEN CLIENTES'!D:D,'RESUMEN CLIENTES'!C:C)</f>
        <v>Honduras</v>
      </c>
      <c r="D620" s="44" t="str">
        <f>+_xlfn.XLOOKUP(Tabla6[[#This Row],[ID CLIENTE]],'RESUMEN CLIENTES'!D:D,'RESUMEN CLIENTES'!M:M)</f>
        <v>OK</v>
      </c>
      <c r="E620" s="72">
        <f>+_xlfn.XLOOKUP(Tabla6[[#This Row],[NOMBRE]],'RESUMEN CLIENTES'!A:A,'RESUMEN CLIENTES'!X:X)</f>
        <v>-15.217592592592862</v>
      </c>
      <c r="F620" s="72">
        <f>+_xlfn.XLOOKUP(Tabla6[[#This Row],[ID CLIENTE]],'RESUMEN CLIENTES'!D:D,'RESUMEN CLIENTES'!W:W)</f>
        <v>1</v>
      </c>
      <c r="G620" s="17">
        <v>45976</v>
      </c>
      <c r="H620" s="44" t="s">
        <v>81</v>
      </c>
      <c r="I620" s="2">
        <v>1000</v>
      </c>
      <c r="J620" s="20" t="s">
        <v>1399</v>
      </c>
      <c r="K620" t="s">
        <v>1400</v>
      </c>
      <c r="L620" s="44" t="str" cm="1">
        <f t="array" ref="L620">+_xlfn.IFS(COUNTIF(INGRESOS!E:E,Tabla6[[#This Row],[ID FACTURA]])=1,"PAGADA",Tabla6[[#This Row],[ID FACTURA]]&lt;&gt;0,"EMITIDA",Tabla6[[#This Row],[ID FACTURA]]=0,"POR EMITIR")</f>
        <v>PAGADA</v>
      </c>
      <c r="M620" s="55">
        <f>+IF(Tabla6[[#This Row],[ESTADO FACTURA]]="PAGADA",Tabla6[[#This Row],[FECHA]]-_xlfn.XLOOKUP(Tabla6[[#This Row],[N° FACTURA]],INGRESOS!F:F,INGRESOS!A:A),"-")</f>
        <v>-1</v>
      </c>
      <c r="N620" s="2"/>
      <c r="O620"/>
    </row>
    <row r="621" spans="1:15" ht="14.75" customHeight="1">
      <c r="A621" s="320" t="s">
        <v>1401</v>
      </c>
      <c r="B621" t="str">
        <f>+_xlfn.XLOOKUP(Tabla6[[#This Row],[ID CLIENTE]],'RESUMEN CLIENTES'!D:D,'RESUMEN CLIENTES'!A:A)</f>
        <v>Fernando Araya Rojas</v>
      </c>
      <c r="C621" t="str">
        <f>+_xlfn.XLOOKUP(Tabla6[[#This Row],[ID CLIENTE]],'RESUMEN CLIENTES'!D:D,'RESUMEN CLIENTES'!C:C)</f>
        <v>Chile</v>
      </c>
      <c r="D621" s="44" t="str">
        <f>+_xlfn.XLOOKUP(Tabla6[[#This Row],[ID CLIENTE]],'RESUMEN CLIENTES'!D:D,'RESUMEN CLIENTES'!M:M)</f>
        <v>ELIMINADO</v>
      </c>
      <c r="E621" s="71">
        <f>+_xlfn.XLOOKUP(Tabla6[[#This Row],[NOMBRE]],'RESUMEN CLIENTES'!A:A,'RESUMEN CLIENTES'!X:X)</f>
        <v>0</v>
      </c>
      <c r="F621" s="71">
        <f>+_xlfn.XLOOKUP(Tabla6[[#This Row],[ID CLIENTE]],'RESUMEN CLIENTES'!D:D,'RESUMEN CLIENTES'!W:W)</f>
        <v>0</v>
      </c>
      <c r="G621" s="17">
        <v>45976</v>
      </c>
      <c r="H621" s="169" t="s">
        <v>81</v>
      </c>
      <c r="I621" s="2">
        <v>4186</v>
      </c>
      <c r="J621" s="20" t="s">
        <v>1402</v>
      </c>
      <c r="K621" t="s">
        <v>1403</v>
      </c>
      <c r="L621" s="44" t="str" cm="1">
        <f t="array" ref="L621">+_xlfn.IFS(COUNTIF(INGRESOS!E:E,Tabla6[[#This Row],[ID FACTURA]])=1,"PAGADA",Tabla6[[#This Row],[ID FACTURA]]&lt;&gt;0,"EMITIDA",Tabla6[[#This Row],[ID FACTURA]]=0,"POR EMITIR")</f>
        <v>PAGADA</v>
      </c>
      <c r="M621" s="55">
        <f>+IF(Tabla6[[#This Row],[ESTADO FACTURA]]="PAGADA",Tabla6[[#This Row],[FECHA]]-_xlfn.XLOOKUP(Tabla6[[#This Row],[N° FACTURA]],INGRESOS!F:F,INGRESOS!A:A),"-")</f>
        <v>0</v>
      </c>
      <c r="N621" s="2"/>
      <c r="O621" s="8"/>
    </row>
    <row r="622" spans="1:15" ht="14.75" customHeight="1">
      <c r="A622" s="320" t="s">
        <v>95</v>
      </c>
      <c r="B622" t="str">
        <f>+_xlfn.XLOOKUP(Tabla6[[#This Row],[ID CLIENTE]],'RESUMEN CLIENTES'!D:D,'RESUMEN CLIENTES'!A:A)</f>
        <v>Gabriel Alejandro Ortega Moreno</v>
      </c>
      <c r="C622" t="str">
        <f>+_xlfn.XLOOKUP(Tabla6[[#This Row],[ID CLIENTE]],'RESUMEN CLIENTES'!D:D,'RESUMEN CLIENTES'!C:C)</f>
        <v>Ecuador</v>
      </c>
      <c r="D622" s="44" t="str">
        <f>+_xlfn.XLOOKUP(Tabla6[[#This Row],[ID CLIENTE]],'RESUMEN CLIENTES'!D:D,'RESUMEN CLIENTES'!M:M)</f>
        <v>OK</v>
      </c>
      <c r="E622" s="72">
        <f>+_xlfn.XLOOKUP(Tabla6[[#This Row],[NOMBRE]],'RESUMEN CLIENTES'!A:A,'RESUMEN CLIENTES'!X:X)</f>
        <v>-0.1111111111111111</v>
      </c>
      <c r="F622" s="72">
        <f>+_xlfn.XLOOKUP(Tabla6[[#This Row],[ID CLIENTE]],'RESUMEN CLIENTES'!D:D,'RESUMEN CLIENTES'!W:W)</f>
        <v>0</v>
      </c>
      <c r="G622" s="17">
        <v>45976</v>
      </c>
      <c r="H622" s="44" t="s">
        <v>81</v>
      </c>
      <c r="I622" s="2">
        <v>200</v>
      </c>
      <c r="J622" s="20" t="s">
        <v>1404</v>
      </c>
      <c r="K622" t="s">
        <v>1405</v>
      </c>
      <c r="L622" s="44" t="str" cm="1">
        <f t="array" ref="L622">+_xlfn.IFS(COUNTIF(INGRESOS!E:E,Tabla6[[#This Row],[ID FACTURA]])=1,"PAGADA",Tabla6[[#This Row],[ID FACTURA]]&lt;&gt;0,"EMITIDA",Tabla6[[#This Row],[ID FACTURA]]=0,"POR EMITIR")</f>
        <v>PAGADA</v>
      </c>
      <c r="M622" s="55">
        <f>+IF(Tabla6[[#This Row],[ESTADO FACTURA]]="PAGADA",Tabla6[[#This Row],[FECHA]]-_xlfn.XLOOKUP(Tabla6[[#This Row],[N° FACTURA]],INGRESOS!F:F,INGRESOS!A:A),"-")</f>
        <v>1</v>
      </c>
      <c r="N622" s="2"/>
      <c r="O622"/>
    </row>
    <row r="623" spans="1:15" ht="14.75" customHeight="1">
      <c r="A623" s="320" t="s">
        <v>98</v>
      </c>
      <c r="B623" t="str">
        <f>+_xlfn.XLOOKUP(Tabla6[[#This Row],[ID CLIENTE]],'RESUMEN CLIENTES'!D:D,'RESUMEN CLIENTES'!A:A)</f>
        <v>Gabriela Kimberlyn Moran Caiza</v>
      </c>
      <c r="C623" t="str">
        <f>+_xlfn.XLOOKUP(Tabla6[[#This Row],[ID CLIENTE]],'RESUMEN CLIENTES'!D:D,'RESUMEN CLIENTES'!C:C)</f>
        <v>Ecuador</v>
      </c>
      <c r="D623" s="44" t="str">
        <f>+_xlfn.XLOOKUP(Tabla6[[#This Row],[ID CLIENTE]],'RESUMEN CLIENTES'!D:D,'RESUMEN CLIENTES'!M:M)</f>
        <v>OK</v>
      </c>
      <c r="E623" s="72">
        <f>+_xlfn.XLOOKUP(Tabla6[[#This Row],[NOMBRE]],'RESUMEN CLIENTES'!A:A,'RESUMEN CLIENTES'!X:X)</f>
        <v>-1.25</v>
      </c>
      <c r="F623" s="72">
        <f>+_xlfn.XLOOKUP(Tabla6[[#This Row],[ID CLIENTE]],'RESUMEN CLIENTES'!D:D,'RESUMEN CLIENTES'!W:W)</f>
        <v>0</v>
      </c>
      <c r="G623" s="17">
        <v>45976</v>
      </c>
      <c r="H623" s="44" t="s">
        <v>81</v>
      </c>
      <c r="I623" s="2">
        <v>100</v>
      </c>
      <c r="J623" s="20" t="s">
        <v>1406</v>
      </c>
      <c r="K623" t="s">
        <v>1407</v>
      </c>
      <c r="L623" s="44" t="str" cm="1">
        <f t="array" ref="L623">+_xlfn.IFS(COUNTIF(INGRESOS!E:E,Tabla6[[#This Row],[ID FACTURA]])=1,"PAGADA",Tabla6[[#This Row],[ID FACTURA]]&lt;&gt;0,"EMITIDA",Tabla6[[#This Row],[ID FACTURA]]=0,"POR EMITIR")</f>
        <v>PAGADA</v>
      </c>
      <c r="M623" s="55">
        <f>+IF(Tabla6[[#This Row],[ESTADO FACTURA]]="PAGADA",Tabla6[[#This Row],[FECHA]]-_xlfn.XLOOKUP(Tabla6[[#This Row],[N° FACTURA]],INGRESOS!F:F,INGRESOS!A:A),"-")</f>
        <v>1</v>
      </c>
      <c r="N623" s="2"/>
      <c r="O623"/>
    </row>
    <row r="624" spans="1:15" ht="14.75" customHeight="1">
      <c r="A624" s="320" t="s">
        <v>103</v>
      </c>
      <c r="B624" t="str">
        <f>+_xlfn.XLOOKUP(Tabla6[[#This Row],[ID CLIENTE]],'RESUMEN CLIENTES'!D:D,'RESUMEN CLIENTES'!A:A)</f>
        <v>Isaac Ricardo Jimenez Campos</v>
      </c>
      <c r="C624" t="str">
        <f>+_xlfn.XLOOKUP(Tabla6[[#This Row],[ID CLIENTE]],'RESUMEN CLIENTES'!D:D,'RESUMEN CLIENTES'!C:C)</f>
        <v>México</v>
      </c>
      <c r="D624" s="44" t="str">
        <f>+_xlfn.XLOOKUP(Tabla6[[#This Row],[ID CLIENTE]],'RESUMEN CLIENTES'!D:D,'RESUMEN CLIENTES'!M:M)</f>
        <v>OK</v>
      </c>
      <c r="E624" s="72">
        <f>+_xlfn.XLOOKUP(Tabla6[[#This Row],[NOMBRE]],'RESUMEN CLIENTES'!A:A,'RESUMEN CLIENTES'!X:X)</f>
        <v>0.5</v>
      </c>
      <c r="F624" s="72">
        <f>+_xlfn.XLOOKUP(Tabla6[[#This Row],[ID CLIENTE]],'RESUMEN CLIENTES'!D:D,'RESUMEN CLIENTES'!W:W)</f>
        <v>1</v>
      </c>
      <c r="G624" s="17">
        <v>45976</v>
      </c>
      <c r="H624" s="44" t="s">
        <v>81</v>
      </c>
      <c r="I624" s="2">
        <v>654</v>
      </c>
      <c r="J624" s="20" t="s">
        <v>1408</v>
      </c>
      <c r="K624" t="s">
        <v>1409</v>
      </c>
      <c r="L624" s="44" t="str" cm="1">
        <f t="array" ref="L624">+_xlfn.IFS(COUNTIF(INGRESOS!E:E,Tabla6[[#This Row],[ID FACTURA]])=1,"PAGADA",Tabla6[[#This Row],[ID FACTURA]]&lt;&gt;0,"EMITIDA",Tabla6[[#This Row],[ID FACTURA]]=0,"POR EMITIR")</f>
        <v>PAGADA</v>
      </c>
      <c r="M624" s="55">
        <f>+IF(Tabla6[[#This Row],[ESTADO FACTURA]]="PAGADA",Tabla6[[#This Row],[FECHA]]-_xlfn.XLOOKUP(Tabla6[[#This Row],[N° FACTURA]],INGRESOS!F:F,INGRESOS!A:A),"-")</f>
        <v>0</v>
      </c>
      <c r="N624" s="2"/>
      <c r="O624"/>
    </row>
    <row r="625" spans="1:15" ht="14.75" customHeight="1">
      <c r="A625" s="320" t="s">
        <v>362</v>
      </c>
      <c r="B625" t="str">
        <f>+_xlfn.XLOOKUP(Tabla6[[#This Row],[ID CLIENTE]],'RESUMEN CLIENTES'!D:D,'RESUMEN CLIENTES'!A:A)</f>
        <v>Jessica Ayelén Culla Alvarez</v>
      </c>
      <c r="C625" t="str">
        <f>+_xlfn.XLOOKUP(Tabla6[[#This Row],[ID CLIENTE]],'RESUMEN CLIENTES'!D:D,'RESUMEN CLIENTES'!C:C)</f>
        <v>Argentina</v>
      </c>
      <c r="D625" s="44" t="str">
        <f>+_xlfn.XLOOKUP(Tabla6[[#This Row],[ID CLIENTE]],'RESUMEN CLIENTES'!D:D,'RESUMEN CLIENTES'!M:M)</f>
        <v>OK</v>
      </c>
      <c r="E625" s="72">
        <f>+_xlfn.XLOOKUP(Tabla6[[#This Row],[NOMBRE]],'RESUMEN CLIENTES'!A:A,'RESUMEN CLIENTES'!X:X)</f>
        <v>-2.1538461538461537</v>
      </c>
      <c r="F625" s="72">
        <f>+_xlfn.XLOOKUP(Tabla6[[#This Row],[ID CLIENTE]],'RESUMEN CLIENTES'!D:D,'RESUMEN CLIENTES'!W:W)</f>
        <v>1</v>
      </c>
      <c r="G625" s="17">
        <v>45976</v>
      </c>
      <c r="H625" s="44" t="s">
        <v>81</v>
      </c>
      <c r="I625" s="2">
        <v>1000</v>
      </c>
      <c r="J625" s="20" t="s">
        <v>1410</v>
      </c>
      <c r="K625" t="s">
        <v>1411</v>
      </c>
      <c r="L625" s="44" t="str" cm="1">
        <f t="array" ref="L625">+_xlfn.IFS(COUNTIF(INGRESOS!E:E,Tabla6[[#This Row],[ID FACTURA]])=1,"PAGADA",Tabla6[[#This Row],[ID FACTURA]]&lt;&gt;0,"EMITIDA",Tabla6[[#This Row],[ID FACTURA]]=0,"POR EMITIR")</f>
        <v>PAGADA</v>
      </c>
      <c r="M625" s="55">
        <f>+IF(Tabla6[[#This Row],[ESTADO FACTURA]]="PAGADA",Tabla6[[#This Row],[FECHA]]-_xlfn.XLOOKUP(Tabla6[[#This Row],[N° FACTURA]],INGRESOS!F:F,INGRESOS!A:A),"-")</f>
        <v>-4</v>
      </c>
      <c r="N625" s="2"/>
      <c r="O625" s="8"/>
    </row>
    <row r="626" spans="1:15" ht="14.75" customHeight="1">
      <c r="A626" s="320" t="s">
        <v>670</v>
      </c>
      <c r="B626" t="str">
        <f>+_xlfn.XLOOKUP(Tabla6[[#This Row],[ID CLIENTE]],'RESUMEN CLIENTES'!D:D,'RESUMEN CLIENTES'!A:A)</f>
        <v>Jonathan Christian Cardenas Peña</v>
      </c>
      <c r="C626" t="str">
        <f>+_xlfn.XLOOKUP(Tabla6[[#This Row],[ID CLIENTE]],'RESUMEN CLIENTES'!D:D,'RESUMEN CLIENTES'!C:C)</f>
        <v>Ecuador</v>
      </c>
      <c r="D626" s="44" t="str">
        <f>+_xlfn.XLOOKUP(Tabla6[[#This Row],[ID CLIENTE]],'RESUMEN CLIENTES'!D:D,'RESUMEN CLIENTES'!M:M)</f>
        <v>OK</v>
      </c>
      <c r="E626" s="72">
        <f>+_xlfn.XLOOKUP(Tabla6[[#This Row],[NOMBRE]],'RESUMEN CLIENTES'!A:A,'RESUMEN CLIENTES'!X:X)</f>
        <v>0.33333333333333331</v>
      </c>
      <c r="F626" s="72">
        <f>+_xlfn.XLOOKUP(Tabla6[[#This Row],[ID CLIENTE]],'RESUMEN CLIENTES'!D:D,'RESUMEN CLIENTES'!W:W)</f>
        <v>0</v>
      </c>
      <c r="G626" s="17">
        <v>45976</v>
      </c>
      <c r="H626" s="44" t="s">
        <v>81</v>
      </c>
      <c r="I626" s="2">
        <v>4000</v>
      </c>
      <c r="J626" s="20" t="s">
        <v>1412</v>
      </c>
      <c r="K626" t="s">
        <v>1413</v>
      </c>
      <c r="L626" s="44" t="str" cm="1">
        <f t="array" ref="L626">+_xlfn.IFS(COUNTIF(INGRESOS!E:E,Tabla6[[#This Row],[ID FACTURA]])=1,"PAGADA",Tabla6[[#This Row],[ID FACTURA]]&lt;&gt;0,"EMITIDA",Tabla6[[#This Row],[ID FACTURA]]=0,"POR EMITIR")</f>
        <v>PAGADA</v>
      </c>
      <c r="M626" s="55">
        <f>+IF(Tabla6[[#This Row],[ESTADO FACTURA]]="PAGADA",Tabla6[[#This Row],[FECHA]]-_xlfn.XLOOKUP(Tabla6[[#This Row],[N° FACTURA]],INGRESOS!F:F,INGRESOS!A:A),"-")</f>
        <v>2</v>
      </c>
      <c r="N626" s="2"/>
      <c r="O626"/>
    </row>
    <row r="627" spans="1:15" ht="14.75" customHeight="1">
      <c r="A627" s="320" t="s">
        <v>762</v>
      </c>
      <c r="B627" t="str">
        <f>+_xlfn.XLOOKUP(Tabla6[[#This Row],[ID CLIENTE]],'RESUMEN CLIENTES'!D:D,'RESUMEN CLIENTES'!A:A)</f>
        <v>María Stefania Gelvez Olaya</v>
      </c>
      <c r="C627" t="str">
        <f>+_xlfn.XLOOKUP(Tabla6[[#This Row],[ID CLIENTE]],'RESUMEN CLIENTES'!D:D,'RESUMEN CLIENTES'!C:C)</f>
        <v>Colombia</v>
      </c>
      <c r="D627" s="44" t="str">
        <f>+_xlfn.XLOOKUP(Tabla6[[#This Row],[ID CLIENTE]],'RESUMEN CLIENTES'!D:D,'RESUMEN CLIENTES'!M:M)</f>
        <v>OK</v>
      </c>
      <c r="E627" s="72">
        <f>+_xlfn.XLOOKUP(Tabla6[[#This Row],[NOMBRE]],'RESUMEN CLIENTES'!A:A,'RESUMEN CLIENTES'!X:X)</f>
        <v>-0.14285714285714285</v>
      </c>
      <c r="F627" s="72">
        <f>+_xlfn.XLOOKUP(Tabla6[[#This Row],[ID CLIENTE]],'RESUMEN CLIENTES'!D:D,'RESUMEN CLIENTES'!W:W)</f>
        <v>1</v>
      </c>
      <c r="G627" s="17">
        <v>45976</v>
      </c>
      <c r="H627" s="44" t="s">
        <v>81</v>
      </c>
      <c r="I627" s="2">
        <v>1000</v>
      </c>
      <c r="J627" s="20" t="s">
        <v>1414</v>
      </c>
      <c r="K627" t="s">
        <v>1415</v>
      </c>
      <c r="L627" s="44" t="str" cm="1">
        <f t="array" ref="L627">+_xlfn.IFS(COUNTIF(INGRESOS!E:E,Tabla6[[#This Row],[ID FACTURA]])=1,"PAGADA",Tabla6[[#This Row],[ID FACTURA]]&lt;&gt;0,"EMITIDA",Tabla6[[#This Row],[ID FACTURA]]=0,"POR EMITIR")</f>
        <v>PAGADA</v>
      </c>
      <c r="M627" s="55">
        <f>+IF(Tabla6[[#This Row],[ESTADO FACTURA]]="PAGADA",Tabla6[[#This Row],[FECHA]]-_xlfn.XLOOKUP(Tabla6[[#This Row],[N° FACTURA]],INGRESOS!F:F,INGRESOS!A:A),"-")</f>
        <v>0</v>
      </c>
      <c r="N627" s="2"/>
      <c r="O627"/>
    </row>
    <row r="628" spans="1:15" ht="14.75" customHeight="1">
      <c r="A628" s="320" t="s">
        <v>1416</v>
      </c>
      <c r="B628" t="str">
        <f>+_xlfn.XLOOKUP(Tabla6[[#This Row],[ID CLIENTE]],'RESUMEN CLIENTES'!D:D,'RESUMEN CLIENTES'!A:A)</f>
        <v>Luis Armando Calderon Manzanera</v>
      </c>
      <c r="C628" t="str">
        <f>+_xlfn.XLOOKUP(Tabla6[[#This Row],[ID CLIENTE]],'RESUMEN CLIENTES'!D:D,'RESUMEN CLIENTES'!C:C)</f>
        <v>México</v>
      </c>
      <c r="D628" s="44" t="str">
        <f>+_xlfn.XLOOKUP(Tabla6[[#This Row],[ID CLIENTE]],'RESUMEN CLIENTES'!D:D,'RESUMEN CLIENTES'!M:M)</f>
        <v>OK</v>
      </c>
      <c r="E628" s="71">
        <f>+_xlfn.XLOOKUP(Tabla6[[#This Row],[NOMBRE]],'RESUMEN CLIENTES'!A:A,'RESUMEN CLIENTES'!X:X)</f>
        <v>2</v>
      </c>
      <c r="F628" s="71">
        <f>+_xlfn.XLOOKUP(Tabla6[[#This Row],[ID CLIENTE]],'RESUMEN CLIENTES'!D:D,'RESUMEN CLIENTES'!W:W)</f>
        <v>1</v>
      </c>
      <c r="G628" s="17">
        <v>45978</v>
      </c>
      <c r="H628" s="44" t="s">
        <v>81</v>
      </c>
      <c r="I628" s="2">
        <v>2000</v>
      </c>
      <c r="J628" s="20" t="s">
        <v>1417</v>
      </c>
      <c r="K628" t="s">
        <v>1418</v>
      </c>
      <c r="L628" s="44" t="str" cm="1">
        <f t="array" ref="L628">+_xlfn.IFS(COUNTIF(INGRESOS!E:E,Tabla6[[#This Row],[ID FACTURA]])=1,"PAGADA",Tabla6[[#This Row],[ID FACTURA]]&lt;&gt;0,"EMITIDA",Tabla6[[#This Row],[ID FACTURA]]=0,"POR EMITIR")</f>
        <v>PAGADA</v>
      </c>
      <c r="M628" s="55">
        <f>+IF(Tabla6[[#This Row],[ESTADO FACTURA]]="PAGADA",Tabla6[[#This Row],[FECHA]]-_xlfn.XLOOKUP(Tabla6[[#This Row],[N° FACTURA]],INGRESOS!F:F,INGRESOS!A:A),"-")</f>
        <v>-1</v>
      </c>
      <c r="N628" s="2"/>
      <c r="O628"/>
    </row>
    <row r="629" spans="1:15" ht="14.75" customHeight="1">
      <c r="A629" s="320" t="s">
        <v>1419</v>
      </c>
      <c r="B629" t="str">
        <f>+_xlfn.XLOOKUP(Tabla6[[#This Row],[ID CLIENTE]],'RESUMEN CLIENTES'!D:D,'RESUMEN CLIENTES'!A:A)</f>
        <v>Rocio Natalia López Núñez</v>
      </c>
      <c r="C629" t="str">
        <f>+_xlfn.XLOOKUP(Tabla6[[#This Row],[ID CLIENTE]],'RESUMEN CLIENTES'!D:D,'RESUMEN CLIENTES'!C:C)</f>
        <v>Chile</v>
      </c>
      <c r="D629" s="44" t="str">
        <f>+_xlfn.XLOOKUP(Tabla6[[#This Row],[ID CLIENTE]],'RESUMEN CLIENTES'!D:D,'RESUMEN CLIENTES'!M:M)</f>
        <v>OK</v>
      </c>
      <c r="E629" s="71">
        <f>+_xlfn.XLOOKUP(Tabla6[[#This Row],[NOMBRE]],'RESUMEN CLIENTES'!A:A,'RESUMEN CLIENTES'!X:X)</f>
        <v>0</v>
      </c>
      <c r="F629" s="71">
        <f>+_xlfn.XLOOKUP(Tabla6[[#This Row],[ID CLIENTE]],'RESUMEN CLIENTES'!D:D,'RESUMEN CLIENTES'!W:W)</f>
        <v>0</v>
      </c>
      <c r="G629" s="17">
        <v>45978</v>
      </c>
      <c r="H629" s="169" t="s">
        <v>81</v>
      </c>
      <c r="I629" s="2">
        <v>3000</v>
      </c>
      <c r="J629" s="20" t="s">
        <v>1420</v>
      </c>
      <c r="K629" t="s">
        <v>1421</v>
      </c>
      <c r="L629" s="44" t="str" cm="1">
        <f t="array" ref="L629">+_xlfn.IFS(COUNTIF(INGRESOS!E:E,Tabla6[[#This Row],[ID FACTURA]])=1,"PAGADA",Tabla6[[#This Row],[ID FACTURA]]&lt;&gt;0,"EMITIDA",Tabla6[[#This Row],[ID FACTURA]]=0,"POR EMITIR")</f>
        <v>PAGADA</v>
      </c>
      <c r="M629" s="55">
        <f>+IF(Tabla6[[#This Row],[ESTADO FACTURA]]="PAGADA",Tabla6[[#This Row],[FECHA]]-_xlfn.XLOOKUP(Tabla6[[#This Row],[N° FACTURA]],INGRESOS!F:F,INGRESOS!A:A),"-")</f>
        <v>0</v>
      </c>
      <c r="N629" s="2"/>
      <c r="O629"/>
    </row>
    <row r="630" spans="1:15" ht="14.75" customHeight="1">
      <c r="A630" s="320" t="s">
        <v>247</v>
      </c>
      <c r="B630" t="str">
        <f>+_xlfn.XLOOKUP(Tabla6[[#This Row],[ID CLIENTE]],'RESUMEN CLIENTES'!D:D,'RESUMEN CLIENTES'!A:A)</f>
        <v>Nancy Gisselle Molinari Cheme</v>
      </c>
      <c r="C630" t="str">
        <f>+_xlfn.XLOOKUP(Tabla6[[#This Row],[ID CLIENTE]],'RESUMEN CLIENTES'!D:D,'RESUMEN CLIENTES'!C:C)</f>
        <v>Perú</v>
      </c>
      <c r="D630" s="44" t="str">
        <f>+_xlfn.XLOOKUP(Tabla6[[#This Row],[ID CLIENTE]],'RESUMEN CLIENTES'!D:D,'RESUMEN CLIENTES'!M:M)</f>
        <v>OK</v>
      </c>
      <c r="E630" s="72">
        <f>+_xlfn.XLOOKUP(Tabla6[[#This Row],[NOMBRE]],'RESUMEN CLIENTES'!A:A,'RESUMEN CLIENTES'!X:X)</f>
        <v>0.9</v>
      </c>
      <c r="F630" s="72">
        <f>+_xlfn.XLOOKUP(Tabla6[[#This Row],[ID CLIENTE]],'RESUMEN CLIENTES'!D:D,'RESUMEN CLIENTES'!W:W)</f>
        <v>1</v>
      </c>
      <c r="G630" s="17">
        <v>45979</v>
      </c>
      <c r="H630" s="44" t="s">
        <v>81</v>
      </c>
      <c r="I630" s="2">
        <v>1000</v>
      </c>
      <c r="J630" s="20" t="s">
        <v>1422</v>
      </c>
      <c r="K630" t="s">
        <v>1423</v>
      </c>
      <c r="L630" s="44" t="str" cm="1">
        <f t="array" ref="L630">+_xlfn.IFS(COUNTIF(INGRESOS!E:E,Tabla6[[#This Row],[ID FACTURA]])=1,"PAGADA",Tabla6[[#This Row],[ID FACTURA]]&lt;&gt;0,"EMITIDA",Tabla6[[#This Row],[ID FACTURA]]=0,"POR EMITIR")</f>
        <v>PAGADA</v>
      </c>
      <c r="M630" s="55">
        <f>+IF(Tabla6[[#This Row],[ESTADO FACTURA]]="PAGADA",Tabla6[[#This Row],[FECHA]]-_xlfn.XLOOKUP(Tabla6[[#This Row],[N° FACTURA]],INGRESOS!F:F,INGRESOS!A:A),"-")</f>
        <v>1</v>
      </c>
      <c r="N630" s="2"/>
      <c r="O630"/>
    </row>
    <row r="631" spans="1:15" ht="14.75" customHeight="1">
      <c r="A631" s="320" t="s">
        <v>1001</v>
      </c>
      <c r="B631" t="str">
        <f>+_xlfn.XLOOKUP(Tabla6[[#This Row],[ID CLIENTE]],'RESUMEN CLIENTES'!D:D,'RESUMEN CLIENTES'!A:A)</f>
        <v>Karenn Yadira Tavera Lara</v>
      </c>
      <c r="C631" t="str">
        <f>+_xlfn.XLOOKUP(Tabla6[[#This Row],[ID CLIENTE]],'RESUMEN CLIENTES'!D:D,'RESUMEN CLIENTES'!C:C)</f>
        <v>México</v>
      </c>
      <c r="D631" s="44" t="str">
        <f>+_xlfn.XLOOKUP(Tabla6[[#This Row],[ID CLIENTE]],'RESUMEN CLIENTES'!D:D,'RESUMEN CLIENTES'!M:M)</f>
        <v>OK</v>
      </c>
      <c r="E631" s="72">
        <f>+_xlfn.XLOOKUP(Tabla6[[#This Row],[NOMBRE]],'RESUMEN CLIENTES'!A:A,'RESUMEN CLIENTES'!X:X)</f>
        <v>1.5</v>
      </c>
      <c r="F631" s="72">
        <f>+_xlfn.XLOOKUP(Tabla6[[#This Row],[ID CLIENTE]],'RESUMEN CLIENTES'!D:D,'RESUMEN CLIENTES'!W:W)</f>
        <v>1</v>
      </c>
      <c r="G631" s="17">
        <v>45980</v>
      </c>
      <c r="H631" s="44" t="s">
        <v>81</v>
      </c>
      <c r="I631" s="2">
        <v>1000</v>
      </c>
      <c r="J631" s="20" t="s">
        <v>1424</v>
      </c>
      <c r="K631" t="s">
        <v>1425</v>
      </c>
      <c r="L631" s="44" t="str" cm="1">
        <f t="array" ref="L631">+_xlfn.IFS(COUNTIF(INGRESOS!E:E,Tabla6[[#This Row],[ID FACTURA]])=1,"PAGADA",Tabla6[[#This Row],[ID FACTURA]]&lt;&gt;0,"EMITIDA",Tabla6[[#This Row],[ID FACTURA]]=0,"POR EMITIR")</f>
        <v>PAGADA</v>
      </c>
      <c r="M631" s="55">
        <f>+IF(Tabla6[[#This Row],[ESTADO FACTURA]]="PAGADA",Tabla6[[#This Row],[FECHA]]-_xlfn.XLOOKUP(Tabla6[[#This Row],[N° FACTURA]],INGRESOS!F:F,INGRESOS!A:A),"-")</f>
        <v>19</v>
      </c>
      <c r="N631" s="2"/>
      <c r="O631"/>
    </row>
    <row r="632" spans="1:15" ht="14.75" customHeight="1">
      <c r="A632" s="320" t="s">
        <v>574</v>
      </c>
      <c r="B632" t="str">
        <f>+_xlfn.XLOOKUP(Tabla6[[#This Row],[ID CLIENTE]],'RESUMEN CLIENTES'!D:D,'RESUMEN CLIENTES'!A:A)</f>
        <v>Astrid Mariam Enamorado Ortega</v>
      </c>
      <c r="C632" t="str">
        <f>+_xlfn.XLOOKUP(Tabla6[[#This Row],[ID CLIENTE]],'RESUMEN CLIENTES'!D:D,'RESUMEN CLIENTES'!C:C)</f>
        <v>Honduras</v>
      </c>
      <c r="D632" s="44" t="str">
        <f>+_xlfn.XLOOKUP(Tabla6[[#This Row],[ID CLIENTE]],'RESUMEN CLIENTES'!D:D,'RESUMEN CLIENTES'!M:M)</f>
        <v>OK</v>
      </c>
      <c r="E632" s="72">
        <f>+_xlfn.XLOOKUP(Tabla6[[#This Row],[NOMBRE]],'RESUMEN CLIENTES'!A:A,'RESUMEN CLIENTES'!X:X)</f>
        <v>-1.75</v>
      </c>
      <c r="F632" s="72">
        <f>+_xlfn.XLOOKUP(Tabla6[[#This Row],[ID CLIENTE]],'RESUMEN CLIENTES'!D:D,'RESUMEN CLIENTES'!W:W)</f>
        <v>0</v>
      </c>
      <c r="G632" s="17">
        <v>45981</v>
      </c>
      <c r="H632" s="44" t="s">
        <v>81</v>
      </c>
      <c r="I632" s="2">
        <v>1200</v>
      </c>
      <c r="J632" s="20" t="s">
        <v>1426</v>
      </c>
      <c r="K632" t="s">
        <v>1427</v>
      </c>
      <c r="L632" s="44" t="str" cm="1">
        <f t="array" ref="L632">+_xlfn.IFS(COUNTIF(INGRESOS!E:E,Tabla6[[#This Row],[ID FACTURA]])=1,"PAGADA",Tabla6[[#This Row],[ID FACTURA]]&lt;&gt;0,"EMITIDA",Tabla6[[#This Row],[ID FACTURA]]=0,"POR EMITIR")</f>
        <v>PAGADA</v>
      </c>
      <c r="M632" s="55">
        <f>+IF(Tabla6[[#This Row],[ESTADO FACTURA]]="PAGADA",Tabla6[[#This Row],[FECHA]]-_xlfn.XLOOKUP(Tabla6[[#This Row],[N° FACTURA]],INGRESOS!F:F,INGRESOS!A:A),"-")</f>
        <v>-2</v>
      </c>
      <c r="N632" s="2"/>
      <c r="O632" s="8"/>
    </row>
    <row r="633" spans="1:15" ht="14.75" customHeight="1">
      <c r="A633" s="320" t="s">
        <v>1428</v>
      </c>
      <c r="B633" t="str">
        <f>+_xlfn.XLOOKUP(Tabla6[[#This Row],[ID CLIENTE]],'RESUMEN CLIENTES'!D:D,'RESUMEN CLIENTES'!A:A)</f>
        <v>Javier Bravo Castelo</v>
      </c>
      <c r="C633" t="str">
        <f>+_xlfn.XLOOKUP(Tabla6[[#This Row],[ID CLIENTE]],'RESUMEN CLIENTES'!D:D,'RESUMEN CLIENTES'!C:C)</f>
        <v>Colombia</v>
      </c>
      <c r="D633" s="44" t="str">
        <f>+_xlfn.XLOOKUP(Tabla6[[#This Row],[ID CLIENTE]],'RESUMEN CLIENTES'!D:D,'RESUMEN CLIENTES'!M:M)</f>
        <v>OK</v>
      </c>
      <c r="E633" s="71">
        <f>+_xlfn.XLOOKUP(Tabla6[[#This Row],[NOMBRE]],'RESUMEN CLIENTES'!A:A,'RESUMEN CLIENTES'!X:X)</f>
        <v>-0.33333333333333331</v>
      </c>
      <c r="F633" s="71">
        <f>+_xlfn.XLOOKUP(Tabla6[[#This Row],[ID CLIENTE]],'RESUMEN CLIENTES'!D:D,'RESUMEN CLIENTES'!W:W)</f>
        <v>0</v>
      </c>
      <c r="G633" s="170">
        <v>45981</v>
      </c>
      <c r="H633" s="169" t="s">
        <v>81</v>
      </c>
      <c r="I633" s="2">
        <v>3000</v>
      </c>
      <c r="J633" s="20" t="s">
        <v>1429</v>
      </c>
      <c r="K633" t="s">
        <v>1430</v>
      </c>
      <c r="L633" s="44" t="str" cm="1">
        <f t="array" ref="L633">+_xlfn.IFS(COUNTIF(INGRESOS!E:E,Tabla6[[#This Row],[ID FACTURA]])=1,"PAGADA",Tabla6[[#This Row],[ID FACTURA]]&lt;&gt;0,"EMITIDA",Tabla6[[#This Row],[ID FACTURA]]=0,"POR EMITIR")</f>
        <v>PAGADA</v>
      </c>
      <c r="M633" s="55">
        <f>+IF(Tabla6[[#This Row],[ESTADO FACTURA]]="PAGADA",Tabla6[[#This Row],[FECHA]]-_xlfn.XLOOKUP(Tabla6[[#This Row],[N° FACTURA]],INGRESOS!F:F,INGRESOS!A:A),"-")</f>
        <v>0</v>
      </c>
      <c r="N633" s="2"/>
      <c r="O633"/>
    </row>
    <row r="634" spans="1:15" ht="14.75" customHeight="1">
      <c r="A634" s="320" t="s">
        <v>587</v>
      </c>
      <c r="B634" t="str">
        <f>+_xlfn.XLOOKUP(Tabla6[[#This Row],[ID CLIENTE]],'RESUMEN CLIENTES'!D:D,'RESUMEN CLIENTES'!A:A)</f>
        <v>Keidwin Perez</v>
      </c>
      <c r="C634" t="str">
        <f>+_xlfn.XLOOKUP(Tabla6[[#This Row],[ID CLIENTE]],'RESUMEN CLIENTES'!D:D,'RESUMEN CLIENTES'!C:C)</f>
        <v>Colombia</v>
      </c>
      <c r="D634" s="44" t="str">
        <f>+_xlfn.XLOOKUP(Tabla6[[#This Row],[ID CLIENTE]],'RESUMEN CLIENTES'!D:D,'RESUMEN CLIENTES'!M:M)</f>
        <v>OK</v>
      </c>
      <c r="E634" s="72">
        <f>+_xlfn.XLOOKUP(Tabla6[[#This Row],[NOMBRE]],'RESUMEN CLIENTES'!A:A,'RESUMEN CLIENTES'!X:X)</f>
        <v>-4.25</v>
      </c>
      <c r="F634" s="72">
        <f>+_xlfn.XLOOKUP(Tabla6[[#This Row],[ID CLIENTE]],'RESUMEN CLIENTES'!D:D,'RESUMEN CLIENTES'!W:W)</f>
        <v>1</v>
      </c>
      <c r="G634" s="17">
        <v>45981</v>
      </c>
      <c r="H634" s="44" t="s">
        <v>81</v>
      </c>
      <c r="I634" s="2">
        <v>750</v>
      </c>
      <c r="J634" s="20" t="s">
        <v>1431</v>
      </c>
      <c r="K634" t="s">
        <v>1432</v>
      </c>
      <c r="L634" s="44" t="str" cm="1">
        <f t="array" ref="L634">+_xlfn.IFS(COUNTIF(INGRESOS!E:E,Tabla6[[#This Row],[ID FACTURA]])=1,"PAGADA",Tabla6[[#This Row],[ID FACTURA]]&lt;&gt;0,"EMITIDA",Tabla6[[#This Row],[ID FACTURA]]=0,"POR EMITIR")</f>
        <v>PAGADA</v>
      </c>
      <c r="M634" s="55">
        <f>+IF(Tabla6[[#This Row],[ESTADO FACTURA]]="PAGADA",Tabla6[[#This Row],[FECHA]]-_xlfn.XLOOKUP(Tabla6[[#This Row],[N° FACTURA]],INGRESOS!F:F,INGRESOS!A:A),"-")</f>
        <v>-1</v>
      </c>
      <c r="N634" s="2"/>
      <c r="O634"/>
    </row>
    <row r="635" spans="1:15" ht="14.75" customHeight="1">
      <c r="A635" s="320" t="s">
        <v>460</v>
      </c>
      <c r="B635" t="str">
        <f>+_xlfn.XLOOKUP(Tabla6[[#This Row],[ID CLIENTE]],'RESUMEN CLIENTES'!D:D,'RESUMEN CLIENTES'!A:A)</f>
        <v>Valeria Carolina Heredia Peña</v>
      </c>
      <c r="C635" t="str">
        <f>+_xlfn.XLOOKUP(Tabla6[[#This Row],[ID CLIENTE]],'RESUMEN CLIENTES'!D:D,'RESUMEN CLIENTES'!C:C)</f>
        <v>Bolivia</v>
      </c>
      <c r="D635" s="44" t="str">
        <f>+_xlfn.XLOOKUP(Tabla6[[#This Row],[ID CLIENTE]],'RESUMEN CLIENTES'!D:D,'RESUMEN CLIENTES'!M:M)</f>
        <v>OK</v>
      </c>
      <c r="E635" s="72">
        <f>+_xlfn.XLOOKUP(Tabla6[[#This Row],[NOMBRE]],'RESUMEN CLIENTES'!A:A,'RESUMEN CLIENTES'!X:X)</f>
        <v>2.5</v>
      </c>
      <c r="F635" s="72">
        <f>+_xlfn.XLOOKUP(Tabla6[[#This Row],[ID CLIENTE]],'RESUMEN CLIENTES'!D:D,'RESUMEN CLIENTES'!W:W)</f>
        <v>0</v>
      </c>
      <c r="G635" s="17">
        <v>45981</v>
      </c>
      <c r="H635" s="44" t="s">
        <v>81</v>
      </c>
      <c r="I635" s="2">
        <v>4000</v>
      </c>
      <c r="J635" s="20" t="s">
        <v>1433</v>
      </c>
      <c r="K635" t="s">
        <v>1434</v>
      </c>
      <c r="L635" s="44" t="str" cm="1">
        <f t="array" ref="L635">+_xlfn.IFS(COUNTIF(INGRESOS!E:E,Tabla6[[#This Row],[ID FACTURA]])=1,"PAGADA",Tabla6[[#This Row],[ID FACTURA]]&lt;&gt;0,"EMITIDA",Tabla6[[#This Row],[ID FACTURA]]=0,"POR EMITIR")</f>
        <v>PAGADA</v>
      </c>
      <c r="M635" s="55">
        <f>+IF(Tabla6[[#This Row],[ESTADO FACTURA]]="PAGADA",Tabla6[[#This Row],[FECHA]]-_xlfn.XLOOKUP(Tabla6[[#This Row],[N° FACTURA]],INGRESOS!F:F,INGRESOS!A:A),"-")</f>
        <v>5</v>
      </c>
      <c r="N635" s="2"/>
      <c r="O635"/>
    </row>
    <row r="636" spans="1:15" ht="14.75" customHeight="1">
      <c r="A636" s="320" t="s">
        <v>912</v>
      </c>
      <c r="B636" t="str">
        <f>+_xlfn.XLOOKUP(Tabla6[[#This Row],[ID CLIENTE]],'RESUMEN CLIENTES'!D:D,'RESUMEN CLIENTES'!A:A)</f>
        <v>Vanessa Villarreal Villareal</v>
      </c>
      <c r="C636" t="str">
        <f>+_xlfn.XLOOKUP(Tabla6[[#This Row],[ID CLIENTE]],'RESUMEN CLIENTES'!D:D,'RESUMEN CLIENTES'!C:C)</f>
        <v>Ecuador</v>
      </c>
      <c r="D636" s="44" t="str">
        <f>+_xlfn.XLOOKUP(Tabla6[[#This Row],[ID CLIENTE]],'RESUMEN CLIENTES'!D:D,'RESUMEN CLIENTES'!M:M)</f>
        <v>OK</v>
      </c>
      <c r="E636" s="72">
        <f>+_xlfn.XLOOKUP(Tabla6[[#This Row],[NOMBRE]],'RESUMEN CLIENTES'!A:A,'RESUMEN CLIENTES'!X:X)</f>
        <v>-9.1428571428571423</v>
      </c>
      <c r="F636" s="72">
        <f>+_xlfn.XLOOKUP(Tabla6[[#This Row],[ID CLIENTE]],'RESUMEN CLIENTES'!D:D,'RESUMEN CLIENTES'!W:W)</f>
        <v>1</v>
      </c>
      <c r="G636" s="17">
        <v>45981</v>
      </c>
      <c r="H636" s="44" t="s">
        <v>81</v>
      </c>
      <c r="I636" s="2">
        <v>5861</v>
      </c>
      <c r="J636" s="20" t="s">
        <v>1435</v>
      </c>
      <c r="K636" t="s">
        <v>1436</v>
      </c>
      <c r="L636" s="44" t="str" cm="1">
        <f t="array" ref="L636">+_xlfn.IFS(COUNTIF(INGRESOS!E:E,Tabla6[[#This Row],[ID FACTURA]])=1,"PAGADA",Tabla6[[#This Row],[ID FACTURA]]&lt;&gt;0,"EMITIDA",Tabla6[[#This Row],[ID FACTURA]]=0,"POR EMITIR")</f>
        <v>PAGADA</v>
      </c>
      <c r="M636" s="55">
        <f>+IF(Tabla6[[#This Row],[ESTADO FACTURA]]="PAGADA",Tabla6[[#This Row],[FECHA]]-_xlfn.XLOOKUP(Tabla6[[#This Row],[N° FACTURA]],INGRESOS!F:F,INGRESOS!A:A),"-")</f>
        <v>-7</v>
      </c>
      <c r="N636" s="2"/>
      <c r="O636" s="8"/>
    </row>
    <row r="637" spans="1:15" ht="14.75" customHeight="1">
      <c r="A637" s="320" t="s">
        <v>1437</v>
      </c>
      <c r="B637" t="str">
        <f>+_xlfn.XLOOKUP(Tabla6[[#This Row],[ID CLIENTE]],'RESUMEN CLIENTES'!D:D,'RESUMEN CLIENTES'!A:A)</f>
        <v>Jorge Andres Galgani Muñoz</v>
      </c>
      <c r="C637" t="str">
        <f>+_xlfn.XLOOKUP(Tabla6[[#This Row],[ID CLIENTE]],'RESUMEN CLIENTES'!D:D,'RESUMEN CLIENTES'!C:C)</f>
        <v>Chile</v>
      </c>
      <c r="D637" s="44" t="str">
        <f>+_xlfn.XLOOKUP(Tabla6[[#This Row],[ID CLIENTE]],'RESUMEN CLIENTES'!D:D,'RESUMEN CLIENTES'!M:M)</f>
        <v>OK</v>
      </c>
      <c r="E637" s="71">
        <f>+_xlfn.XLOOKUP(Tabla6[[#This Row],[NOMBRE]],'RESUMEN CLIENTES'!A:A,'RESUMEN CLIENTES'!X:X)</f>
        <v>-1.1428571428571428</v>
      </c>
      <c r="F637" s="71">
        <f>+_xlfn.XLOOKUP(Tabla6[[#This Row],[ID CLIENTE]],'RESUMEN CLIENTES'!D:D,'RESUMEN CLIENTES'!W:W)</f>
        <v>1</v>
      </c>
      <c r="G637" s="17">
        <v>45982</v>
      </c>
      <c r="H637" s="169" t="s">
        <v>81</v>
      </c>
      <c r="I637" s="2">
        <v>250</v>
      </c>
      <c r="J637" s="20" t="s">
        <v>1438</v>
      </c>
      <c r="K637" t="s">
        <v>1439</v>
      </c>
      <c r="L637" s="44" t="str" cm="1">
        <f t="array" ref="L637">+_xlfn.IFS(COUNTIF(INGRESOS!E:E,Tabla6[[#This Row],[ID FACTURA]])=1,"PAGADA",Tabla6[[#This Row],[ID FACTURA]]&lt;&gt;0,"EMITIDA",Tabla6[[#This Row],[ID FACTURA]]=0,"POR EMITIR")</f>
        <v>PAGADA</v>
      </c>
      <c r="M637" s="55">
        <f>+IF(Tabla6[[#This Row],[ESTADO FACTURA]]="PAGADA",Tabla6[[#This Row],[FECHA]]-_xlfn.XLOOKUP(Tabla6[[#This Row],[N° FACTURA]],INGRESOS!F:F,INGRESOS!A:A),"-")</f>
        <v>0</v>
      </c>
      <c r="N637" s="2"/>
      <c r="O637"/>
    </row>
    <row r="638" spans="1:15" ht="14.75" customHeight="1">
      <c r="A638" s="320" t="s">
        <v>1440</v>
      </c>
      <c r="B638" t="str">
        <f>+_xlfn.XLOOKUP(Tabla6[[#This Row],[ID CLIENTE]],'RESUMEN CLIENTES'!D:D,'RESUMEN CLIENTES'!A:A)</f>
        <v>Nicolas Gonzalez</v>
      </c>
      <c r="C638" t="str">
        <f>+_xlfn.XLOOKUP(Tabla6[[#This Row],[ID CLIENTE]],'RESUMEN CLIENTES'!D:D,'RESUMEN CLIENTES'!C:C)</f>
        <v>Colombia</v>
      </c>
      <c r="D638" s="44" t="str">
        <f>+_xlfn.XLOOKUP(Tabla6[[#This Row],[ID CLIENTE]],'RESUMEN CLIENTES'!D:D,'RESUMEN CLIENTES'!M:M)</f>
        <v>EN PAUSA</v>
      </c>
      <c r="E638" s="71">
        <f>+_xlfn.XLOOKUP(Tabla6[[#This Row],[NOMBRE]],'RESUMEN CLIENTES'!A:A,'RESUMEN CLIENTES'!X:X)</f>
        <v>0.5</v>
      </c>
      <c r="F638" s="71">
        <f>+_xlfn.XLOOKUP(Tabla6[[#This Row],[ID CLIENTE]],'RESUMEN CLIENTES'!D:D,'RESUMEN CLIENTES'!W:W)</f>
        <v>0</v>
      </c>
      <c r="G638" s="17">
        <v>45982</v>
      </c>
      <c r="H638" s="169" t="s">
        <v>81</v>
      </c>
      <c r="I638" s="2">
        <v>250</v>
      </c>
      <c r="J638" s="20" t="s">
        <v>1441</v>
      </c>
      <c r="K638" t="s">
        <v>1442</v>
      </c>
      <c r="L638" s="44" t="str" cm="1">
        <f t="array" ref="L638">+_xlfn.IFS(COUNTIF(INGRESOS!E:E,Tabla6[[#This Row],[ID FACTURA]])=1,"PAGADA",Tabla6[[#This Row],[ID FACTURA]]&lt;&gt;0,"EMITIDA",Tabla6[[#This Row],[ID FACTURA]]=0,"POR EMITIR")</f>
        <v>PAGADA</v>
      </c>
      <c r="M638" s="55">
        <f>+IF(Tabla6[[#This Row],[ESTADO FACTURA]]="PAGADA",Tabla6[[#This Row],[FECHA]]-_xlfn.XLOOKUP(Tabla6[[#This Row],[N° FACTURA]],INGRESOS!F:F,INGRESOS!A:A),"-")</f>
        <v>0</v>
      </c>
      <c r="N638" s="2"/>
      <c r="O638"/>
    </row>
    <row r="639" spans="1:15" ht="14.75" customHeight="1">
      <c r="A639" s="320" t="s">
        <v>1437</v>
      </c>
      <c r="B639" t="str">
        <f>+_xlfn.XLOOKUP(Tabla6[[#This Row],[ID CLIENTE]],'RESUMEN CLIENTES'!D:D,'RESUMEN CLIENTES'!A:A)</f>
        <v>Jorge Andres Galgani Muñoz</v>
      </c>
      <c r="C639" t="str">
        <f>+_xlfn.XLOOKUP(Tabla6[[#This Row],[ID CLIENTE]],'RESUMEN CLIENTES'!D:D,'RESUMEN CLIENTES'!C:C)</f>
        <v>Chile</v>
      </c>
      <c r="D639" s="44" t="str">
        <f>+_xlfn.XLOOKUP(Tabla6[[#This Row],[ID CLIENTE]],'RESUMEN CLIENTES'!D:D,'RESUMEN CLIENTES'!M:M)</f>
        <v>OK</v>
      </c>
      <c r="E639" s="71">
        <f>+_xlfn.XLOOKUP(Tabla6[[#This Row],[NOMBRE]],'RESUMEN CLIENTES'!A:A,'RESUMEN CLIENTES'!X:X)</f>
        <v>-1.1428571428571428</v>
      </c>
      <c r="F639" s="71">
        <f>+_xlfn.XLOOKUP(Tabla6[[#This Row],[ID CLIENTE]],'RESUMEN CLIENTES'!D:D,'RESUMEN CLIENTES'!W:W)</f>
        <v>1</v>
      </c>
      <c r="G639" s="17">
        <v>45983</v>
      </c>
      <c r="H639" s="169" t="s">
        <v>81</v>
      </c>
      <c r="I639" s="2">
        <v>500</v>
      </c>
      <c r="J639" s="20" t="s">
        <v>1443</v>
      </c>
      <c r="K639" t="s">
        <v>1444</v>
      </c>
      <c r="L639" s="44" t="str" cm="1">
        <f t="array" ref="L639">+_xlfn.IFS(COUNTIF(INGRESOS!E:E,Tabla6[[#This Row],[ID FACTURA]])=1,"PAGADA",Tabla6[[#This Row],[ID FACTURA]]&lt;&gt;0,"EMITIDA",Tabla6[[#This Row],[ID FACTURA]]=0,"POR EMITIR")</f>
        <v>PAGADA</v>
      </c>
      <c r="M639" s="55">
        <f>+IF(Tabla6[[#This Row],[ESTADO FACTURA]]="PAGADA",Tabla6[[#This Row],[FECHA]]-_xlfn.XLOOKUP(Tabla6[[#This Row],[N° FACTURA]],INGRESOS!F:F,INGRESOS!A:A),"-")</f>
        <v>-1</v>
      </c>
      <c r="N639" s="2"/>
      <c r="O639" s="8"/>
    </row>
    <row r="640" spans="1:15" ht="14.75" customHeight="1">
      <c r="A640" s="320" t="s">
        <v>1440</v>
      </c>
      <c r="B640" t="str">
        <f>+_xlfn.XLOOKUP(Tabla6[[#This Row],[ID CLIENTE]],'RESUMEN CLIENTES'!D:D,'RESUMEN CLIENTES'!A:A)</f>
        <v>Nicolas Gonzalez</v>
      </c>
      <c r="C640" t="str">
        <f>+_xlfn.XLOOKUP(Tabla6[[#This Row],[ID CLIENTE]],'RESUMEN CLIENTES'!D:D,'RESUMEN CLIENTES'!C:C)</f>
        <v>Colombia</v>
      </c>
      <c r="D640" s="44" t="str">
        <f>+_xlfn.XLOOKUP(Tabla6[[#This Row],[ID CLIENTE]],'RESUMEN CLIENTES'!D:D,'RESUMEN CLIENTES'!M:M)</f>
        <v>EN PAUSA</v>
      </c>
      <c r="E640" s="71">
        <f>+_xlfn.XLOOKUP(Tabla6[[#This Row],[NOMBRE]],'RESUMEN CLIENTES'!A:A,'RESUMEN CLIENTES'!X:X)</f>
        <v>0.5</v>
      </c>
      <c r="F640" s="71">
        <f>+_xlfn.XLOOKUP(Tabla6[[#This Row],[ID CLIENTE]],'RESUMEN CLIENTES'!D:D,'RESUMEN CLIENTES'!W:W)</f>
        <v>0</v>
      </c>
      <c r="G640" s="17">
        <v>45983</v>
      </c>
      <c r="H640" s="169" t="s">
        <v>81</v>
      </c>
      <c r="I640" s="2">
        <v>1250</v>
      </c>
      <c r="J640" s="20" t="s">
        <v>1445</v>
      </c>
      <c r="K640" t="s">
        <v>1446</v>
      </c>
      <c r="L640" s="44" t="str" cm="1">
        <f t="array" ref="L640">+_xlfn.IFS(COUNTIF(INGRESOS!E:E,Tabla6[[#This Row],[ID FACTURA]])=1,"PAGADA",Tabla6[[#This Row],[ID FACTURA]]&lt;&gt;0,"EMITIDA",Tabla6[[#This Row],[ID FACTURA]]=0,"POR EMITIR")</f>
        <v>PAGADA</v>
      </c>
      <c r="M640" s="55">
        <f>+IF(Tabla6[[#This Row],[ESTADO FACTURA]]="PAGADA",Tabla6[[#This Row],[FECHA]]-_xlfn.XLOOKUP(Tabla6[[#This Row],[N° FACTURA]],INGRESOS!F:F,INGRESOS!A:A),"-")</f>
        <v>1</v>
      </c>
      <c r="N640" s="2"/>
      <c r="O640"/>
    </row>
    <row r="641" spans="1:15" ht="14.75" customHeight="1">
      <c r="A641" s="320" t="s">
        <v>250</v>
      </c>
      <c r="B641" t="str">
        <f>+_xlfn.XLOOKUP(Tabla6[[#This Row],[ID CLIENTE]],'RESUMEN CLIENTES'!D:D,'RESUMEN CLIENTES'!A:A)</f>
        <v>Fernanda Castro</v>
      </c>
      <c r="C641" t="str">
        <f>+_xlfn.XLOOKUP(Tabla6[[#This Row],[ID CLIENTE]],'RESUMEN CLIENTES'!D:D,'RESUMEN CLIENTES'!C:C)</f>
        <v>Ecuador</v>
      </c>
      <c r="D641" s="44" t="str">
        <f>+_xlfn.XLOOKUP(Tabla6[[#This Row],[ID CLIENTE]],'RESUMEN CLIENTES'!D:D,'RESUMEN CLIENTES'!M:M)</f>
        <v>OK</v>
      </c>
      <c r="E641" s="72">
        <f>+_xlfn.XLOOKUP(Tabla6[[#This Row],[NOMBRE]],'RESUMEN CLIENTES'!A:A,'RESUMEN CLIENTES'!X:X)</f>
        <v>0</v>
      </c>
      <c r="F641" s="72">
        <f>+_xlfn.XLOOKUP(Tabla6[[#This Row],[ID CLIENTE]],'RESUMEN CLIENTES'!D:D,'RESUMEN CLIENTES'!W:W)</f>
        <v>1</v>
      </c>
      <c r="G641" s="17">
        <v>45984</v>
      </c>
      <c r="H641" s="44" t="s">
        <v>81</v>
      </c>
      <c r="I641" s="2">
        <v>1000</v>
      </c>
      <c r="J641" s="20" t="s">
        <v>1447</v>
      </c>
      <c r="K641" t="s">
        <v>1448</v>
      </c>
      <c r="L641" s="44" t="str" cm="1">
        <f t="array" ref="L641">+_xlfn.IFS(COUNTIF(INGRESOS!E:E,Tabla6[[#This Row],[ID FACTURA]])=1,"PAGADA",Tabla6[[#This Row],[ID FACTURA]]&lt;&gt;0,"EMITIDA",Tabla6[[#This Row],[ID FACTURA]]=0,"POR EMITIR")</f>
        <v>PAGADA</v>
      </c>
      <c r="M641" s="55">
        <f>+IF(Tabla6[[#This Row],[ESTADO FACTURA]]="PAGADA",Tabla6[[#This Row],[FECHA]]-_xlfn.XLOOKUP(Tabla6[[#This Row],[N° FACTURA]],INGRESOS!F:F,INGRESOS!A:A),"-")</f>
        <v>-1</v>
      </c>
      <c r="N641" s="2"/>
      <c r="O641"/>
    </row>
    <row r="642" spans="1:15" ht="14.75" customHeight="1">
      <c r="A642" s="320" t="s">
        <v>1437</v>
      </c>
      <c r="B642" t="str">
        <f>+_xlfn.XLOOKUP(Tabla6[[#This Row],[ID CLIENTE]],'RESUMEN CLIENTES'!D:D,'RESUMEN CLIENTES'!A:A)</f>
        <v>Jorge Andres Galgani Muñoz</v>
      </c>
      <c r="C642" t="str">
        <f>+_xlfn.XLOOKUP(Tabla6[[#This Row],[ID CLIENTE]],'RESUMEN CLIENTES'!D:D,'RESUMEN CLIENTES'!C:C)</f>
        <v>Chile</v>
      </c>
      <c r="D642" s="44" t="str">
        <f>+_xlfn.XLOOKUP(Tabla6[[#This Row],[ID CLIENTE]],'RESUMEN CLIENTES'!D:D,'RESUMEN CLIENTES'!M:M)</f>
        <v>OK</v>
      </c>
      <c r="E642" s="71">
        <f>+_xlfn.XLOOKUP(Tabla6[[#This Row],[NOMBRE]],'RESUMEN CLIENTES'!A:A,'RESUMEN CLIENTES'!X:X)</f>
        <v>-1.1428571428571428</v>
      </c>
      <c r="F642" s="71">
        <f>+_xlfn.XLOOKUP(Tabla6[[#This Row],[ID CLIENTE]],'RESUMEN CLIENTES'!D:D,'RESUMEN CLIENTES'!W:W)</f>
        <v>1</v>
      </c>
      <c r="G642" s="17">
        <v>45984</v>
      </c>
      <c r="H642" s="169" t="s">
        <v>81</v>
      </c>
      <c r="I642" s="2">
        <v>750</v>
      </c>
      <c r="J642" s="20" t="s">
        <v>1449</v>
      </c>
      <c r="K642" t="s">
        <v>1450</v>
      </c>
      <c r="L642" s="44" t="str" cm="1">
        <f t="array" ref="L642">+_xlfn.IFS(COUNTIF(INGRESOS!E:E,Tabla6[[#This Row],[ID FACTURA]])=1,"PAGADA",Tabla6[[#This Row],[ID FACTURA]]&lt;&gt;0,"EMITIDA",Tabla6[[#This Row],[ID FACTURA]]=0,"POR EMITIR")</f>
        <v>PAGADA</v>
      </c>
      <c r="M642" s="55">
        <f>+IF(Tabla6[[#This Row],[ESTADO FACTURA]]="PAGADA",Tabla6[[#This Row],[FECHA]]-_xlfn.XLOOKUP(Tabla6[[#This Row],[N° FACTURA]],INGRESOS!F:F,INGRESOS!A:A),"-")</f>
        <v>-1</v>
      </c>
      <c r="N642" s="2"/>
      <c r="O642"/>
    </row>
    <row r="643" spans="1:15" ht="14.75" customHeight="1">
      <c r="A643" s="320" t="s">
        <v>994</v>
      </c>
      <c r="B643" t="str">
        <f>+_xlfn.XLOOKUP(Tabla6[[#This Row],[ID CLIENTE]],'RESUMEN CLIENTES'!D:D,'RESUMEN CLIENTES'!A:A)</f>
        <v>Raúl Ernesto Martínez Orantes</v>
      </c>
      <c r="C643" t="str">
        <f>+_xlfn.XLOOKUP(Tabla6[[#This Row],[ID CLIENTE]],'RESUMEN CLIENTES'!D:D,'RESUMEN CLIENTES'!C:C)</f>
        <v>El Salvador</v>
      </c>
      <c r="D643" s="44" t="str">
        <f>+_xlfn.XLOOKUP(Tabla6[[#This Row],[ID CLIENTE]],'RESUMEN CLIENTES'!D:D,'RESUMEN CLIENTES'!M:M)</f>
        <v>OK</v>
      </c>
      <c r="E643" s="72">
        <f>+_xlfn.XLOOKUP(Tabla6[[#This Row],[NOMBRE]],'RESUMEN CLIENTES'!A:A,'RESUMEN CLIENTES'!X:X)</f>
        <v>1.1428571428571428</v>
      </c>
      <c r="F643" s="72">
        <f>+_xlfn.XLOOKUP(Tabla6[[#This Row],[ID CLIENTE]],'RESUMEN CLIENTES'!D:D,'RESUMEN CLIENTES'!W:W)</f>
        <v>1</v>
      </c>
      <c r="G643" s="17">
        <v>45984</v>
      </c>
      <c r="H643" s="44" t="s">
        <v>81</v>
      </c>
      <c r="I643" s="2">
        <v>850</v>
      </c>
      <c r="J643" s="20" t="s">
        <v>1451</v>
      </c>
      <c r="K643" t="s">
        <v>1452</v>
      </c>
      <c r="L643" s="44" t="str" cm="1">
        <f t="array" ref="L643">+_xlfn.IFS(COUNTIF(INGRESOS!E:E,Tabla6[[#This Row],[ID FACTURA]])=1,"PAGADA",Tabla6[[#This Row],[ID FACTURA]]&lt;&gt;0,"EMITIDA",Tabla6[[#This Row],[ID FACTURA]]=0,"POR EMITIR")</f>
        <v>PAGADA</v>
      </c>
      <c r="M643" s="55">
        <f>+IF(Tabla6[[#This Row],[ESTADO FACTURA]]="PAGADA",Tabla6[[#This Row],[FECHA]]-_xlfn.XLOOKUP(Tabla6[[#This Row],[N° FACTURA]],INGRESOS!F:F,INGRESOS!A:A),"-")</f>
        <v>1</v>
      </c>
      <c r="N643" s="2"/>
      <c r="O643"/>
    </row>
    <row r="644" spans="1:15" ht="14.75" customHeight="1">
      <c r="A644" s="320" t="s">
        <v>261</v>
      </c>
      <c r="B644" t="str">
        <f>+_xlfn.XLOOKUP(Tabla6[[#This Row],[ID CLIENTE]],'RESUMEN CLIENTES'!D:D,'RESUMEN CLIENTES'!A:A)</f>
        <v>Maryori Elizabeth Ramos Tapia</v>
      </c>
      <c r="C644" t="str">
        <f>+_xlfn.XLOOKUP(Tabla6[[#This Row],[ID CLIENTE]],'RESUMEN CLIENTES'!D:D,'RESUMEN CLIENTES'!C:C)</f>
        <v>Perú</v>
      </c>
      <c r="D644" s="44" t="str">
        <f>+_xlfn.XLOOKUP(Tabla6[[#This Row],[ID CLIENTE]],'RESUMEN CLIENTES'!D:D,'RESUMEN CLIENTES'!M:M)</f>
        <v>OK</v>
      </c>
      <c r="E644" s="72">
        <f>+_xlfn.XLOOKUP(Tabla6[[#This Row],[NOMBRE]],'RESUMEN CLIENTES'!A:A,'RESUMEN CLIENTES'!X:X)</f>
        <v>-0.88425925925952875</v>
      </c>
      <c r="F644" s="72">
        <f>+_xlfn.XLOOKUP(Tabla6[[#This Row],[ID CLIENTE]],'RESUMEN CLIENTES'!D:D,'RESUMEN CLIENTES'!W:W)</f>
        <v>1</v>
      </c>
      <c r="G644" s="17">
        <v>45985</v>
      </c>
      <c r="H644" s="44" t="s">
        <v>81</v>
      </c>
      <c r="I644" s="2">
        <v>1000</v>
      </c>
      <c r="J644" s="20" t="s">
        <v>1453</v>
      </c>
      <c r="K644" t="s">
        <v>1454</v>
      </c>
      <c r="L644" s="44" t="str" cm="1">
        <f t="array" ref="L644">+_xlfn.IFS(COUNTIF(INGRESOS!E:E,Tabla6[[#This Row],[ID FACTURA]])=1,"PAGADA",Tabla6[[#This Row],[ID FACTURA]]&lt;&gt;0,"EMITIDA",Tabla6[[#This Row],[ID FACTURA]]=0,"POR EMITIR")</f>
        <v>PAGADA</v>
      </c>
      <c r="M644" s="55">
        <f>+IF(Tabla6[[#This Row],[ESTADO FACTURA]]="PAGADA",Tabla6[[#This Row],[FECHA]]-_xlfn.XLOOKUP(Tabla6[[#This Row],[N° FACTURA]],INGRESOS!F:F,INGRESOS!A:A),"-")</f>
        <v>0</v>
      </c>
      <c r="N644" s="2"/>
      <c r="O644"/>
    </row>
    <row r="645" spans="1:15" ht="14.75" customHeight="1">
      <c r="A645" s="320" t="s">
        <v>162</v>
      </c>
      <c r="B645" t="str">
        <f>+_xlfn.XLOOKUP(Tabla6[[#This Row],[ID CLIENTE]],'RESUMEN CLIENTES'!D:D,'RESUMEN CLIENTES'!A:A)</f>
        <v>Bastian Sofjer Peralta</v>
      </c>
      <c r="C645" t="str">
        <f>+_xlfn.XLOOKUP(Tabla6[[#This Row],[ID CLIENTE]],'RESUMEN CLIENTES'!D:D,'RESUMEN CLIENTES'!C:C)</f>
        <v>Chile</v>
      </c>
      <c r="D645" s="44" t="str">
        <f>+_xlfn.XLOOKUP(Tabla6[[#This Row],[ID CLIENTE]],'RESUMEN CLIENTES'!D:D,'RESUMEN CLIENTES'!M:M)</f>
        <v>OK</v>
      </c>
      <c r="E645" s="72">
        <f>+_xlfn.XLOOKUP(Tabla6[[#This Row],[NOMBRE]],'RESUMEN CLIENTES'!A:A,'RESUMEN CLIENTES'!X:X)</f>
        <v>4.125</v>
      </c>
      <c r="F645" s="72">
        <f>+_xlfn.XLOOKUP(Tabla6[[#This Row],[ID CLIENTE]],'RESUMEN CLIENTES'!D:D,'RESUMEN CLIENTES'!W:W)</f>
        <v>1</v>
      </c>
      <c r="G645" s="17">
        <v>45986</v>
      </c>
      <c r="H645" s="44" t="s">
        <v>81</v>
      </c>
      <c r="I645" s="2">
        <v>900</v>
      </c>
      <c r="J645" s="20" t="s">
        <v>1455</v>
      </c>
      <c r="K645" t="s">
        <v>1456</v>
      </c>
      <c r="L645" s="44" t="str" cm="1">
        <f t="array" ref="L645">+_xlfn.IFS(COUNTIF(INGRESOS!E:E,Tabla6[[#This Row],[ID FACTURA]])=1,"PAGADA",Tabla6[[#This Row],[ID FACTURA]]&lt;&gt;0,"EMITIDA",Tabla6[[#This Row],[ID FACTURA]]=0,"POR EMITIR")</f>
        <v>PAGADA</v>
      </c>
      <c r="M645" s="55">
        <f>+IF(Tabla6[[#This Row],[ESTADO FACTURA]]="PAGADA",Tabla6[[#This Row],[FECHA]]-_xlfn.XLOOKUP(Tabla6[[#This Row],[N° FACTURA]],INGRESOS!F:F,INGRESOS!A:A),"-")</f>
        <v>2</v>
      </c>
      <c r="N645" s="2"/>
      <c r="O645"/>
    </row>
    <row r="646" spans="1:15" ht="14.75" customHeight="1">
      <c r="A646" s="320" t="s">
        <v>333</v>
      </c>
      <c r="B646" t="str">
        <f>+_xlfn.XLOOKUP(Tabla6[[#This Row],[ID CLIENTE]],'RESUMEN CLIENTES'!D:D,'RESUMEN CLIENTES'!A:A)</f>
        <v>Jorge Augusto Cámbara Vargas</v>
      </c>
      <c r="C646" t="str">
        <f>+_xlfn.XLOOKUP(Tabla6[[#This Row],[ID CLIENTE]],'RESUMEN CLIENTES'!D:D,'RESUMEN CLIENTES'!C:C)</f>
        <v>Guatemala</v>
      </c>
      <c r="D646" s="44" t="str">
        <f>+_xlfn.XLOOKUP(Tabla6[[#This Row],[ID CLIENTE]],'RESUMEN CLIENTES'!D:D,'RESUMEN CLIENTES'!M:M)</f>
        <v>OK</v>
      </c>
      <c r="E646" s="72">
        <f>+_xlfn.XLOOKUP(Tabla6[[#This Row],[NOMBRE]],'RESUMEN CLIENTES'!A:A,'RESUMEN CLIENTES'!X:X)</f>
        <v>0.1157407407331953</v>
      </c>
      <c r="F646" s="72">
        <f>+_xlfn.XLOOKUP(Tabla6[[#This Row],[ID CLIENTE]],'RESUMEN CLIENTES'!D:D,'RESUMEN CLIENTES'!W:W)</f>
        <v>1</v>
      </c>
      <c r="G646" s="17">
        <v>45986</v>
      </c>
      <c r="H646" s="44" t="s">
        <v>81</v>
      </c>
      <c r="I646" s="2">
        <v>1000</v>
      </c>
      <c r="J646" s="20" t="s">
        <v>1457</v>
      </c>
      <c r="K646" t="s">
        <v>1458</v>
      </c>
      <c r="L646" s="44" t="str" cm="1">
        <f t="array" ref="L646">+_xlfn.IFS(COUNTIF(INGRESOS!E:E,Tabla6[[#This Row],[ID FACTURA]])=1,"PAGADA",Tabla6[[#This Row],[ID FACTURA]]&lt;&gt;0,"EMITIDA",Tabla6[[#This Row],[ID FACTURA]]=0,"POR EMITIR")</f>
        <v>PAGADA</v>
      </c>
      <c r="M646" s="55">
        <f>+IF(Tabla6[[#This Row],[ESTADO FACTURA]]="PAGADA",Tabla6[[#This Row],[FECHA]]-_xlfn.XLOOKUP(Tabla6[[#This Row],[N° FACTURA]],INGRESOS!F:F,INGRESOS!A:A),"-")</f>
        <v>0</v>
      </c>
      <c r="N646" s="2"/>
      <c r="O646"/>
    </row>
    <row r="647" spans="1:15" ht="14.75" customHeight="1">
      <c r="A647" s="320" t="s">
        <v>87</v>
      </c>
      <c r="B647" t="str">
        <f>+_xlfn.XLOOKUP(Tabla6[[#This Row],[ID CLIENTE]],'RESUMEN CLIENTES'!D:D,'RESUMEN CLIENTES'!A:A)</f>
        <v>Jose Marcelo Marroquín Guzmán</v>
      </c>
      <c r="C647" t="str">
        <f>+_xlfn.XLOOKUP(Tabla6[[#This Row],[ID CLIENTE]],'RESUMEN CLIENTES'!D:D,'RESUMEN CLIENTES'!C:C)</f>
        <v>El Salvador</v>
      </c>
      <c r="D647" s="44" t="str">
        <f>+_xlfn.XLOOKUP(Tabla6[[#This Row],[ID CLIENTE]],'RESUMEN CLIENTES'!D:D,'RESUMEN CLIENTES'!M:M)</f>
        <v>OK</v>
      </c>
      <c r="E647" s="72">
        <f>+_xlfn.XLOOKUP(Tabla6[[#This Row],[NOMBRE]],'RESUMEN CLIENTES'!A:A,'RESUMEN CLIENTES'!X:X)</f>
        <v>-1.5833333333333333</v>
      </c>
      <c r="F647" s="72">
        <f>+_xlfn.XLOOKUP(Tabla6[[#This Row],[ID CLIENTE]],'RESUMEN CLIENTES'!D:D,'RESUMEN CLIENTES'!W:W)</f>
        <v>1</v>
      </c>
      <c r="G647" s="17">
        <v>45986</v>
      </c>
      <c r="H647" s="44" t="s">
        <v>81</v>
      </c>
      <c r="I647" s="2">
        <v>400</v>
      </c>
      <c r="J647" s="20" t="s">
        <v>1459</v>
      </c>
      <c r="K647" t="s">
        <v>1460</v>
      </c>
      <c r="L647" s="44" t="str" cm="1">
        <f t="array" ref="L647">+_xlfn.IFS(COUNTIF(INGRESOS!E:E,Tabla6[[#This Row],[ID FACTURA]])=1,"PAGADA",Tabla6[[#This Row],[ID FACTURA]]&lt;&gt;0,"EMITIDA",Tabla6[[#This Row],[ID FACTURA]]=0,"POR EMITIR")</f>
        <v>PAGADA</v>
      </c>
      <c r="M647" s="55">
        <f>+IF(Tabla6[[#This Row],[ESTADO FACTURA]]="PAGADA",Tabla6[[#This Row],[FECHA]]-_xlfn.XLOOKUP(Tabla6[[#This Row],[N° FACTURA]],INGRESOS!F:F,INGRESOS!A:A),"-")</f>
        <v>-1</v>
      </c>
      <c r="N647" s="2"/>
      <c r="O647"/>
    </row>
    <row r="648" spans="1:15" ht="14.75" customHeight="1">
      <c r="A648" s="320" t="s">
        <v>1461</v>
      </c>
      <c r="B648" t="str">
        <f>+_xlfn.XLOOKUP(Tabla6[[#This Row],[ID CLIENTE]],'RESUMEN CLIENTES'!D:D,'RESUMEN CLIENTES'!A:A)</f>
        <v>Katerine Marianela Verastegui Mendoza</v>
      </c>
      <c r="C648" t="str">
        <f>+_xlfn.XLOOKUP(Tabla6[[#This Row],[ID CLIENTE]],'RESUMEN CLIENTES'!D:D,'RESUMEN CLIENTES'!C:C)</f>
        <v>Perú</v>
      </c>
      <c r="D648" s="44" t="str">
        <f>+_xlfn.XLOOKUP(Tabla6[[#This Row],[ID CLIENTE]],'RESUMEN CLIENTES'!D:D,'RESUMEN CLIENTES'!M:M)</f>
        <v>OK</v>
      </c>
      <c r="E648" s="71">
        <f>+_xlfn.XLOOKUP(Tabla6[[#This Row],[NOMBRE]],'RESUMEN CLIENTES'!A:A,'RESUMEN CLIENTES'!X:X)</f>
        <v>-2</v>
      </c>
      <c r="F648" s="71">
        <f>+_xlfn.XLOOKUP(Tabla6[[#This Row],[ID CLIENTE]],'RESUMEN CLIENTES'!D:D,'RESUMEN CLIENTES'!W:W)</f>
        <v>0</v>
      </c>
      <c r="G648" s="17">
        <v>45986</v>
      </c>
      <c r="H648" s="169" t="s">
        <v>81</v>
      </c>
      <c r="I648" s="2">
        <v>250</v>
      </c>
      <c r="J648" s="20" t="s">
        <v>1462</v>
      </c>
      <c r="K648" t="s">
        <v>1463</v>
      </c>
      <c r="L648" s="44" t="str" cm="1">
        <f t="array" ref="L648">+_xlfn.IFS(COUNTIF(INGRESOS!E:E,Tabla6[[#This Row],[ID FACTURA]])=1,"PAGADA",Tabla6[[#This Row],[ID FACTURA]]&lt;&gt;0,"EMITIDA",Tabla6[[#This Row],[ID FACTURA]]=0,"POR EMITIR")</f>
        <v>PAGADA</v>
      </c>
      <c r="M648" s="55">
        <f>+IF(Tabla6[[#This Row],[ESTADO FACTURA]]="PAGADA",Tabla6[[#This Row],[FECHA]]-_xlfn.XLOOKUP(Tabla6[[#This Row],[N° FACTURA]],INGRESOS!F:F,INGRESOS!A:A),"-")</f>
        <v>-2</v>
      </c>
      <c r="N648" s="2"/>
      <c r="O648"/>
    </row>
    <row r="649" spans="1:15" ht="14.75" customHeight="1">
      <c r="A649" s="320" t="s">
        <v>322</v>
      </c>
      <c r="B649" t="str">
        <f>+_xlfn.XLOOKUP(Tabla6[[#This Row],[ID CLIENTE]],'RESUMEN CLIENTES'!D:D,'RESUMEN CLIENTES'!A:A)</f>
        <v>Mauricio Ignacio Alcayaga Romo</v>
      </c>
      <c r="C649" t="str">
        <f>+_xlfn.XLOOKUP(Tabla6[[#This Row],[ID CLIENTE]],'RESUMEN CLIENTES'!D:D,'RESUMEN CLIENTES'!C:C)</f>
        <v>Chile</v>
      </c>
      <c r="D649" s="44" t="str">
        <f>+_xlfn.XLOOKUP(Tabla6[[#This Row],[ID CLIENTE]],'RESUMEN CLIENTES'!D:D,'RESUMEN CLIENTES'!M:M)</f>
        <v>OK</v>
      </c>
      <c r="E649" s="72">
        <f>+_xlfn.XLOOKUP(Tabla6[[#This Row],[NOMBRE]],'RESUMEN CLIENTES'!A:A,'RESUMEN CLIENTES'!X:X)</f>
        <v>-0.3</v>
      </c>
      <c r="F649" s="72">
        <f>+_xlfn.XLOOKUP(Tabla6[[#This Row],[ID CLIENTE]],'RESUMEN CLIENTES'!D:D,'RESUMEN CLIENTES'!W:W)</f>
        <v>0</v>
      </c>
      <c r="G649" s="17">
        <v>45986</v>
      </c>
      <c r="H649" s="44" t="s">
        <v>81</v>
      </c>
      <c r="I649" s="2">
        <v>1000</v>
      </c>
      <c r="J649" s="20" t="s">
        <v>1464</v>
      </c>
      <c r="K649" t="s">
        <v>1465</v>
      </c>
      <c r="L649" s="44" t="str" cm="1">
        <f t="array" ref="L649">+_xlfn.IFS(COUNTIF(INGRESOS!E:E,Tabla6[[#This Row],[ID FACTURA]])=1,"PAGADA",Tabla6[[#This Row],[ID FACTURA]]&lt;&gt;0,"EMITIDA",Tabla6[[#This Row],[ID FACTURA]]=0,"POR EMITIR")</f>
        <v>PAGADA</v>
      </c>
      <c r="M649" s="55">
        <f>+IF(Tabla6[[#This Row],[ESTADO FACTURA]]="PAGADA",Tabla6[[#This Row],[FECHA]]-_xlfn.XLOOKUP(Tabla6[[#This Row],[N° FACTURA]],INGRESOS!F:F,INGRESOS!A:A),"-")</f>
        <v>-2</v>
      </c>
      <c r="N649" s="2"/>
      <c r="O649"/>
    </row>
    <row r="650" spans="1:15" ht="14.75" customHeight="1">
      <c r="A650" s="320" t="s">
        <v>716</v>
      </c>
      <c r="B650" t="str">
        <f>+_xlfn.XLOOKUP(Tabla6[[#This Row],[ID CLIENTE]],'RESUMEN CLIENTES'!D:D,'RESUMEN CLIENTES'!A:A)</f>
        <v>Sofia Martínez Restrepo</v>
      </c>
      <c r="C650" t="str">
        <f>+_xlfn.XLOOKUP(Tabla6[[#This Row],[ID CLIENTE]],'RESUMEN CLIENTES'!D:D,'RESUMEN CLIENTES'!C:C)</f>
        <v>Colombia</v>
      </c>
      <c r="D650" s="44" t="str">
        <f>+_xlfn.XLOOKUP(Tabla6[[#This Row],[ID CLIENTE]],'RESUMEN CLIENTES'!D:D,'RESUMEN CLIENTES'!M:M)</f>
        <v>OK</v>
      </c>
      <c r="E650" s="72">
        <f>+_xlfn.XLOOKUP(Tabla6[[#This Row],[NOMBRE]],'RESUMEN CLIENTES'!A:A,'RESUMEN CLIENTES'!X:X)</f>
        <v>-0.33333333333333331</v>
      </c>
      <c r="F650" s="72">
        <f>+_xlfn.XLOOKUP(Tabla6[[#This Row],[ID CLIENTE]],'RESUMEN CLIENTES'!D:D,'RESUMEN CLIENTES'!W:W)</f>
        <v>1</v>
      </c>
      <c r="G650" s="17">
        <v>45986</v>
      </c>
      <c r="H650" s="44" t="s">
        <v>81</v>
      </c>
      <c r="I650" s="2">
        <v>1000</v>
      </c>
      <c r="J650" s="20" t="s">
        <v>1466</v>
      </c>
      <c r="K650" t="s">
        <v>1467</v>
      </c>
      <c r="L650" s="44" t="str" cm="1">
        <f t="array" ref="L650">+_xlfn.IFS(COUNTIF(INGRESOS!E:E,Tabla6[[#This Row],[ID FACTURA]])=1,"PAGADA",Tabla6[[#This Row],[ID FACTURA]]&lt;&gt;0,"EMITIDA",Tabla6[[#This Row],[ID FACTURA]]=0,"POR EMITIR")</f>
        <v>PAGADA</v>
      </c>
      <c r="M650" s="55">
        <f>+IF(Tabla6[[#This Row],[ESTADO FACTURA]]="PAGADA",Tabla6[[#This Row],[FECHA]]-_xlfn.XLOOKUP(Tabla6[[#This Row],[N° FACTURA]],INGRESOS!F:F,INGRESOS!A:A),"-")</f>
        <v>-1</v>
      </c>
      <c r="N650" s="2"/>
      <c r="O650"/>
    </row>
    <row r="651" spans="1:15" ht="14.75" customHeight="1">
      <c r="A651" s="320" t="s">
        <v>1468</v>
      </c>
      <c r="B651" t="str">
        <f>+_xlfn.XLOOKUP(Tabla6[[#This Row],[ID CLIENTE]],'RESUMEN CLIENTES'!D:D,'RESUMEN CLIENTES'!A:A)</f>
        <v>Juan Manuel Maldonado Lozano</v>
      </c>
      <c r="C651" t="str">
        <f>+_xlfn.XLOOKUP(Tabla6[[#This Row],[ID CLIENTE]],'RESUMEN CLIENTES'!D:D,'RESUMEN CLIENTES'!C:C)</f>
        <v>Colombia</v>
      </c>
      <c r="D651" s="44" t="str">
        <f>+_xlfn.XLOOKUP(Tabla6[[#This Row],[ID CLIENTE]],'RESUMEN CLIENTES'!D:D,'RESUMEN CLIENTES'!M:M)</f>
        <v>ELIMINADO</v>
      </c>
      <c r="E651" s="71">
        <f>+_xlfn.XLOOKUP(Tabla6[[#This Row],[NOMBRE]],'RESUMEN CLIENTES'!A:A,'RESUMEN CLIENTES'!X:X)</f>
        <v>-1</v>
      </c>
      <c r="F651" s="71">
        <f>+_xlfn.XLOOKUP(Tabla6[[#This Row],[ID CLIENTE]],'RESUMEN CLIENTES'!D:D,'RESUMEN CLIENTES'!W:W)</f>
        <v>0</v>
      </c>
      <c r="G651" s="17">
        <v>45987</v>
      </c>
      <c r="H651" s="169" t="s">
        <v>81</v>
      </c>
      <c r="I651" s="2">
        <v>200</v>
      </c>
      <c r="J651" s="20" t="s">
        <v>1469</v>
      </c>
      <c r="K651" t="s">
        <v>1470</v>
      </c>
      <c r="L651" s="44" t="str" cm="1">
        <f t="array" ref="L651">+_xlfn.IFS(COUNTIF(INGRESOS!E:E,Tabla6[[#This Row],[ID FACTURA]])=1,"PAGADA",Tabla6[[#This Row],[ID FACTURA]]&lt;&gt;0,"EMITIDA",Tabla6[[#This Row],[ID FACTURA]]=0,"POR EMITIR")</f>
        <v>PAGADA</v>
      </c>
      <c r="M651" s="55">
        <f>+IF(Tabla6[[#This Row],[ESTADO FACTURA]]="PAGADA",Tabla6[[#This Row],[FECHA]]-_xlfn.XLOOKUP(Tabla6[[#This Row],[N° FACTURA]],INGRESOS!F:F,INGRESOS!A:A),"-")</f>
        <v>-1</v>
      </c>
      <c r="N651" s="2"/>
      <c r="O651"/>
    </row>
    <row r="652" spans="1:15" ht="14.75" customHeight="1">
      <c r="A652" s="320" t="s">
        <v>807</v>
      </c>
      <c r="B652" t="str">
        <f>+_xlfn.XLOOKUP(Tabla6[[#This Row],[ID CLIENTE]],'RESUMEN CLIENTES'!D:D,'RESUMEN CLIENTES'!A:A)</f>
        <v xml:space="preserve">María del Mar Ordóñez Dussan
</v>
      </c>
      <c r="C652" t="str">
        <f>+_xlfn.XLOOKUP(Tabla6[[#This Row],[ID CLIENTE]],'RESUMEN CLIENTES'!D:D,'RESUMEN CLIENTES'!C:C)</f>
        <v>Colombia</v>
      </c>
      <c r="D652" s="44" t="str">
        <f>+_xlfn.XLOOKUP(Tabla6[[#This Row],[ID CLIENTE]],'RESUMEN CLIENTES'!D:D,'RESUMEN CLIENTES'!M:M)</f>
        <v>ELIMINADO</v>
      </c>
      <c r="E652" s="72">
        <f>+_xlfn.XLOOKUP(Tabla6[[#This Row],[NOMBRE]],'RESUMEN CLIENTES'!A:A,'RESUMEN CLIENTES'!X:X)</f>
        <v>-0.5</v>
      </c>
      <c r="F652" s="72">
        <f>+_xlfn.XLOOKUP(Tabla6[[#This Row],[ID CLIENTE]],'RESUMEN CLIENTES'!D:D,'RESUMEN CLIENTES'!W:W)</f>
        <v>0</v>
      </c>
      <c r="G652" s="17">
        <v>45987</v>
      </c>
      <c r="H652" s="44" t="s">
        <v>81</v>
      </c>
      <c r="I652" s="2">
        <v>1000</v>
      </c>
      <c r="J652"/>
      <c r="K652"/>
      <c r="L652" s="44" t="str" cm="1">
        <f t="array" ref="L652">+_xlfn.IFS(COUNTIF(INGRESOS!E:E,Tabla6[[#This Row],[ID FACTURA]])=1,"PAGADA",Tabla6[[#This Row],[ID FACTURA]]&lt;&gt;0,"EMITIDA",Tabla6[[#This Row],[ID FACTURA]]=0,"POR EMITIR")</f>
        <v>POR EMITIR</v>
      </c>
      <c r="M652" s="55" t="str">
        <f>+IF(Tabla6[[#This Row],[ESTADO FACTURA]]="PAGADA",Tabla6[[#This Row],[FECHA]]-_xlfn.XLOOKUP(Tabla6[[#This Row],[N° FACTURA]],INGRESOS!F:F,INGRESOS!A:A),"-")</f>
        <v>-</v>
      </c>
      <c r="N652" s="2"/>
      <c r="O652" t="s">
        <v>1471</v>
      </c>
    </row>
    <row r="653" spans="1:15" ht="14.75" customHeight="1">
      <c r="A653" s="320" t="s">
        <v>200</v>
      </c>
      <c r="B653" t="str">
        <f>+_xlfn.XLOOKUP(Tabla6[[#This Row],[ID CLIENTE]],'RESUMEN CLIENTES'!D:D,'RESUMEN CLIENTES'!A:A)</f>
        <v>Mateo Gabriel Martinez Dávila</v>
      </c>
      <c r="C653" t="str">
        <f>+_xlfn.XLOOKUP(Tabla6[[#This Row],[ID CLIENTE]],'RESUMEN CLIENTES'!D:D,'RESUMEN CLIENTES'!C:C)</f>
        <v>Bolivia</v>
      </c>
      <c r="D653" s="169" t="str">
        <f>+_xlfn.XLOOKUP(Tabla6[[#This Row],[ID CLIENTE]],'RESUMEN CLIENTES'!D:D,'RESUMEN CLIENTES'!M:M)</f>
        <v>OK</v>
      </c>
      <c r="E653" s="71">
        <f>+_xlfn.XLOOKUP(Tabla6[[#This Row],[NOMBRE]],'RESUMEN CLIENTES'!A:A,'RESUMEN CLIENTES'!X:X)</f>
        <v>-0.5</v>
      </c>
      <c r="F653" s="71">
        <f>+_xlfn.XLOOKUP(Tabla6[[#This Row],[ID CLIENTE]],'RESUMEN CLIENTES'!D:D,'RESUMEN CLIENTES'!W:W)</f>
        <v>0</v>
      </c>
      <c r="G653" s="17">
        <v>45987</v>
      </c>
      <c r="H653" s="169" t="s">
        <v>81</v>
      </c>
      <c r="I653" s="2">
        <v>500</v>
      </c>
      <c r="J653" s="20" t="s">
        <v>1474</v>
      </c>
      <c r="K653" t="s">
        <v>1475</v>
      </c>
      <c r="L653" s="44" t="str" cm="1">
        <f t="array" ref="L653">+_xlfn.IFS(COUNTIF(INGRESOS!E:E,Tabla6[[#This Row],[ID FACTURA]])=1,"PAGADA",Tabla6[[#This Row],[ID FACTURA]]&lt;&gt;0,"EMITIDA",Tabla6[[#This Row],[ID FACTURA]]=0,"POR EMITIR")</f>
        <v>PAGADA</v>
      </c>
      <c r="M653" s="54">
        <f>+IF(Tabla6[[#This Row],[ESTADO FACTURA]]="PAGADA",Tabla6[[#This Row],[FECHA]]-_xlfn.XLOOKUP(Tabla6[[#This Row],[N° FACTURA]],INGRESOS!F:F,INGRESOS!A:A),"-")</f>
        <v>0</v>
      </c>
      <c r="O653"/>
    </row>
    <row r="654" spans="1:15" ht="14.75" customHeight="1">
      <c r="A654" s="320" t="s">
        <v>200</v>
      </c>
      <c r="B654" t="str">
        <f>+_xlfn.XLOOKUP(Tabla6[[#This Row],[ID CLIENTE]],'RESUMEN CLIENTES'!D:D,'RESUMEN CLIENTES'!A:A)</f>
        <v>Mateo Gabriel Martinez Dávila</v>
      </c>
      <c r="C654" t="str">
        <f>+_xlfn.XLOOKUP(Tabla6[[#This Row],[ID CLIENTE]],'RESUMEN CLIENTES'!D:D,'RESUMEN CLIENTES'!C:C)</f>
        <v>Bolivia</v>
      </c>
      <c r="D654" s="169" t="str">
        <f>+_xlfn.XLOOKUP(Tabla6[[#This Row],[ID CLIENTE]],'RESUMEN CLIENTES'!D:D,'RESUMEN CLIENTES'!M:M)</f>
        <v>OK</v>
      </c>
      <c r="E654" s="71">
        <f>+_xlfn.XLOOKUP(Tabla6[[#This Row],[NOMBRE]],'RESUMEN CLIENTES'!A:A,'RESUMEN CLIENTES'!X:X)</f>
        <v>-0.5</v>
      </c>
      <c r="F654" s="71">
        <f>+_xlfn.XLOOKUP(Tabla6[[#This Row],[ID CLIENTE]],'RESUMEN CLIENTES'!D:D,'RESUMEN CLIENTES'!W:W)</f>
        <v>0</v>
      </c>
      <c r="G654" s="17">
        <v>45987</v>
      </c>
      <c r="H654" s="169" t="s">
        <v>81</v>
      </c>
      <c r="I654" s="2">
        <v>500</v>
      </c>
      <c r="J654" s="20" t="s">
        <v>1476</v>
      </c>
      <c r="K654" t="s">
        <v>1477</v>
      </c>
      <c r="L654" s="44" t="str" cm="1">
        <f t="array" ref="L654">+_xlfn.IFS(COUNTIF(INGRESOS!E:E,Tabla6[[#This Row],[ID FACTURA]])=1,"PAGADA",Tabla6[[#This Row],[ID FACTURA]]&lt;&gt;0,"EMITIDA",Tabla6[[#This Row],[ID FACTURA]]=0,"POR EMITIR")</f>
        <v>PAGADA</v>
      </c>
      <c r="M654" s="54">
        <f>+IF(Tabla6[[#This Row],[ESTADO FACTURA]]="PAGADA",Tabla6[[#This Row],[FECHA]]-_xlfn.XLOOKUP(Tabla6[[#This Row],[N° FACTURA]],INGRESOS!F:F,INGRESOS!A:A),"-")</f>
        <v>0</v>
      </c>
      <c r="O654"/>
    </row>
    <row r="655" spans="1:15" ht="14.75" customHeight="1">
      <c r="A655" s="320" t="s">
        <v>706</v>
      </c>
      <c r="B655" t="str">
        <f>+_xlfn.XLOOKUP(Tabla6[[#This Row],[ID CLIENTE]],'RESUMEN CLIENTES'!D:D,'RESUMEN CLIENTES'!A:A)</f>
        <v>Virna Nathaly Montenegro Samaniego</v>
      </c>
      <c r="C655" t="str">
        <f>+_xlfn.XLOOKUP(Tabla6[[#This Row],[ID CLIENTE]],'RESUMEN CLIENTES'!D:D,'RESUMEN CLIENTES'!C:C)</f>
        <v>Ecuador</v>
      </c>
      <c r="D655" s="44" t="str">
        <f>+_xlfn.XLOOKUP(Tabla6[[#This Row],[ID CLIENTE]],'RESUMEN CLIENTES'!D:D,'RESUMEN CLIENTES'!M:M)</f>
        <v>OK</v>
      </c>
      <c r="E655" s="72">
        <f>+_xlfn.XLOOKUP(Tabla6[[#This Row],[NOMBRE]],'RESUMEN CLIENTES'!A:A,'RESUMEN CLIENTES'!X:X)</f>
        <v>7.375</v>
      </c>
      <c r="F655" s="72">
        <f>+_xlfn.XLOOKUP(Tabla6[[#This Row],[ID CLIENTE]],'RESUMEN CLIENTES'!D:D,'RESUMEN CLIENTES'!W:W)</f>
        <v>0</v>
      </c>
      <c r="G655" s="17">
        <v>45987</v>
      </c>
      <c r="H655" s="44" t="s">
        <v>81</v>
      </c>
      <c r="I655" s="2">
        <v>1000</v>
      </c>
      <c r="J655" s="20" t="s">
        <v>1472</v>
      </c>
      <c r="K655" t="s">
        <v>1473</v>
      </c>
      <c r="L655" s="44" t="str" cm="1">
        <f t="array" ref="L655">+_xlfn.IFS(COUNTIF(INGRESOS!E:E,Tabla6[[#This Row],[ID FACTURA]])=1,"PAGADA",Tabla6[[#This Row],[ID FACTURA]]&lt;&gt;0,"EMITIDA",Tabla6[[#This Row],[ID FACTURA]]=0,"POR EMITIR")</f>
        <v>PAGADA</v>
      </c>
      <c r="M655" s="55">
        <f>+IF(Tabla6[[#This Row],[ESTADO FACTURA]]="PAGADA",Tabla6[[#This Row],[FECHA]]-_xlfn.XLOOKUP(Tabla6[[#This Row],[N° FACTURA]],INGRESOS!F:F,INGRESOS!A:A),"-")</f>
        <v>26</v>
      </c>
      <c r="N655" s="2"/>
      <c r="O655"/>
    </row>
    <row r="656" spans="1:15" ht="14.75" customHeight="1">
      <c r="A656" s="320" t="s">
        <v>711</v>
      </c>
      <c r="B656" t="str">
        <f>+_xlfn.XLOOKUP(Tabla6[[#This Row],[ID CLIENTE]],'RESUMEN CLIENTES'!D:D,'RESUMEN CLIENTES'!A:A)</f>
        <v>Julian David Gutierrez Rodriguez</v>
      </c>
      <c r="C656" t="str">
        <f>+_xlfn.XLOOKUP(Tabla6[[#This Row],[ID CLIENTE]],'RESUMEN CLIENTES'!D:D,'RESUMEN CLIENTES'!C:C)</f>
        <v>Colombia</v>
      </c>
      <c r="D656" s="44" t="str">
        <f>+_xlfn.XLOOKUP(Tabla6[[#This Row],[ID CLIENTE]],'RESUMEN CLIENTES'!D:D,'RESUMEN CLIENTES'!M:M)</f>
        <v>OK</v>
      </c>
      <c r="E656" s="72">
        <f>+_xlfn.XLOOKUP(Tabla6[[#This Row],[NOMBRE]],'RESUMEN CLIENTES'!A:A,'RESUMEN CLIENTES'!X:X)</f>
        <v>0.7142857142857143</v>
      </c>
      <c r="F656" s="72">
        <f>+_xlfn.XLOOKUP(Tabla6[[#This Row],[ID CLIENTE]],'RESUMEN CLIENTES'!D:D,'RESUMEN CLIENTES'!W:W)</f>
        <v>1</v>
      </c>
      <c r="G656" s="17">
        <v>45988</v>
      </c>
      <c r="H656" s="44" t="s">
        <v>81</v>
      </c>
      <c r="I656" s="2">
        <v>500</v>
      </c>
      <c r="J656" s="20" t="s">
        <v>1478</v>
      </c>
      <c r="K656" t="s">
        <v>1479</v>
      </c>
      <c r="L656" s="44" t="str" cm="1">
        <f t="array" ref="L656">+_xlfn.IFS(COUNTIF(INGRESOS!E:E,Tabla6[[#This Row],[ID FACTURA]])=1,"PAGADA",Tabla6[[#This Row],[ID FACTURA]]&lt;&gt;0,"EMITIDA",Tabla6[[#This Row],[ID FACTURA]]=0,"POR EMITIR")</f>
        <v>PAGADA</v>
      </c>
      <c r="M656" s="55">
        <f>+IF(Tabla6[[#This Row],[ESTADO FACTURA]]="PAGADA",Tabla6[[#This Row],[FECHA]]-_xlfn.XLOOKUP(Tabla6[[#This Row],[N° FACTURA]],INGRESOS!F:F,INGRESOS!A:A),"-")</f>
        <v>0</v>
      </c>
      <c r="N656" s="2"/>
      <c r="O656"/>
    </row>
    <row r="657" spans="1:15" ht="14.75" customHeight="1">
      <c r="A657" s="320" t="s">
        <v>372</v>
      </c>
      <c r="B657" t="str">
        <f>+_xlfn.XLOOKUP(Tabla6[[#This Row],[ID CLIENTE]],'RESUMEN CLIENTES'!D:D,'RESUMEN CLIENTES'!A:A)</f>
        <v>Julio Nelson Adaros Moraga</v>
      </c>
      <c r="C657" t="str">
        <f>+_xlfn.XLOOKUP(Tabla6[[#This Row],[ID CLIENTE]],'RESUMEN CLIENTES'!D:D,'RESUMEN CLIENTES'!C:C)</f>
        <v>Chile</v>
      </c>
      <c r="D657" s="44" t="str">
        <f>+_xlfn.XLOOKUP(Tabla6[[#This Row],[ID CLIENTE]],'RESUMEN CLIENTES'!D:D,'RESUMEN CLIENTES'!M:M)</f>
        <v>OK</v>
      </c>
      <c r="E657" s="72">
        <f>+_xlfn.XLOOKUP(Tabla6[[#This Row],[NOMBRE]],'RESUMEN CLIENTES'!A:A,'RESUMEN CLIENTES'!X:X)</f>
        <v>1</v>
      </c>
      <c r="F657" s="72">
        <f>+_xlfn.XLOOKUP(Tabla6[[#This Row],[ID CLIENTE]],'RESUMEN CLIENTES'!D:D,'RESUMEN CLIENTES'!W:W)</f>
        <v>1</v>
      </c>
      <c r="G657" s="17">
        <v>45988</v>
      </c>
      <c r="H657" s="44" t="s">
        <v>81</v>
      </c>
      <c r="I657" s="2">
        <v>1000</v>
      </c>
      <c r="J657" s="20" t="s">
        <v>1480</v>
      </c>
      <c r="K657" t="s">
        <v>1481</v>
      </c>
      <c r="L657" s="44" t="str" cm="1">
        <f t="array" ref="L657">+_xlfn.IFS(COUNTIF(INGRESOS!E:E,Tabla6[[#This Row],[ID FACTURA]])=1,"PAGADA",Tabla6[[#This Row],[ID FACTURA]]&lt;&gt;0,"EMITIDA",Tabla6[[#This Row],[ID FACTURA]]=0,"POR EMITIR")</f>
        <v>PAGADA</v>
      </c>
      <c r="M657" s="55">
        <f>+IF(Tabla6[[#This Row],[ESTADO FACTURA]]="PAGADA",Tabla6[[#This Row],[FECHA]]-_xlfn.XLOOKUP(Tabla6[[#This Row],[N° FACTURA]],INGRESOS!F:F,INGRESOS!A:A),"-")</f>
        <v>2</v>
      </c>
      <c r="N657" s="2"/>
      <c r="O657"/>
    </row>
    <row r="658" spans="1:15" ht="14.75" customHeight="1">
      <c r="A658" s="320" t="s">
        <v>1482</v>
      </c>
      <c r="B658" t="str">
        <f>+_xlfn.XLOOKUP(Tabla6[[#This Row],[ID CLIENTE]],'RESUMEN CLIENTES'!D:D,'RESUMEN CLIENTES'!A:A)</f>
        <v>Laxmi Davi Patel Flores</v>
      </c>
      <c r="C658" t="str">
        <f>+_xlfn.XLOOKUP(Tabla6[[#This Row],[ID CLIENTE]],'RESUMEN CLIENTES'!D:D,'RESUMEN CLIENTES'!C:C)</f>
        <v>Ecuador</v>
      </c>
      <c r="D658" s="44" t="str">
        <f>+_xlfn.XLOOKUP(Tabla6[[#This Row],[ID CLIENTE]],'RESUMEN CLIENTES'!D:D,'RESUMEN CLIENTES'!M:M)</f>
        <v>OK</v>
      </c>
      <c r="E658" s="71">
        <f>+_xlfn.XLOOKUP(Tabla6[[#This Row],[NOMBRE]],'RESUMEN CLIENTES'!A:A,'RESUMEN CLIENTES'!X:X)</f>
        <v>-1.5714285714285714</v>
      </c>
      <c r="F658" s="71">
        <f>+_xlfn.XLOOKUP(Tabla6[[#This Row],[ID CLIENTE]],'RESUMEN CLIENTES'!D:D,'RESUMEN CLIENTES'!W:W)</f>
        <v>0</v>
      </c>
      <c r="G658" s="17">
        <v>45988</v>
      </c>
      <c r="H658" s="169" t="s">
        <v>81</v>
      </c>
      <c r="I658" s="2">
        <v>250</v>
      </c>
      <c r="J658" s="20" t="s">
        <v>1483</v>
      </c>
      <c r="K658" t="s">
        <v>1484</v>
      </c>
      <c r="L658" s="44" t="str" cm="1">
        <f t="array" ref="L658">+_xlfn.IFS(COUNTIF(INGRESOS!E:E,Tabla6[[#This Row],[ID FACTURA]])=1,"PAGADA",Tabla6[[#This Row],[ID FACTURA]]&lt;&gt;0,"EMITIDA",Tabla6[[#This Row],[ID FACTURA]]=0,"POR EMITIR")</f>
        <v>PAGADA</v>
      </c>
      <c r="M658" s="55">
        <f>+IF(Tabla6[[#This Row],[ESTADO FACTURA]]="PAGADA",Tabla6[[#This Row],[FECHA]]-_xlfn.XLOOKUP(Tabla6[[#This Row],[N° FACTURA]],INGRESOS!F:F,INGRESOS!A:A),"-")</f>
        <v>0</v>
      </c>
      <c r="N658" s="2"/>
      <c r="O658"/>
    </row>
    <row r="659" spans="1:15" ht="14.75" customHeight="1">
      <c r="A659" s="320" t="s">
        <v>1482</v>
      </c>
      <c r="B659" t="str">
        <f>+_xlfn.XLOOKUP(Tabla6[[#This Row],[ID CLIENTE]],'RESUMEN CLIENTES'!D:D,'RESUMEN CLIENTES'!A:A)</f>
        <v>Laxmi Davi Patel Flores</v>
      </c>
      <c r="C659" t="str">
        <f>+_xlfn.XLOOKUP(Tabla6[[#This Row],[ID CLIENTE]],'RESUMEN CLIENTES'!D:D,'RESUMEN CLIENTES'!C:C)</f>
        <v>Ecuador</v>
      </c>
      <c r="D659" s="44" t="str">
        <f>+_xlfn.XLOOKUP(Tabla6[[#This Row],[ID CLIENTE]],'RESUMEN CLIENTES'!D:D,'RESUMEN CLIENTES'!M:M)</f>
        <v>OK</v>
      </c>
      <c r="E659" s="71">
        <f>+_xlfn.XLOOKUP(Tabla6[[#This Row],[NOMBRE]],'RESUMEN CLIENTES'!A:A,'RESUMEN CLIENTES'!X:X)</f>
        <v>-1.5714285714285714</v>
      </c>
      <c r="F659" s="71">
        <f>+_xlfn.XLOOKUP(Tabla6[[#This Row],[ID CLIENTE]],'RESUMEN CLIENTES'!D:D,'RESUMEN CLIENTES'!W:W)</f>
        <v>0</v>
      </c>
      <c r="G659" s="17">
        <v>45988</v>
      </c>
      <c r="H659" s="169" t="s">
        <v>81</v>
      </c>
      <c r="I659" s="2">
        <v>500</v>
      </c>
      <c r="J659" s="20" t="s">
        <v>1489</v>
      </c>
      <c r="K659" t="s">
        <v>1490</v>
      </c>
      <c r="L659" s="44" t="str" cm="1">
        <f t="array" ref="L659">+_xlfn.IFS(COUNTIF(INGRESOS!E:E,Tabla6[[#This Row],[ID FACTURA]])=1,"PAGADA",Tabla6[[#This Row],[ID FACTURA]]&lt;&gt;0,"EMITIDA",Tabla6[[#This Row],[ID FACTURA]]=0,"POR EMITIR")</f>
        <v>PAGADA</v>
      </c>
      <c r="M659" s="55">
        <f>+IF(Tabla6[[#This Row],[ESTADO FACTURA]]="PAGADA",Tabla6[[#This Row],[FECHA]]-_xlfn.XLOOKUP(Tabla6[[#This Row],[N° FACTURA]],INGRESOS!F:F,INGRESOS!A:A),"-")</f>
        <v>-3</v>
      </c>
      <c r="N659" s="2"/>
      <c r="O659"/>
    </row>
    <row r="660" spans="1:15" ht="14.75" customHeight="1">
      <c r="A660" s="320" t="s">
        <v>1482</v>
      </c>
      <c r="B660" t="str">
        <f>+_xlfn.XLOOKUP(Tabla6[[#This Row],[ID CLIENTE]],'RESUMEN CLIENTES'!D:D,'RESUMEN CLIENTES'!A:A)</f>
        <v>Laxmi Davi Patel Flores</v>
      </c>
      <c r="C660" t="str">
        <f>+_xlfn.XLOOKUP(Tabla6[[#This Row],[ID CLIENTE]],'RESUMEN CLIENTES'!D:D,'RESUMEN CLIENTES'!C:C)</f>
        <v>Ecuador</v>
      </c>
      <c r="D660" s="44" t="str">
        <f>+_xlfn.XLOOKUP(Tabla6[[#This Row],[ID CLIENTE]],'RESUMEN CLIENTES'!D:D,'RESUMEN CLIENTES'!M:M)</f>
        <v>OK</v>
      </c>
      <c r="E660" s="71">
        <f>+_xlfn.XLOOKUP(Tabla6[[#This Row],[NOMBRE]],'RESUMEN CLIENTES'!A:A,'RESUMEN CLIENTES'!X:X)</f>
        <v>-1.5714285714285714</v>
      </c>
      <c r="F660" s="71">
        <f>+_xlfn.XLOOKUP(Tabla6[[#This Row],[ID CLIENTE]],'RESUMEN CLIENTES'!D:D,'RESUMEN CLIENTES'!W:W)</f>
        <v>0</v>
      </c>
      <c r="G660" s="17">
        <v>45988</v>
      </c>
      <c r="H660" s="169" t="s">
        <v>81</v>
      </c>
      <c r="I660" s="2">
        <v>500</v>
      </c>
      <c r="J660" s="20" t="s">
        <v>1491</v>
      </c>
      <c r="K660" t="s">
        <v>1492</v>
      </c>
      <c r="L660" s="44" t="str" cm="1">
        <f t="array" ref="L660">+_xlfn.IFS(COUNTIF(INGRESOS!E:E,Tabla6[[#This Row],[ID FACTURA]])=1,"PAGADA",Tabla6[[#This Row],[ID FACTURA]]&lt;&gt;0,"EMITIDA",Tabla6[[#This Row],[ID FACTURA]]=0,"POR EMITIR")</f>
        <v>PAGADA</v>
      </c>
      <c r="M660" s="55">
        <f>+IF(Tabla6[[#This Row],[ESTADO FACTURA]]="PAGADA",Tabla6[[#This Row],[FECHA]]-_xlfn.XLOOKUP(Tabla6[[#This Row],[N° FACTURA]],INGRESOS!F:F,INGRESOS!A:A),"-")</f>
        <v>-3</v>
      </c>
      <c r="N660" s="2"/>
      <c r="O660"/>
    </row>
    <row r="661" spans="1:15" ht="14.75" customHeight="1">
      <c r="A661" s="320" t="s">
        <v>1482</v>
      </c>
      <c r="B661" t="str">
        <f>+_xlfn.XLOOKUP(Tabla6[[#This Row],[ID CLIENTE]],'RESUMEN CLIENTES'!D:D,'RESUMEN CLIENTES'!A:A)</f>
        <v>Laxmi Davi Patel Flores</v>
      </c>
      <c r="C661" t="str">
        <f>+_xlfn.XLOOKUP(Tabla6[[#This Row],[ID CLIENTE]],'RESUMEN CLIENTES'!D:D,'RESUMEN CLIENTES'!C:C)</f>
        <v>Ecuador</v>
      </c>
      <c r="D661" s="44" t="str">
        <f>+_xlfn.XLOOKUP(Tabla6[[#This Row],[ID CLIENTE]],'RESUMEN CLIENTES'!D:D,'RESUMEN CLIENTES'!M:M)</f>
        <v>OK</v>
      </c>
      <c r="E661" s="71">
        <f>+_xlfn.XLOOKUP(Tabla6[[#This Row],[NOMBRE]],'RESUMEN CLIENTES'!A:A,'RESUMEN CLIENTES'!X:X)</f>
        <v>-1.5714285714285714</v>
      </c>
      <c r="F661" s="71">
        <f>+_xlfn.XLOOKUP(Tabla6[[#This Row],[ID CLIENTE]],'RESUMEN CLIENTES'!D:D,'RESUMEN CLIENTES'!W:W)</f>
        <v>0</v>
      </c>
      <c r="G661" s="17">
        <v>45988</v>
      </c>
      <c r="H661" s="169" t="s">
        <v>81</v>
      </c>
      <c r="I661" s="2">
        <v>750</v>
      </c>
      <c r="J661" s="20" t="s">
        <v>1485</v>
      </c>
      <c r="K661" t="s">
        <v>1486</v>
      </c>
      <c r="L661" s="44" t="str" cm="1">
        <f t="array" ref="L661">+_xlfn.IFS(COUNTIF(INGRESOS!E:E,Tabla6[[#This Row],[ID FACTURA]])=1,"PAGADA",Tabla6[[#This Row],[ID FACTURA]]&lt;&gt;0,"EMITIDA",Tabla6[[#This Row],[ID FACTURA]]=0,"POR EMITIR")</f>
        <v>PAGADA</v>
      </c>
      <c r="M661" s="55">
        <f>+IF(Tabla6[[#This Row],[ESTADO FACTURA]]="PAGADA",Tabla6[[#This Row],[FECHA]]-_xlfn.XLOOKUP(Tabla6[[#This Row],[N° FACTURA]],INGRESOS!F:F,INGRESOS!A:A),"-")</f>
        <v>-2</v>
      </c>
      <c r="N661" s="2"/>
      <c r="O661"/>
    </row>
    <row r="662" spans="1:15" ht="14.75" customHeight="1">
      <c r="A662" s="320" t="s">
        <v>1482</v>
      </c>
      <c r="B662" t="str">
        <f>+_xlfn.XLOOKUP(Tabla6[[#This Row],[ID CLIENTE]],'RESUMEN CLIENTES'!D:D,'RESUMEN CLIENTES'!A:A)</f>
        <v>Laxmi Davi Patel Flores</v>
      </c>
      <c r="C662" t="str">
        <f>+_xlfn.XLOOKUP(Tabla6[[#This Row],[ID CLIENTE]],'RESUMEN CLIENTES'!D:D,'RESUMEN CLIENTES'!C:C)</f>
        <v>Ecuador</v>
      </c>
      <c r="D662" s="44" t="str">
        <f>+_xlfn.XLOOKUP(Tabla6[[#This Row],[ID CLIENTE]],'RESUMEN CLIENTES'!D:D,'RESUMEN CLIENTES'!M:M)</f>
        <v>OK</v>
      </c>
      <c r="E662" s="71">
        <f>+_xlfn.XLOOKUP(Tabla6[[#This Row],[NOMBRE]],'RESUMEN CLIENTES'!A:A,'RESUMEN CLIENTES'!X:X)</f>
        <v>-1.5714285714285714</v>
      </c>
      <c r="F662" s="71">
        <f>+_xlfn.XLOOKUP(Tabla6[[#This Row],[ID CLIENTE]],'RESUMEN CLIENTES'!D:D,'RESUMEN CLIENTES'!W:W)</f>
        <v>0</v>
      </c>
      <c r="G662" s="17">
        <v>45988</v>
      </c>
      <c r="H662" s="169" t="s">
        <v>81</v>
      </c>
      <c r="I662" s="2">
        <v>750</v>
      </c>
      <c r="J662" s="20" t="s">
        <v>1487</v>
      </c>
      <c r="K662" t="s">
        <v>1488</v>
      </c>
      <c r="L662" s="44" t="str" cm="1">
        <f t="array" ref="L662">+_xlfn.IFS(COUNTIF(INGRESOS!E:E,Tabla6[[#This Row],[ID FACTURA]])=1,"PAGADA",Tabla6[[#This Row],[ID FACTURA]]&lt;&gt;0,"EMITIDA",Tabla6[[#This Row],[ID FACTURA]]=0,"POR EMITIR")</f>
        <v>PAGADA</v>
      </c>
      <c r="M662" s="55">
        <f>+IF(Tabla6[[#This Row],[ESTADO FACTURA]]="PAGADA",Tabla6[[#This Row],[FECHA]]-_xlfn.XLOOKUP(Tabla6[[#This Row],[N° FACTURA]],INGRESOS!F:F,INGRESOS!A:A),"-")</f>
        <v>-2</v>
      </c>
      <c r="N662" s="2"/>
      <c r="O662"/>
    </row>
    <row r="663" spans="1:15" ht="14.75" customHeight="1">
      <c r="A663" s="320" t="s">
        <v>1493</v>
      </c>
      <c r="B663" t="str">
        <f>+_xlfn.XLOOKUP(Tabla6[[#This Row],[ID CLIENTE]],'RESUMEN CLIENTES'!D:D,'RESUMEN CLIENTES'!A:A)</f>
        <v>Manuel Toca Ochoa</v>
      </c>
      <c r="C663" t="str">
        <f>+_xlfn.XLOOKUP(Tabla6[[#This Row],[ID CLIENTE]],'RESUMEN CLIENTES'!D:D,'RESUMEN CLIENTES'!C:C)</f>
        <v>México</v>
      </c>
      <c r="D663" s="44" t="str">
        <f>+_xlfn.XLOOKUP(Tabla6[[#This Row],[ID CLIENTE]],'RESUMEN CLIENTES'!D:D,'RESUMEN CLIENTES'!M:M)</f>
        <v>ELIMINADO</v>
      </c>
      <c r="E663" s="71">
        <f>+_xlfn.XLOOKUP(Tabla6[[#This Row],[NOMBRE]],'RESUMEN CLIENTES'!A:A,'RESUMEN CLIENTES'!X:X)</f>
        <v>-1</v>
      </c>
      <c r="F663" s="71">
        <f>+_xlfn.XLOOKUP(Tabla6[[#This Row],[ID CLIENTE]],'RESUMEN CLIENTES'!D:D,'RESUMEN CLIENTES'!W:W)</f>
        <v>0</v>
      </c>
      <c r="G663" s="17">
        <v>45988</v>
      </c>
      <c r="H663" s="169" t="s">
        <v>81</v>
      </c>
      <c r="I663" s="2">
        <v>250</v>
      </c>
      <c r="J663" s="20" t="s">
        <v>1494</v>
      </c>
      <c r="K663" t="s">
        <v>1495</v>
      </c>
      <c r="L663" s="44" t="str" cm="1">
        <f t="array" ref="L663">+_xlfn.IFS(COUNTIF(INGRESOS!E:E,Tabla6[[#This Row],[ID FACTURA]])=1,"PAGADA",Tabla6[[#This Row],[ID FACTURA]]&lt;&gt;0,"EMITIDA",Tabla6[[#This Row],[ID FACTURA]]=0,"POR EMITIR")</f>
        <v>PAGADA</v>
      </c>
      <c r="M663" s="55">
        <f>+IF(Tabla6[[#This Row],[ESTADO FACTURA]]="PAGADA",Tabla6[[#This Row],[FECHA]]-_xlfn.XLOOKUP(Tabla6[[#This Row],[N° FACTURA]],INGRESOS!F:F,INGRESOS!A:A),"-")</f>
        <v>-1</v>
      </c>
      <c r="N663" s="2"/>
      <c r="O663"/>
    </row>
    <row r="664" spans="1:15" ht="14.75" customHeight="1">
      <c r="A664" s="320" t="s">
        <v>1461</v>
      </c>
      <c r="B664" t="str">
        <f>+_xlfn.XLOOKUP(Tabla6[[#This Row],[ID CLIENTE]],'RESUMEN CLIENTES'!D:D,'RESUMEN CLIENTES'!A:A)</f>
        <v>Katerine Marianela Verastegui Mendoza</v>
      </c>
      <c r="C664" t="str">
        <f>+_xlfn.XLOOKUP(Tabla6[[#This Row],[ID CLIENTE]],'RESUMEN CLIENTES'!D:D,'RESUMEN CLIENTES'!C:C)</f>
        <v>Perú</v>
      </c>
      <c r="D664" s="44" t="str">
        <f>+_xlfn.XLOOKUP(Tabla6[[#This Row],[ID CLIENTE]],'RESUMEN CLIENTES'!D:D,'RESUMEN CLIENTES'!M:M)</f>
        <v>OK</v>
      </c>
      <c r="E664" s="71">
        <f>+_xlfn.XLOOKUP(Tabla6[[#This Row],[NOMBRE]],'RESUMEN CLIENTES'!A:A,'RESUMEN CLIENTES'!X:X)</f>
        <v>-2</v>
      </c>
      <c r="F664" s="71">
        <f>+_xlfn.XLOOKUP(Tabla6[[#This Row],[ID CLIENTE]],'RESUMEN CLIENTES'!D:D,'RESUMEN CLIENTES'!W:W)</f>
        <v>0</v>
      </c>
      <c r="G664" s="17">
        <v>45989</v>
      </c>
      <c r="H664" s="169" t="s">
        <v>81</v>
      </c>
      <c r="I664" s="2">
        <v>1750</v>
      </c>
      <c r="J664" s="20" t="s">
        <v>1496</v>
      </c>
      <c r="K664" t="s">
        <v>1497</v>
      </c>
      <c r="L664" s="44" t="str" cm="1">
        <f t="array" ref="L664">+_xlfn.IFS(COUNTIF(INGRESOS!E:E,Tabla6[[#This Row],[ID FACTURA]])=1,"PAGADA",Tabla6[[#This Row],[ID FACTURA]]&lt;&gt;0,"EMITIDA",Tabla6[[#This Row],[ID FACTURA]]=0,"POR EMITIR")</f>
        <v>PAGADA</v>
      </c>
      <c r="M664" s="55">
        <f>+IF(Tabla6[[#This Row],[ESTADO FACTURA]]="PAGADA",Tabla6[[#This Row],[FECHA]]-_xlfn.XLOOKUP(Tabla6[[#This Row],[N° FACTURA]],INGRESOS!F:F,INGRESOS!A:A),"-")</f>
        <v>-1</v>
      </c>
      <c r="N664" s="2"/>
      <c r="O664"/>
    </row>
    <row r="665" spans="1:15" ht="14.75" customHeight="1">
      <c r="A665" s="320" t="s">
        <v>1419</v>
      </c>
      <c r="B665" t="str">
        <f>+_xlfn.XLOOKUP(Tabla6[[#This Row],[ID CLIENTE]],'RESUMEN CLIENTES'!D:D,'RESUMEN CLIENTES'!A:A)</f>
        <v>Rocio Natalia López Núñez</v>
      </c>
      <c r="C665" t="str">
        <f>+_xlfn.XLOOKUP(Tabla6[[#This Row],[ID CLIENTE]],'RESUMEN CLIENTES'!D:D,'RESUMEN CLIENTES'!C:C)</f>
        <v>Chile</v>
      </c>
      <c r="D665" s="44" t="str">
        <f>+_xlfn.XLOOKUP(Tabla6[[#This Row],[ID CLIENTE]],'RESUMEN CLIENTES'!D:D,'RESUMEN CLIENTES'!M:M)</f>
        <v>OK</v>
      </c>
      <c r="E665" s="71">
        <f>+_xlfn.XLOOKUP(Tabla6[[#This Row],[NOMBRE]],'RESUMEN CLIENTES'!A:A,'RESUMEN CLIENTES'!X:X)</f>
        <v>0</v>
      </c>
      <c r="F665" s="71">
        <f>+_xlfn.XLOOKUP(Tabla6[[#This Row],[ID CLIENTE]],'RESUMEN CLIENTES'!D:D,'RESUMEN CLIENTES'!W:W)</f>
        <v>0</v>
      </c>
      <c r="G665" s="17">
        <v>45989</v>
      </c>
      <c r="H665" s="169" t="s">
        <v>81</v>
      </c>
      <c r="I665" s="2">
        <v>10800</v>
      </c>
      <c r="J665" s="20" t="s">
        <v>1498</v>
      </c>
      <c r="K665" t="s">
        <v>1499</v>
      </c>
      <c r="L665" s="44" t="str" cm="1">
        <f t="array" ref="L665">+_xlfn.IFS(COUNTIF(INGRESOS!E:E,Tabla6[[#This Row],[ID FACTURA]])=1,"PAGADA",Tabla6[[#This Row],[ID FACTURA]]&lt;&gt;0,"EMITIDA",Tabla6[[#This Row],[ID FACTURA]]=0,"POR EMITIR")</f>
        <v>PAGADA</v>
      </c>
      <c r="M665" s="55">
        <f>+IF(Tabla6[[#This Row],[ESTADO FACTURA]]="PAGADA",Tabla6[[#This Row],[FECHA]]-_xlfn.XLOOKUP(Tabla6[[#This Row],[N° FACTURA]],INGRESOS!F:F,INGRESOS!A:A),"-")</f>
        <v>0</v>
      </c>
      <c r="N665" s="2"/>
      <c r="O665"/>
    </row>
    <row r="666" spans="1:15" ht="14.75" customHeight="1">
      <c r="A666" s="320" t="s">
        <v>460</v>
      </c>
      <c r="B666" t="str">
        <f>+_xlfn.XLOOKUP(Tabla6[[#This Row],[ID CLIENTE]],'RESUMEN CLIENTES'!D:D,'RESUMEN CLIENTES'!A:A)</f>
        <v>Valeria Carolina Heredia Peña</v>
      </c>
      <c r="C666" t="str">
        <f>+_xlfn.XLOOKUP(Tabla6[[#This Row],[ID CLIENTE]],'RESUMEN CLIENTES'!D:D,'RESUMEN CLIENTES'!C:C)</f>
        <v>Bolivia</v>
      </c>
      <c r="D666" s="44" t="str">
        <f>+_xlfn.XLOOKUP(Tabla6[[#This Row],[ID CLIENTE]],'RESUMEN CLIENTES'!D:D,'RESUMEN CLIENTES'!M:M)</f>
        <v>OK</v>
      </c>
      <c r="E666" s="71">
        <f>+_xlfn.XLOOKUP(Tabla6[[#This Row],[NOMBRE]],'RESUMEN CLIENTES'!A:A,'RESUMEN CLIENTES'!X:X)</f>
        <v>2.5</v>
      </c>
      <c r="F666" s="71">
        <f>+_xlfn.XLOOKUP(Tabla6[[#This Row],[ID CLIENTE]],'RESUMEN CLIENTES'!D:D,'RESUMEN CLIENTES'!W:W)</f>
        <v>0</v>
      </c>
      <c r="G666" s="17">
        <v>45989</v>
      </c>
      <c r="H666" s="44" t="s">
        <v>81</v>
      </c>
      <c r="I666" s="2">
        <v>4000</v>
      </c>
      <c r="J666" s="20" t="s">
        <v>1500</v>
      </c>
      <c r="K666" t="s">
        <v>1501</v>
      </c>
      <c r="L666" s="44" t="str" cm="1">
        <f t="array" ref="L666">+_xlfn.IFS(COUNTIF(INGRESOS!E:E,Tabla6[[#This Row],[ID FACTURA]])=1,"PAGADA",Tabla6[[#This Row],[ID FACTURA]]&lt;&gt;0,"EMITIDA",Tabla6[[#This Row],[ID FACTURA]]=0,"POR EMITIR")</f>
        <v>PAGADA</v>
      </c>
      <c r="M666" s="55">
        <f>+IF(Tabla6[[#This Row],[ESTADO FACTURA]]="PAGADA",Tabla6[[#This Row],[FECHA]]-_xlfn.XLOOKUP(Tabla6[[#This Row],[N° FACTURA]],INGRESOS!F:F,INGRESOS!A:A),"-")</f>
        <v>0</v>
      </c>
      <c r="N666" s="2"/>
      <c r="O666" t="s">
        <v>1502</v>
      </c>
    </row>
    <row r="667" spans="1:15" ht="14.75" customHeight="1">
      <c r="A667" s="320" t="s">
        <v>952</v>
      </c>
      <c r="B667" t="str">
        <f>+_xlfn.XLOOKUP(Tabla6[[#This Row],[ID CLIENTE]],'RESUMEN CLIENTES'!D:D,'RESUMEN CLIENTES'!A:A)</f>
        <v>Fernando José Fuentes Bárcenas</v>
      </c>
      <c r="C667" t="str">
        <f>+_xlfn.XLOOKUP(Tabla6[[#This Row],[ID CLIENTE]],'RESUMEN CLIENTES'!D:D,'RESUMEN CLIENTES'!C:C)</f>
        <v>El Salvador</v>
      </c>
      <c r="D667" s="44" t="str">
        <f>+_xlfn.XLOOKUP(Tabla6[[#This Row],[ID CLIENTE]],'RESUMEN CLIENTES'!D:D,'RESUMEN CLIENTES'!M:M)</f>
        <v>ELIMINADO</v>
      </c>
      <c r="E667" s="72">
        <f>+_xlfn.XLOOKUP(Tabla6[[#This Row],[NOMBRE]],'RESUMEN CLIENTES'!A:A,'RESUMEN CLIENTES'!X:X)</f>
        <v>0.4</v>
      </c>
      <c r="F667" s="72">
        <f>+_xlfn.XLOOKUP(Tabla6[[#This Row],[ID CLIENTE]],'RESUMEN CLIENTES'!D:D,'RESUMEN CLIENTES'!W:W)</f>
        <v>1</v>
      </c>
      <c r="G667" s="17">
        <v>45990</v>
      </c>
      <c r="H667" s="44" t="s">
        <v>81</v>
      </c>
      <c r="I667" s="2">
        <v>1000</v>
      </c>
      <c r="J667" s="20" t="s">
        <v>1503</v>
      </c>
      <c r="K667" t="s">
        <v>1504</v>
      </c>
      <c r="L667" s="44" t="str" cm="1">
        <f t="array" ref="L667">+_xlfn.IFS(COUNTIF(INGRESOS!E:E,Tabla6[[#This Row],[ID FACTURA]])=1,"PAGADA",Tabla6[[#This Row],[ID FACTURA]]&lt;&gt;0,"EMITIDA",Tabla6[[#This Row],[ID FACTURA]]=0,"POR EMITIR")</f>
        <v>PAGADA</v>
      </c>
      <c r="M667" s="55">
        <f>+IF(Tabla6[[#This Row],[ESTADO FACTURA]]="PAGADA",Tabla6[[#This Row],[FECHA]]-_xlfn.XLOOKUP(Tabla6[[#This Row],[N° FACTURA]],INGRESOS!F:F,INGRESOS!A:A),"-")</f>
        <v>1</v>
      </c>
      <c r="N667" s="2"/>
      <c r="O667"/>
    </row>
    <row r="668" spans="1:15" ht="14.75" customHeight="1">
      <c r="A668" s="320" t="s">
        <v>541</v>
      </c>
      <c r="B668" t="str">
        <f>+_xlfn.XLOOKUP(Tabla6[[#This Row],[ID CLIENTE]],'RESUMEN CLIENTES'!D:D,'RESUMEN CLIENTES'!A:A)</f>
        <v>Alejandra Goretti Figueroa Romo</v>
      </c>
      <c r="C668" t="str">
        <f>+_xlfn.XLOOKUP(Tabla6[[#This Row],[ID CLIENTE]],'RESUMEN CLIENTES'!D:D,'RESUMEN CLIENTES'!C:C)</f>
        <v>México</v>
      </c>
      <c r="D668" s="44" t="str">
        <f>+_xlfn.XLOOKUP(Tabla6[[#This Row],[ID CLIENTE]],'RESUMEN CLIENTES'!D:D,'RESUMEN CLIENTES'!M:M)</f>
        <v>OK</v>
      </c>
      <c r="E668" s="72">
        <f>+_xlfn.XLOOKUP(Tabla6[[#This Row],[NOMBRE]],'RESUMEN CLIENTES'!A:A,'RESUMEN CLIENTES'!X:X)</f>
        <v>0.75</v>
      </c>
      <c r="F668" s="72">
        <f>+_xlfn.XLOOKUP(Tabla6[[#This Row],[ID CLIENTE]],'RESUMEN CLIENTES'!D:D,'RESUMEN CLIENTES'!W:W)</f>
        <v>0</v>
      </c>
      <c r="G668" s="17">
        <v>45991</v>
      </c>
      <c r="H668" s="44" t="s">
        <v>81</v>
      </c>
      <c r="I668" s="2">
        <v>1000</v>
      </c>
      <c r="J668" s="20" t="s">
        <v>1505</v>
      </c>
      <c r="K668" t="s">
        <v>1506</v>
      </c>
      <c r="L668" s="44" t="str" cm="1">
        <f t="array" ref="L668">+_xlfn.IFS(COUNTIF(INGRESOS!E:E,Tabla6[[#This Row],[ID FACTURA]])=1,"PAGADA",Tabla6[[#This Row],[ID FACTURA]]&lt;&gt;0,"EMITIDA",Tabla6[[#This Row],[ID FACTURA]]=0,"POR EMITIR")</f>
        <v>PAGADA</v>
      </c>
      <c r="M668" s="55">
        <f>+IF(Tabla6[[#This Row],[ESTADO FACTURA]]="PAGADA",Tabla6[[#This Row],[FECHA]]-_xlfn.XLOOKUP(Tabla6[[#This Row],[N° FACTURA]],INGRESOS!F:F,INGRESOS!A:A),"-")</f>
        <v>1</v>
      </c>
      <c r="N668" s="2"/>
      <c r="O668"/>
    </row>
    <row r="669" spans="1:15" ht="14.75" customHeight="1">
      <c r="A669" s="320" t="s">
        <v>84</v>
      </c>
      <c r="B669" t="str">
        <f>+_xlfn.XLOOKUP(Tabla6[[#This Row],[ID CLIENTE]],'RESUMEN CLIENTES'!D:D,'RESUMEN CLIENTES'!A:A)</f>
        <v>Andrea Corpeño López</v>
      </c>
      <c r="C669" t="str">
        <f>+_xlfn.XLOOKUP(Tabla6[[#This Row],[ID CLIENTE]],'RESUMEN CLIENTES'!D:D,'RESUMEN CLIENTES'!C:C)</f>
        <v>El Salvador</v>
      </c>
      <c r="D669" s="44" t="str">
        <f>+_xlfn.XLOOKUP(Tabla6[[#This Row],[ID CLIENTE]],'RESUMEN CLIENTES'!D:D,'RESUMEN CLIENTES'!M:M)</f>
        <v>OK</v>
      </c>
      <c r="E669" s="72">
        <f>+_xlfn.XLOOKUP(Tabla6[[#This Row],[NOMBRE]],'RESUMEN CLIENTES'!A:A,'RESUMEN CLIENTES'!X:X)</f>
        <v>-0.81818181818181823</v>
      </c>
      <c r="F669" s="72">
        <f>+_xlfn.XLOOKUP(Tabla6[[#This Row],[ID CLIENTE]],'RESUMEN CLIENTES'!D:D,'RESUMEN CLIENTES'!W:W)</f>
        <v>0</v>
      </c>
      <c r="G669" s="17">
        <v>45991</v>
      </c>
      <c r="H669" s="44" t="s">
        <v>81</v>
      </c>
      <c r="I669" s="2">
        <v>400</v>
      </c>
      <c r="J669" s="20" t="s">
        <v>1507</v>
      </c>
      <c r="K669" t="s">
        <v>1508</v>
      </c>
      <c r="L669" s="44" t="str" cm="1">
        <f t="array" ref="L669">+_xlfn.IFS(COUNTIF(INGRESOS!E:E,Tabla6[[#This Row],[ID FACTURA]])=1,"PAGADA",Tabla6[[#This Row],[ID FACTURA]]&lt;&gt;0,"EMITIDA",Tabla6[[#This Row],[ID FACTURA]]=0,"POR EMITIR")</f>
        <v>PAGADA</v>
      </c>
      <c r="M669" s="55">
        <f>+IF(Tabla6[[#This Row],[ESTADO FACTURA]]="PAGADA",Tabla6[[#This Row],[FECHA]]-_xlfn.XLOOKUP(Tabla6[[#This Row],[N° FACTURA]],INGRESOS!F:F,INGRESOS!A:A),"-")</f>
        <v>-4</v>
      </c>
      <c r="N669" s="2"/>
      <c r="O669"/>
    </row>
    <row r="670" spans="1:15" ht="14.75" customHeight="1">
      <c r="A670" s="320" t="s">
        <v>527</v>
      </c>
      <c r="B670" t="str">
        <f>+_xlfn.XLOOKUP(Tabla6[[#This Row],[ID CLIENTE]],'RESUMEN CLIENTES'!D:D,'RESUMEN CLIENTES'!A:A)</f>
        <v>Angie Pérez Cáceres</v>
      </c>
      <c r="C670" t="str">
        <f>+_xlfn.XLOOKUP(Tabla6[[#This Row],[ID CLIENTE]],'RESUMEN CLIENTES'!D:D,'RESUMEN CLIENTES'!C:C)</f>
        <v>Perú</v>
      </c>
      <c r="D670" s="44" t="str">
        <f>+_xlfn.XLOOKUP(Tabla6[[#This Row],[ID CLIENTE]],'RESUMEN CLIENTES'!D:D,'RESUMEN CLIENTES'!M:M)</f>
        <v>OK</v>
      </c>
      <c r="E670" s="72">
        <f>+_xlfn.XLOOKUP(Tabla6[[#This Row],[NOMBRE]],'RESUMEN CLIENTES'!A:A,'RESUMEN CLIENTES'!X:X)</f>
        <v>1.625</v>
      </c>
      <c r="F670" s="72">
        <f>+_xlfn.XLOOKUP(Tabla6[[#This Row],[ID CLIENTE]],'RESUMEN CLIENTES'!D:D,'RESUMEN CLIENTES'!W:W)</f>
        <v>0</v>
      </c>
      <c r="G670" s="17">
        <v>45991</v>
      </c>
      <c r="H670" s="44" t="s">
        <v>81</v>
      </c>
      <c r="I670" s="2">
        <v>1000</v>
      </c>
      <c r="J670" s="20" t="s">
        <v>1509</v>
      </c>
      <c r="K670" t="s">
        <v>1510</v>
      </c>
      <c r="L670" s="44" t="str" cm="1">
        <f t="array" ref="L670">+_xlfn.IFS(COUNTIF(INGRESOS!E:E,Tabla6[[#This Row],[ID FACTURA]])=1,"PAGADA",Tabla6[[#This Row],[ID FACTURA]]&lt;&gt;0,"EMITIDA",Tabla6[[#This Row],[ID FACTURA]]=0,"POR EMITIR")</f>
        <v>PAGADA</v>
      </c>
      <c r="M670" s="55">
        <f>+IF(Tabla6[[#This Row],[ESTADO FACTURA]]="PAGADA",Tabla6[[#This Row],[FECHA]]-_xlfn.XLOOKUP(Tabla6[[#This Row],[N° FACTURA]],INGRESOS!F:F,INGRESOS!A:A),"-")</f>
        <v>2</v>
      </c>
      <c r="N670" s="2"/>
      <c r="O670"/>
    </row>
    <row r="671" spans="1:15" ht="14.75" customHeight="1">
      <c r="A671" s="320" t="s">
        <v>226</v>
      </c>
      <c r="B671" t="str">
        <f>+_xlfn.XLOOKUP(Tabla6[[#This Row],[ID CLIENTE]],'RESUMEN CLIENTES'!D:D,'RESUMEN CLIENTES'!A:A)</f>
        <v>Carlos Josue Escobar Morán</v>
      </c>
      <c r="C671" t="str">
        <f>+_xlfn.XLOOKUP(Tabla6[[#This Row],[ID CLIENTE]],'RESUMEN CLIENTES'!D:D,'RESUMEN CLIENTES'!C:C)</f>
        <v>El Salvador</v>
      </c>
      <c r="D671" s="44" t="str">
        <f>+_xlfn.XLOOKUP(Tabla6[[#This Row],[ID CLIENTE]],'RESUMEN CLIENTES'!D:D,'RESUMEN CLIENTES'!M:M)</f>
        <v>OK</v>
      </c>
      <c r="E671" s="72">
        <f>+_xlfn.XLOOKUP(Tabla6[[#This Row],[NOMBRE]],'RESUMEN CLIENTES'!A:A,'RESUMEN CLIENTES'!X:X)</f>
        <v>0.8</v>
      </c>
      <c r="F671" s="72">
        <f>+_xlfn.XLOOKUP(Tabla6[[#This Row],[ID CLIENTE]],'RESUMEN CLIENTES'!D:D,'RESUMEN CLIENTES'!W:W)</f>
        <v>0</v>
      </c>
      <c r="G671" s="17">
        <v>45991</v>
      </c>
      <c r="H671" s="44" t="s">
        <v>81</v>
      </c>
      <c r="I671" s="2">
        <v>500</v>
      </c>
      <c r="J671" s="20" t="s">
        <v>1511</v>
      </c>
      <c r="K671" t="s">
        <v>1512</v>
      </c>
      <c r="L671" s="44" t="str" cm="1">
        <f t="array" ref="L671">+_xlfn.IFS(COUNTIF(INGRESOS!E:E,Tabla6[[#This Row],[ID FACTURA]])=1,"PAGADA",Tabla6[[#This Row],[ID FACTURA]]&lt;&gt;0,"EMITIDA",Tabla6[[#This Row],[ID FACTURA]]=0,"POR EMITIR")</f>
        <v>PAGADA</v>
      </c>
      <c r="M671" s="55">
        <f>+IF(Tabla6[[#This Row],[ESTADO FACTURA]]="PAGADA",Tabla6[[#This Row],[FECHA]]-_xlfn.XLOOKUP(Tabla6[[#This Row],[N° FACTURA]],INGRESOS!F:F,INGRESOS!A:A),"-")</f>
        <v>1</v>
      </c>
      <c r="N671" s="2"/>
      <c r="O671"/>
    </row>
    <row r="672" spans="1:15" ht="14.75" customHeight="1">
      <c r="A672" s="320" t="s">
        <v>479</v>
      </c>
      <c r="B672" t="str">
        <f>+_xlfn.XLOOKUP(Tabla6[[#This Row],[ID CLIENTE]],'RESUMEN CLIENTES'!D:D,'RESUMEN CLIENTES'!A:A)</f>
        <v>Carlos Mersaim Olivares Sandoval</v>
      </c>
      <c r="C672" t="str">
        <f>+_xlfn.XLOOKUP(Tabla6[[#This Row],[ID CLIENTE]],'RESUMEN CLIENTES'!D:D,'RESUMEN CLIENTES'!C:C)</f>
        <v>México</v>
      </c>
      <c r="D672" s="44" t="str">
        <f>+_xlfn.XLOOKUP(Tabla6[[#This Row],[ID CLIENTE]],'RESUMEN CLIENTES'!D:D,'RESUMEN CLIENTES'!M:M)</f>
        <v>OK</v>
      </c>
      <c r="E672" s="72">
        <f>+_xlfn.XLOOKUP(Tabla6[[#This Row],[NOMBRE]],'RESUMEN CLIENTES'!A:A,'RESUMEN CLIENTES'!X:X)</f>
        <v>1.4444444444444444</v>
      </c>
      <c r="F672" s="72">
        <f>+_xlfn.XLOOKUP(Tabla6[[#This Row],[ID CLIENTE]],'RESUMEN CLIENTES'!D:D,'RESUMEN CLIENTES'!W:W)</f>
        <v>0</v>
      </c>
      <c r="G672" s="17">
        <v>45991</v>
      </c>
      <c r="H672" s="44" t="s">
        <v>81</v>
      </c>
      <c r="I672" s="2">
        <v>950</v>
      </c>
      <c r="J672" s="20" t="s">
        <v>1513</v>
      </c>
      <c r="K672" t="s">
        <v>1514</v>
      </c>
      <c r="L672" s="44" t="str" cm="1">
        <f t="array" ref="L672">+_xlfn.IFS(COUNTIF(INGRESOS!E:E,Tabla6[[#This Row],[ID FACTURA]])=1,"PAGADA",Tabla6[[#This Row],[ID FACTURA]]&lt;&gt;0,"EMITIDA",Tabla6[[#This Row],[ID FACTURA]]=0,"POR EMITIR")</f>
        <v>PAGADA</v>
      </c>
      <c r="M672" s="55">
        <f>+IF(Tabla6[[#This Row],[ESTADO FACTURA]]="PAGADA",Tabla6[[#This Row],[FECHA]]-_xlfn.XLOOKUP(Tabla6[[#This Row],[N° FACTURA]],INGRESOS!F:F,INGRESOS!A:A),"-")</f>
        <v>2</v>
      </c>
      <c r="N672" s="2"/>
      <c r="O672"/>
    </row>
    <row r="673" spans="1:15" ht="14.75" customHeight="1">
      <c r="A673" s="320" t="s">
        <v>115</v>
      </c>
      <c r="B673" t="str">
        <f>+_xlfn.XLOOKUP(Tabla6[[#This Row],[ID CLIENTE]],'RESUMEN CLIENTES'!D:D,'RESUMEN CLIENTES'!A:A)</f>
        <v>David Hernández Viveros</v>
      </c>
      <c r="C673" t="str">
        <f>+_xlfn.XLOOKUP(Tabla6[[#This Row],[ID CLIENTE]],'RESUMEN CLIENTES'!D:D,'RESUMEN CLIENTES'!C:C)</f>
        <v>México</v>
      </c>
      <c r="D673" s="44" t="str">
        <f>+_xlfn.XLOOKUP(Tabla6[[#This Row],[ID CLIENTE]],'RESUMEN CLIENTES'!D:D,'RESUMEN CLIENTES'!M:M)</f>
        <v>OK</v>
      </c>
      <c r="E673" s="72">
        <f>+_xlfn.XLOOKUP(Tabla6[[#This Row],[NOMBRE]],'RESUMEN CLIENTES'!A:A,'RESUMEN CLIENTES'!X:X)</f>
        <v>-0.5</v>
      </c>
      <c r="F673" s="72">
        <f>+_xlfn.XLOOKUP(Tabla6[[#This Row],[ID CLIENTE]],'RESUMEN CLIENTES'!D:D,'RESUMEN CLIENTES'!W:W)</f>
        <v>1</v>
      </c>
      <c r="G673" s="17">
        <v>45991</v>
      </c>
      <c r="H673" s="44" t="s">
        <v>81</v>
      </c>
      <c r="I673" s="2">
        <v>1300</v>
      </c>
      <c r="J673" s="20" t="s">
        <v>1515</v>
      </c>
      <c r="K673" t="s">
        <v>1516</v>
      </c>
      <c r="L673" s="44" t="str" cm="1">
        <f t="array" ref="L673">+_xlfn.IFS(COUNTIF(INGRESOS!E:E,Tabla6[[#This Row],[ID FACTURA]])=1,"PAGADA",Tabla6[[#This Row],[ID FACTURA]]&lt;&gt;0,"EMITIDA",Tabla6[[#This Row],[ID FACTURA]]=0,"POR EMITIR")</f>
        <v>PAGADA</v>
      </c>
      <c r="M673" s="55">
        <f>+IF(Tabla6[[#This Row],[ESTADO FACTURA]]="PAGADA",Tabla6[[#This Row],[FECHA]]-_xlfn.XLOOKUP(Tabla6[[#This Row],[N° FACTURA]],INGRESOS!F:F,INGRESOS!A:A),"-")</f>
        <v>3</v>
      </c>
      <c r="N673" s="2"/>
      <c r="O673"/>
    </row>
    <row r="674" spans="1:15" ht="14.75" customHeight="1">
      <c r="A674" s="320" t="s">
        <v>385</v>
      </c>
      <c r="B674" t="str">
        <f>+_xlfn.XLOOKUP(Tabla6[[#This Row],[ID CLIENTE]],'RESUMEN CLIENTES'!D:D,'RESUMEN CLIENTES'!A:A)</f>
        <v>Ellen Cristina Gerónimo Bonilla</v>
      </c>
      <c r="C674" t="str">
        <f>+_xlfn.XLOOKUP(Tabla6[[#This Row],[ID CLIENTE]],'RESUMEN CLIENTES'!D:D,'RESUMEN CLIENTES'!C:C)</f>
        <v>República Dominicana</v>
      </c>
      <c r="D674" s="44" t="str">
        <f>+_xlfn.XLOOKUP(Tabla6[[#This Row],[ID CLIENTE]],'RESUMEN CLIENTES'!D:D,'RESUMEN CLIENTES'!M:M)</f>
        <v>OK</v>
      </c>
      <c r="E674" s="72">
        <f>+_xlfn.XLOOKUP(Tabla6[[#This Row],[NOMBRE]],'RESUMEN CLIENTES'!A:A,'RESUMEN CLIENTES'!X:X)</f>
        <v>1.5555555555555556</v>
      </c>
      <c r="F674" s="72">
        <f>+_xlfn.XLOOKUP(Tabla6[[#This Row],[ID CLIENTE]],'RESUMEN CLIENTES'!D:D,'RESUMEN CLIENTES'!W:W)</f>
        <v>1</v>
      </c>
      <c r="G674" s="17">
        <v>45991</v>
      </c>
      <c r="H674" s="44" t="s">
        <v>81</v>
      </c>
      <c r="I674" s="2">
        <v>600</v>
      </c>
      <c r="J674" s="20" t="s">
        <v>1517</v>
      </c>
      <c r="K674" t="s">
        <v>1518</v>
      </c>
      <c r="L674" s="44" t="str" cm="1">
        <f t="array" ref="L674">+_xlfn.IFS(COUNTIF(INGRESOS!E:E,Tabla6[[#This Row],[ID FACTURA]])=1,"PAGADA",Tabla6[[#This Row],[ID FACTURA]]&lt;&gt;0,"EMITIDA",Tabla6[[#This Row],[ID FACTURA]]=0,"POR EMITIR")</f>
        <v>PAGADA</v>
      </c>
      <c r="M674" s="55">
        <f>+IF(Tabla6[[#This Row],[ESTADO FACTURA]]="PAGADA",Tabla6[[#This Row],[FECHA]]-_xlfn.XLOOKUP(Tabla6[[#This Row],[N° FACTURA]],INGRESOS!F:F,INGRESOS!A:A),"-")</f>
        <v>3</v>
      </c>
      <c r="N674" s="2"/>
      <c r="O674"/>
    </row>
    <row r="675" spans="1:15" ht="14.75" customHeight="1">
      <c r="A675" s="320" t="s">
        <v>739</v>
      </c>
      <c r="B675" t="str">
        <f>+_xlfn.XLOOKUP(Tabla6[[#This Row],[ID CLIENTE]],'RESUMEN CLIENTES'!D:D,'RESUMEN CLIENTES'!A:A)</f>
        <v>Gilberto Martiñon Torres</v>
      </c>
      <c r="C675" t="str">
        <f>+_xlfn.XLOOKUP(Tabla6[[#This Row],[ID CLIENTE]],'RESUMEN CLIENTES'!D:D,'RESUMEN CLIENTES'!C:C)</f>
        <v>México</v>
      </c>
      <c r="D675" s="44" t="str">
        <f>+_xlfn.XLOOKUP(Tabla6[[#This Row],[ID CLIENTE]],'RESUMEN CLIENTES'!D:D,'RESUMEN CLIENTES'!M:M)</f>
        <v>OK</v>
      </c>
      <c r="E675" s="72">
        <f>+_xlfn.XLOOKUP(Tabla6[[#This Row],[NOMBRE]],'RESUMEN CLIENTES'!A:A,'RESUMEN CLIENTES'!X:X)</f>
        <v>-0.625</v>
      </c>
      <c r="F675" s="72">
        <f>+_xlfn.XLOOKUP(Tabla6[[#This Row],[ID CLIENTE]],'RESUMEN CLIENTES'!D:D,'RESUMEN CLIENTES'!W:W)</f>
        <v>0</v>
      </c>
      <c r="G675" s="17">
        <v>45991</v>
      </c>
      <c r="H675" s="44" t="s">
        <v>81</v>
      </c>
      <c r="I675" s="2">
        <v>700</v>
      </c>
      <c r="J675" s="20" t="s">
        <v>1519</v>
      </c>
      <c r="K675" t="s">
        <v>1520</v>
      </c>
      <c r="L675" s="44" t="str" cm="1">
        <f t="array" ref="L675">+_xlfn.IFS(COUNTIF(INGRESOS!E:E,Tabla6[[#This Row],[ID FACTURA]])=1,"PAGADA",Tabla6[[#This Row],[ID FACTURA]]&lt;&gt;0,"EMITIDA",Tabla6[[#This Row],[ID FACTURA]]=0,"POR EMITIR")</f>
        <v>PAGADA</v>
      </c>
      <c r="M675" s="55">
        <f>+IF(Tabla6[[#This Row],[ESTADO FACTURA]]="PAGADA",Tabla6[[#This Row],[FECHA]]-_xlfn.XLOOKUP(Tabla6[[#This Row],[N° FACTURA]],INGRESOS!F:F,INGRESOS!A:A),"-")</f>
        <v>-1</v>
      </c>
      <c r="N675" s="2"/>
      <c r="O675"/>
    </row>
    <row r="676" spans="1:15" ht="14.75" customHeight="1">
      <c r="A676" s="320" t="s">
        <v>106</v>
      </c>
      <c r="B676" t="str">
        <f>+_xlfn.XLOOKUP(Tabla6[[#This Row],[ID CLIENTE]],'RESUMEN CLIENTES'!D:D,'RESUMEN CLIENTES'!A:A)</f>
        <v>Hector Armando Daza Mejia</v>
      </c>
      <c r="C676" t="str">
        <f>+_xlfn.XLOOKUP(Tabla6[[#This Row],[ID CLIENTE]],'RESUMEN CLIENTES'!D:D,'RESUMEN CLIENTES'!C:C)</f>
        <v>Colombia</v>
      </c>
      <c r="D676" s="44" t="str">
        <f>+_xlfn.XLOOKUP(Tabla6[[#This Row],[ID CLIENTE]],'RESUMEN CLIENTES'!D:D,'RESUMEN CLIENTES'!M:M)</f>
        <v>OK</v>
      </c>
      <c r="E676" s="72">
        <f>+_xlfn.XLOOKUP(Tabla6[[#This Row],[NOMBRE]],'RESUMEN CLIENTES'!A:A,'RESUMEN CLIENTES'!X:X)</f>
        <v>1.1111111111111112</v>
      </c>
      <c r="F676" s="72">
        <f>+_xlfn.XLOOKUP(Tabla6[[#This Row],[ID CLIENTE]],'RESUMEN CLIENTES'!D:D,'RESUMEN CLIENTES'!W:W)</f>
        <v>0</v>
      </c>
      <c r="G676" s="17">
        <v>45991</v>
      </c>
      <c r="H676" s="44" t="s">
        <v>81</v>
      </c>
      <c r="I676" s="2">
        <v>1500</v>
      </c>
      <c r="J676" s="20" t="s">
        <v>1521</v>
      </c>
      <c r="K676" t="s">
        <v>1522</v>
      </c>
      <c r="L676" s="44" t="str" cm="1">
        <f t="array" ref="L676">+_xlfn.IFS(COUNTIF(INGRESOS!E:E,Tabla6[[#This Row],[ID FACTURA]])=1,"PAGADA",Tabla6[[#This Row],[ID FACTURA]]&lt;&gt;0,"EMITIDA",Tabla6[[#This Row],[ID FACTURA]]=0,"POR EMITIR")</f>
        <v>PAGADA</v>
      </c>
      <c r="M676" s="55">
        <f>+IF(Tabla6[[#This Row],[ESTADO FACTURA]]="PAGADA",Tabla6[[#This Row],[FECHA]]-_xlfn.XLOOKUP(Tabla6[[#This Row],[N° FACTURA]],INGRESOS!F:F,INGRESOS!A:A),"-")</f>
        <v>1</v>
      </c>
      <c r="N676" s="2"/>
      <c r="O676"/>
    </row>
    <row r="677" spans="1:15" ht="14.75" customHeight="1">
      <c r="A677" s="320" t="s">
        <v>266</v>
      </c>
      <c r="B677" t="str">
        <f>+_xlfn.XLOOKUP(Tabla6[[#This Row],[ID CLIENTE]],'RESUMEN CLIENTES'!D:D,'RESUMEN CLIENTES'!A:A)</f>
        <v>Juan Camilo Sanchez Ramirez</v>
      </c>
      <c r="C677" t="str">
        <f>+_xlfn.XLOOKUP(Tabla6[[#This Row],[ID CLIENTE]],'RESUMEN CLIENTES'!D:D,'RESUMEN CLIENTES'!C:C)</f>
        <v>Colombia</v>
      </c>
      <c r="D677" s="44" t="str">
        <f>+_xlfn.XLOOKUP(Tabla6[[#This Row],[ID CLIENTE]],'RESUMEN CLIENTES'!D:D,'RESUMEN CLIENTES'!M:M)</f>
        <v>OK</v>
      </c>
      <c r="E677" s="72">
        <f>+_xlfn.XLOOKUP(Tabla6[[#This Row],[NOMBRE]],'RESUMEN CLIENTES'!A:A,'RESUMEN CLIENTES'!X:X)</f>
        <v>0.2</v>
      </c>
      <c r="F677" s="72">
        <f>+_xlfn.XLOOKUP(Tabla6[[#This Row],[ID CLIENTE]],'RESUMEN CLIENTES'!D:D,'RESUMEN CLIENTES'!W:W)</f>
        <v>0</v>
      </c>
      <c r="G677" s="17">
        <v>45991</v>
      </c>
      <c r="H677" s="44" t="s">
        <v>81</v>
      </c>
      <c r="I677" s="2">
        <v>1000</v>
      </c>
      <c r="J677" s="20" t="s">
        <v>1523</v>
      </c>
      <c r="K677" t="s">
        <v>1524</v>
      </c>
      <c r="L677" s="44" t="str" cm="1">
        <f t="array" ref="L677">+_xlfn.IFS(COUNTIF(INGRESOS!E:E,Tabla6[[#This Row],[ID FACTURA]])=1,"PAGADA",Tabla6[[#This Row],[ID FACTURA]]&lt;&gt;0,"EMITIDA",Tabla6[[#This Row],[ID FACTURA]]=0,"POR EMITIR")</f>
        <v>PAGADA</v>
      </c>
      <c r="M677" s="55">
        <f>+IF(Tabla6[[#This Row],[ESTADO FACTURA]]="PAGADA",Tabla6[[#This Row],[FECHA]]-_xlfn.XLOOKUP(Tabla6[[#This Row],[N° FACTURA]],INGRESOS!F:F,INGRESOS!A:A),"-")</f>
        <v>2</v>
      </c>
      <c r="N677" s="2"/>
      <c r="O677"/>
    </row>
    <row r="678" spans="1:15" ht="14.75" customHeight="1">
      <c r="A678" s="320" t="s">
        <v>1482</v>
      </c>
      <c r="B678" t="str">
        <f>+_xlfn.XLOOKUP(Tabla6[[#This Row],[ID CLIENTE]],'RESUMEN CLIENTES'!D:D,'RESUMEN CLIENTES'!A:A)</f>
        <v>Laxmi Davi Patel Flores</v>
      </c>
      <c r="C678" t="str">
        <f>+_xlfn.XLOOKUP(Tabla6[[#This Row],[ID CLIENTE]],'RESUMEN CLIENTES'!D:D,'RESUMEN CLIENTES'!C:C)</f>
        <v>Ecuador</v>
      </c>
      <c r="D678" s="44" t="str">
        <f>+_xlfn.XLOOKUP(Tabla6[[#This Row],[ID CLIENTE]],'RESUMEN CLIENTES'!D:D,'RESUMEN CLIENTES'!M:M)</f>
        <v>OK</v>
      </c>
      <c r="E678" s="71">
        <f>+_xlfn.XLOOKUP(Tabla6[[#This Row],[NOMBRE]],'RESUMEN CLIENTES'!A:A,'RESUMEN CLIENTES'!X:X)</f>
        <v>-1.5714285714285714</v>
      </c>
      <c r="F678" s="71">
        <f>+_xlfn.XLOOKUP(Tabla6[[#This Row],[ID CLIENTE]],'RESUMEN CLIENTES'!D:D,'RESUMEN CLIENTES'!W:W)</f>
        <v>0</v>
      </c>
      <c r="G678" s="17">
        <v>45991</v>
      </c>
      <c r="H678" s="169" t="s">
        <v>81</v>
      </c>
      <c r="I678" s="2">
        <v>250</v>
      </c>
      <c r="J678" s="20" t="s">
        <v>1525</v>
      </c>
      <c r="K678" t="s">
        <v>1526</v>
      </c>
      <c r="L678" s="44" t="str" cm="1">
        <f t="array" ref="L678">+_xlfn.IFS(COUNTIF(INGRESOS!E:E,Tabla6[[#This Row],[ID FACTURA]])=1,"PAGADA",Tabla6[[#This Row],[ID FACTURA]]&lt;&gt;0,"EMITIDA",Tabla6[[#This Row],[ID FACTURA]]=0,"POR EMITIR")</f>
        <v>PAGADA</v>
      </c>
      <c r="M678" s="55">
        <f>+IF(Tabla6[[#This Row],[ESTADO FACTURA]]="PAGADA",Tabla6[[#This Row],[FECHA]]-_xlfn.XLOOKUP(Tabla6[[#This Row],[N° FACTURA]],INGRESOS!F:F,INGRESOS!A:A),"-")</f>
        <v>-1</v>
      </c>
      <c r="N678" s="2"/>
      <c r="O678"/>
    </row>
    <row r="679" spans="1:15" ht="14.75" customHeight="1">
      <c r="A679" s="320" t="s">
        <v>441</v>
      </c>
      <c r="B679" t="str">
        <f>+_xlfn.XLOOKUP(Tabla6[[#This Row],[ID CLIENTE]],'RESUMEN CLIENTES'!D:D,'RESUMEN CLIENTES'!A:A)</f>
        <v>Luis Manuel Villanueva Contreras</v>
      </c>
      <c r="C679" t="str">
        <f>+_xlfn.XLOOKUP(Tabla6[[#This Row],[ID CLIENTE]],'RESUMEN CLIENTES'!D:D,'RESUMEN CLIENTES'!C:C)</f>
        <v>México</v>
      </c>
      <c r="D679" s="44" t="str">
        <f>+_xlfn.XLOOKUP(Tabla6[[#This Row],[ID CLIENTE]],'RESUMEN CLIENTES'!D:D,'RESUMEN CLIENTES'!M:M)</f>
        <v>OK</v>
      </c>
      <c r="E679" s="72">
        <f>+_xlfn.XLOOKUP(Tabla6[[#This Row],[NOMBRE]],'RESUMEN CLIENTES'!A:A,'RESUMEN CLIENTES'!X:X)</f>
        <v>0.55555555555555558</v>
      </c>
      <c r="F679" s="72">
        <f>+_xlfn.XLOOKUP(Tabla6[[#This Row],[ID CLIENTE]],'RESUMEN CLIENTES'!D:D,'RESUMEN CLIENTES'!W:W)</f>
        <v>0</v>
      </c>
      <c r="G679" s="17">
        <v>45991</v>
      </c>
      <c r="H679" s="44" t="s">
        <v>81</v>
      </c>
      <c r="I679" s="2">
        <v>1000</v>
      </c>
      <c r="J679" s="20" t="s">
        <v>1527</v>
      </c>
      <c r="K679" t="s">
        <v>1528</v>
      </c>
      <c r="L679" s="44" t="str" cm="1">
        <f t="array" ref="L679">+_xlfn.IFS(COUNTIF(INGRESOS!E:E,Tabla6[[#This Row],[ID FACTURA]])=1,"PAGADA",Tabla6[[#This Row],[ID FACTURA]]&lt;&gt;0,"EMITIDA",Tabla6[[#This Row],[ID FACTURA]]=0,"POR EMITIR")</f>
        <v>PAGADA</v>
      </c>
      <c r="M679" s="55">
        <f>+IF(Tabla6[[#This Row],[ESTADO FACTURA]]="PAGADA",Tabla6[[#This Row],[FECHA]]-_xlfn.XLOOKUP(Tabla6[[#This Row],[N° FACTURA]],INGRESOS!F:F,INGRESOS!A:A),"-")</f>
        <v>1</v>
      </c>
      <c r="N679" s="2"/>
      <c r="O679"/>
    </row>
    <row r="680" spans="1:15" ht="14.75" customHeight="1">
      <c r="A680" s="320" t="s">
        <v>390</v>
      </c>
      <c r="B680" t="str">
        <f>+_xlfn.XLOOKUP(Tabla6[[#This Row],[ID CLIENTE]],'RESUMEN CLIENTES'!D:D,'RESUMEN CLIENTES'!A:A)</f>
        <v>María Fernanda Lincango Andi</v>
      </c>
      <c r="C680" t="str">
        <f>+_xlfn.XLOOKUP(Tabla6[[#This Row],[ID CLIENTE]],'RESUMEN CLIENTES'!D:D,'RESUMEN CLIENTES'!C:C)</f>
        <v>Ecuador</v>
      </c>
      <c r="D680" s="44" t="str">
        <f>+_xlfn.XLOOKUP(Tabla6[[#This Row],[ID CLIENTE]],'RESUMEN CLIENTES'!D:D,'RESUMEN CLIENTES'!M:M)</f>
        <v>¡REGULARIZAR!</v>
      </c>
      <c r="E680" s="72">
        <f>+_xlfn.XLOOKUP(Tabla6[[#This Row],[NOMBRE]],'RESUMEN CLIENTES'!A:A,'RESUMEN CLIENTES'!X:X)</f>
        <v>0.66666666666666663</v>
      </c>
      <c r="F680" s="72">
        <f>+_xlfn.XLOOKUP(Tabla6[[#This Row],[ID CLIENTE]],'RESUMEN CLIENTES'!D:D,'RESUMEN CLIENTES'!W:W)</f>
        <v>0</v>
      </c>
      <c r="G680" s="17">
        <v>45991</v>
      </c>
      <c r="H680" s="44" t="s">
        <v>81</v>
      </c>
      <c r="I680" s="2">
        <v>750</v>
      </c>
      <c r="J680" s="20" t="s">
        <v>1529</v>
      </c>
      <c r="K680" t="s">
        <v>1530</v>
      </c>
      <c r="L680" s="44" t="str" cm="1">
        <f t="array" ref="L680">+_xlfn.IFS(COUNTIF(INGRESOS!E:E,Tabla6[[#This Row],[ID FACTURA]])=1,"PAGADA",Tabla6[[#This Row],[ID FACTURA]]&lt;&gt;0,"EMITIDA",Tabla6[[#This Row],[ID FACTURA]]=0,"POR EMITIR")</f>
        <v>PAGADA</v>
      </c>
      <c r="M680" s="55">
        <f>+IF(Tabla6[[#This Row],[ESTADO FACTURA]]="PAGADA",Tabla6[[#This Row],[FECHA]]-_xlfn.XLOOKUP(Tabla6[[#This Row],[N° FACTURA]],INGRESOS!F:F,INGRESOS!A:A),"-")</f>
        <v>2</v>
      </c>
      <c r="N680" s="2"/>
      <c r="O680"/>
    </row>
    <row r="681" spans="1:15" ht="14.75" customHeight="1">
      <c r="A681" s="320" t="s">
        <v>590</v>
      </c>
      <c r="B681" t="str">
        <f>+_xlfn.XLOOKUP(Tabla6[[#This Row],[ID CLIENTE]],'RESUMEN CLIENTES'!D:D,'RESUMEN CLIENTES'!A:A)</f>
        <v>María Lucero de Jesús Barrios Sazo</v>
      </c>
      <c r="C681" t="str">
        <f>+_xlfn.XLOOKUP(Tabla6[[#This Row],[ID CLIENTE]],'RESUMEN CLIENTES'!D:D,'RESUMEN CLIENTES'!C:C)</f>
        <v>Guatemala</v>
      </c>
      <c r="D681" s="44" t="str">
        <f>+_xlfn.XLOOKUP(Tabla6[[#This Row],[ID CLIENTE]],'RESUMEN CLIENTES'!D:D,'RESUMEN CLIENTES'!M:M)</f>
        <v>OK</v>
      </c>
      <c r="E681" s="72">
        <f>+_xlfn.XLOOKUP(Tabla6[[#This Row],[NOMBRE]],'RESUMEN CLIENTES'!A:A,'RESUMEN CLIENTES'!X:X)</f>
        <v>1.25</v>
      </c>
      <c r="F681" s="72">
        <f>+_xlfn.XLOOKUP(Tabla6[[#This Row],[ID CLIENTE]],'RESUMEN CLIENTES'!D:D,'RESUMEN CLIENTES'!W:W)</f>
        <v>0</v>
      </c>
      <c r="G681" s="17">
        <v>45991</v>
      </c>
      <c r="H681" s="44" t="s">
        <v>81</v>
      </c>
      <c r="I681" s="2">
        <v>700</v>
      </c>
      <c r="J681" s="20" t="s">
        <v>1531</v>
      </c>
      <c r="K681" t="s">
        <v>1532</v>
      </c>
      <c r="L681" s="44" t="str" cm="1">
        <f t="array" ref="L681">+_xlfn.IFS(COUNTIF(INGRESOS!E:E,Tabla6[[#This Row],[ID FACTURA]])=1,"PAGADA",Tabla6[[#This Row],[ID FACTURA]]&lt;&gt;0,"EMITIDA",Tabla6[[#This Row],[ID FACTURA]]=0,"POR EMITIR")</f>
        <v>PAGADA</v>
      </c>
      <c r="M681" s="55">
        <f>+IF(Tabla6[[#This Row],[ESTADO FACTURA]]="PAGADA",Tabla6[[#This Row],[FECHA]]-_xlfn.XLOOKUP(Tabla6[[#This Row],[N° FACTURA]],INGRESOS!F:F,INGRESOS!A:A),"-")</f>
        <v>1</v>
      </c>
      <c r="N681" s="2"/>
      <c r="O681"/>
    </row>
    <row r="682" spans="1:15" ht="14.75" customHeight="1">
      <c r="A682" s="320" t="s">
        <v>1201</v>
      </c>
      <c r="B682" t="str">
        <f>+_xlfn.XLOOKUP(Tabla6[[#This Row],[ID CLIENTE]],'RESUMEN CLIENTES'!D:D,'RESUMEN CLIENTES'!A:A)</f>
        <v>María Soledad Tituana Asanza</v>
      </c>
      <c r="C682" t="str">
        <f>+_xlfn.XLOOKUP(Tabla6[[#This Row],[ID CLIENTE]],'RESUMEN CLIENTES'!D:D,'RESUMEN CLIENTES'!C:C)</f>
        <v>Ecuador</v>
      </c>
      <c r="D682" s="44" t="str">
        <f>+_xlfn.XLOOKUP(Tabla6[[#This Row],[ID CLIENTE]],'RESUMEN CLIENTES'!D:D,'RESUMEN CLIENTES'!M:M)</f>
        <v>OK</v>
      </c>
      <c r="E682" s="72">
        <f>+_xlfn.XLOOKUP(Tabla6[[#This Row],[NOMBRE]],'RESUMEN CLIENTES'!A:A,'RESUMEN CLIENTES'!X:X)</f>
        <v>-0.16666666666666666</v>
      </c>
      <c r="F682" s="72">
        <f>+_xlfn.XLOOKUP(Tabla6[[#This Row],[ID CLIENTE]],'RESUMEN CLIENTES'!D:D,'RESUMEN CLIENTES'!W:W)</f>
        <v>0</v>
      </c>
      <c r="G682" s="17">
        <v>45991</v>
      </c>
      <c r="H682" s="44" t="s">
        <v>81</v>
      </c>
      <c r="I682" s="2">
        <v>1500</v>
      </c>
      <c r="J682" s="20" t="s">
        <v>1533</v>
      </c>
      <c r="K682" t="s">
        <v>1534</v>
      </c>
      <c r="L682" s="44" t="str" cm="1">
        <f t="array" ref="L682">+_xlfn.IFS(COUNTIF(INGRESOS!E:E,Tabla6[[#This Row],[ID FACTURA]])=1,"PAGADA",Tabla6[[#This Row],[ID FACTURA]]&lt;&gt;0,"EMITIDA",Tabla6[[#This Row],[ID FACTURA]]=0,"POR EMITIR")</f>
        <v>PAGADA</v>
      </c>
      <c r="M682" s="55">
        <f>+IF(Tabla6[[#This Row],[ESTADO FACTURA]]="PAGADA",Tabla6[[#This Row],[FECHA]]-_xlfn.XLOOKUP(Tabla6[[#This Row],[N° FACTURA]],INGRESOS!F:F,INGRESOS!A:A),"-")</f>
        <v>1</v>
      </c>
      <c r="N682" s="2"/>
      <c r="O682"/>
    </row>
    <row r="683" spans="1:15" ht="14.75" customHeight="1">
      <c r="A683" s="320" t="s">
        <v>314</v>
      </c>
      <c r="B683" t="str">
        <f>+_xlfn.XLOOKUP(Tabla6[[#This Row],[ID CLIENTE]],'RESUMEN CLIENTES'!D:D,'RESUMEN CLIENTES'!A:A)</f>
        <v>Miguel Angel Sisalima Shiña</v>
      </c>
      <c r="C683" t="str">
        <f>+_xlfn.XLOOKUP(Tabla6[[#This Row],[ID CLIENTE]],'RESUMEN CLIENTES'!D:D,'RESUMEN CLIENTES'!C:C)</f>
        <v>Ecuador</v>
      </c>
      <c r="D683" s="44" t="str">
        <f>+_xlfn.XLOOKUP(Tabla6[[#This Row],[ID CLIENTE]],'RESUMEN CLIENTES'!D:D,'RESUMEN CLIENTES'!M:M)</f>
        <v>OK</v>
      </c>
      <c r="E683" s="72">
        <f>+_xlfn.XLOOKUP(Tabla6[[#This Row],[NOMBRE]],'RESUMEN CLIENTES'!A:A,'RESUMEN CLIENTES'!X:X)</f>
        <v>0.6</v>
      </c>
      <c r="F683" s="72">
        <f>+_xlfn.XLOOKUP(Tabla6[[#This Row],[ID CLIENTE]],'RESUMEN CLIENTES'!D:D,'RESUMEN CLIENTES'!W:W)</f>
        <v>0</v>
      </c>
      <c r="G683" s="17">
        <v>45991</v>
      </c>
      <c r="H683" s="44" t="s">
        <v>81</v>
      </c>
      <c r="I683" s="2">
        <v>1000</v>
      </c>
      <c r="J683" s="20" t="s">
        <v>1535</v>
      </c>
      <c r="K683" t="s">
        <v>1536</v>
      </c>
      <c r="L683" s="44" t="str" cm="1">
        <f t="array" ref="L683">+_xlfn.IFS(COUNTIF(INGRESOS!E:E,Tabla6[[#This Row],[ID FACTURA]])=1,"PAGADA",Tabla6[[#This Row],[ID FACTURA]]&lt;&gt;0,"EMITIDA",Tabla6[[#This Row],[ID FACTURA]]=0,"POR EMITIR")</f>
        <v>PAGADA</v>
      </c>
      <c r="M683" s="55">
        <f>+IF(Tabla6[[#This Row],[ESTADO FACTURA]]="PAGADA",Tabla6[[#This Row],[FECHA]]-_xlfn.XLOOKUP(Tabla6[[#This Row],[N° FACTURA]],INGRESOS!F:F,INGRESOS!A:A),"-")</f>
        <v>3</v>
      </c>
      <c r="N683" s="2"/>
      <c r="O683"/>
    </row>
    <row r="684" spans="1:15" ht="14.75" customHeight="1">
      <c r="A684" s="320" t="s">
        <v>229</v>
      </c>
      <c r="B684" t="str">
        <f>+_xlfn.XLOOKUP(Tabla6[[#This Row],[ID CLIENTE]],'RESUMEN CLIENTES'!D:D,'RESUMEN CLIENTES'!A:A)</f>
        <v>Nathaly Gabriela Henríquez Masín</v>
      </c>
      <c r="C684" t="str">
        <f>+_xlfn.XLOOKUP(Tabla6[[#This Row],[ID CLIENTE]],'RESUMEN CLIENTES'!D:D,'RESUMEN CLIENTES'!C:C)</f>
        <v>El Salvador</v>
      </c>
      <c r="D684" s="44" t="str">
        <f>+_xlfn.XLOOKUP(Tabla6[[#This Row],[ID CLIENTE]],'RESUMEN CLIENTES'!D:D,'RESUMEN CLIENTES'!M:M)</f>
        <v>OK</v>
      </c>
      <c r="E684" s="72">
        <f>+_xlfn.XLOOKUP(Tabla6[[#This Row],[NOMBRE]],'RESUMEN CLIENTES'!A:A,'RESUMEN CLIENTES'!X:X)</f>
        <v>0.7</v>
      </c>
      <c r="F684" s="72">
        <f>+_xlfn.XLOOKUP(Tabla6[[#This Row],[ID CLIENTE]],'RESUMEN CLIENTES'!D:D,'RESUMEN CLIENTES'!W:W)</f>
        <v>0</v>
      </c>
      <c r="G684" s="17">
        <v>45991</v>
      </c>
      <c r="H684" s="44" t="s">
        <v>81</v>
      </c>
      <c r="I684" s="2">
        <v>500</v>
      </c>
      <c r="J684" s="20" t="s">
        <v>1537</v>
      </c>
      <c r="K684" t="s">
        <v>1538</v>
      </c>
      <c r="L684" s="44" t="str" cm="1">
        <f t="array" ref="L684">+_xlfn.IFS(COUNTIF(INGRESOS!E:E,Tabla6[[#This Row],[ID FACTURA]])=1,"PAGADA",Tabla6[[#This Row],[ID FACTURA]]&lt;&gt;0,"EMITIDA",Tabla6[[#This Row],[ID FACTURA]]=0,"POR EMITIR")</f>
        <v>PAGADA</v>
      </c>
      <c r="M684" s="55">
        <f>+IF(Tabla6[[#This Row],[ESTADO FACTURA]]="PAGADA",Tabla6[[#This Row],[FECHA]]-_xlfn.XLOOKUP(Tabla6[[#This Row],[N° FACTURA]],INGRESOS!F:F,INGRESOS!A:A),"-")</f>
        <v>1</v>
      </c>
      <c r="N684" s="2"/>
      <c r="O684"/>
    </row>
    <row r="685" spans="1:15" ht="14.75" customHeight="1">
      <c r="A685" s="320" t="s">
        <v>350</v>
      </c>
      <c r="B685" t="str">
        <f>+_xlfn.XLOOKUP(Tabla6[[#This Row],[ID CLIENTE]],'RESUMEN CLIENTES'!D:D,'RESUMEN CLIENTES'!A:A)</f>
        <v>Rainier Guerrero</v>
      </c>
      <c r="C685" t="str">
        <f>+_xlfn.XLOOKUP(Tabla6[[#This Row],[ID CLIENTE]],'RESUMEN CLIENTES'!D:D,'RESUMEN CLIENTES'!C:C)</f>
        <v>México</v>
      </c>
      <c r="D685" s="44" t="str">
        <f>+_xlfn.XLOOKUP(Tabla6[[#This Row],[ID CLIENTE]],'RESUMEN CLIENTES'!D:D,'RESUMEN CLIENTES'!M:M)</f>
        <v>OK</v>
      </c>
      <c r="E685" s="72">
        <f>+_xlfn.XLOOKUP(Tabla6[[#This Row],[NOMBRE]],'RESUMEN CLIENTES'!A:A,'RESUMEN CLIENTES'!X:X)</f>
        <v>-0.3</v>
      </c>
      <c r="F685" s="72">
        <f>+_xlfn.XLOOKUP(Tabla6[[#This Row],[ID CLIENTE]],'RESUMEN CLIENTES'!D:D,'RESUMEN CLIENTES'!W:W)</f>
        <v>1</v>
      </c>
      <c r="G685" s="17">
        <v>45991</v>
      </c>
      <c r="H685" s="44" t="s">
        <v>81</v>
      </c>
      <c r="I685" s="2">
        <v>1000</v>
      </c>
      <c r="J685" s="20" t="s">
        <v>1539</v>
      </c>
      <c r="K685" t="s">
        <v>1540</v>
      </c>
      <c r="L685" s="44" t="str" cm="1">
        <f t="array" ref="L685">+_xlfn.IFS(COUNTIF(INGRESOS!E:E,Tabla6[[#This Row],[ID FACTURA]])=1,"PAGADA",Tabla6[[#This Row],[ID FACTURA]]&lt;&gt;0,"EMITIDA",Tabla6[[#This Row],[ID FACTURA]]=0,"POR EMITIR")</f>
        <v>PAGADA</v>
      </c>
      <c r="M685" s="55">
        <f>+IF(Tabla6[[#This Row],[ESTADO FACTURA]]="PAGADA",Tabla6[[#This Row],[FECHA]]-_xlfn.XLOOKUP(Tabla6[[#This Row],[N° FACTURA]],INGRESOS!F:F,INGRESOS!A:A),"-")</f>
        <v>1</v>
      </c>
      <c r="N685" s="2"/>
      <c r="O685"/>
    </row>
    <row r="686" spans="1:15" ht="14.75" customHeight="1">
      <c r="A686" s="320" t="s">
        <v>1245</v>
      </c>
      <c r="B686" t="str">
        <f>+_xlfn.XLOOKUP(Tabla6[[#This Row],[ID CLIENTE]],'RESUMEN CLIENTES'!D:D,'RESUMEN CLIENTES'!A:A)</f>
        <v>Constanza Andrea Águila Vergara</v>
      </c>
      <c r="C686" t="str">
        <f>+_xlfn.XLOOKUP(Tabla6[[#This Row],[ID CLIENTE]],'RESUMEN CLIENTES'!D:D,'RESUMEN CLIENTES'!C:C)</f>
        <v>Chile</v>
      </c>
      <c r="D686" s="44" t="str">
        <f>+_xlfn.XLOOKUP(Tabla6[[#This Row],[ID CLIENTE]],'RESUMEN CLIENTES'!D:D,'RESUMEN CLIENTES'!M:M)</f>
        <v>OK</v>
      </c>
      <c r="E686" s="71">
        <f>+_xlfn.XLOOKUP(Tabla6[[#This Row],[NOMBRE]],'RESUMEN CLIENTES'!A:A,'RESUMEN CLIENTES'!X:X)</f>
        <v>-0.2</v>
      </c>
      <c r="F686" s="71">
        <f>+_xlfn.XLOOKUP(Tabla6[[#This Row],[ID CLIENTE]],'RESUMEN CLIENTES'!D:D,'RESUMEN CLIENTES'!W:W)</f>
        <v>1</v>
      </c>
      <c r="G686" s="17">
        <v>45992</v>
      </c>
      <c r="H686" s="44" t="s">
        <v>81</v>
      </c>
      <c r="I686" s="2">
        <v>850</v>
      </c>
      <c r="J686" s="20" t="s">
        <v>1541</v>
      </c>
      <c r="K686" t="s">
        <v>1542</v>
      </c>
      <c r="L686" s="44" t="str" cm="1">
        <f t="array" ref="L686">+_xlfn.IFS(COUNTIF(INGRESOS!E:E,Tabla6[[#This Row],[ID FACTURA]])=1,"PAGADA",Tabla6[[#This Row],[ID FACTURA]]&lt;&gt;0,"EMITIDA",Tabla6[[#This Row],[ID FACTURA]]=0,"POR EMITIR")</f>
        <v>PAGADA</v>
      </c>
      <c r="M686" s="55">
        <f>+IF(Tabla6[[#This Row],[ESTADO FACTURA]]="PAGADA",Tabla6[[#This Row],[FECHA]]-_xlfn.XLOOKUP(Tabla6[[#This Row],[N° FACTURA]],INGRESOS!F:F,INGRESOS!A:A),"-")</f>
        <v>0</v>
      </c>
      <c r="N686" s="2"/>
      <c r="O686"/>
    </row>
    <row r="687" spans="1:15" ht="14.75" customHeight="1">
      <c r="A687" s="320" t="s">
        <v>1178</v>
      </c>
      <c r="B687" t="str">
        <f>+_xlfn.XLOOKUP(Tabla6[[#This Row],[ID CLIENTE]],'RESUMEN CLIENTES'!D:D,'RESUMEN CLIENTES'!A:A)</f>
        <v>Daniel Flores</v>
      </c>
      <c r="C687" t="str">
        <f>+_xlfn.XLOOKUP(Tabla6[[#This Row],[ID CLIENTE]],'RESUMEN CLIENTES'!D:D,'RESUMEN CLIENTES'!C:C)</f>
        <v>Ecuador</v>
      </c>
      <c r="D687" s="44" t="str">
        <f>+_xlfn.XLOOKUP(Tabla6[[#This Row],[ID CLIENTE]],'RESUMEN CLIENTES'!D:D,'RESUMEN CLIENTES'!M:M)</f>
        <v>OK</v>
      </c>
      <c r="E687" s="72">
        <f>+_xlfn.XLOOKUP(Tabla6[[#This Row],[NOMBRE]],'RESUMEN CLIENTES'!A:A,'RESUMEN CLIENTES'!X:X)</f>
        <v>3.8333333333333335</v>
      </c>
      <c r="F687" s="72">
        <f>+_xlfn.XLOOKUP(Tabla6[[#This Row],[ID CLIENTE]],'RESUMEN CLIENTES'!D:D,'RESUMEN CLIENTES'!W:W)</f>
        <v>1</v>
      </c>
      <c r="G687" s="17">
        <v>45992</v>
      </c>
      <c r="H687" s="44" t="s">
        <v>81</v>
      </c>
      <c r="I687" s="2">
        <v>850</v>
      </c>
      <c r="J687" s="20" t="s">
        <v>1543</v>
      </c>
      <c r="K687" t="s">
        <v>1544</v>
      </c>
      <c r="L687" s="44" t="str" cm="1">
        <f t="array" ref="L687">+_xlfn.IFS(COUNTIF(INGRESOS!E:E,Tabla6[[#This Row],[ID FACTURA]])=1,"PAGADA",Tabla6[[#This Row],[ID FACTURA]]&lt;&gt;0,"EMITIDA",Tabla6[[#This Row],[ID FACTURA]]=0,"POR EMITIR")</f>
        <v>PAGADA</v>
      </c>
      <c r="M687" s="55">
        <f>+IF(Tabla6[[#This Row],[ESTADO FACTURA]]="PAGADA",Tabla6[[#This Row],[FECHA]]-_xlfn.XLOOKUP(Tabla6[[#This Row],[N° FACTURA]],INGRESOS!F:F,INGRESOS!A:A),"-")</f>
        <v>-2</v>
      </c>
      <c r="N687" s="2"/>
      <c r="O687"/>
    </row>
    <row r="688" spans="1:15" ht="14.75" customHeight="1">
      <c r="A688" s="320" t="s">
        <v>744</v>
      </c>
      <c r="B688" t="str">
        <f>+_xlfn.XLOOKUP(Tabla6[[#This Row],[ID CLIENTE]],'RESUMEN CLIENTES'!D:D,'RESUMEN CLIENTES'!A:A)</f>
        <v>Martin Esteban Orellana Dominguez</v>
      </c>
      <c r="C688" t="str">
        <f>+_xlfn.XLOOKUP(Tabla6[[#This Row],[ID CLIENTE]],'RESUMEN CLIENTES'!D:D,'RESUMEN CLIENTES'!C:C)</f>
        <v>Ecuador</v>
      </c>
      <c r="D688" s="44" t="str">
        <f>+_xlfn.XLOOKUP(Tabla6[[#This Row],[ID CLIENTE]],'RESUMEN CLIENTES'!D:D,'RESUMEN CLIENTES'!M:M)</f>
        <v>OK</v>
      </c>
      <c r="E688" s="72">
        <f>+_xlfn.XLOOKUP(Tabla6[[#This Row],[NOMBRE]],'RESUMEN CLIENTES'!A:A,'RESUMEN CLIENTES'!X:X)</f>
        <v>-1.1428571428571428</v>
      </c>
      <c r="F688" s="72">
        <f>+_xlfn.XLOOKUP(Tabla6[[#This Row],[ID CLIENTE]],'RESUMEN CLIENTES'!D:D,'RESUMEN CLIENTES'!W:W)</f>
        <v>1</v>
      </c>
      <c r="G688" s="17">
        <v>45992</v>
      </c>
      <c r="H688" s="44" t="s">
        <v>81</v>
      </c>
      <c r="I688" s="2">
        <v>4014.6666666666665</v>
      </c>
      <c r="J688" s="20" t="s">
        <v>1545</v>
      </c>
      <c r="K688" t="s">
        <v>1546</v>
      </c>
      <c r="L688" s="44" t="str" cm="1">
        <f t="array" ref="L688">+_xlfn.IFS(COUNTIF(INGRESOS!E:E,Tabla6[[#This Row],[ID FACTURA]])=1,"PAGADA",Tabla6[[#This Row],[ID FACTURA]]&lt;&gt;0,"EMITIDA",Tabla6[[#This Row],[ID FACTURA]]=0,"POR EMITIR")</f>
        <v>PAGADA</v>
      </c>
      <c r="M688" s="55">
        <f>+IF(Tabla6[[#This Row],[ESTADO FACTURA]]="PAGADA",Tabla6[[#This Row],[FECHA]]-_xlfn.XLOOKUP(Tabla6[[#This Row],[N° FACTURA]],INGRESOS!F:F,INGRESOS!A:A),"-")</f>
        <v>-1</v>
      </c>
      <c r="N688" s="2"/>
      <c r="O688"/>
    </row>
    <row r="689" spans="1:15" ht="14.75" customHeight="1">
      <c r="A689" s="320" t="s">
        <v>744</v>
      </c>
      <c r="B689" t="str">
        <f>+_xlfn.XLOOKUP(Tabla6[[#This Row],[ID CLIENTE]],'RESUMEN CLIENTES'!D:D,'RESUMEN CLIENTES'!A:A)</f>
        <v>Martin Esteban Orellana Dominguez</v>
      </c>
      <c r="C689" t="str">
        <f>+_xlfn.XLOOKUP(Tabla6[[#This Row],[ID CLIENTE]],'RESUMEN CLIENTES'!D:D,'RESUMEN CLIENTES'!C:C)</f>
        <v>Ecuador</v>
      </c>
      <c r="D689" s="44" t="str">
        <f>+_xlfn.XLOOKUP(Tabla6[[#This Row],[ID CLIENTE]],'RESUMEN CLIENTES'!D:D,'RESUMEN CLIENTES'!M:M)</f>
        <v>OK</v>
      </c>
      <c r="E689" s="72">
        <f>+_xlfn.XLOOKUP(Tabla6[[#This Row],[NOMBRE]],'RESUMEN CLIENTES'!A:A,'RESUMEN CLIENTES'!X:X)</f>
        <v>-1.1428571428571428</v>
      </c>
      <c r="F689" s="72">
        <f>+_xlfn.XLOOKUP(Tabla6[[#This Row],[ID CLIENTE]],'RESUMEN CLIENTES'!D:D,'RESUMEN CLIENTES'!W:W)</f>
        <v>1</v>
      </c>
      <c r="G689" s="17">
        <v>45992</v>
      </c>
      <c r="H689" s="44" t="s">
        <v>81</v>
      </c>
      <c r="I689" s="2">
        <v>4014.6666666666665</v>
      </c>
      <c r="J689" s="20" t="s">
        <v>1547</v>
      </c>
      <c r="K689" t="s">
        <v>1548</v>
      </c>
      <c r="L689" s="44" t="str" cm="1">
        <f t="array" ref="L689">+_xlfn.IFS(COUNTIF(INGRESOS!E:E,Tabla6[[#This Row],[ID FACTURA]])=1,"PAGADA",Tabla6[[#This Row],[ID FACTURA]]&lt;&gt;0,"EMITIDA",Tabla6[[#This Row],[ID FACTURA]]=0,"POR EMITIR")</f>
        <v>PAGADA</v>
      </c>
      <c r="M689" s="55">
        <f>+IF(Tabla6[[#This Row],[ESTADO FACTURA]]="PAGADA",Tabla6[[#This Row],[FECHA]]-_xlfn.XLOOKUP(Tabla6[[#This Row],[N° FACTURA]],INGRESOS!F:F,INGRESOS!A:A),"-")</f>
        <v>-1</v>
      </c>
      <c r="N689" s="2"/>
      <c r="O689"/>
    </row>
    <row r="690" spans="1:15" ht="14.75" customHeight="1">
      <c r="A690" s="320" t="s">
        <v>744</v>
      </c>
      <c r="B690" t="str">
        <f>+_xlfn.XLOOKUP(Tabla6[[#This Row],[ID CLIENTE]],'RESUMEN CLIENTES'!D:D,'RESUMEN CLIENTES'!A:A)</f>
        <v>Martin Esteban Orellana Dominguez</v>
      </c>
      <c r="C690" t="str">
        <f>+_xlfn.XLOOKUP(Tabla6[[#This Row],[ID CLIENTE]],'RESUMEN CLIENTES'!D:D,'RESUMEN CLIENTES'!C:C)</f>
        <v>Ecuador</v>
      </c>
      <c r="D690" s="44" t="str">
        <f>+_xlfn.XLOOKUP(Tabla6[[#This Row],[ID CLIENTE]],'RESUMEN CLIENTES'!D:D,'RESUMEN CLIENTES'!M:M)</f>
        <v>OK</v>
      </c>
      <c r="E690" s="72">
        <f>+_xlfn.XLOOKUP(Tabla6[[#This Row],[NOMBRE]],'RESUMEN CLIENTES'!A:A,'RESUMEN CLIENTES'!X:X)</f>
        <v>-1.1428571428571428</v>
      </c>
      <c r="F690" s="72">
        <f>+_xlfn.XLOOKUP(Tabla6[[#This Row],[ID CLIENTE]],'RESUMEN CLIENTES'!D:D,'RESUMEN CLIENTES'!W:W)</f>
        <v>1</v>
      </c>
      <c r="G690" s="17">
        <v>45992</v>
      </c>
      <c r="H690" s="44" t="s">
        <v>81</v>
      </c>
      <c r="I690" s="2">
        <v>4014.6666666666665</v>
      </c>
      <c r="J690" s="20" t="s">
        <v>1549</v>
      </c>
      <c r="K690" t="s">
        <v>1550</v>
      </c>
      <c r="L690" s="44" t="str" cm="1">
        <f t="array" ref="L690">+_xlfn.IFS(COUNTIF(INGRESOS!E:E,Tabla6[[#This Row],[ID FACTURA]])=1,"PAGADA",Tabla6[[#This Row],[ID FACTURA]]&lt;&gt;0,"EMITIDA",Tabla6[[#This Row],[ID FACTURA]]=0,"POR EMITIR")</f>
        <v>PAGADA</v>
      </c>
      <c r="M690" s="55">
        <f>+IF(Tabla6[[#This Row],[ESTADO FACTURA]]="PAGADA",Tabla6[[#This Row],[FECHA]]-_xlfn.XLOOKUP(Tabla6[[#This Row],[N° FACTURA]],INGRESOS!F:F,INGRESOS!A:A),"-")</f>
        <v>-1</v>
      </c>
      <c r="N690" s="2"/>
      <c r="O690"/>
    </row>
    <row r="691" spans="1:15" ht="14.75" customHeight="1">
      <c r="A691" s="320" t="s">
        <v>1551</v>
      </c>
      <c r="B691" t="str">
        <f>+_xlfn.XLOOKUP(Tabla6[[#This Row],[ID CLIENTE]],'RESUMEN CLIENTES'!D:D,'RESUMEN CLIENTES'!A:A)</f>
        <v>María Fernanda Cid Ramírez</v>
      </c>
      <c r="C691" t="str">
        <f>+_xlfn.XLOOKUP(Tabla6[[#This Row],[ID CLIENTE]],'RESUMEN CLIENTES'!D:D,'RESUMEN CLIENTES'!C:C)</f>
        <v>México</v>
      </c>
      <c r="D691" s="44" t="str">
        <f>+_xlfn.XLOOKUP(Tabla6[[#This Row],[ID CLIENTE]],'RESUMEN CLIENTES'!D:D,'RESUMEN CLIENTES'!M:M)</f>
        <v>OK</v>
      </c>
      <c r="E691" s="71">
        <f>+_xlfn.XLOOKUP(Tabla6[[#This Row],[NOMBRE]],'RESUMEN CLIENTES'!A:A,'RESUMEN CLIENTES'!X:X)</f>
        <v>-0.8571428571428571</v>
      </c>
      <c r="F691" s="71">
        <f>+_xlfn.XLOOKUP(Tabla6[[#This Row],[ID CLIENTE]],'RESUMEN CLIENTES'!D:D,'RESUMEN CLIENTES'!W:W)</f>
        <v>0</v>
      </c>
      <c r="G691" s="17">
        <v>45993</v>
      </c>
      <c r="H691" s="169" t="s">
        <v>81</v>
      </c>
      <c r="I691" s="2">
        <v>250</v>
      </c>
      <c r="J691" s="20" t="s">
        <v>1552</v>
      </c>
      <c r="K691" t="s">
        <v>1553</v>
      </c>
      <c r="L691" s="44" t="str" cm="1">
        <f t="array" ref="L691">+_xlfn.IFS(COUNTIF(INGRESOS!E:E,Tabla6[[#This Row],[ID FACTURA]])=1,"PAGADA",Tabla6[[#This Row],[ID FACTURA]]&lt;&gt;0,"EMITIDA",Tabla6[[#This Row],[ID FACTURA]]=0,"POR EMITIR")</f>
        <v>PAGADA</v>
      </c>
      <c r="M691" s="55">
        <f>+IF(Tabla6[[#This Row],[ESTADO FACTURA]]="PAGADA",Tabla6[[#This Row],[FECHA]]-_xlfn.XLOOKUP(Tabla6[[#This Row],[N° FACTURA]],INGRESOS!F:F,INGRESOS!A:A),"-")</f>
        <v>0</v>
      </c>
      <c r="N691" s="2"/>
      <c r="O691"/>
    </row>
    <row r="692" spans="1:15" ht="14.75" customHeight="1">
      <c r="A692" s="320" t="s">
        <v>695</v>
      </c>
      <c r="B692" t="str">
        <f>+_xlfn.XLOOKUP(Tabla6[[#This Row],[ID CLIENTE]],'RESUMEN CLIENTES'!D:D,'RESUMEN CLIENTES'!A:A)</f>
        <v>Olguer Ariel Pruna Herrera</v>
      </c>
      <c r="C692" t="str">
        <f>+_xlfn.XLOOKUP(Tabla6[[#This Row],[ID CLIENTE]],'RESUMEN CLIENTES'!D:D,'RESUMEN CLIENTES'!C:C)</f>
        <v>Ecuador</v>
      </c>
      <c r="D692" s="44" t="str">
        <f>+_xlfn.XLOOKUP(Tabla6[[#This Row],[ID CLIENTE]],'RESUMEN CLIENTES'!D:D,'RESUMEN CLIENTES'!M:M)</f>
        <v>OK</v>
      </c>
      <c r="E692" s="72">
        <f>+_xlfn.XLOOKUP(Tabla6[[#This Row],[NOMBRE]],'RESUMEN CLIENTES'!A:A,'RESUMEN CLIENTES'!X:X)</f>
        <v>0.25</v>
      </c>
      <c r="F692" s="72">
        <f>+_xlfn.XLOOKUP(Tabla6[[#This Row],[ID CLIENTE]],'RESUMEN CLIENTES'!D:D,'RESUMEN CLIENTES'!W:W)</f>
        <v>1</v>
      </c>
      <c r="G692" s="17">
        <v>45993</v>
      </c>
      <c r="H692" s="44" t="s">
        <v>81</v>
      </c>
      <c r="I692" s="2">
        <v>1000</v>
      </c>
      <c r="J692" s="20" t="s">
        <v>1554</v>
      </c>
      <c r="K692" t="s">
        <v>1555</v>
      </c>
      <c r="L692" s="44" t="str" cm="1">
        <f t="array" ref="L692">+_xlfn.IFS(COUNTIF(INGRESOS!E:E,Tabla6[[#This Row],[ID FACTURA]])=1,"PAGADA",Tabla6[[#This Row],[ID FACTURA]]&lt;&gt;0,"EMITIDA",Tabla6[[#This Row],[ID FACTURA]]=0,"POR EMITIR")</f>
        <v>PAGADA</v>
      </c>
      <c r="M692" s="55">
        <f>+IF(Tabla6[[#This Row],[ESTADO FACTURA]]="PAGADA",Tabla6[[#This Row],[FECHA]]-_xlfn.XLOOKUP(Tabla6[[#This Row],[N° FACTURA]],INGRESOS!F:F,INGRESOS!A:A),"-")</f>
        <v>-1</v>
      </c>
      <c r="N692" s="2"/>
      <c r="O692"/>
    </row>
    <row r="693" spans="1:15" ht="14.75" customHeight="1">
      <c r="A693" s="320" t="s">
        <v>1556</v>
      </c>
      <c r="B693" t="str">
        <f>+_xlfn.XLOOKUP(Tabla6[[#This Row],[ID CLIENTE]],'RESUMEN CLIENTES'!D:D,'RESUMEN CLIENTES'!A:A)</f>
        <v>Claudia Nivon Chacón</v>
      </c>
      <c r="C693" t="str">
        <f>+_xlfn.XLOOKUP(Tabla6[[#This Row],[ID CLIENTE]],'RESUMEN CLIENTES'!D:D,'RESUMEN CLIENTES'!C:C)</f>
        <v>México</v>
      </c>
      <c r="D693" s="44" t="str">
        <f>+_xlfn.XLOOKUP(Tabla6[[#This Row],[ID CLIENTE]],'RESUMEN CLIENTES'!D:D,'RESUMEN CLIENTES'!M:M)</f>
        <v>OK</v>
      </c>
      <c r="E693" s="71">
        <f>+_xlfn.XLOOKUP(Tabla6[[#This Row],[NOMBRE]],'RESUMEN CLIENTES'!A:A,'RESUMEN CLIENTES'!X:X)</f>
        <v>0.4</v>
      </c>
      <c r="F693" s="71">
        <f>+_xlfn.XLOOKUP(Tabla6[[#This Row],[ID CLIENTE]],'RESUMEN CLIENTES'!D:D,'RESUMEN CLIENTES'!W:W)</f>
        <v>0</v>
      </c>
      <c r="G693" s="17">
        <v>45994</v>
      </c>
      <c r="H693" s="169" t="s">
        <v>81</v>
      </c>
      <c r="I693" s="2">
        <v>250</v>
      </c>
      <c r="J693" s="20" t="s">
        <v>1557</v>
      </c>
      <c r="K693" t="s">
        <v>1558</v>
      </c>
      <c r="L693" s="44" t="str" cm="1">
        <f t="array" ref="L693">+_xlfn.IFS(COUNTIF(INGRESOS!E:E,Tabla6[[#This Row],[ID FACTURA]])=1,"PAGADA",Tabla6[[#This Row],[ID FACTURA]]&lt;&gt;0,"EMITIDA",Tabla6[[#This Row],[ID FACTURA]]=0,"POR EMITIR")</f>
        <v>PAGADA</v>
      </c>
      <c r="M693" s="55">
        <f>+IF(Tabla6[[#This Row],[ESTADO FACTURA]]="PAGADA",Tabla6[[#This Row],[FECHA]]-_xlfn.XLOOKUP(Tabla6[[#This Row],[N° FACTURA]],INGRESOS!F:F,INGRESOS!A:A),"-")</f>
        <v>0</v>
      </c>
      <c r="N693" s="2"/>
      <c r="O693"/>
    </row>
    <row r="694" spans="1:15" ht="14.75" customHeight="1">
      <c r="A694" s="320" t="s">
        <v>1248</v>
      </c>
      <c r="B694" t="str">
        <f>+_xlfn.XLOOKUP(Tabla6[[#This Row],[ID CLIENTE]],'RESUMEN CLIENTES'!D:D,'RESUMEN CLIENTES'!A:A)</f>
        <v>Emily Vanessa Tapia Villalobos</v>
      </c>
      <c r="C694" t="str">
        <f>+_xlfn.XLOOKUP(Tabla6[[#This Row],[ID CLIENTE]],'RESUMEN CLIENTES'!D:D,'RESUMEN CLIENTES'!C:C)</f>
        <v>Chile</v>
      </c>
      <c r="D694" s="44" t="str">
        <f>+_xlfn.XLOOKUP(Tabla6[[#This Row],[ID CLIENTE]],'RESUMEN CLIENTES'!D:D,'RESUMEN CLIENTES'!M:M)</f>
        <v>OK</v>
      </c>
      <c r="E694" s="71">
        <f>+_xlfn.XLOOKUP(Tabla6[[#This Row],[NOMBRE]],'RESUMEN CLIENTES'!A:A,'RESUMEN CLIENTES'!X:X)</f>
        <v>0.33333333333333331</v>
      </c>
      <c r="F694" s="71">
        <f>+_xlfn.XLOOKUP(Tabla6[[#This Row],[ID CLIENTE]],'RESUMEN CLIENTES'!D:D,'RESUMEN CLIENTES'!W:W)</f>
        <v>0</v>
      </c>
      <c r="G694" s="17">
        <v>45994</v>
      </c>
      <c r="H694" s="44" t="s">
        <v>81</v>
      </c>
      <c r="I694" s="2">
        <v>1000</v>
      </c>
      <c r="J694" s="20" t="s">
        <v>1559</v>
      </c>
      <c r="K694" t="s">
        <v>1560</v>
      </c>
      <c r="L694" s="44" t="str" cm="1">
        <f t="array" ref="L694">+_xlfn.IFS(COUNTIF(INGRESOS!E:E,Tabla6[[#This Row],[ID FACTURA]])=1,"PAGADA",Tabla6[[#This Row],[ID FACTURA]]&lt;&gt;0,"EMITIDA",Tabla6[[#This Row],[ID FACTURA]]=0,"POR EMITIR")</f>
        <v>PAGADA</v>
      </c>
      <c r="M694" s="55">
        <f>+IF(Tabla6[[#This Row],[ESTADO FACTURA]]="PAGADA",Tabla6[[#This Row],[FECHA]]-_xlfn.XLOOKUP(Tabla6[[#This Row],[N° FACTURA]],INGRESOS!F:F,INGRESOS!A:A),"-")</f>
        <v>2</v>
      </c>
      <c r="N694" s="2"/>
      <c r="O694"/>
    </row>
    <row r="695" spans="1:15" ht="14.75" customHeight="1">
      <c r="A695" s="320" t="s">
        <v>1251</v>
      </c>
      <c r="B695" t="str">
        <f>+_xlfn.XLOOKUP(Tabla6[[#This Row],[ID CLIENTE]],'RESUMEN CLIENTES'!D:D,'RESUMEN CLIENTES'!A:A)</f>
        <v>Erick Ernesto Angulo Campos</v>
      </c>
      <c r="C695" t="str">
        <f>+_xlfn.XLOOKUP(Tabla6[[#This Row],[ID CLIENTE]],'RESUMEN CLIENTES'!D:D,'RESUMEN CLIENTES'!C:C)</f>
        <v>Chile</v>
      </c>
      <c r="D695" s="44" t="str">
        <f>+_xlfn.XLOOKUP(Tabla6[[#This Row],[ID CLIENTE]],'RESUMEN CLIENTES'!D:D,'RESUMEN CLIENTES'!M:M)</f>
        <v>OK</v>
      </c>
      <c r="E695" s="71">
        <f>+_xlfn.XLOOKUP(Tabla6[[#This Row],[NOMBRE]],'RESUMEN CLIENTES'!A:A,'RESUMEN CLIENTES'!X:X)</f>
        <v>-0.66666666666666663</v>
      </c>
      <c r="F695" s="71">
        <f>+_xlfn.XLOOKUP(Tabla6[[#This Row],[ID CLIENTE]],'RESUMEN CLIENTES'!D:D,'RESUMEN CLIENTES'!W:W)</f>
        <v>0</v>
      </c>
      <c r="G695" s="17">
        <v>45994</v>
      </c>
      <c r="H695" s="44" t="s">
        <v>81</v>
      </c>
      <c r="I695" s="2">
        <v>1000</v>
      </c>
      <c r="J695" s="20" t="s">
        <v>1561</v>
      </c>
      <c r="K695" t="s">
        <v>1562</v>
      </c>
      <c r="L695" s="44" t="str" cm="1">
        <f t="array" ref="L695">+_xlfn.IFS(COUNTIF(INGRESOS!E:E,Tabla6[[#This Row],[ID FACTURA]])=1,"PAGADA",Tabla6[[#This Row],[ID FACTURA]]&lt;&gt;0,"EMITIDA",Tabla6[[#This Row],[ID FACTURA]]=0,"POR EMITIR")</f>
        <v>PAGADA</v>
      </c>
      <c r="M695" s="55">
        <f>+IF(Tabla6[[#This Row],[ESTADO FACTURA]]="PAGADA",Tabla6[[#This Row],[FECHA]]-_xlfn.XLOOKUP(Tabla6[[#This Row],[N° FACTURA]],INGRESOS!F:F,INGRESOS!A:A),"-")</f>
        <v>-1</v>
      </c>
      <c r="N695" s="2"/>
      <c r="O695"/>
    </row>
    <row r="696" spans="1:15" ht="14.75" customHeight="1">
      <c r="A696" s="320" t="s">
        <v>1563</v>
      </c>
      <c r="B696" t="str">
        <f>+_xlfn.XLOOKUP(Tabla6[[#This Row],[ID CLIENTE]],'RESUMEN CLIENTES'!D:D,'RESUMEN CLIENTES'!A:A)</f>
        <v>Guimar Asunción Cubilla Grunce</v>
      </c>
      <c r="C696" t="str">
        <f>+_xlfn.XLOOKUP(Tabla6[[#This Row],[ID CLIENTE]],'RESUMEN CLIENTES'!D:D,'RESUMEN CLIENTES'!C:C)</f>
        <v>Argentina</v>
      </c>
      <c r="D696" s="44" t="str">
        <f>+_xlfn.XLOOKUP(Tabla6[[#This Row],[ID CLIENTE]],'RESUMEN CLIENTES'!D:D,'RESUMEN CLIENTES'!M:M)</f>
        <v>ELIMINADO</v>
      </c>
      <c r="E696" s="71">
        <f>+_xlfn.XLOOKUP(Tabla6[[#This Row],[NOMBRE]],'RESUMEN CLIENTES'!A:A,'RESUMEN CLIENTES'!X:X)</f>
        <v>0</v>
      </c>
      <c r="F696" s="71">
        <f>+_xlfn.XLOOKUP(Tabla6[[#This Row],[ID CLIENTE]],'RESUMEN CLIENTES'!D:D,'RESUMEN CLIENTES'!W:W)</f>
        <v>0</v>
      </c>
      <c r="G696" s="17">
        <v>45994</v>
      </c>
      <c r="H696" s="169" t="s">
        <v>81</v>
      </c>
      <c r="I696" s="2">
        <v>250</v>
      </c>
      <c r="J696" s="20" t="s">
        <v>1564</v>
      </c>
      <c r="K696" t="s">
        <v>1565</v>
      </c>
      <c r="L696" s="44" t="str" cm="1">
        <f t="array" ref="L696">+_xlfn.IFS(COUNTIF(INGRESOS!E:E,Tabla6[[#This Row],[ID FACTURA]])=1,"PAGADA",Tabla6[[#This Row],[ID FACTURA]]&lt;&gt;0,"EMITIDA",Tabla6[[#This Row],[ID FACTURA]]=0,"POR EMITIR")</f>
        <v>PAGADA</v>
      </c>
      <c r="M696" s="55">
        <f>+IF(Tabla6[[#This Row],[ESTADO FACTURA]]="PAGADA",Tabla6[[#This Row],[FECHA]]-_xlfn.XLOOKUP(Tabla6[[#This Row],[N° FACTURA]],INGRESOS!F:F,INGRESOS!A:A),"-")</f>
        <v>0</v>
      </c>
      <c r="N696" s="2"/>
      <c r="O696"/>
    </row>
    <row r="697" spans="1:15" ht="14.75" customHeight="1">
      <c r="A697" s="320" t="s">
        <v>258</v>
      </c>
      <c r="B697" t="str">
        <f>+_xlfn.XLOOKUP(Tabla6[[#This Row],[ID CLIENTE]],'RESUMEN CLIENTES'!D:D,'RESUMEN CLIENTES'!A:A)</f>
        <v>Maria Laura Rios Pino</v>
      </c>
      <c r="C697" t="str">
        <f>+_xlfn.XLOOKUP(Tabla6[[#This Row],[ID CLIENTE]],'RESUMEN CLIENTES'!D:D,'RESUMEN CLIENTES'!C:C)</f>
        <v>Perú</v>
      </c>
      <c r="D697" s="44" t="str">
        <f>+_xlfn.XLOOKUP(Tabla6[[#This Row],[ID CLIENTE]],'RESUMEN CLIENTES'!D:D,'RESUMEN CLIENTES'!M:M)</f>
        <v>OK</v>
      </c>
      <c r="E697" s="72">
        <f>+_xlfn.XLOOKUP(Tabla6[[#This Row],[NOMBRE]],'RESUMEN CLIENTES'!A:A,'RESUMEN CLIENTES'!X:X)</f>
        <v>1.4545454545454546</v>
      </c>
      <c r="F697" s="72">
        <f>+_xlfn.XLOOKUP(Tabla6[[#This Row],[ID CLIENTE]],'RESUMEN CLIENTES'!D:D,'RESUMEN CLIENTES'!W:W)</f>
        <v>0</v>
      </c>
      <c r="G697" s="17">
        <v>45994</v>
      </c>
      <c r="H697" s="44" t="s">
        <v>81</v>
      </c>
      <c r="I697" s="2">
        <v>645</v>
      </c>
      <c r="J697" s="20" t="s">
        <v>1566</v>
      </c>
      <c r="K697" t="s">
        <v>1567</v>
      </c>
      <c r="L697" s="44" t="str" cm="1">
        <f t="array" ref="L697">+_xlfn.IFS(COUNTIF(INGRESOS!E:E,Tabla6[[#This Row],[ID FACTURA]])=1,"PAGADA",Tabla6[[#This Row],[ID FACTURA]]&lt;&gt;0,"EMITIDA",Tabla6[[#This Row],[ID FACTURA]]=0,"POR EMITIR")</f>
        <v>PAGADA</v>
      </c>
      <c r="M697" s="55">
        <f>+IF(Tabla6[[#This Row],[ESTADO FACTURA]]="PAGADA",Tabla6[[#This Row],[FECHA]]-_xlfn.XLOOKUP(Tabla6[[#This Row],[N° FACTURA]],INGRESOS!F:F,INGRESOS!A:A),"-")</f>
        <v>2</v>
      </c>
      <c r="N697" s="2"/>
      <c r="O697"/>
    </row>
    <row r="698" spans="1:15" ht="14.75" customHeight="1">
      <c r="A698" s="320" t="s">
        <v>912</v>
      </c>
      <c r="B698" t="str">
        <f>+_xlfn.XLOOKUP(Tabla6[[#This Row],[ID CLIENTE]],'RESUMEN CLIENTES'!D:D,'RESUMEN CLIENTES'!A:A)</f>
        <v>Vanessa Villarreal Villareal</v>
      </c>
      <c r="C698" t="str">
        <f>+_xlfn.XLOOKUP(Tabla6[[#This Row],[ID CLIENTE]],'RESUMEN CLIENTES'!D:D,'RESUMEN CLIENTES'!C:C)</f>
        <v>Ecuador</v>
      </c>
      <c r="D698" s="44" t="str">
        <f>+_xlfn.XLOOKUP(Tabla6[[#This Row],[ID CLIENTE]],'RESUMEN CLIENTES'!D:D,'RESUMEN CLIENTES'!M:M)</f>
        <v>OK</v>
      </c>
      <c r="E698" s="72">
        <f>+_xlfn.XLOOKUP(Tabla6[[#This Row],[NOMBRE]],'RESUMEN CLIENTES'!A:A,'RESUMEN CLIENTES'!X:X)</f>
        <v>-9.1428571428571423</v>
      </c>
      <c r="F698" s="72">
        <f>+_xlfn.XLOOKUP(Tabla6[[#This Row],[ID CLIENTE]],'RESUMEN CLIENTES'!D:D,'RESUMEN CLIENTES'!W:W)</f>
        <v>1</v>
      </c>
      <c r="G698" s="17">
        <v>45994</v>
      </c>
      <c r="H698" s="44" t="s">
        <v>81</v>
      </c>
      <c r="I698" s="2">
        <v>500</v>
      </c>
      <c r="J698" s="20" t="s">
        <v>1568</v>
      </c>
      <c r="K698" t="s">
        <v>1569</v>
      </c>
      <c r="L698" s="44" t="str" cm="1">
        <f t="array" ref="L698">+_xlfn.IFS(COUNTIF(INGRESOS!E:E,Tabla6[[#This Row],[ID FACTURA]])=1,"PAGADA",Tabla6[[#This Row],[ID FACTURA]]&lt;&gt;0,"EMITIDA",Tabla6[[#This Row],[ID FACTURA]]=0,"POR EMITIR")</f>
        <v>PAGADA</v>
      </c>
      <c r="M698" s="55">
        <f>+IF(Tabla6[[#This Row],[ESTADO FACTURA]]="PAGADA",Tabla6[[#This Row],[FECHA]]-_xlfn.XLOOKUP(Tabla6[[#This Row],[N° FACTURA]],INGRESOS!F:F,INGRESOS!A:A),"-")</f>
        <v>-27</v>
      </c>
      <c r="N698" s="2"/>
      <c r="O698"/>
    </row>
    <row r="699" spans="1:15" ht="14.75" customHeight="1">
      <c r="A699" s="320" t="s">
        <v>912</v>
      </c>
      <c r="B699" t="str">
        <f>+_xlfn.XLOOKUP(Tabla6[[#This Row],[ID CLIENTE]],'RESUMEN CLIENTES'!D:D,'RESUMEN CLIENTES'!A:A)</f>
        <v>Vanessa Villarreal Villareal</v>
      </c>
      <c r="C699" t="str">
        <f>+_xlfn.XLOOKUP(Tabla6[[#This Row],[ID CLIENTE]],'RESUMEN CLIENTES'!D:D,'RESUMEN CLIENTES'!C:C)</f>
        <v>Ecuador</v>
      </c>
      <c r="D699" s="44" t="str">
        <f>+_xlfn.XLOOKUP(Tabla6[[#This Row],[ID CLIENTE]],'RESUMEN CLIENTES'!D:D,'RESUMEN CLIENTES'!M:M)</f>
        <v>OK</v>
      </c>
      <c r="E699" s="72">
        <f>+_xlfn.XLOOKUP(Tabla6[[#This Row],[NOMBRE]],'RESUMEN CLIENTES'!A:A,'RESUMEN CLIENTES'!X:X)</f>
        <v>-9.1428571428571423</v>
      </c>
      <c r="F699" s="71">
        <f>+_xlfn.XLOOKUP(Tabla6[[#This Row],[ID CLIENTE]],'RESUMEN CLIENTES'!D:D,'RESUMEN CLIENTES'!W:W)</f>
        <v>1</v>
      </c>
      <c r="G699" s="17">
        <v>45994</v>
      </c>
      <c r="H699" s="44" t="s">
        <v>81</v>
      </c>
      <c r="I699" s="2">
        <v>500</v>
      </c>
      <c r="J699" s="20" t="s">
        <v>1570</v>
      </c>
      <c r="K699" t="s">
        <v>1571</v>
      </c>
      <c r="L699" s="44" t="str" cm="1">
        <f t="array" ref="L699">+_xlfn.IFS(COUNTIF(INGRESOS!E:E,Tabla6[[#This Row],[ID FACTURA]])=1,"PAGADA",Tabla6[[#This Row],[ID FACTURA]]&lt;&gt;0,"EMITIDA",Tabla6[[#This Row],[ID FACTURA]]=0,"POR EMITIR")</f>
        <v>PAGADA</v>
      </c>
      <c r="M699" s="55">
        <f>+IF(Tabla6[[#This Row],[ESTADO FACTURA]]="PAGADA",Tabla6[[#This Row],[FECHA]]-_xlfn.XLOOKUP(Tabla6[[#This Row],[N° FACTURA]],INGRESOS!F:F,INGRESOS!A:A),"-")</f>
        <v>-30</v>
      </c>
      <c r="N699" s="214"/>
      <c r="O699"/>
    </row>
    <row r="700" spans="1:15" ht="14.75" customHeight="1">
      <c r="A700" s="320" t="s">
        <v>1556</v>
      </c>
      <c r="B700" t="str">
        <f>+_xlfn.XLOOKUP(Tabla6[[#This Row],[ID CLIENTE]],'RESUMEN CLIENTES'!D:D,'RESUMEN CLIENTES'!A:A)</f>
        <v>Claudia Nivon Chacón</v>
      </c>
      <c r="C700" t="str">
        <f>+_xlfn.XLOOKUP(Tabla6[[#This Row],[ID CLIENTE]],'RESUMEN CLIENTES'!D:D,'RESUMEN CLIENTES'!C:C)</f>
        <v>México</v>
      </c>
      <c r="D700" s="44" t="str">
        <f>+_xlfn.XLOOKUP(Tabla6[[#This Row],[ID CLIENTE]],'RESUMEN CLIENTES'!D:D,'RESUMEN CLIENTES'!M:M)</f>
        <v>OK</v>
      </c>
      <c r="E700" s="71">
        <f>+_xlfn.XLOOKUP(Tabla6[[#This Row],[NOMBRE]],'RESUMEN CLIENTES'!A:A,'RESUMEN CLIENTES'!X:X)</f>
        <v>0.4</v>
      </c>
      <c r="F700" s="71">
        <f>+_xlfn.XLOOKUP(Tabla6[[#This Row],[ID CLIENTE]],'RESUMEN CLIENTES'!D:D,'RESUMEN CLIENTES'!W:W)</f>
        <v>0</v>
      </c>
      <c r="G700" s="17">
        <v>45995</v>
      </c>
      <c r="H700" s="169" t="s">
        <v>81</v>
      </c>
      <c r="I700" s="2">
        <v>2022.72</v>
      </c>
      <c r="J700" s="20" t="s">
        <v>1572</v>
      </c>
      <c r="K700" t="s">
        <v>1573</v>
      </c>
      <c r="L700" s="44" t="str" cm="1">
        <f t="array" ref="L700">+_xlfn.IFS(COUNTIF(INGRESOS!E:E,Tabla6[[#This Row],[ID FACTURA]])=1,"PAGADA",Tabla6[[#This Row],[ID FACTURA]]&lt;&gt;0,"EMITIDA",Tabla6[[#This Row],[ID FACTURA]]=0,"POR EMITIR")</f>
        <v>PAGADA</v>
      </c>
      <c r="M700" s="55">
        <f>+IF(Tabla6[[#This Row],[ESTADO FACTURA]]="PAGADA",Tabla6[[#This Row],[FECHA]]-_xlfn.XLOOKUP(Tabla6[[#This Row],[N° FACTURA]],INGRESOS!F:F,INGRESOS!A:A),"-")</f>
        <v>0</v>
      </c>
      <c r="N700" s="2"/>
      <c r="O700"/>
    </row>
    <row r="701" spans="1:15" ht="14.75" customHeight="1">
      <c r="A701" s="320" t="s">
        <v>407</v>
      </c>
      <c r="B701" t="str">
        <f>+_xlfn.XLOOKUP(Tabla6[[#This Row],[ID CLIENTE]],'RESUMEN CLIENTES'!D:D,'RESUMEN CLIENTES'!A:A)</f>
        <v>Mayra Leonor Rivera Paico</v>
      </c>
      <c r="C701" t="str">
        <f>+_xlfn.XLOOKUP(Tabla6[[#This Row],[ID CLIENTE]],'RESUMEN CLIENTES'!D:D,'RESUMEN CLIENTES'!C:C)</f>
        <v>Perú</v>
      </c>
      <c r="D701" s="44" t="str">
        <f>+_xlfn.XLOOKUP(Tabla6[[#This Row],[ID CLIENTE]],'RESUMEN CLIENTES'!D:D,'RESUMEN CLIENTES'!M:M)</f>
        <v>OK</v>
      </c>
      <c r="E701" s="72">
        <f>+_xlfn.XLOOKUP(Tabla6[[#This Row],[NOMBRE]],'RESUMEN CLIENTES'!A:A,'RESUMEN CLIENTES'!X:X)</f>
        <v>-0.22222222222222221</v>
      </c>
      <c r="F701" s="72">
        <f>+_xlfn.XLOOKUP(Tabla6[[#This Row],[ID CLIENTE]],'RESUMEN CLIENTES'!D:D,'RESUMEN CLIENTES'!W:W)</f>
        <v>0</v>
      </c>
      <c r="G701" s="17">
        <v>45995</v>
      </c>
      <c r="H701" s="44" t="s">
        <v>81</v>
      </c>
      <c r="I701" s="2">
        <v>1000</v>
      </c>
      <c r="J701" s="20" t="s">
        <v>1574</v>
      </c>
      <c r="K701" t="s">
        <v>1575</v>
      </c>
      <c r="L701" s="44" t="str" cm="1">
        <f t="array" ref="L701">+_xlfn.IFS(COUNTIF(INGRESOS!E:E,Tabla6[[#This Row],[ID FACTURA]])=1,"PAGADA",Tabla6[[#This Row],[ID FACTURA]]&lt;&gt;0,"EMITIDA",Tabla6[[#This Row],[ID FACTURA]]=0,"POR EMITIR")</f>
        <v>PAGADA</v>
      </c>
      <c r="M701" s="55">
        <f>+IF(Tabla6[[#This Row],[ESTADO FACTURA]]="PAGADA",Tabla6[[#This Row],[FECHA]]-_xlfn.XLOOKUP(Tabla6[[#This Row],[N° FACTURA]],INGRESOS!F:F,INGRESOS!A:A),"-")</f>
        <v>0</v>
      </c>
      <c r="N701" s="2"/>
      <c r="O701"/>
    </row>
    <row r="702" spans="1:15" ht="14.75" customHeight="1">
      <c r="A702" s="320" t="s">
        <v>447</v>
      </c>
      <c r="B702" t="str">
        <f>+_xlfn.XLOOKUP(Tabla6[[#This Row],[ID CLIENTE]],'RESUMEN CLIENTES'!D:D,'RESUMEN CLIENTES'!A:A)</f>
        <v>Yefry Onil Santana Marte</v>
      </c>
      <c r="C702" t="str">
        <f>+_xlfn.XLOOKUP(Tabla6[[#This Row],[ID CLIENTE]],'RESUMEN CLIENTES'!D:D,'RESUMEN CLIENTES'!C:C)</f>
        <v>República Dominicana</v>
      </c>
      <c r="D702" s="44" t="str">
        <f>+_xlfn.XLOOKUP(Tabla6[[#This Row],[ID CLIENTE]],'RESUMEN CLIENTES'!D:D,'RESUMEN CLIENTES'!M:M)</f>
        <v>OK</v>
      </c>
      <c r="E702" s="72">
        <f>+_xlfn.XLOOKUP(Tabla6[[#This Row],[NOMBRE]],'RESUMEN CLIENTES'!A:A,'RESUMEN CLIENTES'!X:X)</f>
        <v>-0.90909090909090906</v>
      </c>
      <c r="F702" s="72">
        <f>+_xlfn.XLOOKUP(Tabla6[[#This Row],[ID CLIENTE]],'RESUMEN CLIENTES'!D:D,'RESUMEN CLIENTES'!W:W)</f>
        <v>0</v>
      </c>
      <c r="G702" s="17">
        <v>45995</v>
      </c>
      <c r="H702" s="44" t="s">
        <v>81</v>
      </c>
      <c r="I702" s="2">
        <v>625</v>
      </c>
      <c r="J702" s="20" t="s">
        <v>1576</v>
      </c>
      <c r="K702" t="s">
        <v>1577</v>
      </c>
      <c r="L702" s="44" t="str" cm="1">
        <f t="array" ref="L702">+_xlfn.IFS(COUNTIF(INGRESOS!E:E,Tabla6[[#This Row],[ID FACTURA]])=1,"PAGADA",Tabla6[[#This Row],[ID FACTURA]]&lt;&gt;0,"EMITIDA",Tabla6[[#This Row],[ID FACTURA]]=0,"POR EMITIR")</f>
        <v>PAGADA</v>
      </c>
      <c r="M702" s="55">
        <f>+IF(Tabla6[[#This Row],[ESTADO FACTURA]]="PAGADA",Tabla6[[#This Row],[FECHA]]-_xlfn.XLOOKUP(Tabla6[[#This Row],[N° FACTURA]],INGRESOS!F:F,INGRESOS!A:A),"-")</f>
        <v>-3</v>
      </c>
      <c r="N702" s="2"/>
      <c r="O702"/>
    </row>
    <row r="703" spans="1:15" ht="14.75" customHeight="1">
      <c r="A703" s="320" t="s">
        <v>447</v>
      </c>
      <c r="B703" t="str">
        <f>+_xlfn.XLOOKUP(Tabla6[[#This Row],[ID CLIENTE]],'RESUMEN CLIENTES'!D:D,'RESUMEN CLIENTES'!A:A)</f>
        <v>Yefry Onil Santana Marte</v>
      </c>
      <c r="C703" t="str">
        <f>+_xlfn.XLOOKUP(Tabla6[[#This Row],[ID CLIENTE]],'RESUMEN CLIENTES'!D:D,'RESUMEN CLIENTES'!C:C)</f>
        <v>República Dominicana</v>
      </c>
      <c r="D703" s="44" t="str">
        <f>+_xlfn.XLOOKUP(Tabla6[[#This Row],[ID CLIENTE]],'RESUMEN CLIENTES'!D:D,'RESUMEN CLIENTES'!M:M)</f>
        <v>OK</v>
      </c>
      <c r="E703" s="72">
        <f>+_xlfn.XLOOKUP(Tabla6[[#This Row],[NOMBRE]],'RESUMEN CLIENTES'!A:A,'RESUMEN CLIENTES'!X:X)</f>
        <v>-0.90909090909090906</v>
      </c>
      <c r="F703" s="72">
        <f>+_xlfn.XLOOKUP(Tabla6[[#This Row],[ID CLIENTE]],'RESUMEN CLIENTES'!D:D,'RESUMEN CLIENTES'!W:W)</f>
        <v>0</v>
      </c>
      <c r="G703" s="17">
        <v>45995</v>
      </c>
      <c r="H703" s="44" t="s">
        <v>81</v>
      </c>
      <c r="I703" s="2">
        <v>625</v>
      </c>
      <c r="J703" s="20" t="s">
        <v>1578</v>
      </c>
      <c r="K703" t="s">
        <v>1579</v>
      </c>
      <c r="L703" s="44" t="str" cm="1">
        <f t="array" ref="L703">+_xlfn.IFS(COUNTIF(INGRESOS!E:E,Tabla6[[#This Row],[ID FACTURA]])=1,"PAGADA",Tabla6[[#This Row],[ID FACTURA]]&lt;&gt;0,"EMITIDA",Tabla6[[#This Row],[ID FACTURA]]=0,"POR EMITIR")</f>
        <v>PAGADA</v>
      </c>
      <c r="M703" s="55">
        <f>+IF(Tabla6[[#This Row],[ESTADO FACTURA]]="PAGADA",Tabla6[[#This Row],[FECHA]]-_xlfn.XLOOKUP(Tabla6[[#This Row],[N° FACTURA]],INGRESOS!F:F,INGRESOS!A:A),"-")</f>
        <v>-3</v>
      </c>
      <c r="N703" s="2"/>
      <c r="O703"/>
    </row>
    <row r="704" spans="1:15" ht="14.75" customHeight="1">
      <c r="A704" s="320" t="s">
        <v>447</v>
      </c>
      <c r="B704" t="str">
        <f>+_xlfn.XLOOKUP(Tabla6[[#This Row],[ID CLIENTE]],'RESUMEN CLIENTES'!D:D,'RESUMEN CLIENTES'!A:A)</f>
        <v>Yefry Onil Santana Marte</v>
      </c>
      <c r="C704" t="str">
        <f>+_xlfn.XLOOKUP(Tabla6[[#This Row],[ID CLIENTE]],'RESUMEN CLIENTES'!D:D,'RESUMEN CLIENTES'!C:C)</f>
        <v>República Dominicana</v>
      </c>
      <c r="D704" s="44" t="str">
        <f>+_xlfn.XLOOKUP(Tabla6[[#This Row],[ID CLIENTE]],'RESUMEN CLIENTES'!D:D,'RESUMEN CLIENTES'!M:M)</f>
        <v>OK</v>
      </c>
      <c r="E704" s="72">
        <f>+_xlfn.XLOOKUP(Tabla6[[#This Row],[NOMBRE]],'RESUMEN CLIENTES'!A:A,'RESUMEN CLIENTES'!X:X)</f>
        <v>-0.90909090909090906</v>
      </c>
      <c r="F704" s="72">
        <f>+_xlfn.XLOOKUP(Tabla6[[#This Row],[ID CLIENTE]],'RESUMEN CLIENTES'!D:D,'RESUMEN CLIENTES'!W:W)</f>
        <v>0</v>
      </c>
      <c r="G704" s="17">
        <v>45995</v>
      </c>
      <c r="H704" s="44" t="s">
        <v>81</v>
      </c>
      <c r="I704" s="2">
        <v>625</v>
      </c>
      <c r="J704" s="20" t="s">
        <v>1580</v>
      </c>
      <c r="K704" t="s">
        <v>1581</v>
      </c>
      <c r="L704" s="44" t="str" cm="1">
        <f t="array" ref="L704">+_xlfn.IFS(COUNTIF(INGRESOS!E:E,Tabla6[[#This Row],[ID FACTURA]])=1,"PAGADA",Tabla6[[#This Row],[ID FACTURA]]&lt;&gt;0,"EMITIDA",Tabla6[[#This Row],[ID FACTURA]]=0,"POR EMITIR")</f>
        <v>PAGADA</v>
      </c>
      <c r="M704" s="55">
        <f>+IF(Tabla6[[#This Row],[ESTADO FACTURA]]="PAGADA",Tabla6[[#This Row],[FECHA]]-_xlfn.XLOOKUP(Tabla6[[#This Row],[N° FACTURA]],INGRESOS!F:F,INGRESOS!A:A),"-")</f>
        <v>-3</v>
      </c>
      <c r="N704" s="2"/>
      <c r="O704"/>
    </row>
    <row r="705" spans="1:15" ht="14.75" customHeight="1">
      <c r="A705" s="320" t="s">
        <v>165</v>
      </c>
      <c r="B705" t="str">
        <f>+_xlfn.XLOOKUP(Tabla6[[#This Row],[ID CLIENTE]],'RESUMEN CLIENTES'!D:D,'RESUMEN CLIENTES'!A:A)</f>
        <v>Alejandra Leva Vallejo</v>
      </c>
      <c r="C705" t="str">
        <f>+_xlfn.XLOOKUP(Tabla6[[#This Row],[ID CLIENTE]],'RESUMEN CLIENTES'!D:D,'RESUMEN CLIENTES'!C:C)</f>
        <v>México</v>
      </c>
      <c r="D705" s="44" t="str">
        <f>+_xlfn.XLOOKUP(Tabla6[[#This Row],[ID CLIENTE]],'RESUMEN CLIENTES'!D:D,'RESUMEN CLIENTES'!M:M)</f>
        <v>OK</v>
      </c>
      <c r="E705" s="72">
        <f>+_xlfn.XLOOKUP(Tabla6[[#This Row],[NOMBRE]],'RESUMEN CLIENTES'!A:A,'RESUMEN CLIENTES'!X:X)</f>
        <v>0</v>
      </c>
      <c r="F705" s="72">
        <f>+_xlfn.XLOOKUP(Tabla6[[#This Row],[ID CLIENTE]],'RESUMEN CLIENTES'!D:D,'RESUMEN CLIENTES'!W:W)</f>
        <v>1</v>
      </c>
      <c r="G705" s="17">
        <v>45996</v>
      </c>
      <c r="H705" s="44" t="s">
        <v>81</v>
      </c>
      <c r="I705" s="2">
        <v>2000</v>
      </c>
      <c r="J705" s="20" t="s">
        <v>1582</v>
      </c>
      <c r="K705" t="s">
        <v>1583</v>
      </c>
      <c r="L705" s="44" t="str" cm="1">
        <f t="array" ref="L705">+_xlfn.IFS(COUNTIF(INGRESOS!E:E,Tabla6[[#This Row],[ID FACTURA]])=1,"PAGADA",Tabla6[[#This Row],[ID FACTURA]]&lt;&gt;0,"EMITIDA",Tabla6[[#This Row],[ID FACTURA]]=0,"POR EMITIR")</f>
        <v>PAGADA</v>
      </c>
      <c r="M705" s="55">
        <f>+IF(Tabla6[[#This Row],[ESTADO FACTURA]]="PAGADA",Tabla6[[#This Row],[FECHA]]-_xlfn.XLOOKUP(Tabla6[[#This Row],[N° FACTURA]],INGRESOS!F:F,INGRESOS!A:A),"-")</f>
        <v>0</v>
      </c>
      <c r="N705" s="2"/>
      <c r="O705"/>
    </row>
    <row r="706" spans="1:15" ht="14.75" customHeight="1">
      <c r="A706" s="320" t="s">
        <v>203</v>
      </c>
      <c r="B706" t="str">
        <f>+_xlfn.XLOOKUP(Tabla6[[#This Row],[ID CLIENTE]],'RESUMEN CLIENTES'!D:D,'RESUMEN CLIENTES'!A:A)</f>
        <v>Bernardita Lobo Zegers</v>
      </c>
      <c r="C706" t="str">
        <f>+_xlfn.XLOOKUP(Tabla6[[#This Row],[ID CLIENTE]],'RESUMEN CLIENTES'!D:D,'RESUMEN CLIENTES'!C:C)</f>
        <v>México</v>
      </c>
      <c r="D706" s="44" t="str">
        <f>+_xlfn.XLOOKUP(Tabla6[[#This Row],[ID CLIENTE]],'RESUMEN CLIENTES'!D:D,'RESUMEN CLIENTES'!M:M)</f>
        <v>OK</v>
      </c>
      <c r="E706" s="72">
        <f>+_xlfn.XLOOKUP(Tabla6[[#This Row],[NOMBRE]],'RESUMEN CLIENTES'!A:A,'RESUMEN CLIENTES'!X:X)</f>
        <v>-0.8</v>
      </c>
      <c r="F706" s="72">
        <f>+_xlfn.XLOOKUP(Tabla6[[#This Row],[ID CLIENTE]],'RESUMEN CLIENTES'!D:D,'RESUMEN CLIENTES'!W:W)</f>
        <v>1</v>
      </c>
      <c r="G706" s="17">
        <v>45996</v>
      </c>
      <c r="H706" s="44" t="s">
        <v>81</v>
      </c>
      <c r="I706" s="2">
        <v>800</v>
      </c>
      <c r="J706" s="20" t="s">
        <v>1584</v>
      </c>
      <c r="K706" t="s">
        <v>1585</v>
      </c>
      <c r="L706" s="44" t="str" cm="1">
        <f t="array" ref="L706">+_xlfn.IFS(COUNTIF(INGRESOS!E:E,Tabla6[[#This Row],[ID FACTURA]])=1,"PAGADA",Tabla6[[#This Row],[ID FACTURA]]&lt;&gt;0,"EMITIDA",Tabla6[[#This Row],[ID FACTURA]]=0,"POR EMITIR")</f>
        <v>PAGADA</v>
      </c>
      <c r="M706" s="55">
        <f>+IF(Tabla6[[#This Row],[ESTADO FACTURA]]="PAGADA",Tabla6[[#This Row],[FECHA]]-_xlfn.XLOOKUP(Tabla6[[#This Row],[N° FACTURA]],INGRESOS!F:F,INGRESOS!A:A),"-")</f>
        <v>-1</v>
      </c>
      <c r="N706" s="2"/>
      <c r="O706"/>
    </row>
    <row r="707" spans="1:15" ht="15" customHeight="1">
      <c r="A707" s="320" t="s">
        <v>1206</v>
      </c>
      <c r="B707" t="str">
        <f>+_xlfn.XLOOKUP(Tabla6[[#This Row],[ID CLIENTE]],'RESUMEN CLIENTES'!D:D,'RESUMEN CLIENTES'!A:A)</f>
        <v>Bryan Israel Jiménez Puente</v>
      </c>
      <c r="C707" t="str">
        <f>+_xlfn.XLOOKUP(Tabla6[[#This Row],[ID CLIENTE]],'RESUMEN CLIENTES'!D:D,'RESUMEN CLIENTES'!C:C)</f>
        <v>Ecuador</v>
      </c>
      <c r="D707" s="44" t="str">
        <f>+_xlfn.XLOOKUP(Tabla6[[#This Row],[ID CLIENTE]],'RESUMEN CLIENTES'!D:D,'RESUMEN CLIENTES'!M:M)</f>
        <v>OK</v>
      </c>
      <c r="E707" s="72">
        <f>+_xlfn.XLOOKUP(Tabla6[[#This Row],[NOMBRE]],'RESUMEN CLIENTES'!A:A,'RESUMEN CLIENTES'!X:X)</f>
        <v>1</v>
      </c>
      <c r="F707" s="72">
        <f>+_xlfn.XLOOKUP(Tabla6[[#This Row],[ID CLIENTE]],'RESUMEN CLIENTES'!D:D,'RESUMEN CLIENTES'!W:W)</f>
        <v>0</v>
      </c>
      <c r="G707" s="17">
        <v>45996</v>
      </c>
      <c r="H707" s="44" t="s">
        <v>81</v>
      </c>
      <c r="I707" s="2">
        <v>1000</v>
      </c>
      <c r="J707" s="20" t="s">
        <v>1586</v>
      </c>
      <c r="K707" t="s">
        <v>1587</v>
      </c>
      <c r="L707" s="44" t="str" cm="1">
        <f t="array" ref="L707">+_xlfn.IFS(COUNTIF(INGRESOS!E:E,Tabla6[[#This Row],[ID FACTURA]])=1,"PAGADA",Tabla6[[#This Row],[ID FACTURA]]&lt;&gt;0,"EMITIDA",Tabla6[[#This Row],[ID FACTURA]]=0,"POR EMITIR")</f>
        <v>PAGADA</v>
      </c>
      <c r="M707" s="55">
        <f>+IF(Tabla6[[#This Row],[ESTADO FACTURA]]="PAGADA",Tabla6[[#This Row],[FECHA]]-_xlfn.XLOOKUP(Tabla6[[#This Row],[N° FACTURA]],INGRESOS!F:F,INGRESOS!A:A),"-")</f>
        <v>2</v>
      </c>
      <c r="N707" s="2"/>
      <c r="O707"/>
    </row>
    <row r="708" spans="1:15" ht="14.75" customHeight="1">
      <c r="A708" s="320" t="s">
        <v>118</v>
      </c>
      <c r="B708" t="str">
        <f>+_xlfn.XLOOKUP(Tabla6[[#This Row],[ID CLIENTE]],'RESUMEN CLIENTES'!D:D,'RESUMEN CLIENTES'!A:A)</f>
        <v>Camila Sanchez Aravena</v>
      </c>
      <c r="C708" t="str">
        <f>+_xlfn.XLOOKUP(Tabla6[[#This Row],[ID CLIENTE]],'RESUMEN CLIENTES'!D:D,'RESUMEN CLIENTES'!C:C)</f>
        <v>Chile</v>
      </c>
      <c r="D708" s="44" t="str">
        <f>+_xlfn.XLOOKUP(Tabla6[[#This Row],[ID CLIENTE]],'RESUMEN CLIENTES'!D:D,'RESUMEN CLIENTES'!M:M)</f>
        <v>OK</v>
      </c>
      <c r="E708" s="72">
        <f>+_xlfn.XLOOKUP(Tabla6[[#This Row],[NOMBRE]],'RESUMEN CLIENTES'!A:A,'RESUMEN CLIENTES'!X:X)</f>
        <v>-1</v>
      </c>
      <c r="F708" s="72">
        <f>+_xlfn.XLOOKUP(Tabla6[[#This Row],[ID CLIENTE]],'RESUMEN CLIENTES'!D:D,'RESUMEN CLIENTES'!W:W)</f>
        <v>1</v>
      </c>
      <c r="G708" s="17">
        <v>45996</v>
      </c>
      <c r="H708" s="44" t="s">
        <v>81</v>
      </c>
      <c r="I708" s="2">
        <v>6093.34</v>
      </c>
      <c r="J708" s="20" t="s">
        <v>1588</v>
      </c>
      <c r="K708" t="s">
        <v>1589</v>
      </c>
      <c r="L708" s="44" t="str" cm="1">
        <f t="array" ref="L708">+_xlfn.IFS(COUNTIF(INGRESOS!E:E,Tabla6[[#This Row],[ID FACTURA]])=1,"PAGADA",Tabla6[[#This Row],[ID FACTURA]]&lt;&gt;0,"EMITIDA",Tabla6[[#This Row],[ID FACTURA]]=0,"POR EMITIR")</f>
        <v>PAGADA</v>
      </c>
      <c r="M708" s="55">
        <f>+IF(Tabla6[[#This Row],[ESTADO FACTURA]]="PAGADA",Tabla6[[#This Row],[FECHA]]-_xlfn.XLOOKUP(Tabla6[[#This Row],[N° FACTURA]],INGRESOS!F:F,INGRESOS!A:A),"-")</f>
        <v>-3</v>
      </c>
      <c r="N708" s="2"/>
      <c r="O708" s="4" t="s">
        <v>1590</v>
      </c>
    </row>
    <row r="709" spans="1:15" ht="14.75" customHeight="1">
      <c r="A709" s="320" t="s">
        <v>168</v>
      </c>
      <c r="B709" t="str">
        <f>+_xlfn.XLOOKUP(Tabla6[[#This Row],[ID CLIENTE]],'RESUMEN CLIENTES'!D:D,'RESUMEN CLIENTES'!A:A)</f>
        <v xml:space="preserve">Catalina Ochoa Urrutia
</v>
      </c>
      <c r="C709" t="str">
        <f>+_xlfn.XLOOKUP(Tabla6[[#This Row],[ID CLIENTE]],'RESUMEN CLIENTES'!D:D,'RESUMEN CLIENTES'!C:C)</f>
        <v>Chile</v>
      </c>
      <c r="D709" s="44" t="str">
        <f>+_xlfn.XLOOKUP(Tabla6[[#This Row],[ID CLIENTE]],'RESUMEN CLIENTES'!D:D,'RESUMEN CLIENTES'!M:M)</f>
        <v>OK</v>
      </c>
      <c r="E709" s="72">
        <f>+_xlfn.XLOOKUP(Tabla6[[#This Row],[NOMBRE]],'RESUMEN CLIENTES'!A:A,'RESUMEN CLIENTES'!X:X)</f>
        <v>0.75</v>
      </c>
      <c r="F709" s="72">
        <f>+_xlfn.XLOOKUP(Tabla6[[#This Row],[ID CLIENTE]],'RESUMEN CLIENTES'!D:D,'RESUMEN CLIENTES'!W:W)</f>
        <v>1</v>
      </c>
      <c r="G709" s="17">
        <v>45996</v>
      </c>
      <c r="H709" s="44" t="s">
        <v>81</v>
      </c>
      <c r="I709" s="2">
        <v>1500</v>
      </c>
      <c r="J709" s="20" t="s">
        <v>1591</v>
      </c>
      <c r="K709" t="s">
        <v>1592</v>
      </c>
      <c r="L709" s="44" t="str" cm="1">
        <f t="array" ref="L709">+_xlfn.IFS(COUNTIF(INGRESOS!E:E,Tabla6[[#This Row],[ID FACTURA]])=1,"PAGADA",Tabla6[[#This Row],[ID FACTURA]]&lt;&gt;0,"EMITIDA",Tabla6[[#This Row],[ID FACTURA]]=0,"POR EMITIR")</f>
        <v>PAGADA</v>
      </c>
      <c r="M709" s="55">
        <f>+IF(Tabla6[[#This Row],[ESTADO FACTURA]]="PAGADA",Tabla6[[#This Row],[FECHA]]-_xlfn.XLOOKUP(Tabla6[[#This Row],[N° FACTURA]],INGRESOS!F:F,INGRESOS!A:A),"-")</f>
        <v>0</v>
      </c>
      <c r="N709" s="2"/>
      <c r="O709"/>
    </row>
    <row r="710" spans="1:15" ht="14.75" customHeight="1">
      <c r="A710" s="320" t="s">
        <v>194</v>
      </c>
      <c r="B710" t="str">
        <f>+_xlfn.XLOOKUP(Tabla6[[#This Row],[ID CLIENTE]],'RESUMEN CLIENTES'!D:D,'RESUMEN CLIENTES'!A:A)</f>
        <v>Dinorah Gómez Castellanos</v>
      </c>
      <c r="C710" t="str">
        <f>+_xlfn.XLOOKUP(Tabla6[[#This Row],[ID CLIENTE]],'RESUMEN CLIENTES'!D:D,'RESUMEN CLIENTES'!C:C)</f>
        <v>México</v>
      </c>
      <c r="D710" s="44" t="str">
        <f>+_xlfn.XLOOKUP(Tabla6[[#This Row],[ID CLIENTE]],'RESUMEN CLIENTES'!D:D,'RESUMEN CLIENTES'!M:M)</f>
        <v>OK</v>
      </c>
      <c r="E710" s="72">
        <f>+_xlfn.XLOOKUP(Tabla6[[#This Row],[NOMBRE]],'RESUMEN CLIENTES'!A:A,'RESUMEN CLIENTES'!X:X)</f>
        <v>2.75</v>
      </c>
      <c r="F710" s="72">
        <f>+_xlfn.XLOOKUP(Tabla6[[#This Row],[ID CLIENTE]],'RESUMEN CLIENTES'!D:D,'RESUMEN CLIENTES'!W:W)</f>
        <v>0</v>
      </c>
      <c r="G710" s="17">
        <v>45996</v>
      </c>
      <c r="H710" s="44" t="s">
        <v>81</v>
      </c>
      <c r="I710" s="2">
        <v>400</v>
      </c>
      <c r="J710" s="20" t="s">
        <v>1593</v>
      </c>
      <c r="K710" t="s">
        <v>1594</v>
      </c>
      <c r="L710" s="44" t="str" cm="1">
        <f t="array" ref="L710">+_xlfn.IFS(COUNTIF(INGRESOS!E:E,Tabla6[[#This Row],[ID FACTURA]])=1,"PAGADA",Tabla6[[#This Row],[ID FACTURA]]&lt;&gt;0,"EMITIDA",Tabla6[[#This Row],[ID FACTURA]]=0,"POR EMITIR")</f>
        <v>PAGADA</v>
      </c>
      <c r="M710" s="55">
        <f>+IF(Tabla6[[#This Row],[ESTADO FACTURA]]="PAGADA",Tabla6[[#This Row],[FECHA]]-_xlfn.XLOOKUP(Tabla6[[#This Row],[N° FACTURA]],INGRESOS!F:F,INGRESOS!A:A),"-")</f>
        <v>2</v>
      </c>
      <c r="N710" s="2"/>
      <c r="O710"/>
    </row>
    <row r="711" spans="1:15" ht="14.75" customHeight="1">
      <c r="A711" s="320" t="s">
        <v>787</v>
      </c>
      <c r="B711" t="str">
        <f>+_xlfn.XLOOKUP(Tabla6[[#This Row],[ID CLIENTE]],'RESUMEN CLIENTES'!D:D,'RESUMEN CLIENTES'!A:A)</f>
        <v>Florencia Luján Sapia</v>
      </c>
      <c r="C711" t="str">
        <f>+_xlfn.XLOOKUP(Tabla6[[#This Row],[ID CLIENTE]],'RESUMEN CLIENTES'!D:D,'RESUMEN CLIENTES'!C:C)</f>
        <v>Argentina</v>
      </c>
      <c r="D711" s="44" t="str">
        <f>+_xlfn.XLOOKUP(Tabla6[[#This Row],[ID CLIENTE]],'RESUMEN CLIENTES'!D:D,'RESUMEN CLIENTES'!M:M)</f>
        <v>OK</v>
      </c>
      <c r="E711" s="72">
        <f>+_xlfn.XLOOKUP(Tabla6[[#This Row],[NOMBRE]],'RESUMEN CLIENTES'!A:A,'RESUMEN CLIENTES'!X:X)</f>
        <v>-0.77777777777777779</v>
      </c>
      <c r="F711" s="72">
        <f>+_xlfn.XLOOKUP(Tabla6[[#This Row],[ID CLIENTE]],'RESUMEN CLIENTES'!D:D,'RESUMEN CLIENTES'!W:W)</f>
        <v>1</v>
      </c>
      <c r="G711" s="17">
        <v>45996</v>
      </c>
      <c r="H711" s="44" t="s">
        <v>81</v>
      </c>
      <c r="I711" s="2">
        <v>600</v>
      </c>
      <c r="J711" s="20" t="s">
        <v>1595</v>
      </c>
      <c r="K711" t="s">
        <v>1596</v>
      </c>
      <c r="L711" s="44" t="str" cm="1">
        <f t="array" ref="L711">+_xlfn.IFS(COUNTIF(INGRESOS!E:E,Tabla6[[#This Row],[ID FACTURA]])=1,"PAGADA",Tabla6[[#This Row],[ID FACTURA]]&lt;&gt;0,"EMITIDA",Tabla6[[#This Row],[ID FACTURA]]=0,"POR EMITIR")</f>
        <v>PAGADA</v>
      </c>
      <c r="M711" s="55">
        <f>+IF(Tabla6[[#This Row],[ESTADO FACTURA]]="PAGADA",Tabla6[[#This Row],[FECHA]]-_xlfn.XLOOKUP(Tabla6[[#This Row],[N° FACTURA]],INGRESOS!F:F,INGRESOS!A:A),"-")</f>
        <v>-1</v>
      </c>
      <c r="N711" s="2"/>
      <c r="O711"/>
    </row>
    <row r="712" spans="1:15" ht="14.75" customHeight="1">
      <c r="A712" s="320" t="s">
        <v>171</v>
      </c>
      <c r="B712" t="str">
        <f>+_xlfn.XLOOKUP(Tabla6[[#This Row],[ID CLIENTE]],'RESUMEN CLIENTES'!D:D,'RESUMEN CLIENTES'!A:A)</f>
        <v>Guillermo Alfonso Garvalena Gaxiola</v>
      </c>
      <c r="C712" t="str">
        <f>+_xlfn.XLOOKUP(Tabla6[[#This Row],[ID CLIENTE]],'RESUMEN CLIENTES'!D:D,'RESUMEN CLIENTES'!C:C)</f>
        <v>México</v>
      </c>
      <c r="D712" s="44" t="str">
        <f>+_xlfn.XLOOKUP(Tabla6[[#This Row],[ID CLIENTE]],'RESUMEN CLIENTES'!D:D,'RESUMEN CLIENTES'!M:M)</f>
        <v>OK</v>
      </c>
      <c r="E712" s="72">
        <f>+_xlfn.XLOOKUP(Tabla6[[#This Row],[NOMBRE]],'RESUMEN CLIENTES'!A:A,'RESUMEN CLIENTES'!X:X)</f>
        <v>1.173913043478261</v>
      </c>
      <c r="F712" s="72">
        <f>+_xlfn.XLOOKUP(Tabla6[[#This Row],[ID CLIENTE]],'RESUMEN CLIENTES'!D:D,'RESUMEN CLIENTES'!W:W)</f>
        <v>1</v>
      </c>
      <c r="G712" s="17">
        <v>45996</v>
      </c>
      <c r="H712" s="44" t="s">
        <v>81</v>
      </c>
      <c r="I712" s="2">
        <v>200</v>
      </c>
      <c r="J712" s="20" t="s">
        <v>1597</v>
      </c>
      <c r="K712" t="s">
        <v>1598</v>
      </c>
      <c r="L712" s="44" t="str" cm="1">
        <f t="array" ref="L712">+_xlfn.IFS(COUNTIF(INGRESOS!E:E,Tabla6[[#This Row],[ID FACTURA]])=1,"PAGADA",Tabla6[[#This Row],[ID FACTURA]]&lt;&gt;0,"EMITIDA",Tabla6[[#This Row],[ID FACTURA]]=0,"POR EMITIR")</f>
        <v>PAGADA</v>
      </c>
      <c r="M712" s="55">
        <f>+IF(Tabla6[[#This Row],[ESTADO FACTURA]]="PAGADA",Tabla6[[#This Row],[FECHA]]-_xlfn.XLOOKUP(Tabla6[[#This Row],[N° FACTURA]],INGRESOS!F:F,INGRESOS!A:A),"-")</f>
        <v>0</v>
      </c>
      <c r="N712" s="2"/>
      <c r="O712"/>
    </row>
    <row r="713" spans="1:15" ht="14.75" customHeight="1">
      <c r="A713" s="320" t="s">
        <v>171</v>
      </c>
      <c r="B713" t="str">
        <f>+_xlfn.XLOOKUP(Tabla6[[#This Row],[ID CLIENTE]],'RESUMEN CLIENTES'!D:D,'RESUMEN CLIENTES'!A:A)</f>
        <v>Guillermo Alfonso Garvalena Gaxiola</v>
      </c>
      <c r="C713" t="str">
        <f>+_xlfn.XLOOKUP(Tabla6[[#This Row],[ID CLIENTE]],'RESUMEN CLIENTES'!D:D,'RESUMEN CLIENTES'!C:C)</f>
        <v>México</v>
      </c>
      <c r="D713" s="44" t="str">
        <f>+_xlfn.XLOOKUP(Tabla6[[#This Row],[ID CLIENTE]],'RESUMEN CLIENTES'!D:D,'RESUMEN CLIENTES'!M:M)</f>
        <v>OK</v>
      </c>
      <c r="E713" s="72">
        <f>+_xlfn.XLOOKUP(Tabla6[[#This Row],[NOMBRE]],'RESUMEN CLIENTES'!A:A,'RESUMEN CLIENTES'!X:X)</f>
        <v>1.173913043478261</v>
      </c>
      <c r="F713" s="72">
        <f>+_xlfn.XLOOKUP(Tabla6[[#This Row],[ID CLIENTE]],'RESUMEN CLIENTES'!D:D,'RESUMEN CLIENTES'!W:W)</f>
        <v>1</v>
      </c>
      <c r="G713" s="17">
        <v>45996</v>
      </c>
      <c r="H713" s="44" t="s">
        <v>81</v>
      </c>
      <c r="I713" s="2">
        <v>500</v>
      </c>
      <c r="J713" s="20" t="s">
        <v>1599</v>
      </c>
      <c r="K713" t="s">
        <v>1600</v>
      </c>
      <c r="L713" s="44" t="str" cm="1">
        <f t="array" ref="L713">+_xlfn.IFS(COUNTIF(INGRESOS!E:E,Tabla6[[#This Row],[ID FACTURA]])=1,"PAGADA",Tabla6[[#This Row],[ID FACTURA]]&lt;&gt;0,"EMITIDA",Tabla6[[#This Row],[ID FACTURA]]=0,"POR EMITIR")</f>
        <v>PAGADA</v>
      </c>
      <c r="M713" s="55">
        <f>+IF(Tabla6[[#This Row],[ESTADO FACTURA]]="PAGADA",Tabla6[[#This Row],[FECHA]]-_xlfn.XLOOKUP(Tabla6[[#This Row],[N° FACTURA]],INGRESOS!F:F,INGRESOS!A:A),"-")</f>
        <v>0</v>
      </c>
      <c r="N713" s="2"/>
      <c r="O713"/>
    </row>
    <row r="714" spans="1:15" ht="14.75" customHeight="1">
      <c r="A714" s="320" t="s">
        <v>109</v>
      </c>
      <c r="B714" t="str">
        <f>+_xlfn.XLOOKUP(Tabla6[[#This Row],[ID CLIENTE]],'RESUMEN CLIENTES'!D:D,'RESUMEN CLIENTES'!A:A)</f>
        <v>Ian Job Lino Durán</v>
      </c>
      <c r="C714" t="str">
        <f>+_xlfn.XLOOKUP(Tabla6[[#This Row],[ID CLIENTE]],'RESUMEN CLIENTES'!D:D,'RESUMEN CLIENTES'!C:C)</f>
        <v>México</v>
      </c>
      <c r="D714" s="44" t="str">
        <f>+_xlfn.XLOOKUP(Tabla6[[#This Row],[ID CLIENTE]],'RESUMEN CLIENTES'!D:D,'RESUMEN CLIENTES'!M:M)</f>
        <v>OK</v>
      </c>
      <c r="E714" s="72">
        <f>+_xlfn.XLOOKUP(Tabla6[[#This Row],[NOMBRE]],'RESUMEN CLIENTES'!A:A,'RESUMEN CLIENTES'!X:X)</f>
        <v>0.1</v>
      </c>
      <c r="F714" s="72">
        <f>+_xlfn.XLOOKUP(Tabla6[[#This Row],[ID CLIENTE]],'RESUMEN CLIENTES'!D:D,'RESUMEN CLIENTES'!W:W)</f>
        <v>1</v>
      </c>
      <c r="G714" s="17">
        <v>45996</v>
      </c>
      <c r="H714" s="44" t="s">
        <v>81</v>
      </c>
      <c r="I714" s="2">
        <v>950</v>
      </c>
      <c r="J714" s="20" t="s">
        <v>1601</v>
      </c>
      <c r="K714" t="s">
        <v>1602</v>
      </c>
      <c r="L714" s="44" t="str" cm="1">
        <f t="array" ref="L714">+_xlfn.IFS(COUNTIF(INGRESOS!E:E,Tabla6[[#This Row],[ID FACTURA]])=1,"PAGADA",Tabla6[[#This Row],[ID FACTURA]]&lt;&gt;0,"EMITIDA",Tabla6[[#This Row],[ID FACTURA]]=0,"POR EMITIR")</f>
        <v>PAGADA</v>
      </c>
      <c r="M714" s="55">
        <f>+IF(Tabla6[[#This Row],[ESTADO FACTURA]]="PAGADA",Tabla6[[#This Row],[FECHA]]-_xlfn.XLOOKUP(Tabla6[[#This Row],[N° FACTURA]],INGRESOS!F:F,INGRESOS!A:A),"-")</f>
        <v>0</v>
      </c>
      <c r="N714" s="2"/>
      <c r="O714"/>
    </row>
    <row r="715" spans="1:15" ht="14.75" customHeight="1">
      <c r="A715" s="320" t="s">
        <v>142</v>
      </c>
      <c r="B715" t="str">
        <f>+_xlfn.XLOOKUP(Tabla6[[#This Row],[ID CLIENTE]],'RESUMEN CLIENTES'!D:D,'RESUMEN CLIENTES'!A:A)</f>
        <v>Jordan Eliecer Toledo Bravo</v>
      </c>
      <c r="C715" t="str">
        <f>+_xlfn.XLOOKUP(Tabla6[[#This Row],[ID CLIENTE]],'RESUMEN CLIENTES'!D:D,'RESUMEN CLIENTES'!C:C)</f>
        <v>Chile</v>
      </c>
      <c r="D715" s="44" t="str">
        <f>+_xlfn.XLOOKUP(Tabla6[[#This Row],[ID CLIENTE]],'RESUMEN CLIENTES'!D:D,'RESUMEN CLIENTES'!M:M)</f>
        <v>OK</v>
      </c>
      <c r="E715" s="72">
        <f>+_xlfn.XLOOKUP(Tabla6[[#This Row],[NOMBRE]],'RESUMEN CLIENTES'!A:A,'RESUMEN CLIENTES'!X:X)</f>
        <v>-1.6153846153846154</v>
      </c>
      <c r="F715" s="72">
        <f>+_xlfn.XLOOKUP(Tabla6[[#This Row],[ID CLIENTE]],'RESUMEN CLIENTES'!D:D,'RESUMEN CLIENTES'!W:W)</f>
        <v>0</v>
      </c>
      <c r="G715" s="17">
        <v>45996</v>
      </c>
      <c r="H715" s="44" t="s">
        <v>81</v>
      </c>
      <c r="I715" s="2">
        <v>500</v>
      </c>
      <c r="J715" s="20" t="s">
        <v>1603</v>
      </c>
      <c r="K715" t="s">
        <v>1604</v>
      </c>
      <c r="L715" s="44" t="str" cm="1">
        <f t="array" ref="L715">+_xlfn.IFS(COUNTIF(INGRESOS!E:E,Tabla6[[#This Row],[ID FACTURA]])=1,"PAGADA",Tabla6[[#This Row],[ID FACTURA]]&lt;&gt;0,"EMITIDA",Tabla6[[#This Row],[ID FACTURA]]=0,"POR EMITIR")</f>
        <v>PAGADA</v>
      </c>
      <c r="M715" s="55">
        <f>+IF(Tabla6[[#This Row],[ESTADO FACTURA]]="PAGADA",Tabla6[[#This Row],[FECHA]]-_xlfn.XLOOKUP(Tabla6[[#This Row],[N° FACTURA]],INGRESOS!F:F,INGRESOS!A:A),"-")</f>
        <v>-1</v>
      </c>
      <c r="N715" s="2"/>
      <c r="O715"/>
    </row>
    <row r="716" spans="1:15" ht="14.75" customHeight="1">
      <c r="A716" s="320" t="s">
        <v>798</v>
      </c>
      <c r="B716" t="str">
        <f>+_xlfn.XLOOKUP(Tabla6[[#This Row],[ID CLIENTE]],'RESUMEN CLIENTES'!D:D,'RESUMEN CLIENTES'!A:A)</f>
        <v>Juan Manuel Paranzino</v>
      </c>
      <c r="C716" t="str">
        <f>+_xlfn.XLOOKUP(Tabla6[[#This Row],[ID CLIENTE]],'RESUMEN CLIENTES'!D:D,'RESUMEN CLIENTES'!C:C)</f>
        <v>Argentina</v>
      </c>
      <c r="D716" s="44" t="str">
        <f>+_xlfn.XLOOKUP(Tabla6[[#This Row],[ID CLIENTE]],'RESUMEN CLIENTES'!D:D,'RESUMEN CLIENTES'!M:M)</f>
        <v>OK</v>
      </c>
      <c r="E716" s="72">
        <f>+_xlfn.XLOOKUP(Tabla6[[#This Row],[NOMBRE]],'RESUMEN CLIENTES'!A:A,'RESUMEN CLIENTES'!X:X)</f>
        <v>-1</v>
      </c>
      <c r="F716" s="72">
        <f>+_xlfn.XLOOKUP(Tabla6[[#This Row],[ID CLIENTE]],'RESUMEN CLIENTES'!D:D,'RESUMEN CLIENTES'!W:W)</f>
        <v>0</v>
      </c>
      <c r="G716" s="17">
        <v>45996</v>
      </c>
      <c r="H716" s="44" t="s">
        <v>81</v>
      </c>
      <c r="I716" s="2">
        <v>600</v>
      </c>
      <c r="J716" s="20" t="s">
        <v>1605</v>
      </c>
      <c r="K716" t="s">
        <v>1606</v>
      </c>
      <c r="L716" s="44" t="str" cm="1">
        <f t="array" ref="L716">+_xlfn.IFS(COUNTIF(INGRESOS!E:E,Tabla6[[#This Row],[ID FACTURA]])=1,"PAGADA",Tabla6[[#This Row],[ID FACTURA]]&lt;&gt;0,"EMITIDA",Tabla6[[#This Row],[ID FACTURA]]=0,"POR EMITIR")</f>
        <v>PAGADA</v>
      </c>
      <c r="M716" s="55">
        <f>+IF(Tabla6[[#This Row],[ESTADO FACTURA]]="PAGADA",Tabla6[[#This Row],[FECHA]]-_xlfn.XLOOKUP(Tabla6[[#This Row],[N° FACTURA]],INGRESOS!F:F,INGRESOS!A:A),"-")</f>
        <v>0</v>
      </c>
      <c r="N716" s="2"/>
      <c r="O716"/>
    </row>
    <row r="717" spans="1:15" ht="14.75" customHeight="1">
      <c r="A717" s="320" t="s">
        <v>955</v>
      </c>
      <c r="B717" t="str">
        <f>+_xlfn.XLOOKUP(Tabla6[[#This Row],[ID CLIENTE]],'RESUMEN CLIENTES'!D:D,'RESUMEN CLIENTES'!A:A)</f>
        <v>Judith Elizabeth Lopez Sanchez</v>
      </c>
      <c r="C717" t="str">
        <f>+_xlfn.XLOOKUP(Tabla6[[#This Row],[ID CLIENTE]],'RESUMEN CLIENTES'!D:D,'RESUMEN CLIENTES'!C:C)</f>
        <v>Perú</v>
      </c>
      <c r="D717" s="44" t="str">
        <f>+_xlfn.XLOOKUP(Tabla6[[#This Row],[ID CLIENTE]],'RESUMEN CLIENTES'!D:D,'RESUMEN CLIENTES'!M:M)</f>
        <v>OK</v>
      </c>
      <c r="E717" s="72">
        <f>+_xlfn.XLOOKUP(Tabla6[[#This Row],[NOMBRE]],'RESUMEN CLIENTES'!A:A,'RESUMEN CLIENTES'!X:X)</f>
        <v>0.2857142857142857</v>
      </c>
      <c r="F717" s="72">
        <f>+_xlfn.XLOOKUP(Tabla6[[#This Row],[ID CLIENTE]],'RESUMEN CLIENTES'!D:D,'RESUMEN CLIENTES'!W:W)</f>
        <v>1</v>
      </c>
      <c r="G717" s="17">
        <v>45996</v>
      </c>
      <c r="H717" s="44" t="s">
        <v>81</v>
      </c>
      <c r="I717" s="2">
        <v>1000</v>
      </c>
      <c r="J717" s="20" t="s">
        <v>1607</v>
      </c>
      <c r="K717" t="s">
        <v>1608</v>
      </c>
      <c r="L717" s="44" t="str" cm="1">
        <f t="array" ref="L717">+_xlfn.IFS(COUNTIF(INGRESOS!E:E,Tabla6[[#This Row],[ID FACTURA]])=1,"PAGADA",Tabla6[[#This Row],[ID FACTURA]]&lt;&gt;0,"EMITIDA",Tabla6[[#This Row],[ID FACTURA]]=0,"POR EMITIR")</f>
        <v>PAGADA</v>
      </c>
      <c r="M717" s="55">
        <f>+IF(Tabla6[[#This Row],[ESTADO FACTURA]]="PAGADA",Tabla6[[#This Row],[FECHA]]-_xlfn.XLOOKUP(Tabla6[[#This Row],[N° FACTURA]],INGRESOS!F:F,INGRESOS!A:A),"-")</f>
        <v>0</v>
      </c>
      <c r="N717" s="2"/>
      <c r="O717"/>
    </row>
    <row r="718" spans="1:15" ht="14.75" customHeight="1">
      <c r="A718" s="320" t="s">
        <v>703</v>
      </c>
      <c r="B718" t="str">
        <f>+_xlfn.XLOOKUP(Tabla6[[#This Row],[ID CLIENTE]],'RESUMEN CLIENTES'!D:D,'RESUMEN CLIENTES'!A:A)</f>
        <v>Maira Paz Navas Sánchez</v>
      </c>
      <c r="C718" t="str">
        <f>+_xlfn.XLOOKUP(Tabla6[[#This Row],[ID CLIENTE]],'RESUMEN CLIENTES'!D:D,'RESUMEN CLIENTES'!C:C)</f>
        <v>Chile</v>
      </c>
      <c r="D718" s="44" t="str">
        <f>+_xlfn.XLOOKUP(Tabla6[[#This Row],[ID CLIENTE]],'RESUMEN CLIENTES'!D:D,'RESUMEN CLIENTES'!M:M)</f>
        <v>OK</v>
      </c>
      <c r="E718" s="72">
        <f>+_xlfn.XLOOKUP(Tabla6[[#This Row],[NOMBRE]],'RESUMEN CLIENTES'!A:A,'RESUMEN CLIENTES'!X:X)</f>
        <v>-1.75</v>
      </c>
      <c r="F718" s="72">
        <f>+_xlfn.XLOOKUP(Tabla6[[#This Row],[ID CLIENTE]],'RESUMEN CLIENTES'!D:D,'RESUMEN CLIENTES'!W:W)</f>
        <v>1</v>
      </c>
      <c r="G718" s="17">
        <v>45996</v>
      </c>
      <c r="H718" s="44" t="s">
        <v>81</v>
      </c>
      <c r="I718" s="2">
        <v>700</v>
      </c>
      <c r="J718" s="20" t="s">
        <v>1609</v>
      </c>
      <c r="K718" t="s">
        <v>1610</v>
      </c>
      <c r="L718" s="44" t="str" cm="1">
        <f t="array" ref="L718">+_xlfn.IFS(COUNTIF(INGRESOS!E:E,Tabla6[[#This Row],[ID FACTURA]])=1,"PAGADA",Tabla6[[#This Row],[ID FACTURA]]&lt;&gt;0,"EMITIDA",Tabla6[[#This Row],[ID FACTURA]]=0,"POR EMITIR")</f>
        <v>PAGADA</v>
      </c>
      <c r="M718" s="55">
        <f>+IF(Tabla6[[#This Row],[ESTADO FACTURA]]="PAGADA",Tabla6[[#This Row],[FECHA]]-_xlfn.XLOOKUP(Tabla6[[#This Row],[N° FACTURA]],INGRESOS!F:F,INGRESOS!A:A),"-")</f>
        <v>-3</v>
      </c>
      <c r="N718" s="2"/>
      <c r="O718"/>
    </row>
    <row r="719" spans="1:15" ht="14.75" customHeight="1">
      <c r="A719" s="320" t="s">
        <v>188</v>
      </c>
      <c r="B719" t="str">
        <f>+_xlfn.XLOOKUP(Tabla6[[#This Row],[ID CLIENTE]],'RESUMEN CLIENTES'!D:D,'RESUMEN CLIENTES'!A:A)</f>
        <v>Marco Tulio Negrete Aceves</v>
      </c>
      <c r="C719" t="str">
        <f>+_xlfn.XLOOKUP(Tabla6[[#This Row],[ID CLIENTE]],'RESUMEN CLIENTES'!D:D,'RESUMEN CLIENTES'!C:C)</f>
        <v>México</v>
      </c>
      <c r="D719" s="44" t="str">
        <f>+_xlfn.XLOOKUP(Tabla6[[#This Row],[ID CLIENTE]],'RESUMEN CLIENTES'!D:D,'RESUMEN CLIENTES'!M:M)</f>
        <v>OK</v>
      </c>
      <c r="E719" s="72">
        <f>+_xlfn.XLOOKUP(Tabla6[[#This Row],[NOMBRE]],'RESUMEN CLIENTES'!A:A,'RESUMEN CLIENTES'!X:X)</f>
        <v>2.625</v>
      </c>
      <c r="F719" s="72">
        <f>+_xlfn.XLOOKUP(Tabla6[[#This Row],[ID CLIENTE]],'RESUMEN CLIENTES'!D:D,'RESUMEN CLIENTES'!W:W)</f>
        <v>1</v>
      </c>
      <c r="G719" s="17">
        <v>45996</v>
      </c>
      <c r="H719" s="44" t="s">
        <v>81</v>
      </c>
      <c r="I719" s="2">
        <v>0</v>
      </c>
      <c r="J719"/>
      <c r="K719"/>
      <c r="L719" s="44" t="str" cm="1">
        <f t="array" ref="L719">+_xlfn.IFS(COUNTIF(INGRESOS!E:E,Tabla6[[#This Row],[ID FACTURA]])=1,"PAGADA",Tabla6[[#This Row],[ID FACTURA]]&lt;&gt;0,"EMITIDA",Tabla6[[#This Row],[ID FACTURA]]=0,"POR EMITIR")</f>
        <v>POR EMITIR</v>
      </c>
      <c r="M719" s="55" t="str">
        <f>+IF(Tabla6[[#This Row],[ESTADO FACTURA]]="PAGADA",Tabla6[[#This Row],[FECHA]]-_xlfn.XLOOKUP(Tabla6[[#This Row],[N° FACTURA]],INGRESOS!F:F,INGRESOS!A:A),"-")</f>
        <v>-</v>
      </c>
      <c r="N719" s="2">
        <v>300</v>
      </c>
      <c r="O719" t="s">
        <v>1233</v>
      </c>
    </row>
    <row r="720" spans="1:15" ht="14.75" customHeight="1">
      <c r="A720" s="320" t="s">
        <v>80</v>
      </c>
      <c r="B720" t="str">
        <f>+_xlfn.XLOOKUP(Tabla6[[#This Row],[ID CLIENTE]],'RESUMEN CLIENTES'!D:D,'RESUMEN CLIENTES'!A:A)</f>
        <v>María Fernanda Alvar Sepúlveda</v>
      </c>
      <c r="C720" t="str">
        <f>+_xlfn.XLOOKUP(Tabla6[[#This Row],[ID CLIENTE]],'RESUMEN CLIENTES'!D:D,'RESUMEN CLIENTES'!C:C)</f>
        <v>Chile</v>
      </c>
      <c r="D720" s="44" t="str">
        <f>+_xlfn.XLOOKUP(Tabla6[[#This Row],[ID CLIENTE]],'RESUMEN CLIENTES'!D:D,'RESUMEN CLIENTES'!M:M)</f>
        <v>OK</v>
      </c>
      <c r="E720" s="72">
        <f>+_xlfn.XLOOKUP(Tabla6[[#This Row],[NOMBRE]],'RESUMEN CLIENTES'!A:A,'RESUMEN CLIENTES'!X:X)</f>
        <v>5</v>
      </c>
      <c r="F720" s="72">
        <f>+_xlfn.XLOOKUP(Tabla6[[#This Row],[ID CLIENTE]],'RESUMEN CLIENTES'!D:D,'RESUMEN CLIENTES'!W:W)</f>
        <v>1</v>
      </c>
      <c r="G720" s="17">
        <v>45996</v>
      </c>
      <c r="H720" s="44" t="s">
        <v>81</v>
      </c>
      <c r="I720" s="2">
        <v>800</v>
      </c>
      <c r="J720" s="20" t="s">
        <v>1611</v>
      </c>
      <c r="K720" t="s">
        <v>1612</v>
      </c>
      <c r="L720" s="44" t="str" cm="1">
        <f t="array" ref="L720">+_xlfn.IFS(COUNTIF(INGRESOS!E:E,Tabla6[[#This Row],[ID FACTURA]])=1,"PAGADA",Tabla6[[#This Row],[ID FACTURA]]&lt;&gt;0,"EMITIDA",Tabla6[[#This Row],[ID FACTURA]]=0,"POR EMITIR")</f>
        <v>PAGADA</v>
      </c>
      <c r="M720" s="55">
        <f>+IF(Tabla6[[#This Row],[ESTADO FACTURA]]="PAGADA",Tabla6[[#This Row],[FECHA]]-_xlfn.XLOOKUP(Tabla6[[#This Row],[N° FACTURA]],INGRESOS!F:F,INGRESOS!A:A),"-")</f>
        <v>1</v>
      </c>
      <c r="N720" s="2"/>
      <c r="O720"/>
    </row>
    <row r="721" spans="1:15" ht="14.75" customHeight="1">
      <c r="A721" s="320" t="s">
        <v>1551</v>
      </c>
      <c r="B721" t="str">
        <f>+_xlfn.XLOOKUP(Tabla6[[#This Row],[ID CLIENTE]],'RESUMEN CLIENTES'!D:D,'RESUMEN CLIENTES'!A:A)</f>
        <v>María Fernanda Cid Ramírez</v>
      </c>
      <c r="C721" t="str">
        <f>+_xlfn.XLOOKUP(Tabla6[[#This Row],[ID CLIENTE]],'RESUMEN CLIENTES'!D:D,'RESUMEN CLIENTES'!C:C)</f>
        <v>México</v>
      </c>
      <c r="D721" s="44" t="str">
        <f>+_xlfn.XLOOKUP(Tabla6[[#This Row],[ID CLIENTE]],'RESUMEN CLIENTES'!D:D,'RESUMEN CLIENTES'!M:M)</f>
        <v>OK</v>
      </c>
      <c r="E721" s="71">
        <f>+_xlfn.XLOOKUP(Tabla6[[#This Row],[NOMBRE]],'RESUMEN CLIENTES'!A:A,'RESUMEN CLIENTES'!X:X)</f>
        <v>-0.8571428571428571</v>
      </c>
      <c r="F721" s="71">
        <f>+_xlfn.XLOOKUP(Tabla6[[#This Row],[ID CLIENTE]],'RESUMEN CLIENTES'!D:D,'RESUMEN CLIENTES'!W:W)</f>
        <v>0</v>
      </c>
      <c r="G721" s="17">
        <v>45996</v>
      </c>
      <c r="H721" s="169" t="s">
        <v>81</v>
      </c>
      <c r="I721" s="2">
        <v>500</v>
      </c>
      <c r="J721" s="20" t="s">
        <v>1615</v>
      </c>
      <c r="K721" t="s">
        <v>1616</v>
      </c>
      <c r="L721" s="44" t="str" cm="1">
        <f t="array" ref="L721">+_xlfn.IFS(COUNTIF(INGRESOS!E:E,Tabla6[[#This Row],[ID FACTURA]])=1,"PAGADA",Tabla6[[#This Row],[ID FACTURA]]&lt;&gt;0,"EMITIDA",Tabla6[[#This Row],[ID FACTURA]]=0,"POR EMITIR")</f>
        <v>PAGADA</v>
      </c>
      <c r="M721" s="55">
        <f>+IF(Tabla6[[#This Row],[ESTADO FACTURA]]="PAGADA",Tabla6[[#This Row],[FECHA]]-_xlfn.XLOOKUP(Tabla6[[#This Row],[N° FACTURA]],INGRESOS!F:F,INGRESOS!A:A),"-")</f>
        <v>-1</v>
      </c>
      <c r="N721" s="2"/>
      <c r="O721"/>
    </row>
    <row r="722" spans="1:15" ht="14.75" customHeight="1">
      <c r="A722" s="320" t="s">
        <v>1551</v>
      </c>
      <c r="B722" t="str">
        <f>+_xlfn.XLOOKUP(Tabla6[[#This Row],[ID CLIENTE]],'RESUMEN CLIENTES'!D:D,'RESUMEN CLIENTES'!A:A)</f>
        <v>María Fernanda Cid Ramírez</v>
      </c>
      <c r="C722" t="str">
        <f>+_xlfn.XLOOKUP(Tabla6[[#This Row],[ID CLIENTE]],'RESUMEN CLIENTES'!D:D,'RESUMEN CLIENTES'!C:C)</f>
        <v>México</v>
      </c>
      <c r="D722" s="44" t="str">
        <f>+_xlfn.XLOOKUP(Tabla6[[#This Row],[ID CLIENTE]],'RESUMEN CLIENTES'!D:D,'RESUMEN CLIENTES'!M:M)</f>
        <v>OK</v>
      </c>
      <c r="E722" s="71">
        <f>+_xlfn.XLOOKUP(Tabla6[[#This Row],[NOMBRE]],'RESUMEN CLIENTES'!A:A,'RESUMEN CLIENTES'!X:X)</f>
        <v>-0.8571428571428571</v>
      </c>
      <c r="F722" s="71">
        <f>+_xlfn.XLOOKUP(Tabla6[[#This Row],[ID CLIENTE]],'RESUMEN CLIENTES'!D:D,'RESUMEN CLIENTES'!W:W)</f>
        <v>0</v>
      </c>
      <c r="G722" s="17">
        <v>45996</v>
      </c>
      <c r="H722" s="169" t="s">
        <v>81</v>
      </c>
      <c r="I722" s="2">
        <v>1000</v>
      </c>
      <c r="J722" s="20" t="s">
        <v>1617</v>
      </c>
      <c r="K722" t="s">
        <v>1618</v>
      </c>
      <c r="L722" s="44" t="str" cm="1">
        <f t="array" ref="L722">+_xlfn.IFS(COUNTIF(INGRESOS!E:E,Tabla6[[#This Row],[ID FACTURA]])=1,"PAGADA",Tabla6[[#This Row],[ID FACTURA]]&lt;&gt;0,"EMITIDA",Tabla6[[#This Row],[ID FACTURA]]=0,"POR EMITIR")</f>
        <v>PAGADA</v>
      </c>
      <c r="M722" s="55">
        <f>+IF(Tabla6[[#This Row],[ESTADO FACTURA]]="PAGADA",Tabla6[[#This Row],[FECHA]]-_xlfn.XLOOKUP(Tabla6[[#This Row],[N° FACTURA]],INGRESOS!F:F,INGRESOS!A:A),"-")</f>
        <v>-3</v>
      </c>
      <c r="N722" s="2"/>
      <c r="O722"/>
    </row>
    <row r="723" spans="1:15" ht="14.75" customHeight="1">
      <c r="A723" s="320" t="s">
        <v>1551</v>
      </c>
      <c r="B723" t="str">
        <f>+_xlfn.XLOOKUP(Tabla6[[#This Row],[ID CLIENTE]],'RESUMEN CLIENTES'!D:D,'RESUMEN CLIENTES'!A:A)</f>
        <v>María Fernanda Cid Ramírez</v>
      </c>
      <c r="C723" t="str">
        <f>+_xlfn.XLOOKUP(Tabla6[[#This Row],[ID CLIENTE]],'RESUMEN CLIENTES'!D:D,'RESUMEN CLIENTES'!C:C)</f>
        <v>México</v>
      </c>
      <c r="D723" s="44" t="str">
        <f>+_xlfn.XLOOKUP(Tabla6[[#This Row],[ID CLIENTE]],'RESUMEN CLIENTES'!D:D,'RESUMEN CLIENTES'!M:M)</f>
        <v>OK</v>
      </c>
      <c r="E723" s="71">
        <f>+_xlfn.XLOOKUP(Tabla6[[#This Row],[NOMBRE]],'RESUMEN CLIENTES'!A:A,'RESUMEN CLIENTES'!X:X)</f>
        <v>-0.8571428571428571</v>
      </c>
      <c r="F723" s="71">
        <f>+_xlfn.XLOOKUP(Tabla6[[#This Row],[ID CLIENTE]],'RESUMEN CLIENTES'!D:D,'RESUMEN CLIENTES'!W:W)</f>
        <v>0</v>
      </c>
      <c r="G723" s="17">
        <v>45996</v>
      </c>
      <c r="H723" s="169" t="s">
        <v>81</v>
      </c>
      <c r="I723" s="2">
        <v>1250</v>
      </c>
      <c r="J723" s="20" t="s">
        <v>1613</v>
      </c>
      <c r="K723" t="s">
        <v>1614</v>
      </c>
      <c r="L723" s="44" t="str" cm="1">
        <f t="array" ref="L723">+_xlfn.IFS(COUNTIF(INGRESOS!E:E,Tabla6[[#This Row],[ID FACTURA]])=1,"PAGADA",Tabla6[[#This Row],[ID FACTURA]]&lt;&gt;0,"EMITIDA",Tabla6[[#This Row],[ID FACTURA]]=0,"POR EMITIR")</f>
        <v>PAGADA</v>
      </c>
      <c r="M723" s="55">
        <f>+IF(Tabla6[[#This Row],[ESTADO FACTURA]]="PAGADA",Tabla6[[#This Row],[FECHA]]-_xlfn.XLOOKUP(Tabla6[[#This Row],[N° FACTURA]],INGRESOS!F:F,INGRESOS!A:A),"-")</f>
        <v>0</v>
      </c>
      <c r="N723" s="2"/>
      <c r="O723"/>
    </row>
    <row r="724" spans="1:15" ht="14.75" customHeight="1">
      <c r="A724" s="320" t="s">
        <v>1155</v>
      </c>
      <c r="B724" t="str">
        <f>+_xlfn.XLOOKUP(Tabla6[[#This Row],[ID CLIENTE]],'RESUMEN CLIENTES'!D:D,'RESUMEN CLIENTES'!A:A)</f>
        <v>Mario Arciga Casián</v>
      </c>
      <c r="C724" t="str">
        <f>+_xlfn.XLOOKUP(Tabla6[[#This Row],[ID CLIENTE]],'RESUMEN CLIENTES'!D:D,'RESUMEN CLIENTES'!C:C)</f>
        <v>México</v>
      </c>
      <c r="D724" s="44" t="str">
        <f>+_xlfn.XLOOKUP(Tabla6[[#This Row],[ID CLIENTE]],'RESUMEN CLIENTES'!D:D,'RESUMEN CLIENTES'!M:M)</f>
        <v>OK</v>
      </c>
      <c r="E724" s="72">
        <f>+_xlfn.XLOOKUP(Tabla6[[#This Row],[NOMBRE]],'RESUMEN CLIENTES'!A:A,'RESUMEN CLIENTES'!X:X)</f>
        <v>-0.66666666666666663</v>
      </c>
      <c r="F724" s="72">
        <f>+_xlfn.XLOOKUP(Tabla6[[#This Row],[ID CLIENTE]],'RESUMEN CLIENTES'!D:D,'RESUMEN CLIENTES'!W:W)</f>
        <v>1</v>
      </c>
      <c r="G724" s="17">
        <v>45996</v>
      </c>
      <c r="H724" s="44" t="s">
        <v>81</v>
      </c>
      <c r="I724" s="2">
        <v>1000</v>
      </c>
      <c r="J724" s="20" t="s">
        <v>1619</v>
      </c>
      <c r="K724" t="s">
        <v>1620</v>
      </c>
      <c r="L724" s="44" t="str" cm="1">
        <f t="array" ref="L724">+_xlfn.IFS(COUNTIF(INGRESOS!E:E,Tabla6[[#This Row],[ID FACTURA]])=1,"PAGADA",Tabla6[[#This Row],[ID FACTURA]]&lt;&gt;0,"EMITIDA",Tabla6[[#This Row],[ID FACTURA]]=0,"POR EMITIR")</f>
        <v>PAGADA</v>
      </c>
      <c r="M724" s="55">
        <f>+IF(Tabla6[[#This Row],[ESTADO FACTURA]]="PAGADA",Tabla6[[#This Row],[FECHA]]-_xlfn.XLOOKUP(Tabla6[[#This Row],[N° FACTURA]],INGRESOS!F:F,INGRESOS!A:A),"-")</f>
        <v>-1</v>
      </c>
      <c r="N724" s="2"/>
      <c r="O724"/>
    </row>
    <row r="725" spans="1:15" ht="14.75" customHeight="1">
      <c r="A725" s="320" t="s">
        <v>129</v>
      </c>
      <c r="B725" t="str">
        <f>+_xlfn.XLOOKUP(Tabla6[[#This Row],[ID CLIENTE]],'RESUMEN CLIENTES'!D:D,'RESUMEN CLIENTES'!A:A)</f>
        <v>Moira Millaray Schneider Rivera</v>
      </c>
      <c r="C725" t="str">
        <f>+_xlfn.XLOOKUP(Tabla6[[#This Row],[ID CLIENTE]],'RESUMEN CLIENTES'!D:D,'RESUMEN CLIENTES'!C:C)</f>
        <v>Chile</v>
      </c>
      <c r="D725" s="44" t="str">
        <f>+_xlfn.XLOOKUP(Tabla6[[#This Row],[ID CLIENTE]],'RESUMEN CLIENTES'!D:D,'RESUMEN CLIENTES'!M:M)</f>
        <v>OK</v>
      </c>
      <c r="E725" s="72">
        <f>+_xlfn.XLOOKUP(Tabla6[[#This Row],[NOMBRE]],'RESUMEN CLIENTES'!A:A,'RESUMEN CLIENTES'!X:X)</f>
        <v>0</v>
      </c>
      <c r="F725" s="72">
        <f>+_xlfn.XLOOKUP(Tabla6[[#This Row],[ID CLIENTE]],'RESUMEN CLIENTES'!D:D,'RESUMEN CLIENTES'!W:W)</f>
        <v>1</v>
      </c>
      <c r="G725" s="17">
        <v>45996</v>
      </c>
      <c r="H725" s="44" t="s">
        <v>81</v>
      </c>
      <c r="I725" s="2">
        <v>1000</v>
      </c>
      <c r="J725" s="20" t="s">
        <v>1621</v>
      </c>
      <c r="K725" t="s">
        <v>1622</v>
      </c>
      <c r="L725" s="44" t="str" cm="1">
        <f t="array" ref="L725">+_xlfn.IFS(COUNTIF(INGRESOS!E:E,Tabla6[[#This Row],[ID FACTURA]])=1,"PAGADA",Tabla6[[#This Row],[ID FACTURA]]&lt;&gt;0,"EMITIDA",Tabla6[[#This Row],[ID FACTURA]]=0,"POR EMITIR")</f>
        <v>PAGADA</v>
      </c>
      <c r="M725" s="55">
        <f>+IF(Tabla6[[#This Row],[ESTADO FACTURA]]="PAGADA",Tabla6[[#This Row],[FECHA]]-_xlfn.XLOOKUP(Tabla6[[#This Row],[N° FACTURA]],INGRESOS!F:F,INGRESOS!A:A),"-")</f>
        <v>1</v>
      </c>
      <c r="N725" s="2"/>
      <c r="O725"/>
    </row>
    <row r="726" spans="1:15" ht="14.75" customHeight="1">
      <c r="A726" s="320" t="s">
        <v>159</v>
      </c>
      <c r="B726" t="str">
        <f>+_xlfn.XLOOKUP(Tabla6[[#This Row],[ID CLIENTE]],'RESUMEN CLIENTES'!D:D,'RESUMEN CLIENTES'!A:A)</f>
        <v>Rodrigo Rivera Ruiz</v>
      </c>
      <c r="C726" t="str">
        <f>+_xlfn.XLOOKUP(Tabla6[[#This Row],[ID CLIENTE]],'RESUMEN CLIENTES'!D:D,'RESUMEN CLIENTES'!C:C)</f>
        <v>Chile</v>
      </c>
      <c r="D726" s="44" t="str">
        <f>+_xlfn.XLOOKUP(Tabla6[[#This Row],[ID CLIENTE]],'RESUMEN CLIENTES'!D:D,'RESUMEN CLIENTES'!M:M)</f>
        <v>OK</v>
      </c>
      <c r="E726" s="72">
        <f>+_xlfn.XLOOKUP(Tabla6[[#This Row],[NOMBRE]],'RESUMEN CLIENTES'!A:A,'RESUMEN CLIENTES'!X:X)</f>
        <v>0.8</v>
      </c>
      <c r="F726" s="72">
        <f>+_xlfn.XLOOKUP(Tabla6[[#This Row],[ID CLIENTE]],'RESUMEN CLIENTES'!D:D,'RESUMEN CLIENTES'!W:W)</f>
        <v>1</v>
      </c>
      <c r="G726" s="17">
        <v>45996</v>
      </c>
      <c r="H726" s="44" t="s">
        <v>81</v>
      </c>
      <c r="I726" s="2">
        <v>1000</v>
      </c>
      <c r="J726" s="20" t="s">
        <v>1623</v>
      </c>
      <c r="K726" t="s">
        <v>1624</v>
      </c>
      <c r="L726" s="44" t="str" cm="1">
        <f t="array" ref="L726">+_xlfn.IFS(COUNTIF(INGRESOS!E:E,Tabla6[[#This Row],[ID FACTURA]])=1,"PAGADA",Tabla6[[#This Row],[ID FACTURA]]&lt;&gt;0,"EMITIDA",Tabla6[[#This Row],[ID FACTURA]]=0,"POR EMITIR")</f>
        <v>PAGADA</v>
      </c>
      <c r="M726" s="55">
        <f>+IF(Tabla6[[#This Row],[ESTADO FACTURA]]="PAGADA",Tabla6[[#This Row],[FECHA]]-_xlfn.XLOOKUP(Tabla6[[#This Row],[N° FACTURA]],INGRESOS!F:F,INGRESOS!A:A),"-")</f>
        <v>3</v>
      </c>
      <c r="N726" s="2"/>
      <c r="O726"/>
    </row>
    <row r="727" spans="1:15" ht="14.75" customHeight="1">
      <c r="A727" s="320" t="s">
        <v>281</v>
      </c>
      <c r="B727" t="str">
        <f>+_xlfn.XLOOKUP(Tabla6[[#This Row],[ID CLIENTE]],'RESUMEN CLIENTES'!D:D,'RESUMEN CLIENTES'!A:A)</f>
        <v>Sergio Francisco Garcia Sandoval</v>
      </c>
      <c r="C727" t="str">
        <f>+_xlfn.XLOOKUP(Tabla6[[#This Row],[ID CLIENTE]],'RESUMEN CLIENTES'!D:D,'RESUMEN CLIENTES'!C:C)</f>
        <v>Perú</v>
      </c>
      <c r="D727" s="44" t="str">
        <f>+_xlfn.XLOOKUP(Tabla6[[#This Row],[ID CLIENTE]],'RESUMEN CLIENTES'!D:D,'RESUMEN CLIENTES'!M:M)</f>
        <v>OK</v>
      </c>
      <c r="E727" s="72">
        <f>+_xlfn.XLOOKUP(Tabla6[[#This Row],[NOMBRE]],'RESUMEN CLIENTES'!A:A,'RESUMEN CLIENTES'!X:X)</f>
        <v>0.88888888888888884</v>
      </c>
      <c r="F727" s="72">
        <f>+_xlfn.XLOOKUP(Tabla6[[#This Row],[ID CLIENTE]],'RESUMEN CLIENTES'!D:D,'RESUMEN CLIENTES'!W:W)</f>
        <v>1</v>
      </c>
      <c r="G727" s="17">
        <v>45996</v>
      </c>
      <c r="H727" s="44" t="s">
        <v>81</v>
      </c>
      <c r="I727" s="2">
        <v>350</v>
      </c>
      <c r="J727" s="20" t="s">
        <v>1625</v>
      </c>
      <c r="K727" t="s">
        <v>1626</v>
      </c>
      <c r="L727" s="44" t="str" cm="1">
        <f t="array" ref="L727">+_xlfn.IFS(COUNTIF(INGRESOS!E:E,Tabla6[[#This Row],[ID FACTURA]])=1,"PAGADA",Tabla6[[#This Row],[ID FACTURA]]&lt;&gt;0,"EMITIDA",Tabla6[[#This Row],[ID FACTURA]]=0,"POR EMITIR")</f>
        <v>PAGADA</v>
      </c>
      <c r="M727" s="55">
        <f>+IF(Tabla6[[#This Row],[ESTADO FACTURA]]="PAGADA",Tabla6[[#This Row],[FECHA]]-_xlfn.XLOOKUP(Tabla6[[#This Row],[N° FACTURA]],INGRESOS!F:F,INGRESOS!A:A),"-")</f>
        <v>3</v>
      </c>
      <c r="N727" s="2"/>
      <c r="O727"/>
    </row>
    <row r="728" spans="1:15" ht="14.75" customHeight="1">
      <c r="A728" s="320" t="s">
        <v>178</v>
      </c>
      <c r="B728" t="str">
        <f>+_xlfn.XLOOKUP(Tabla6[[#This Row],[ID CLIENTE]],'RESUMEN CLIENTES'!D:D,'RESUMEN CLIENTES'!A:A)</f>
        <v>Sven Sigurd Biedermann Aberg</v>
      </c>
      <c r="C728" t="str">
        <f>+_xlfn.XLOOKUP(Tabla6[[#This Row],[ID CLIENTE]],'RESUMEN CLIENTES'!D:D,'RESUMEN CLIENTES'!C:C)</f>
        <v>Chile</v>
      </c>
      <c r="D728" s="44" t="str">
        <f>+_xlfn.XLOOKUP(Tabla6[[#This Row],[ID CLIENTE]],'RESUMEN CLIENTES'!D:D,'RESUMEN CLIENTES'!M:M)</f>
        <v>OK</v>
      </c>
      <c r="E728" s="72">
        <f>+_xlfn.XLOOKUP(Tabla6[[#This Row],[NOMBRE]],'RESUMEN CLIENTES'!A:A,'RESUMEN CLIENTES'!X:X)</f>
        <v>-0.33333333333333331</v>
      </c>
      <c r="F728" s="72">
        <f>+_xlfn.XLOOKUP(Tabla6[[#This Row],[ID CLIENTE]],'RESUMEN CLIENTES'!D:D,'RESUMEN CLIENTES'!W:W)</f>
        <v>0</v>
      </c>
      <c r="G728" s="17">
        <v>45996</v>
      </c>
      <c r="H728" s="44" t="s">
        <v>81</v>
      </c>
      <c r="I728" s="2">
        <v>4000</v>
      </c>
      <c r="J728" s="20" t="s">
        <v>1627</v>
      </c>
      <c r="K728" t="s">
        <v>1628</v>
      </c>
      <c r="L728" s="44" t="str" cm="1">
        <f t="array" ref="L728">+_xlfn.IFS(COUNTIF(INGRESOS!E:E,Tabla6[[#This Row],[ID FACTURA]])=1,"PAGADA",Tabla6[[#This Row],[ID FACTURA]]&lt;&gt;0,"EMITIDA",Tabla6[[#This Row],[ID FACTURA]]=0,"POR EMITIR")</f>
        <v>PAGADA</v>
      </c>
      <c r="M728" s="55">
        <f>+IF(Tabla6[[#This Row],[ESTADO FACTURA]]="PAGADA",Tabla6[[#This Row],[FECHA]]-_xlfn.XLOOKUP(Tabla6[[#This Row],[N° FACTURA]],INGRESOS!F:F,INGRESOS!A:A),"-")</f>
        <v>-1</v>
      </c>
      <c r="N728" s="2"/>
      <c r="O728"/>
    </row>
    <row r="729" spans="1:15" ht="14.75" customHeight="1">
      <c r="A729" s="320" t="s">
        <v>112</v>
      </c>
      <c r="B729" t="str">
        <f>+_xlfn.XLOOKUP(Tabla6[[#This Row],[ID CLIENTE]],'RESUMEN CLIENTES'!D:D,'RESUMEN CLIENTES'!A:A)</f>
        <v>Victor Emanuel Hernández Ruíz</v>
      </c>
      <c r="C729" t="str">
        <f>+_xlfn.XLOOKUP(Tabla6[[#This Row],[ID CLIENTE]],'RESUMEN CLIENTES'!D:D,'RESUMEN CLIENTES'!C:C)</f>
        <v>México</v>
      </c>
      <c r="D729" s="44" t="str">
        <f>+_xlfn.XLOOKUP(Tabla6[[#This Row],[ID CLIENTE]],'RESUMEN CLIENTES'!D:D,'RESUMEN CLIENTES'!M:M)</f>
        <v>OK</v>
      </c>
      <c r="E729" s="72">
        <f>+_xlfn.XLOOKUP(Tabla6[[#This Row],[NOMBRE]],'RESUMEN CLIENTES'!A:A,'RESUMEN CLIENTES'!X:X)</f>
        <v>-1.2727272727272727</v>
      </c>
      <c r="F729" s="72">
        <f>+_xlfn.XLOOKUP(Tabla6[[#This Row],[ID CLIENTE]],'RESUMEN CLIENTES'!D:D,'RESUMEN CLIENTES'!W:W)</f>
        <v>1</v>
      </c>
      <c r="G729" s="17">
        <v>45996</v>
      </c>
      <c r="H729" s="44" t="s">
        <v>81</v>
      </c>
      <c r="I729" s="2">
        <v>800</v>
      </c>
      <c r="J729" s="20" t="s">
        <v>1629</v>
      </c>
      <c r="K729" t="s">
        <v>1630</v>
      </c>
      <c r="L729" s="44" t="str" cm="1">
        <f t="array" ref="L729">+_xlfn.IFS(COUNTIF(INGRESOS!E:E,Tabla6[[#This Row],[ID FACTURA]])=1,"PAGADA",Tabla6[[#This Row],[ID FACTURA]]&lt;&gt;0,"EMITIDA",Tabla6[[#This Row],[ID FACTURA]]=0,"POR EMITIR")</f>
        <v>PAGADA</v>
      </c>
      <c r="M729" s="55">
        <f>+IF(Tabla6[[#This Row],[ESTADO FACTURA]]="PAGADA",Tabla6[[#This Row],[FECHA]]-_xlfn.XLOOKUP(Tabla6[[#This Row],[N° FACTURA]],INGRESOS!F:F,INGRESOS!A:A),"-")</f>
        <v>-3</v>
      </c>
      <c r="N729" s="2"/>
      <c r="O729"/>
    </row>
    <row r="730" spans="1:15" ht="14.75" customHeight="1">
      <c r="A730" s="320" t="s">
        <v>904</v>
      </c>
      <c r="B730" t="str">
        <f>+_xlfn.XLOOKUP(Tabla6[[#This Row],[ID CLIENTE]],'RESUMEN CLIENTES'!D:D,'RESUMEN CLIENTES'!A:A)</f>
        <v>Armando Josmarx Suárez Solis</v>
      </c>
      <c r="C730" t="str">
        <f>+_xlfn.XLOOKUP(Tabla6[[#This Row],[ID CLIENTE]],'RESUMEN CLIENTES'!D:D,'RESUMEN CLIENTES'!C:C)</f>
        <v>Nicaragua</v>
      </c>
      <c r="D730" s="44" t="str">
        <f>+_xlfn.XLOOKUP(Tabla6[[#This Row],[ID CLIENTE]],'RESUMEN CLIENTES'!D:D,'RESUMEN CLIENTES'!M:M)</f>
        <v>OK</v>
      </c>
      <c r="E730" s="72">
        <f>+_xlfn.XLOOKUP(Tabla6[[#This Row],[NOMBRE]],'RESUMEN CLIENTES'!A:A,'RESUMEN CLIENTES'!X:X)</f>
        <v>0.5625</v>
      </c>
      <c r="F730" s="72">
        <f>+_xlfn.XLOOKUP(Tabla6[[#This Row],[ID CLIENTE]],'RESUMEN CLIENTES'!D:D,'RESUMEN CLIENTES'!W:W)</f>
        <v>1</v>
      </c>
      <c r="G730" s="17">
        <v>45997</v>
      </c>
      <c r="H730" s="44" t="s">
        <v>81</v>
      </c>
      <c r="I730" s="2">
        <v>925</v>
      </c>
      <c r="J730" s="20" t="s">
        <v>1631</v>
      </c>
      <c r="K730" t="s">
        <v>1632</v>
      </c>
      <c r="L730" s="44" t="str" cm="1">
        <f t="array" ref="L730">+_xlfn.IFS(COUNTIF(INGRESOS!E:E,Tabla6[[#This Row],[ID FACTURA]])=1,"PAGADA",Tabla6[[#This Row],[ID FACTURA]]&lt;&gt;0,"EMITIDA",Tabla6[[#This Row],[ID FACTURA]]=0,"POR EMITIR")</f>
        <v>PAGADA</v>
      </c>
      <c r="M730" s="55">
        <f>+IF(Tabla6[[#This Row],[ESTADO FACTURA]]="PAGADA",Tabla6[[#This Row],[FECHA]]-_xlfn.XLOOKUP(Tabla6[[#This Row],[N° FACTURA]],INGRESOS!F:F,INGRESOS!A:A),"-")</f>
        <v>2</v>
      </c>
      <c r="N730" s="2"/>
      <c r="O730"/>
    </row>
    <row r="731" spans="1:15" ht="14.75" customHeight="1">
      <c r="A731" s="320" t="s">
        <v>904</v>
      </c>
      <c r="B731" t="str">
        <f>+_xlfn.XLOOKUP(Tabla6[[#This Row],[ID CLIENTE]],'RESUMEN CLIENTES'!D:D,'RESUMEN CLIENTES'!A:A)</f>
        <v>Armando Josmarx Suárez Solis</v>
      </c>
      <c r="C731" t="str">
        <f>+_xlfn.XLOOKUP(Tabla6[[#This Row],[ID CLIENTE]],'RESUMEN CLIENTES'!D:D,'RESUMEN CLIENTES'!C:C)</f>
        <v>Nicaragua</v>
      </c>
      <c r="D731" s="44" t="str">
        <f>+_xlfn.XLOOKUP(Tabla6[[#This Row],[ID CLIENTE]],'RESUMEN CLIENTES'!D:D,'RESUMEN CLIENTES'!M:M)</f>
        <v>OK</v>
      </c>
      <c r="E731" s="72">
        <f>+_xlfn.XLOOKUP(Tabla6[[#This Row],[NOMBRE]],'RESUMEN CLIENTES'!A:A,'RESUMEN CLIENTES'!X:X)</f>
        <v>0.5625</v>
      </c>
      <c r="F731" s="72">
        <f>+_xlfn.XLOOKUP(Tabla6[[#This Row],[ID CLIENTE]],'RESUMEN CLIENTES'!D:D,'RESUMEN CLIENTES'!W:W)</f>
        <v>1</v>
      </c>
      <c r="G731" s="17">
        <v>45997</v>
      </c>
      <c r="H731" s="44" t="s">
        <v>81</v>
      </c>
      <c r="I731" s="2">
        <v>925</v>
      </c>
      <c r="J731" s="20" t="s">
        <v>1633</v>
      </c>
      <c r="K731" t="s">
        <v>1634</v>
      </c>
      <c r="L731" s="44" t="str" cm="1">
        <f t="array" ref="L731">+_xlfn.IFS(COUNTIF(INGRESOS!E:E,Tabla6[[#This Row],[ID FACTURA]])=1,"PAGADA",Tabla6[[#This Row],[ID FACTURA]]&lt;&gt;0,"EMITIDA",Tabla6[[#This Row],[ID FACTURA]]=0,"POR EMITIR")</f>
        <v>PAGADA</v>
      </c>
      <c r="M731" s="55">
        <f>+IF(Tabla6[[#This Row],[ESTADO FACTURA]]="PAGADA",Tabla6[[#This Row],[FECHA]]-_xlfn.XLOOKUP(Tabla6[[#This Row],[N° FACTURA]],INGRESOS!F:F,INGRESOS!A:A),"-")</f>
        <v>2</v>
      </c>
      <c r="N731" s="2"/>
      <c r="O731"/>
    </row>
    <row r="732" spans="1:15" ht="14.75" customHeight="1">
      <c r="A732" s="320" t="s">
        <v>904</v>
      </c>
      <c r="B732" t="str">
        <f>+_xlfn.XLOOKUP(Tabla6[[#This Row],[ID CLIENTE]],'RESUMEN CLIENTES'!D:D,'RESUMEN CLIENTES'!A:A)</f>
        <v>Armando Josmarx Suárez Solis</v>
      </c>
      <c r="C732" t="str">
        <f>+_xlfn.XLOOKUP(Tabla6[[#This Row],[ID CLIENTE]],'RESUMEN CLIENTES'!D:D,'RESUMEN CLIENTES'!C:C)</f>
        <v>Nicaragua</v>
      </c>
      <c r="D732" s="44" t="str">
        <f>+_xlfn.XLOOKUP(Tabla6[[#This Row],[ID CLIENTE]],'RESUMEN CLIENTES'!D:D,'RESUMEN CLIENTES'!M:M)</f>
        <v>OK</v>
      </c>
      <c r="E732" s="72">
        <f>+_xlfn.XLOOKUP(Tabla6[[#This Row],[NOMBRE]],'RESUMEN CLIENTES'!A:A,'RESUMEN CLIENTES'!X:X)</f>
        <v>0.5625</v>
      </c>
      <c r="F732" s="72">
        <f>+_xlfn.XLOOKUP(Tabla6[[#This Row],[ID CLIENTE]],'RESUMEN CLIENTES'!D:D,'RESUMEN CLIENTES'!W:W)</f>
        <v>1</v>
      </c>
      <c r="G732" s="17">
        <v>45997</v>
      </c>
      <c r="H732" s="44" t="s">
        <v>81</v>
      </c>
      <c r="I732" s="2">
        <v>925</v>
      </c>
      <c r="J732" s="20" t="s">
        <v>1635</v>
      </c>
      <c r="K732" t="s">
        <v>1636</v>
      </c>
      <c r="L732" s="44" t="str" cm="1">
        <f t="array" ref="L732">+_xlfn.IFS(COUNTIF(INGRESOS!E:E,Tabla6[[#This Row],[ID FACTURA]])=1,"PAGADA",Tabla6[[#This Row],[ID FACTURA]]&lt;&gt;0,"EMITIDA",Tabla6[[#This Row],[ID FACTURA]]=0,"POR EMITIR")</f>
        <v>PAGADA</v>
      </c>
      <c r="M732" s="55">
        <f>+IF(Tabla6[[#This Row],[ESTADO FACTURA]]="PAGADA",Tabla6[[#This Row],[FECHA]]-_xlfn.XLOOKUP(Tabla6[[#This Row],[N° FACTURA]],INGRESOS!F:F,INGRESOS!A:A),"-")</f>
        <v>2</v>
      </c>
      <c r="N732" s="2"/>
      <c r="O732"/>
    </row>
    <row r="733" spans="1:15" ht="15" customHeight="1">
      <c r="A733" s="320" t="s">
        <v>904</v>
      </c>
      <c r="B733" t="str">
        <f>+_xlfn.XLOOKUP(Tabla6[[#This Row],[ID CLIENTE]],'RESUMEN CLIENTES'!D:D,'RESUMEN CLIENTES'!A:A)</f>
        <v>Armando Josmarx Suárez Solis</v>
      </c>
      <c r="C733" t="str">
        <f>+_xlfn.XLOOKUP(Tabla6[[#This Row],[ID CLIENTE]],'RESUMEN CLIENTES'!D:D,'RESUMEN CLIENTES'!C:C)</f>
        <v>Nicaragua</v>
      </c>
      <c r="D733" s="44" t="str">
        <f>+_xlfn.XLOOKUP(Tabla6[[#This Row],[ID CLIENTE]],'RESUMEN CLIENTES'!D:D,'RESUMEN CLIENTES'!M:M)</f>
        <v>OK</v>
      </c>
      <c r="E733" s="72">
        <f>+_xlfn.XLOOKUP(Tabla6[[#This Row],[NOMBRE]],'RESUMEN CLIENTES'!A:A,'RESUMEN CLIENTES'!X:X)</f>
        <v>0.5625</v>
      </c>
      <c r="F733" s="72">
        <f>+_xlfn.XLOOKUP(Tabla6[[#This Row],[ID CLIENTE]],'RESUMEN CLIENTES'!D:D,'RESUMEN CLIENTES'!W:W)</f>
        <v>1</v>
      </c>
      <c r="G733" s="17">
        <v>45997</v>
      </c>
      <c r="H733" s="44" t="s">
        <v>81</v>
      </c>
      <c r="I733" s="2">
        <v>925</v>
      </c>
      <c r="J733" s="20" t="s">
        <v>1637</v>
      </c>
      <c r="K733" t="s">
        <v>1638</v>
      </c>
      <c r="L733" s="44" t="str" cm="1">
        <f t="array" ref="L733">+_xlfn.IFS(COUNTIF(INGRESOS!E:E,Tabla6[[#This Row],[ID FACTURA]])=1,"PAGADA",Tabla6[[#This Row],[ID FACTURA]]&lt;&gt;0,"EMITIDA",Tabla6[[#This Row],[ID FACTURA]]=0,"POR EMITIR")</f>
        <v>PAGADA</v>
      </c>
      <c r="M733" s="55">
        <f>+IF(Tabla6[[#This Row],[ESTADO FACTURA]]="PAGADA",Tabla6[[#This Row],[FECHA]]-_xlfn.XLOOKUP(Tabla6[[#This Row],[N° FACTURA]],INGRESOS!F:F,INGRESOS!A:A),"-")</f>
        <v>2</v>
      </c>
      <c r="N733" s="2"/>
      <c r="O733"/>
    </row>
    <row r="734" spans="1:15" ht="14.75" customHeight="1">
      <c r="A734" s="320" t="s">
        <v>907</v>
      </c>
      <c r="B734" t="str">
        <f>+_xlfn.XLOOKUP(Tabla6[[#This Row],[ID CLIENTE]],'RESUMEN CLIENTES'!D:D,'RESUMEN CLIENTES'!A:A)</f>
        <v>Luis Carlos Villa Cortés</v>
      </c>
      <c r="C734" t="str">
        <f>+_xlfn.XLOOKUP(Tabla6[[#This Row],[ID CLIENTE]],'RESUMEN CLIENTES'!D:D,'RESUMEN CLIENTES'!C:C)</f>
        <v>México</v>
      </c>
      <c r="D734" s="44" t="str">
        <f>+_xlfn.XLOOKUP(Tabla6[[#This Row],[ID CLIENTE]],'RESUMEN CLIENTES'!D:D,'RESUMEN CLIENTES'!M:M)</f>
        <v>OK</v>
      </c>
      <c r="E734" s="72">
        <f>+_xlfn.XLOOKUP(Tabla6[[#This Row],[NOMBRE]],'RESUMEN CLIENTES'!A:A,'RESUMEN CLIENTES'!X:X)</f>
        <v>0</v>
      </c>
      <c r="F734" s="72">
        <f>+_xlfn.XLOOKUP(Tabla6[[#This Row],[ID CLIENTE]],'RESUMEN CLIENTES'!D:D,'RESUMEN CLIENTES'!W:W)</f>
        <v>1</v>
      </c>
      <c r="G734" s="17">
        <v>45997</v>
      </c>
      <c r="H734" s="44" t="s">
        <v>81</v>
      </c>
      <c r="I734" s="2">
        <v>1000</v>
      </c>
      <c r="J734" s="20" t="s">
        <v>1639</v>
      </c>
      <c r="K734" t="s">
        <v>1640</v>
      </c>
      <c r="L734" s="44" t="str" cm="1">
        <f t="array" ref="L734">+_xlfn.IFS(COUNTIF(INGRESOS!E:E,Tabla6[[#This Row],[ID FACTURA]])=1,"PAGADA",Tabla6[[#This Row],[ID FACTURA]]&lt;&gt;0,"EMITIDA",Tabla6[[#This Row],[ID FACTURA]]=0,"POR EMITIR")</f>
        <v>PAGADA</v>
      </c>
      <c r="M734" s="55">
        <f>+IF(Tabla6[[#This Row],[ESTADO FACTURA]]="PAGADA",Tabla6[[#This Row],[FECHA]]-_xlfn.XLOOKUP(Tabla6[[#This Row],[N° FACTURA]],INGRESOS!F:F,INGRESOS!A:A),"-")</f>
        <v>0</v>
      </c>
      <c r="N734" s="2"/>
      <c r="O734"/>
    </row>
    <row r="735" spans="1:15" ht="14.75" customHeight="1">
      <c r="A735" s="320" t="s">
        <v>1152</v>
      </c>
      <c r="B735" t="str">
        <f>+_xlfn.XLOOKUP(Tabla6[[#This Row],[ID CLIENTE]],'RESUMEN CLIENTES'!D:D,'RESUMEN CLIENTES'!A:A)</f>
        <v>Ricardo Ernesto Miño Valencia</v>
      </c>
      <c r="C735" t="str">
        <f>+_xlfn.XLOOKUP(Tabla6[[#This Row],[ID CLIENTE]],'RESUMEN CLIENTES'!D:D,'RESUMEN CLIENTES'!C:C)</f>
        <v>Ecuador</v>
      </c>
      <c r="D735" s="44" t="str">
        <f>+_xlfn.XLOOKUP(Tabla6[[#This Row],[ID CLIENTE]],'RESUMEN CLIENTES'!D:D,'RESUMEN CLIENTES'!M:M)</f>
        <v>OK</v>
      </c>
      <c r="E735" s="72">
        <f>+_xlfn.XLOOKUP(Tabla6[[#This Row],[NOMBRE]],'RESUMEN CLIENTES'!A:A,'RESUMEN CLIENTES'!X:X)</f>
        <v>-3.2</v>
      </c>
      <c r="F735" s="72">
        <f>+_xlfn.XLOOKUP(Tabla6[[#This Row],[ID CLIENTE]],'RESUMEN CLIENTES'!D:D,'RESUMEN CLIENTES'!W:W)</f>
        <v>1</v>
      </c>
      <c r="G735" s="17">
        <v>45997</v>
      </c>
      <c r="H735" s="44" t="s">
        <v>81</v>
      </c>
      <c r="I735" s="2">
        <v>700</v>
      </c>
      <c r="J735" s="20" t="s">
        <v>1641</v>
      </c>
      <c r="K735" t="s">
        <v>1642</v>
      </c>
      <c r="L735" s="44" t="str" cm="1">
        <f t="array" ref="L735">+_xlfn.IFS(COUNTIF(INGRESOS!E:E,Tabla6[[#This Row],[ID FACTURA]])=1,"PAGADA",Tabla6[[#This Row],[ID FACTURA]]&lt;&gt;0,"EMITIDA",Tabla6[[#This Row],[ID FACTURA]]=0,"POR EMITIR")</f>
        <v>PAGADA</v>
      </c>
      <c r="M735" s="55">
        <f>+IF(Tabla6[[#This Row],[ESTADO FACTURA]]="PAGADA",Tabla6[[#This Row],[FECHA]]-_xlfn.XLOOKUP(Tabla6[[#This Row],[N° FACTURA]],INGRESOS!F:F,INGRESOS!A:A),"-")</f>
        <v>-3</v>
      </c>
      <c r="N735" s="2"/>
      <c r="O735"/>
    </row>
    <row r="736" spans="1:15" ht="14.75" customHeight="1">
      <c r="A736" s="320" t="s">
        <v>253</v>
      </c>
      <c r="B736" t="str">
        <f>+_xlfn.XLOOKUP(Tabla6[[#This Row],[ID CLIENTE]],'RESUMEN CLIENTES'!D:D,'RESUMEN CLIENTES'!A:A)</f>
        <v>Diego Alonso Salazar Palacios</v>
      </c>
      <c r="C736" t="str">
        <f>+_xlfn.XLOOKUP(Tabla6[[#This Row],[ID CLIENTE]],'RESUMEN CLIENTES'!D:D,'RESUMEN CLIENTES'!C:C)</f>
        <v>Perú</v>
      </c>
      <c r="D736" s="44" t="str">
        <f>+_xlfn.XLOOKUP(Tabla6[[#This Row],[ID CLIENTE]],'RESUMEN CLIENTES'!D:D,'RESUMEN CLIENTES'!M:M)</f>
        <v>OK</v>
      </c>
      <c r="E736" s="72">
        <f>+_xlfn.XLOOKUP(Tabla6[[#This Row],[NOMBRE]],'RESUMEN CLIENTES'!A:A,'RESUMEN CLIENTES'!X:X)</f>
        <v>0.18560606059988707</v>
      </c>
      <c r="F736" s="72">
        <f>+_xlfn.XLOOKUP(Tabla6[[#This Row],[ID CLIENTE]],'RESUMEN CLIENTES'!D:D,'RESUMEN CLIENTES'!W:W)</f>
        <v>1</v>
      </c>
      <c r="G736" s="17">
        <v>45999</v>
      </c>
      <c r="H736" s="44" t="s">
        <v>81</v>
      </c>
      <c r="I736" s="2">
        <v>1000</v>
      </c>
      <c r="J736" s="20" t="s">
        <v>1643</v>
      </c>
      <c r="K736" t="s">
        <v>1644</v>
      </c>
      <c r="L736" s="44" t="str" cm="1">
        <f t="array" ref="L736">+_xlfn.IFS(COUNTIF(INGRESOS!E:E,Tabla6[[#This Row],[ID FACTURA]])=1,"PAGADA",Tabla6[[#This Row],[ID FACTURA]]&lt;&gt;0,"EMITIDA",Tabla6[[#This Row],[ID FACTURA]]=0,"POR EMITIR")</f>
        <v>PAGADA</v>
      </c>
      <c r="M736" s="55">
        <f>+IF(Tabla6[[#This Row],[ESTADO FACTURA]]="PAGADA",Tabla6[[#This Row],[FECHA]]-_xlfn.XLOOKUP(Tabla6[[#This Row],[N° FACTURA]],INGRESOS!F:F,INGRESOS!A:A),"-")</f>
        <v>0</v>
      </c>
      <c r="N736" s="2"/>
      <c r="O736"/>
    </row>
    <row r="737" spans="1:15" ht="14.75" customHeight="1">
      <c r="A737" s="320" t="s">
        <v>1645</v>
      </c>
      <c r="B737" t="str">
        <f>+_xlfn.XLOOKUP(Tabla6[[#This Row],[ID CLIENTE]],'RESUMEN CLIENTES'!D:D,'RESUMEN CLIENTES'!A:A)</f>
        <v>Gerardo Abel Palacios Preciado</v>
      </c>
      <c r="C737" t="str">
        <f>+_xlfn.XLOOKUP(Tabla6[[#This Row],[ID CLIENTE]],'RESUMEN CLIENTES'!D:D,'RESUMEN CLIENTES'!C:C)</f>
        <v>México</v>
      </c>
      <c r="D737" s="169" t="str">
        <f>+_xlfn.XLOOKUP(Tabla6[[#This Row],[ID CLIENTE]],'RESUMEN CLIENTES'!D:D,'RESUMEN CLIENTES'!M:M)</f>
        <v>OK</v>
      </c>
      <c r="E737" s="71">
        <f>+_xlfn.XLOOKUP(Tabla6[[#This Row],[NOMBRE]],'RESUMEN CLIENTES'!A:A,'RESUMEN CLIENTES'!X:X)</f>
        <v>-1.3333333333333333</v>
      </c>
      <c r="F737" s="71">
        <f>+_xlfn.XLOOKUP(Tabla6[[#This Row],[ID CLIENTE]],'RESUMEN CLIENTES'!D:D,'RESUMEN CLIENTES'!W:W)</f>
        <v>1</v>
      </c>
      <c r="G737" s="17">
        <v>46000</v>
      </c>
      <c r="H737" s="169" t="s">
        <v>81</v>
      </c>
      <c r="I737" s="2">
        <v>1500</v>
      </c>
      <c r="J737" s="20" t="s">
        <v>1646</v>
      </c>
      <c r="K737" t="s">
        <v>1647</v>
      </c>
      <c r="L737" s="44" t="str" cm="1">
        <f t="array" ref="L737">+_xlfn.IFS(COUNTIF(INGRESOS!E:E,Tabla6[[#This Row],[ID FACTURA]])=1,"PAGADA",Tabla6[[#This Row],[ID FACTURA]]&lt;&gt;0,"EMITIDA",Tabla6[[#This Row],[ID FACTURA]]=0,"POR EMITIR")</f>
        <v>PAGADA</v>
      </c>
      <c r="M737" s="55">
        <f>+IF(Tabla6[[#This Row],[ESTADO FACTURA]]="PAGADA",Tabla6[[#This Row],[FECHA]]-_xlfn.XLOOKUP(Tabla6[[#This Row],[N° FACTURA]],INGRESOS!F:F,INGRESOS!A:A),"-")</f>
        <v>1</v>
      </c>
      <c r="N737" s="2"/>
      <c r="O737"/>
    </row>
    <row r="738" spans="1:15" ht="14.75" customHeight="1">
      <c r="A738" s="320" t="s">
        <v>274</v>
      </c>
      <c r="B738" t="str">
        <f>+_xlfn.XLOOKUP(Tabla6[[#This Row],[ID CLIENTE]],'RESUMEN CLIENTES'!D:D,'RESUMEN CLIENTES'!A:A)</f>
        <v>María de los Ángeles Gutiérrez Quevedo</v>
      </c>
      <c r="C738" t="str">
        <f>+_xlfn.XLOOKUP(Tabla6[[#This Row],[ID CLIENTE]],'RESUMEN CLIENTES'!D:D,'RESUMEN CLIENTES'!C:C)</f>
        <v>Chile</v>
      </c>
      <c r="D738" s="44" t="str">
        <f>+_xlfn.XLOOKUP(Tabla6[[#This Row],[ID CLIENTE]],'RESUMEN CLIENTES'!D:D,'RESUMEN CLIENTES'!M:M)</f>
        <v>OK</v>
      </c>
      <c r="E738" s="72">
        <f>+_xlfn.XLOOKUP(Tabla6[[#This Row],[NOMBRE]],'RESUMEN CLIENTES'!A:A,'RESUMEN CLIENTES'!X:X)</f>
        <v>0.22222222222222221</v>
      </c>
      <c r="F738" s="72">
        <f>+_xlfn.XLOOKUP(Tabla6[[#This Row],[ID CLIENTE]],'RESUMEN CLIENTES'!D:D,'RESUMEN CLIENTES'!W:W)</f>
        <v>1</v>
      </c>
      <c r="G738" s="17">
        <v>46001</v>
      </c>
      <c r="H738" s="44" t="s">
        <v>81</v>
      </c>
      <c r="I738" s="2">
        <f>1500-(37.5)</f>
        <v>1462.5</v>
      </c>
      <c r="J738" s="20" t="s">
        <v>1648</v>
      </c>
      <c r="K738" t="s">
        <v>1649</v>
      </c>
      <c r="L738" s="44" t="str" cm="1">
        <f t="array" ref="L738">+_xlfn.IFS(COUNTIF(INGRESOS!E:E,Tabla6[[#This Row],[ID FACTURA]])=1,"PAGADA",Tabla6[[#This Row],[ID FACTURA]]&lt;&gt;0,"EMITIDA",Tabla6[[#This Row],[ID FACTURA]]=0,"POR EMITIR")</f>
        <v>PAGADA</v>
      </c>
      <c r="M738" s="55">
        <f>+IF(Tabla6[[#This Row],[ESTADO FACTURA]]="PAGADA",Tabla6[[#This Row],[FECHA]]-_xlfn.XLOOKUP(Tabla6[[#This Row],[N° FACTURA]],INGRESOS!F:F,INGRESOS!A:A),"-")</f>
        <v>0</v>
      </c>
      <c r="N738" s="2">
        <v>37.5</v>
      </c>
      <c r="O738" t="s">
        <v>1233</v>
      </c>
    </row>
    <row r="739" spans="1:15" ht="14.75" customHeight="1">
      <c r="A739" s="320" t="s">
        <v>455</v>
      </c>
      <c r="B739" t="str">
        <f>+_xlfn.XLOOKUP(Tabla6[[#This Row],[ID CLIENTE]],'RESUMEN CLIENTES'!D:D,'RESUMEN CLIENTES'!A:A)</f>
        <v>Paola Hitos</v>
      </c>
      <c r="C739" t="str">
        <f>+_xlfn.XLOOKUP(Tabla6[[#This Row],[ID CLIENTE]],'RESUMEN CLIENTES'!D:D,'RESUMEN CLIENTES'!C:C)</f>
        <v>México</v>
      </c>
      <c r="D739" s="44" t="str">
        <f>+_xlfn.XLOOKUP(Tabla6[[#This Row],[ID CLIENTE]],'RESUMEN CLIENTES'!D:D,'RESUMEN CLIENTES'!M:M)</f>
        <v>OK</v>
      </c>
      <c r="E739" s="72">
        <f>+_xlfn.XLOOKUP(Tabla6[[#This Row],[NOMBRE]],'RESUMEN CLIENTES'!A:A,'RESUMEN CLIENTES'!X:X)</f>
        <v>-0.55555555555555558</v>
      </c>
      <c r="F739" s="72">
        <f>+_xlfn.XLOOKUP(Tabla6[[#This Row],[ID CLIENTE]],'RESUMEN CLIENTES'!D:D,'RESUMEN CLIENTES'!W:W)</f>
        <v>1</v>
      </c>
      <c r="G739" s="17">
        <v>46001</v>
      </c>
      <c r="H739" s="44" t="s">
        <v>81</v>
      </c>
      <c r="I739" s="2">
        <v>1000</v>
      </c>
      <c r="J739" s="20" t="s">
        <v>1650</v>
      </c>
      <c r="K739" t="s">
        <v>1651</v>
      </c>
      <c r="L739" s="44" t="str" cm="1">
        <f t="array" ref="L739">+_xlfn.IFS(COUNTIF(INGRESOS!E:E,Tabla6[[#This Row],[ID FACTURA]])=1,"PAGADA",Tabla6[[#This Row],[ID FACTURA]]&lt;&gt;0,"EMITIDA",Tabla6[[#This Row],[ID FACTURA]]=0,"POR EMITIR")</f>
        <v>PAGADA</v>
      </c>
      <c r="M739" s="55">
        <f>+IF(Tabla6[[#This Row],[ESTADO FACTURA]]="PAGADA",Tabla6[[#This Row],[FECHA]]-_xlfn.XLOOKUP(Tabla6[[#This Row],[N° FACTURA]],INGRESOS!F:F,INGRESOS!A:A),"-")</f>
        <v>0</v>
      </c>
      <c r="N739" s="2"/>
      <c r="O739"/>
    </row>
    <row r="740" spans="1:15" ht="14.5" customHeight="1">
      <c r="A740" s="320" t="s">
        <v>855</v>
      </c>
      <c r="B740" t="str">
        <f>+_xlfn.XLOOKUP(Tabla6[[#This Row],[ID CLIENTE]],'RESUMEN CLIENTES'!D:D,'RESUMEN CLIENTES'!A:A)</f>
        <v>Paula Ida Elisa Saris Sommer</v>
      </c>
      <c r="C740" t="str">
        <f>+_xlfn.XLOOKUP(Tabla6[[#This Row],[ID CLIENTE]],'RESUMEN CLIENTES'!D:D,'RESUMEN CLIENTES'!C:C)</f>
        <v>Argentina</v>
      </c>
      <c r="D740" s="44" t="str">
        <f>+_xlfn.XLOOKUP(Tabla6[[#This Row],[ID CLIENTE]],'RESUMEN CLIENTES'!D:D,'RESUMEN CLIENTES'!M:M)</f>
        <v>OK</v>
      </c>
      <c r="E740" s="72">
        <f>+_xlfn.XLOOKUP(Tabla6[[#This Row],[NOMBRE]],'RESUMEN CLIENTES'!A:A,'RESUMEN CLIENTES'!X:X)</f>
        <v>-8.7894736842105257</v>
      </c>
      <c r="F740" s="72">
        <f>+_xlfn.XLOOKUP(Tabla6[[#This Row],[ID CLIENTE]],'RESUMEN CLIENTES'!D:D,'RESUMEN CLIENTES'!W:W)</f>
        <v>0</v>
      </c>
      <c r="G740" s="17">
        <v>46001</v>
      </c>
      <c r="H740" s="44" t="s">
        <v>81</v>
      </c>
      <c r="I740" s="2">
        <v>500</v>
      </c>
      <c r="J740" s="20" t="s">
        <v>1652</v>
      </c>
      <c r="K740" t="s">
        <v>1653</v>
      </c>
      <c r="L740" s="44" t="str" cm="1">
        <f t="array" ref="L740">+_xlfn.IFS(COUNTIF(INGRESOS!E:E,Tabla6[[#This Row],[ID FACTURA]])=1,"PAGADA",Tabla6[[#This Row],[ID FACTURA]]&lt;&gt;0,"EMITIDA",Tabla6[[#This Row],[ID FACTURA]]=0,"POR EMITIR")</f>
        <v>PAGADA</v>
      </c>
      <c r="M740" s="55">
        <f>+IF(Tabla6[[#This Row],[ESTADO FACTURA]]="PAGADA",Tabla6[[#This Row],[FECHA]]-_xlfn.XLOOKUP(Tabla6[[#This Row],[N° FACTURA]],INGRESOS!F:F,INGRESOS!A:A),"-")</f>
        <v>-2</v>
      </c>
      <c r="N740" s="2"/>
      <c r="O740"/>
    </row>
    <row r="741" spans="1:15" ht="14.75" customHeight="1">
      <c r="A741" s="320" t="s">
        <v>275</v>
      </c>
      <c r="B741" t="str">
        <f>+_xlfn.XLOOKUP(Tabla6[[#This Row],[ID CLIENTE]],'RESUMEN CLIENTES'!D:D,'RESUMEN CLIENTES'!A:A)</f>
        <v>Rodrigo Alfonso Busse Hernández</v>
      </c>
      <c r="C741" t="str">
        <f>+_xlfn.XLOOKUP(Tabla6[[#This Row],[ID CLIENTE]],'RESUMEN CLIENTES'!D:D,'RESUMEN CLIENTES'!C:C)</f>
        <v>Chile</v>
      </c>
      <c r="D741" s="44" t="str">
        <f>+_xlfn.XLOOKUP(Tabla6[[#This Row],[ID CLIENTE]],'RESUMEN CLIENTES'!D:D,'RESUMEN CLIENTES'!M:M)</f>
        <v>OK</v>
      </c>
      <c r="E741" s="72">
        <f>+_xlfn.XLOOKUP(Tabla6[[#This Row],[NOMBRE]],'RESUMEN CLIENTES'!A:A,'RESUMEN CLIENTES'!X:X)</f>
        <v>0.33333333333333331</v>
      </c>
      <c r="F741" s="72">
        <f>+_xlfn.XLOOKUP(Tabla6[[#This Row],[ID CLIENTE]],'RESUMEN CLIENTES'!D:D,'RESUMEN CLIENTES'!W:W)</f>
        <v>1</v>
      </c>
      <c r="G741" s="17">
        <v>46001</v>
      </c>
      <c r="H741" s="44" t="s">
        <v>81</v>
      </c>
      <c r="I741" s="2">
        <f>1111-(37.5)</f>
        <v>1073.5</v>
      </c>
      <c r="J741" s="20" t="s">
        <v>1654</v>
      </c>
      <c r="K741" t="s">
        <v>1655</v>
      </c>
      <c r="L741" s="44" t="str" cm="1">
        <f t="array" ref="L741">+_xlfn.IFS(COUNTIF(INGRESOS!E:E,Tabla6[[#This Row],[ID FACTURA]])=1,"PAGADA",Tabla6[[#This Row],[ID FACTURA]]&lt;&gt;0,"EMITIDA",Tabla6[[#This Row],[ID FACTURA]]=0,"POR EMITIR")</f>
        <v>PAGADA</v>
      </c>
      <c r="M741" s="55">
        <f>+IF(Tabla6[[#This Row],[ESTADO FACTURA]]="PAGADA",Tabla6[[#This Row],[FECHA]]-_xlfn.XLOOKUP(Tabla6[[#This Row],[N° FACTURA]],INGRESOS!F:F,INGRESOS!A:A),"-")</f>
        <v>1</v>
      </c>
      <c r="N741" s="2">
        <v>37.5</v>
      </c>
      <c r="O741" t="s">
        <v>1233</v>
      </c>
    </row>
    <row r="742" spans="1:15" ht="14.75" customHeight="1">
      <c r="A742" s="320" t="s">
        <v>501</v>
      </c>
      <c r="B742" t="str">
        <f>+_xlfn.XLOOKUP(Tabla6[[#This Row],[ID CLIENTE]],'RESUMEN CLIENTES'!D:D,'RESUMEN CLIENTES'!A:A)</f>
        <v>Kimberly Chantelle Frey Arteaga</v>
      </c>
      <c r="C742" t="str">
        <f>+_xlfn.XLOOKUP(Tabla6[[#This Row],[ID CLIENTE]],'RESUMEN CLIENTES'!D:D,'RESUMEN CLIENTES'!C:C)</f>
        <v>México</v>
      </c>
      <c r="D742" s="44" t="str">
        <f>+_xlfn.XLOOKUP(Tabla6[[#This Row],[ID CLIENTE]],'RESUMEN CLIENTES'!D:D,'RESUMEN CLIENTES'!M:M)</f>
        <v>OK</v>
      </c>
      <c r="E742" s="72">
        <f>+_xlfn.XLOOKUP(Tabla6[[#This Row],[NOMBRE]],'RESUMEN CLIENTES'!A:A,'RESUMEN CLIENTES'!X:X)</f>
        <v>0</v>
      </c>
      <c r="F742" s="72">
        <f>+_xlfn.XLOOKUP(Tabla6[[#This Row],[ID CLIENTE]],'RESUMEN CLIENTES'!D:D,'RESUMEN CLIENTES'!W:W)</f>
        <v>1</v>
      </c>
      <c r="G742" s="17">
        <v>46003</v>
      </c>
      <c r="H742" s="44" t="s">
        <v>81</v>
      </c>
      <c r="I742" s="2">
        <v>1000</v>
      </c>
      <c r="J742" s="20" t="s">
        <v>1656</v>
      </c>
      <c r="K742" t="s">
        <v>1657</v>
      </c>
      <c r="L742" s="44" t="str" cm="1">
        <f t="array" ref="L742">+_xlfn.IFS(COUNTIF(INGRESOS!E:E,Tabla6[[#This Row],[ID FACTURA]])=1,"PAGADA",Tabla6[[#This Row],[ID FACTURA]]&lt;&gt;0,"EMITIDA",Tabla6[[#This Row],[ID FACTURA]]=0,"POR EMITIR")</f>
        <v>PAGADA</v>
      </c>
      <c r="M742" s="55">
        <f>+IF(Tabla6[[#This Row],[ESTADO FACTURA]]="PAGADA",Tabla6[[#This Row],[FECHA]]-_xlfn.XLOOKUP(Tabla6[[#This Row],[N° FACTURA]],INGRESOS!F:F,INGRESOS!A:A),"-")</f>
        <v>1</v>
      </c>
      <c r="N742" s="2"/>
      <c r="O742"/>
    </row>
    <row r="743" spans="1:15" ht="14.75" customHeight="1">
      <c r="A743" s="320" t="s">
        <v>1658</v>
      </c>
      <c r="B743" t="str">
        <f>+_xlfn.XLOOKUP(Tabla6[[#This Row],[ID CLIENTE]],'RESUMEN CLIENTES'!D:D,'RESUMEN CLIENTES'!A:A)</f>
        <v>Nadya Sofía García Carrasco</v>
      </c>
      <c r="C743" t="str">
        <f>+_xlfn.XLOOKUP(Tabla6[[#This Row],[ID CLIENTE]],'RESUMEN CLIENTES'!D:D,'RESUMEN CLIENTES'!C:C)</f>
        <v>Ecuador</v>
      </c>
      <c r="D743" s="169" t="str">
        <f>+_xlfn.XLOOKUP(Tabla6[[#This Row],[ID CLIENTE]],'RESUMEN CLIENTES'!D:D,'RESUMEN CLIENTES'!M:M)</f>
        <v>OK</v>
      </c>
      <c r="E743" s="71">
        <f>+_xlfn.XLOOKUP(Tabla6[[#This Row],[NOMBRE]],'RESUMEN CLIENTES'!A:A,'RESUMEN CLIENTES'!X:X)</f>
        <v>0</v>
      </c>
      <c r="F743" s="71">
        <f>+_xlfn.XLOOKUP(Tabla6[[#This Row],[ID CLIENTE]],'RESUMEN CLIENTES'!D:D,'RESUMEN CLIENTES'!W:W)</f>
        <v>1</v>
      </c>
      <c r="G743" s="17">
        <v>46004</v>
      </c>
      <c r="H743" s="169" t="s">
        <v>81</v>
      </c>
      <c r="I743" s="2">
        <v>250</v>
      </c>
      <c r="J743" s="20" t="s">
        <v>1659</v>
      </c>
      <c r="K743" t="s">
        <v>1660</v>
      </c>
      <c r="L743" s="44" t="str" cm="1">
        <f t="array" ref="L743">+_xlfn.IFS(COUNTIF(INGRESOS!E:E,Tabla6[[#This Row],[ID FACTURA]])=1,"PAGADA",Tabla6[[#This Row],[ID FACTURA]]&lt;&gt;0,"EMITIDA",Tabla6[[#This Row],[ID FACTURA]]=0,"POR EMITIR")</f>
        <v>PAGADA</v>
      </c>
      <c r="M743" s="55">
        <f>+IF(Tabla6[[#This Row],[ESTADO FACTURA]]="PAGADA",Tabla6[[#This Row],[FECHA]]-_xlfn.XLOOKUP(Tabla6[[#This Row],[N° FACTURA]],INGRESOS!F:F,INGRESOS!A:A),"-")</f>
        <v>0</v>
      </c>
      <c r="O743"/>
    </row>
    <row r="744" spans="1:15" ht="14.75" customHeight="1">
      <c r="A744" s="320" t="s">
        <v>187</v>
      </c>
      <c r="B744" t="str">
        <f>+_xlfn.XLOOKUP(Tabla6[[#This Row],[ID CLIENTE]],'RESUMEN CLIENTES'!D:D,'RESUMEN CLIENTES'!A:A)</f>
        <v>Alina Maria Cervantes Real</v>
      </c>
      <c r="C744" t="str">
        <f>+_xlfn.XLOOKUP(Tabla6[[#This Row],[ID CLIENTE]],'RESUMEN CLIENTES'!D:D,'RESUMEN CLIENTES'!C:C)</f>
        <v>México</v>
      </c>
      <c r="D744" s="44" t="str">
        <f>+_xlfn.XLOOKUP(Tabla6[[#This Row],[ID CLIENTE]],'RESUMEN CLIENTES'!D:D,'RESUMEN CLIENTES'!M:M)</f>
        <v>OK</v>
      </c>
      <c r="E744" s="72">
        <f>+_xlfn.XLOOKUP(Tabla6[[#This Row],[NOMBRE]],'RESUMEN CLIENTES'!A:A,'RESUMEN CLIENTES'!X:X)</f>
        <v>21.583333333333332</v>
      </c>
      <c r="F744" s="72">
        <f>+_xlfn.XLOOKUP(Tabla6[[#This Row],[ID CLIENTE]],'RESUMEN CLIENTES'!D:D,'RESUMEN CLIENTES'!W:W)</f>
        <v>1</v>
      </c>
      <c r="G744" s="17">
        <v>46006</v>
      </c>
      <c r="H744" s="44" t="s">
        <v>81</v>
      </c>
      <c r="I744" s="2">
        <v>1500</v>
      </c>
      <c r="J744" s="20" t="s">
        <v>1391</v>
      </c>
      <c r="K744" t="s">
        <v>1392</v>
      </c>
      <c r="L744" s="44" t="str" cm="1">
        <f t="array" ref="L744">+_xlfn.IFS(COUNTIF(INGRESOS!E:E,Tabla6[[#This Row],[ID FACTURA]])=1,"PAGADA",Tabla6[[#This Row],[ID FACTURA]]&lt;&gt;0,"EMITIDA",Tabla6[[#This Row],[ID FACTURA]]=0,"POR EMITIR")</f>
        <v>PAGADA</v>
      </c>
      <c r="M744" s="55">
        <f>+IF(Tabla6[[#This Row],[ESTADO FACTURA]]="PAGADA",Tabla6[[#This Row],[FECHA]]-_xlfn.XLOOKUP(Tabla6[[#This Row],[N° FACTURA]],INGRESOS!F:F,INGRESOS!A:A),"-")</f>
        <v>30</v>
      </c>
      <c r="O744"/>
    </row>
    <row r="745" spans="1:15" ht="14.75" customHeight="1">
      <c r="A745" s="320" t="s">
        <v>325</v>
      </c>
      <c r="B745" t="str">
        <f>+_xlfn.XLOOKUP(Tabla6[[#This Row],[ID CLIENTE]],'RESUMEN CLIENTES'!D:D,'RESUMEN CLIENTES'!A:A)</f>
        <v>Andrea Cristina Estrada Morocho</v>
      </c>
      <c r="C745" t="str">
        <f>+_xlfn.XLOOKUP(Tabla6[[#This Row],[ID CLIENTE]],'RESUMEN CLIENTES'!D:D,'RESUMEN CLIENTES'!C:C)</f>
        <v>Ecuador</v>
      </c>
      <c r="D745" s="44" t="str">
        <f>+_xlfn.XLOOKUP(Tabla6[[#This Row],[ID CLIENTE]],'RESUMEN CLIENTES'!D:D,'RESUMEN CLIENTES'!M:M)</f>
        <v>OK</v>
      </c>
      <c r="E745" s="72">
        <f>+_xlfn.XLOOKUP(Tabla6[[#This Row],[NOMBRE]],'RESUMEN CLIENTES'!A:A,'RESUMEN CLIENTES'!X:X)</f>
        <v>-3.6666666666666665</v>
      </c>
      <c r="F745" s="72">
        <f>+_xlfn.XLOOKUP(Tabla6[[#This Row],[ID CLIENTE]],'RESUMEN CLIENTES'!D:D,'RESUMEN CLIENTES'!W:W)</f>
        <v>1</v>
      </c>
      <c r="G745" s="17">
        <v>46006</v>
      </c>
      <c r="H745" s="44" t="s">
        <v>81</v>
      </c>
      <c r="I745" s="2">
        <v>500</v>
      </c>
      <c r="J745" s="20" t="s">
        <v>1663</v>
      </c>
      <c r="K745" t="s">
        <v>1664</v>
      </c>
      <c r="L745" s="44" t="str" cm="1">
        <f t="array" ref="L745">+_xlfn.IFS(COUNTIF(INGRESOS!E:E,Tabla6[[#This Row],[ID FACTURA]])=1,"PAGADA",Tabla6[[#This Row],[ID FACTURA]]&lt;&gt;0,"EMITIDA",Tabla6[[#This Row],[ID FACTURA]]=0,"POR EMITIR")</f>
        <v>PAGADA</v>
      </c>
      <c r="M745" s="55">
        <f>+IF(Tabla6[[#This Row],[ESTADO FACTURA]]="PAGADA",Tabla6[[#This Row],[FECHA]]-_xlfn.XLOOKUP(Tabla6[[#This Row],[N° FACTURA]],INGRESOS!F:F,INGRESOS!A:A),"-")</f>
        <v>-1</v>
      </c>
      <c r="N745" s="2"/>
      <c r="O745"/>
    </row>
    <row r="746" spans="1:15" ht="14.75" customHeight="1">
      <c r="A746" s="320" t="s">
        <v>751</v>
      </c>
      <c r="B746" t="str">
        <f>+_xlfn.XLOOKUP(Tabla6[[#This Row],[ID CLIENTE]],'RESUMEN CLIENTES'!D:D,'RESUMEN CLIENTES'!A:A)</f>
        <v>Carlos Alberto Suarez Hernandez</v>
      </c>
      <c r="C746" t="str">
        <f>+_xlfn.XLOOKUP(Tabla6[[#This Row],[ID CLIENTE]],'RESUMEN CLIENTES'!D:D,'RESUMEN CLIENTES'!C:C)</f>
        <v>Colombia</v>
      </c>
      <c r="D746" s="44" t="str">
        <f>+_xlfn.XLOOKUP(Tabla6[[#This Row],[ID CLIENTE]],'RESUMEN CLIENTES'!D:D,'RESUMEN CLIENTES'!M:M)</f>
        <v>OK</v>
      </c>
      <c r="E746" s="72">
        <f>+_xlfn.XLOOKUP(Tabla6[[#This Row],[NOMBRE]],'RESUMEN CLIENTES'!A:A,'RESUMEN CLIENTES'!X:X)</f>
        <v>0</v>
      </c>
      <c r="F746" s="72">
        <f>+_xlfn.XLOOKUP(Tabla6[[#This Row],[ID CLIENTE]],'RESUMEN CLIENTES'!D:D,'RESUMEN CLIENTES'!W:W)</f>
        <v>1</v>
      </c>
      <c r="G746" s="17">
        <v>46006</v>
      </c>
      <c r="H746" s="44" t="s">
        <v>81</v>
      </c>
      <c r="I746" s="2">
        <v>1000</v>
      </c>
      <c r="J746" s="20" t="s">
        <v>1665</v>
      </c>
      <c r="K746" t="s">
        <v>1666</v>
      </c>
      <c r="L746" s="44" t="str" cm="1">
        <f t="array" ref="L746">+_xlfn.IFS(COUNTIF(INGRESOS!E:E,Tabla6[[#This Row],[ID FACTURA]])=1,"PAGADA",Tabla6[[#This Row],[ID FACTURA]]&lt;&gt;0,"EMITIDA",Tabla6[[#This Row],[ID FACTURA]]=0,"POR EMITIR")</f>
        <v>PAGADA</v>
      </c>
      <c r="M746" s="55">
        <f>+IF(Tabla6[[#This Row],[ESTADO FACTURA]]="PAGADA",Tabla6[[#This Row],[FECHA]]-_xlfn.XLOOKUP(Tabla6[[#This Row],[N° FACTURA]],INGRESOS!F:F,INGRESOS!A:A),"-")</f>
        <v>0</v>
      </c>
      <c r="N746" s="2"/>
      <c r="O746"/>
    </row>
    <row r="747" spans="1:15" ht="14.75" customHeight="1">
      <c r="A747" s="320" t="s">
        <v>156</v>
      </c>
      <c r="B747" t="str">
        <f>+_xlfn.XLOOKUP(Tabla6[[#This Row],[ID CLIENTE]],'RESUMEN CLIENTES'!D:D,'RESUMEN CLIENTES'!A:A)</f>
        <v>Catalina Andrea Videla Muñoz</v>
      </c>
      <c r="C747" t="str">
        <f>+_xlfn.XLOOKUP(Tabla6[[#This Row],[ID CLIENTE]],'RESUMEN CLIENTES'!D:D,'RESUMEN CLIENTES'!C:C)</f>
        <v>Chile</v>
      </c>
      <c r="D747" s="44" t="str">
        <f>+_xlfn.XLOOKUP(Tabla6[[#This Row],[ID CLIENTE]],'RESUMEN CLIENTES'!D:D,'RESUMEN CLIENTES'!M:M)</f>
        <v>OK</v>
      </c>
      <c r="E747" s="72">
        <f>+_xlfn.XLOOKUP(Tabla6[[#This Row],[NOMBRE]],'RESUMEN CLIENTES'!A:A,'RESUMEN CLIENTES'!X:X)</f>
        <v>1.5454545454545454</v>
      </c>
      <c r="F747" s="72">
        <f>+_xlfn.XLOOKUP(Tabla6[[#This Row],[ID CLIENTE]],'RESUMEN CLIENTES'!D:D,'RESUMEN CLIENTES'!W:W)</f>
        <v>1</v>
      </c>
      <c r="G747" s="17">
        <v>46006</v>
      </c>
      <c r="H747" s="44" t="s">
        <v>81</v>
      </c>
      <c r="I747" s="2">
        <v>850</v>
      </c>
      <c r="J747" s="20" t="s">
        <v>1667</v>
      </c>
      <c r="K747" t="s">
        <v>1668</v>
      </c>
      <c r="L747" s="44" t="str" cm="1">
        <f t="array" ref="L747">+_xlfn.IFS(COUNTIF(INGRESOS!E:E,Tabla6[[#This Row],[ID FACTURA]])=1,"PAGADA",Tabla6[[#This Row],[ID FACTURA]]&lt;&gt;0,"EMITIDA",Tabla6[[#This Row],[ID FACTURA]]=0,"POR EMITIR")</f>
        <v>PAGADA</v>
      </c>
      <c r="M747" s="55">
        <f>+IF(Tabla6[[#This Row],[ESTADO FACTURA]]="PAGADA",Tabla6[[#This Row],[FECHA]]-_xlfn.XLOOKUP(Tabla6[[#This Row],[N° FACTURA]],INGRESOS!F:F,INGRESOS!A:A),"-")</f>
        <v>3</v>
      </c>
      <c r="N747" s="2"/>
      <c r="O747"/>
    </row>
    <row r="748" spans="1:15" ht="14.75" customHeight="1">
      <c r="A748" s="320" t="s">
        <v>191</v>
      </c>
      <c r="B748" t="str">
        <f>+_xlfn.XLOOKUP(Tabla6[[#This Row],[ID CLIENTE]],'RESUMEN CLIENTES'!D:D,'RESUMEN CLIENTES'!A:A)</f>
        <v>Christian Rivera Hernandez</v>
      </c>
      <c r="C748" t="str">
        <f>+_xlfn.XLOOKUP(Tabla6[[#This Row],[ID CLIENTE]],'RESUMEN CLIENTES'!D:D,'RESUMEN CLIENTES'!C:C)</f>
        <v>Colombia</v>
      </c>
      <c r="D748" s="44" t="str">
        <f>+_xlfn.XLOOKUP(Tabla6[[#This Row],[ID CLIENTE]],'RESUMEN CLIENTES'!D:D,'RESUMEN CLIENTES'!M:M)</f>
        <v>OK</v>
      </c>
      <c r="E748" s="71">
        <f>+_xlfn.XLOOKUP(Tabla6[[#This Row],[NOMBRE]],'RESUMEN CLIENTES'!A:A,'RESUMEN CLIENTES'!X:X)</f>
        <v>0.75</v>
      </c>
      <c r="F748" s="71">
        <f>+_xlfn.XLOOKUP(Tabla6[[#This Row],[ID CLIENTE]],'RESUMEN CLIENTES'!D:D,'RESUMEN CLIENTES'!W:W)</f>
        <v>1</v>
      </c>
      <c r="G748" s="17">
        <v>46006</v>
      </c>
      <c r="H748" s="169" t="s">
        <v>1669</v>
      </c>
      <c r="I748" s="2">
        <v>5000</v>
      </c>
      <c r="J748" s="20" t="s">
        <v>1670</v>
      </c>
      <c r="K748" t="s">
        <v>1671</v>
      </c>
      <c r="L748" s="44" t="str" cm="1">
        <f t="array" ref="L748">+_xlfn.IFS(COUNTIF(INGRESOS!E:E,Tabla6[[#This Row],[ID FACTURA]])=1,"PAGADA",Tabla6[[#This Row],[ID FACTURA]]&lt;&gt;0,"EMITIDA",Tabla6[[#This Row],[ID FACTURA]]=0,"POR EMITIR")</f>
        <v>PAGADA</v>
      </c>
      <c r="M748" s="55">
        <f>+IF(Tabla6[[#This Row],[ESTADO FACTURA]]="PAGADA",Tabla6[[#This Row],[FECHA]]-_xlfn.XLOOKUP(Tabla6[[#This Row],[N° FACTURA]],INGRESOS!F:F,INGRESOS!A:A),"-")</f>
        <v>2</v>
      </c>
      <c r="N748" s="2"/>
      <c r="O748"/>
    </row>
    <row r="749" spans="1:15" ht="14.75" customHeight="1">
      <c r="A749" s="320" t="s">
        <v>90</v>
      </c>
      <c r="B749" t="str">
        <f>+_xlfn.XLOOKUP(Tabla6[[#This Row],[ID CLIENTE]],'RESUMEN CLIENTES'!D:D,'RESUMEN CLIENTES'!A:A)</f>
        <v>David Enrique Díaz Mejía</v>
      </c>
      <c r="C749" t="str">
        <f>+_xlfn.XLOOKUP(Tabla6[[#This Row],[ID CLIENTE]],'RESUMEN CLIENTES'!D:D,'RESUMEN CLIENTES'!C:C)</f>
        <v>Honduras</v>
      </c>
      <c r="D749" s="44" t="str">
        <f>+_xlfn.XLOOKUP(Tabla6[[#This Row],[ID CLIENTE]],'RESUMEN CLIENTES'!D:D,'RESUMEN CLIENTES'!M:M)</f>
        <v>OK</v>
      </c>
      <c r="E749" s="72">
        <f>+_xlfn.XLOOKUP(Tabla6[[#This Row],[NOMBRE]],'RESUMEN CLIENTES'!A:A,'RESUMEN CLIENTES'!X:X)</f>
        <v>-15.217592592592862</v>
      </c>
      <c r="F749" s="72">
        <f>+_xlfn.XLOOKUP(Tabla6[[#This Row],[ID CLIENTE]],'RESUMEN CLIENTES'!D:D,'RESUMEN CLIENTES'!W:W)</f>
        <v>1</v>
      </c>
      <c r="G749" s="17">
        <v>46006</v>
      </c>
      <c r="H749" s="44" t="s">
        <v>81</v>
      </c>
      <c r="I749" s="2">
        <v>500</v>
      </c>
      <c r="J749" s="20" t="s">
        <v>1672</v>
      </c>
      <c r="K749" t="s">
        <v>1673</v>
      </c>
      <c r="L749" s="44" t="str" cm="1">
        <f t="array" ref="L749">+_xlfn.IFS(COUNTIF(INGRESOS!E:E,Tabla6[[#This Row],[ID FACTURA]])=1,"PAGADA",Tabla6[[#This Row],[ID FACTURA]]&lt;&gt;0,"EMITIDA",Tabla6[[#This Row],[ID FACTURA]]=0,"POR EMITIR")</f>
        <v>PAGADA</v>
      </c>
      <c r="M749" s="55">
        <f>+IF(Tabla6[[#This Row],[ESTADO FACTURA]]="PAGADA",Tabla6[[#This Row],[FECHA]]-_xlfn.XLOOKUP(Tabla6[[#This Row],[N° FACTURA]],INGRESOS!F:F,INGRESOS!A:A),"-")</f>
        <v>-1</v>
      </c>
      <c r="N749" s="2"/>
      <c r="O749"/>
    </row>
    <row r="750" spans="1:15" ht="14.75" customHeight="1">
      <c r="A750" s="320" t="s">
        <v>1674</v>
      </c>
      <c r="B750" t="str">
        <f>+_xlfn.XLOOKUP(Tabla6[[#This Row],[ID CLIENTE]],'RESUMEN CLIENTES'!D:D,'RESUMEN CLIENTES'!A:A)</f>
        <v>Diego Alberto Ruiz Cifuentes</v>
      </c>
      <c r="C750" t="str">
        <f>+_xlfn.XLOOKUP(Tabla6[[#This Row],[ID CLIENTE]],'RESUMEN CLIENTES'!D:D,'RESUMEN CLIENTES'!C:C)</f>
        <v>Chile</v>
      </c>
      <c r="D750" s="169" t="str">
        <f>+_xlfn.XLOOKUP(Tabla6[[#This Row],[ID CLIENTE]],'RESUMEN CLIENTES'!D:D,'RESUMEN CLIENTES'!M:M)</f>
        <v>OK</v>
      </c>
      <c r="E750" s="71">
        <f>+_xlfn.XLOOKUP(Tabla6[[#This Row],[NOMBRE]],'RESUMEN CLIENTES'!A:A,'RESUMEN CLIENTES'!X:X)</f>
        <v>5.75</v>
      </c>
      <c r="F750" s="71">
        <f>+_xlfn.XLOOKUP(Tabla6[[#This Row],[ID CLIENTE]],'RESUMEN CLIENTES'!D:D,'RESUMEN CLIENTES'!W:W)</f>
        <v>0</v>
      </c>
      <c r="G750" s="17">
        <v>46006</v>
      </c>
      <c r="H750" s="169" t="s">
        <v>81</v>
      </c>
      <c r="I750" s="2">
        <v>250</v>
      </c>
      <c r="J750" s="20" t="s">
        <v>1675</v>
      </c>
      <c r="K750" t="s">
        <v>1676</v>
      </c>
      <c r="L750" s="44" t="str" cm="1">
        <f t="array" ref="L750">+_xlfn.IFS(COUNTIF(INGRESOS!E:E,Tabla6[[#This Row],[ID FACTURA]])=1,"PAGADA",Tabla6[[#This Row],[ID FACTURA]]&lt;&gt;0,"EMITIDA",Tabla6[[#This Row],[ID FACTURA]]=0,"POR EMITIR")</f>
        <v>PAGADA</v>
      </c>
      <c r="M750" s="55">
        <f>+IF(Tabla6[[#This Row],[ESTADO FACTURA]]="PAGADA",Tabla6[[#This Row],[FECHA]]-_xlfn.XLOOKUP(Tabla6[[#This Row],[N° FACTURA]],INGRESOS!F:F,INGRESOS!A:A),"-")</f>
        <v>0</v>
      </c>
      <c r="N750" s="2"/>
      <c r="O750"/>
    </row>
    <row r="751" spans="1:15" ht="14.75" customHeight="1">
      <c r="A751" s="320" t="s">
        <v>95</v>
      </c>
      <c r="B751" t="str">
        <f>+_xlfn.XLOOKUP(Tabla6[[#This Row],[ID CLIENTE]],'RESUMEN CLIENTES'!D:D,'RESUMEN CLIENTES'!A:A)</f>
        <v>Gabriel Alejandro Ortega Moreno</v>
      </c>
      <c r="C751" t="str">
        <f>+_xlfn.XLOOKUP(Tabla6[[#This Row],[ID CLIENTE]],'RESUMEN CLIENTES'!D:D,'RESUMEN CLIENTES'!C:C)</f>
        <v>Ecuador</v>
      </c>
      <c r="D751" s="44" t="str">
        <f>+_xlfn.XLOOKUP(Tabla6[[#This Row],[ID CLIENTE]],'RESUMEN CLIENTES'!D:D,'RESUMEN CLIENTES'!M:M)</f>
        <v>OK</v>
      </c>
      <c r="E751" s="72">
        <f>+_xlfn.XLOOKUP(Tabla6[[#This Row],[NOMBRE]],'RESUMEN CLIENTES'!A:A,'RESUMEN CLIENTES'!X:X)</f>
        <v>-0.1111111111111111</v>
      </c>
      <c r="F751" s="72">
        <f>+_xlfn.XLOOKUP(Tabla6[[#This Row],[ID CLIENTE]],'RESUMEN CLIENTES'!D:D,'RESUMEN CLIENTES'!W:W)</f>
        <v>0</v>
      </c>
      <c r="G751" s="17">
        <v>46006</v>
      </c>
      <c r="H751" s="44" t="s">
        <v>81</v>
      </c>
      <c r="I751" s="2">
        <v>200</v>
      </c>
      <c r="J751" s="20" t="s">
        <v>1677</v>
      </c>
      <c r="K751" t="s">
        <v>1678</v>
      </c>
      <c r="L751" s="44" t="str" cm="1">
        <f t="array" ref="L751">+_xlfn.IFS(COUNTIF(INGRESOS!E:E,Tabla6[[#This Row],[ID FACTURA]])=1,"PAGADA",Tabla6[[#This Row],[ID FACTURA]]&lt;&gt;0,"EMITIDA",Tabla6[[#This Row],[ID FACTURA]]=0,"POR EMITIR")</f>
        <v>PAGADA</v>
      </c>
      <c r="M751" s="55">
        <f>+IF(Tabla6[[#This Row],[ESTADO FACTURA]]="PAGADA",Tabla6[[#This Row],[FECHA]]-_xlfn.XLOOKUP(Tabla6[[#This Row],[N° FACTURA]],INGRESOS!F:F,INGRESOS!A:A),"-")</f>
        <v>-1</v>
      </c>
      <c r="N751" s="2"/>
      <c r="O751"/>
    </row>
    <row r="752" spans="1:15" ht="14.75" customHeight="1">
      <c r="A752" s="320" t="s">
        <v>98</v>
      </c>
      <c r="B752" t="str">
        <f>+_xlfn.XLOOKUP(Tabla6[[#This Row],[ID CLIENTE]],'RESUMEN CLIENTES'!D:D,'RESUMEN CLIENTES'!A:A)</f>
        <v>Gabriela Kimberlyn Moran Caiza</v>
      </c>
      <c r="C752" t="str">
        <f>+_xlfn.XLOOKUP(Tabla6[[#This Row],[ID CLIENTE]],'RESUMEN CLIENTES'!D:D,'RESUMEN CLIENTES'!C:C)</f>
        <v>Ecuador</v>
      </c>
      <c r="D752" s="44" t="str">
        <f>+_xlfn.XLOOKUP(Tabla6[[#This Row],[ID CLIENTE]],'RESUMEN CLIENTES'!D:D,'RESUMEN CLIENTES'!M:M)</f>
        <v>OK</v>
      </c>
      <c r="E752" s="72">
        <f>+_xlfn.XLOOKUP(Tabla6[[#This Row],[NOMBRE]],'RESUMEN CLIENTES'!A:A,'RESUMEN CLIENTES'!X:X)</f>
        <v>-1.25</v>
      </c>
      <c r="F752" s="72">
        <f>+_xlfn.XLOOKUP(Tabla6[[#This Row],[ID CLIENTE]],'RESUMEN CLIENTES'!D:D,'RESUMEN CLIENTES'!W:W)</f>
        <v>0</v>
      </c>
      <c r="G752" s="17">
        <v>46006</v>
      </c>
      <c r="H752" s="44" t="s">
        <v>81</v>
      </c>
      <c r="I752" s="2">
        <v>100</v>
      </c>
      <c r="J752" s="20" t="s">
        <v>1679</v>
      </c>
      <c r="K752" t="s">
        <v>1680</v>
      </c>
      <c r="L752" s="44" t="str" cm="1">
        <f t="array" ref="L752">+_xlfn.IFS(COUNTIF(INGRESOS!E:E,Tabla6[[#This Row],[ID FACTURA]])=1,"PAGADA",Tabla6[[#This Row],[ID FACTURA]]&lt;&gt;0,"EMITIDA",Tabla6[[#This Row],[ID FACTURA]]=0,"POR EMITIR")</f>
        <v>PAGADA</v>
      </c>
      <c r="M752" s="55">
        <f>+IF(Tabla6[[#This Row],[ESTADO FACTURA]]="PAGADA",Tabla6[[#This Row],[FECHA]]-_xlfn.XLOOKUP(Tabla6[[#This Row],[N° FACTURA]],INGRESOS!F:F,INGRESOS!A:A),"-")</f>
        <v>-10</v>
      </c>
      <c r="N752" s="2"/>
      <c r="O752"/>
    </row>
    <row r="753" spans="1:15" ht="14.75" customHeight="1">
      <c r="A753" s="320" t="s">
        <v>103</v>
      </c>
      <c r="B753" t="str">
        <f>+_xlfn.XLOOKUP(Tabla6[[#This Row],[ID CLIENTE]],'RESUMEN CLIENTES'!D:D,'RESUMEN CLIENTES'!A:A)</f>
        <v>Isaac Ricardo Jimenez Campos</v>
      </c>
      <c r="C753" t="str">
        <f>+_xlfn.XLOOKUP(Tabla6[[#This Row],[ID CLIENTE]],'RESUMEN CLIENTES'!D:D,'RESUMEN CLIENTES'!C:C)</f>
        <v>México</v>
      </c>
      <c r="D753" s="44" t="str">
        <f>+_xlfn.XLOOKUP(Tabla6[[#This Row],[ID CLIENTE]],'RESUMEN CLIENTES'!D:D,'RESUMEN CLIENTES'!M:M)</f>
        <v>OK</v>
      </c>
      <c r="E753" s="72">
        <f>+_xlfn.XLOOKUP(Tabla6[[#This Row],[NOMBRE]],'RESUMEN CLIENTES'!A:A,'RESUMEN CLIENTES'!X:X)</f>
        <v>0.5</v>
      </c>
      <c r="F753" s="72">
        <f>+_xlfn.XLOOKUP(Tabla6[[#This Row],[ID CLIENTE]],'RESUMEN CLIENTES'!D:D,'RESUMEN CLIENTES'!W:W)</f>
        <v>1</v>
      </c>
      <c r="G753" s="17">
        <v>46006</v>
      </c>
      <c r="H753" s="44" t="s">
        <v>81</v>
      </c>
      <c r="I753" s="2">
        <v>654</v>
      </c>
      <c r="J753" s="20" t="s">
        <v>1681</v>
      </c>
      <c r="K753" t="s">
        <v>1682</v>
      </c>
      <c r="L753" s="44" t="str" cm="1">
        <f t="array" ref="L753">+_xlfn.IFS(COUNTIF(INGRESOS!E:E,Tabla6[[#This Row],[ID FACTURA]])=1,"PAGADA",Tabla6[[#This Row],[ID FACTURA]]&lt;&gt;0,"EMITIDA",Tabla6[[#This Row],[ID FACTURA]]=0,"POR EMITIR")</f>
        <v>PAGADA</v>
      </c>
      <c r="M753" s="55">
        <f>+IF(Tabla6[[#This Row],[ESTADO FACTURA]]="PAGADA",Tabla6[[#This Row],[FECHA]]-_xlfn.XLOOKUP(Tabla6[[#This Row],[N° FACTURA]],INGRESOS!F:F,INGRESOS!A:A),"-")</f>
        <v>0</v>
      </c>
      <c r="N753" s="2"/>
      <c r="O753"/>
    </row>
    <row r="754" spans="1:15" ht="14.75" customHeight="1">
      <c r="A754" s="320" t="s">
        <v>362</v>
      </c>
      <c r="B754" t="str">
        <f>+_xlfn.XLOOKUP(Tabla6[[#This Row],[ID CLIENTE]],'RESUMEN CLIENTES'!D:D,'RESUMEN CLIENTES'!A:A)</f>
        <v>Jessica Ayelén Culla Alvarez</v>
      </c>
      <c r="C754" t="str">
        <f>+_xlfn.XLOOKUP(Tabla6[[#This Row],[ID CLIENTE]],'RESUMEN CLIENTES'!D:D,'RESUMEN CLIENTES'!C:C)</f>
        <v>Argentina</v>
      </c>
      <c r="D754" s="44" t="str">
        <f>+_xlfn.XLOOKUP(Tabla6[[#This Row],[ID CLIENTE]],'RESUMEN CLIENTES'!D:D,'RESUMEN CLIENTES'!M:M)</f>
        <v>OK</v>
      </c>
      <c r="E754" s="72">
        <f>+_xlfn.XLOOKUP(Tabla6[[#This Row],[NOMBRE]],'RESUMEN CLIENTES'!A:A,'RESUMEN CLIENTES'!X:X)</f>
        <v>-2.1538461538461537</v>
      </c>
      <c r="F754" s="72">
        <f>+_xlfn.XLOOKUP(Tabla6[[#This Row],[ID CLIENTE]],'RESUMEN CLIENTES'!D:D,'RESUMEN CLIENTES'!W:W)</f>
        <v>1</v>
      </c>
      <c r="G754" s="17">
        <v>46006</v>
      </c>
      <c r="H754" s="44" t="s">
        <v>81</v>
      </c>
      <c r="I754" s="2">
        <v>1000</v>
      </c>
      <c r="J754" s="20" t="s">
        <v>1683</v>
      </c>
      <c r="K754" t="s">
        <v>1684</v>
      </c>
      <c r="L754" s="44" t="str" cm="1">
        <f t="array" ref="L754">+_xlfn.IFS(COUNTIF(INGRESOS!E:E,Tabla6[[#This Row],[ID FACTURA]])=1,"PAGADA",Tabla6[[#This Row],[ID FACTURA]]&lt;&gt;0,"EMITIDA",Tabla6[[#This Row],[ID FACTURA]]=0,"POR EMITIR")</f>
        <v>PAGADA</v>
      </c>
      <c r="M754" s="55">
        <f>+IF(Tabla6[[#This Row],[ESTADO FACTURA]]="PAGADA",Tabla6[[#This Row],[FECHA]]-_xlfn.XLOOKUP(Tabla6[[#This Row],[N° FACTURA]],INGRESOS!F:F,INGRESOS!A:A),"-")</f>
        <v>-14</v>
      </c>
      <c r="N754" s="2"/>
      <c r="O754"/>
    </row>
    <row r="755" spans="1:15" ht="14.75" customHeight="1">
      <c r="A755" s="320" t="s">
        <v>762</v>
      </c>
      <c r="B755" t="str">
        <f>+_xlfn.XLOOKUP(Tabla6[[#This Row],[ID CLIENTE]],'RESUMEN CLIENTES'!D:D,'RESUMEN CLIENTES'!A:A)</f>
        <v>María Stefania Gelvez Olaya</v>
      </c>
      <c r="C755" t="str">
        <f>+_xlfn.XLOOKUP(Tabla6[[#This Row],[ID CLIENTE]],'RESUMEN CLIENTES'!D:D,'RESUMEN CLIENTES'!C:C)</f>
        <v>Colombia</v>
      </c>
      <c r="D755" s="44" t="str">
        <f>+_xlfn.XLOOKUP(Tabla6[[#This Row],[ID CLIENTE]],'RESUMEN CLIENTES'!D:D,'RESUMEN CLIENTES'!M:M)</f>
        <v>OK</v>
      </c>
      <c r="E755" s="72">
        <f>+_xlfn.XLOOKUP(Tabla6[[#This Row],[NOMBRE]],'RESUMEN CLIENTES'!A:A,'RESUMEN CLIENTES'!X:X)</f>
        <v>-0.14285714285714285</v>
      </c>
      <c r="F755" s="72">
        <f>+_xlfn.XLOOKUP(Tabla6[[#This Row],[ID CLIENTE]],'RESUMEN CLIENTES'!D:D,'RESUMEN CLIENTES'!W:W)</f>
        <v>1</v>
      </c>
      <c r="G755" s="17">
        <v>46006</v>
      </c>
      <c r="H755" s="44" t="s">
        <v>81</v>
      </c>
      <c r="I755" s="2">
        <v>1000</v>
      </c>
      <c r="J755" s="20" t="s">
        <v>1685</v>
      </c>
      <c r="K755" t="s">
        <v>1686</v>
      </c>
      <c r="L755" s="44" t="str" cm="1">
        <f t="array" ref="L755">+_xlfn.IFS(COUNTIF(INGRESOS!E:E,Tabla6[[#This Row],[ID FACTURA]])=1,"PAGADA",Tabla6[[#This Row],[ID FACTURA]]&lt;&gt;0,"EMITIDA",Tabla6[[#This Row],[ID FACTURA]]=0,"POR EMITIR")</f>
        <v>PAGADA</v>
      </c>
      <c r="M755" s="55">
        <f>+IF(Tabla6[[#This Row],[ESTADO FACTURA]]="PAGADA",Tabla6[[#This Row],[FECHA]]-_xlfn.XLOOKUP(Tabla6[[#This Row],[N° FACTURA]],INGRESOS!F:F,INGRESOS!A:A),"-")</f>
        <v>0</v>
      </c>
      <c r="N755" s="2"/>
      <c r="O755"/>
    </row>
    <row r="756" spans="1:15" ht="14.75" customHeight="1">
      <c r="A756" s="320" t="s">
        <v>247</v>
      </c>
      <c r="B756" t="str">
        <f>+_xlfn.XLOOKUP(Tabla6[[#This Row],[ID CLIENTE]],'RESUMEN CLIENTES'!D:D,'RESUMEN CLIENTES'!A:A)</f>
        <v>Nancy Gisselle Molinari Cheme</v>
      </c>
      <c r="C756" t="str">
        <f>+_xlfn.XLOOKUP(Tabla6[[#This Row],[ID CLIENTE]],'RESUMEN CLIENTES'!D:D,'RESUMEN CLIENTES'!C:C)</f>
        <v>Perú</v>
      </c>
      <c r="D756" s="44" t="str">
        <f>+_xlfn.XLOOKUP(Tabla6[[#This Row],[ID CLIENTE]],'RESUMEN CLIENTES'!D:D,'RESUMEN CLIENTES'!M:M)</f>
        <v>OK</v>
      </c>
      <c r="E756" s="72">
        <f>+_xlfn.XLOOKUP(Tabla6[[#This Row],[NOMBRE]],'RESUMEN CLIENTES'!A:A,'RESUMEN CLIENTES'!X:X)</f>
        <v>0.9</v>
      </c>
      <c r="F756" s="72">
        <f>+_xlfn.XLOOKUP(Tabla6[[#This Row],[ID CLIENTE]],'RESUMEN CLIENTES'!D:D,'RESUMEN CLIENTES'!W:W)</f>
        <v>1</v>
      </c>
      <c r="G756" s="17">
        <v>46009</v>
      </c>
      <c r="H756" s="44" t="s">
        <v>81</v>
      </c>
      <c r="I756" s="2">
        <v>1000</v>
      </c>
      <c r="J756" s="20" t="s">
        <v>1687</v>
      </c>
      <c r="K756" t="s">
        <v>1688</v>
      </c>
      <c r="L756" s="44" t="str" cm="1">
        <f t="array" ref="L756">+_xlfn.IFS(COUNTIF(INGRESOS!E:E,Tabla6[[#This Row],[ID FACTURA]])=1,"PAGADA",Tabla6[[#This Row],[ID FACTURA]]&lt;&gt;0,"EMITIDA",Tabla6[[#This Row],[ID FACTURA]]=0,"POR EMITIR")</f>
        <v>PAGADA</v>
      </c>
      <c r="M756" s="55">
        <f>+IF(Tabla6[[#This Row],[ESTADO FACTURA]]="PAGADA",Tabla6[[#This Row],[FECHA]]-_xlfn.XLOOKUP(Tabla6[[#This Row],[N° FACTURA]],INGRESOS!F:F,INGRESOS!A:A),"-")</f>
        <v>3</v>
      </c>
      <c r="N756" s="2"/>
      <c r="O756"/>
    </row>
    <row r="757" spans="1:15" ht="14.75" customHeight="1">
      <c r="A757" s="320" t="s">
        <v>1001</v>
      </c>
      <c r="B757" t="str">
        <f>+_xlfn.XLOOKUP(Tabla6[[#This Row],[ID CLIENTE]],'RESUMEN CLIENTES'!D:D,'RESUMEN CLIENTES'!A:A)</f>
        <v>Karenn Yadira Tavera Lara</v>
      </c>
      <c r="C757" t="str">
        <f>+_xlfn.XLOOKUP(Tabla6[[#This Row],[ID CLIENTE]],'RESUMEN CLIENTES'!D:D,'RESUMEN CLIENTES'!C:C)</f>
        <v>México</v>
      </c>
      <c r="D757" s="44" t="str">
        <f>+_xlfn.XLOOKUP(Tabla6[[#This Row],[ID CLIENTE]],'RESUMEN CLIENTES'!D:D,'RESUMEN CLIENTES'!M:M)</f>
        <v>OK</v>
      </c>
      <c r="E757" s="72">
        <f>+_xlfn.XLOOKUP(Tabla6[[#This Row],[NOMBRE]],'RESUMEN CLIENTES'!A:A,'RESUMEN CLIENTES'!X:X)</f>
        <v>1.5</v>
      </c>
      <c r="F757" s="72">
        <f>+_xlfn.XLOOKUP(Tabla6[[#This Row],[ID CLIENTE]],'RESUMEN CLIENTES'!D:D,'RESUMEN CLIENTES'!W:W)</f>
        <v>1</v>
      </c>
      <c r="G757" s="17">
        <v>46010</v>
      </c>
      <c r="H757" s="44" t="s">
        <v>81</v>
      </c>
      <c r="I757" s="2">
        <v>1000</v>
      </c>
      <c r="J757" s="20" t="s">
        <v>1689</v>
      </c>
      <c r="K757" t="s">
        <v>1690</v>
      </c>
      <c r="L757" s="44" t="str" cm="1">
        <f t="array" ref="L757">+_xlfn.IFS(COUNTIF(INGRESOS!E:E,Tabla6[[#This Row],[ID FACTURA]])=1,"PAGADA",Tabla6[[#This Row],[ID FACTURA]]&lt;&gt;0,"EMITIDA",Tabla6[[#This Row],[ID FACTURA]]=0,"POR EMITIR")</f>
        <v>PAGADA</v>
      </c>
      <c r="M757" s="55">
        <f>+IF(Tabla6[[#This Row],[ESTADO FACTURA]]="PAGADA",Tabla6[[#This Row],[FECHA]]-_xlfn.XLOOKUP(Tabla6[[#This Row],[N° FACTURA]],INGRESOS!F:F,INGRESOS!A:A),"-")</f>
        <v>-3</v>
      </c>
      <c r="N757" s="2"/>
      <c r="O757"/>
    </row>
    <row r="758" spans="1:15" ht="14.75" customHeight="1">
      <c r="A758" s="320" t="s">
        <v>574</v>
      </c>
      <c r="B758" t="str">
        <f>+_xlfn.XLOOKUP(Tabla6[[#This Row],[ID CLIENTE]],'RESUMEN CLIENTES'!D:D,'RESUMEN CLIENTES'!A:A)</f>
        <v>Astrid Mariam Enamorado Ortega</v>
      </c>
      <c r="C758" t="str">
        <f>+_xlfn.XLOOKUP(Tabla6[[#This Row],[ID CLIENTE]],'RESUMEN CLIENTES'!D:D,'RESUMEN CLIENTES'!C:C)</f>
        <v>Honduras</v>
      </c>
      <c r="D758" s="44" t="str">
        <f>+_xlfn.XLOOKUP(Tabla6[[#This Row],[ID CLIENTE]],'RESUMEN CLIENTES'!D:D,'RESUMEN CLIENTES'!M:M)</f>
        <v>OK</v>
      </c>
      <c r="E758" s="72">
        <f>+_xlfn.XLOOKUP(Tabla6[[#This Row],[NOMBRE]],'RESUMEN CLIENTES'!A:A,'RESUMEN CLIENTES'!X:X)</f>
        <v>-1.75</v>
      </c>
      <c r="F758" s="72">
        <f>+_xlfn.XLOOKUP(Tabla6[[#This Row],[ID CLIENTE]],'RESUMEN CLIENTES'!D:D,'RESUMEN CLIENTES'!W:W)</f>
        <v>0</v>
      </c>
      <c r="G758" s="17">
        <v>46011</v>
      </c>
      <c r="H758" s="44" t="s">
        <v>81</v>
      </c>
      <c r="I758" s="2">
        <v>1200</v>
      </c>
      <c r="J758" s="20" t="s">
        <v>1691</v>
      </c>
      <c r="K758" t="s">
        <v>1692</v>
      </c>
      <c r="L758" s="44" t="str" cm="1">
        <f t="array" ref="L758">+_xlfn.IFS(COUNTIF(INGRESOS!E:E,Tabla6[[#This Row],[ID FACTURA]])=1,"PAGADA",Tabla6[[#This Row],[ID FACTURA]]&lt;&gt;0,"EMITIDA",Tabla6[[#This Row],[ID FACTURA]]=0,"POR EMITIR")</f>
        <v>PAGADA</v>
      </c>
      <c r="M758" s="55">
        <f>+IF(Tabla6[[#This Row],[ESTADO FACTURA]]="PAGADA",Tabla6[[#This Row],[FECHA]]-_xlfn.XLOOKUP(Tabla6[[#This Row],[N° FACTURA]],INGRESOS!F:F,INGRESOS!A:A),"-")</f>
        <v>-4</v>
      </c>
      <c r="N758" s="2"/>
      <c r="O758"/>
    </row>
    <row r="759" spans="1:15" ht="14.75" customHeight="1">
      <c r="A759" s="320" t="s">
        <v>587</v>
      </c>
      <c r="B759" t="str">
        <f>+_xlfn.XLOOKUP(Tabla6[[#This Row],[ID CLIENTE]],'RESUMEN CLIENTES'!D:D,'RESUMEN CLIENTES'!A:A)</f>
        <v>Keidwin Perez</v>
      </c>
      <c r="C759" t="str">
        <f>+_xlfn.XLOOKUP(Tabla6[[#This Row],[ID CLIENTE]],'RESUMEN CLIENTES'!D:D,'RESUMEN CLIENTES'!C:C)</f>
        <v>Colombia</v>
      </c>
      <c r="D759" s="44" t="str">
        <f>+_xlfn.XLOOKUP(Tabla6[[#This Row],[ID CLIENTE]],'RESUMEN CLIENTES'!D:D,'RESUMEN CLIENTES'!M:M)</f>
        <v>OK</v>
      </c>
      <c r="E759" s="72">
        <f>+_xlfn.XLOOKUP(Tabla6[[#This Row],[NOMBRE]],'RESUMEN CLIENTES'!A:A,'RESUMEN CLIENTES'!X:X)</f>
        <v>-4.25</v>
      </c>
      <c r="F759" s="72">
        <f>+_xlfn.XLOOKUP(Tabla6[[#This Row],[ID CLIENTE]],'RESUMEN CLIENTES'!D:D,'RESUMEN CLIENTES'!W:W)</f>
        <v>1</v>
      </c>
      <c r="G759" s="17">
        <v>46011</v>
      </c>
      <c r="H759" s="44" t="s">
        <v>81</v>
      </c>
      <c r="I759" s="2">
        <v>750</v>
      </c>
      <c r="J759" s="20" t="s">
        <v>1693</v>
      </c>
      <c r="K759" t="s">
        <v>1694</v>
      </c>
      <c r="L759" s="44" t="str" cm="1">
        <f t="array" ref="L759">+_xlfn.IFS(COUNTIF(INGRESOS!E:E,Tabla6[[#This Row],[ID FACTURA]])=1,"PAGADA",Tabla6[[#This Row],[ID FACTURA]]&lt;&gt;0,"EMITIDA",Tabla6[[#This Row],[ID FACTURA]]=0,"POR EMITIR")</f>
        <v>PAGADA</v>
      </c>
      <c r="M759" s="55">
        <f>+IF(Tabla6[[#This Row],[ESTADO FACTURA]]="PAGADA",Tabla6[[#This Row],[FECHA]]-_xlfn.XLOOKUP(Tabla6[[#This Row],[N° FACTURA]],INGRESOS!F:F,INGRESOS!A:A),"-")</f>
        <v>-11</v>
      </c>
      <c r="N759" s="2"/>
      <c r="O759"/>
    </row>
    <row r="760" spans="1:15" ht="14.75" customHeight="1">
      <c r="A760" s="320" t="s">
        <v>1440</v>
      </c>
      <c r="B760" t="str">
        <f>+_xlfn.XLOOKUP(Tabla6[[#This Row],[ID CLIENTE]],'RESUMEN CLIENTES'!D:D,'RESUMEN CLIENTES'!A:A)</f>
        <v>Nicolas Gonzalez</v>
      </c>
      <c r="C760" t="str">
        <f>+_xlfn.XLOOKUP(Tabla6[[#This Row],[ID CLIENTE]],'RESUMEN CLIENTES'!D:D,'RESUMEN CLIENTES'!C:C)</f>
        <v>Colombia</v>
      </c>
      <c r="D760" s="44" t="str">
        <f>+_xlfn.XLOOKUP(Tabla6[[#This Row],[ID CLIENTE]],'RESUMEN CLIENTES'!D:D,'RESUMEN CLIENTES'!M:M)</f>
        <v>EN PAUSA</v>
      </c>
      <c r="E760" s="71">
        <f>+_xlfn.XLOOKUP(Tabla6[[#This Row],[NOMBRE]],'RESUMEN CLIENTES'!A:A,'RESUMEN CLIENTES'!X:X)</f>
        <v>0.5</v>
      </c>
      <c r="F760" s="71">
        <f>+_xlfn.XLOOKUP(Tabla6[[#This Row],[ID CLIENTE]],'RESUMEN CLIENTES'!D:D,'RESUMEN CLIENTES'!W:W)</f>
        <v>0</v>
      </c>
      <c r="G760" s="17">
        <v>46012</v>
      </c>
      <c r="H760" s="169" t="s">
        <v>81</v>
      </c>
      <c r="I760" s="2">
        <v>1500</v>
      </c>
      <c r="J760"/>
      <c r="K760"/>
      <c r="L760" s="44" t="str" cm="1">
        <f t="array" ref="L760">+_xlfn.IFS(COUNTIF(INGRESOS!E:E,Tabla6[[#This Row],[ID FACTURA]])=1,"PAGADA",Tabla6[[#This Row],[ID FACTURA]]&lt;&gt;0,"EMITIDA",Tabla6[[#This Row],[ID FACTURA]]=0,"POR EMITIR")</f>
        <v>POR EMITIR</v>
      </c>
      <c r="M760" s="55" t="str">
        <f>+IF(Tabla6[[#This Row],[ESTADO FACTURA]]="PAGADA",Tabla6[[#This Row],[FECHA]]-_xlfn.XLOOKUP(Tabla6[[#This Row],[N° FACTURA]],INGRESOS!F:F,INGRESOS!A:A),"-")</f>
        <v>-</v>
      </c>
      <c r="N760" s="2"/>
      <c r="O760" t="s">
        <v>1695</v>
      </c>
    </row>
    <row r="761" spans="1:15" ht="14.75" customHeight="1">
      <c r="A761" s="320" t="s">
        <v>1696</v>
      </c>
      <c r="B761" t="str">
        <f>+_xlfn.XLOOKUP(Tabla6[[#This Row],[ID CLIENTE]],'RESUMEN CLIENTES'!D:D,'RESUMEN CLIENTES'!A:A)</f>
        <v>Nelfris Moret</v>
      </c>
      <c r="C761" t="str">
        <f>+_xlfn.XLOOKUP(Tabla6[[#This Row],[ID CLIENTE]],'RESUMEN CLIENTES'!D:D,'RESUMEN CLIENTES'!C:C)</f>
        <v>Venezuela</v>
      </c>
      <c r="D761" s="169" t="str">
        <f>+_xlfn.XLOOKUP(Tabla6[[#This Row],[ID CLIENTE]],'RESUMEN CLIENTES'!D:D,'RESUMEN CLIENTES'!M:M)</f>
        <v>EN PAUSA</v>
      </c>
      <c r="E761" s="71">
        <f>+_xlfn.XLOOKUP(Tabla6[[#This Row],[NOMBRE]],'RESUMEN CLIENTES'!A:A,'RESUMEN CLIENTES'!X:X)</f>
        <v>0</v>
      </c>
      <c r="F761" s="71">
        <f>+_xlfn.XLOOKUP(Tabla6[[#This Row],[ID CLIENTE]],'RESUMEN CLIENTES'!D:D,'RESUMEN CLIENTES'!W:W)</f>
        <v>0</v>
      </c>
      <c r="G761" s="17">
        <v>46013</v>
      </c>
      <c r="H761" s="169" t="s">
        <v>81</v>
      </c>
      <c r="I761" s="2">
        <v>250</v>
      </c>
      <c r="J761" s="20" t="s">
        <v>1697</v>
      </c>
      <c r="K761" t="s">
        <v>1698</v>
      </c>
      <c r="L761" s="44" t="str" cm="1">
        <f t="array" ref="L761">+_xlfn.IFS(COUNTIF(INGRESOS!E:E,Tabla6[[#This Row],[ID FACTURA]])=1,"PAGADA",Tabla6[[#This Row],[ID FACTURA]]&lt;&gt;0,"EMITIDA",Tabla6[[#This Row],[ID FACTURA]]=0,"POR EMITIR")</f>
        <v>PAGADA</v>
      </c>
      <c r="M761" s="55">
        <f>+IF(Tabla6[[#This Row],[ESTADO FACTURA]]="PAGADA",Tabla6[[#This Row],[FECHA]]-_xlfn.XLOOKUP(Tabla6[[#This Row],[N° FACTURA]],INGRESOS!F:F,INGRESOS!A:A),"-")</f>
        <v>0</v>
      </c>
      <c r="O761"/>
    </row>
    <row r="762" spans="1:15" ht="14.75" customHeight="1">
      <c r="A762" s="320" t="s">
        <v>250</v>
      </c>
      <c r="B762" t="str">
        <f>+_xlfn.XLOOKUP(Tabla6[[#This Row],[ID CLIENTE]],'RESUMEN CLIENTES'!D:D,'RESUMEN CLIENTES'!A:A)</f>
        <v>Fernanda Castro</v>
      </c>
      <c r="C762" t="str">
        <f>+_xlfn.XLOOKUP(Tabla6[[#This Row],[ID CLIENTE]],'RESUMEN CLIENTES'!D:D,'RESUMEN CLIENTES'!C:C)</f>
        <v>Ecuador</v>
      </c>
      <c r="D762" s="44" t="str">
        <f>+_xlfn.XLOOKUP(Tabla6[[#This Row],[ID CLIENTE]],'RESUMEN CLIENTES'!D:D,'RESUMEN CLIENTES'!M:M)</f>
        <v>OK</v>
      </c>
      <c r="E762" s="72">
        <f>+_xlfn.XLOOKUP(Tabla6[[#This Row],[NOMBRE]],'RESUMEN CLIENTES'!A:A,'RESUMEN CLIENTES'!X:X)</f>
        <v>0</v>
      </c>
      <c r="F762" s="72">
        <f>+_xlfn.XLOOKUP(Tabla6[[#This Row],[ID CLIENTE]],'RESUMEN CLIENTES'!D:D,'RESUMEN CLIENTES'!W:W)</f>
        <v>1</v>
      </c>
      <c r="G762" s="17">
        <v>46014</v>
      </c>
      <c r="H762" s="44" t="s">
        <v>81</v>
      </c>
      <c r="I762" s="2">
        <v>1000</v>
      </c>
      <c r="J762" s="20" t="s">
        <v>1699</v>
      </c>
      <c r="K762" t="s">
        <v>1700</v>
      </c>
      <c r="L762" s="44" t="str" cm="1">
        <f t="array" ref="L762">+_xlfn.IFS(COUNTIF(INGRESOS!E:E,Tabla6[[#This Row],[ID FACTURA]])=1,"PAGADA",Tabla6[[#This Row],[ID FACTURA]]&lt;&gt;0,"EMITIDA",Tabla6[[#This Row],[ID FACTURA]]=0,"POR EMITIR")</f>
        <v>PAGADA</v>
      </c>
      <c r="M762" s="55">
        <f>+IF(Tabla6[[#This Row],[ESTADO FACTURA]]="PAGADA",Tabla6[[#This Row],[FECHA]]-_xlfn.XLOOKUP(Tabla6[[#This Row],[N° FACTURA]],INGRESOS!F:F,INGRESOS!A:A),"-")</f>
        <v>-1</v>
      </c>
      <c r="N762" s="2"/>
      <c r="O762"/>
    </row>
    <row r="763" spans="1:15" ht="14.75" customHeight="1">
      <c r="A763" s="320" t="s">
        <v>855</v>
      </c>
      <c r="B763" t="str">
        <f>+_xlfn.XLOOKUP(Tabla6[[#This Row],[ID CLIENTE]],'RESUMEN CLIENTES'!D:D,'RESUMEN CLIENTES'!A:A)</f>
        <v>Paula Ida Elisa Saris Sommer</v>
      </c>
      <c r="C763" t="str">
        <f>+_xlfn.XLOOKUP(Tabla6[[#This Row],[ID CLIENTE]],'RESUMEN CLIENTES'!D:D,'RESUMEN CLIENTES'!C:C)</f>
        <v>Argentina</v>
      </c>
      <c r="D763" s="44" t="str">
        <f>+_xlfn.XLOOKUP(Tabla6[[#This Row],[ID CLIENTE]],'RESUMEN CLIENTES'!D:D,'RESUMEN CLIENTES'!M:M)</f>
        <v>OK</v>
      </c>
      <c r="E763" s="72">
        <f>+_xlfn.XLOOKUP(Tabla6[[#This Row],[NOMBRE]],'RESUMEN CLIENTES'!A:A,'RESUMEN CLIENTES'!X:X)</f>
        <v>-8.7894736842105257</v>
      </c>
      <c r="F763" s="71">
        <f>+_xlfn.XLOOKUP(Tabla6[[#This Row],[ID CLIENTE]],'RESUMEN CLIENTES'!D:D,'RESUMEN CLIENTES'!W:W)</f>
        <v>0</v>
      </c>
      <c r="G763" s="17">
        <v>46014</v>
      </c>
      <c r="H763" s="44" t="s">
        <v>81</v>
      </c>
      <c r="I763" s="2">
        <v>700</v>
      </c>
      <c r="J763" s="20" t="s">
        <v>1723</v>
      </c>
      <c r="K763" t="s">
        <v>1724</v>
      </c>
      <c r="L763" s="44" t="str" cm="1">
        <f t="array" ref="L763">+_xlfn.IFS(COUNTIF(INGRESOS!E:E,Tabla6[[#This Row],[ID FACTURA]])=1,"PAGADA",Tabla6[[#This Row],[ID FACTURA]]&lt;&gt;0,"EMITIDA",Tabla6[[#This Row],[ID FACTURA]]=0,"POR EMITIR")</f>
        <v>PAGADA</v>
      </c>
      <c r="M763" s="55">
        <f>+IF(Tabla6[[#This Row],[ESTADO FACTURA]]="PAGADA",Tabla6[[#This Row],[FECHA]]-_xlfn.XLOOKUP(Tabla6[[#This Row],[N° FACTURA]],INGRESOS!F:F,INGRESOS!A:A),"-")</f>
        <v>-20</v>
      </c>
      <c r="O763"/>
    </row>
    <row r="764" spans="1:15" ht="14.75" customHeight="1">
      <c r="A764" s="320" t="s">
        <v>855</v>
      </c>
      <c r="B764" t="str">
        <f>+_xlfn.XLOOKUP(Tabla6[[#This Row],[ID CLIENTE]],'RESUMEN CLIENTES'!D:D,'RESUMEN CLIENTES'!A:A)</f>
        <v>Paula Ida Elisa Saris Sommer</v>
      </c>
      <c r="C764" t="str">
        <f>+_xlfn.XLOOKUP(Tabla6[[#This Row],[ID CLIENTE]],'RESUMEN CLIENTES'!D:D,'RESUMEN CLIENTES'!C:C)</f>
        <v>Argentina</v>
      </c>
      <c r="D764" s="44" t="str">
        <f>+_xlfn.XLOOKUP(Tabla6[[#This Row],[ID CLIENTE]],'RESUMEN CLIENTES'!D:D,'RESUMEN CLIENTES'!M:M)</f>
        <v>OK</v>
      </c>
      <c r="E764" s="72">
        <f>+_xlfn.XLOOKUP(Tabla6[[#This Row],[NOMBRE]],'RESUMEN CLIENTES'!A:A,'RESUMEN CLIENTES'!X:X)</f>
        <v>-8.7894736842105257</v>
      </c>
      <c r="F764" s="71">
        <f>+_xlfn.XLOOKUP(Tabla6[[#This Row],[ID CLIENTE]],'RESUMEN CLIENTES'!D:D,'RESUMEN CLIENTES'!W:W)</f>
        <v>0</v>
      </c>
      <c r="G764" s="17">
        <v>46014</v>
      </c>
      <c r="H764" s="169" t="s">
        <v>81</v>
      </c>
      <c r="I764" s="2">
        <v>1000</v>
      </c>
      <c r="J764" s="20" t="s">
        <v>1701</v>
      </c>
      <c r="K764" t="s">
        <v>1702</v>
      </c>
      <c r="L764" s="44" t="str" cm="1">
        <f t="array" ref="L764">+_xlfn.IFS(COUNTIF(INGRESOS!E:E,Tabla6[[#This Row],[ID FACTURA]])=1,"PAGADA",Tabla6[[#This Row],[ID FACTURA]]&lt;&gt;0,"EMITIDA",Tabla6[[#This Row],[ID FACTURA]]=0,"POR EMITIR")</f>
        <v>PAGADA</v>
      </c>
      <c r="M764" s="55">
        <f>+IF(Tabla6[[#This Row],[ESTADO FACTURA]]="PAGADA",Tabla6[[#This Row],[FECHA]]-_xlfn.XLOOKUP(Tabla6[[#This Row],[N° FACTURA]],INGRESOS!F:F,INGRESOS!A:A),"-")</f>
        <v>-3</v>
      </c>
      <c r="N764" s="214"/>
      <c r="O764"/>
    </row>
    <row r="765" spans="1:15" ht="14.75" customHeight="1">
      <c r="A765" s="320" t="s">
        <v>855</v>
      </c>
      <c r="B765" t="str">
        <f>+_xlfn.XLOOKUP(Tabla6[[#This Row],[ID CLIENTE]],'RESUMEN CLIENTES'!D:D,'RESUMEN CLIENTES'!A:A)</f>
        <v>Paula Ida Elisa Saris Sommer</v>
      </c>
      <c r="C765" t="str">
        <f>+_xlfn.XLOOKUP(Tabla6[[#This Row],[ID CLIENTE]],'RESUMEN CLIENTES'!D:D,'RESUMEN CLIENTES'!C:C)</f>
        <v>Argentina</v>
      </c>
      <c r="D765" s="44" t="str">
        <f>+_xlfn.XLOOKUP(Tabla6[[#This Row],[ID CLIENTE]],'RESUMEN CLIENTES'!D:D,'RESUMEN CLIENTES'!M:M)</f>
        <v>OK</v>
      </c>
      <c r="E765" s="72">
        <f>+_xlfn.XLOOKUP(Tabla6[[#This Row],[NOMBRE]],'RESUMEN CLIENTES'!A:A,'RESUMEN CLIENTES'!X:X)</f>
        <v>-8.7894736842105257</v>
      </c>
      <c r="F765" s="71">
        <f>+_xlfn.XLOOKUP(Tabla6[[#This Row],[ID CLIENTE]],'RESUMEN CLIENTES'!D:D,'RESUMEN CLIENTES'!W:W)</f>
        <v>0</v>
      </c>
      <c r="G765" s="17">
        <v>46014</v>
      </c>
      <c r="H765" s="169" t="s">
        <v>81</v>
      </c>
      <c r="I765" s="2">
        <v>1000</v>
      </c>
      <c r="J765" s="20" t="s">
        <v>1703</v>
      </c>
      <c r="K765" t="s">
        <v>1704</v>
      </c>
      <c r="L765" s="44" t="str" cm="1">
        <f t="array" ref="L765">+_xlfn.IFS(COUNTIF(INGRESOS!E:E,Tabla6[[#This Row],[ID FACTURA]])=1,"PAGADA",Tabla6[[#This Row],[ID FACTURA]]&lt;&gt;0,"EMITIDA",Tabla6[[#This Row],[ID FACTURA]]=0,"POR EMITIR")</f>
        <v>PAGADA</v>
      </c>
      <c r="M765" s="55">
        <f>+IF(Tabla6[[#This Row],[ESTADO FACTURA]]="PAGADA",Tabla6[[#This Row],[FECHA]]-_xlfn.XLOOKUP(Tabla6[[#This Row],[N° FACTURA]],INGRESOS!F:F,INGRESOS!A:A),"-")</f>
        <v>-6</v>
      </c>
      <c r="N765" s="214"/>
      <c r="O765"/>
    </row>
    <row r="766" spans="1:15" ht="14.75" customHeight="1">
      <c r="A766" s="320" t="s">
        <v>855</v>
      </c>
      <c r="B766" t="str">
        <f>+_xlfn.XLOOKUP(Tabla6[[#This Row],[ID CLIENTE]],'RESUMEN CLIENTES'!D:D,'RESUMEN CLIENTES'!A:A)</f>
        <v>Paula Ida Elisa Saris Sommer</v>
      </c>
      <c r="C766" t="str">
        <f>+_xlfn.XLOOKUP(Tabla6[[#This Row],[ID CLIENTE]],'RESUMEN CLIENTES'!D:D,'RESUMEN CLIENTES'!C:C)</f>
        <v>Argentina</v>
      </c>
      <c r="D766" s="44" t="str">
        <f>+_xlfn.XLOOKUP(Tabla6[[#This Row],[ID CLIENTE]],'RESUMEN CLIENTES'!D:D,'RESUMEN CLIENTES'!M:M)</f>
        <v>OK</v>
      </c>
      <c r="E766" s="72">
        <f>+_xlfn.XLOOKUP(Tabla6[[#This Row],[NOMBRE]],'RESUMEN CLIENTES'!A:A,'RESUMEN CLIENTES'!X:X)</f>
        <v>-8.7894736842105257</v>
      </c>
      <c r="F766" s="71">
        <f>+_xlfn.XLOOKUP(Tabla6[[#This Row],[ID CLIENTE]],'RESUMEN CLIENTES'!D:D,'RESUMEN CLIENTES'!W:W)</f>
        <v>0</v>
      </c>
      <c r="G766" s="17">
        <v>46014</v>
      </c>
      <c r="H766" s="169" t="s">
        <v>81</v>
      </c>
      <c r="I766" s="2">
        <v>1000</v>
      </c>
      <c r="J766" s="20" t="s">
        <v>1705</v>
      </c>
      <c r="K766" t="s">
        <v>1706</v>
      </c>
      <c r="L766" s="44" t="str" cm="1">
        <f t="array" ref="L766">+_xlfn.IFS(COUNTIF(INGRESOS!E:E,Tabla6[[#This Row],[ID FACTURA]])=1,"PAGADA",Tabla6[[#This Row],[ID FACTURA]]&lt;&gt;0,"EMITIDA",Tabla6[[#This Row],[ID FACTURA]]=0,"POR EMITIR")</f>
        <v>PAGADA</v>
      </c>
      <c r="M766" s="55">
        <f>+IF(Tabla6[[#This Row],[ESTADO FACTURA]]="PAGADA",Tabla6[[#This Row],[FECHA]]-_xlfn.XLOOKUP(Tabla6[[#This Row],[N° FACTURA]],INGRESOS!F:F,INGRESOS!A:A),"-")</f>
        <v>-7</v>
      </c>
      <c r="N766" s="214"/>
      <c r="O766"/>
    </row>
    <row r="767" spans="1:15" ht="14.75" customHeight="1">
      <c r="A767" s="320" t="s">
        <v>855</v>
      </c>
      <c r="B767" t="str">
        <f>+_xlfn.XLOOKUP(Tabla6[[#This Row],[ID CLIENTE]],'RESUMEN CLIENTES'!D:D,'RESUMEN CLIENTES'!A:A)</f>
        <v>Paula Ida Elisa Saris Sommer</v>
      </c>
      <c r="C767" t="str">
        <f>+_xlfn.XLOOKUP(Tabla6[[#This Row],[ID CLIENTE]],'RESUMEN CLIENTES'!D:D,'RESUMEN CLIENTES'!C:C)</f>
        <v>Argentina</v>
      </c>
      <c r="D767" s="44" t="str">
        <f>+_xlfn.XLOOKUP(Tabla6[[#This Row],[ID CLIENTE]],'RESUMEN CLIENTES'!D:D,'RESUMEN CLIENTES'!M:M)</f>
        <v>OK</v>
      </c>
      <c r="E767" s="72">
        <f>+_xlfn.XLOOKUP(Tabla6[[#This Row],[NOMBRE]],'RESUMEN CLIENTES'!A:A,'RESUMEN CLIENTES'!X:X)</f>
        <v>-8.7894736842105257</v>
      </c>
      <c r="F767" s="71">
        <f>+_xlfn.XLOOKUP(Tabla6[[#This Row],[ID CLIENTE]],'RESUMEN CLIENTES'!D:D,'RESUMEN CLIENTES'!W:W)</f>
        <v>0</v>
      </c>
      <c r="G767" s="17">
        <v>46014</v>
      </c>
      <c r="H767" s="169" t="s">
        <v>81</v>
      </c>
      <c r="I767" s="2">
        <v>1000</v>
      </c>
      <c r="J767" s="20" t="s">
        <v>1707</v>
      </c>
      <c r="K767" t="s">
        <v>1708</v>
      </c>
      <c r="L767" s="44" t="str" cm="1">
        <f t="array" ref="L767">+_xlfn.IFS(COUNTIF(INGRESOS!E:E,Tabla6[[#This Row],[ID FACTURA]])=1,"PAGADA",Tabla6[[#This Row],[ID FACTURA]]&lt;&gt;0,"EMITIDA",Tabla6[[#This Row],[ID FACTURA]]=0,"POR EMITIR")</f>
        <v>PAGADA</v>
      </c>
      <c r="M767" s="55">
        <f>+IF(Tabla6[[#This Row],[ESTADO FACTURA]]="PAGADA",Tabla6[[#This Row],[FECHA]]-_xlfn.XLOOKUP(Tabla6[[#This Row],[N° FACTURA]],INGRESOS!F:F,INGRESOS!A:A),"-")</f>
        <v>-10</v>
      </c>
      <c r="N767" s="214"/>
      <c r="O767"/>
    </row>
    <row r="768" spans="1:15" ht="14.75" customHeight="1">
      <c r="A768" s="320" t="s">
        <v>855</v>
      </c>
      <c r="B768" t="str">
        <f>+_xlfn.XLOOKUP(Tabla6[[#This Row],[ID CLIENTE]],'RESUMEN CLIENTES'!D:D,'RESUMEN CLIENTES'!A:A)</f>
        <v>Paula Ida Elisa Saris Sommer</v>
      </c>
      <c r="C768" t="str">
        <f>+_xlfn.XLOOKUP(Tabla6[[#This Row],[ID CLIENTE]],'RESUMEN CLIENTES'!D:D,'RESUMEN CLIENTES'!C:C)</f>
        <v>Argentina</v>
      </c>
      <c r="D768" s="44" t="str">
        <f>+_xlfn.XLOOKUP(Tabla6[[#This Row],[ID CLIENTE]],'RESUMEN CLIENTES'!D:D,'RESUMEN CLIENTES'!M:M)</f>
        <v>OK</v>
      </c>
      <c r="E768" s="72">
        <f>+_xlfn.XLOOKUP(Tabla6[[#This Row],[NOMBRE]],'RESUMEN CLIENTES'!A:A,'RESUMEN CLIENTES'!X:X)</f>
        <v>-8.7894736842105257</v>
      </c>
      <c r="F768" s="71">
        <f>+_xlfn.XLOOKUP(Tabla6[[#This Row],[ID CLIENTE]],'RESUMEN CLIENTES'!D:D,'RESUMEN CLIENTES'!W:W)</f>
        <v>0</v>
      </c>
      <c r="G768" s="17">
        <v>46014</v>
      </c>
      <c r="H768" s="169" t="s">
        <v>81</v>
      </c>
      <c r="I768" s="2">
        <v>1000</v>
      </c>
      <c r="J768" s="20" t="s">
        <v>1709</v>
      </c>
      <c r="K768" t="s">
        <v>1710</v>
      </c>
      <c r="L768" s="44" t="str" cm="1">
        <f t="array" ref="L768">+_xlfn.IFS(COUNTIF(INGRESOS!E:E,Tabla6[[#This Row],[ID FACTURA]])=1,"PAGADA",Tabla6[[#This Row],[ID FACTURA]]&lt;&gt;0,"EMITIDA",Tabla6[[#This Row],[ID FACTURA]]=0,"POR EMITIR")</f>
        <v>PAGADA</v>
      </c>
      <c r="M768" s="55">
        <f>+IF(Tabla6[[#This Row],[ESTADO FACTURA]]="PAGADA",Tabla6[[#This Row],[FECHA]]-_xlfn.XLOOKUP(Tabla6[[#This Row],[N° FACTURA]],INGRESOS!F:F,INGRESOS!A:A),"-")</f>
        <v>-13</v>
      </c>
      <c r="N768" s="214"/>
      <c r="O768"/>
    </row>
    <row r="769" spans="1:15" ht="14.75" customHeight="1">
      <c r="A769" s="320" t="s">
        <v>855</v>
      </c>
      <c r="B769" t="str">
        <f>+_xlfn.XLOOKUP(Tabla6[[#This Row],[ID CLIENTE]],'RESUMEN CLIENTES'!D:D,'RESUMEN CLIENTES'!A:A)</f>
        <v>Paula Ida Elisa Saris Sommer</v>
      </c>
      <c r="C769" t="str">
        <f>+_xlfn.XLOOKUP(Tabla6[[#This Row],[ID CLIENTE]],'RESUMEN CLIENTES'!D:D,'RESUMEN CLIENTES'!C:C)</f>
        <v>Argentina</v>
      </c>
      <c r="D769" s="44" t="str">
        <f>+_xlfn.XLOOKUP(Tabla6[[#This Row],[ID CLIENTE]],'RESUMEN CLIENTES'!D:D,'RESUMEN CLIENTES'!M:M)</f>
        <v>OK</v>
      </c>
      <c r="E769" s="72">
        <f>+_xlfn.XLOOKUP(Tabla6[[#This Row],[NOMBRE]],'RESUMEN CLIENTES'!A:A,'RESUMEN CLIENTES'!X:X)</f>
        <v>-8.7894736842105257</v>
      </c>
      <c r="F769" s="71">
        <f>+_xlfn.XLOOKUP(Tabla6[[#This Row],[ID CLIENTE]],'RESUMEN CLIENTES'!D:D,'RESUMEN CLIENTES'!W:W)</f>
        <v>0</v>
      </c>
      <c r="G769" s="17">
        <v>46014</v>
      </c>
      <c r="H769" s="169" t="s">
        <v>81</v>
      </c>
      <c r="I769" s="2">
        <v>1000</v>
      </c>
      <c r="J769" s="20" t="s">
        <v>1711</v>
      </c>
      <c r="K769" t="s">
        <v>1712</v>
      </c>
      <c r="L769" s="44" t="str" cm="1">
        <f t="array" ref="L769">+_xlfn.IFS(COUNTIF(INGRESOS!E:E,Tabla6[[#This Row],[ID FACTURA]])=1,"PAGADA",Tabla6[[#This Row],[ID FACTURA]]&lt;&gt;0,"EMITIDA",Tabla6[[#This Row],[ID FACTURA]]=0,"POR EMITIR")</f>
        <v>PAGADA</v>
      </c>
      <c r="M769" s="55">
        <f>+IF(Tabla6[[#This Row],[ESTADO FACTURA]]="PAGADA",Tabla6[[#This Row],[FECHA]]-_xlfn.XLOOKUP(Tabla6[[#This Row],[N° FACTURA]],INGRESOS!F:F,INGRESOS!A:A),"-")</f>
        <v>-14</v>
      </c>
      <c r="N769" s="214"/>
      <c r="O769"/>
    </row>
    <row r="770" spans="1:15" ht="14.75" customHeight="1">
      <c r="A770" s="320" t="s">
        <v>855</v>
      </c>
      <c r="B770" t="str">
        <f>+_xlfn.XLOOKUP(Tabla6[[#This Row],[ID CLIENTE]],'RESUMEN CLIENTES'!D:D,'RESUMEN CLIENTES'!A:A)</f>
        <v>Paula Ida Elisa Saris Sommer</v>
      </c>
      <c r="C770" t="str">
        <f>+_xlfn.XLOOKUP(Tabla6[[#This Row],[ID CLIENTE]],'RESUMEN CLIENTES'!D:D,'RESUMEN CLIENTES'!C:C)</f>
        <v>Argentina</v>
      </c>
      <c r="D770" s="44" t="str">
        <f>+_xlfn.XLOOKUP(Tabla6[[#This Row],[ID CLIENTE]],'RESUMEN CLIENTES'!D:D,'RESUMEN CLIENTES'!M:M)</f>
        <v>OK</v>
      </c>
      <c r="E770" s="72">
        <f>+_xlfn.XLOOKUP(Tabla6[[#This Row],[NOMBRE]],'RESUMEN CLIENTES'!A:A,'RESUMEN CLIENTES'!X:X)</f>
        <v>-8.7894736842105257</v>
      </c>
      <c r="F770" s="71">
        <f>+_xlfn.XLOOKUP(Tabla6[[#This Row],[ID CLIENTE]],'RESUMEN CLIENTES'!D:D,'RESUMEN CLIENTES'!W:W)</f>
        <v>0</v>
      </c>
      <c r="G770" s="17">
        <v>46014</v>
      </c>
      <c r="H770" s="169" t="s">
        <v>81</v>
      </c>
      <c r="I770" s="2">
        <v>1000</v>
      </c>
      <c r="J770" s="20" t="s">
        <v>1713</v>
      </c>
      <c r="K770" t="s">
        <v>1714</v>
      </c>
      <c r="L770" s="44" t="str" cm="1">
        <f t="array" ref="L770">+_xlfn.IFS(COUNTIF(INGRESOS!E:E,Tabla6[[#This Row],[ID FACTURA]])=1,"PAGADA",Tabla6[[#This Row],[ID FACTURA]]&lt;&gt;0,"EMITIDA",Tabla6[[#This Row],[ID FACTURA]]=0,"POR EMITIR")</f>
        <v>PAGADA</v>
      </c>
      <c r="M770" s="55">
        <f>+IF(Tabla6[[#This Row],[ESTADO FACTURA]]="PAGADA",Tabla6[[#This Row],[FECHA]]-_xlfn.XLOOKUP(Tabla6[[#This Row],[N° FACTURA]],INGRESOS!F:F,INGRESOS!A:A),"-")</f>
        <v>-15</v>
      </c>
      <c r="N770" s="214"/>
      <c r="O770"/>
    </row>
    <row r="771" spans="1:15" ht="14.75" customHeight="1">
      <c r="A771" s="320" t="s">
        <v>855</v>
      </c>
      <c r="B771" t="str">
        <f>+_xlfn.XLOOKUP(Tabla6[[#This Row],[ID CLIENTE]],'RESUMEN CLIENTES'!D:D,'RESUMEN CLIENTES'!A:A)</f>
        <v>Paula Ida Elisa Saris Sommer</v>
      </c>
      <c r="C771" t="str">
        <f>+_xlfn.XLOOKUP(Tabla6[[#This Row],[ID CLIENTE]],'RESUMEN CLIENTES'!D:D,'RESUMEN CLIENTES'!C:C)</f>
        <v>Argentina</v>
      </c>
      <c r="D771" s="44" t="str">
        <f>+_xlfn.XLOOKUP(Tabla6[[#This Row],[ID CLIENTE]],'RESUMEN CLIENTES'!D:D,'RESUMEN CLIENTES'!M:M)</f>
        <v>OK</v>
      </c>
      <c r="E771" s="72">
        <f>+_xlfn.XLOOKUP(Tabla6[[#This Row],[NOMBRE]],'RESUMEN CLIENTES'!A:A,'RESUMEN CLIENTES'!X:X)</f>
        <v>-8.7894736842105257</v>
      </c>
      <c r="F771" s="71">
        <f>+_xlfn.XLOOKUP(Tabla6[[#This Row],[ID CLIENTE]],'RESUMEN CLIENTES'!D:D,'RESUMEN CLIENTES'!W:W)</f>
        <v>0</v>
      </c>
      <c r="G771" s="17">
        <v>46014</v>
      </c>
      <c r="H771" s="169" t="s">
        <v>81</v>
      </c>
      <c r="I771" s="2">
        <v>1000</v>
      </c>
      <c r="J771" s="20" t="s">
        <v>1715</v>
      </c>
      <c r="K771" t="s">
        <v>1716</v>
      </c>
      <c r="L771" s="44" t="str" cm="1">
        <f t="array" ref="L771">+_xlfn.IFS(COUNTIF(INGRESOS!E:E,Tabla6[[#This Row],[ID FACTURA]])=1,"PAGADA",Tabla6[[#This Row],[ID FACTURA]]&lt;&gt;0,"EMITIDA",Tabla6[[#This Row],[ID FACTURA]]=0,"POR EMITIR")</f>
        <v>PAGADA</v>
      </c>
      <c r="M771" s="55">
        <f>+IF(Tabla6[[#This Row],[ESTADO FACTURA]]="PAGADA",Tabla6[[#This Row],[FECHA]]-_xlfn.XLOOKUP(Tabla6[[#This Row],[N° FACTURA]],INGRESOS!F:F,INGRESOS!A:A),"-")</f>
        <v>-16</v>
      </c>
      <c r="N771" s="214"/>
      <c r="O771"/>
    </row>
    <row r="772" spans="1:15" ht="14.75" customHeight="1">
      <c r="A772" s="320" t="s">
        <v>855</v>
      </c>
      <c r="B772" t="str">
        <f>+_xlfn.XLOOKUP(Tabla6[[#This Row],[ID CLIENTE]],'RESUMEN CLIENTES'!D:D,'RESUMEN CLIENTES'!A:A)</f>
        <v>Paula Ida Elisa Saris Sommer</v>
      </c>
      <c r="C772" t="str">
        <f>+_xlfn.XLOOKUP(Tabla6[[#This Row],[ID CLIENTE]],'RESUMEN CLIENTES'!D:D,'RESUMEN CLIENTES'!C:C)</f>
        <v>Argentina</v>
      </c>
      <c r="D772" s="44" t="str">
        <f>+_xlfn.XLOOKUP(Tabla6[[#This Row],[ID CLIENTE]],'RESUMEN CLIENTES'!D:D,'RESUMEN CLIENTES'!M:M)</f>
        <v>OK</v>
      </c>
      <c r="E772" s="72">
        <f>+_xlfn.XLOOKUP(Tabla6[[#This Row],[NOMBRE]],'RESUMEN CLIENTES'!A:A,'RESUMEN CLIENTES'!X:X)</f>
        <v>-8.7894736842105257</v>
      </c>
      <c r="F772" s="71">
        <f>+_xlfn.XLOOKUP(Tabla6[[#This Row],[ID CLIENTE]],'RESUMEN CLIENTES'!D:D,'RESUMEN CLIENTES'!W:W)</f>
        <v>0</v>
      </c>
      <c r="G772" s="17">
        <v>46014</v>
      </c>
      <c r="H772" s="169" t="s">
        <v>81</v>
      </c>
      <c r="I772" s="2">
        <v>1000</v>
      </c>
      <c r="J772" s="20" t="s">
        <v>1717</v>
      </c>
      <c r="K772" t="s">
        <v>1718</v>
      </c>
      <c r="L772" s="44" t="str" cm="1">
        <f t="array" ref="L772">+_xlfn.IFS(COUNTIF(INGRESOS!E:E,Tabla6[[#This Row],[ID FACTURA]])=1,"PAGADA",Tabla6[[#This Row],[ID FACTURA]]&lt;&gt;0,"EMITIDA",Tabla6[[#This Row],[ID FACTURA]]=0,"POR EMITIR")</f>
        <v>PAGADA</v>
      </c>
      <c r="M772" s="55">
        <f>+IF(Tabla6[[#This Row],[ESTADO FACTURA]]="PAGADA",Tabla6[[#This Row],[FECHA]]-_xlfn.XLOOKUP(Tabla6[[#This Row],[N° FACTURA]],INGRESOS!F:F,INGRESOS!A:A),"-")</f>
        <v>-20</v>
      </c>
      <c r="N772" s="214"/>
      <c r="O772"/>
    </row>
    <row r="773" spans="1:15" ht="14.75" customHeight="1">
      <c r="A773" s="320" t="s">
        <v>855</v>
      </c>
      <c r="B773" t="str">
        <f>+_xlfn.XLOOKUP(Tabla6[[#This Row],[ID CLIENTE]],'RESUMEN CLIENTES'!D:D,'RESUMEN CLIENTES'!A:A)</f>
        <v>Paula Ida Elisa Saris Sommer</v>
      </c>
      <c r="C773" t="str">
        <f>+_xlfn.XLOOKUP(Tabla6[[#This Row],[ID CLIENTE]],'RESUMEN CLIENTES'!D:D,'RESUMEN CLIENTES'!C:C)</f>
        <v>Argentina</v>
      </c>
      <c r="D773" s="44" t="str">
        <f>+_xlfn.XLOOKUP(Tabla6[[#This Row],[ID CLIENTE]],'RESUMEN CLIENTES'!D:D,'RESUMEN CLIENTES'!M:M)</f>
        <v>OK</v>
      </c>
      <c r="E773" s="72">
        <f>+_xlfn.XLOOKUP(Tabla6[[#This Row],[NOMBRE]],'RESUMEN CLIENTES'!A:A,'RESUMEN CLIENTES'!X:X)</f>
        <v>-8.7894736842105257</v>
      </c>
      <c r="F773" s="71">
        <f>+_xlfn.XLOOKUP(Tabla6[[#This Row],[ID CLIENTE]],'RESUMEN CLIENTES'!D:D,'RESUMEN CLIENTES'!W:W)</f>
        <v>0</v>
      </c>
      <c r="G773" s="17">
        <v>46014</v>
      </c>
      <c r="H773" s="169" t="s">
        <v>81</v>
      </c>
      <c r="I773" s="2">
        <v>1000</v>
      </c>
      <c r="J773" s="20" t="s">
        <v>1719</v>
      </c>
      <c r="K773" t="s">
        <v>1720</v>
      </c>
      <c r="L773" s="44" t="str" cm="1">
        <f t="array" ref="L773">+_xlfn.IFS(COUNTIF(INGRESOS!E:E,Tabla6[[#This Row],[ID FACTURA]])=1,"PAGADA",Tabla6[[#This Row],[ID FACTURA]]&lt;&gt;0,"EMITIDA",Tabla6[[#This Row],[ID FACTURA]]=0,"POR EMITIR")</f>
        <v>PAGADA</v>
      </c>
      <c r="M773" s="55">
        <f>+IF(Tabla6[[#This Row],[ESTADO FACTURA]]="PAGADA",Tabla6[[#This Row],[FECHA]]-_xlfn.XLOOKUP(Tabla6[[#This Row],[N° FACTURA]],INGRESOS!F:F,INGRESOS!A:A),"-")</f>
        <v>-20</v>
      </c>
      <c r="N773" s="214"/>
      <c r="O773"/>
    </row>
    <row r="774" spans="1:15" ht="14.75" customHeight="1">
      <c r="A774" s="320" t="s">
        <v>855</v>
      </c>
      <c r="B774" t="str">
        <f>+_xlfn.XLOOKUP(Tabla6[[#This Row],[ID CLIENTE]],'RESUMEN CLIENTES'!D:D,'RESUMEN CLIENTES'!A:A)</f>
        <v>Paula Ida Elisa Saris Sommer</v>
      </c>
      <c r="C774" t="str">
        <f>+_xlfn.XLOOKUP(Tabla6[[#This Row],[ID CLIENTE]],'RESUMEN CLIENTES'!D:D,'RESUMEN CLIENTES'!C:C)</f>
        <v>Argentina</v>
      </c>
      <c r="D774" s="44" t="str">
        <f>+_xlfn.XLOOKUP(Tabla6[[#This Row],[ID CLIENTE]],'RESUMEN CLIENTES'!D:D,'RESUMEN CLIENTES'!M:M)</f>
        <v>OK</v>
      </c>
      <c r="E774" s="72">
        <f>+_xlfn.XLOOKUP(Tabla6[[#This Row],[NOMBRE]],'RESUMEN CLIENTES'!A:A,'RESUMEN CLIENTES'!X:X)</f>
        <v>-8.7894736842105257</v>
      </c>
      <c r="F774" s="71">
        <f>+_xlfn.XLOOKUP(Tabla6[[#This Row],[ID CLIENTE]],'RESUMEN CLIENTES'!D:D,'RESUMEN CLIENTES'!W:W)</f>
        <v>0</v>
      </c>
      <c r="G774" s="17">
        <v>46014</v>
      </c>
      <c r="H774" s="169" t="s">
        <v>81</v>
      </c>
      <c r="I774" s="2">
        <v>1000</v>
      </c>
      <c r="J774" s="20" t="s">
        <v>1721</v>
      </c>
      <c r="K774" t="s">
        <v>1722</v>
      </c>
      <c r="L774" s="44" t="str" cm="1">
        <f t="array" ref="L774">+_xlfn.IFS(COUNTIF(INGRESOS!E:E,Tabla6[[#This Row],[ID FACTURA]])=1,"PAGADA",Tabla6[[#This Row],[ID FACTURA]]&lt;&gt;0,"EMITIDA",Tabla6[[#This Row],[ID FACTURA]]=0,"POR EMITIR")</f>
        <v>PAGADA</v>
      </c>
      <c r="M774" s="55">
        <f>+IF(Tabla6[[#This Row],[ESTADO FACTURA]]="PAGADA",Tabla6[[#This Row],[FECHA]]-_xlfn.XLOOKUP(Tabla6[[#This Row],[N° FACTURA]],INGRESOS!F:F,INGRESOS!A:A),"-")</f>
        <v>-20</v>
      </c>
      <c r="N774" s="214"/>
      <c r="O774"/>
    </row>
    <row r="775" spans="1:15" ht="14.75" customHeight="1">
      <c r="A775" s="320" t="s">
        <v>994</v>
      </c>
      <c r="B775" t="str">
        <f>+_xlfn.XLOOKUP(Tabla6[[#This Row],[ID CLIENTE]],'RESUMEN CLIENTES'!D:D,'RESUMEN CLIENTES'!A:A)</f>
        <v>Raúl Ernesto Martínez Orantes</v>
      </c>
      <c r="C775" t="str">
        <f>+_xlfn.XLOOKUP(Tabla6[[#This Row],[ID CLIENTE]],'RESUMEN CLIENTES'!D:D,'RESUMEN CLIENTES'!C:C)</f>
        <v>El Salvador</v>
      </c>
      <c r="D775" s="44" t="str">
        <f>+_xlfn.XLOOKUP(Tabla6[[#This Row],[ID CLIENTE]],'RESUMEN CLIENTES'!D:D,'RESUMEN CLIENTES'!M:M)</f>
        <v>OK</v>
      </c>
      <c r="E775" s="72">
        <f>+_xlfn.XLOOKUP(Tabla6[[#This Row],[NOMBRE]],'RESUMEN CLIENTES'!A:A,'RESUMEN CLIENTES'!X:X)</f>
        <v>1.1428571428571428</v>
      </c>
      <c r="F775" s="72">
        <f>+_xlfn.XLOOKUP(Tabla6[[#This Row],[ID CLIENTE]],'RESUMEN CLIENTES'!D:D,'RESUMEN CLIENTES'!W:W)</f>
        <v>1</v>
      </c>
      <c r="G775" s="17">
        <v>46014</v>
      </c>
      <c r="H775" s="44" t="s">
        <v>81</v>
      </c>
      <c r="I775" s="2">
        <v>850</v>
      </c>
      <c r="J775" s="20" t="s">
        <v>1725</v>
      </c>
      <c r="K775" t="s">
        <v>1726</v>
      </c>
      <c r="L775" s="44" t="str" cm="1">
        <f t="array" ref="L775">+_xlfn.IFS(COUNTIF(INGRESOS!E:E,Tabla6[[#This Row],[ID FACTURA]])=1,"PAGADA",Tabla6[[#This Row],[ID FACTURA]]&lt;&gt;0,"EMITIDA",Tabla6[[#This Row],[ID FACTURA]]=0,"POR EMITIR")</f>
        <v>PAGADA</v>
      </c>
      <c r="M775" s="55">
        <f>+IF(Tabla6[[#This Row],[ESTADO FACTURA]]="PAGADA",Tabla6[[#This Row],[FECHA]]-_xlfn.XLOOKUP(Tabla6[[#This Row],[N° FACTURA]],INGRESOS!F:F,INGRESOS!A:A),"-")</f>
        <v>3</v>
      </c>
      <c r="N775" s="2"/>
      <c r="O775"/>
    </row>
    <row r="776" spans="1:15" ht="14.75" customHeight="1">
      <c r="A776" s="320" t="s">
        <v>261</v>
      </c>
      <c r="B776" t="str">
        <f>+_xlfn.XLOOKUP(Tabla6[[#This Row],[ID CLIENTE]],'RESUMEN CLIENTES'!D:D,'RESUMEN CLIENTES'!A:A)</f>
        <v>Maryori Elizabeth Ramos Tapia</v>
      </c>
      <c r="C776" t="str">
        <f>+_xlfn.XLOOKUP(Tabla6[[#This Row],[ID CLIENTE]],'RESUMEN CLIENTES'!D:D,'RESUMEN CLIENTES'!C:C)</f>
        <v>Perú</v>
      </c>
      <c r="D776" s="44" t="str">
        <f>+_xlfn.XLOOKUP(Tabla6[[#This Row],[ID CLIENTE]],'RESUMEN CLIENTES'!D:D,'RESUMEN CLIENTES'!M:M)</f>
        <v>OK</v>
      </c>
      <c r="E776" s="72">
        <f>+_xlfn.XLOOKUP(Tabla6[[#This Row],[NOMBRE]],'RESUMEN CLIENTES'!A:A,'RESUMEN CLIENTES'!X:X)</f>
        <v>-0.88425925925952875</v>
      </c>
      <c r="F776" s="72">
        <f>+_xlfn.XLOOKUP(Tabla6[[#This Row],[ID CLIENTE]],'RESUMEN CLIENTES'!D:D,'RESUMEN CLIENTES'!W:W)</f>
        <v>1</v>
      </c>
      <c r="G776" s="17">
        <v>46015</v>
      </c>
      <c r="H776" s="44" t="s">
        <v>81</v>
      </c>
      <c r="I776" s="2">
        <v>1000</v>
      </c>
      <c r="J776" s="20" t="s">
        <v>1727</v>
      </c>
      <c r="K776" t="s">
        <v>1728</v>
      </c>
      <c r="L776" s="44" t="str" cm="1">
        <f t="array" ref="L776">+_xlfn.IFS(COUNTIF(INGRESOS!E:E,Tabla6[[#This Row],[ID FACTURA]])=1,"PAGADA",Tabla6[[#This Row],[ID FACTURA]]&lt;&gt;0,"EMITIDA",Tabla6[[#This Row],[ID FACTURA]]=0,"POR EMITIR")</f>
        <v>PAGADA</v>
      </c>
      <c r="M776" s="55">
        <f>+IF(Tabla6[[#This Row],[ESTADO FACTURA]]="PAGADA",Tabla6[[#This Row],[FECHA]]-_xlfn.XLOOKUP(Tabla6[[#This Row],[N° FACTURA]],INGRESOS!F:F,INGRESOS!A:A),"-")</f>
        <v>-2</v>
      </c>
      <c r="N776" s="2"/>
      <c r="O776"/>
    </row>
    <row r="777" spans="1:15" ht="14.75" customHeight="1">
      <c r="A777" s="320" t="s">
        <v>162</v>
      </c>
      <c r="B777" t="str">
        <f>+_xlfn.XLOOKUP(Tabla6[[#This Row],[ID CLIENTE]],'RESUMEN CLIENTES'!D:D,'RESUMEN CLIENTES'!A:A)</f>
        <v>Bastian Sofjer Peralta</v>
      </c>
      <c r="C777" t="str">
        <f>+_xlfn.XLOOKUP(Tabla6[[#This Row],[ID CLIENTE]],'RESUMEN CLIENTES'!D:D,'RESUMEN CLIENTES'!C:C)</f>
        <v>Chile</v>
      </c>
      <c r="D777" s="44" t="str">
        <f>+_xlfn.XLOOKUP(Tabla6[[#This Row],[ID CLIENTE]],'RESUMEN CLIENTES'!D:D,'RESUMEN CLIENTES'!M:M)</f>
        <v>OK</v>
      </c>
      <c r="E777" s="72">
        <f>+_xlfn.XLOOKUP(Tabla6[[#This Row],[NOMBRE]],'RESUMEN CLIENTES'!A:A,'RESUMEN CLIENTES'!X:X)</f>
        <v>4.125</v>
      </c>
      <c r="F777" s="72">
        <f>+_xlfn.XLOOKUP(Tabla6[[#This Row],[ID CLIENTE]],'RESUMEN CLIENTES'!D:D,'RESUMEN CLIENTES'!W:W)</f>
        <v>1</v>
      </c>
      <c r="G777" s="17">
        <v>46016</v>
      </c>
      <c r="H777" s="44" t="s">
        <v>81</v>
      </c>
      <c r="I777" s="2">
        <v>900</v>
      </c>
      <c r="J777" s="20" t="s">
        <v>1729</v>
      </c>
      <c r="K777" t="s">
        <v>1730</v>
      </c>
      <c r="L777" s="44" t="str" cm="1">
        <f t="array" ref="L777">+_xlfn.IFS(COUNTIF(INGRESOS!E:E,Tabla6[[#This Row],[ID FACTURA]])=1,"PAGADA",Tabla6[[#This Row],[ID FACTURA]]&lt;&gt;0,"EMITIDA",Tabla6[[#This Row],[ID FACTURA]]=0,"POR EMITIR")</f>
        <v>PAGADA</v>
      </c>
      <c r="M777" s="55">
        <f>+IF(Tabla6[[#This Row],[ESTADO FACTURA]]="PAGADA",Tabla6[[#This Row],[FECHA]]-_xlfn.XLOOKUP(Tabla6[[#This Row],[N° FACTURA]],INGRESOS!F:F,INGRESOS!A:A),"-")</f>
        <v>2</v>
      </c>
      <c r="N777" s="2"/>
      <c r="O777"/>
    </row>
    <row r="778" spans="1:15" ht="14.75" customHeight="1">
      <c r="A778" s="320" t="s">
        <v>1437</v>
      </c>
      <c r="B778" t="str">
        <f>+_xlfn.XLOOKUP(Tabla6[[#This Row],[ID CLIENTE]],'RESUMEN CLIENTES'!D:D,'RESUMEN CLIENTES'!A:A)</f>
        <v>Jorge Andres Galgani Muñoz</v>
      </c>
      <c r="C778" t="str">
        <f>+_xlfn.XLOOKUP(Tabla6[[#This Row],[ID CLIENTE]],'RESUMEN CLIENTES'!D:D,'RESUMEN CLIENTES'!C:C)</f>
        <v>Chile</v>
      </c>
      <c r="D778" s="44" t="str">
        <f>+_xlfn.XLOOKUP(Tabla6[[#This Row],[ID CLIENTE]],'RESUMEN CLIENTES'!D:D,'RESUMEN CLIENTES'!M:M)</f>
        <v>OK</v>
      </c>
      <c r="E778" s="72">
        <f>+_xlfn.XLOOKUP(Tabla6[[#This Row],[NOMBRE]],'RESUMEN CLIENTES'!A:A,'RESUMEN CLIENTES'!X:X)</f>
        <v>-1.1428571428571428</v>
      </c>
      <c r="F778" s="71">
        <f>+_xlfn.XLOOKUP(Tabla6[[#This Row],[ID CLIENTE]],'RESUMEN CLIENTES'!D:D,'RESUMEN CLIENTES'!W:W)</f>
        <v>1</v>
      </c>
      <c r="G778" s="17">
        <v>46016</v>
      </c>
      <c r="H778" s="169" t="s">
        <v>81</v>
      </c>
      <c r="I778" s="2">
        <v>750</v>
      </c>
      <c r="J778" s="20" t="s">
        <v>1731</v>
      </c>
      <c r="K778" t="s">
        <v>1732</v>
      </c>
      <c r="L778" s="44" t="str" cm="1">
        <f t="array" ref="L778">+_xlfn.IFS(COUNTIF(INGRESOS!E:E,Tabla6[[#This Row],[ID FACTURA]])=1,"PAGADA",Tabla6[[#This Row],[ID FACTURA]]&lt;&gt;0,"EMITIDA",Tabla6[[#This Row],[ID FACTURA]]=0,"POR EMITIR")</f>
        <v>PAGADA</v>
      </c>
      <c r="M778" s="55">
        <f>+IF(Tabla6[[#This Row],[ESTADO FACTURA]]="PAGADA",Tabla6[[#This Row],[FECHA]]-_xlfn.XLOOKUP(Tabla6[[#This Row],[N° FACTURA]],INGRESOS!F:F,INGRESOS!A:A),"-")</f>
        <v>-1</v>
      </c>
      <c r="N778" s="214"/>
      <c r="O778"/>
    </row>
    <row r="779" spans="1:15" ht="14.75" customHeight="1">
      <c r="A779" s="320" t="s">
        <v>1437</v>
      </c>
      <c r="B779" t="str">
        <f>+_xlfn.XLOOKUP(Tabla6[[#This Row],[ID CLIENTE]],'RESUMEN CLIENTES'!D:D,'RESUMEN CLIENTES'!A:A)</f>
        <v>Jorge Andres Galgani Muñoz</v>
      </c>
      <c r="C779" t="str">
        <f>+_xlfn.XLOOKUP(Tabla6[[#This Row],[ID CLIENTE]],'RESUMEN CLIENTES'!D:D,'RESUMEN CLIENTES'!C:C)</f>
        <v>Chile</v>
      </c>
      <c r="D779" s="44" t="str">
        <f>+_xlfn.XLOOKUP(Tabla6[[#This Row],[ID CLIENTE]],'RESUMEN CLIENTES'!D:D,'RESUMEN CLIENTES'!M:M)</f>
        <v>OK</v>
      </c>
      <c r="E779" s="71">
        <f>+_xlfn.XLOOKUP(Tabla6[[#This Row],[NOMBRE]],'RESUMEN CLIENTES'!A:A,'RESUMEN CLIENTES'!X:X)</f>
        <v>-1.1428571428571428</v>
      </c>
      <c r="F779" s="71">
        <f>+_xlfn.XLOOKUP(Tabla6[[#This Row],[ID CLIENTE]],'RESUMEN CLIENTES'!D:D,'RESUMEN CLIENTES'!W:W)</f>
        <v>1</v>
      </c>
      <c r="G779" s="17">
        <v>46016</v>
      </c>
      <c r="H779" s="169" t="s">
        <v>81</v>
      </c>
      <c r="I779" s="2">
        <v>750</v>
      </c>
      <c r="J779" s="20" t="s">
        <v>1733</v>
      </c>
      <c r="K779" t="s">
        <v>1734</v>
      </c>
      <c r="L779" s="44" t="str" cm="1">
        <f t="array" ref="L779">+_xlfn.IFS(COUNTIF(INGRESOS!E:E,Tabla6[[#This Row],[ID FACTURA]])=1,"PAGADA",Tabla6[[#This Row],[ID FACTURA]]&lt;&gt;0,"EMITIDA",Tabla6[[#This Row],[ID FACTURA]]=0,"POR EMITIR")</f>
        <v>PAGADA</v>
      </c>
      <c r="M779" s="55">
        <f>+IF(Tabla6[[#This Row],[ESTADO FACTURA]]="PAGADA",Tabla6[[#This Row],[FECHA]]-_xlfn.XLOOKUP(Tabla6[[#This Row],[N° FACTURA]],INGRESOS!F:F,INGRESOS!A:A),"-")</f>
        <v>-4</v>
      </c>
      <c r="N779" s="2"/>
      <c r="O779"/>
    </row>
    <row r="780" spans="1:15" ht="14.75" customHeight="1">
      <c r="A780" s="320" t="s">
        <v>333</v>
      </c>
      <c r="B780" t="str">
        <f>+_xlfn.XLOOKUP(Tabla6[[#This Row],[ID CLIENTE]],'RESUMEN CLIENTES'!D:D,'RESUMEN CLIENTES'!A:A)</f>
        <v>Jorge Augusto Cámbara Vargas</v>
      </c>
      <c r="C780" t="str">
        <f>+_xlfn.XLOOKUP(Tabla6[[#This Row],[ID CLIENTE]],'RESUMEN CLIENTES'!D:D,'RESUMEN CLIENTES'!C:C)</f>
        <v>Guatemala</v>
      </c>
      <c r="D780" s="44" t="str">
        <f>+_xlfn.XLOOKUP(Tabla6[[#This Row],[ID CLIENTE]],'RESUMEN CLIENTES'!D:D,'RESUMEN CLIENTES'!M:M)</f>
        <v>OK</v>
      </c>
      <c r="E780" s="72">
        <f>+_xlfn.XLOOKUP(Tabla6[[#This Row],[NOMBRE]],'RESUMEN CLIENTES'!A:A,'RESUMEN CLIENTES'!X:X)</f>
        <v>0.1157407407331953</v>
      </c>
      <c r="F780" s="72">
        <f>+_xlfn.XLOOKUP(Tabla6[[#This Row],[ID CLIENTE]],'RESUMEN CLIENTES'!D:D,'RESUMEN CLIENTES'!W:W)</f>
        <v>1</v>
      </c>
      <c r="G780" s="17">
        <v>46016</v>
      </c>
      <c r="H780" s="44" t="s">
        <v>81</v>
      </c>
      <c r="I780" s="2">
        <v>1000</v>
      </c>
      <c r="J780" s="20" t="s">
        <v>1735</v>
      </c>
      <c r="K780" t="s">
        <v>1736</v>
      </c>
      <c r="L780" s="44" t="str" cm="1">
        <f t="array" ref="L780">+_xlfn.IFS(COUNTIF(INGRESOS!E:E,Tabla6[[#This Row],[ID FACTURA]])=1,"PAGADA",Tabla6[[#This Row],[ID FACTURA]]&lt;&gt;0,"EMITIDA",Tabla6[[#This Row],[ID FACTURA]]=0,"POR EMITIR")</f>
        <v>PAGADA</v>
      </c>
      <c r="M780" s="55">
        <f>+IF(Tabla6[[#This Row],[ESTADO FACTURA]]="PAGADA",Tabla6[[#This Row],[FECHA]]-_xlfn.XLOOKUP(Tabla6[[#This Row],[N° FACTURA]],INGRESOS!F:F,INGRESOS!A:A),"-")</f>
        <v>0</v>
      </c>
      <c r="N780" s="2"/>
      <c r="O780"/>
    </row>
    <row r="781" spans="1:15" ht="14.75" customHeight="1">
      <c r="A781" s="320" t="s">
        <v>87</v>
      </c>
      <c r="B781" t="str">
        <f>+_xlfn.XLOOKUP(Tabla6[[#This Row],[ID CLIENTE]],'RESUMEN CLIENTES'!D:D,'RESUMEN CLIENTES'!A:A)</f>
        <v>Jose Marcelo Marroquín Guzmán</v>
      </c>
      <c r="C781" t="str">
        <f>+_xlfn.XLOOKUP(Tabla6[[#This Row],[ID CLIENTE]],'RESUMEN CLIENTES'!D:D,'RESUMEN CLIENTES'!C:C)</f>
        <v>El Salvador</v>
      </c>
      <c r="D781" s="44" t="str">
        <f>+_xlfn.XLOOKUP(Tabla6[[#This Row],[ID CLIENTE]],'RESUMEN CLIENTES'!D:D,'RESUMEN CLIENTES'!M:M)</f>
        <v>OK</v>
      </c>
      <c r="E781" s="72">
        <f>+_xlfn.XLOOKUP(Tabla6[[#This Row],[NOMBRE]],'RESUMEN CLIENTES'!A:A,'RESUMEN CLIENTES'!X:X)</f>
        <v>-1.5833333333333333</v>
      </c>
      <c r="F781" s="72">
        <f>+_xlfn.XLOOKUP(Tabla6[[#This Row],[ID CLIENTE]],'RESUMEN CLIENTES'!D:D,'RESUMEN CLIENTES'!W:W)</f>
        <v>1</v>
      </c>
      <c r="G781" s="17">
        <v>46016</v>
      </c>
      <c r="H781" s="44" t="s">
        <v>81</v>
      </c>
      <c r="I781" s="2">
        <v>400</v>
      </c>
      <c r="J781" s="20" t="s">
        <v>1737</v>
      </c>
      <c r="K781" t="s">
        <v>1738</v>
      </c>
      <c r="L781" s="44" t="str" cm="1">
        <f t="array" ref="L781">+_xlfn.IFS(COUNTIF(INGRESOS!E:E,Tabla6[[#This Row],[ID FACTURA]])=1,"PAGADA",Tabla6[[#This Row],[ID FACTURA]]&lt;&gt;0,"EMITIDA",Tabla6[[#This Row],[ID FACTURA]]=0,"POR EMITIR")</f>
        <v>PAGADA</v>
      </c>
      <c r="M781" s="55">
        <f>+IF(Tabla6[[#This Row],[ESTADO FACTURA]]="PAGADA",Tabla6[[#This Row],[FECHA]]-_xlfn.XLOOKUP(Tabla6[[#This Row],[N° FACTURA]],INGRESOS!F:F,INGRESOS!A:A),"-")</f>
        <v>-1</v>
      </c>
      <c r="N781" s="2"/>
      <c r="O781"/>
    </row>
    <row r="782" spans="1:15" ht="14.75" customHeight="1">
      <c r="A782" s="320" t="s">
        <v>322</v>
      </c>
      <c r="B782" t="str">
        <f>+_xlfn.XLOOKUP(Tabla6[[#This Row],[ID CLIENTE]],'RESUMEN CLIENTES'!D:D,'RESUMEN CLIENTES'!A:A)</f>
        <v>Mauricio Ignacio Alcayaga Romo</v>
      </c>
      <c r="C782" t="str">
        <f>+_xlfn.XLOOKUP(Tabla6[[#This Row],[ID CLIENTE]],'RESUMEN CLIENTES'!D:D,'RESUMEN CLIENTES'!C:C)</f>
        <v>Chile</v>
      </c>
      <c r="D782" s="44" t="str">
        <f>+_xlfn.XLOOKUP(Tabla6[[#This Row],[ID CLIENTE]],'RESUMEN CLIENTES'!D:D,'RESUMEN CLIENTES'!M:M)</f>
        <v>OK</v>
      </c>
      <c r="E782" s="72">
        <f>+_xlfn.XLOOKUP(Tabla6[[#This Row],[NOMBRE]],'RESUMEN CLIENTES'!A:A,'RESUMEN CLIENTES'!X:X)</f>
        <v>-0.3</v>
      </c>
      <c r="F782" s="72">
        <f>+_xlfn.XLOOKUP(Tabla6[[#This Row],[ID CLIENTE]],'RESUMEN CLIENTES'!D:D,'RESUMEN CLIENTES'!W:W)</f>
        <v>0</v>
      </c>
      <c r="G782" s="17">
        <v>46016</v>
      </c>
      <c r="H782" s="44" t="s">
        <v>81</v>
      </c>
      <c r="I782" s="2">
        <v>1000</v>
      </c>
      <c r="J782" s="20" t="s">
        <v>1739</v>
      </c>
      <c r="K782" t="s">
        <v>1740</v>
      </c>
      <c r="L782" s="44" t="str" cm="1">
        <f t="array" ref="L782">+_xlfn.IFS(COUNTIF(INGRESOS!E:E,Tabla6[[#This Row],[ID FACTURA]])=1,"PAGADA",Tabla6[[#This Row],[ID FACTURA]]&lt;&gt;0,"EMITIDA",Tabla6[[#This Row],[ID FACTURA]]=0,"POR EMITIR")</f>
        <v>PAGADA</v>
      </c>
      <c r="M782" s="55">
        <f>+IF(Tabla6[[#This Row],[ESTADO FACTURA]]="PAGADA",Tabla6[[#This Row],[FECHA]]-_xlfn.XLOOKUP(Tabla6[[#This Row],[N° FACTURA]],INGRESOS!F:F,INGRESOS!A:A),"-")</f>
        <v>0</v>
      </c>
      <c r="N782" s="2"/>
      <c r="O782"/>
    </row>
    <row r="783" spans="1:15" ht="14.75" customHeight="1">
      <c r="A783" s="320" t="s">
        <v>716</v>
      </c>
      <c r="B783" t="str">
        <f>+_xlfn.XLOOKUP(Tabla6[[#This Row],[ID CLIENTE]],'RESUMEN CLIENTES'!D:D,'RESUMEN CLIENTES'!A:A)</f>
        <v>Sofia Martínez Restrepo</v>
      </c>
      <c r="C783" t="str">
        <f>+_xlfn.XLOOKUP(Tabla6[[#This Row],[ID CLIENTE]],'RESUMEN CLIENTES'!D:D,'RESUMEN CLIENTES'!C:C)</f>
        <v>Colombia</v>
      </c>
      <c r="D783" s="44" t="str">
        <f>+_xlfn.XLOOKUP(Tabla6[[#This Row],[ID CLIENTE]],'RESUMEN CLIENTES'!D:D,'RESUMEN CLIENTES'!M:M)</f>
        <v>OK</v>
      </c>
      <c r="E783" s="72">
        <f>+_xlfn.XLOOKUP(Tabla6[[#This Row],[NOMBRE]],'RESUMEN CLIENTES'!A:A,'RESUMEN CLIENTES'!X:X)</f>
        <v>-0.33333333333333331</v>
      </c>
      <c r="F783" s="72">
        <f>+_xlfn.XLOOKUP(Tabla6[[#This Row],[ID CLIENTE]],'RESUMEN CLIENTES'!D:D,'RESUMEN CLIENTES'!W:W)</f>
        <v>1</v>
      </c>
      <c r="G783" s="17">
        <v>46016</v>
      </c>
      <c r="H783" s="44" t="s">
        <v>81</v>
      </c>
      <c r="I783" s="2">
        <v>1000</v>
      </c>
      <c r="J783" s="20" t="s">
        <v>1741</v>
      </c>
      <c r="K783" t="s">
        <v>1742</v>
      </c>
      <c r="L783" s="44" t="str" cm="1">
        <f t="array" ref="L783">+_xlfn.IFS(COUNTIF(INGRESOS!E:E,Tabla6[[#This Row],[ID FACTURA]])=1,"PAGADA",Tabla6[[#This Row],[ID FACTURA]]&lt;&gt;0,"EMITIDA",Tabla6[[#This Row],[ID FACTURA]]=0,"POR EMITIR")</f>
        <v>PAGADA</v>
      </c>
      <c r="M783" s="55">
        <f>+IF(Tabla6[[#This Row],[ESTADO FACTURA]]="PAGADA",Tabla6[[#This Row],[FECHA]]-_xlfn.XLOOKUP(Tabla6[[#This Row],[N° FACTURA]],INGRESOS!F:F,INGRESOS!A:A),"-")</f>
        <v>0</v>
      </c>
      <c r="N783" s="2"/>
      <c r="O783"/>
    </row>
    <row r="784" spans="1:15" ht="14.75" customHeight="1">
      <c r="A784" s="320" t="s">
        <v>1743</v>
      </c>
      <c r="B784" t="str">
        <f>+_xlfn.XLOOKUP(Tabla6[[#This Row],[ID CLIENTE]],'RESUMEN CLIENTES'!D:D,'RESUMEN CLIENTES'!A:A)</f>
        <v>Fernando Alberto Lagos Belmar</v>
      </c>
      <c r="C784" t="str">
        <f>+_xlfn.XLOOKUP(Tabla6[[#This Row],[ID CLIENTE]],'RESUMEN CLIENTES'!D:D,'RESUMEN CLIENTES'!C:C)</f>
        <v>Chile</v>
      </c>
      <c r="D784" s="169" t="str">
        <f>+_xlfn.XLOOKUP(Tabla6[[#This Row],[ID CLIENTE]],'RESUMEN CLIENTES'!D:D,'RESUMEN CLIENTES'!M:M)</f>
        <v>OK</v>
      </c>
      <c r="E784" s="71">
        <f>+_xlfn.XLOOKUP(Tabla6[[#This Row],[NOMBRE]],'RESUMEN CLIENTES'!A:A,'RESUMEN CLIENTES'!X:X)</f>
        <v>0.25</v>
      </c>
      <c r="F784" s="71">
        <f>+_xlfn.XLOOKUP(Tabla6[[#This Row],[ID CLIENTE]],'RESUMEN CLIENTES'!D:D,'RESUMEN CLIENTES'!W:W)</f>
        <v>1</v>
      </c>
      <c r="G784" s="17">
        <v>46017</v>
      </c>
      <c r="H784" s="169" t="s">
        <v>81</v>
      </c>
      <c r="I784" s="2">
        <v>250</v>
      </c>
      <c r="J784" s="20" t="s">
        <v>1744</v>
      </c>
      <c r="K784" t="s">
        <v>1745</v>
      </c>
      <c r="L784" s="44" t="str" cm="1">
        <f t="array" ref="L784">+_xlfn.IFS(COUNTIF(INGRESOS!E:E,Tabla6[[#This Row],[ID FACTURA]])=1,"PAGADA",Tabla6[[#This Row],[ID FACTURA]]&lt;&gt;0,"EMITIDA",Tabla6[[#This Row],[ID FACTURA]]=0,"POR EMITIR")</f>
        <v>PAGADA</v>
      </c>
      <c r="M784" s="55">
        <f>+IF(Tabla6[[#This Row],[ESTADO FACTURA]]="PAGADA",Tabla6[[#This Row],[FECHA]]-_xlfn.XLOOKUP(Tabla6[[#This Row],[N° FACTURA]],INGRESOS!F:F,INGRESOS!A:A),"-")</f>
        <v>0</v>
      </c>
      <c r="O784"/>
    </row>
    <row r="785" spans="1:15" ht="14.75" customHeight="1">
      <c r="A785" s="320" t="s">
        <v>1743</v>
      </c>
      <c r="B785" t="str">
        <f>+_xlfn.XLOOKUP(Tabla6[[#This Row],[ID CLIENTE]],'RESUMEN CLIENTES'!D:D,'RESUMEN CLIENTES'!A:A)</f>
        <v>Fernando Alberto Lagos Belmar</v>
      </c>
      <c r="C785" t="str">
        <f>+_xlfn.XLOOKUP(Tabla6[[#This Row],[ID CLIENTE]],'RESUMEN CLIENTES'!D:D,'RESUMEN CLIENTES'!C:C)</f>
        <v>Chile</v>
      </c>
      <c r="D785" s="169" t="str">
        <f>+_xlfn.XLOOKUP(Tabla6[[#This Row],[ID CLIENTE]],'RESUMEN CLIENTES'!D:D,'RESUMEN CLIENTES'!M:M)</f>
        <v>OK</v>
      </c>
      <c r="E785" s="71">
        <f>+_xlfn.XLOOKUP(Tabla6[[#This Row],[NOMBRE]],'RESUMEN CLIENTES'!A:A,'RESUMEN CLIENTES'!X:X)</f>
        <v>0.25</v>
      </c>
      <c r="F785" s="71">
        <f>+_xlfn.XLOOKUP(Tabla6[[#This Row],[ID CLIENTE]],'RESUMEN CLIENTES'!D:D,'RESUMEN CLIENTES'!W:W)</f>
        <v>1</v>
      </c>
      <c r="G785" s="17">
        <v>46017</v>
      </c>
      <c r="H785" s="169" t="s">
        <v>81</v>
      </c>
      <c r="I785" s="2">
        <v>1750</v>
      </c>
      <c r="J785" s="20" t="s">
        <v>1746</v>
      </c>
      <c r="K785" t="s">
        <v>1747</v>
      </c>
      <c r="L785" s="44" t="str" cm="1">
        <f t="array" ref="L785">+_xlfn.IFS(COUNTIF(INGRESOS!E:E,Tabla6[[#This Row],[ID FACTURA]])=1,"PAGADA",Tabla6[[#This Row],[ID FACTURA]]&lt;&gt;0,"EMITIDA",Tabla6[[#This Row],[ID FACTURA]]=0,"POR EMITIR")</f>
        <v>PAGADA</v>
      </c>
      <c r="M785" s="55">
        <f>+IF(Tabla6[[#This Row],[ESTADO FACTURA]]="PAGADA",Tabla6[[#This Row],[FECHA]]-_xlfn.XLOOKUP(Tabla6[[#This Row],[N° FACTURA]],INGRESOS!F:F,INGRESOS!A:A),"-")</f>
        <v>0</v>
      </c>
      <c r="O785"/>
    </row>
    <row r="786" spans="1:15" ht="14.75" customHeight="1">
      <c r="A786" s="320" t="s">
        <v>706</v>
      </c>
      <c r="B786" t="str">
        <f>+_xlfn.XLOOKUP(Tabla6[[#This Row],[ID CLIENTE]],'RESUMEN CLIENTES'!D:D,'RESUMEN CLIENTES'!A:A)</f>
        <v>Virna Nathaly Montenegro Samaniego</v>
      </c>
      <c r="C786" t="str">
        <f>+_xlfn.XLOOKUP(Tabla6[[#This Row],[ID CLIENTE]],'RESUMEN CLIENTES'!D:D,'RESUMEN CLIENTES'!C:C)</f>
        <v>Ecuador</v>
      </c>
      <c r="D786" s="44" t="str">
        <f>+_xlfn.XLOOKUP(Tabla6[[#This Row],[ID CLIENTE]],'RESUMEN CLIENTES'!D:D,'RESUMEN CLIENTES'!M:M)</f>
        <v>OK</v>
      </c>
      <c r="E786" s="72">
        <f>+_xlfn.XLOOKUP(Tabla6[[#This Row],[NOMBRE]],'RESUMEN CLIENTES'!A:A,'RESUMEN CLIENTES'!X:X)</f>
        <v>7.375</v>
      </c>
      <c r="F786" s="72">
        <f>+_xlfn.XLOOKUP(Tabla6[[#This Row],[ID CLIENTE]],'RESUMEN CLIENTES'!D:D,'RESUMEN CLIENTES'!W:W)</f>
        <v>0</v>
      </c>
      <c r="G786" s="17">
        <v>46017</v>
      </c>
      <c r="H786" s="44" t="s">
        <v>81</v>
      </c>
      <c r="I786" s="2">
        <v>1000</v>
      </c>
      <c r="J786" s="20" t="s">
        <v>1748</v>
      </c>
      <c r="K786" t="s">
        <v>1749</v>
      </c>
      <c r="L786" s="44" t="str" cm="1">
        <f t="array" ref="L786">+_xlfn.IFS(COUNTIF(INGRESOS!E:E,Tabla6[[#This Row],[ID FACTURA]])=1,"PAGADA",Tabla6[[#This Row],[ID FACTURA]]&lt;&gt;0,"EMITIDA",Tabla6[[#This Row],[ID FACTURA]]=0,"POR EMITIR")</f>
        <v>PAGADA</v>
      </c>
      <c r="M786" s="55">
        <f>+IF(Tabla6[[#This Row],[ESTADO FACTURA]]="PAGADA",Tabla6[[#This Row],[FECHA]]-_xlfn.XLOOKUP(Tabla6[[#This Row],[N° FACTURA]],INGRESOS!F:F,INGRESOS!A:A),"-")</f>
        <v>0</v>
      </c>
      <c r="N786" s="2"/>
      <c r="O786"/>
    </row>
    <row r="787" spans="1:15" ht="14.75" customHeight="1">
      <c r="A787" s="320" t="s">
        <v>711</v>
      </c>
      <c r="B787" t="str">
        <f>+_xlfn.XLOOKUP(Tabla6[[#This Row],[ID CLIENTE]],'RESUMEN CLIENTES'!D:D,'RESUMEN CLIENTES'!A:A)</f>
        <v>Julian David Gutierrez Rodriguez</v>
      </c>
      <c r="C787" t="str">
        <f>+_xlfn.XLOOKUP(Tabla6[[#This Row],[ID CLIENTE]],'RESUMEN CLIENTES'!D:D,'RESUMEN CLIENTES'!C:C)</f>
        <v>Colombia</v>
      </c>
      <c r="D787" s="44" t="str">
        <f>+_xlfn.XLOOKUP(Tabla6[[#This Row],[ID CLIENTE]],'RESUMEN CLIENTES'!D:D,'RESUMEN CLIENTES'!M:M)</f>
        <v>OK</v>
      </c>
      <c r="E787" s="72">
        <f>+_xlfn.XLOOKUP(Tabla6[[#This Row],[NOMBRE]],'RESUMEN CLIENTES'!A:A,'RESUMEN CLIENTES'!X:X)</f>
        <v>0.7142857142857143</v>
      </c>
      <c r="F787" s="72">
        <f>+_xlfn.XLOOKUP(Tabla6[[#This Row],[ID CLIENTE]],'RESUMEN CLIENTES'!D:D,'RESUMEN CLIENTES'!W:W)</f>
        <v>1</v>
      </c>
      <c r="G787" s="17">
        <v>46018</v>
      </c>
      <c r="H787" s="44" t="s">
        <v>81</v>
      </c>
      <c r="I787" s="2">
        <v>2000</v>
      </c>
      <c r="J787" s="20" t="s">
        <v>1750</v>
      </c>
      <c r="K787" t="s">
        <v>1751</v>
      </c>
      <c r="L787" s="44" t="str" cm="1">
        <f t="array" ref="L787">+_xlfn.IFS(COUNTIF(INGRESOS!E:E,Tabla6[[#This Row],[ID FACTURA]])=1,"PAGADA",Tabla6[[#This Row],[ID FACTURA]]&lt;&gt;0,"EMITIDA",Tabla6[[#This Row],[ID FACTURA]]=0,"POR EMITIR")</f>
        <v>PAGADA</v>
      </c>
      <c r="M787" s="55">
        <f>+IF(Tabla6[[#This Row],[ESTADO FACTURA]]="PAGADA",Tabla6[[#This Row],[FECHA]]-_xlfn.XLOOKUP(Tabla6[[#This Row],[N° FACTURA]],INGRESOS!F:F,INGRESOS!A:A),"-")</f>
        <v>-3</v>
      </c>
      <c r="N787" s="2"/>
      <c r="O787"/>
    </row>
    <row r="788" spans="1:15" ht="14.75" customHeight="1">
      <c r="A788" s="320" t="s">
        <v>372</v>
      </c>
      <c r="B788" t="str">
        <f>+_xlfn.XLOOKUP(Tabla6[[#This Row],[ID CLIENTE]],'RESUMEN CLIENTES'!D:D,'RESUMEN CLIENTES'!A:A)</f>
        <v>Julio Nelson Adaros Moraga</v>
      </c>
      <c r="C788" t="str">
        <f>+_xlfn.XLOOKUP(Tabla6[[#This Row],[ID CLIENTE]],'RESUMEN CLIENTES'!D:D,'RESUMEN CLIENTES'!C:C)</f>
        <v>Chile</v>
      </c>
      <c r="D788" s="44" t="str">
        <f>+_xlfn.XLOOKUP(Tabla6[[#This Row],[ID CLIENTE]],'RESUMEN CLIENTES'!D:D,'RESUMEN CLIENTES'!M:M)</f>
        <v>OK</v>
      </c>
      <c r="E788" s="72">
        <f>+_xlfn.XLOOKUP(Tabla6[[#This Row],[NOMBRE]],'RESUMEN CLIENTES'!A:A,'RESUMEN CLIENTES'!X:X)</f>
        <v>1</v>
      </c>
      <c r="F788" s="72">
        <f>+_xlfn.XLOOKUP(Tabla6[[#This Row],[ID CLIENTE]],'RESUMEN CLIENTES'!D:D,'RESUMEN CLIENTES'!W:W)</f>
        <v>1</v>
      </c>
      <c r="G788" s="17">
        <v>46018</v>
      </c>
      <c r="H788" s="44" t="s">
        <v>81</v>
      </c>
      <c r="I788" s="2">
        <v>1000</v>
      </c>
      <c r="J788" s="20" t="s">
        <v>1752</v>
      </c>
      <c r="K788" t="s">
        <v>1753</v>
      </c>
      <c r="L788" s="44" t="str" cm="1">
        <f t="array" ref="L788">+_xlfn.IFS(COUNTIF(INGRESOS!E:E,Tabla6[[#This Row],[ID FACTURA]])=1,"PAGADA",Tabla6[[#This Row],[ID FACTURA]]&lt;&gt;0,"EMITIDA",Tabla6[[#This Row],[ID FACTURA]]=0,"POR EMITIR")</f>
        <v>PAGADA</v>
      </c>
      <c r="M788" s="55">
        <f>+IF(Tabla6[[#This Row],[ESTADO FACTURA]]="PAGADA",Tabla6[[#This Row],[FECHA]]-_xlfn.XLOOKUP(Tabla6[[#This Row],[N° FACTURA]],INGRESOS!F:F,INGRESOS!A:A),"-")</f>
        <v>3</v>
      </c>
      <c r="N788" s="2"/>
      <c r="O788"/>
    </row>
    <row r="789" spans="1:15" ht="14.75" customHeight="1">
      <c r="A789" s="320" t="s">
        <v>1461</v>
      </c>
      <c r="B789" t="str">
        <f>+_xlfn.XLOOKUP(Tabla6[[#This Row],[ID CLIENTE]],'RESUMEN CLIENTES'!D:D,'RESUMEN CLIENTES'!A:A)</f>
        <v>Katerine Marianela Verastegui Mendoza</v>
      </c>
      <c r="C789" t="str">
        <f>+_xlfn.XLOOKUP(Tabla6[[#This Row],[ID CLIENTE]],'RESUMEN CLIENTES'!D:D,'RESUMEN CLIENTES'!C:C)</f>
        <v>Perú</v>
      </c>
      <c r="D789" s="44" t="str">
        <f>+_xlfn.XLOOKUP(Tabla6[[#This Row],[ID CLIENTE]],'RESUMEN CLIENTES'!D:D,'RESUMEN CLIENTES'!M:M)</f>
        <v>OK</v>
      </c>
      <c r="E789" s="71">
        <f>+_xlfn.XLOOKUP(Tabla6[[#This Row],[NOMBRE]],'RESUMEN CLIENTES'!A:A,'RESUMEN CLIENTES'!X:X)</f>
        <v>-2</v>
      </c>
      <c r="F789" s="71">
        <f>+_xlfn.XLOOKUP(Tabla6[[#This Row],[ID CLIENTE]],'RESUMEN CLIENTES'!D:D,'RESUMEN CLIENTES'!W:W)</f>
        <v>0</v>
      </c>
      <c r="G789" s="17">
        <v>46019</v>
      </c>
      <c r="H789" s="169" t="s">
        <v>81</v>
      </c>
      <c r="I789" s="2">
        <v>1000</v>
      </c>
      <c r="J789" s="20" t="s">
        <v>1754</v>
      </c>
      <c r="K789" t="s">
        <v>1755</v>
      </c>
      <c r="L789" s="44" t="str" cm="1">
        <f t="array" ref="L789">+_xlfn.IFS(COUNTIF(INGRESOS!E:E,Tabla6[[#This Row],[ID FACTURA]])=1,"PAGADA",Tabla6[[#This Row],[ID FACTURA]]&lt;&gt;0,"EMITIDA",Tabla6[[#This Row],[ID FACTURA]]=0,"POR EMITIR")</f>
        <v>PAGADA</v>
      </c>
      <c r="M789" s="55">
        <f>+IF(Tabla6[[#This Row],[ESTADO FACTURA]]="PAGADA",Tabla6[[#This Row],[FECHA]]-_xlfn.XLOOKUP(Tabla6[[#This Row],[N° FACTURA]],INGRESOS!F:F,INGRESOS!A:A),"-")</f>
        <v>-3</v>
      </c>
      <c r="N789" s="2"/>
      <c r="O789"/>
    </row>
    <row r="790" spans="1:15" ht="14.75" customHeight="1">
      <c r="A790" s="321" t="s">
        <v>1756</v>
      </c>
      <c r="B790" s="15" t="str">
        <f>+_xlfn.XLOOKUP(Tabla6[[#This Row],[ID CLIENTE]],'RESUMEN CLIENTES'!D:D,'RESUMEN CLIENTES'!A:A)</f>
        <v>Aylin Micaela Ortiz Chiriboga</v>
      </c>
      <c r="C790" s="15" t="str">
        <f>+_xlfn.XLOOKUP(Tabla6[[#This Row],[ID CLIENTE]],'RESUMEN CLIENTES'!D:D,'RESUMEN CLIENTES'!C:C)</f>
        <v>Ecuador</v>
      </c>
      <c r="D790" s="169" t="str">
        <f>+_xlfn.XLOOKUP(Tabla6[[#This Row],[ID CLIENTE]],'RESUMEN CLIENTES'!D:D,'RESUMEN CLIENTES'!M:M)</f>
        <v>¡REGULARIZAR!</v>
      </c>
      <c r="E790" s="71">
        <f>+_xlfn.XLOOKUP(Tabla6[[#This Row],[NOMBRE]],'RESUMEN CLIENTES'!A:A,'RESUMEN CLIENTES'!X:X)</f>
        <v>0</v>
      </c>
      <c r="F790" s="71">
        <f>+_xlfn.XLOOKUP(Tabla6[[#This Row],[ID CLIENTE]],'RESUMEN CLIENTES'!D:D,'RESUMEN CLIENTES'!W:W)</f>
        <v>1</v>
      </c>
      <c r="G790" s="170">
        <v>46020</v>
      </c>
      <c r="H790" s="169" t="s">
        <v>81</v>
      </c>
      <c r="I790" s="16">
        <v>250</v>
      </c>
      <c r="J790" s="20" t="s">
        <v>1757</v>
      </c>
      <c r="K790" s="15" t="s">
        <v>1758</v>
      </c>
      <c r="L790" s="169" t="str" cm="1">
        <f t="array" ref="L790">+_xlfn.IFS(COUNTIF(INGRESOS!E:E,Tabla6[[#This Row],[ID FACTURA]])=1,"PAGADA",Tabla6[[#This Row],[ID FACTURA]]&lt;&gt;0,"EMITIDA",Tabla6[[#This Row],[ID FACTURA]]=0,"POR EMITIR")</f>
        <v>PAGADA</v>
      </c>
      <c r="M790" s="54">
        <f>+IF(Tabla6[[#This Row],[ESTADO FACTURA]]="PAGADA",Tabla6[[#This Row],[FECHA]]-_xlfn.XLOOKUP(Tabla6[[#This Row],[N° FACTURA]],INGRESOS!F:F,INGRESOS!A:A),"-")</f>
        <v>0</v>
      </c>
    </row>
    <row r="791" spans="1:15" ht="15" customHeight="1">
      <c r="A791" s="320" t="s">
        <v>952</v>
      </c>
      <c r="B791" t="str">
        <f>+_xlfn.XLOOKUP(Tabla6[[#This Row],[ID CLIENTE]],'RESUMEN CLIENTES'!D:D,'RESUMEN CLIENTES'!A:A)</f>
        <v>Fernando José Fuentes Bárcenas</v>
      </c>
      <c r="C791" t="str">
        <f>+_xlfn.XLOOKUP(Tabla6[[#This Row],[ID CLIENTE]],'RESUMEN CLIENTES'!D:D,'RESUMEN CLIENTES'!C:C)</f>
        <v>El Salvador</v>
      </c>
      <c r="D791" s="44" t="str">
        <f>+_xlfn.XLOOKUP(Tabla6[[#This Row],[ID CLIENTE]],'RESUMEN CLIENTES'!D:D,'RESUMEN CLIENTES'!M:M)</f>
        <v>ELIMINADO</v>
      </c>
      <c r="E791" s="72">
        <f>+_xlfn.XLOOKUP(Tabla6[[#This Row],[NOMBRE]],'RESUMEN CLIENTES'!A:A,'RESUMEN CLIENTES'!X:X)</f>
        <v>0.4</v>
      </c>
      <c r="F791" s="72">
        <f>+_xlfn.XLOOKUP(Tabla6[[#This Row],[ID CLIENTE]],'RESUMEN CLIENTES'!D:D,'RESUMEN CLIENTES'!W:W)</f>
        <v>1</v>
      </c>
      <c r="G791" s="17">
        <v>46020</v>
      </c>
      <c r="H791" s="44" t="s">
        <v>81</v>
      </c>
      <c r="I791" s="2">
        <v>1000</v>
      </c>
      <c r="J791" s="20" t="s">
        <v>1759</v>
      </c>
      <c r="K791" t="s">
        <v>1760</v>
      </c>
      <c r="L791" s="44" t="str" cm="1">
        <f t="array" ref="L791">+_xlfn.IFS(COUNTIF(INGRESOS!E:E,Tabla6[[#This Row],[ID FACTURA]])=1,"PAGADA",Tabla6[[#This Row],[ID FACTURA]]&lt;&gt;0,"EMITIDA",Tabla6[[#This Row],[ID FACTURA]]=0,"POR EMITIR")</f>
        <v>PAGADA</v>
      </c>
      <c r="M791" s="55">
        <f>+IF(Tabla6[[#This Row],[ESTADO FACTURA]]="PAGADA",Tabla6[[#This Row],[FECHA]]-_xlfn.XLOOKUP(Tabla6[[#This Row],[N° FACTURA]],INGRESOS!F:F,INGRESOS!A:A),"-")</f>
        <v>-1</v>
      </c>
      <c r="N791" s="2"/>
      <c r="O791"/>
    </row>
    <row r="792" spans="1:15" ht="14" customHeight="1">
      <c r="A792" s="320" t="s">
        <v>1761</v>
      </c>
      <c r="B792" t="str">
        <f>+_xlfn.XLOOKUP(Tabla6[[#This Row],[ID CLIENTE]],'RESUMEN CLIENTES'!D:D,'RESUMEN CLIENTES'!A:A)</f>
        <v>Francisco Salas Barrera</v>
      </c>
      <c r="C792" t="str">
        <f>+_xlfn.XLOOKUP(Tabla6[[#This Row],[ID CLIENTE]],'RESUMEN CLIENTES'!D:D,'RESUMEN CLIENTES'!C:C)</f>
        <v>México</v>
      </c>
      <c r="D792" s="169" t="str">
        <f>+_xlfn.XLOOKUP(Tabla6[[#This Row],[ID CLIENTE]],'RESUMEN CLIENTES'!D:D,'RESUMEN CLIENTES'!M:M)</f>
        <v>OK</v>
      </c>
      <c r="E792" s="71">
        <f>+_xlfn.XLOOKUP(Tabla6[[#This Row],[NOMBRE]],'RESUMEN CLIENTES'!A:A,'RESUMEN CLIENTES'!X:X)</f>
        <v>-0.75</v>
      </c>
      <c r="F792" s="71">
        <f>+_xlfn.XLOOKUP(Tabla6[[#This Row],[ID CLIENTE]],'RESUMEN CLIENTES'!D:D,'RESUMEN CLIENTES'!W:W)</f>
        <v>0</v>
      </c>
      <c r="G792" s="17">
        <v>46020</v>
      </c>
      <c r="H792" s="169" t="s">
        <v>81</v>
      </c>
      <c r="I792" s="2">
        <v>250</v>
      </c>
      <c r="J792" s="20" t="s">
        <v>1762</v>
      </c>
      <c r="K792" t="s">
        <v>1763</v>
      </c>
      <c r="L792" s="44" t="str" cm="1">
        <f t="array" ref="L792">+_xlfn.IFS(COUNTIF(INGRESOS!E:E,Tabla6[[#This Row],[ID FACTURA]])=1,"PAGADA",Tabla6[[#This Row],[ID FACTURA]]&lt;&gt;0,"EMITIDA",Tabla6[[#This Row],[ID FACTURA]]=0,"POR EMITIR")</f>
        <v>PAGADA</v>
      </c>
      <c r="M792" s="55">
        <f>+IF(Tabla6[[#This Row],[ESTADO FACTURA]]="PAGADA",Tabla6[[#This Row],[FECHA]]-_xlfn.XLOOKUP(Tabla6[[#This Row],[N° FACTURA]],INGRESOS!F:F,INGRESOS!A:A),"-")</f>
        <v>-1</v>
      </c>
      <c r="O792"/>
    </row>
    <row r="793" spans="1:15" ht="14.75" customHeight="1">
      <c r="A793" s="320" t="s">
        <v>541</v>
      </c>
      <c r="B793" t="str">
        <f>+_xlfn.XLOOKUP(Tabla6[[#This Row],[ID CLIENTE]],'RESUMEN CLIENTES'!D:D,'RESUMEN CLIENTES'!A:A)</f>
        <v>Alejandra Goretti Figueroa Romo</v>
      </c>
      <c r="C793" t="str">
        <f>+_xlfn.XLOOKUP(Tabla6[[#This Row],[ID CLIENTE]],'RESUMEN CLIENTES'!D:D,'RESUMEN CLIENTES'!C:C)</f>
        <v>México</v>
      </c>
      <c r="D793" s="44" t="str">
        <f>+_xlfn.XLOOKUP(Tabla6[[#This Row],[ID CLIENTE]],'RESUMEN CLIENTES'!D:D,'RESUMEN CLIENTES'!M:M)</f>
        <v>OK</v>
      </c>
      <c r="E793" s="72">
        <f>+_xlfn.XLOOKUP(Tabla6[[#This Row],[NOMBRE]],'RESUMEN CLIENTES'!A:A,'RESUMEN CLIENTES'!X:X)</f>
        <v>0.75</v>
      </c>
      <c r="F793" s="72">
        <f>+_xlfn.XLOOKUP(Tabla6[[#This Row],[ID CLIENTE]],'RESUMEN CLIENTES'!D:D,'RESUMEN CLIENTES'!W:W)</f>
        <v>0</v>
      </c>
      <c r="G793" s="17">
        <v>46021</v>
      </c>
      <c r="H793" s="44" t="s">
        <v>81</v>
      </c>
      <c r="I793" s="2">
        <v>1000</v>
      </c>
      <c r="J793" s="20" t="s">
        <v>1764</v>
      </c>
      <c r="K793" t="s">
        <v>1765</v>
      </c>
      <c r="L793" s="44" t="str" cm="1">
        <f t="array" ref="L793">+_xlfn.IFS(COUNTIF(INGRESOS!E:E,Tabla6[[#This Row],[ID FACTURA]])=1,"PAGADA",Tabla6[[#This Row],[ID FACTURA]]&lt;&gt;0,"EMITIDA",Tabla6[[#This Row],[ID FACTURA]]=0,"POR EMITIR")</f>
        <v>PAGADA</v>
      </c>
      <c r="M793" s="55">
        <f>+IF(Tabla6[[#This Row],[ESTADO FACTURA]]="PAGADA",Tabla6[[#This Row],[FECHA]]-_xlfn.XLOOKUP(Tabla6[[#This Row],[N° FACTURA]],INGRESOS!F:F,INGRESOS!A:A),"-")</f>
        <v>0</v>
      </c>
      <c r="N793" s="2"/>
      <c r="O793"/>
    </row>
    <row r="794" spans="1:15" ht="14.75" customHeight="1">
      <c r="A794" s="320" t="s">
        <v>226</v>
      </c>
      <c r="B794" t="str">
        <f>+_xlfn.XLOOKUP(Tabla6[[#This Row],[ID CLIENTE]],'RESUMEN CLIENTES'!D:D,'RESUMEN CLIENTES'!A:A)</f>
        <v>Carlos Josue Escobar Morán</v>
      </c>
      <c r="C794" t="str">
        <f>+_xlfn.XLOOKUP(Tabla6[[#This Row],[ID CLIENTE]],'RESUMEN CLIENTES'!D:D,'RESUMEN CLIENTES'!C:C)</f>
        <v>El Salvador</v>
      </c>
      <c r="D794" s="44" t="str">
        <f>+_xlfn.XLOOKUP(Tabla6[[#This Row],[ID CLIENTE]],'RESUMEN CLIENTES'!D:D,'RESUMEN CLIENTES'!M:M)</f>
        <v>OK</v>
      </c>
      <c r="E794" s="72">
        <f>+_xlfn.XLOOKUP(Tabla6[[#This Row],[NOMBRE]],'RESUMEN CLIENTES'!A:A,'RESUMEN CLIENTES'!X:X)</f>
        <v>0.8</v>
      </c>
      <c r="F794" s="72">
        <f>+_xlfn.XLOOKUP(Tabla6[[#This Row],[ID CLIENTE]],'RESUMEN CLIENTES'!D:D,'RESUMEN CLIENTES'!W:W)</f>
        <v>0</v>
      </c>
      <c r="G794" s="17">
        <v>46021</v>
      </c>
      <c r="H794" s="44" t="s">
        <v>81</v>
      </c>
      <c r="I794" s="2">
        <v>500</v>
      </c>
      <c r="J794" s="20" t="s">
        <v>1766</v>
      </c>
      <c r="K794" t="s">
        <v>1767</v>
      </c>
      <c r="L794" s="44" t="str" cm="1">
        <f t="array" ref="L794">+_xlfn.IFS(COUNTIF(INGRESOS!E:E,Tabla6[[#This Row],[ID FACTURA]])=1,"PAGADA",Tabla6[[#This Row],[ID FACTURA]]&lt;&gt;0,"EMITIDA",Tabla6[[#This Row],[ID FACTURA]]=0,"POR EMITIR")</f>
        <v>PAGADA</v>
      </c>
      <c r="M794" s="55">
        <f>+IF(Tabla6[[#This Row],[ESTADO FACTURA]]="PAGADA",Tabla6[[#This Row],[FECHA]]-_xlfn.XLOOKUP(Tabla6[[#This Row],[N° FACTURA]],INGRESOS!F:F,INGRESOS!A:A),"-")</f>
        <v>0</v>
      </c>
      <c r="N794" s="2"/>
      <c r="O794"/>
    </row>
    <row r="795" spans="1:15" ht="14.75" customHeight="1">
      <c r="A795" s="320" t="s">
        <v>479</v>
      </c>
      <c r="B795" t="str">
        <f>+_xlfn.XLOOKUP(Tabla6[[#This Row],[ID CLIENTE]],'RESUMEN CLIENTES'!D:D,'RESUMEN CLIENTES'!A:A)</f>
        <v>Carlos Mersaim Olivares Sandoval</v>
      </c>
      <c r="C795" t="str">
        <f>+_xlfn.XLOOKUP(Tabla6[[#This Row],[ID CLIENTE]],'RESUMEN CLIENTES'!D:D,'RESUMEN CLIENTES'!C:C)</f>
        <v>México</v>
      </c>
      <c r="D795" s="44" t="str">
        <f>+_xlfn.XLOOKUP(Tabla6[[#This Row],[ID CLIENTE]],'RESUMEN CLIENTES'!D:D,'RESUMEN CLIENTES'!M:M)</f>
        <v>OK</v>
      </c>
      <c r="E795" s="72">
        <f>+_xlfn.XLOOKUP(Tabla6[[#This Row],[NOMBRE]],'RESUMEN CLIENTES'!A:A,'RESUMEN CLIENTES'!X:X)</f>
        <v>1.4444444444444444</v>
      </c>
      <c r="F795" s="72">
        <f>+_xlfn.XLOOKUP(Tabla6[[#This Row],[ID CLIENTE]],'RESUMEN CLIENTES'!D:D,'RESUMEN CLIENTES'!W:W)</f>
        <v>0</v>
      </c>
      <c r="G795" s="17">
        <v>46021</v>
      </c>
      <c r="H795" s="44" t="s">
        <v>81</v>
      </c>
      <c r="I795" s="2">
        <v>1000</v>
      </c>
      <c r="J795" s="20" t="s">
        <v>1768</v>
      </c>
      <c r="K795" t="s">
        <v>1769</v>
      </c>
      <c r="L795" s="44" t="str" cm="1">
        <f t="array" ref="L795">+_xlfn.IFS(COUNTIF(INGRESOS!E:E,Tabla6[[#This Row],[ID FACTURA]])=1,"PAGADA",Tabla6[[#This Row],[ID FACTURA]]&lt;&gt;0,"EMITIDA",Tabla6[[#This Row],[ID FACTURA]]=0,"POR EMITIR")</f>
        <v>PAGADA</v>
      </c>
      <c r="M795" s="55">
        <f>+IF(Tabla6[[#This Row],[ESTADO FACTURA]]="PAGADA",Tabla6[[#This Row],[FECHA]]-_xlfn.XLOOKUP(Tabla6[[#This Row],[N° FACTURA]],INGRESOS!F:F,INGRESOS!A:A),"-")</f>
        <v>0</v>
      </c>
      <c r="N795" s="2"/>
      <c r="O795"/>
    </row>
    <row r="796" spans="1:15" ht="14.75" customHeight="1">
      <c r="A796" s="320" t="s">
        <v>115</v>
      </c>
      <c r="B796" t="str">
        <f>+_xlfn.XLOOKUP(Tabla6[[#This Row],[ID CLIENTE]],'RESUMEN CLIENTES'!D:D,'RESUMEN CLIENTES'!A:A)</f>
        <v>David Hernández Viveros</v>
      </c>
      <c r="C796" t="str">
        <f>+_xlfn.XLOOKUP(Tabla6[[#This Row],[ID CLIENTE]],'RESUMEN CLIENTES'!D:D,'RESUMEN CLIENTES'!C:C)</f>
        <v>México</v>
      </c>
      <c r="D796" s="44" t="str">
        <f>+_xlfn.XLOOKUP(Tabla6[[#This Row],[ID CLIENTE]],'RESUMEN CLIENTES'!D:D,'RESUMEN CLIENTES'!M:M)</f>
        <v>OK</v>
      </c>
      <c r="E796" s="72">
        <f>+_xlfn.XLOOKUP(Tabla6[[#This Row],[NOMBRE]],'RESUMEN CLIENTES'!A:A,'RESUMEN CLIENTES'!X:X)</f>
        <v>-0.5</v>
      </c>
      <c r="F796" s="72">
        <f>+_xlfn.XLOOKUP(Tabla6[[#This Row],[ID CLIENTE]],'RESUMEN CLIENTES'!D:D,'RESUMEN CLIENTES'!W:W)</f>
        <v>1</v>
      </c>
      <c r="G796" s="17">
        <v>46021</v>
      </c>
      <c r="H796" s="44" t="s">
        <v>81</v>
      </c>
      <c r="I796" s="2">
        <v>1500</v>
      </c>
      <c r="J796" s="20" t="s">
        <v>1770</v>
      </c>
      <c r="K796" t="s">
        <v>1771</v>
      </c>
      <c r="L796" s="44" t="str" cm="1">
        <f t="array" ref="L796">+_xlfn.IFS(COUNTIF(INGRESOS!E:E,Tabla6[[#This Row],[ID FACTURA]])=1,"PAGADA",Tabla6[[#This Row],[ID FACTURA]]&lt;&gt;0,"EMITIDA",Tabla6[[#This Row],[ID FACTURA]]=0,"POR EMITIR")</f>
        <v>PAGADA</v>
      </c>
      <c r="M796" s="55">
        <f>+IF(Tabla6[[#This Row],[ESTADO FACTURA]]="PAGADA",Tabla6[[#This Row],[FECHA]]-_xlfn.XLOOKUP(Tabla6[[#This Row],[N° FACTURA]],INGRESOS!F:F,INGRESOS!A:A),"-")</f>
        <v>-1</v>
      </c>
      <c r="N796" s="2"/>
      <c r="O796"/>
    </row>
    <row r="797" spans="1:15" ht="14.75" customHeight="1">
      <c r="A797" s="320" t="s">
        <v>385</v>
      </c>
      <c r="B797" t="str">
        <f>+_xlfn.XLOOKUP(Tabla6[[#This Row],[ID CLIENTE]],'RESUMEN CLIENTES'!D:D,'RESUMEN CLIENTES'!A:A)</f>
        <v>Ellen Cristina Gerónimo Bonilla</v>
      </c>
      <c r="C797" t="str">
        <f>+_xlfn.XLOOKUP(Tabla6[[#This Row],[ID CLIENTE]],'RESUMEN CLIENTES'!D:D,'RESUMEN CLIENTES'!C:C)</f>
        <v>República Dominicana</v>
      </c>
      <c r="D797" s="44" t="str">
        <f>+_xlfn.XLOOKUP(Tabla6[[#This Row],[ID CLIENTE]],'RESUMEN CLIENTES'!D:D,'RESUMEN CLIENTES'!M:M)</f>
        <v>OK</v>
      </c>
      <c r="E797" s="72">
        <f>+_xlfn.XLOOKUP(Tabla6[[#This Row],[NOMBRE]],'RESUMEN CLIENTES'!A:A,'RESUMEN CLIENTES'!X:X)</f>
        <v>1.5555555555555556</v>
      </c>
      <c r="F797" s="72">
        <f>+_xlfn.XLOOKUP(Tabla6[[#This Row],[ID CLIENTE]],'RESUMEN CLIENTES'!D:D,'RESUMEN CLIENTES'!W:W)</f>
        <v>1</v>
      </c>
      <c r="G797" s="17">
        <v>46021</v>
      </c>
      <c r="H797" s="44" t="s">
        <v>81</v>
      </c>
      <c r="I797" s="2">
        <v>600</v>
      </c>
      <c r="J797" s="20" t="s">
        <v>1772</v>
      </c>
      <c r="K797" t="s">
        <v>1773</v>
      </c>
      <c r="L797" s="44" t="str" cm="1">
        <f t="array" ref="L797">+_xlfn.IFS(COUNTIF(INGRESOS!E:E,Tabla6[[#This Row],[ID FACTURA]])=1,"PAGADA",Tabla6[[#This Row],[ID FACTURA]]&lt;&gt;0,"EMITIDA",Tabla6[[#This Row],[ID FACTURA]]=0,"POR EMITIR")</f>
        <v>PAGADA</v>
      </c>
      <c r="M797" s="55">
        <f>+IF(Tabla6[[#This Row],[ESTADO FACTURA]]="PAGADA",Tabla6[[#This Row],[FECHA]]-_xlfn.XLOOKUP(Tabla6[[#This Row],[N° FACTURA]],INGRESOS!F:F,INGRESOS!A:A),"-")</f>
        <v>4</v>
      </c>
      <c r="N797" s="2"/>
      <c r="O797"/>
    </row>
    <row r="798" spans="1:15" ht="14.75" customHeight="1">
      <c r="A798" s="320" t="s">
        <v>1761</v>
      </c>
      <c r="B798" t="str">
        <f>+_xlfn.XLOOKUP(Tabla6[[#This Row],[ID CLIENTE]],'RESUMEN CLIENTES'!D:D,'RESUMEN CLIENTES'!A:A)</f>
        <v>Francisco Salas Barrera</v>
      </c>
      <c r="C798" t="str">
        <f>+_xlfn.XLOOKUP(Tabla6[[#This Row],[ID CLIENTE]],'RESUMEN CLIENTES'!D:D,'RESUMEN CLIENTES'!C:C)</f>
        <v>México</v>
      </c>
      <c r="D798" s="169" t="str">
        <f>+_xlfn.XLOOKUP(Tabla6[[#This Row],[ID CLIENTE]],'RESUMEN CLIENTES'!D:D,'RESUMEN CLIENTES'!M:M)</f>
        <v>OK</v>
      </c>
      <c r="E798" s="71">
        <f>+_xlfn.XLOOKUP(Tabla6[[#This Row],[NOMBRE]],'RESUMEN CLIENTES'!A:A,'RESUMEN CLIENTES'!X:X)</f>
        <v>-0.75</v>
      </c>
      <c r="F798" s="71">
        <f>+_xlfn.XLOOKUP(Tabla6[[#This Row],[ID CLIENTE]],'RESUMEN CLIENTES'!D:D,'RESUMEN CLIENTES'!W:W)</f>
        <v>0</v>
      </c>
      <c r="G798" s="17">
        <v>46021</v>
      </c>
      <c r="H798" s="169" t="s">
        <v>81</v>
      </c>
      <c r="I798" s="2">
        <v>1750</v>
      </c>
      <c r="J798" s="20" t="s">
        <v>1774</v>
      </c>
      <c r="K798" t="s">
        <v>1775</v>
      </c>
      <c r="L798" s="44" t="str" cm="1">
        <f t="array" ref="L798">+_xlfn.IFS(COUNTIF(INGRESOS!E:E,Tabla6[[#This Row],[ID FACTURA]])=1,"PAGADA",Tabla6[[#This Row],[ID FACTURA]]&lt;&gt;0,"EMITIDA",Tabla6[[#This Row],[ID FACTURA]]=0,"POR EMITIR")</f>
        <v>PAGADA</v>
      </c>
      <c r="M798" s="55">
        <f>+IF(Tabla6[[#This Row],[ESTADO FACTURA]]="PAGADA",Tabla6[[#This Row],[FECHA]]-_xlfn.XLOOKUP(Tabla6[[#This Row],[N° FACTURA]],INGRESOS!F:F,INGRESOS!A:A),"-")</f>
        <v>0</v>
      </c>
      <c r="O798"/>
    </row>
    <row r="799" spans="1:15" ht="14.75" customHeight="1">
      <c r="A799" s="320" t="s">
        <v>739</v>
      </c>
      <c r="B799" t="str">
        <f>+_xlfn.XLOOKUP(Tabla6[[#This Row],[ID CLIENTE]],'RESUMEN CLIENTES'!D:D,'RESUMEN CLIENTES'!A:A)</f>
        <v>Gilberto Martiñon Torres</v>
      </c>
      <c r="C799" t="str">
        <f>+_xlfn.XLOOKUP(Tabla6[[#This Row],[ID CLIENTE]],'RESUMEN CLIENTES'!D:D,'RESUMEN CLIENTES'!C:C)</f>
        <v>México</v>
      </c>
      <c r="D799" s="44" t="str">
        <f>+_xlfn.XLOOKUP(Tabla6[[#This Row],[ID CLIENTE]],'RESUMEN CLIENTES'!D:D,'RESUMEN CLIENTES'!M:M)</f>
        <v>OK</v>
      </c>
      <c r="E799" s="72">
        <f>+_xlfn.XLOOKUP(Tabla6[[#This Row],[NOMBRE]],'RESUMEN CLIENTES'!A:A,'RESUMEN CLIENTES'!X:X)</f>
        <v>-0.625</v>
      </c>
      <c r="F799" s="72">
        <f>+_xlfn.XLOOKUP(Tabla6[[#This Row],[ID CLIENTE]],'RESUMEN CLIENTES'!D:D,'RESUMEN CLIENTES'!W:W)</f>
        <v>0</v>
      </c>
      <c r="G799" s="17">
        <v>46021</v>
      </c>
      <c r="H799" s="44" t="s">
        <v>81</v>
      </c>
      <c r="I799" s="2">
        <v>700</v>
      </c>
      <c r="J799" s="20" t="s">
        <v>1776</v>
      </c>
      <c r="K799" t="s">
        <v>1777</v>
      </c>
      <c r="L799" s="44" t="str" cm="1">
        <f t="array" ref="L799">+_xlfn.IFS(COUNTIF(INGRESOS!E:E,Tabla6[[#This Row],[ID FACTURA]])=1,"PAGADA",Tabla6[[#This Row],[ID FACTURA]]&lt;&gt;0,"EMITIDA",Tabla6[[#This Row],[ID FACTURA]]=0,"POR EMITIR")</f>
        <v>PAGADA</v>
      </c>
      <c r="M799" s="55">
        <f>+IF(Tabla6[[#This Row],[ESTADO FACTURA]]="PAGADA",Tabla6[[#This Row],[FECHA]]-_xlfn.XLOOKUP(Tabla6[[#This Row],[N° FACTURA]],INGRESOS!F:F,INGRESOS!A:A),"-")</f>
        <v>-2</v>
      </c>
      <c r="N799" s="2"/>
      <c r="O799"/>
    </row>
    <row r="800" spans="1:15" ht="14.75" customHeight="1">
      <c r="A800" s="320" t="s">
        <v>106</v>
      </c>
      <c r="B800" t="str">
        <f>+_xlfn.XLOOKUP(Tabla6[[#This Row],[ID CLIENTE]],'RESUMEN CLIENTES'!D:D,'RESUMEN CLIENTES'!A:A)</f>
        <v>Hector Armando Daza Mejia</v>
      </c>
      <c r="C800" t="str">
        <f>+_xlfn.XLOOKUP(Tabla6[[#This Row],[ID CLIENTE]],'RESUMEN CLIENTES'!D:D,'RESUMEN CLIENTES'!C:C)</f>
        <v>Colombia</v>
      </c>
      <c r="D800" s="44" t="str">
        <f>+_xlfn.XLOOKUP(Tabla6[[#This Row],[ID CLIENTE]],'RESUMEN CLIENTES'!D:D,'RESUMEN CLIENTES'!M:M)</f>
        <v>OK</v>
      </c>
      <c r="E800" s="72">
        <f>+_xlfn.XLOOKUP(Tabla6[[#This Row],[NOMBRE]],'RESUMEN CLIENTES'!A:A,'RESUMEN CLIENTES'!X:X)</f>
        <v>1.1111111111111112</v>
      </c>
      <c r="F800" s="72">
        <f>+_xlfn.XLOOKUP(Tabla6[[#This Row],[ID CLIENTE]],'RESUMEN CLIENTES'!D:D,'RESUMEN CLIENTES'!W:W)</f>
        <v>0</v>
      </c>
      <c r="G800" s="17">
        <v>46021</v>
      </c>
      <c r="H800" s="44" t="s">
        <v>81</v>
      </c>
      <c r="I800" s="2">
        <v>1500</v>
      </c>
      <c r="J800" s="20" t="s">
        <v>1778</v>
      </c>
      <c r="K800" t="s">
        <v>1779</v>
      </c>
      <c r="L800" s="44" t="str" cm="1">
        <f t="array" ref="L800">+_xlfn.IFS(COUNTIF(INGRESOS!E:E,Tabla6[[#This Row],[ID FACTURA]])=1,"PAGADA",Tabla6[[#This Row],[ID FACTURA]]&lt;&gt;0,"EMITIDA",Tabla6[[#This Row],[ID FACTURA]]=0,"POR EMITIR")</f>
        <v>PAGADA</v>
      </c>
      <c r="M800" s="55">
        <f>+IF(Tabla6[[#This Row],[ESTADO FACTURA]]="PAGADA",Tabla6[[#This Row],[FECHA]]-_xlfn.XLOOKUP(Tabla6[[#This Row],[N° FACTURA]],INGRESOS!F:F,INGRESOS!A:A),"-")</f>
        <v>0</v>
      </c>
      <c r="N800" s="2"/>
      <c r="O800"/>
    </row>
    <row r="801" spans="1:15" ht="14.75" customHeight="1">
      <c r="A801" s="320" t="s">
        <v>266</v>
      </c>
      <c r="B801" t="str">
        <f>+_xlfn.XLOOKUP(Tabla6[[#This Row],[ID CLIENTE]],'RESUMEN CLIENTES'!D:D,'RESUMEN CLIENTES'!A:A)</f>
        <v>Juan Camilo Sanchez Ramirez</v>
      </c>
      <c r="C801" t="str">
        <f>+_xlfn.XLOOKUP(Tabla6[[#This Row],[ID CLIENTE]],'RESUMEN CLIENTES'!D:D,'RESUMEN CLIENTES'!C:C)</f>
        <v>Colombia</v>
      </c>
      <c r="D801" s="44" t="str">
        <f>+_xlfn.XLOOKUP(Tabla6[[#This Row],[ID CLIENTE]],'RESUMEN CLIENTES'!D:D,'RESUMEN CLIENTES'!M:M)</f>
        <v>OK</v>
      </c>
      <c r="E801" s="72">
        <f>+_xlfn.XLOOKUP(Tabla6[[#This Row],[NOMBRE]],'RESUMEN CLIENTES'!A:A,'RESUMEN CLIENTES'!X:X)</f>
        <v>0.2</v>
      </c>
      <c r="F801" s="72">
        <f>+_xlfn.XLOOKUP(Tabla6[[#This Row],[ID CLIENTE]],'RESUMEN CLIENTES'!D:D,'RESUMEN CLIENTES'!W:W)</f>
        <v>0</v>
      </c>
      <c r="G801" s="17">
        <v>46021</v>
      </c>
      <c r="H801" s="44" t="s">
        <v>81</v>
      </c>
      <c r="I801" s="2">
        <v>1000</v>
      </c>
      <c r="J801" s="20" t="s">
        <v>1780</v>
      </c>
      <c r="K801" t="s">
        <v>1781</v>
      </c>
      <c r="L801" s="44" t="str" cm="1">
        <f t="array" ref="L801">+_xlfn.IFS(COUNTIF(INGRESOS!E:E,Tabla6[[#This Row],[ID FACTURA]])=1,"PAGADA",Tabla6[[#This Row],[ID FACTURA]]&lt;&gt;0,"EMITIDA",Tabla6[[#This Row],[ID FACTURA]]=0,"POR EMITIR")</f>
        <v>PAGADA</v>
      </c>
      <c r="M801" s="55">
        <f>+IF(Tabla6[[#This Row],[ESTADO FACTURA]]="PAGADA",Tabla6[[#This Row],[FECHA]]-_xlfn.XLOOKUP(Tabla6[[#This Row],[N° FACTURA]],INGRESOS!F:F,INGRESOS!A:A),"-")</f>
        <v>0</v>
      </c>
      <c r="N801" s="2"/>
      <c r="O801"/>
    </row>
    <row r="802" spans="1:15" ht="14.75" customHeight="1">
      <c r="A802" s="320" t="s">
        <v>441</v>
      </c>
      <c r="B802" t="str">
        <f>+_xlfn.XLOOKUP(Tabla6[[#This Row],[ID CLIENTE]],'RESUMEN CLIENTES'!D:D,'RESUMEN CLIENTES'!A:A)</f>
        <v>Luis Manuel Villanueva Contreras</v>
      </c>
      <c r="C802" t="str">
        <f>+_xlfn.XLOOKUP(Tabla6[[#This Row],[ID CLIENTE]],'RESUMEN CLIENTES'!D:D,'RESUMEN CLIENTES'!C:C)</f>
        <v>México</v>
      </c>
      <c r="D802" s="44" t="str">
        <f>+_xlfn.XLOOKUP(Tabla6[[#This Row],[ID CLIENTE]],'RESUMEN CLIENTES'!D:D,'RESUMEN CLIENTES'!M:M)</f>
        <v>OK</v>
      </c>
      <c r="E802" s="72">
        <f>+_xlfn.XLOOKUP(Tabla6[[#This Row],[NOMBRE]],'RESUMEN CLIENTES'!A:A,'RESUMEN CLIENTES'!X:X)</f>
        <v>0.55555555555555558</v>
      </c>
      <c r="F802" s="72">
        <f>+_xlfn.XLOOKUP(Tabla6[[#This Row],[ID CLIENTE]],'RESUMEN CLIENTES'!D:D,'RESUMEN CLIENTES'!W:W)</f>
        <v>0</v>
      </c>
      <c r="G802" s="17">
        <v>46021</v>
      </c>
      <c r="H802" s="44" t="s">
        <v>81</v>
      </c>
      <c r="I802" s="2">
        <v>1000</v>
      </c>
      <c r="J802" s="20" t="s">
        <v>1782</v>
      </c>
      <c r="K802" t="s">
        <v>1783</v>
      </c>
      <c r="L802" s="44" t="str" cm="1">
        <f t="array" ref="L802">+_xlfn.IFS(COUNTIF(INGRESOS!E:E,Tabla6[[#This Row],[ID FACTURA]])=1,"PAGADA",Tabla6[[#This Row],[ID FACTURA]]&lt;&gt;0,"EMITIDA",Tabla6[[#This Row],[ID FACTURA]]=0,"POR EMITIR")</f>
        <v>PAGADA</v>
      </c>
      <c r="M802" s="55">
        <f>+IF(Tabla6[[#This Row],[ESTADO FACTURA]]="PAGADA",Tabla6[[#This Row],[FECHA]]-_xlfn.XLOOKUP(Tabla6[[#This Row],[N° FACTURA]],INGRESOS!F:F,INGRESOS!A:A),"-")</f>
        <v>0</v>
      </c>
      <c r="N802" s="2"/>
      <c r="O802"/>
    </row>
    <row r="803" spans="1:15" ht="14.75" customHeight="1">
      <c r="A803" s="320" t="s">
        <v>390</v>
      </c>
      <c r="B803" t="str">
        <f>+_xlfn.XLOOKUP(Tabla6[[#This Row],[ID CLIENTE]],'RESUMEN CLIENTES'!D:D,'RESUMEN CLIENTES'!A:A)</f>
        <v>María Fernanda Lincango Andi</v>
      </c>
      <c r="C803" t="str">
        <f>+_xlfn.XLOOKUP(Tabla6[[#This Row],[ID CLIENTE]],'RESUMEN CLIENTES'!D:D,'RESUMEN CLIENTES'!C:C)</f>
        <v>Ecuador</v>
      </c>
      <c r="D803" s="44" t="str">
        <f>+_xlfn.XLOOKUP(Tabla6[[#This Row],[ID CLIENTE]],'RESUMEN CLIENTES'!D:D,'RESUMEN CLIENTES'!M:M)</f>
        <v>¡REGULARIZAR!</v>
      </c>
      <c r="E803" s="72">
        <f>+_xlfn.XLOOKUP(Tabla6[[#This Row],[NOMBRE]],'RESUMEN CLIENTES'!A:A,'RESUMEN CLIENTES'!X:X)</f>
        <v>0.66666666666666663</v>
      </c>
      <c r="F803" s="72">
        <f>+_xlfn.XLOOKUP(Tabla6[[#This Row],[ID CLIENTE]],'RESUMEN CLIENTES'!D:D,'RESUMEN CLIENTES'!W:W)</f>
        <v>0</v>
      </c>
      <c r="G803" s="17">
        <v>46021</v>
      </c>
      <c r="H803" s="44" t="s">
        <v>81</v>
      </c>
      <c r="I803" s="2">
        <v>599</v>
      </c>
      <c r="J803" s="20" t="s">
        <v>1784</v>
      </c>
      <c r="K803" t="s">
        <v>1785</v>
      </c>
      <c r="L803" s="44" t="str" cm="1">
        <f t="array" ref="L803">+_xlfn.IFS(COUNTIF(INGRESOS!E:E,Tabla6[[#This Row],[ID FACTURA]])=1,"PAGADA",Tabla6[[#This Row],[ID FACTURA]]&lt;&gt;0,"EMITIDA",Tabla6[[#This Row],[ID FACTURA]]=0,"POR EMITIR")</f>
        <v>PAGADA</v>
      </c>
      <c r="M803" s="55">
        <f>+IF(Tabla6[[#This Row],[ESTADO FACTURA]]="PAGADA",Tabla6[[#This Row],[FECHA]]-_xlfn.XLOOKUP(Tabla6[[#This Row],[N° FACTURA]],INGRESOS!F:F,INGRESOS!A:A),"-")</f>
        <v>1</v>
      </c>
      <c r="N803" s="2"/>
      <c r="O803"/>
    </row>
    <row r="804" spans="1:15" ht="14.75" customHeight="1">
      <c r="A804" s="320" t="s">
        <v>590</v>
      </c>
      <c r="B804" t="str">
        <f>+_xlfn.XLOOKUP(Tabla6[[#This Row],[ID CLIENTE]],'RESUMEN CLIENTES'!D:D,'RESUMEN CLIENTES'!A:A)</f>
        <v>María Lucero de Jesús Barrios Sazo</v>
      </c>
      <c r="C804" t="str">
        <f>+_xlfn.XLOOKUP(Tabla6[[#This Row],[ID CLIENTE]],'RESUMEN CLIENTES'!D:D,'RESUMEN CLIENTES'!C:C)</f>
        <v>Guatemala</v>
      </c>
      <c r="D804" s="44" t="str">
        <f>+_xlfn.XLOOKUP(Tabla6[[#This Row],[ID CLIENTE]],'RESUMEN CLIENTES'!D:D,'RESUMEN CLIENTES'!M:M)</f>
        <v>OK</v>
      </c>
      <c r="E804" s="72">
        <f>+_xlfn.XLOOKUP(Tabla6[[#This Row],[NOMBRE]],'RESUMEN CLIENTES'!A:A,'RESUMEN CLIENTES'!X:X)</f>
        <v>1.25</v>
      </c>
      <c r="F804" s="72">
        <f>+_xlfn.XLOOKUP(Tabla6[[#This Row],[ID CLIENTE]],'RESUMEN CLIENTES'!D:D,'RESUMEN CLIENTES'!W:W)</f>
        <v>0</v>
      </c>
      <c r="G804" s="17">
        <v>46021</v>
      </c>
      <c r="H804" s="44" t="s">
        <v>81</v>
      </c>
      <c r="I804" s="2">
        <v>700</v>
      </c>
      <c r="J804" s="20" t="s">
        <v>1786</v>
      </c>
      <c r="K804" t="s">
        <v>1787</v>
      </c>
      <c r="L804" s="44" t="str" cm="1">
        <f t="array" ref="L804">+_xlfn.IFS(COUNTIF(INGRESOS!E:E,Tabla6[[#This Row],[ID FACTURA]])=1,"PAGADA",Tabla6[[#This Row],[ID FACTURA]]&lt;&gt;0,"EMITIDA",Tabla6[[#This Row],[ID FACTURA]]=0,"POR EMITIR")</f>
        <v>PAGADA</v>
      </c>
      <c r="M804" s="55">
        <f>+IF(Tabla6[[#This Row],[ESTADO FACTURA]]="PAGADA",Tabla6[[#This Row],[FECHA]]-_xlfn.XLOOKUP(Tabla6[[#This Row],[N° FACTURA]],INGRESOS!F:F,INGRESOS!A:A),"-")</f>
        <v>4</v>
      </c>
      <c r="N804" s="2"/>
      <c r="O804"/>
    </row>
    <row r="805" spans="1:15" ht="14.75" customHeight="1">
      <c r="A805" s="320" t="s">
        <v>1201</v>
      </c>
      <c r="B805" t="str">
        <f>+_xlfn.XLOOKUP(Tabla6[[#This Row],[ID CLIENTE]],'RESUMEN CLIENTES'!D:D,'RESUMEN CLIENTES'!A:A)</f>
        <v>María Soledad Tituana Asanza</v>
      </c>
      <c r="C805" t="str">
        <f>+_xlfn.XLOOKUP(Tabla6[[#This Row],[ID CLIENTE]],'RESUMEN CLIENTES'!D:D,'RESUMEN CLIENTES'!C:C)</f>
        <v>Ecuador</v>
      </c>
      <c r="D805" s="44" t="str">
        <f>+_xlfn.XLOOKUP(Tabla6[[#This Row],[ID CLIENTE]],'RESUMEN CLIENTES'!D:D,'RESUMEN CLIENTES'!M:M)</f>
        <v>OK</v>
      </c>
      <c r="E805" s="72">
        <f>+_xlfn.XLOOKUP(Tabla6[[#This Row],[NOMBRE]],'RESUMEN CLIENTES'!A:A,'RESUMEN CLIENTES'!X:X)</f>
        <v>-0.16666666666666666</v>
      </c>
      <c r="F805" s="72">
        <f>+_xlfn.XLOOKUP(Tabla6[[#This Row],[ID CLIENTE]],'RESUMEN CLIENTES'!D:D,'RESUMEN CLIENTES'!W:W)</f>
        <v>0</v>
      </c>
      <c r="G805" s="17">
        <v>46021</v>
      </c>
      <c r="H805" s="44" t="s">
        <v>81</v>
      </c>
      <c r="I805" s="2">
        <v>1000</v>
      </c>
      <c r="J805" s="20" t="s">
        <v>1788</v>
      </c>
      <c r="K805" t="s">
        <v>1789</v>
      </c>
      <c r="L805" s="44" t="str" cm="1">
        <f t="array" ref="L805">+_xlfn.IFS(COUNTIF(INGRESOS!E:E,Tabla6[[#This Row],[ID FACTURA]])=1,"PAGADA",Tabla6[[#This Row],[ID FACTURA]]&lt;&gt;0,"EMITIDA",Tabla6[[#This Row],[ID FACTURA]]=0,"POR EMITIR")</f>
        <v>PAGADA</v>
      </c>
      <c r="M805" s="55">
        <f>+IF(Tabla6[[#This Row],[ESTADO FACTURA]]="PAGADA",Tabla6[[#This Row],[FECHA]]-_xlfn.XLOOKUP(Tabla6[[#This Row],[N° FACTURA]],INGRESOS!F:F,INGRESOS!A:A),"-")</f>
        <v>-1</v>
      </c>
      <c r="N805" s="2"/>
      <c r="O805"/>
    </row>
    <row r="806" spans="1:15" ht="14.75" customHeight="1">
      <c r="A806" s="320" t="s">
        <v>314</v>
      </c>
      <c r="B806" t="str">
        <f>+_xlfn.XLOOKUP(Tabla6[[#This Row],[ID CLIENTE]],'RESUMEN CLIENTES'!D:D,'RESUMEN CLIENTES'!A:A)</f>
        <v>Miguel Angel Sisalima Shiña</v>
      </c>
      <c r="C806" t="str">
        <f>+_xlfn.XLOOKUP(Tabla6[[#This Row],[ID CLIENTE]],'RESUMEN CLIENTES'!D:D,'RESUMEN CLIENTES'!C:C)</f>
        <v>Ecuador</v>
      </c>
      <c r="D806" s="44" t="str">
        <f>+_xlfn.XLOOKUP(Tabla6[[#This Row],[ID CLIENTE]],'RESUMEN CLIENTES'!D:D,'RESUMEN CLIENTES'!M:M)</f>
        <v>OK</v>
      </c>
      <c r="E806" s="72">
        <f>+_xlfn.XLOOKUP(Tabla6[[#This Row],[NOMBRE]],'RESUMEN CLIENTES'!A:A,'RESUMEN CLIENTES'!X:X)</f>
        <v>0.6</v>
      </c>
      <c r="F806" s="72">
        <f>+_xlfn.XLOOKUP(Tabla6[[#This Row],[ID CLIENTE]],'RESUMEN CLIENTES'!D:D,'RESUMEN CLIENTES'!W:W)</f>
        <v>0</v>
      </c>
      <c r="G806" s="17">
        <v>46021</v>
      </c>
      <c r="H806" s="44" t="s">
        <v>81</v>
      </c>
      <c r="I806" s="2">
        <v>1000</v>
      </c>
      <c r="J806" s="20" t="s">
        <v>1790</v>
      </c>
      <c r="K806" t="s">
        <v>1791</v>
      </c>
      <c r="L806" s="44" t="str" cm="1">
        <f t="array" ref="L806">+_xlfn.IFS(COUNTIF(INGRESOS!E:E,Tabla6[[#This Row],[ID FACTURA]])=1,"PAGADA",Tabla6[[#This Row],[ID FACTURA]]&lt;&gt;0,"EMITIDA",Tabla6[[#This Row],[ID FACTURA]]=0,"POR EMITIR")</f>
        <v>PAGADA</v>
      </c>
      <c r="M806" s="55">
        <f>+IF(Tabla6[[#This Row],[ESTADO FACTURA]]="PAGADA",Tabla6[[#This Row],[FECHA]]-_xlfn.XLOOKUP(Tabla6[[#This Row],[N° FACTURA]],INGRESOS!F:F,INGRESOS!A:A),"-")</f>
        <v>0</v>
      </c>
      <c r="N806" s="2"/>
      <c r="O806"/>
    </row>
    <row r="807" spans="1:15" ht="14.75" customHeight="1">
      <c r="A807" s="320" t="s">
        <v>229</v>
      </c>
      <c r="B807" t="str">
        <f>+_xlfn.XLOOKUP(Tabla6[[#This Row],[ID CLIENTE]],'RESUMEN CLIENTES'!D:D,'RESUMEN CLIENTES'!A:A)</f>
        <v>Nathaly Gabriela Henríquez Masín</v>
      </c>
      <c r="C807" t="str">
        <f>+_xlfn.XLOOKUP(Tabla6[[#This Row],[ID CLIENTE]],'RESUMEN CLIENTES'!D:D,'RESUMEN CLIENTES'!C:C)</f>
        <v>El Salvador</v>
      </c>
      <c r="D807" s="44" t="str">
        <f>+_xlfn.XLOOKUP(Tabla6[[#This Row],[ID CLIENTE]],'RESUMEN CLIENTES'!D:D,'RESUMEN CLIENTES'!M:M)</f>
        <v>OK</v>
      </c>
      <c r="E807" s="72">
        <f>+_xlfn.XLOOKUP(Tabla6[[#This Row],[NOMBRE]],'RESUMEN CLIENTES'!A:A,'RESUMEN CLIENTES'!X:X)</f>
        <v>0.7</v>
      </c>
      <c r="F807" s="72">
        <f>+_xlfn.XLOOKUP(Tabla6[[#This Row],[ID CLIENTE]],'RESUMEN CLIENTES'!D:D,'RESUMEN CLIENTES'!W:W)</f>
        <v>0</v>
      </c>
      <c r="G807" s="17">
        <v>46021</v>
      </c>
      <c r="H807" s="44" t="s">
        <v>81</v>
      </c>
      <c r="I807" s="2">
        <v>500</v>
      </c>
      <c r="J807" s="20" t="s">
        <v>1792</v>
      </c>
      <c r="K807" t="s">
        <v>1793</v>
      </c>
      <c r="L807" s="44" t="str" cm="1">
        <f t="array" ref="L807">+_xlfn.IFS(COUNTIF(INGRESOS!E:E,Tabla6[[#This Row],[ID FACTURA]])=1,"PAGADA",Tabla6[[#This Row],[ID FACTURA]]&lt;&gt;0,"EMITIDA",Tabla6[[#This Row],[ID FACTURA]]=0,"POR EMITIR")</f>
        <v>PAGADA</v>
      </c>
      <c r="M807" s="55">
        <f>+IF(Tabla6[[#This Row],[ESTADO FACTURA]]="PAGADA",Tabla6[[#This Row],[FECHA]]-_xlfn.XLOOKUP(Tabla6[[#This Row],[N° FACTURA]],INGRESOS!F:F,INGRESOS!A:A),"-")</f>
        <v>0</v>
      </c>
      <c r="N807" s="2"/>
      <c r="O807"/>
    </row>
    <row r="808" spans="1:15" ht="14.75" customHeight="1">
      <c r="A808" s="320" t="s">
        <v>350</v>
      </c>
      <c r="B808" t="str">
        <f>+_xlfn.XLOOKUP(Tabla6[[#This Row],[ID CLIENTE]],'RESUMEN CLIENTES'!D:D,'RESUMEN CLIENTES'!A:A)</f>
        <v>Rainier Guerrero</v>
      </c>
      <c r="C808" t="str">
        <f>+_xlfn.XLOOKUP(Tabla6[[#This Row],[ID CLIENTE]],'RESUMEN CLIENTES'!D:D,'RESUMEN CLIENTES'!C:C)</f>
        <v>México</v>
      </c>
      <c r="D808" s="44" t="str">
        <f>+_xlfn.XLOOKUP(Tabla6[[#This Row],[ID CLIENTE]],'RESUMEN CLIENTES'!D:D,'RESUMEN CLIENTES'!M:M)</f>
        <v>OK</v>
      </c>
      <c r="E808" s="72">
        <f>+_xlfn.XLOOKUP(Tabla6[[#This Row],[NOMBRE]],'RESUMEN CLIENTES'!A:A,'RESUMEN CLIENTES'!X:X)</f>
        <v>-0.3</v>
      </c>
      <c r="F808" s="72">
        <f>+_xlfn.XLOOKUP(Tabla6[[#This Row],[ID CLIENTE]],'RESUMEN CLIENTES'!D:D,'RESUMEN CLIENTES'!W:W)</f>
        <v>1</v>
      </c>
      <c r="G808" s="17">
        <v>46021</v>
      </c>
      <c r="H808" s="44" t="s">
        <v>81</v>
      </c>
      <c r="I808" s="2">
        <v>1000</v>
      </c>
      <c r="J808" s="20" t="s">
        <v>1794</v>
      </c>
      <c r="K808" t="s">
        <v>1795</v>
      </c>
      <c r="L808" s="44" t="str" cm="1">
        <f t="array" ref="L808">+_xlfn.IFS(COUNTIF(INGRESOS!E:E,Tabla6[[#This Row],[ID FACTURA]])=1,"PAGADA",Tabla6[[#This Row],[ID FACTURA]]&lt;&gt;0,"EMITIDA",Tabla6[[#This Row],[ID FACTURA]]=0,"POR EMITIR")</f>
        <v>PAGADA</v>
      </c>
      <c r="M808" s="55">
        <f>+IF(Tabla6[[#This Row],[ESTADO FACTURA]]="PAGADA",Tabla6[[#This Row],[FECHA]]-_xlfn.XLOOKUP(Tabla6[[#This Row],[N° FACTURA]],INGRESOS!F:F,INGRESOS!A:A),"-")</f>
        <v>0</v>
      </c>
      <c r="N808" s="2"/>
      <c r="O808"/>
    </row>
    <row r="809" spans="1:15" ht="14.75" customHeight="1">
      <c r="A809" s="320" t="s">
        <v>527</v>
      </c>
      <c r="B809" t="str">
        <f>+_xlfn.XLOOKUP(Tabla6[[#This Row],[ID CLIENTE]],'RESUMEN CLIENTES'!D:D,'RESUMEN CLIENTES'!A:A)</f>
        <v>Angie Pérez Cáceres</v>
      </c>
      <c r="C809" t="str">
        <f>+_xlfn.XLOOKUP(Tabla6[[#This Row],[ID CLIENTE]],'RESUMEN CLIENTES'!D:D,'RESUMEN CLIENTES'!C:C)</f>
        <v>Perú</v>
      </c>
      <c r="D809" s="44" t="str">
        <f>+_xlfn.XLOOKUP(Tabla6[[#This Row],[ID CLIENTE]],'RESUMEN CLIENTES'!D:D,'RESUMEN CLIENTES'!M:M)</f>
        <v>OK</v>
      </c>
      <c r="E809" s="72">
        <f>+_xlfn.XLOOKUP(Tabla6[[#This Row],[NOMBRE]],'RESUMEN CLIENTES'!A:A,'RESUMEN CLIENTES'!X:X)</f>
        <v>1.625</v>
      </c>
      <c r="F809" s="72">
        <f>+_xlfn.XLOOKUP(Tabla6[[#This Row],[ID CLIENTE]],'RESUMEN CLIENTES'!D:D,'RESUMEN CLIENTES'!W:W)</f>
        <v>0</v>
      </c>
      <c r="G809" s="17">
        <v>46022</v>
      </c>
      <c r="H809" s="44" t="s">
        <v>81</v>
      </c>
      <c r="I809" s="2">
        <v>1000</v>
      </c>
      <c r="J809" s="20" t="s">
        <v>1796</v>
      </c>
      <c r="K809" t="s">
        <v>1797</v>
      </c>
      <c r="L809" s="44" t="str" cm="1">
        <f t="array" ref="L809">+_xlfn.IFS(COUNTIF(INGRESOS!E:E,Tabla6[[#This Row],[ID FACTURA]])=1,"PAGADA",Tabla6[[#This Row],[ID FACTURA]]&lt;&gt;0,"EMITIDA",Tabla6[[#This Row],[ID FACTURA]]=0,"POR EMITIR")</f>
        <v>PAGADA</v>
      </c>
      <c r="M809" s="55">
        <f>+IF(Tabla6[[#This Row],[ESTADO FACTURA]]="PAGADA",Tabla6[[#This Row],[FECHA]]-_xlfn.XLOOKUP(Tabla6[[#This Row],[N° FACTURA]],INGRESOS!F:F,INGRESOS!A:A),"-")</f>
        <v>4</v>
      </c>
      <c r="N809" s="2"/>
      <c r="O809"/>
    </row>
    <row r="810" spans="1:15" ht="14.75" customHeight="1">
      <c r="A810" s="320" t="s">
        <v>1245</v>
      </c>
      <c r="B810" t="str">
        <f>+_xlfn.XLOOKUP(Tabla6[[#This Row],[ID CLIENTE]],'RESUMEN CLIENTES'!D:D,'RESUMEN CLIENTES'!A:A)</f>
        <v>Constanza Andrea Águila Vergara</v>
      </c>
      <c r="C810" t="str">
        <f>+_xlfn.XLOOKUP(Tabla6[[#This Row],[ID CLIENTE]],'RESUMEN CLIENTES'!D:D,'RESUMEN CLIENTES'!C:C)</f>
        <v>Chile</v>
      </c>
      <c r="D810" s="44" t="str">
        <f>+_xlfn.XLOOKUP(Tabla6[[#This Row],[ID CLIENTE]],'RESUMEN CLIENTES'!D:D,'RESUMEN CLIENTES'!M:M)</f>
        <v>OK</v>
      </c>
      <c r="E810" s="71">
        <f>+_xlfn.XLOOKUP(Tabla6[[#This Row],[NOMBRE]],'RESUMEN CLIENTES'!A:A,'RESUMEN CLIENTES'!X:X)</f>
        <v>-0.2</v>
      </c>
      <c r="F810" s="71">
        <f>+_xlfn.XLOOKUP(Tabla6[[#This Row],[ID CLIENTE]],'RESUMEN CLIENTES'!D:D,'RESUMEN CLIENTES'!W:W)</f>
        <v>1</v>
      </c>
      <c r="G810" s="17">
        <v>46023</v>
      </c>
      <c r="H810" s="44" t="s">
        <v>81</v>
      </c>
      <c r="I810" s="2">
        <v>850</v>
      </c>
      <c r="J810" s="20" t="s">
        <v>1798</v>
      </c>
      <c r="K810" t="s">
        <v>1799</v>
      </c>
      <c r="L810" s="44" t="str" cm="1">
        <f t="array" ref="L810">+_xlfn.IFS(COUNTIF(INGRESOS!E:E,Tabla6[[#This Row],[ID FACTURA]])=1,"PAGADA",Tabla6[[#This Row],[ID FACTURA]]&lt;&gt;0,"EMITIDA",Tabla6[[#This Row],[ID FACTURA]]=0,"POR EMITIR")</f>
        <v>PAGADA</v>
      </c>
      <c r="M810" s="55">
        <f>+IF(Tabla6[[#This Row],[ESTADO FACTURA]]="PAGADA",Tabla6[[#This Row],[FECHA]]-_xlfn.XLOOKUP(Tabla6[[#This Row],[N° FACTURA]],INGRESOS!F:F,INGRESOS!A:A),"-")</f>
        <v>-1</v>
      </c>
      <c r="N810" s="2"/>
      <c r="O810"/>
    </row>
    <row r="811" spans="1:15" ht="14.75" customHeight="1">
      <c r="A811" s="320" t="s">
        <v>1178</v>
      </c>
      <c r="B811" t="str">
        <f>+_xlfn.XLOOKUP(Tabla6[[#This Row],[ID CLIENTE]],'RESUMEN CLIENTES'!D:D,'RESUMEN CLIENTES'!A:A)</f>
        <v>Daniel Flores</v>
      </c>
      <c r="C811" t="str">
        <f>+_xlfn.XLOOKUP(Tabla6[[#This Row],[ID CLIENTE]],'RESUMEN CLIENTES'!D:D,'RESUMEN CLIENTES'!C:C)</f>
        <v>Ecuador</v>
      </c>
      <c r="D811" s="44" t="str">
        <f>+_xlfn.XLOOKUP(Tabla6[[#This Row],[ID CLIENTE]],'RESUMEN CLIENTES'!D:D,'RESUMEN CLIENTES'!M:M)</f>
        <v>OK</v>
      </c>
      <c r="E811" s="72">
        <f>+_xlfn.XLOOKUP(Tabla6[[#This Row],[NOMBRE]],'RESUMEN CLIENTES'!A:A,'RESUMEN CLIENTES'!X:X)</f>
        <v>3.8333333333333335</v>
      </c>
      <c r="F811" s="72">
        <f>+_xlfn.XLOOKUP(Tabla6[[#This Row],[ID CLIENTE]],'RESUMEN CLIENTES'!D:D,'RESUMEN CLIENTES'!W:W)</f>
        <v>1</v>
      </c>
      <c r="G811" s="17">
        <v>46023</v>
      </c>
      <c r="H811" s="44" t="s">
        <v>81</v>
      </c>
      <c r="I811" s="2">
        <v>850</v>
      </c>
      <c r="J811" s="20" t="s">
        <v>1800</v>
      </c>
      <c r="K811" t="s">
        <v>1801</v>
      </c>
      <c r="L811" s="44" t="str" cm="1">
        <f t="array" ref="L811">+_xlfn.IFS(COUNTIF(INGRESOS!E:E,Tabla6[[#This Row],[ID FACTURA]])=1,"PAGADA",Tabla6[[#This Row],[ID FACTURA]]&lt;&gt;0,"EMITIDA",Tabla6[[#This Row],[ID FACTURA]]=0,"POR EMITIR")</f>
        <v>PAGADA</v>
      </c>
      <c r="M811" s="55">
        <f>+IF(Tabla6[[#This Row],[ESTADO FACTURA]]="PAGADA",Tabla6[[#This Row],[FECHA]]-_xlfn.XLOOKUP(Tabla6[[#This Row],[N° FACTURA]],INGRESOS!F:F,INGRESOS!A:A),"-")</f>
        <v>0</v>
      </c>
      <c r="N811" s="2"/>
      <c r="O811"/>
    </row>
    <row r="812" spans="1:15" ht="14.75" customHeight="1">
      <c r="A812" s="320" t="s">
        <v>695</v>
      </c>
      <c r="B812" t="str">
        <f>+_xlfn.XLOOKUP(Tabla6[[#This Row],[ID CLIENTE]],'RESUMEN CLIENTES'!D:D,'RESUMEN CLIENTES'!A:A)</f>
        <v>Olguer Ariel Pruna Herrera</v>
      </c>
      <c r="C812" t="str">
        <f>+_xlfn.XLOOKUP(Tabla6[[#This Row],[ID CLIENTE]],'RESUMEN CLIENTES'!D:D,'RESUMEN CLIENTES'!C:C)</f>
        <v>Ecuador</v>
      </c>
      <c r="D812" s="44" t="str">
        <f>+_xlfn.XLOOKUP(Tabla6[[#This Row],[ID CLIENTE]],'RESUMEN CLIENTES'!D:D,'RESUMEN CLIENTES'!M:M)</f>
        <v>OK</v>
      </c>
      <c r="E812" s="72">
        <f>+_xlfn.XLOOKUP(Tabla6[[#This Row],[NOMBRE]],'RESUMEN CLIENTES'!A:A,'RESUMEN CLIENTES'!X:X)</f>
        <v>0.25</v>
      </c>
      <c r="F812" s="72">
        <f>+_xlfn.XLOOKUP(Tabla6[[#This Row],[ID CLIENTE]],'RESUMEN CLIENTES'!D:D,'RESUMEN CLIENTES'!W:W)</f>
        <v>1</v>
      </c>
      <c r="G812" s="17">
        <v>46024</v>
      </c>
      <c r="H812" s="44" t="s">
        <v>81</v>
      </c>
      <c r="I812" s="2">
        <v>1000</v>
      </c>
      <c r="J812" s="20" t="s">
        <v>1802</v>
      </c>
      <c r="K812" t="s">
        <v>1803</v>
      </c>
      <c r="L812" s="44" t="str" cm="1">
        <f t="array" ref="L812">+_xlfn.IFS(COUNTIF(INGRESOS!E:E,Tabla6[[#This Row],[ID FACTURA]])=1,"PAGADA",Tabla6[[#This Row],[ID FACTURA]]&lt;&gt;0,"EMITIDA",Tabla6[[#This Row],[ID FACTURA]]=0,"POR EMITIR")</f>
        <v>PAGADA</v>
      </c>
      <c r="M812" s="55">
        <f>+IF(Tabla6[[#This Row],[ESTADO FACTURA]]="PAGADA",Tabla6[[#This Row],[FECHA]]-_xlfn.XLOOKUP(Tabla6[[#This Row],[N° FACTURA]],INGRESOS!F:F,INGRESOS!A:A),"-")</f>
        <v>0</v>
      </c>
      <c r="N812" s="2"/>
      <c r="O812"/>
    </row>
    <row r="813" spans="1:15" ht="14.75" customHeight="1">
      <c r="A813" s="320" t="s">
        <v>258</v>
      </c>
      <c r="B813" t="str">
        <f>+_xlfn.XLOOKUP(Tabla6[[#This Row],[ID CLIENTE]],'RESUMEN CLIENTES'!D:D,'RESUMEN CLIENTES'!A:A)</f>
        <v>Maria Laura Rios Pino</v>
      </c>
      <c r="C813" t="str">
        <f>+_xlfn.XLOOKUP(Tabla6[[#This Row],[ID CLIENTE]],'RESUMEN CLIENTES'!D:D,'RESUMEN CLIENTES'!C:C)</f>
        <v>Perú</v>
      </c>
      <c r="D813" s="44" t="str">
        <f>+_xlfn.XLOOKUP(Tabla6[[#This Row],[ID CLIENTE]],'RESUMEN CLIENTES'!D:D,'RESUMEN CLIENTES'!M:M)</f>
        <v>OK</v>
      </c>
      <c r="E813" s="72">
        <f>+_xlfn.XLOOKUP(Tabla6[[#This Row],[NOMBRE]],'RESUMEN CLIENTES'!A:A,'RESUMEN CLIENTES'!X:X)</f>
        <v>1.4545454545454546</v>
      </c>
      <c r="F813" s="72">
        <f>+_xlfn.XLOOKUP(Tabla6[[#This Row],[ID CLIENTE]],'RESUMEN CLIENTES'!D:D,'RESUMEN CLIENTES'!W:W)</f>
        <v>0</v>
      </c>
      <c r="G813" s="17">
        <v>46025</v>
      </c>
      <c r="H813" s="44" t="s">
        <v>81</v>
      </c>
      <c r="I813" s="19">
        <v>1000</v>
      </c>
      <c r="J813" s="20" t="s">
        <v>1804</v>
      </c>
      <c r="K813" t="s">
        <v>1805</v>
      </c>
      <c r="L813" s="44" t="str" cm="1">
        <f t="array" ref="L813">+_xlfn.IFS(COUNTIF(INGRESOS!E:E,Tabla6[[#This Row],[ID FACTURA]])=1,"PAGADA",Tabla6[[#This Row],[ID FACTURA]]&lt;&gt;0,"EMITIDA",Tabla6[[#This Row],[ID FACTURA]]=0,"POR EMITIR")</f>
        <v>PAGADA</v>
      </c>
      <c r="M813" s="55">
        <f>+IF(Tabla6[[#This Row],[ESTADO FACTURA]]="PAGADA",Tabla6[[#This Row],[FECHA]]-_xlfn.XLOOKUP(Tabla6[[#This Row],[N° FACTURA]],INGRESOS!F:F,INGRESOS!A:A),"-")</f>
        <v>2</v>
      </c>
      <c r="N813" s="19"/>
      <c r="O813"/>
    </row>
    <row r="814" spans="1:15" ht="14.75" customHeight="1">
      <c r="A814" s="320" t="s">
        <v>200</v>
      </c>
      <c r="B814" t="str">
        <f>+_xlfn.XLOOKUP(Tabla6[[#This Row],[ID CLIENTE]],'RESUMEN CLIENTES'!D:D,'RESUMEN CLIENTES'!A:A)</f>
        <v>Mateo Gabriel Martinez Dávila</v>
      </c>
      <c r="C814" t="str">
        <f>+_xlfn.XLOOKUP(Tabla6[[#This Row],[ID CLIENTE]],'RESUMEN CLIENTES'!D:D,'RESUMEN CLIENTES'!C:C)</f>
        <v>Bolivia</v>
      </c>
      <c r="D814" s="169" t="str">
        <f>+_xlfn.XLOOKUP(Tabla6[[#This Row],[ID CLIENTE]],'RESUMEN CLIENTES'!D:D,'RESUMEN CLIENTES'!M:M)</f>
        <v>OK</v>
      </c>
      <c r="E814" s="71">
        <f>+_xlfn.XLOOKUP(Tabla6[[#This Row],[NOMBRE]],'RESUMEN CLIENTES'!A:A,'RESUMEN CLIENTES'!X:X)</f>
        <v>-0.5</v>
      </c>
      <c r="F814" s="71">
        <f>+_xlfn.XLOOKUP(Tabla6[[#This Row],[ID CLIENTE]],'RESUMEN CLIENTES'!D:D,'RESUMEN CLIENTES'!W:W)</f>
        <v>0</v>
      </c>
      <c r="G814" s="17">
        <v>46025</v>
      </c>
      <c r="H814" s="169" t="s">
        <v>81</v>
      </c>
      <c r="I814" s="2">
        <v>430.70031871823585</v>
      </c>
      <c r="J814" s="20" t="s">
        <v>1806</v>
      </c>
      <c r="K814" t="s">
        <v>1807</v>
      </c>
      <c r="L814" s="44" t="str" cm="1">
        <f t="array" ref="L814">+_xlfn.IFS(COUNTIF(INGRESOS!E:E,Tabla6[[#This Row],[ID FACTURA]])=1,"PAGADA",Tabla6[[#This Row],[ID FACTURA]]&lt;&gt;0,"EMITIDA",Tabla6[[#This Row],[ID FACTURA]]=0,"POR EMITIR")</f>
        <v>PAGADA</v>
      </c>
      <c r="M814" s="54">
        <f>+IF(Tabla6[[#This Row],[ESTADO FACTURA]]="PAGADA",Tabla6[[#This Row],[FECHA]]-_xlfn.XLOOKUP(Tabla6[[#This Row],[N° FACTURA]],INGRESOS!F:F,INGRESOS!A:A),"-")</f>
        <v>0</v>
      </c>
      <c r="O814"/>
    </row>
    <row r="815" spans="1:15" ht="14.75" customHeight="1">
      <c r="A815" s="320" t="s">
        <v>1556</v>
      </c>
      <c r="B815" t="str">
        <f>+_xlfn.XLOOKUP(Tabla6[[#This Row],[ID CLIENTE]],'RESUMEN CLIENTES'!D:D,'RESUMEN CLIENTES'!A:A)</f>
        <v>Claudia Nivon Chacón</v>
      </c>
      <c r="C815" t="str">
        <f>+_xlfn.XLOOKUP(Tabla6[[#This Row],[ID CLIENTE]],'RESUMEN CLIENTES'!D:D,'RESUMEN CLIENTES'!C:C)</f>
        <v>México</v>
      </c>
      <c r="D815" s="44" t="str">
        <f>+_xlfn.XLOOKUP(Tabla6[[#This Row],[ID CLIENTE]],'RESUMEN CLIENTES'!D:D,'RESUMEN CLIENTES'!M:M)</f>
        <v>OK</v>
      </c>
      <c r="E815" s="71">
        <f>+_xlfn.XLOOKUP(Tabla6[[#This Row],[NOMBRE]],'RESUMEN CLIENTES'!A:A,'RESUMEN CLIENTES'!X:X)</f>
        <v>0.4</v>
      </c>
      <c r="F815" s="71">
        <f>+_xlfn.XLOOKUP(Tabla6[[#This Row],[ID CLIENTE]],'RESUMEN CLIENTES'!D:D,'RESUMEN CLIENTES'!W:W)</f>
        <v>0</v>
      </c>
      <c r="G815" s="17">
        <v>46026</v>
      </c>
      <c r="H815" s="169" t="s">
        <v>81</v>
      </c>
      <c r="I815" s="2">
        <v>1136.6300000000001</v>
      </c>
      <c r="J815" s="20" t="s">
        <v>1808</v>
      </c>
      <c r="K815" t="s">
        <v>1809</v>
      </c>
      <c r="L815" s="44" t="str" cm="1">
        <f t="array" ref="L815">+_xlfn.IFS(COUNTIF(INGRESOS!E:E,Tabla6[[#This Row],[ID FACTURA]])=1,"PAGADA",Tabla6[[#This Row],[ID FACTURA]]&lt;&gt;0,"EMITIDA",Tabla6[[#This Row],[ID FACTURA]]=0,"POR EMITIR")</f>
        <v>PAGADA</v>
      </c>
      <c r="M815" s="55">
        <f>+IF(Tabla6[[#This Row],[ESTADO FACTURA]]="PAGADA",Tabla6[[#This Row],[FECHA]]-_xlfn.XLOOKUP(Tabla6[[#This Row],[N° FACTURA]],INGRESOS!F:F,INGRESOS!A:A),"-")</f>
        <v>2</v>
      </c>
      <c r="N815" s="2"/>
      <c r="O815"/>
    </row>
    <row r="816" spans="1:15" ht="14.75" customHeight="1">
      <c r="A816" s="320" t="s">
        <v>407</v>
      </c>
      <c r="B816" t="str">
        <f>+_xlfn.XLOOKUP(Tabla6[[#This Row],[ID CLIENTE]],'RESUMEN CLIENTES'!D:D,'RESUMEN CLIENTES'!A:A)</f>
        <v>Mayra Leonor Rivera Paico</v>
      </c>
      <c r="C816" t="str">
        <f>+_xlfn.XLOOKUP(Tabla6[[#This Row],[ID CLIENTE]],'RESUMEN CLIENTES'!D:D,'RESUMEN CLIENTES'!C:C)</f>
        <v>Perú</v>
      </c>
      <c r="D816" s="44" t="str">
        <f>+_xlfn.XLOOKUP(Tabla6[[#This Row],[ID CLIENTE]],'RESUMEN CLIENTES'!D:D,'RESUMEN CLIENTES'!M:M)</f>
        <v>OK</v>
      </c>
      <c r="E816" s="72">
        <f>+_xlfn.XLOOKUP(Tabla6[[#This Row],[NOMBRE]],'RESUMEN CLIENTES'!A:A,'RESUMEN CLIENTES'!X:X)</f>
        <v>-0.22222222222222221</v>
      </c>
      <c r="F816" s="72">
        <f>+_xlfn.XLOOKUP(Tabla6[[#This Row],[ID CLIENTE]],'RESUMEN CLIENTES'!D:D,'RESUMEN CLIENTES'!W:W)</f>
        <v>0</v>
      </c>
      <c r="G816" s="17">
        <v>46026</v>
      </c>
      <c r="H816" s="44" t="s">
        <v>81</v>
      </c>
      <c r="I816" s="2">
        <v>1000</v>
      </c>
      <c r="J816" s="20" t="s">
        <v>1810</v>
      </c>
      <c r="K816" t="s">
        <v>1811</v>
      </c>
      <c r="L816" s="44" t="str" cm="1">
        <f t="array" ref="L816">+_xlfn.IFS(COUNTIF(INGRESOS!E:E,Tabla6[[#This Row],[ID FACTURA]])=1,"PAGADA",Tabla6[[#This Row],[ID FACTURA]]&lt;&gt;0,"EMITIDA",Tabla6[[#This Row],[ID FACTURA]]=0,"POR EMITIR")</f>
        <v>PAGADA</v>
      </c>
      <c r="M816" s="55">
        <f>+IF(Tabla6[[#This Row],[ESTADO FACTURA]]="PAGADA",Tabla6[[#This Row],[FECHA]]-_xlfn.XLOOKUP(Tabla6[[#This Row],[N° FACTURA]],INGRESOS!F:F,INGRESOS!A:A),"-")</f>
        <v>-1</v>
      </c>
      <c r="N816" s="2"/>
      <c r="O816"/>
    </row>
    <row r="817" spans="1:15" ht="14.75" customHeight="1">
      <c r="A817" s="320" t="s">
        <v>447</v>
      </c>
      <c r="B817" t="str">
        <f>+_xlfn.XLOOKUP(Tabla6[[#This Row],[ID CLIENTE]],'RESUMEN CLIENTES'!D:D,'RESUMEN CLIENTES'!A:A)</f>
        <v>Yefry Onil Santana Marte</v>
      </c>
      <c r="C817" t="str">
        <f>+_xlfn.XLOOKUP(Tabla6[[#This Row],[ID CLIENTE]],'RESUMEN CLIENTES'!D:D,'RESUMEN CLIENTES'!C:C)</f>
        <v>República Dominicana</v>
      </c>
      <c r="D817" s="44" t="str">
        <f>+_xlfn.XLOOKUP(Tabla6[[#This Row],[ID CLIENTE]],'RESUMEN CLIENTES'!D:D,'RESUMEN CLIENTES'!M:M)</f>
        <v>OK</v>
      </c>
      <c r="E817" s="72">
        <f>+_xlfn.XLOOKUP(Tabla6[[#This Row],[NOMBRE]],'RESUMEN CLIENTES'!A:A,'RESUMEN CLIENTES'!X:X)</f>
        <v>-0.90909090909090906</v>
      </c>
      <c r="F817" s="71">
        <f>+_xlfn.XLOOKUP(Tabla6[[#This Row],[ID CLIENTE]],'RESUMEN CLIENTES'!D:D,'RESUMEN CLIENTES'!W:W)</f>
        <v>0</v>
      </c>
      <c r="G817" s="17">
        <v>46026</v>
      </c>
      <c r="H817" s="44" t="s">
        <v>81</v>
      </c>
      <c r="I817" s="2">
        <v>625</v>
      </c>
      <c r="J817" s="20" t="s">
        <v>1812</v>
      </c>
      <c r="K817" t="s">
        <v>1813</v>
      </c>
      <c r="L817" s="44" t="str" cm="1">
        <f t="array" ref="L817">+_xlfn.IFS(COUNTIF(INGRESOS!E:E,Tabla6[[#This Row],[ID FACTURA]])=1,"PAGADA",Tabla6[[#This Row],[ID FACTURA]]&lt;&gt;0,"EMITIDA",Tabla6[[#This Row],[ID FACTURA]]=0,"POR EMITIR")</f>
        <v>PAGADA</v>
      </c>
      <c r="M817" s="55">
        <f>+IF(Tabla6[[#This Row],[ESTADO FACTURA]]="PAGADA",Tabla6[[#This Row],[FECHA]]-_xlfn.XLOOKUP(Tabla6[[#This Row],[N° FACTURA]],INGRESOS!F:F,INGRESOS!A:A),"-")</f>
        <v>-2</v>
      </c>
      <c r="N817" s="214"/>
      <c r="O817"/>
    </row>
    <row r="818" spans="1:15" ht="14.75" customHeight="1">
      <c r="A818" s="320" t="s">
        <v>447</v>
      </c>
      <c r="B818" t="str">
        <f>+_xlfn.XLOOKUP(Tabla6[[#This Row],[ID CLIENTE]],'RESUMEN CLIENTES'!D:D,'RESUMEN CLIENTES'!A:A)</f>
        <v>Yefry Onil Santana Marte</v>
      </c>
      <c r="C818" t="str">
        <f>+_xlfn.XLOOKUP(Tabla6[[#This Row],[ID CLIENTE]],'RESUMEN CLIENTES'!D:D,'RESUMEN CLIENTES'!C:C)</f>
        <v>República Dominicana</v>
      </c>
      <c r="D818" s="44" t="str">
        <f>+_xlfn.XLOOKUP(Tabla6[[#This Row],[ID CLIENTE]],'RESUMEN CLIENTES'!D:D,'RESUMEN CLIENTES'!M:M)</f>
        <v>OK</v>
      </c>
      <c r="E818" s="72">
        <f>+_xlfn.XLOOKUP(Tabla6[[#This Row],[NOMBRE]],'RESUMEN CLIENTES'!A:A,'RESUMEN CLIENTES'!X:X)</f>
        <v>-0.90909090909090906</v>
      </c>
      <c r="F818" s="71">
        <f>+_xlfn.XLOOKUP(Tabla6[[#This Row],[ID CLIENTE]],'RESUMEN CLIENTES'!D:D,'RESUMEN CLIENTES'!W:W)</f>
        <v>0</v>
      </c>
      <c r="G818" s="17">
        <v>46026</v>
      </c>
      <c r="H818" s="44" t="s">
        <v>81</v>
      </c>
      <c r="I818" s="2">
        <v>625</v>
      </c>
      <c r="J818" s="20" t="s">
        <v>1814</v>
      </c>
      <c r="K818" t="s">
        <v>1815</v>
      </c>
      <c r="L818" s="44" t="str" cm="1">
        <f t="array" ref="L818">+_xlfn.IFS(COUNTIF(INGRESOS!E:E,Tabla6[[#This Row],[ID FACTURA]])=1,"PAGADA",Tabla6[[#This Row],[ID FACTURA]]&lt;&gt;0,"EMITIDA",Tabla6[[#This Row],[ID FACTURA]]=0,"POR EMITIR")</f>
        <v>PAGADA</v>
      </c>
      <c r="M818" s="55">
        <f>+IF(Tabla6[[#This Row],[ESTADO FACTURA]]="PAGADA",Tabla6[[#This Row],[FECHA]]-_xlfn.XLOOKUP(Tabla6[[#This Row],[N° FACTURA]],INGRESOS!F:F,INGRESOS!A:A),"-")</f>
        <v>-2</v>
      </c>
      <c r="N818" s="214"/>
      <c r="O818"/>
    </row>
    <row r="819" spans="1:15" ht="14.75" customHeight="1">
      <c r="A819" s="320" t="s">
        <v>447</v>
      </c>
      <c r="B819" t="str">
        <f>+_xlfn.XLOOKUP(Tabla6[[#This Row],[ID CLIENTE]],'RESUMEN CLIENTES'!D:D,'RESUMEN CLIENTES'!A:A)</f>
        <v>Yefry Onil Santana Marte</v>
      </c>
      <c r="C819" t="str">
        <f>+_xlfn.XLOOKUP(Tabla6[[#This Row],[ID CLIENTE]],'RESUMEN CLIENTES'!D:D,'RESUMEN CLIENTES'!C:C)</f>
        <v>República Dominicana</v>
      </c>
      <c r="D819" s="44" t="str">
        <f>+_xlfn.XLOOKUP(Tabla6[[#This Row],[ID CLIENTE]],'RESUMEN CLIENTES'!D:D,'RESUMEN CLIENTES'!M:M)</f>
        <v>OK</v>
      </c>
      <c r="E819" s="72">
        <f>+_xlfn.XLOOKUP(Tabla6[[#This Row],[NOMBRE]],'RESUMEN CLIENTES'!A:A,'RESUMEN CLIENTES'!X:X)</f>
        <v>-0.90909090909090906</v>
      </c>
      <c r="F819" s="72">
        <f>+_xlfn.XLOOKUP(Tabla6[[#This Row],[ID CLIENTE]],'RESUMEN CLIENTES'!D:D,'RESUMEN CLIENTES'!W:W)</f>
        <v>0</v>
      </c>
      <c r="G819" s="17">
        <v>46026</v>
      </c>
      <c r="H819" s="44" t="s">
        <v>81</v>
      </c>
      <c r="I819" s="2">
        <v>625</v>
      </c>
      <c r="J819" s="20" t="s">
        <v>1816</v>
      </c>
      <c r="K819" t="s">
        <v>1817</v>
      </c>
      <c r="L819" s="44" t="str" cm="1">
        <f t="array" ref="L819">+_xlfn.IFS(COUNTIF(INGRESOS!E:E,Tabla6[[#This Row],[ID FACTURA]])=1,"PAGADA",Tabla6[[#This Row],[ID FACTURA]]&lt;&gt;0,"EMITIDA",Tabla6[[#This Row],[ID FACTURA]]=0,"POR EMITIR")</f>
        <v>PAGADA</v>
      </c>
      <c r="M819" s="55">
        <f>+IF(Tabla6[[#This Row],[ESTADO FACTURA]]="PAGADA",Tabla6[[#This Row],[FECHA]]-_xlfn.XLOOKUP(Tabla6[[#This Row],[N° FACTURA]],INGRESOS!F:F,INGRESOS!A:A),"-")</f>
        <v>-2</v>
      </c>
      <c r="N819" s="2"/>
      <c r="O819"/>
    </row>
    <row r="820" spans="1:15" ht="14.75" customHeight="1">
      <c r="A820" s="320" t="s">
        <v>165</v>
      </c>
      <c r="B820" t="str">
        <f>+_xlfn.XLOOKUP(Tabla6[[#This Row],[ID CLIENTE]],'RESUMEN CLIENTES'!D:D,'RESUMEN CLIENTES'!A:A)</f>
        <v>Alejandra Leva Vallejo</v>
      </c>
      <c r="C820" t="str">
        <f>+_xlfn.XLOOKUP(Tabla6[[#This Row],[ID CLIENTE]],'RESUMEN CLIENTES'!D:D,'RESUMEN CLIENTES'!C:C)</f>
        <v>México</v>
      </c>
      <c r="D820" s="44" t="str">
        <f>+_xlfn.XLOOKUP(Tabla6[[#This Row],[ID CLIENTE]],'RESUMEN CLIENTES'!D:D,'RESUMEN CLIENTES'!M:M)</f>
        <v>OK</v>
      </c>
      <c r="E820" s="72">
        <f>+_xlfn.XLOOKUP(Tabla6[[#This Row],[NOMBRE]],'RESUMEN CLIENTES'!A:A,'RESUMEN CLIENTES'!X:X)</f>
        <v>0</v>
      </c>
      <c r="F820" s="72">
        <f>+_xlfn.XLOOKUP(Tabla6[[#This Row],[ID CLIENTE]],'RESUMEN CLIENTES'!D:D,'RESUMEN CLIENTES'!W:W)</f>
        <v>1</v>
      </c>
      <c r="G820" s="17">
        <v>46027</v>
      </c>
      <c r="H820" s="44" t="s">
        <v>81</v>
      </c>
      <c r="I820" s="2">
        <v>1000</v>
      </c>
      <c r="J820" s="20" t="s">
        <v>1818</v>
      </c>
      <c r="K820" t="s">
        <v>1819</v>
      </c>
      <c r="L820" s="44" t="str" cm="1">
        <f t="array" ref="L820">+_xlfn.IFS(COUNTIF(INGRESOS!E:E,Tabla6[[#This Row],[ID FACTURA]])=1,"PAGADA",Tabla6[[#This Row],[ID FACTURA]]&lt;&gt;0,"EMITIDA",Tabla6[[#This Row],[ID FACTURA]]=0,"POR EMITIR")</f>
        <v>PAGADA</v>
      </c>
      <c r="M820" s="55">
        <f>+IF(Tabla6[[#This Row],[ESTADO FACTURA]]="PAGADA",Tabla6[[#This Row],[FECHA]]-_xlfn.XLOOKUP(Tabla6[[#This Row],[N° FACTURA]],INGRESOS!F:F,INGRESOS!A:A),"-")</f>
        <v>0</v>
      </c>
      <c r="N820" s="2"/>
      <c r="O820"/>
    </row>
    <row r="821" spans="1:15" ht="14.75" customHeight="1">
      <c r="A821" s="320" t="s">
        <v>1357</v>
      </c>
      <c r="B821" t="str">
        <f>+_xlfn.XLOOKUP(Tabla6[[#This Row],[ID CLIENTE]],'RESUMEN CLIENTES'!D:D,'RESUMEN CLIENTES'!A:A)</f>
        <v>Angel Andres Velastegui Huebla</v>
      </c>
      <c r="C821" t="str">
        <f>+_xlfn.XLOOKUP(Tabla6[[#This Row],[ID CLIENTE]],'RESUMEN CLIENTES'!D:D,'RESUMEN CLIENTES'!C:C)</f>
        <v>Ecuador</v>
      </c>
      <c r="D821" s="44" t="str">
        <f>+_xlfn.XLOOKUP(Tabla6[[#This Row],[ID CLIENTE]],'RESUMEN CLIENTES'!D:D,'RESUMEN CLIENTES'!M:M)</f>
        <v>OK</v>
      </c>
      <c r="E821" s="71">
        <f>+_xlfn.XLOOKUP(Tabla6[[#This Row],[NOMBRE]],'RESUMEN CLIENTES'!A:A,'RESUMEN CLIENTES'!X:X)</f>
        <v>0</v>
      </c>
      <c r="F821" s="71">
        <f>+_xlfn.XLOOKUP(Tabla6[[#This Row],[ID CLIENTE]],'RESUMEN CLIENTES'!D:D,'RESUMEN CLIENTES'!W:W)</f>
        <v>1</v>
      </c>
      <c r="G821" s="17">
        <v>46027</v>
      </c>
      <c r="H821" s="44" t="s">
        <v>81</v>
      </c>
      <c r="I821" s="2">
        <v>3700</v>
      </c>
      <c r="J821" s="20" t="s">
        <v>1820</v>
      </c>
      <c r="K821" t="s">
        <v>1821</v>
      </c>
      <c r="L821" s="44" t="str" cm="1">
        <f t="array" ref="L821">+_xlfn.IFS(COUNTIF(INGRESOS!E:E,Tabla6[[#This Row],[ID FACTURA]])=1,"PAGADA",Tabla6[[#This Row],[ID FACTURA]]&lt;&gt;0,"EMITIDA",Tabla6[[#This Row],[ID FACTURA]]=0,"POR EMITIR")</f>
        <v>PAGADA</v>
      </c>
      <c r="M821" s="55">
        <f>+IF(Tabla6[[#This Row],[ESTADO FACTURA]]="PAGADA",Tabla6[[#This Row],[FECHA]]-_xlfn.XLOOKUP(Tabla6[[#This Row],[N° FACTURA]],INGRESOS!F:F,INGRESOS!A:A),"-")</f>
        <v>-1</v>
      </c>
      <c r="N821" s="2"/>
      <c r="O821"/>
    </row>
    <row r="822" spans="1:15" ht="14.75" customHeight="1">
      <c r="A822" s="320" t="s">
        <v>203</v>
      </c>
      <c r="B822" t="str">
        <f>+_xlfn.XLOOKUP(Tabla6[[#This Row],[ID CLIENTE]],'RESUMEN CLIENTES'!D:D,'RESUMEN CLIENTES'!A:A)</f>
        <v>Bernardita Lobo Zegers</v>
      </c>
      <c r="C822" t="str">
        <f>+_xlfn.XLOOKUP(Tabla6[[#This Row],[ID CLIENTE]],'RESUMEN CLIENTES'!D:D,'RESUMEN CLIENTES'!C:C)</f>
        <v>México</v>
      </c>
      <c r="D822" s="44" t="str">
        <f>+_xlfn.XLOOKUP(Tabla6[[#This Row],[ID CLIENTE]],'RESUMEN CLIENTES'!D:D,'RESUMEN CLIENTES'!M:M)</f>
        <v>OK</v>
      </c>
      <c r="E822" s="72">
        <f>+_xlfn.XLOOKUP(Tabla6[[#This Row],[NOMBRE]],'RESUMEN CLIENTES'!A:A,'RESUMEN CLIENTES'!X:X)</f>
        <v>-0.8</v>
      </c>
      <c r="F822" s="72">
        <f>+_xlfn.XLOOKUP(Tabla6[[#This Row],[ID CLIENTE]],'RESUMEN CLIENTES'!D:D,'RESUMEN CLIENTES'!W:W)</f>
        <v>1</v>
      </c>
      <c r="G822" s="17">
        <v>46027</v>
      </c>
      <c r="H822" s="44" t="s">
        <v>81</v>
      </c>
      <c r="I822" s="2">
        <v>800</v>
      </c>
      <c r="J822" s="20" t="s">
        <v>1822</v>
      </c>
      <c r="K822" t="s">
        <v>1823</v>
      </c>
      <c r="L822" s="44" t="str" cm="1">
        <f t="array" ref="L822">+_xlfn.IFS(COUNTIF(INGRESOS!E:E,Tabla6[[#This Row],[ID FACTURA]])=1,"PAGADA",Tabla6[[#This Row],[ID FACTURA]]&lt;&gt;0,"EMITIDA",Tabla6[[#This Row],[ID FACTURA]]=0,"POR EMITIR")</f>
        <v>PAGADA</v>
      </c>
      <c r="M822" s="55">
        <f>+IF(Tabla6[[#This Row],[ESTADO FACTURA]]="PAGADA",Tabla6[[#This Row],[FECHA]]-_xlfn.XLOOKUP(Tabla6[[#This Row],[N° FACTURA]],INGRESOS!F:F,INGRESOS!A:A),"-")</f>
        <v>0</v>
      </c>
      <c r="N822" s="2"/>
      <c r="O822"/>
    </row>
    <row r="823" spans="1:15" ht="14.75" customHeight="1">
      <c r="A823" s="320" t="s">
        <v>1206</v>
      </c>
      <c r="B823" t="str">
        <f>+_xlfn.XLOOKUP(Tabla6[[#This Row],[ID CLIENTE]],'RESUMEN CLIENTES'!D:D,'RESUMEN CLIENTES'!A:A)</f>
        <v>Bryan Israel Jiménez Puente</v>
      </c>
      <c r="C823" t="str">
        <f>+_xlfn.XLOOKUP(Tabla6[[#This Row],[ID CLIENTE]],'RESUMEN CLIENTES'!D:D,'RESUMEN CLIENTES'!C:C)</f>
        <v>Ecuador</v>
      </c>
      <c r="D823" s="44" t="str">
        <f>+_xlfn.XLOOKUP(Tabla6[[#This Row],[ID CLIENTE]],'RESUMEN CLIENTES'!D:D,'RESUMEN CLIENTES'!M:M)</f>
        <v>OK</v>
      </c>
      <c r="E823" s="72">
        <f>+_xlfn.XLOOKUP(Tabla6[[#This Row],[NOMBRE]],'RESUMEN CLIENTES'!A:A,'RESUMEN CLIENTES'!X:X)</f>
        <v>1</v>
      </c>
      <c r="F823" s="72">
        <f>+_xlfn.XLOOKUP(Tabla6[[#This Row],[ID CLIENTE]],'RESUMEN CLIENTES'!D:D,'RESUMEN CLIENTES'!W:W)</f>
        <v>0</v>
      </c>
      <c r="G823" s="17">
        <v>46027</v>
      </c>
      <c r="H823" s="44" t="s">
        <v>81</v>
      </c>
      <c r="I823" s="2">
        <v>1000</v>
      </c>
      <c r="J823" s="20" t="s">
        <v>1824</v>
      </c>
      <c r="K823" t="s">
        <v>1825</v>
      </c>
      <c r="L823" s="44" t="str" cm="1">
        <f t="array" ref="L823">+_xlfn.IFS(COUNTIF(INGRESOS!E:E,Tabla6[[#This Row],[ID FACTURA]])=1,"PAGADA",Tabla6[[#This Row],[ID FACTURA]]&lt;&gt;0,"EMITIDA",Tabla6[[#This Row],[ID FACTURA]]=0,"POR EMITIR")</f>
        <v>PAGADA</v>
      </c>
      <c r="M823" s="55">
        <f>+IF(Tabla6[[#This Row],[ESTADO FACTURA]]="PAGADA",Tabla6[[#This Row],[FECHA]]-_xlfn.XLOOKUP(Tabla6[[#This Row],[N° FACTURA]],INGRESOS!F:F,INGRESOS!A:A),"-")</f>
        <v>0</v>
      </c>
      <c r="N823" s="2"/>
      <c r="O823"/>
    </row>
    <row r="824" spans="1:15" ht="14.5" customHeight="1">
      <c r="A824" s="320" t="s">
        <v>168</v>
      </c>
      <c r="B824" t="str">
        <f>+_xlfn.XLOOKUP(Tabla6[[#This Row],[ID CLIENTE]],'RESUMEN CLIENTES'!D:D,'RESUMEN CLIENTES'!A:A)</f>
        <v xml:space="preserve">Catalina Ochoa Urrutia
</v>
      </c>
      <c r="C824" t="str">
        <f>+_xlfn.XLOOKUP(Tabla6[[#This Row],[ID CLIENTE]],'RESUMEN CLIENTES'!D:D,'RESUMEN CLIENTES'!C:C)</f>
        <v>Chile</v>
      </c>
      <c r="D824" s="44" t="str">
        <f>+_xlfn.XLOOKUP(Tabla6[[#This Row],[ID CLIENTE]],'RESUMEN CLIENTES'!D:D,'RESUMEN CLIENTES'!M:M)</f>
        <v>OK</v>
      </c>
      <c r="E824" s="72">
        <f>+_xlfn.XLOOKUP(Tabla6[[#This Row],[NOMBRE]],'RESUMEN CLIENTES'!A:A,'RESUMEN CLIENTES'!X:X)</f>
        <v>0.75</v>
      </c>
      <c r="F824" s="72">
        <f>+_xlfn.XLOOKUP(Tabla6[[#This Row],[ID CLIENTE]],'RESUMEN CLIENTES'!D:D,'RESUMEN CLIENTES'!W:W)</f>
        <v>1</v>
      </c>
      <c r="G824" s="17">
        <v>46027</v>
      </c>
      <c r="H824" s="44" t="s">
        <v>81</v>
      </c>
      <c r="I824" s="2">
        <v>800</v>
      </c>
      <c r="J824" s="20" t="s">
        <v>1826</v>
      </c>
      <c r="K824" t="s">
        <v>1827</v>
      </c>
      <c r="L824" s="44" t="str" cm="1">
        <f t="array" ref="L824">+_xlfn.IFS(COUNTIF(INGRESOS!E:E,Tabla6[[#This Row],[ID FACTURA]])=1,"PAGADA",Tabla6[[#This Row],[ID FACTURA]]&lt;&gt;0,"EMITIDA",Tabla6[[#This Row],[ID FACTURA]]=0,"POR EMITIR")</f>
        <v>PAGADA</v>
      </c>
      <c r="M824" s="55">
        <f>+IF(Tabla6[[#This Row],[ESTADO FACTURA]]="PAGADA",Tabla6[[#This Row],[FECHA]]-_xlfn.XLOOKUP(Tabla6[[#This Row],[N° FACTURA]],INGRESOS!F:F,INGRESOS!A:A),"-")</f>
        <v>3</v>
      </c>
      <c r="N824" s="2"/>
      <c r="O824"/>
    </row>
    <row r="825" spans="1:15" ht="14.75" customHeight="1">
      <c r="A825" s="320" t="s">
        <v>1674</v>
      </c>
      <c r="B825" t="str">
        <f>+_xlfn.XLOOKUP(Tabla6[[#This Row],[ID CLIENTE]],'RESUMEN CLIENTES'!D:D,'RESUMEN CLIENTES'!A:A)</f>
        <v>Diego Alberto Ruiz Cifuentes</v>
      </c>
      <c r="C825" t="str">
        <f>+_xlfn.XLOOKUP(Tabla6[[#This Row],[ID CLIENTE]],'RESUMEN CLIENTES'!D:D,'RESUMEN CLIENTES'!C:C)</f>
        <v>Chile</v>
      </c>
      <c r="D825" s="169" t="str">
        <f>+_xlfn.XLOOKUP(Tabla6[[#This Row],[ID CLIENTE]],'RESUMEN CLIENTES'!D:D,'RESUMEN CLIENTES'!M:M)</f>
        <v>OK</v>
      </c>
      <c r="E825" s="71">
        <f>+_xlfn.XLOOKUP(Tabla6[[#This Row],[NOMBRE]],'RESUMEN CLIENTES'!A:A,'RESUMEN CLIENTES'!X:X)</f>
        <v>5.75</v>
      </c>
      <c r="F825" s="71">
        <f>+_xlfn.XLOOKUP(Tabla6[[#This Row],[ID CLIENTE]],'RESUMEN CLIENTES'!D:D,'RESUMEN CLIENTES'!W:W)</f>
        <v>0</v>
      </c>
      <c r="G825" s="17">
        <v>46027</v>
      </c>
      <c r="H825" s="169" t="s">
        <v>81</v>
      </c>
      <c r="I825" s="2">
        <v>3750</v>
      </c>
      <c r="J825" s="20" t="s">
        <v>1828</v>
      </c>
      <c r="K825" t="s">
        <v>1829</v>
      </c>
      <c r="L825" s="44" t="str" cm="1">
        <f t="array" ref="L825">+_xlfn.IFS(COUNTIF(INGRESOS!E:E,Tabla6[[#This Row],[ID FACTURA]])=1,"PAGADA",Tabla6[[#This Row],[ID FACTURA]]&lt;&gt;0,"EMITIDA",Tabla6[[#This Row],[ID FACTURA]]=0,"POR EMITIR")</f>
        <v>PAGADA</v>
      </c>
      <c r="M825" s="55">
        <f>+IF(Tabla6[[#This Row],[ESTADO FACTURA]]="PAGADA",Tabla6[[#This Row],[FECHA]]-_xlfn.XLOOKUP(Tabla6[[#This Row],[N° FACTURA]],INGRESOS!F:F,INGRESOS!A:A),"-")</f>
        <v>17</v>
      </c>
      <c r="N825" s="2"/>
      <c r="O825"/>
    </row>
    <row r="826" spans="1:15" ht="14.75" customHeight="1">
      <c r="A826" s="320" t="s">
        <v>194</v>
      </c>
      <c r="B826" t="str">
        <f>+_xlfn.XLOOKUP(Tabla6[[#This Row],[ID CLIENTE]],'RESUMEN CLIENTES'!D:D,'RESUMEN CLIENTES'!A:A)</f>
        <v>Dinorah Gómez Castellanos</v>
      </c>
      <c r="C826" t="str">
        <f>+_xlfn.XLOOKUP(Tabla6[[#This Row],[ID CLIENTE]],'RESUMEN CLIENTES'!D:D,'RESUMEN CLIENTES'!C:C)</f>
        <v>México</v>
      </c>
      <c r="D826" s="44" t="str">
        <f>+_xlfn.XLOOKUP(Tabla6[[#This Row],[ID CLIENTE]],'RESUMEN CLIENTES'!D:D,'RESUMEN CLIENTES'!M:M)</f>
        <v>OK</v>
      </c>
      <c r="E826" s="72">
        <f>+_xlfn.XLOOKUP(Tabla6[[#This Row],[NOMBRE]],'RESUMEN CLIENTES'!A:A,'RESUMEN CLIENTES'!X:X)</f>
        <v>2.75</v>
      </c>
      <c r="F826" s="72">
        <f>+_xlfn.XLOOKUP(Tabla6[[#This Row],[ID CLIENTE]],'RESUMEN CLIENTES'!D:D,'RESUMEN CLIENTES'!W:W)</f>
        <v>0</v>
      </c>
      <c r="G826" s="17">
        <v>46027</v>
      </c>
      <c r="H826" s="44" t="s">
        <v>81</v>
      </c>
      <c r="I826" s="2">
        <f>400-Tabla6[[#This Row],[DCTO DOC]]</f>
        <v>85</v>
      </c>
      <c r="J826" s="20" t="s">
        <v>1830</v>
      </c>
      <c r="K826" t="s">
        <v>1831</v>
      </c>
      <c r="L826" s="44" t="str" cm="1">
        <f t="array" ref="L826">+_xlfn.IFS(COUNTIF(INGRESOS!E:E,Tabla6[[#This Row],[ID FACTURA]])=1,"PAGADA",Tabla6[[#This Row],[ID FACTURA]]&lt;&gt;0,"EMITIDA",Tabla6[[#This Row],[ID FACTURA]]=0,"POR EMITIR")</f>
        <v>PAGADA</v>
      </c>
      <c r="M826" s="55">
        <f>+IF(Tabla6[[#This Row],[ESTADO FACTURA]]="PAGADA",Tabla6[[#This Row],[FECHA]]-_xlfn.XLOOKUP(Tabla6[[#This Row],[N° FACTURA]],INGRESOS!F:F,INGRESOS!A:A),"-")</f>
        <v>2</v>
      </c>
      <c r="N826" s="2">
        <v>315</v>
      </c>
      <c r="O826"/>
    </row>
    <row r="827" spans="1:15" ht="14.75" customHeight="1">
      <c r="A827" s="320" t="s">
        <v>787</v>
      </c>
      <c r="B827" t="str">
        <f>+_xlfn.XLOOKUP(Tabla6[[#This Row],[ID CLIENTE]],'RESUMEN CLIENTES'!D:D,'RESUMEN CLIENTES'!A:A)</f>
        <v>Florencia Luján Sapia</v>
      </c>
      <c r="C827" t="str">
        <f>+_xlfn.XLOOKUP(Tabla6[[#This Row],[ID CLIENTE]],'RESUMEN CLIENTES'!D:D,'RESUMEN CLIENTES'!C:C)</f>
        <v>Argentina</v>
      </c>
      <c r="D827" s="44" t="str">
        <f>+_xlfn.XLOOKUP(Tabla6[[#This Row],[ID CLIENTE]],'RESUMEN CLIENTES'!D:D,'RESUMEN CLIENTES'!M:M)</f>
        <v>OK</v>
      </c>
      <c r="E827" s="72">
        <f>+_xlfn.XLOOKUP(Tabla6[[#This Row],[NOMBRE]],'RESUMEN CLIENTES'!A:A,'RESUMEN CLIENTES'!X:X)</f>
        <v>-0.77777777777777779</v>
      </c>
      <c r="F827" s="72">
        <f>+_xlfn.XLOOKUP(Tabla6[[#This Row],[ID CLIENTE]],'RESUMEN CLIENTES'!D:D,'RESUMEN CLIENTES'!W:W)</f>
        <v>1</v>
      </c>
      <c r="G827" s="17">
        <v>46027</v>
      </c>
      <c r="H827" s="44" t="s">
        <v>81</v>
      </c>
      <c r="I827" s="2">
        <v>600</v>
      </c>
      <c r="J827" s="20" t="s">
        <v>1832</v>
      </c>
      <c r="K827" t="s">
        <v>1833</v>
      </c>
      <c r="L827" s="44" t="str" cm="1">
        <f t="array" ref="L827">+_xlfn.IFS(COUNTIF(INGRESOS!E:E,Tabla6[[#This Row],[ID FACTURA]])=1,"PAGADA",Tabla6[[#This Row],[ID FACTURA]]&lt;&gt;0,"EMITIDA",Tabla6[[#This Row],[ID FACTURA]]=0,"POR EMITIR")</f>
        <v>PAGADA</v>
      </c>
      <c r="M827" s="55">
        <f>+IF(Tabla6[[#This Row],[ESTADO FACTURA]]="PAGADA",Tabla6[[#This Row],[FECHA]]-_xlfn.XLOOKUP(Tabla6[[#This Row],[N° FACTURA]],INGRESOS!F:F,INGRESOS!A:A),"-")</f>
        <v>0</v>
      </c>
      <c r="N827" s="2"/>
      <c r="O827"/>
    </row>
    <row r="828" spans="1:15" ht="14.75" customHeight="1">
      <c r="A828" s="320" t="s">
        <v>171</v>
      </c>
      <c r="B828" t="str">
        <f>+_xlfn.XLOOKUP(Tabla6[[#This Row],[ID CLIENTE]],'RESUMEN CLIENTES'!D:D,'RESUMEN CLIENTES'!A:A)</f>
        <v>Guillermo Alfonso Garvalena Gaxiola</v>
      </c>
      <c r="C828" t="str">
        <f>+_xlfn.XLOOKUP(Tabla6[[#This Row],[ID CLIENTE]],'RESUMEN CLIENTES'!D:D,'RESUMEN CLIENTES'!C:C)</f>
        <v>México</v>
      </c>
      <c r="D828" s="44" t="str">
        <f>+_xlfn.XLOOKUP(Tabla6[[#This Row],[ID CLIENTE]],'RESUMEN CLIENTES'!D:D,'RESUMEN CLIENTES'!M:M)</f>
        <v>OK</v>
      </c>
      <c r="E828" s="72">
        <f>+_xlfn.XLOOKUP(Tabla6[[#This Row],[NOMBRE]],'RESUMEN CLIENTES'!A:A,'RESUMEN CLIENTES'!X:X)</f>
        <v>1.173913043478261</v>
      </c>
      <c r="F828" s="71">
        <f>+_xlfn.XLOOKUP(Tabla6[[#This Row],[ID CLIENTE]],'RESUMEN CLIENTES'!D:D,'RESUMEN CLIENTES'!W:W)</f>
        <v>1</v>
      </c>
      <c r="G828" s="17">
        <v>46027</v>
      </c>
      <c r="H828" s="44" t="s">
        <v>81</v>
      </c>
      <c r="I828" s="2">
        <v>200</v>
      </c>
      <c r="J828" s="20" t="s">
        <v>1834</v>
      </c>
      <c r="K828" t="s">
        <v>1835</v>
      </c>
      <c r="L828" s="44" t="str" cm="1">
        <f t="array" ref="L828">+_xlfn.IFS(COUNTIF(INGRESOS!E:E,Tabla6[[#This Row],[ID FACTURA]])=1,"PAGADA",Tabla6[[#This Row],[ID FACTURA]]&lt;&gt;0,"EMITIDA",Tabla6[[#This Row],[ID FACTURA]]=0,"POR EMITIR")</f>
        <v>PAGADA</v>
      </c>
      <c r="M828" s="55">
        <f>+IF(Tabla6[[#This Row],[ESTADO FACTURA]]="PAGADA",Tabla6[[#This Row],[FECHA]]-_xlfn.XLOOKUP(Tabla6[[#This Row],[N° FACTURA]],INGRESOS!F:F,INGRESOS!A:A),"-")</f>
        <v>1</v>
      </c>
      <c r="N828" s="214"/>
      <c r="O828"/>
    </row>
    <row r="829" spans="1:15" ht="14.75" customHeight="1">
      <c r="A829" s="320" t="s">
        <v>171</v>
      </c>
      <c r="B829" t="str">
        <f>+_xlfn.XLOOKUP(Tabla6[[#This Row],[ID CLIENTE]],'RESUMEN CLIENTES'!D:D,'RESUMEN CLIENTES'!A:A)</f>
        <v>Guillermo Alfonso Garvalena Gaxiola</v>
      </c>
      <c r="C829" t="str">
        <f>+_xlfn.XLOOKUP(Tabla6[[#This Row],[ID CLIENTE]],'RESUMEN CLIENTES'!D:D,'RESUMEN CLIENTES'!C:C)</f>
        <v>México</v>
      </c>
      <c r="D829" s="44" t="str">
        <f>+_xlfn.XLOOKUP(Tabla6[[#This Row],[ID CLIENTE]],'RESUMEN CLIENTES'!D:D,'RESUMEN CLIENTES'!M:M)</f>
        <v>OK</v>
      </c>
      <c r="E829" s="72">
        <f>+_xlfn.XLOOKUP(Tabla6[[#This Row],[NOMBRE]],'RESUMEN CLIENTES'!A:A,'RESUMEN CLIENTES'!X:X)</f>
        <v>1.173913043478261</v>
      </c>
      <c r="F829" s="72">
        <f>+_xlfn.XLOOKUP(Tabla6[[#This Row],[ID CLIENTE]],'RESUMEN CLIENTES'!D:D,'RESUMEN CLIENTES'!W:W)</f>
        <v>1</v>
      </c>
      <c r="G829" s="17">
        <v>46027</v>
      </c>
      <c r="H829" s="44" t="s">
        <v>81</v>
      </c>
      <c r="I829" s="2">
        <v>500</v>
      </c>
      <c r="J829" s="20" t="s">
        <v>1836</v>
      </c>
      <c r="K829" t="s">
        <v>1837</v>
      </c>
      <c r="L829" s="44" t="str" cm="1">
        <f t="array" ref="L829">+_xlfn.IFS(COUNTIF(INGRESOS!E:E,Tabla6[[#This Row],[ID FACTURA]])=1,"PAGADA",Tabla6[[#This Row],[ID FACTURA]]&lt;&gt;0,"EMITIDA",Tabla6[[#This Row],[ID FACTURA]]=0,"POR EMITIR")</f>
        <v>PAGADA</v>
      </c>
      <c r="M829" s="55">
        <f>+IF(Tabla6[[#This Row],[ESTADO FACTURA]]="PAGADA",Tabla6[[#This Row],[FECHA]]-_xlfn.XLOOKUP(Tabla6[[#This Row],[N° FACTURA]],INGRESOS!F:F,INGRESOS!A:A),"-")</f>
        <v>1</v>
      </c>
      <c r="N829" s="2"/>
      <c r="O829"/>
    </row>
    <row r="830" spans="1:15" ht="14.75" customHeight="1">
      <c r="A830" s="320" t="s">
        <v>109</v>
      </c>
      <c r="B830" t="str">
        <f>+_xlfn.XLOOKUP(Tabla6[[#This Row],[ID CLIENTE]],'RESUMEN CLIENTES'!D:D,'RESUMEN CLIENTES'!A:A)</f>
        <v>Ian Job Lino Durán</v>
      </c>
      <c r="C830" t="str">
        <f>+_xlfn.XLOOKUP(Tabla6[[#This Row],[ID CLIENTE]],'RESUMEN CLIENTES'!D:D,'RESUMEN CLIENTES'!C:C)</f>
        <v>México</v>
      </c>
      <c r="D830" s="44" t="str">
        <f>+_xlfn.XLOOKUP(Tabla6[[#This Row],[ID CLIENTE]],'RESUMEN CLIENTES'!D:D,'RESUMEN CLIENTES'!M:M)</f>
        <v>OK</v>
      </c>
      <c r="E830" s="72">
        <f>+_xlfn.XLOOKUP(Tabla6[[#This Row],[NOMBRE]],'RESUMEN CLIENTES'!A:A,'RESUMEN CLIENTES'!X:X)</f>
        <v>0.1</v>
      </c>
      <c r="F830" s="72">
        <f>+_xlfn.XLOOKUP(Tabla6[[#This Row],[ID CLIENTE]],'RESUMEN CLIENTES'!D:D,'RESUMEN CLIENTES'!W:W)</f>
        <v>1</v>
      </c>
      <c r="G830" s="17">
        <v>46027</v>
      </c>
      <c r="H830" s="44" t="s">
        <v>81</v>
      </c>
      <c r="I830" s="2">
        <v>950</v>
      </c>
      <c r="J830" s="20" t="s">
        <v>1838</v>
      </c>
      <c r="K830" t="s">
        <v>1839</v>
      </c>
      <c r="L830" s="44" t="str" cm="1">
        <f t="array" ref="L830">+_xlfn.IFS(COUNTIF(INGRESOS!E:E,Tabla6[[#This Row],[ID FACTURA]])=1,"PAGADA",Tabla6[[#This Row],[ID FACTURA]]&lt;&gt;0,"EMITIDA",Tabla6[[#This Row],[ID FACTURA]]=0,"POR EMITIR")</f>
        <v>PAGADA</v>
      </c>
      <c r="M830" s="55">
        <f>+IF(Tabla6[[#This Row],[ESTADO FACTURA]]="PAGADA",Tabla6[[#This Row],[FECHA]]-_xlfn.XLOOKUP(Tabla6[[#This Row],[N° FACTURA]],INGRESOS!F:F,INGRESOS!A:A),"-")</f>
        <v>0</v>
      </c>
      <c r="N830" s="2"/>
      <c r="O830"/>
    </row>
    <row r="831" spans="1:15" ht="14.75" customHeight="1">
      <c r="A831" s="320" t="s">
        <v>798</v>
      </c>
      <c r="B831" t="str">
        <f>+_xlfn.XLOOKUP(Tabla6[[#This Row],[ID CLIENTE]],'RESUMEN CLIENTES'!D:D,'RESUMEN CLIENTES'!A:A)</f>
        <v>Juan Manuel Paranzino</v>
      </c>
      <c r="C831" t="str">
        <f>+_xlfn.XLOOKUP(Tabla6[[#This Row],[ID CLIENTE]],'RESUMEN CLIENTES'!D:D,'RESUMEN CLIENTES'!C:C)</f>
        <v>Argentina</v>
      </c>
      <c r="D831" s="44" t="str">
        <f>+_xlfn.XLOOKUP(Tabla6[[#This Row],[ID CLIENTE]],'RESUMEN CLIENTES'!D:D,'RESUMEN CLIENTES'!M:M)</f>
        <v>OK</v>
      </c>
      <c r="E831" s="72">
        <f>+_xlfn.XLOOKUP(Tabla6[[#This Row],[NOMBRE]],'RESUMEN CLIENTES'!A:A,'RESUMEN CLIENTES'!X:X)</f>
        <v>-1</v>
      </c>
      <c r="F831" s="72">
        <f>+_xlfn.XLOOKUP(Tabla6[[#This Row],[ID CLIENTE]],'RESUMEN CLIENTES'!D:D,'RESUMEN CLIENTES'!W:W)</f>
        <v>0</v>
      </c>
      <c r="G831" s="17">
        <v>46027</v>
      </c>
      <c r="H831" s="44" t="s">
        <v>81</v>
      </c>
      <c r="I831" s="2">
        <v>600</v>
      </c>
      <c r="J831" s="20" t="s">
        <v>1840</v>
      </c>
      <c r="K831" t="s">
        <v>1841</v>
      </c>
      <c r="L831" s="44" t="str" cm="1">
        <f t="array" ref="L831">+_xlfn.IFS(COUNTIF(INGRESOS!E:E,Tabla6[[#This Row],[ID FACTURA]])=1,"PAGADA",Tabla6[[#This Row],[ID FACTURA]]&lt;&gt;0,"EMITIDA",Tabla6[[#This Row],[ID FACTURA]]=0,"POR EMITIR")</f>
        <v>PAGADA</v>
      </c>
      <c r="M831" s="55">
        <f>+IF(Tabla6[[#This Row],[ESTADO FACTURA]]="PAGADA",Tabla6[[#This Row],[FECHA]]-_xlfn.XLOOKUP(Tabla6[[#This Row],[N° FACTURA]],INGRESOS!F:F,INGRESOS!A:A),"-")</f>
        <v>0</v>
      </c>
      <c r="N831" s="2"/>
      <c r="O831"/>
    </row>
    <row r="832" spans="1:15" ht="14.75" customHeight="1">
      <c r="A832" s="320" t="s">
        <v>955</v>
      </c>
      <c r="B832" t="str">
        <f>+_xlfn.XLOOKUP(Tabla6[[#This Row],[ID CLIENTE]],'RESUMEN CLIENTES'!D:D,'RESUMEN CLIENTES'!A:A)</f>
        <v>Judith Elizabeth Lopez Sanchez</v>
      </c>
      <c r="C832" t="str">
        <f>+_xlfn.XLOOKUP(Tabla6[[#This Row],[ID CLIENTE]],'RESUMEN CLIENTES'!D:D,'RESUMEN CLIENTES'!C:C)</f>
        <v>Perú</v>
      </c>
      <c r="D832" s="44" t="str">
        <f>+_xlfn.XLOOKUP(Tabla6[[#This Row],[ID CLIENTE]],'RESUMEN CLIENTES'!D:D,'RESUMEN CLIENTES'!M:M)</f>
        <v>OK</v>
      </c>
      <c r="E832" s="72">
        <f>+_xlfn.XLOOKUP(Tabla6[[#This Row],[NOMBRE]],'RESUMEN CLIENTES'!A:A,'RESUMEN CLIENTES'!X:X)</f>
        <v>0.2857142857142857</v>
      </c>
      <c r="F832" s="72">
        <f>+_xlfn.XLOOKUP(Tabla6[[#This Row],[ID CLIENTE]],'RESUMEN CLIENTES'!D:D,'RESUMEN CLIENTES'!W:W)</f>
        <v>1</v>
      </c>
      <c r="G832" s="17">
        <v>46027</v>
      </c>
      <c r="H832" s="44" t="s">
        <v>81</v>
      </c>
      <c r="I832" s="2">
        <v>1000</v>
      </c>
      <c r="J832" s="20" t="s">
        <v>1842</v>
      </c>
      <c r="K832" t="s">
        <v>1843</v>
      </c>
      <c r="L832" s="44" t="str" cm="1">
        <f t="array" ref="L832">+_xlfn.IFS(COUNTIF(INGRESOS!E:E,Tabla6[[#This Row],[ID FACTURA]])=1,"PAGADA",Tabla6[[#This Row],[ID FACTURA]]&lt;&gt;0,"EMITIDA",Tabla6[[#This Row],[ID FACTURA]]=0,"POR EMITIR")</f>
        <v>PAGADA</v>
      </c>
      <c r="M832" s="55">
        <f>+IF(Tabla6[[#This Row],[ESTADO FACTURA]]="PAGADA",Tabla6[[#This Row],[FECHA]]-_xlfn.XLOOKUP(Tabla6[[#This Row],[N° FACTURA]],INGRESOS!F:F,INGRESOS!A:A),"-")</f>
        <v>0</v>
      </c>
      <c r="N832" s="2"/>
      <c r="O832"/>
    </row>
    <row r="833" spans="1:15" ht="14.75" customHeight="1">
      <c r="A833" s="320" t="s">
        <v>1416</v>
      </c>
      <c r="B833" t="str">
        <f>+_xlfn.XLOOKUP(Tabla6[[#This Row],[ID CLIENTE]],'RESUMEN CLIENTES'!D:D,'RESUMEN CLIENTES'!A:A)</f>
        <v>Luis Armando Calderon Manzanera</v>
      </c>
      <c r="C833" t="str">
        <f>+_xlfn.XLOOKUP(Tabla6[[#This Row],[ID CLIENTE]],'RESUMEN CLIENTES'!D:D,'RESUMEN CLIENTES'!C:C)</f>
        <v>México</v>
      </c>
      <c r="D833" s="44" t="str">
        <f>+_xlfn.XLOOKUP(Tabla6[[#This Row],[ID CLIENTE]],'RESUMEN CLIENTES'!D:D,'RESUMEN CLIENTES'!M:M)</f>
        <v>OK</v>
      </c>
      <c r="E833" s="71">
        <f>+_xlfn.XLOOKUP(Tabla6[[#This Row],[NOMBRE]],'RESUMEN CLIENTES'!A:A,'RESUMEN CLIENTES'!X:X)</f>
        <v>2</v>
      </c>
      <c r="F833" s="71">
        <f>+_xlfn.XLOOKUP(Tabla6[[#This Row],[ID CLIENTE]],'RESUMEN CLIENTES'!D:D,'RESUMEN CLIENTES'!W:W)</f>
        <v>1</v>
      </c>
      <c r="G833" s="17">
        <v>46027</v>
      </c>
      <c r="H833" s="44" t="s">
        <v>81</v>
      </c>
      <c r="I833" s="2">
        <v>1000</v>
      </c>
      <c r="J833" s="20" t="s">
        <v>1844</v>
      </c>
      <c r="K833" t="s">
        <v>1845</v>
      </c>
      <c r="L833" s="44" t="str" cm="1">
        <f t="array" ref="L833">+_xlfn.IFS(COUNTIF(INGRESOS!E:E,Tabla6[[#This Row],[ID FACTURA]])=1,"PAGADA",Tabla6[[#This Row],[ID FACTURA]]&lt;&gt;0,"EMITIDA",Tabla6[[#This Row],[ID FACTURA]]=0,"POR EMITIR")</f>
        <v>PAGADA</v>
      </c>
      <c r="M833" s="55">
        <f>+IF(Tabla6[[#This Row],[ESTADO FACTURA]]="PAGADA",Tabla6[[#This Row],[FECHA]]-_xlfn.XLOOKUP(Tabla6[[#This Row],[N° FACTURA]],INGRESOS!F:F,INGRESOS!A:A),"-")</f>
        <v>3</v>
      </c>
      <c r="N833" s="2"/>
      <c r="O833"/>
    </row>
    <row r="834" spans="1:15" ht="14.75" customHeight="1">
      <c r="A834" s="320" t="s">
        <v>703</v>
      </c>
      <c r="B834" t="str">
        <f>+_xlfn.XLOOKUP(Tabla6[[#This Row],[ID CLIENTE]],'RESUMEN CLIENTES'!D:D,'RESUMEN CLIENTES'!A:A)</f>
        <v>Maira Paz Navas Sánchez</v>
      </c>
      <c r="C834" t="str">
        <f>+_xlfn.XLOOKUP(Tabla6[[#This Row],[ID CLIENTE]],'RESUMEN CLIENTES'!D:D,'RESUMEN CLIENTES'!C:C)</f>
        <v>Chile</v>
      </c>
      <c r="D834" s="44" t="str">
        <f>+_xlfn.XLOOKUP(Tabla6[[#This Row],[ID CLIENTE]],'RESUMEN CLIENTES'!D:D,'RESUMEN CLIENTES'!M:M)</f>
        <v>OK</v>
      </c>
      <c r="E834" s="72">
        <f>+_xlfn.XLOOKUP(Tabla6[[#This Row],[NOMBRE]],'RESUMEN CLIENTES'!A:A,'RESUMEN CLIENTES'!X:X)</f>
        <v>-1.75</v>
      </c>
      <c r="F834" s="72">
        <f>+_xlfn.XLOOKUP(Tabla6[[#This Row],[ID CLIENTE]],'RESUMEN CLIENTES'!D:D,'RESUMEN CLIENTES'!W:W)</f>
        <v>1</v>
      </c>
      <c r="G834" s="17">
        <v>46027</v>
      </c>
      <c r="H834" s="44" t="s">
        <v>81</v>
      </c>
      <c r="I834" s="2">
        <v>700</v>
      </c>
      <c r="J834" s="20" t="s">
        <v>1846</v>
      </c>
      <c r="K834" t="s">
        <v>1847</v>
      </c>
      <c r="L834" s="44" t="str" cm="1">
        <f t="array" ref="L834">+_xlfn.IFS(COUNTIF(INGRESOS!E:E,Tabla6[[#This Row],[ID FACTURA]])=1,"PAGADA",Tabla6[[#This Row],[ID FACTURA]]&lt;&gt;0,"EMITIDA",Tabla6[[#This Row],[ID FACTURA]]=0,"POR EMITIR")</f>
        <v>PAGADA</v>
      </c>
      <c r="M834" s="55">
        <f>+IF(Tabla6[[#This Row],[ESTADO FACTURA]]="PAGADA",Tabla6[[#This Row],[FECHA]]-_xlfn.XLOOKUP(Tabla6[[#This Row],[N° FACTURA]],INGRESOS!F:F,INGRESOS!A:A),"-")</f>
        <v>-1</v>
      </c>
      <c r="N834" s="2"/>
      <c r="O834"/>
    </row>
    <row r="835" spans="1:15" ht="14.75" customHeight="1">
      <c r="A835" s="320" t="s">
        <v>188</v>
      </c>
      <c r="B835" t="str">
        <f>+_xlfn.XLOOKUP(Tabla6[[#This Row],[ID CLIENTE]],'RESUMEN CLIENTES'!D:D,'RESUMEN CLIENTES'!A:A)</f>
        <v>Marco Tulio Negrete Aceves</v>
      </c>
      <c r="C835" t="str">
        <f>+_xlfn.XLOOKUP(Tabla6[[#This Row],[ID CLIENTE]],'RESUMEN CLIENTES'!D:D,'RESUMEN CLIENTES'!C:C)</f>
        <v>México</v>
      </c>
      <c r="D835" s="44" t="str">
        <f>+_xlfn.XLOOKUP(Tabla6[[#This Row],[ID CLIENTE]],'RESUMEN CLIENTES'!D:D,'RESUMEN CLIENTES'!M:M)</f>
        <v>OK</v>
      </c>
      <c r="E835" s="72">
        <f>+_xlfn.XLOOKUP(Tabla6[[#This Row],[NOMBRE]],'RESUMEN CLIENTES'!A:A,'RESUMEN CLIENTES'!X:X)</f>
        <v>2.625</v>
      </c>
      <c r="F835" s="72">
        <f>+_xlfn.XLOOKUP(Tabla6[[#This Row],[ID CLIENTE]],'RESUMEN CLIENTES'!D:D,'RESUMEN CLIENTES'!W:W)</f>
        <v>1</v>
      </c>
      <c r="G835" s="17">
        <v>46027</v>
      </c>
      <c r="H835" s="44" t="s">
        <v>81</v>
      </c>
      <c r="I835" s="2">
        <f>400-Tabla6[[#This Row],[DCTO DOC]]</f>
        <v>11</v>
      </c>
      <c r="J835" s="20" t="s">
        <v>1848</v>
      </c>
      <c r="K835" t="s">
        <v>1849</v>
      </c>
      <c r="L835" s="44" t="str" cm="1">
        <f t="array" ref="L835">+_xlfn.IFS(COUNTIF(INGRESOS!E:E,Tabla6[[#This Row],[ID FACTURA]])=1,"PAGADA",Tabla6[[#This Row],[ID FACTURA]]&lt;&gt;0,"EMITIDA",Tabla6[[#This Row],[ID FACTURA]]=0,"POR EMITIR")</f>
        <v>PAGADA</v>
      </c>
      <c r="M835" s="55">
        <f>+IF(Tabla6[[#This Row],[ESTADO FACTURA]]="PAGADA",Tabla6[[#This Row],[FECHA]]-_xlfn.XLOOKUP(Tabla6[[#This Row],[N° FACTURA]],INGRESOS!F:F,INGRESOS!A:A),"-")</f>
        <v>2</v>
      </c>
      <c r="N835" s="2">
        <f>74+315</f>
        <v>389</v>
      </c>
      <c r="O835" t="s">
        <v>1233</v>
      </c>
    </row>
    <row r="836" spans="1:15" ht="14.75" customHeight="1">
      <c r="A836" s="320" t="s">
        <v>80</v>
      </c>
      <c r="B836" t="str">
        <f>+_xlfn.XLOOKUP(Tabla6[[#This Row],[ID CLIENTE]],'RESUMEN CLIENTES'!D:D,'RESUMEN CLIENTES'!A:A)</f>
        <v>María Fernanda Alvar Sepúlveda</v>
      </c>
      <c r="C836" t="str">
        <f>+_xlfn.XLOOKUP(Tabla6[[#This Row],[ID CLIENTE]],'RESUMEN CLIENTES'!D:D,'RESUMEN CLIENTES'!C:C)</f>
        <v>Chile</v>
      </c>
      <c r="D836" s="44" t="str">
        <f>+_xlfn.XLOOKUP(Tabla6[[#This Row],[ID CLIENTE]],'RESUMEN CLIENTES'!D:D,'RESUMEN CLIENTES'!M:M)</f>
        <v>OK</v>
      </c>
      <c r="E836" s="72">
        <f>+_xlfn.XLOOKUP(Tabla6[[#This Row],[NOMBRE]],'RESUMEN CLIENTES'!A:A,'RESUMEN CLIENTES'!X:X)</f>
        <v>5</v>
      </c>
      <c r="F836" s="72">
        <f>+_xlfn.XLOOKUP(Tabla6[[#This Row],[ID CLIENTE]],'RESUMEN CLIENTES'!D:D,'RESUMEN CLIENTES'!W:W)</f>
        <v>1</v>
      </c>
      <c r="G836" s="17">
        <v>46027</v>
      </c>
      <c r="H836" s="44" t="s">
        <v>81</v>
      </c>
      <c r="I836" s="2">
        <v>800</v>
      </c>
      <c r="J836" s="20" t="s">
        <v>1850</v>
      </c>
      <c r="K836" t="s">
        <v>1851</v>
      </c>
      <c r="L836" s="44" t="str" cm="1">
        <f t="array" ref="L836">+_xlfn.IFS(COUNTIF(INGRESOS!E:E,Tabla6[[#This Row],[ID FACTURA]])=1,"PAGADA",Tabla6[[#This Row],[ID FACTURA]]&lt;&gt;0,"EMITIDA",Tabla6[[#This Row],[ID FACTURA]]=0,"POR EMITIR")</f>
        <v>PAGADA</v>
      </c>
      <c r="M836" s="55">
        <f>+IF(Tabla6[[#This Row],[ESTADO FACTURA]]="PAGADA",Tabla6[[#This Row],[FECHA]]-_xlfn.XLOOKUP(Tabla6[[#This Row],[N° FACTURA]],INGRESOS!F:F,INGRESOS!A:A),"-")</f>
        <v>3</v>
      </c>
      <c r="N836" s="2"/>
      <c r="O836"/>
    </row>
    <row r="837" spans="1:15" ht="14.75" customHeight="1">
      <c r="A837" s="320" t="s">
        <v>1551</v>
      </c>
      <c r="B837" t="str">
        <f>+_xlfn.XLOOKUP(Tabla6[[#This Row],[ID CLIENTE]],'RESUMEN CLIENTES'!D:D,'RESUMEN CLIENTES'!A:A)</f>
        <v>María Fernanda Cid Ramírez</v>
      </c>
      <c r="C837" t="str">
        <f>+_xlfn.XLOOKUP(Tabla6[[#This Row],[ID CLIENTE]],'RESUMEN CLIENTES'!D:D,'RESUMEN CLIENTES'!C:C)</f>
        <v>México</v>
      </c>
      <c r="D837" s="44" t="str">
        <f>+_xlfn.XLOOKUP(Tabla6[[#This Row],[ID CLIENTE]],'RESUMEN CLIENTES'!D:D,'RESUMEN CLIENTES'!M:M)</f>
        <v>OK</v>
      </c>
      <c r="E837" s="71">
        <f>+_xlfn.XLOOKUP(Tabla6[[#This Row],[NOMBRE]],'RESUMEN CLIENTES'!A:A,'RESUMEN CLIENTES'!X:X)</f>
        <v>-0.8571428571428571</v>
      </c>
      <c r="F837" s="71">
        <f>+_xlfn.XLOOKUP(Tabla6[[#This Row],[ID CLIENTE]],'RESUMEN CLIENTES'!D:D,'RESUMEN CLIENTES'!W:W)</f>
        <v>0</v>
      </c>
      <c r="G837" s="17">
        <v>46027</v>
      </c>
      <c r="H837" s="169" t="s">
        <v>81</v>
      </c>
      <c r="I837" s="2">
        <v>850</v>
      </c>
      <c r="J837" s="20" t="s">
        <v>1852</v>
      </c>
      <c r="K837" t="s">
        <v>1853</v>
      </c>
      <c r="L837" s="44" t="str" cm="1">
        <f t="array" ref="L837">+_xlfn.IFS(COUNTIF(INGRESOS!E:E,Tabla6[[#This Row],[ID FACTURA]])=1,"PAGADA",Tabla6[[#This Row],[ID FACTURA]]&lt;&gt;0,"EMITIDA",Tabla6[[#This Row],[ID FACTURA]]=0,"POR EMITIR")</f>
        <v>PAGADA</v>
      </c>
      <c r="M837" s="55">
        <f>+IF(Tabla6[[#This Row],[ESTADO FACTURA]]="PAGADA",Tabla6[[#This Row],[FECHA]]-_xlfn.XLOOKUP(Tabla6[[#This Row],[N° FACTURA]],INGRESOS!F:F,INGRESOS!A:A),"-")</f>
        <v>-1</v>
      </c>
      <c r="N837" s="2"/>
      <c r="O837"/>
    </row>
    <row r="838" spans="1:15" ht="14.75" customHeight="1">
      <c r="A838" s="320" t="s">
        <v>1155</v>
      </c>
      <c r="B838" t="str">
        <f>+_xlfn.XLOOKUP(Tabla6[[#This Row],[ID CLIENTE]],'RESUMEN CLIENTES'!D:D,'RESUMEN CLIENTES'!A:A)</f>
        <v>Mario Arciga Casián</v>
      </c>
      <c r="C838" t="str">
        <f>+_xlfn.XLOOKUP(Tabla6[[#This Row],[ID CLIENTE]],'RESUMEN CLIENTES'!D:D,'RESUMEN CLIENTES'!C:C)</f>
        <v>México</v>
      </c>
      <c r="D838" s="44" t="str">
        <f>+_xlfn.XLOOKUP(Tabla6[[#This Row],[ID CLIENTE]],'RESUMEN CLIENTES'!D:D,'RESUMEN CLIENTES'!M:M)</f>
        <v>OK</v>
      </c>
      <c r="E838" s="72">
        <f>+_xlfn.XLOOKUP(Tabla6[[#This Row],[NOMBRE]],'RESUMEN CLIENTES'!A:A,'RESUMEN CLIENTES'!X:X)</f>
        <v>-0.66666666666666663</v>
      </c>
      <c r="F838" s="72">
        <f>+_xlfn.XLOOKUP(Tabla6[[#This Row],[ID CLIENTE]],'RESUMEN CLIENTES'!D:D,'RESUMEN CLIENTES'!W:W)</f>
        <v>1</v>
      </c>
      <c r="G838" s="17">
        <v>46027</v>
      </c>
      <c r="H838" s="44" t="s">
        <v>81</v>
      </c>
      <c r="I838" s="2">
        <v>1000</v>
      </c>
      <c r="J838" s="20" t="s">
        <v>1854</v>
      </c>
      <c r="K838" t="s">
        <v>1855</v>
      </c>
      <c r="L838" s="44" t="str" cm="1">
        <f t="array" ref="L838">+_xlfn.IFS(COUNTIF(INGRESOS!E:E,Tabla6[[#This Row],[ID FACTURA]])=1,"PAGADA",Tabla6[[#This Row],[ID FACTURA]]&lt;&gt;0,"EMITIDA",Tabla6[[#This Row],[ID FACTURA]]=0,"POR EMITIR")</f>
        <v>PAGADA</v>
      </c>
      <c r="M838" s="55">
        <f>+IF(Tabla6[[#This Row],[ESTADO FACTURA]]="PAGADA",Tabla6[[#This Row],[FECHA]]-_xlfn.XLOOKUP(Tabla6[[#This Row],[N° FACTURA]],INGRESOS!F:F,INGRESOS!A:A),"-")</f>
        <v>-2</v>
      </c>
      <c r="N838" s="2"/>
      <c r="O838"/>
    </row>
    <row r="839" spans="1:15" ht="14.75" customHeight="1">
      <c r="A839" s="320" t="s">
        <v>129</v>
      </c>
      <c r="B839" t="str">
        <f>+_xlfn.XLOOKUP(Tabla6[[#This Row],[ID CLIENTE]],'RESUMEN CLIENTES'!D:D,'RESUMEN CLIENTES'!A:A)</f>
        <v>Moira Millaray Schneider Rivera</v>
      </c>
      <c r="C839" t="str">
        <f>+_xlfn.XLOOKUP(Tabla6[[#This Row],[ID CLIENTE]],'RESUMEN CLIENTES'!D:D,'RESUMEN CLIENTES'!C:C)</f>
        <v>Chile</v>
      </c>
      <c r="D839" s="44" t="str">
        <f>+_xlfn.XLOOKUP(Tabla6[[#This Row],[ID CLIENTE]],'RESUMEN CLIENTES'!D:D,'RESUMEN CLIENTES'!M:M)</f>
        <v>OK</v>
      </c>
      <c r="E839" s="72">
        <f>+_xlfn.XLOOKUP(Tabla6[[#This Row],[NOMBRE]],'RESUMEN CLIENTES'!A:A,'RESUMEN CLIENTES'!X:X)</f>
        <v>0</v>
      </c>
      <c r="F839" s="72">
        <f>+_xlfn.XLOOKUP(Tabla6[[#This Row],[ID CLIENTE]],'RESUMEN CLIENTES'!D:D,'RESUMEN CLIENTES'!W:W)</f>
        <v>1</v>
      </c>
      <c r="G839" s="17">
        <v>46027</v>
      </c>
      <c r="H839" s="44" t="s">
        <v>81</v>
      </c>
      <c r="I839" s="2">
        <v>800</v>
      </c>
      <c r="J839" s="20" t="s">
        <v>1856</v>
      </c>
      <c r="K839" t="s">
        <v>1857</v>
      </c>
      <c r="L839" s="44" t="str" cm="1">
        <f t="array" ref="L839">+_xlfn.IFS(COUNTIF(INGRESOS!E:E,Tabla6[[#This Row],[ID FACTURA]])=1,"PAGADA",Tabla6[[#This Row],[ID FACTURA]]&lt;&gt;0,"EMITIDA",Tabla6[[#This Row],[ID FACTURA]]=0,"POR EMITIR")</f>
        <v>PAGADA</v>
      </c>
      <c r="M839" s="55">
        <f>+IF(Tabla6[[#This Row],[ESTADO FACTURA]]="PAGADA",Tabla6[[#This Row],[FECHA]]-_xlfn.XLOOKUP(Tabla6[[#This Row],[N° FACTURA]],INGRESOS!F:F,INGRESOS!A:A),"-")</f>
        <v>0</v>
      </c>
      <c r="N839" s="2"/>
      <c r="O839"/>
    </row>
    <row r="840" spans="1:15" ht="14.75" customHeight="1">
      <c r="A840" s="320" t="s">
        <v>159</v>
      </c>
      <c r="B840" t="str">
        <f>+_xlfn.XLOOKUP(Tabla6[[#This Row],[ID CLIENTE]],'RESUMEN CLIENTES'!D:D,'RESUMEN CLIENTES'!A:A)</f>
        <v>Rodrigo Rivera Ruiz</v>
      </c>
      <c r="C840" t="str">
        <f>+_xlfn.XLOOKUP(Tabla6[[#This Row],[ID CLIENTE]],'RESUMEN CLIENTES'!D:D,'RESUMEN CLIENTES'!C:C)</f>
        <v>Chile</v>
      </c>
      <c r="D840" s="44" t="str">
        <f>+_xlfn.XLOOKUP(Tabla6[[#This Row],[ID CLIENTE]],'RESUMEN CLIENTES'!D:D,'RESUMEN CLIENTES'!M:M)</f>
        <v>OK</v>
      </c>
      <c r="E840" s="72">
        <f>+_xlfn.XLOOKUP(Tabla6[[#This Row],[NOMBRE]],'RESUMEN CLIENTES'!A:A,'RESUMEN CLIENTES'!X:X)</f>
        <v>0.8</v>
      </c>
      <c r="F840" s="72">
        <f>+_xlfn.XLOOKUP(Tabla6[[#This Row],[ID CLIENTE]],'RESUMEN CLIENTES'!D:D,'RESUMEN CLIENTES'!W:W)</f>
        <v>1</v>
      </c>
      <c r="G840" s="17">
        <v>46027</v>
      </c>
      <c r="H840" s="44" t="s">
        <v>81</v>
      </c>
      <c r="I840" s="2">
        <v>1000</v>
      </c>
      <c r="J840" s="20" t="s">
        <v>1858</v>
      </c>
      <c r="K840" t="s">
        <v>1859</v>
      </c>
      <c r="L840" s="44" t="str" cm="1">
        <f t="array" ref="L840">+_xlfn.IFS(COUNTIF(INGRESOS!E:E,Tabla6[[#This Row],[ID FACTURA]])=1,"PAGADA",Tabla6[[#This Row],[ID FACTURA]]&lt;&gt;0,"EMITIDA",Tabla6[[#This Row],[ID FACTURA]]=0,"POR EMITIR")</f>
        <v>PAGADA</v>
      </c>
      <c r="M840" s="55">
        <f>+IF(Tabla6[[#This Row],[ESTADO FACTURA]]="PAGADA",Tabla6[[#This Row],[FECHA]]-_xlfn.XLOOKUP(Tabla6[[#This Row],[N° FACTURA]],INGRESOS!F:F,INGRESOS!A:A),"-")</f>
        <v>-1</v>
      </c>
      <c r="N840" s="2"/>
      <c r="O840"/>
    </row>
    <row r="841" spans="1:15" ht="14.75" customHeight="1">
      <c r="A841" s="320" t="s">
        <v>281</v>
      </c>
      <c r="B841" t="str">
        <f>+_xlfn.XLOOKUP(Tabla6[[#This Row],[ID CLIENTE]],'RESUMEN CLIENTES'!D:D,'RESUMEN CLIENTES'!A:A)</f>
        <v>Sergio Francisco Garcia Sandoval</v>
      </c>
      <c r="C841" t="str">
        <f>+_xlfn.XLOOKUP(Tabla6[[#This Row],[ID CLIENTE]],'RESUMEN CLIENTES'!D:D,'RESUMEN CLIENTES'!C:C)</f>
        <v>Perú</v>
      </c>
      <c r="D841" s="44" t="str">
        <f>+_xlfn.XLOOKUP(Tabla6[[#This Row],[ID CLIENTE]],'RESUMEN CLIENTES'!D:D,'RESUMEN CLIENTES'!M:M)</f>
        <v>OK</v>
      </c>
      <c r="E841" s="72">
        <f>+_xlfn.XLOOKUP(Tabla6[[#This Row],[NOMBRE]],'RESUMEN CLIENTES'!A:A,'RESUMEN CLIENTES'!X:X)</f>
        <v>0.88888888888888884</v>
      </c>
      <c r="F841" s="72">
        <f>+_xlfn.XLOOKUP(Tabla6[[#This Row],[ID CLIENTE]],'RESUMEN CLIENTES'!D:D,'RESUMEN CLIENTES'!W:W)</f>
        <v>1</v>
      </c>
      <c r="G841" s="17">
        <v>46027</v>
      </c>
      <c r="H841" s="44" t="s">
        <v>81</v>
      </c>
      <c r="I841" s="2">
        <v>350</v>
      </c>
      <c r="J841" s="20" t="s">
        <v>1860</v>
      </c>
      <c r="K841" t="s">
        <v>1861</v>
      </c>
      <c r="L841" s="44" t="str" cm="1">
        <f t="array" ref="L841">+_xlfn.IFS(COUNTIF(INGRESOS!E:E,Tabla6[[#This Row],[ID FACTURA]])=1,"PAGADA",Tabla6[[#This Row],[ID FACTURA]]&lt;&gt;0,"EMITIDA",Tabla6[[#This Row],[ID FACTURA]]=0,"POR EMITIR")</f>
        <v>PAGADA</v>
      </c>
      <c r="M841" s="55">
        <f>+IF(Tabla6[[#This Row],[ESTADO FACTURA]]="PAGADA",Tabla6[[#This Row],[FECHA]]-_xlfn.XLOOKUP(Tabla6[[#This Row],[N° FACTURA]],INGRESOS!F:F,INGRESOS!A:A),"-")</f>
        <v>0</v>
      </c>
      <c r="N841" s="2"/>
      <c r="O841"/>
    </row>
    <row r="842" spans="1:15" ht="14.75" customHeight="1">
      <c r="A842" s="320" t="s">
        <v>112</v>
      </c>
      <c r="B842" t="str">
        <f>+_xlfn.XLOOKUP(Tabla6[[#This Row],[ID CLIENTE]],'RESUMEN CLIENTES'!D:D,'RESUMEN CLIENTES'!A:A)</f>
        <v>Victor Emanuel Hernández Ruíz</v>
      </c>
      <c r="C842" t="str">
        <f>+_xlfn.XLOOKUP(Tabla6[[#This Row],[ID CLIENTE]],'RESUMEN CLIENTES'!D:D,'RESUMEN CLIENTES'!C:C)</f>
        <v>México</v>
      </c>
      <c r="D842" s="44" t="str">
        <f>+_xlfn.XLOOKUP(Tabla6[[#This Row],[ID CLIENTE]],'RESUMEN CLIENTES'!D:D,'RESUMEN CLIENTES'!M:M)</f>
        <v>OK</v>
      </c>
      <c r="E842" s="72">
        <f>+_xlfn.XLOOKUP(Tabla6[[#This Row],[NOMBRE]],'RESUMEN CLIENTES'!A:A,'RESUMEN CLIENTES'!X:X)</f>
        <v>-1.2727272727272727</v>
      </c>
      <c r="F842" s="72">
        <f>+_xlfn.XLOOKUP(Tabla6[[#This Row],[ID CLIENTE]],'RESUMEN CLIENTES'!D:D,'RESUMEN CLIENTES'!W:W)</f>
        <v>1</v>
      </c>
      <c r="G842" s="17">
        <v>46027</v>
      </c>
      <c r="H842" s="44" t="s">
        <v>81</v>
      </c>
      <c r="I842" s="2">
        <v>224</v>
      </c>
      <c r="J842" s="20" t="s">
        <v>1862</v>
      </c>
      <c r="K842" t="s">
        <v>1863</v>
      </c>
      <c r="L842" s="44" t="str" cm="1">
        <f t="array" ref="L842">+_xlfn.IFS(COUNTIF(INGRESOS!E:E,Tabla6[[#This Row],[ID FACTURA]])=1,"PAGADA",Tabla6[[#This Row],[ID FACTURA]]&lt;&gt;0,"EMITIDA",Tabla6[[#This Row],[ID FACTURA]]=0,"POR EMITIR")</f>
        <v>PAGADA</v>
      </c>
      <c r="M842" s="55">
        <f>+IF(Tabla6[[#This Row],[ESTADO FACTURA]]="PAGADA",Tabla6[[#This Row],[FECHA]]-_xlfn.XLOOKUP(Tabla6[[#This Row],[N° FACTURA]],INGRESOS!F:F,INGRESOS!A:A),"-")</f>
        <v>0</v>
      </c>
      <c r="N842" s="2">
        <v>576</v>
      </c>
      <c r="O842" t="s">
        <v>1233</v>
      </c>
    </row>
    <row r="843" spans="1:15" ht="14.75" customHeight="1">
      <c r="A843" s="320" t="s">
        <v>907</v>
      </c>
      <c r="B843" t="str">
        <f>+_xlfn.XLOOKUP(Tabla6[[#This Row],[ID CLIENTE]],'RESUMEN CLIENTES'!D:D,'RESUMEN CLIENTES'!A:A)</f>
        <v>Luis Carlos Villa Cortés</v>
      </c>
      <c r="C843" t="str">
        <f>+_xlfn.XLOOKUP(Tabla6[[#This Row],[ID CLIENTE]],'RESUMEN CLIENTES'!D:D,'RESUMEN CLIENTES'!C:C)</f>
        <v>México</v>
      </c>
      <c r="D843" s="44" t="str">
        <f>+_xlfn.XLOOKUP(Tabla6[[#This Row],[ID CLIENTE]],'RESUMEN CLIENTES'!D:D,'RESUMEN CLIENTES'!M:M)</f>
        <v>OK</v>
      </c>
      <c r="E843" s="72">
        <f>+_xlfn.XLOOKUP(Tabla6[[#This Row],[NOMBRE]],'RESUMEN CLIENTES'!A:A,'RESUMEN CLIENTES'!X:X)</f>
        <v>0</v>
      </c>
      <c r="F843" s="72">
        <f>+_xlfn.XLOOKUP(Tabla6[[#This Row],[ID CLIENTE]],'RESUMEN CLIENTES'!D:D,'RESUMEN CLIENTES'!W:W)</f>
        <v>1</v>
      </c>
      <c r="G843" s="17">
        <v>46028</v>
      </c>
      <c r="H843" s="44" t="s">
        <v>81</v>
      </c>
      <c r="I843" s="2">
        <v>1000</v>
      </c>
      <c r="J843" s="20" t="s">
        <v>1864</v>
      </c>
      <c r="K843" t="s">
        <v>1865</v>
      </c>
      <c r="L843" s="44" t="str" cm="1">
        <f t="array" ref="L843">+_xlfn.IFS(COUNTIF(INGRESOS!E:E,Tabla6[[#This Row],[ID FACTURA]])=1,"PAGADA",Tabla6[[#This Row],[ID FACTURA]]&lt;&gt;0,"EMITIDA",Tabla6[[#This Row],[ID FACTURA]]=0,"POR EMITIR")</f>
        <v>PAGADA</v>
      </c>
      <c r="M843" s="55">
        <f>+IF(Tabla6[[#This Row],[ESTADO FACTURA]]="PAGADA",Tabla6[[#This Row],[FECHA]]-_xlfn.XLOOKUP(Tabla6[[#This Row],[N° FACTURA]],INGRESOS!F:F,INGRESOS!A:A),"-")</f>
        <v>0</v>
      </c>
      <c r="N843" s="2"/>
      <c r="O843"/>
    </row>
    <row r="844" spans="1:15" ht="14.75" customHeight="1">
      <c r="A844" s="320" t="s">
        <v>1658</v>
      </c>
      <c r="B844" t="str">
        <f>+_xlfn.XLOOKUP(Tabla6[[#This Row],[ID CLIENTE]],'RESUMEN CLIENTES'!D:D,'RESUMEN CLIENTES'!A:A)</f>
        <v>Nadya Sofía García Carrasco</v>
      </c>
      <c r="C844" t="str">
        <f>+_xlfn.XLOOKUP(Tabla6[[#This Row],[ID CLIENTE]],'RESUMEN CLIENTES'!D:D,'RESUMEN CLIENTES'!C:C)</f>
        <v>Ecuador</v>
      </c>
      <c r="D844" s="169" t="str">
        <f>+_xlfn.XLOOKUP(Tabla6[[#This Row],[ID CLIENTE]],'RESUMEN CLIENTES'!D:D,'RESUMEN CLIENTES'!M:M)</f>
        <v>OK</v>
      </c>
      <c r="E844" s="71">
        <f>+_xlfn.XLOOKUP(Tabla6[[#This Row],[NOMBRE]],'RESUMEN CLIENTES'!A:A,'RESUMEN CLIENTES'!X:X)</f>
        <v>0</v>
      </c>
      <c r="F844" s="71">
        <f>+_xlfn.XLOOKUP(Tabla6[[#This Row],[ID CLIENTE]],'RESUMEN CLIENTES'!D:D,'RESUMEN CLIENTES'!W:W)</f>
        <v>1</v>
      </c>
      <c r="G844" s="17">
        <v>46028</v>
      </c>
      <c r="H844" s="169" t="s">
        <v>81</v>
      </c>
      <c r="I844" s="2">
        <v>2750</v>
      </c>
      <c r="J844" s="20" t="s">
        <v>1866</v>
      </c>
      <c r="K844" t="s">
        <v>1867</v>
      </c>
      <c r="L844" s="44" t="str" cm="1">
        <f t="array" ref="L844">+_xlfn.IFS(COUNTIF(INGRESOS!E:E,Tabla6[[#This Row],[ID FACTURA]])=1,"PAGADA",Tabla6[[#This Row],[ID FACTURA]]&lt;&gt;0,"EMITIDA",Tabla6[[#This Row],[ID FACTURA]]=0,"POR EMITIR")</f>
        <v>PAGADA</v>
      </c>
      <c r="M844" s="55">
        <f>+IF(Tabla6[[#This Row],[ESTADO FACTURA]]="PAGADA",Tabla6[[#This Row],[FECHA]]-_xlfn.XLOOKUP(Tabla6[[#This Row],[N° FACTURA]],INGRESOS!F:F,INGRESOS!A:A),"-")</f>
        <v>0</v>
      </c>
      <c r="O844"/>
    </row>
    <row r="845" spans="1:15" ht="14.75" customHeight="1">
      <c r="A845" s="320" t="s">
        <v>1152</v>
      </c>
      <c r="B845" t="str">
        <f>+_xlfn.XLOOKUP(Tabla6[[#This Row],[ID CLIENTE]],'RESUMEN CLIENTES'!D:D,'RESUMEN CLIENTES'!A:A)</f>
        <v>Ricardo Ernesto Miño Valencia</v>
      </c>
      <c r="C845" t="str">
        <f>+_xlfn.XLOOKUP(Tabla6[[#This Row],[ID CLIENTE]],'RESUMEN CLIENTES'!D:D,'RESUMEN CLIENTES'!C:C)</f>
        <v>Ecuador</v>
      </c>
      <c r="D845" s="44" t="str">
        <f>+_xlfn.XLOOKUP(Tabla6[[#This Row],[ID CLIENTE]],'RESUMEN CLIENTES'!D:D,'RESUMEN CLIENTES'!M:M)</f>
        <v>OK</v>
      </c>
      <c r="E845" s="72">
        <f>+_xlfn.XLOOKUP(Tabla6[[#This Row],[NOMBRE]],'RESUMEN CLIENTES'!A:A,'RESUMEN CLIENTES'!X:X)</f>
        <v>-3.2</v>
      </c>
      <c r="F845" s="72">
        <f>+_xlfn.XLOOKUP(Tabla6[[#This Row],[ID CLIENTE]],'RESUMEN CLIENTES'!D:D,'RESUMEN CLIENTES'!W:W)</f>
        <v>1</v>
      </c>
      <c r="G845" s="17">
        <v>46028</v>
      </c>
      <c r="H845" s="44" t="s">
        <v>81</v>
      </c>
      <c r="I845" s="2">
        <v>700</v>
      </c>
      <c r="J845" s="20" t="s">
        <v>1868</v>
      </c>
      <c r="K845" t="s">
        <v>1869</v>
      </c>
      <c r="L845" s="44" t="str" cm="1">
        <f t="array" ref="L845">+_xlfn.IFS(COUNTIF(INGRESOS!E:E,Tabla6[[#This Row],[ID FACTURA]])=1,"PAGADA",Tabla6[[#This Row],[ID FACTURA]]&lt;&gt;0,"EMITIDA",Tabla6[[#This Row],[ID FACTURA]]=0,"POR EMITIR")</f>
        <v>PAGADA</v>
      </c>
      <c r="M845" s="55">
        <f>+IF(Tabla6[[#This Row],[ESTADO FACTURA]]="PAGADA",Tabla6[[#This Row],[FECHA]]-_xlfn.XLOOKUP(Tabla6[[#This Row],[N° FACTURA]],INGRESOS!F:F,INGRESOS!A:A),"-")</f>
        <v>-3</v>
      </c>
      <c r="N845" s="2"/>
      <c r="O845"/>
    </row>
    <row r="846" spans="1:15" ht="14.75" customHeight="1">
      <c r="A846" s="321" t="s">
        <v>1870</v>
      </c>
      <c r="B846" t="str">
        <f>+_xlfn.XLOOKUP(Tabla6[[#This Row],[ID CLIENTE]],'RESUMEN CLIENTES'!D:D,'RESUMEN CLIENTES'!A:A)</f>
        <v>Berenisse Shadia Yarango Garay</v>
      </c>
      <c r="C846" t="str">
        <f>+_xlfn.XLOOKUP(Tabla6[[#This Row],[ID CLIENTE]],'RESUMEN CLIENTES'!D:D,'RESUMEN CLIENTES'!C:C)</f>
        <v>Perú</v>
      </c>
      <c r="D846" s="169" t="str">
        <f>+_xlfn.XLOOKUP(Tabla6[[#This Row],[ID CLIENTE]],'RESUMEN CLIENTES'!D:D,'RESUMEN CLIENTES'!M:M)</f>
        <v>OK</v>
      </c>
      <c r="E846" s="71">
        <f>+_xlfn.XLOOKUP(Tabla6[[#This Row],[NOMBRE]],'RESUMEN CLIENTES'!A:A,'RESUMEN CLIENTES'!X:X)</f>
        <v>-0.33333333333333331</v>
      </c>
      <c r="F846" s="71">
        <f>+_xlfn.XLOOKUP(Tabla6[[#This Row],[ID CLIENTE]],'RESUMEN CLIENTES'!D:D,'RESUMEN CLIENTES'!W:W)</f>
        <v>0</v>
      </c>
      <c r="G846" s="17">
        <v>46029</v>
      </c>
      <c r="H846" s="169" t="s">
        <v>81</v>
      </c>
      <c r="I846" s="2">
        <v>250</v>
      </c>
      <c r="J846" s="20" t="s">
        <v>1871</v>
      </c>
      <c r="K846" t="s">
        <v>1872</v>
      </c>
      <c r="L846" s="44" t="str" cm="1">
        <f t="array" ref="L846">+_xlfn.IFS(COUNTIF(INGRESOS!E:E,Tabla6[[#This Row],[ID FACTURA]])=1,"PAGADA",Tabla6[[#This Row],[ID FACTURA]]&lt;&gt;0,"EMITIDA",Tabla6[[#This Row],[ID FACTURA]]=0,"POR EMITIR")</f>
        <v>PAGADA</v>
      </c>
      <c r="M846" s="54">
        <f>+IF(Tabla6[[#This Row],[ESTADO FACTURA]]="PAGADA",Tabla6[[#This Row],[FECHA]]-_xlfn.XLOOKUP(Tabla6[[#This Row],[N° FACTURA]],INGRESOS!F:F,INGRESOS!A:A),"-")</f>
        <v>0</v>
      </c>
      <c r="O846"/>
    </row>
    <row r="847" spans="1:15" ht="14.75" customHeight="1">
      <c r="A847" s="320" t="s">
        <v>253</v>
      </c>
      <c r="B847" t="str">
        <f>+_xlfn.XLOOKUP(Tabla6[[#This Row],[ID CLIENTE]],'RESUMEN CLIENTES'!D:D,'RESUMEN CLIENTES'!A:A)</f>
        <v>Diego Alonso Salazar Palacios</v>
      </c>
      <c r="C847" t="str">
        <f>+_xlfn.XLOOKUP(Tabla6[[#This Row],[ID CLIENTE]],'RESUMEN CLIENTES'!D:D,'RESUMEN CLIENTES'!C:C)</f>
        <v>Perú</v>
      </c>
      <c r="D847" s="44" t="str">
        <f>+_xlfn.XLOOKUP(Tabla6[[#This Row],[ID CLIENTE]],'RESUMEN CLIENTES'!D:D,'RESUMEN CLIENTES'!M:M)</f>
        <v>OK</v>
      </c>
      <c r="E847" s="72">
        <f>+_xlfn.XLOOKUP(Tabla6[[#This Row],[NOMBRE]],'RESUMEN CLIENTES'!A:A,'RESUMEN CLIENTES'!X:X)</f>
        <v>0.18560606059988707</v>
      </c>
      <c r="F847" s="72">
        <f>+_xlfn.XLOOKUP(Tabla6[[#This Row],[ID CLIENTE]],'RESUMEN CLIENTES'!D:D,'RESUMEN CLIENTES'!W:W)</f>
        <v>1</v>
      </c>
      <c r="G847" s="17">
        <v>46030</v>
      </c>
      <c r="H847" s="44" t="s">
        <v>81</v>
      </c>
      <c r="I847" s="2">
        <v>1000</v>
      </c>
      <c r="J847" s="20" t="s">
        <v>1873</v>
      </c>
      <c r="K847" t="s">
        <v>1874</v>
      </c>
      <c r="L847" s="44" t="str" cm="1">
        <f t="array" ref="L847">+_xlfn.IFS(COUNTIF(INGRESOS!E:E,Tabla6[[#This Row],[ID FACTURA]])=1,"PAGADA",Tabla6[[#This Row],[ID FACTURA]]&lt;&gt;0,"EMITIDA",Tabla6[[#This Row],[ID FACTURA]]=0,"POR EMITIR")</f>
        <v>PAGADA</v>
      </c>
      <c r="M847" s="55">
        <f>+IF(Tabla6[[#This Row],[ESTADO FACTURA]]="PAGADA",Tabla6[[#This Row],[FECHA]]-_xlfn.XLOOKUP(Tabla6[[#This Row],[N° FACTURA]],INGRESOS!F:F,INGRESOS!A:A),"-")</f>
        <v>0</v>
      </c>
      <c r="N847" s="2"/>
      <c r="O847"/>
    </row>
    <row r="848" spans="1:15" ht="14.75" customHeight="1">
      <c r="A848" s="321" t="s">
        <v>1875</v>
      </c>
      <c r="B848" t="str">
        <f>+_xlfn.XLOOKUP(Tabla6[[#This Row],[ID CLIENTE]],'RESUMEN CLIENTES'!D:D,'RESUMEN CLIENTES'!A:A)</f>
        <v>Laura Giraldo</v>
      </c>
      <c r="C848" t="str">
        <f>+_xlfn.XLOOKUP(Tabla6[[#This Row],[ID CLIENTE]],'RESUMEN CLIENTES'!D:D,'RESUMEN CLIENTES'!C:C)</f>
        <v>Colombia</v>
      </c>
      <c r="D848" s="169" t="str">
        <f>+_xlfn.XLOOKUP(Tabla6[[#This Row],[ID CLIENTE]],'RESUMEN CLIENTES'!D:D,'RESUMEN CLIENTES'!M:M)</f>
        <v>OK</v>
      </c>
      <c r="E848" s="71">
        <f>+_xlfn.XLOOKUP(Tabla6[[#This Row],[NOMBRE]],'RESUMEN CLIENTES'!A:A,'RESUMEN CLIENTES'!X:X)</f>
        <v>-3.25</v>
      </c>
      <c r="F848" s="71">
        <f>+_xlfn.XLOOKUP(Tabla6[[#This Row],[ID CLIENTE]],'RESUMEN CLIENTES'!D:D,'RESUMEN CLIENTES'!W:W)</f>
        <v>1</v>
      </c>
      <c r="G848" s="17">
        <v>46030</v>
      </c>
      <c r="H848" s="169" t="s">
        <v>1876</v>
      </c>
      <c r="I848" s="2">
        <v>250</v>
      </c>
      <c r="J848" s="20" t="s">
        <v>1877</v>
      </c>
      <c r="K848" t="s">
        <v>1878</v>
      </c>
      <c r="L848" s="44" t="str" cm="1">
        <f t="array" ref="L848">+_xlfn.IFS(COUNTIF(INGRESOS!E:E,Tabla6[[#This Row],[ID FACTURA]])=1,"PAGADA",Tabla6[[#This Row],[ID FACTURA]]&lt;&gt;0,"EMITIDA",Tabla6[[#This Row],[ID FACTURA]]=0,"POR EMITIR")</f>
        <v>PAGADA</v>
      </c>
      <c r="M848" s="54">
        <f>+IF(Tabla6[[#This Row],[ESTADO FACTURA]]="PAGADA",Tabla6[[#This Row],[FECHA]]-_xlfn.XLOOKUP(Tabla6[[#This Row],[N° FACTURA]],INGRESOS!F:F,INGRESOS!A:A),"-")</f>
        <v>-5</v>
      </c>
      <c r="O848"/>
    </row>
    <row r="849" spans="1:15" ht="14.75" customHeight="1">
      <c r="A849" s="320" t="s">
        <v>1645</v>
      </c>
      <c r="B849" t="str">
        <f>+_xlfn.XLOOKUP(Tabla6[[#This Row],[ID CLIENTE]],'RESUMEN CLIENTES'!D:D,'RESUMEN CLIENTES'!A:A)</f>
        <v>Gerardo Abel Palacios Preciado</v>
      </c>
      <c r="C849" t="str">
        <f>+_xlfn.XLOOKUP(Tabla6[[#This Row],[ID CLIENTE]],'RESUMEN CLIENTES'!D:D,'RESUMEN CLIENTES'!C:C)</f>
        <v>México</v>
      </c>
      <c r="D849" s="169" t="str">
        <f>+_xlfn.XLOOKUP(Tabla6[[#This Row],[ID CLIENTE]],'RESUMEN CLIENTES'!D:D,'RESUMEN CLIENTES'!M:M)</f>
        <v>OK</v>
      </c>
      <c r="E849" s="71">
        <f>+_xlfn.XLOOKUP(Tabla6[[#This Row],[NOMBRE]],'RESUMEN CLIENTES'!A:A,'RESUMEN CLIENTES'!X:X)</f>
        <v>-1.3333333333333333</v>
      </c>
      <c r="F849" s="71">
        <f>+_xlfn.XLOOKUP(Tabla6[[#This Row],[ID CLIENTE]],'RESUMEN CLIENTES'!D:D,'RESUMEN CLIENTES'!W:W)</f>
        <v>1</v>
      </c>
      <c r="G849" s="17">
        <v>46031</v>
      </c>
      <c r="H849" s="169" t="s">
        <v>81</v>
      </c>
      <c r="I849" s="2">
        <v>650</v>
      </c>
      <c r="J849" s="20" t="s">
        <v>1879</v>
      </c>
      <c r="K849" t="s">
        <v>1880</v>
      </c>
      <c r="L849" s="44" t="str" cm="1">
        <f t="array" ref="L849">+_xlfn.IFS(COUNTIF(INGRESOS!E:E,Tabla6[[#This Row],[ID FACTURA]])=1,"PAGADA",Tabla6[[#This Row],[ID FACTURA]]&lt;&gt;0,"EMITIDA",Tabla6[[#This Row],[ID FACTURA]]=0,"POR EMITIR")</f>
        <v>PAGADA</v>
      </c>
      <c r="M849" s="55">
        <f>+IF(Tabla6[[#This Row],[ESTADO FACTURA]]="PAGADA",Tabla6[[#This Row],[FECHA]]-_xlfn.XLOOKUP(Tabla6[[#This Row],[N° FACTURA]],INGRESOS!F:F,INGRESOS!A:A),"-")</f>
        <v>-1</v>
      </c>
      <c r="N849" s="2"/>
      <c r="O849"/>
    </row>
    <row r="850" spans="1:15" ht="14.75" customHeight="1">
      <c r="A850" s="321" t="s">
        <v>1881</v>
      </c>
      <c r="B850" t="str">
        <f>+_xlfn.XLOOKUP(Tabla6[[#This Row],[ID CLIENTE]],'RESUMEN CLIENTES'!D:D,'RESUMEN CLIENTES'!A:A)</f>
        <v>Paulina Alejandra Silva Gómez</v>
      </c>
      <c r="C850" t="str">
        <f>+_xlfn.XLOOKUP(Tabla6[[#This Row],[ID CLIENTE]],'RESUMEN CLIENTES'!D:D,'RESUMEN CLIENTES'!C:C)</f>
        <v>Chile</v>
      </c>
      <c r="D850" s="169" t="str">
        <f>+_xlfn.XLOOKUP(Tabla6[[#This Row],[ID CLIENTE]],'RESUMEN CLIENTES'!D:D,'RESUMEN CLIENTES'!M:M)</f>
        <v>¡REGULARIZAR!</v>
      </c>
      <c r="E850" s="71">
        <f>+_xlfn.XLOOKUP(Tabla6[[#This Row],[NOMBRE]],'RESUMEN CLIENTES'!A:A,'RESUMEN CLIENTES'!X:X)</f>
        <v>-6.833333333333333</v>
      </c>
      <c r="F850" s="71">
        <f>+_xlfn.XLOOKUP(Tabla6[[#This Row],[ID CLIENTE]],'RESUMEN CLIENTES'!D:D,'RESUMEN CLIENTES'!W:W)</f>
        <v>0</v>
      </c>
      <c r="G850" s="17">
        <v>46031</v>
      </c>
      <c r="H850" s="169" t="s">
        <v>81</v>
      </c>
      <c r="I850" s="2">
        <v>250</v>
      </c>
      <c r="J850" s="20" t="s">
        <v>1882</v>
      </c>
      <c r="K850" t="s">
        <v>1883</v>
      </c>
      <c r="L850" s="44" t="str" cm="1">
        <f t="array" ref="L850">+_xlfn.IFS(COUNTIF(INGRESOS!E:E,Tabla6[[#This Row],[ID FACTURA]])=1,"PAGADA",Tabla6[[#This Row],[ID FACTURA]]&lt;&gt;0,"EMITIDA",Tabla6[[#This Row],[ID FACTURA]]=0,"POR EMITIR")</f>
        <v>PAGADA</v>
      </c>
      <c r="M850" s="54">
        <f>+IF(Tabla6[[#This Row],[ESTADO FACTURA]]="PAGADA",Tabla6[[#This Row],[FECHA]]-_xlfn.XLOOKUP(Tabla6[[#This Row],[N° FACTURA]],INGRESOS!F:F,INGRESOS!A:A),"-")</f>
        <v>0</v>
      </c>
      <c r="O850"/>
    </row>
    <row r="851" spans="1:15" ht="14.75" customHeight="1">
      <c r="A851" s="320" t="s">
        <v>1428</v>
      </c>
      <c r="B851" t="str">
        <f>+_xlfn.XLOOKUP(Tabla6[[#This Row],[ID CLIENTE]],'RESUMEN CLIENTES'!D:D,'RESUMEN CLIENTES'!A:A)</f>
        <v>Javier Bravo Castelo</v>
      </c>
      <c r="C851" t="str">
        <f>+_xlfn.XLOOKUP(Tabla6[[#This Row],[ID CLIENTE]],'RESUMEN CLIENTES'!D:D,'RESUMEN CLIENTES'!C:C)</f>
        <v>Colombia</v>
      </c>
      <c r="D851" s="44" t="str">
        <f>+_xlfn.XLOOKUP(Tabla6[[#This Row],[ID CLIENTE]],'RESUMEN CLIENTES'!D:D,'RESUMEN CLIENTES'!M:M)</f>
        <v>OK</v>
      </c>
      <c r="E851" s="71">
        <f>+_xlfn.XLOOKUP(Tabla6[[#This Row],[NOMBRE]],'RESUMEN CLIENTES'!A:A,'RESUMEN CLIENTES'!X:X)</f>
        <v>-0.33333333333333331</v>
      </c>
      <c r="F851" s="71">
        <f>+_xlfn.XLOOKUP(Tabla6[[#This Row],[ID CLIENTE]],'RESUMEN CLIENTES'!D:D,'RESUMEN CLIENTES'!W:W)</f>
        <v>0</v>
      </c>
      <c r="G851" s="170">
        <v>46032</v>
      </c>
      <c r="H851" s="169" t="s">
        <v>81</v>
      </c>
      <c r="I851" s="2">
        <v>5000</v>
      </c>
      <c r="J851" s="20" t="s">
        <v>1886</v>
      </c>
      <c r="K851" t="s">
        <v>1887</v>
      </c>
      <c r="L851" s="44" t="str" cm="1">
        <f t="array" ref="L851">+_xlfn.IFS(COUNTIF(INGRESOS!E:E,Tabla6[[#This Row],[ID FACTURA]])=1,"PAGADA",Tabla6[[#This Row],[ID FACTURA]]&lt;&gt;0,"EMITIDA",Tabla6[[#This Row],[ID FACTURA]]=0,"POR EMITIR")</f>
        <v>PAGADA</v>
      </c>
      <c r="M851" s="55">
        <f>+IF(Tabla6[[#This Row],[ESTADO FACTURA]]="PAGADA",Tabla6[[#This Row],[FECHA]]-_xlfn.XLOOKUP(Tabla6[[#This Row],[N° FACTURA]],INGRESOS!F:F,INGRESOS!A:A),"-")</f>
        <v>-3</v>
      </c>
      <c r="N851" s="2"/>
      <c r="O851" t="s">
        <v>1888</v>
      </c>
    </row>
    <row r="852" spans="1:15" ht="14.75" customHeight="1">
      <c r="A852" s="320" t="s">
        <v>1428</v>
      </c>
      <c r="B852" t="str">
        <f>+_xlfn.XLOOKUP(Tabla6[[#This Row],[ID CLIENTE]],'RESUMEN CLIENTES'!D:D,'RESUMEN CLIENTES'!A:A)</f>
        <v>Javier Bravo Castelo</v>
      </c>
      <c r="C852" t="str">
        <f>+_xlfn.XLOOKUP(Tabla6[[#This Row],[ID CLIENTE]],'RESUMEN CLIENTES'!D:D,'RESUMEN CLIENTES'!C:C)</f>
        <v>Colombia</v>
      </c>
      <c r="D852" s="44" t="str">
        <f>+_xlfn.XLOOKUP(Tabla6[[#This Row],[ID CLIENTE]],'RESUMEN CLIENTES'!D:D,'RESUMEN CLIENTES'!M:M)</f>
        <v>OK</v>
      </c>
      <c r="E852" s="72">
        <f>+_xlfn.XLOOKUP(Tabla6[[#This Row],[NOMBRE]],'RESUMEN CLIENTES'!A:A,'RESUMEN CLIENTES'!X:X)</f>
        <v>-0.33333333333333331</v>
      </c>
      <c r="F852" s="71">
        <f>+_xlfn.XLOOKUP(Tabla6[[#This Row],[ID CLIENTE]],'RESUMEN CLIENTES'!D:D,'RESUMEN CLIENTES'!W:W)</f>
        <v>0</v>
      </c>
      <c r="G852" s="170">
        <v>46032</v>
      </c>
      <c r="H852" s="169" t="s">
        <v>81</v>
      </c>
      <c r="I852" s="2">
        <v>6100</v>
      </c>
      <c r="J852" s="20" t="s">
        <v>1884</v>
      </c>
      <c r="K852" t="s">
        <v>1885</v>
      </c>
      <c r="L852" s="44" t="str" cm="1">
        <f t="array" ref="L852">+_xlfn.IFS(COUNTIF(INGRESOS!E:E,Tabla6[[#This Row],[ID FACTURA]])=1,"PAGADA",Tabla6[[#This Row],[ID FACTURA]]&lt;&gt;0,"EMITIDA",Tabla6[[#This Row],[ID FACTURA]]=0,"POR EMITIR")</f>
        <v>PAGADA</v>
      </c>
      <c r="M852" s="55">
        <f>+IF(Tabla6[[#This Row],[ESTADO FACTURA]]="PAGADA",Tabla6[[#This Row],[FECHA]]-_xlfn.XLOOKUP(Tabla6[[#This Row],[N° FACTURA]],INGRESOS!F:F,INGRESOS!A:A),"-")</f>
        <v>2</v>
      </c>
      <c r="N852" s="214"/>
      <c r="O852"/>
    </row>
    <row r="853" spans="1:15" ht="14.75" customHeight="1">
      <c r="A853" s="321" t="s">
        <v>367</v>
      </c>
      <c r="B853" t="str">
        <f>+_xlfn.XLOOKUP(Tabla6[[#This Row],[ID CLIENTE]],'RESUMEN CLIENTES'!D:D,'RESUMEN CLIENTES'!A:A)</f>
        <v>José Miguel Undurraga Saavedra</v>
      </c>
      <c r="C853" t="str">
        <f>+_xlfn.XLOOKUP(Tabla6[[#This Row],[ID CLIENTE]],'RESUMEN CLIENTES'!D:D,'RESUMEN CLIENTES'!C:C)</f>
        <v>Chile</v>
      </c>
      <c r="D853" s="169" t="str">
        <f>+_xlfn.XLOOKUP(Tabla6[[#This Row],[ID CLIENTE]],'RESUMEN CLIENTES'!D:D,'RESUMEN CLIENTES'!M:M)</f>
        <v>OK</v>
      </c>
      <c r="E853" s="71">
        <f>+_xlfn.XLOOKUP(Tabla6[[#This Row],[NOMBRE]],'RESUMEN CLIENTES'!A:A,'RESUMEN CLIENTES'!X:X)</f>
        <v>-11.5</v>
      </c>
      <c r="F853" s="71">
        <f>+_xlfn.XLOOKUP(Tabla6[[#This Row],[ID CLIENTE]],'RESUMEN CLIENTES'!D:D,'RESUMEN CLIENTES'!W:W)</f>
        <v>0</v>
      </c>
      <c r="G853" s="17">
        <v>46032</v>
      </c>
      <c r="H853" s="169" t="s">
        <v>81</v>
      </c>
      <c r="I853" s="2">
        <v>100</v>
      </c>
      <c r="J853" s="20" t="s">
        <v>1889</v>
      </c>
      <c r="K853" t="s">
        <v>1890</v>
      </c>
      <c r="L853" s="44" t="str" cm="1">
        <f t="array" ref="L853">+_xlfn.IFS(COUNTIF(INGRESOS!E:E,Tabla6[[#This Row],[ID FACTURA]])=1,"PAGADA",Tabla6[[#This Row],[ID FACTURA]]&lt;&gt;0,"EMITIDA",Tabla6[[#This Row],[ID FACTURA]]=0,"POR EMITIR")</f>
        <v>PAGADA</v>
      </c>
      <c r="M853" s="54">
        <f>+IF(Tabla6[[#This Row],[ESTADO FACTURA]]="PAGADA",Tabla6[[#This Row],[FECHA]]-_xlfn.XLOOKUP(Tabla6[[#This Row],[N° FACTURA]],INGRESOS!F:F,INGRESOS!A:A),"-")</f>
        <v>-23</v>
      </c>
      <c r="O853"/>
    </row>
    <row r="854" spans="1:15" ht="14.75" customHeight="1">
      <c r="A854" s="320" t="s">
        <v>274</v>
      </c>
      <c r="B854" t="str">
        <f>+_xlfn.XLOOKUP(Tabla6[[#This Row],[ID CLIENTE]],'RESUMEN CLIENTES'!D:D,'RESUMEN CLIENTES'!A:A)</f>
        <v>María de los Ángeles Gutiérrez Quevedo</v>
      </c>
      <c r="C854" t="str">
        <f>+_xlfn.XLOOKUP(Tabla6[[#This Row],[ID CLIENTE]],'RESUMEN CLIENTES'!D:D,'RESUMEN CLIENTES'!C:C)</f>
        <v>Chile</v>
      </c>
      <c r="D854" s="44" t="str">
        <f>+_xlfn.XLOOKUP(Tabla6[[#This Row],[ID CLIENTE]],'RESUMEN CLIENTES'!D:D,'RESUMEN CLIENTES'!M:M)</f>
        <v>OK</v>
      </c>
      <c r="E854" s="72">
        <f>+_xlfn.XLOOKUP(Tabla6[[#This Row],[NOMBRE]],'RESUMEN CLIENTES'!A:A,'RESUMEN CLIENTES'!X:X)</f>
        <v>0.22222222222222221</v>
      </c>
      <c r="F854" s="72">
        <f>+_xlfn.XLOOKUP(Tabla6[[#This Row],[ID CLIENTE]],'RESUMEN CLIENTES'!D:D,'RESUMEN CLIENTES'!W:W)</f>
        <v>1</v>
      </c>
      <c r="G854" s="17">
        <v>46032</v>
      </c>
      <c r="H854" s="44" t="s">
        <v>81</v>
      </c>
      <c r="I854" s="2">
        <v>1500</v>
      </c>
      <c r="J854" s="20" t="s">
        <v>1891</v>
      </c>
      <c r="K854" t="s">
        <v>1892</v>
      </c>
      <c r="L854" s="44" t="str" cm="1">
        <f t="array" ref="L854">+_xlfn.IFS(COUNTIF(INGRESOS!E:E,Tabla6[[#This Row],[ID FACTURA]])=1,"PAGADA",Tabla6[[#This Row],[ID FACTURA]]&lt;&gt;0,"EMITIDA",Tabla6[[#This Row],[ID FACTURA]]=0,"POR EMITIR")</f>
        <v>PAGADA</v>
      </c>
      <c r="M854" s="55">
        <f>+IF(Tabla6[[#This Row],[ESTADO FACTURA]]="PAGADA",Tabla6[[#This Row],[FECHA]]-_xlfn.XLOOKUP(Tabla6[[#This Row],[N° FACTURA]],INGRESOS!F:F,INGRESOS!A:A),"-")</f>
        <v>0</v>
      </c>
      <c r="N854" s="2"/>
      <c r="O854"/>
    </row>
    <row r="855" spans="1:15" ht="14.75" customHeight="1">
      <c r="A855" s="320" t="s">
        <v>455</v>
      </c>
      <c r="B855" t="str">
        <f>+_xlfn.XLOOKUP(Tabla6[[#This Row],[ID CLIENTE]],'RESUMEN CLIENTES'!D:D,'RESUMEN CLIENTES'!A:A)</f>
        <v>Paola Hitos</v>
      </c>
      <c r="C855" t="str">
        <f>+_xlfn.XLOOKUP(Tabla6[[#This Row],[ID CLIENTE]],'RESUMEN CLIENTES'!D:D,'RESUMEN CLIENTES'!C:C)</f>
        <v>México</v>
      </c>
      <c r="D855" s="44" t="str">
        <f>+_xlfn.XLOOKUP(Tabla6[[#This Row],[ID CLIENTE]],'RESUMEN CLIENTES'!D:D,'RESUMEN CLIENTES'!M:M)</f>
        <v>OK</v>
      </c>
      <c r="E855" s="72">
        <f>+_xlfn.XLOOKUP(Tabla6[[#This Row],[NOMBRE]],'RESUMEN CLIENTES'!A:A,'RESUMEN CLIENTES'!X:X)</f>
        <v>-0.55555555555555558</v>
      </c>
      <c r="F855" s="72">
        <f>+_xlfn.XLOOKUP(Tabla6[[#This Row],[ID CLIENTE]],'RESUMEN CLIENTES'!D:D,'RESUMEN CLIENTES'!W:W)</f>
        <v>1</v>
      </c>
      <c r="G855" s="17">
        <v>46032</v>
      </c>
      <c r="H855" s="44" t="s">
        <v>81</v>
      </c>
      <c r="I855" s="2">
        <v>1000</v>
      </c>
      <c r="J855" s="20" t="s">
        <v>1893</v>
      </c>
      <c r="K855" t="s">
        <v>1894</v>
      </c>
      <c r="L855" s="44" t="str" cm="1">
        <f t="array" ref="L855">+_xlfn.IFS(COUNTIF(INGRESOS!E:E,Tabla6[[#This Row],[ID FACTURA]])=1,"PAGADA",Tabla6[[#This Row],[ID FACTURA]]&lt;&gt;0,"EMITIDA",Tabla6[[#This Row],[ID FACTURA]]=0,"POR EMITIR")</f>
        <v>PAGADA</v>
      </c>
      <c r="M855" s="55">
        <f>+IF(Tabla6[[#This Row],[ESTADO FACTURA]]="PAGADA",Tabla6[[#This Row],[FECHA]]-_xlfn.XLOOKUP(Tabla6[[#This Row],[N° FACTURA]],INGRESOS!F:F,INGRESOS!A:A),"-")</f>
        <v>2</v>
      </c>
      <c r="N855" s="2"/>
      <c r="O855"/>
    </row>
    <row r="856" spans="1:15" ht="14.75" customHeight="1">
      <c r="A856" s="321" t="s">
        <v>1881</v>
      </c>
      <c r="B856" t="str">
        <f>+_xlfn.XLOOKUP(Tabla6[[#This Row],[ID CLIENTE]],'RESUMEN CLIENTES'!D:D,'RESUMEN CLIENTES'!A:A)</f>
        <v>Paulina Alejandra Silva Gómez</v>
      </c>
      <c r="C856" t="str">
        <f>+_xlfn.XLOOKUP(Tabla6[[#This Row],[ID CLIENTE]],'RESUMEN CLIENTES'!D:D,'RESUMEN CLIENTES'!C:C)</f>
        <v>Chile</v>
      </c>
      <c r="D856" s="169" t="str">
        <f>+_xlfn.XLOOKUP(Tabla6[[#This Row],[ID CLIENTE]],'RESUMEN CLIENTES'!D:D,'RESUMEN CLIENTES'!M:M)</f>
        <v>¡REGULARIZAR!</v>
      </c>
      <c r="E856" s="71">
        <f>+_xlfn.XLOOKUP(Tabla6[[#This Row],[NOMBRE]],'RESUMEN CLIENTES'!A:A,'RESUMEN CLIENTES'!X:X)</f>
        <v>-6.833333333333333</v>
      </c>
      <c r="F856" s="71">
        <f>+_xlfn.XLOOKUP(Tabla6[[#This Row],[ID CLIENTE]],'RESUMEN CLIENTES'!D:D,'RESUMEN CLIENTES'!W:W)</f>
        <v>0</v>
      </c>
      <c r="G856" s="17">
        <v>46032</v>
      </c>
      <c r="H856" s="169" t="s">
        <v>81</v>
      </c>
      <c r="I856" s="2">
        <v>2750</v>
      </c>
      <c r="J856" s="20" t="s">
        <v>1895</v>
      </c>
      <c r="K856" t="s">
        <v>1896</v>
      </c>
      <c r="L856" s="44" t="str" cm="1">
        <f t="array" ref="L856">+_xlfn.IFS(COUNTIF(INGRESOS!E:E,Tabla6[[#This Row],[ID FACTURA]])=1,"PAGADA",Tabla6[[#This Row],[ID FACTURA]]&lt;&gt;0,"EMITIDA",Tabla6[[#This Row],[ID FACTURA]]=0,"POR EMITIR")</f>
        <v>PAGADA</v>
      </c>
      <c r="M856" s="54">
        <f>+IF(Tabla6[[#This Row],[ESTADO FACTURA]]="PAGADA",Tabla6[[#This Row],[FECHA]]-_xlfn.XLOOKUP(Tabla6[[#This Row],[N° FACTURA]],INGRESOS!F:F,INGRESOS!A:A),"-")</f>
        <v>-1</v>
      </c>
      <c r="O856"/>
    </row>
    <row r="857" spans="1:15" ht="14.75" customHeight="1">
      <c r="A857" s="320" t="s">
        <v>275</v>
      </c>
      <c r="B857" t="str">
        <f>+_xlfn.XLOOKUP(Tabla6[[#This Row],[ID CLIENTE]],'RESUMEN CLIENTES'!D:D,'RESUMEN CLIENTES'!A:A)</f>
        <v>Rodrigo Alfonso Busse Hernández</v>
      </c>
      <c r="C857" t="str">
        <f>+_xlfn.XLOOKUP(Tabla6[[#This Row],[ID CLIENTE]],'RESUMEN CLIENTES'!D:D,'RESUMEN CLIENTES'!C:C)</f>
        <v>Chile</v>
      </c>
      <c r="D857" s="44" t="str">
        <f>+_xlfn.XLOOKUP(Tabla6[[#This Row],[ID CLIENTE]],'RESUMEN CLIENTES'!D:D,'RESUMEN CLIENTES'!M:M)</f>
        <v>OK</v>
      </c>
      <c r="E857" s="72">
        <f>+_xlfn.XLOOKUP(Tabla6[[#This Row],[NOMBRE]],'RESUMEN CLIENTES'!A:A,'RESUMEN CLIENTES'!X:X)</f>
        <v>0.33333333333333331</v>
      </c>
      <c r="F857" s="72">
        <f>+_xlfn.XLOOKUP(Tabla6[[#This Row],[ID CLIENTE]],'RESUMEN CLIENTES'!D:D,'RESUMEN CLIENTES'!W:W)</f>
        <v>1</v>
      </c>
      <c r="G857" s="17">
        <v>46032</v>
      </c>
      <c r="H857" s="44" t="s">
        <v>81</v>
      </c>
      <c r="I857" s="2">
        <v>1111</v>
      </c>
      <c r="J857" s="20" t="s">
        <v>1897</v>
      </c>
      <c r="K857" t="s">
        <v>1898</v>
      </c>
      <c r="L857" s="44" t="str" cm="1">
        <f t="array" ref="L857">+_xlfn.IFS(COUNTIF(INGRESOS!E:E,Tabla6[[#This Row],[ID FACTURA]])=1,"PAGADA",Tabla6[[#This Row],[ID FACTURA]]&lt;&gt;0,"EMITIDA",Tabla6[[#This Row],[ID FACTURA]]=0,"POR EMITIR")</f>
        <v>PAGADA</v>
      </c>
      <c r="M857" s="55">
        <f>+IF(Tabla6[[#This Row],[ESTADO FACTURA]]="PAGADA",Tabla6[[#This Row],[FECHA]]-_xlfn.XLOOKUP(Tabla6[[#This Row],[N° FACTURA]],INGRESOS!F:F,INGRESOS!A:A),"-")</f>
        <v>0</v>
      </c>
      <c r="N857" s="2"/>
      <c r="O857"/>
    </row>
    <row r="858" spans="1:15" ht="14.75" customHeight="1">
      <c r="A858" s="321" t="s">
        <v>1899</v>
      </c>
      <c r="B858" t="str">
        <f>+_xlfn.XLOOKUP(Tabla6[[#This Row],[ID CLIENTE]],'RESUMEN CLIENTES'!D:D,'RESUMEN CLIENTES'!A:A)</f>
        <v>Johan Martínez</v>
      </c>
      <c r="C858" t="str">
        <f>+_xlfn.XLOOKUP(Tabla6[[#This Row],[ID CLIENTE]],'RESUMEN CLIENTES'!D:D,'RESUMEN CLIENTES'!C:C)</f>
        <v>Colombia</v>
      </c>
      <c r="D858" s="169" t="str">
        <f>+_xlfn.XLOOKUP(Tabla6[[#This Row],[ID CLIENTE]],'RESUMEN CLIENTES'!D:D,'RESUMEN CLIENTES'!M:M)</f>
        <v>OK</v>
      </c>
      <c r="E858" s="71">
        <f>+_xlfn.XLOOKUP(Tabla6[[#This Row],[NOMBRE]],'RESUMEN CLIENTES'!A:A,'RESUMEN CLIENTES'!X:X)</f>
        <v>-0.66666666666666663</v>
      </c>
      <c r="F858" s="71">
        <f>+_xlfn.XLOOKUP(Tabla6[[#This Row],[ID CLIENTE]],'RESUMEN CLIENTES'!D:D,'RESUMEN CLIENTES'!W:W)</f>
        <v>0</v>
      </c>
      <c r="G858" s="17">
        <v>46033</v>
      </c>
      <c r="H858" s="169" t="s">
        <v>81</v>
      </c>
      <c r="I858" s="2">
        <v>250</v>
      </c>
      <c r="J858" s="20" t="s">
        <v>1900</v>
      </c>
      <c r="K858" t="s">
        <v>1901</v>
      </c>
      <c r="L858" s="44" t="str" cm="1">
        <f t="array" ref="L858">+_xlfn.IFS(COUNTIF(INGRESOS!E:E,Tabla6[[#This Row],[ID FACTURA]])=1,"PAGADA",Tabla6[[#This Row],[ID FACTURA]]&lt;&gt;0,"EMITIDA",Tabla6[[#This Row],[ID FACTURA]]=0,"POR EMITIR")</f>
        <v>PAGADA</v>
      </c>
      <c r="M858" s="54">
        <f>+IF(Tabla6[[#This Row],[ESTADO FACTURA]]="PAGADA",Tabla6[[#This Row],[FECHA]]-_xlfn.XLOOKUP(Tabla6[[#This Row],[N° FACTURA]],INGRESOS!F:F,INGRESOS!A:A),"-")</f>
        <v>0</v>
      </c>
      <c r="O858"/>
    </row>
    <row r="859" spans="1:15" ht="14.75" customHeight="1">
      <c r="A859" s="320" t="s">
        <v>501</v>
      </c>
      <c r="B859" t="str">
        <f>+_xlfn.XLOOKUP(Tabla6[[#This Row],[ID CLIENTE]],'RESUMEN CLIENTES'!D:D,'RESUMEN CLIENTES'!A:A)</f>
        <v>Kimberly Chantelle Frey Arteaga</v>
      </c>
      <c r="C859" t="str">
        <f>+_xlfn.XLOOKUP(Tabla6[[#This Row],[ID CLIENTE]],'RESUMEN CLIENTES'!D:D,'RESUMEN CLIENTES'!C:C)</f>
        <v>México</v>
      </c>
      <c r="D859" s="44" t="str">
        <f>+_xlfn.XLOOKUP(Tabla6[[#This Row],[ID CLIENTE]],'RESUMEN CLIENTES'!D:D,'RESUMEN CLIENTES'!M:M)</f>
        <v>OK</v>
      </c>
      <c r="E859" s="72">
        <f>+_xlfn.XLOOKUP(Tabla6[[#This Row],[NOMBRE]],'RESUMEN CLIENTES'!A:A,'RESUMEN CLIENTES'!X:X)</f>
        <v>0</v>
      </c>
      <c r="F859" s="72">
        <f>+_xlfn.XLOOKUP(Tabla6[[#This Row],[ID CLIENTE]],'RESUMEN CLIENTES'!D:D,'RESUMEN CLIENTES'!W:W)</f>
        <v>1</v>
      </c>
      <c r="G859" s="17">
        <v>46034</v>
      </c>
      <c r="H859" s="44" t="s">
        <v>81</v>
      </c>
      <c r="I859" s="2">
        <v>1000</v>
      </c>
      <c r="J859" s="20" t="s">
        <v>1902</v>
      </c>
      <c r="K859" t="s">
        <v>1903</v>
      </c>
      <c r="L859" s="44" t="str" cm="1">
        <f t="array" ref="L859">+_xlfn.IFS(COUNTIF(INGRESOS!E:E,Tabla6[[#This Row],[ID FACTURA]])=1,"PAGADA",Tabla6[[#This Row],[ID FACTURA]]&lt;&gt;0,"EMITIDA",Tabla6[[#This Row],[ID FACTURA]]=0,"POR EMITIR")</f>
        <v>PAGADA</v>
      </c>
      <c r="M859" s="55">
        <f>+IF(Tabla6[[#This Row],[ESTADO FACTURA]]="PAGADA",Tabla6[[#This Row],[FECHA]]-_xlfn.XLOOKUP(Tabla6[[#This Row],[N° FACTURA]],INGRESOS!F:F,INGRESOS!A:A),"-")</f>
        <v>1</v>
      </c>
      <c r="N859" s="2"/>
      <c r="O859"/>
    </row>
    <row r="860" spans="1:15" ht="14.75" customHeight="1">
      <c r="A860" s="1" t="s">
        <v>912</v>
      </c>
      <c r="B860" t="str">
        <f>+_xlfn.XLOOKUP(Tabla6[[#This Row],[ID CLIENTE]],'RESUMEN CLIENTES'!D:D,'RESUMEN CLIENTES'!A:A)</f>
        <v>Vanessa Villarreal Villareal</v>
      </c>
      <c r="C860" t="str">
        <f>+_xlfn.XLOOKUP(Tabla6[[#This Row],[ID CLIENTE]],'RESUMEN CLIENTES'!D:D,'RESUMEN CLIENTES'!C:C)</f>
        <v>Ecuador</v>
      </c>
      <c r="D860" s="44" t="str">
        <f>+_xlfn.XLOOKUP(Tabla6[[#This Row],[ID CLIENTE]],'RESUMEN CLIENTES'!D:D,'RESUMEN CLIENTES'!M:M)</f>
        <v>OK</v>
      </c>
      <c r="E860" s="72">
        <f>+_xlfn.XLOOKUP(Tabla6[[#This Row],[NOMBRE]],'RESUMEN CLIENTES'!A:A,'RESUMEN CLIENTES'!X:X)</f>
        <v>-9.1428571428571423</v>
      </c>
      <c r="F860" s="72">
        <f>+_xlfn.XLOOKUP(Tabla6[[#This Row],[ID CLIENTE]],'RESUMEN CLIENTES'!D:D,'RESUMEN CLIENTES'!W:W)</f>
        <v>1</v>
      </c>
      <c r="G860" s="17">
        <v>46036</v>
      </c>
      <c r="H860" s="44" t="s">
        <v>81</v>
      </c>
      <c r="I860" s="2">
        <v>1000</v>
      </c>
      <c r="J860" s="20" t="s">
        <v>1904</v>
      </c>
      <c r="K860" t="s">
        <v>1905</v>
      </c>
      <c r="L860" s="44" t="str" cm="1">
        <f t="array" ref="L860">+_xlfn.IFS(COUNTIF(INGRESOS!E:E,Tabla6[[#This Row],[ID FACTURA]])=1,"PAGADA",Tabla6[[#This Row],[ID FACTURA]]&lt;&gt;0,"EMITIDA",Tabla6[[#This Row],[ID FACTURA]]=0,"POR EMITIR")</f>
        <v>PAGADA</v>
      </c>
      <c r="M860" s="55">
        <f>+IF(Tabla6[[#This Row],[ESTADO FACTURA]]="PAGADA",Tabla6[[#This Row],[FECHA]]-_xlfn.XLOOKUP(Tabla6[[#This Row],[N° FACTURA]],INGRESOS!F:F,INGRESOS!A:A),"-")</f>
        <v>0</v>
      </c>
      <c r="N860" s="2"/>
      <c r="O860"/>
    </row>
    <row r="861" spans="1:15" ht="14.75" customHeight="1">
      <c r="A861" s="320" t="s">
        <v>187</v>
      </c>
      <c r="B861" t="str">
        <f>+_xlfn.XLOOKUP(Tabla6[[#This Row],[ID CLIENTE]],'RESUMEN CLIENTES'!D:D,'RESUMEN CLIENTES'!A:A)</f>
        <v>Alina Maria Cervantes Real</v>
      </c>
      <c r="C861" t="str">
        <f>+_xlfn.XLOOKUP(Tabla6[[#This Row],[ID CLIENTE]],'RESUMEN CLIENTES'!D:D,'RESUMEN CLIENTES'!C:C)</f>
        <v>México</v>
      </c>
      <c r="D861" s="44" t="str">
        <f>+_xlfn.XLOOKUP(Tabla6[[#This Row],[ID CLIENTE]],'RESUMEN CLIENTES'!D:D,'RESUMEN CLIENTES'!M:M)</f>
        <v>OK</v>
      </c>
      <c r="E861" s="72">
        <f>+_xlfn.XLOOKUP(Tabla6[[#This Row],[NOMBRE]],'RESUMEN CLIENTES'!A:A,'RESUMEN CLIENTES'!X:X)</f>
        <v>21.583333333333332</v>
      </c>
      <c r="F861" s="72">
        <f>+_xlfn.XLOOKUP(Tabla6[[#This Row],[ID CLIENTE]],'RESUMEN CLIENTES'!D:D,'RESUMEN CLIENTES'!W:W)</f>
        <v>1</v>
      </c>
      <c r="G861" s="17">
        <v>46037</v>
      </c>
      <c r="H861" s="44" t="s">
        <v>81</v>
      </c>
      <c r="I861" s="2">
        <v>799</v>
      </c>
      <c r="J861" s="20" t="s">
        <v>1661</v>
      </c>
      <c r="K861" t="s">
        <v>1662</v>
      </c>
      <c r="L861" s="44" t="str" cm="1">
        <f t="array" ref="L861">+_xlfn.IFS(COUNTIF(INGRESOS!E:E,Tabla6[[#This Row],[ID FACTURA]])=1,"PAGADA",Tabla6[[#This Row],[ID FACTURA]]&lt;&gt;0,"EMITIDA",Tabla6[[#This Row],[ID FACTURA]]=0,"POR EMITIR")</f>
        <v>PAGADA</v>
      </c>
      <c r="M861" s="55">
        <f>+IF(Tabla6[[#This Row],[ESTADO FACTURA]]="PAGADA",Tabla6[[#This Row],[FECHA]]-_xlfn.XLOOKUP(Tabla6[[#This Row],[N° FACTURA]],INGRESOS!F:F,INGRESOS!A:A),"-")</f>
        <v>31</v>
      </c>
      <c r="N861" s="2">
        <v>201</v>
      </c>
      <c r="O861" t="s">
        <v>1233</v>
      </c>
    </row>
    <row r="862" spans="1:15" ht="14.75" customHeight="1">
      <c r="A862" s="320" t="s">
        <v>325</v>
      </c>
      <c r="B862" t="str">
        <f>+_xlfn.XLOOKUP(Tabla6[[#This Row],[ID CLIENTE]],'RESUMEN CLIENTES'!D:D,'RESUMEN CLIENTES'!A:A)</f>
        <v>Andrea Cristina Estrada Morocho</v>
      </c>
      <c r="C862" t="str">
        <f>+_xlfn.XLOOKUP(Tabla6[[#This Row],[ID CLIENTE]],'RESUMEN CLIENTES'!D:D,'RESUMEN CLIENTES'!C:C)</f>
        <v>Ecuador</v>
      </c>
      <c r="D862" s="44" t="str">
        <f>+_xlfn.XLOOKUP(Tabla6[[#This Row],[ID CLIENTE]],'RESUMEN CLIENTES'!D:D,'RESUMEN CLIENTES'!M:M)</f>
        <v>OK</v>
      </c>
      <c r="E862" s="72">
        <f>+_xlfn.XLOOKUP(Tabla6[[#This Row],[NOMBRE]],'RESUMEN CLIENTES'!A:A,'RESUMEN CLIENTES'!X:X)</f>
        <v>-3.6666666666666665</v>
      </c>
      <c r="F862" s="72">
        <f>+_xlfn.XLOOKUP(Tabla6[[#This Row],[ID CLIENTE]],'RESUMEN CLIENTES'!D:D,'RESUMEN CLIENTES'!W:W)</f>
        <v>1</v>
      </c>
      <c r="G862" s="17">
        <v>46037</v>
      </c>
      <c r="H862" s="44" t="s">
        <v>81</v>
      </c>
      <c r="I862" s="2">
        <v>500</v>
      </c>
      <c r="J862" s="20" t="s">
        <v>1908</v>
      </c>
      <c r="K862" t="s">
        <v>1909</v>
      </c>
      <c r="L862" s="44" t="str" cm="1">
        <f t="array" ref="L862">+_xlfn.IFS(COUNTIF(INGRESOS!E:E,Tabla6[[#This Row],[ID FACTURA]])=1,"PAGADA",Tabla6[[#This Row],[ID FACTURA]]&lt;&gt;0,"EMITIDA",Tabla6[[#This Row],[ID FACTURA]]=0,"POR EMITIR")</f>
        <v>PAGADA</v>
      </c>
      <c r="M862" s="55">
        <f>+IF(Tabla6[[#This Row],[ESTADO FACTURA]]="PAGADA",Tabla6[[#This Row],[FECHA]]-_xlfn.XLOOKUP(Tabla6[[#This Row],[N° FACTURA]],INGRESOS!F:F,INGRESOS!A:A),"-")</f>
        <v>-1</v>
      </c>
      <c r="N862" s="2"/>
      <c r="O862"/>
    </row>
    <row r="863" spans="1:15" ht="14.75" customHeight="1">
      <c r="A863" s="320" t="s">
        <v>751</v>
      </c>
      <c r="B863" t="str">
        <f>+_xlfn.XLOOKUP(Tabla6[[#This Row],[ID CLIENTE]],'RESUMEN CLIENTES'!D:D,'RESUMEN CLIENTES'!A:A)</f>
        <v>Carlos Alberto Suarez Hernandez</v>
      </c>
      <c r="C863" t="str">
        <f>+_xlfn.XLOOKUP(Tabla6[[#This Row],[ID CLIENTE]],'RESUMEN CLIENTES'!D:D,'RESUMEN CLIENTES'!C:C)</f>
        <v>Colombia</v>
      </c>
      <c r="D863" s="44" t="str">
        <f>+_xlfn.XLOOKUP(Tabla6[[#This Row],[ID CLIENTE]],'RESUMEN CLIENTES'!D:D,'RESUMEN CLIENTES'!M:M)</f>
        <v>OK</v>
      </c>
      <c r="E863" s="72">
        <f>+_xlfn.XLOOKUP(Tabla6[[#This Row],[NOMBRE]],'RESUMEN CLIENTES'!A:A,'RESUMEN CLIENTES'!X:X)</f>
        <v>0</v>
      </c>
      <c r="F863" s="72">
        <f>+_xlfn.XLOOKUP(Tabla6[[#This Row],[ID CLIENTE]],'RESUMEN CLIENTES'!D:D,'RESUMEN CLIENTES'!W:W)</f>
        <v>1</v>
      </c>
      <c r="G863" s="17">
        <v>46037</v>
      </c>
      <c r="H863" s="44" t="s">
        <v>81</v>
      </c>
      <c r="I863" s="2">
        <v>1000</v>
      </c>
      <c r="J863" s="20" t="s">
        <v>1910</v>
      </c>
      <c r="K863" t="s">
        <v>1911</v>
      </c>
      <c r="L863" s="44" t="str" cm="1">
        <f t="array" ref="L863">+_xlfn.IFS(COUNTIF(INGRESOS!E:E,Tabla6[[#This Row],[ID FACTURA]])=1,"PAGADA",Tabla6[[#This Row],[ID FACTURA]]&lt;&gt;0,"EMITIDA",Tabla6[[#This Row],[ID FACTURA]]=0,"POR EMITIR")</f>
        <v>PAGADA</v>
      </c>
      <c r="M863" s="55">
        <f>+IF(Tabla6[[#This Row],[ESTADO FACTURA]]="PAGADA",Tabla6[[#This Row],[FECHA]]-_xlfn.XLOOKUP(Tabla6[[#This Row],[N° FACTURA]],INGRESOS!F:F,INGRESOS!A:A),"-")</f>
        <v>0</v>
      </c>
      <c r="N863" s="2"/>
      <c r="O863"/>
    </row>
    <row r="864" spans="1:15" ht="14.75" customHeight="1">
      <c r="A864" s="320" t="s">
        <v>156</v>
      </c>
      <c r="B864" t="str">
        <f>+_xlfn.XLOOKUP(Tabla6[[#This Row],[ID CLIENTE]],'RESUMEN CLIENTES'!D:D,'RESUMEN CLIENTES'!A:A)</f>
        <v>Catalina Andrea Videla Muñoz</v>
      </c>
      <c r="C864" t="str">
        <f>+_xlfn.XLOOKUP(Tabla6[[#This Row],[ID CLIENTE]],'RESUMEN CLIENTES'!D:D,'RESUMEN CLIENTES'!C:C)</f>
        <v>Chile</v>
      </c>
      <c r="D864" s="44" t="str">
        <f>+_xlfn.XLOOKUP(Tabla6[[#This Row],[ID CLIENTE]],'RESUMEN CLIENTES'!D:D,'RESUMEN CLIENTES'!M:M)</f>
        <v>OK</v>
      </c>
      <c r="E864" s="72">
        <f>+_xlfn.XLOOKUP(Tabla6[[#This Row],[NOMBRE]],'RESUMEN CLIENTES'!A:A,'RESUMEN CLIENTES'!X:X)</f>
        <v>1.5454545454545454</v>
      </c>
      <c r="F864" s="72">
        <f>+_xlfn.XLOOKUP(Tabla6[[#This Row],[ID CLIENTE]],'RESUMEN CLIENTES'!D:D,'RESUMEN CLIENTES'!W:W)</f>
        <v>1</v>
      </c>
      <c r="G864" s="17">
        <v>46037</v>
      </c>
      <c r="H864" s="44" t="s">
        <v>81</v>
      </c>
      <c r="I864" s="2">
        <v>800</v>
      </c>
      <c r="J864" s="20" t="s">
        <v>1912</v>
      </c>
      <c r="K864" t="s">
        <v>1913</v>
      </c>
      <c r="L864" s="44" t="str" cm="1">
        <f t="array" ref="L864">+_xlfn.IFS(COUNTIF(INGRESOS!E:E,Tabla6[[#This Row],[ID FACTURA]])=1,"PAGADA",Tabla6[[#This Row],[ID FACTURA]]&lt;&gt;0,"EMITIDA",Tabla6[[#This Row],[ID FACTURA]]=0,"POR EMITIR")</f>
        <v>PAGADA</v>
      </c>
      <c r="M864" s="55">
        <f>+IF(Tabla6[[#This Row],[ESTADO FACTURA]]="PAGADA",Tabla6[[#This Row],[FECHA]]-_xlfn.XLOOKUP(Tabla6[[#This Row],[N° FACTURA]],INGRESOS!F:F,INGRESOS!A:A),"-")</f>
        <v>3</v>
      </c>
      <c r="N864" s="2"/>
      <c r="O864"/>
    </row>
    <row r="865" spans="1:15" ht="14.75" customHeight="1">
      <c r="A865" s="320" t="s">
        <v>90</v>
      </c>
      <c r="B865" t="str">
        <f>+_xlfn.XLOOKUP(Tabla6[[#This Row],[ID CLIENTE]],'RESUMEN CLIENTES'!D:D,'RESUMEN CLIENTES'!A:A)</f>
        <v>David Enrique Díaz Mejía</v>
      </c>
      <c r="C865" t="str">
        <f>+_xlfn.XLOOKUP(Tabla6[[#This Row],[ID CLIENTE]],'RESUMEN CLIENTES'!D:D,'RESUMEN CLIENTES'!C:C)</f>
        <v>Honduras</v>
      </c>
      <c r="D865" s="44" t="str">
        <f>+_xlfn.XLOOKUP(Tabla6[[#This Row],[ID CLIENTE]],'RESUMEN CLIENTES'!D:D,'RESUMEN CLIENTES'!M:M)</f>
        <v>OK</v>
      </c>
      <c r="E865" s="72">
        <f>+_xlfn.XLOOKUP(Tabla6[[#This Row],[NOMBRE]],'RESUMEN CLIENTES'!A:A,'RESUMEN CLIENTES'!X:X)</f>
        <v>-15.217592592592862</v>
      </c>
      <c r="F865" s="72">
        <f>+_xlfn.XLOOKUP(Tabla6[[#This Row],[ID CLIENTE]],'RESUMEN CLIENTES'!D:D,'RESUMEN CLIENTES'!W:W)</f>
        <v>1</v>
      </c>
      <c r="G865" s="17">
        <v>46037</v>
      </c>
      <c r="H865" s="44" t="s">
        <v>81</v>
      </c>
      <c r="I865" s="2">
        <v>1000</v>
      </c>
      <c r="J865" s="20" t="s">
        <v>1914</v>
      </c>
      <c r="K865" t="s">
        <v>1915</v>
      </c>
      <c r="L865" s="44" t="str" cm="1">
        <f t="array" ref="L865">+_xlfn.IFS(COUNTIF(INGRESOS!E:E,Tabla6[[#This Row],[ID FACTURA]])=1,"PAGADA",Tabla6[[#This Row],[ID FACTURA]]&lt;&gt;0,"EMITIDA",Tabla6[[#This Row],[ID FACTURA]]=0,"POR EMITIR")</f>
        <v>PAGADA</v>
      </c>
      <c r="M865" s="55">
        <f>+IF(Tabla6[[#This Row],[ESTADO FACTURA]]="PAGADA",Tabla6[[#This Row],[FECHA]]-_xlfn.XLOOKUP(Tabla6[[#This Row],[N° FACTURA]],INGRESOS!F:F,INGRESOS!A:A),"-")</f>
        <v>-5</v>
      </c>
      <c r="N865" s="2"/>
      <c r="O865" t="s">
        <v>1916</v>
      </c>
    </row>
    <row r="866" spans="1:15" ht="14.75" customHeight="1">
      <c r="A866" s="320" t="s">
        <v>95</v>
      </c>
      <c r="B866" t="str">
        <f>+_xlfn.XLOOKUP(Tabla6[[#This Row],[ID CLIENTE]],'RESUMEN CLIENTES'!D:D,'RESUMEN CLIENTES'!A:A)</f>
        <v>Gabriel Alejandro Ortega Moreno</v>
      </c>
      <c r="C866" t="str">
        <f>+_xlfn.XLOOKUP(Tabla6[[#This Row],[ID CLIENTE]],'RESUMEN CLIENTES'!D:D,'RESUMEN CLIENTES'!C:C)</f>
        <v>Ecuador</v>
      </c>
      <c r="D866" s="44" t="str">
        <f>+_xlfn.XLOOKUP(Tabla6[[#This Row],[ID CLIENTE]],'RESUMEN CLIENTES'!D:D,'RESUMEN CLIENTES'!M:M)</f>
        <v>OK</v>
      </c>
      <c r="E866" s="72">
        <f>+_xlfn.XLOOKUP(Tabla6[[#This Row],[NOMBRE]],'RESUMEN CLIENTES'!A:A,'RESUMEN CLIENTES'!X:X)</f>
        <v>-0.1111111111111111</v>
      </c>
      <c r="F866" s="72">
        <f>+_xlfn.XLOOKUP(Tabla6[[#This Row],[ID CLIENTE]],'RESUMEN CLIENTES'!D:D,'RESUMEN CLIENTES'!W:W)</f>
        <v>0</v>
      </c>
      <c r="G866" s="17">
        <v>46037</v>
      </c>
      <c r="H866" s="44" t="s">
        <v>81</v>
      </c>
      <c r="I866" s="2">
        <v>200</v>
      </c>
      <c r="J866" s="20" t="s">
        <v>1917</v>
      </c>
      <c r="K866" t="s">
        <v>1918</v>
      </c>
      <c r="L866" s="44" t="str" cm="1">
        <f t="array" ref="L866">+_xlfn.IFS(COUNTIF(INGRESOS!E:E,Tabla6[[#This Row],[ID FACTURA]])=1,"PAGADA",Tabla6[[#This Row],[ID FACTURA]]&lt;&gt;0,"EMITIDA",Tabla6[[#This Row],[ID FACTURA]]=0,"POR EMITIR")</f>
        <v>PAGADA</v>
      </c>
      <c r="M866" s="55">
        <f>+IF(Tabla6[[#This Row],[ESTADO FACTURA]]="PAGADA",Tabla6[[#This Row],[FECHA]]-_xlfn.XLOOKUP(Tabla6[[#This Row],[N° FACTURA]],INGRESOS!F:F,INGRESOS!A:A),"-")</f>
        <v>1</v>
      </c>
      <c r="N866" s="2"/>
      <c r="O866"/>
    </row>
    <row r="867" spans="1:15" ht="14.75" customHeight="1">
      <c r="A867" s="320" t="s">
        <v>98</v>
      </c>
      <c r="B867" t="str">
        <f>+_xlfn.XLOOKUP(Tabla6[[#This Row],[ID CLIENTE]],'RESUMEN CLIENTES'!D:D,'RESUMEN CLIENTES'!A:A)</f>
        <v>Gabriela Kimberlyn Moran Caiza</v>
      </c>
      <c r="C867" t="str">
        <f>+_xlfn.XLOOKUP(Tabla6[[#This Row],[ID CLIENTE]],'RESUMEN CLIENTES'!D:D,'RESUMEN CLIENTES'!C:C)</f>
        <v>Ecuador</v>
      </c>
      <c r="D867" s="44" t="str">
        <f>+_xlfn.XLOOKUP(Tabla6[[#This Row],[ID CLIENTE]],'RESUMEN CLIENTES'!D:D,'RESUMEN CLIENTES'!M:M)</f>
        <v>OK</v>
      </c>
      <c r="E867" s="72">
        <f>+_xlfn.XLOOKUP(Tabla6[[#This Row],[NOMBRE]],'RESUMEN CLIENTES'!A:A,'RESUMEN CLIENTES'!X:X)</f>
        <v>-1.25</v>
      </c>
      <c r="F867" s="72">
        <f>+_xlfn.XLOOKUP(Tabla6[[#This Row],[ID CLIENTE]],'RESUMEN CLIENTES'!D:D,'RESUMEN CLIENTES'!W:W)</f>
        <v>0</v>
      </c>
      <c r="G867" s="17">
        <v>46037</v>
      </c>
      <c r="H867" s="44" t="s">
        <v>81</v>
      </c>
      <c r="I867" s="2">
        <v>100</v>
      </c>
      <c r="J867" s="20" t="s">
        <v>1919</v>
      </c>
      <c r="K867" t="s">
        <v>1920</v>
      </c>
      <c r="L867" s="44" t="str" cm="1">
        <f t="array" ref="L867">+_xlfn.IFS(COUNTIF(INGRESOS!E:E,Tabla6[[#This Row],[ID FACTURA]])=1,"PAGADA",Tabla6[[#This Row],[ID FACTURA]]&lt;&gt;0,"EMITIDA",Tabla6[[#This Row],[ID FACTURA]]=0,"POR EMITIR")</f>
        <v>PAGADA</v>
      </c>
      <c r="M867" s="55">
        <f>+IF(Tabla6[[#This Row],[ESTADO FACTURA]]="PAGADA",Tabla6[[#This Row],[FECHA]]-_xlfn.XLOOKUP(Tabla6[[#This Row],[N° FACTURA]],INGRESOS!F:F,INGRESOS!A:A),"-")</f>
        <v>1</v>
      </c>
      <c r="N867" s="2"/>
      <c r="O867"/>
    </row>
    <row r="868" spans="1:15" ht="14.75" customHeight="1">
      <c r="A868" s="320" t="s">
        <v>103</v>
      </c>
      <c r="B868" t="str">
        <f>+_xlfn.XLOOKUP(Tabla6[[#This Row],[ID CLIENTE]],'RESUMEN CLIENTES'!D:D,'RESUMEN CLIENTES'!A:A)</f>
        <v>Isaac Ricardo Jimenez Campos</v>
      </c>
      <c r="C868" t="str">
        <f>+_xlfn.XLOOKUP(Tabla6[[#This Row],[ID CLIENTE]],'RESUMEN CLIENTES'!D:D,'RESUMEN CLIENTES'!C:C)</f>
        <v>México</v>
      </c>
      <c r="D868" s="44" t="str">
        <f>+_xlfn.XLOOKUP(Tabla6[[#This Row],[ID CLIENTE]],'RESUMEN CLIENTES'!D:D,'RESUMEN CLIENTES'!M:M)</f>
        <v>OK</v>
      </c>
      <c r="E868" s="72">
        <f>+_xlfn.XLOOKUP(Tabla6[[#This Row],[NOMBRE]],'RESUMEN CLIENTES'!A:A,'RESUMEN CLIENTES'!X:X)</f>
        <v>0.5</v>
      </c>
      <c r="F868" s="72">
        <f>+_xlfn.XLOOKUP(Tabla6[[#This Row],[ID CLIENTE]],'RESUMEN CLIENTES'!D:D,'RESUMEN CLIENTES'!W:W)</f>
        <v>1</v>
      </c>
      <c r="G868" s="17">
        <v>46037</v>
      </c>
      <c r="H868" s="44" t="s">
        <v>81</v>
      </c>
      <c r="I868" s="2">
        <v>654</v>
      </c>
      <c r="J868" s="20" t="s">
        <v>1921</v>
      </c>
      <c r="K868" t="s">
        <v>1922</v>
      </c>
      <c r="L868" s="44" t="str" cm="1">
        <f t="array" ref="L868">+_xlfn.IFS(COUNTIF(INGRESOS!E:E,Tabla6[[#This Row],[ID FACTURA]])=1,"PAGADA",Tabla6[[#This Row],[ID FACTURA]]&lt;&gt;0,"EMITIDA",Tabla6[[#This Row],[ID FACTURA]]=0,"POR EMITIR")</f>
        <v>PAGADA</v>
      </c>
      <c r="M868" s="55">
        <f>+IF(Tabla6[[#This Row],[ESTADO FACTURA]]="PAGADA",Tabla6[[#This Row],[FECHA]]-_xlfn.XLOOKUP(Tabla6[[#This Row],[N° FACTURA]],INGRESOS!F:F,INGRESOS!A:A),"-")</f>
        <v>0</v>
      </c>
      <c r="N868" s="2"/>
      <c r="O868"/>
    </row>
    <row r="869" spans="1:15" ht="14.75" customHeight="1">
      <c r="A869" s="320" t="s">
        <v>362</v>
      </c>
      <c r="B869" t="str">
        <f>+_xlfn.XLOOKUP(Tabla6[[#This Row],[ID CLIENTE]],'RESUMEN CLIENTES'!D:D,'RESUMEN CLIENTES'!A:A)</f>
        <v>Jessica Ayelén Culla Alvarez</v>
      </c>
      <c r="C869" t="str">
        <f>+_xlfn.XLOOKUP(Tabla6[[#This Row],[ID CLIENTE]],'RESUMEN CLIENTES'!D:D,'RESUMEN CLIENTES'!C:C)</f>
        <v>Argentina</v>
      </c>
      <c r="D869" s="44" t="str">
        <f>+_xlfn.XLOOKUP(Tabla6[[#This Row],[ID CLIENTE]],'RESUMEN CLIENTES'!D:D,'RESUMEN CLIENTES'!M:M)</f>
        <v>OK</v>
      </c>
      <c r="E869" s="72">
        <f>+_xlfn.XLOOKUP(Tabla6[[#This Row],[NOMBRE]],'RESUMEN CLIENTES'!A:A,'RESUMEN CLIENTES'!X:X)</f>
        <v>-2.1538461538461537</v>
      </c>
      <c r="F869" s="72">
        <f>+_xlfn.XLOOKUP(Tabla6[[#This Row],[ID CLIENTE]],'RESUMEN CLIENTES'!D:D,'RESUMEN CLIENTES'!W:W)</f>
        <v>1</v>
      </c>
      <c r="G869" s="17">
        <v>46037</v>
      </c>
      <c r="H869" s="44" t="s">
        <v>81</v>
      </c>
      <c r="I869" s="2">
        <v>1000</v>
      </c>
      <c r="J869" s="20" t="s">
        <v>1923</v>
      </c>
      <c r="K869" t="s">
        <v>1924</v>
      </c>
      <c r="L869" s="44" t="str" cm="1">
        <f t="array" ref="L869">+_xlfn.IFS(COUNTIF(INGRESOS!E:E,Tabla6[[#This Row],[ID FACTURA]])=1,"PAGADA",Tabla6[[#This Row],[ID FACTURA]]&lt;&gt;0,"EMITIDA",Tabla6[[#This Row],[ID FACTURA]]=0,"POR EMITIR")</f>
        <v>PAGADA</v>
      </c>
      <c r="M869" s="55">
        <f>+IF(Tabla6[[#This Row],[ESTADO FACTURA]]="PAGADA",Tabla6[[#This Row],[FECHA]]-_xlfn.XLOOKUP(Tabla6[[#This Row],[N° FACTURA]],INGRESOS!F:F,INGRESOS!A:A),"-")</f>
        <v>1</v>
      </c>
      <c r="N869" s="2"/>
      <c r="O869"/>
    </row>
    <row r="870" spans="1:15" ht="14.75" customHeight="1">
      <c r="A870" s="321" t="s">
        <v>1875</v>
      </c>
      <c r="B870" t="str">
        <f>+_xlfn.XLOOKUP(Tabla6[[#This Row],[ID CLIENTE]],'RESUMEN CLIENTES'!D:D,'RESUMEN CLIENTES'!A:A)</f>
        <v>Laura Giraldo</v>
      </c>
      <c r="C870" t="str">
        <f>+_xlfn.XLOOKUP(Tabla6[[#This Row],[ID CLIENTE]],'RESUMEN CLIENTES'!D:D,'RESUMEN CLIENTES'!C:C)</f>
        <v>Colombia</v>
      </c>
      <c r="D870" s="169" t="str">
        <f>+_xlfn.XLOOKUP(Tabla6[[#This Row],[ID CLIENTE]],'RESUMEN CLIENTES'!D:D,'RESUMEN CLIENTES'!M:M)</f>
        <v>OK</v>
      </c>
      <c r="E870" s="71">
        <f>+_xlfn.XLOOKUP(Tabla6[[#This Row],[NOMBRE]],'RESUMEN CLIENTES'!A:A,'RESUMEN CLIENTES'!X:X)</f>
        <v>-3.25</v>
      </c>
      <c r="F870" s="71">
        <f>+_xlfn.XLOOKUP(Tabla6[[#This Row],[ID CLIENTE]],'RESUMEN CLIENTES'!D:D,'RESUMEN CLIENTES'!W:W)</f>
        <v>1</v>
      </c>
      <c r="G870" s="17">
        <v>46037</v>
      </c>
      <c r="H870" s="169" t="s">
        <v>1876</v>
      </c>
      <c r="I870" s="2">
        <v>700</v>
      </c>
      <c r="J870" s="20" t="s">
        <v>1925</v>
      </c>
      <c r="K870" t="s">
        <v>1926</v>
      </c>
      <c r="L870" s="44" t="str" cm="1">
        <f t="array" ref="L870">+_xlfn.IFS(COUNTIF(INGRESOS!E:E,Tabla6[[#This Row],[ID FACTURA]])=1,"PAGADA",Tabla6[[#This Row],[ID FACTURA]]&lt;&gt;0,"EMITIDA",Tabla6[[#This Row],[ID FACTURA]]=0,"POR EMITIR")</f>
        <v>PAGADA</v>
      </c>
      <c r="M870" s="54">
        <f>+IF(Tabla6[[#This Row],[ESTADO FACTURA]]="PAGADA",Tabla6[[#This Row],[FECHA]]-_xlfn.XLOOKUP(Tabla6[[#This Row],[N° FACTURA]],INGRESOS!F:F,INGRESOS!A:A),"-")</f>
        <v>-1</v>
      </c>
      <c r="O870"/>
    </row>
    <row r="871" spans="1:15" ht="14.75" customHeight="1">
      <c r="A871" s="321" t="s">
        <v>1875</v>
      </c>
      <c r="B871" t="str">
        <f>+_xlfn.XLOOKUP(Tabla6[[#This Row],[ID CLIENTE]],'RESUMEN CLIENTES'!D:D,'RESUMEN CLIENTES'!A:A)</f>
        <v>Laura Giraldo</v>
      </c>
      <c r="C871" t="str">
        <f>+_xlfn.XLOOKUP(Tabla6[[#This Row],[ID CLIENTE]],'RESUMEN CLIENTES'!D:D,'RESUMEN CLIENTES'!C:C)</f>
        <v>Colombia</v>
      </c>
      <c r="D871" s="169" t="str">
        <f>+_xlfn.XLOOKUP(Tabla6[[#This Row],[ID CLIENTE]],'RESUMEN CLIENTES'!D:D,'RESUMEN CLIENTES'!M:M)</f>
        <v>OK</v>
      </c>
      <c r="E871" s="71">
        <f>+_xlfn.XLOOKUP(Tabla6[[#This Row],[NOMBRE]],'RESUMEN CLIENTES'!A:A,'RESUMEN CLIENTES'!X:X)</f>
        <v>-3.25</v>
      </c>
      <c r="F871" s="71">
        <f>+_xlfn.XLOOKUP(Tabla6[[#This Row],[ID CLIENTE]],'RESUMEN CLIENTES'!D:D,'RESUMEN CLIENTES'!W:W)</f>
        <v>1</v>
      </c>
      <c r="G871" s="17">
        <v>46037</v>
      </c>
      <c r="H871" s="169" t="s">
        <v>1876</v>
      </c>
      <c r="I871" s="2">
        <f>2750-700</f>
        <v>2050</v>
      </c>
      <c r="J871" s="20" t="s">
        <v>1927</v>
      </c>
      <c r="K871" t="s">
        <v>1928</v>
      </c>
      <c r="L871" s="44" t="str" cm="1">
        <f t="array" ref="L871">+_xlfn.IFS(COUNTIF(INGRESOS!E:E,Tabla6[[#This Row],[ID FACTURA]])=1,"PAGADA",Tabla6[[#This Row],[ID FACTURA]]&lt;&gt;0,"EMITIDA",Tabla6[[#This Row],[ID FACTURA]]=0,"POR EMITIR")</f>
        <v>PAGADA</v>
      </c>
      <c r="M871" s="54">
        <f>+IF(Tabla6[[#This Row],[ESTADO FACTURA]]="PAGADA",Tabla6[[#This Row],[FECHA]]-_xlfn.XLOOKUP(Tabla6[[#This Row],[N° FACTURA]],INGRESOS!F:F,INGRESOS!A:A),"-")</f>
        <v>-8</v>
      </c>
      <c r="O871"/>
    </row>
    <row r="872" spans="1:15" ht="14.75" customHeight="1">
      <c r="A872" s="320" t="s">
        <v>762</v>
      </c>
      <c r="B872" t="str">
        <f>+_xlfn.XLOOKUP(Tabla6[[#This Row],[ID CLIENTE]],'RESUMEN CLIENTES'!D:D,'RESUMEN CLIENTES'!A:A)</f>
        <v>María Stefania Gelvez Olaya</v>
      </c>
      <c r="C872" t="str">
        <f>+_xlfn.XLOOKUP(Tabla6[[#This Row],[ID CLIENTE]],'RESUMEN CLIENTES'!D:D,'RESUMEN CLIENTES'!C:C)</f>
        <v>Colombia</v>
      </c>
      <c r="D872" s="44" t="str">
        <f>+_xlfn.XLOOKUP(Tabla6[[#This Row],[ID CLIENTE]],'RESUMEN CLIENTES'!D:D,'RESUMEN CLIENTES'!M:M)</f>
        <v>OK</v>
      </c>
      <c r="E872" s="72">
        <f>+_xlfn.XLOOKUP(Tabla6[[#This Row],[NOMBRE]],'RESUMEN CLIENTES'!A:A,'RESUMEN CLIENTES'!X:X)</f>
        <v>-0.14285714285714285</v>
      </c>
      <c r="F872" s="72">
        <f>+_xlfn.XLOOKUP(Tabla6[[#This Row],[ID CLIENTE]],'RESUMEN CLIENTES'!D:D,'RESUMEN CLIENTES'!W:W)</f>
        <v>1</v>
      </c>
      <c r="G872" s="17">
        <v>46037</v>
      </c>
      <c r="H872" s="44" t="s">
        <v>81</v>
      </c>
      <c r="I872" s="2">
        <v>1000</v>
      </c>
      <c r="J872" s="20" t="s">
        <v>1929</v>
      </c>
      <c r="K872" t="s">
        <v>1930</v>
      </c>
      <c r="L872" s="44" t="str" cm="1">
        <f t="array" ref="L872">+_xlfn.IFS(COUNTIF(INGRESOS!E:E,Tabla6[[#This Row],[ID FACTURA]])=1,"PAGADA",Tabla6[[#This Row],[ID FACTURA]]&lt;&gt;0,"EMITIDA",Tabla6[[#This Row],[ID FACTURA]]=0,"POR EMITIR")</f>
        <v>PAGADA</v>
      </c>
      <c r="M872" s="55">
        <f>+IF(Tabla6[[#This Row],[ESTADO FACTURA]]="PAGADA",Tabla6[[#This Row],[FECHA]]-_xlfn.XLOOKUP(Tabla6[[#This Row],[N° FACTURA]],INGRESOS!F:F,INGRESOS!A:A),"-")</f>
        <v>0</v>
      </c>
      <c r="N872" s="2"/>
      <c r="O872"/>
    </row>
    <row r="873" spans="1:15" ht="14.75" customHeight="1">
      <c r="A873" s="320" t="s">
        <v>1931</v>
      </c>
      <c r="B873" t="str">
        <f>+_xlfn.XLOOKUP(Tabla6[[#This Row],[ID CLIENTE]],'RESUMEN CLIENTES'!D:D,'RESUMEN CLIENTES'!A:A)</f>
        <v>Josué Bernardo Reyes Flores</v>
      </c>
      <c r="C873" t="str">
        <f>+_xlfn.XLOOKUP(Tabla6[[#This Row],[ID CLIENTE]],'RESUMEN CLIENTES'!D:D,'RESUMEN CLIENTES'!C:C)</f>
        <v>México</v>
      </c>
      <c r="D873" s="169" t="str">
        <f>+_xlfn.XLOOKUP(Tabla6[[#This Row],[ID CLIENTE]],'RESUMEN CLIENTES'!D:D,'RESUMEN CLIENTES'!M:M)</f>
        <v>OK</v>
      </c>
      <c r="E873" s="71">
        <f>+_xlfn.XLOOKUP(Tabla6[[#This Row],[NOMBRE]],'RESUMEN CLIENTES'!A:A,'RESUMEN CLIENTES'!X:X)</f>
        <v>0</v>
      </c>
      <c r="F873" s="71">
        <f>+_xlfn.XLOOKUP(Tabla6[[#This Row],[ID CLIENTE]],'RESUMEN CLIENTES'!D:D,'RESUMEN CLIENTES'!W:W)</f>
        <v>1</v>
      </c>
      <c r="G873" s="17">
        <v>46039</v>
      </c>
      <c r="H873" s="169" t="s">
        <v>81</v>
      </c>
      <c r="I873" s="2">
        <v>250</v>
      </c>
      <c r="J873" s="20" t="s">
        <v>1932</v>
      </c>
      <c r="K873" t="s">
        <v>1933</v>
      </c>
      <c r="L873" s="44" t="str" cm="1">
        <f t="array" ref="L873">+_xlfn.IFS(COUNTIF(INGRESOS!E:E,Tabla6[[#This Row],[ID FACTURA]])=1,"PAGADA",Tabla6[[#This Row],[ID FACTURA]]&lt;&gt;0,"EMITIDA",Tabla6[[#This Row],[ID FACTURA]]=0,"POR EMITIR")</f>
        <v>PAGADA</v>
      </c>
      <c r="M873" s="54">
        <f>+IF(Tabla6[[#This Row],[ESTADO FACTURA]]="PAGADA",Tabla6[[#This Row],[FECHA]]-_xlfn.XLOOKUP(Tabla6[[#This Row],[N° FACTURA]],INGRESOS!F:F,INGRESOS!A:A),"-")</f>
        <v>0</v>
      </c>
      <c r="O873"/>
    </row>
    <row r="874" spans="1:15" ht="14.75" customHeight="1">
      <c r="A874" s="320" t="s">
        <v>1936</v>
      </c>
      <c r="B874" t="str">
        <f>+_xlfn.XLOOKUP(Tabla6[[#This Row],[ID CLIENTE]],'RESUMEN CLIENTES'!D:D,'RESUMEN CLIENTES'!A:A)</f>
        <v>Jaime Kevin Mendez Arias</v>
      </c>
      <c r="C874" t="str">
        <f>+_xlfn.XLOOKUP(Tabla6[[#This Row],[ID CLIENTE]],'RESUMEN CLIENTES'!D:D,'RESUMEN CLIENTES'!C:C)</f>
        <v>México</v>
      </c>
      <c r="D874" s="169" t="str">
        <f>+_xlfn.XLOOKUP(Tabla6[[#This Row],[ID CLIENTE]],'RESUMEN CLIENTES'!D:D,'RESUMEN CLIENTES'!M:M)</f>
        <v>OK</v>
      </c>
      <c r="E874" s="71">
        <f>+_xlfn.XLOOKUP(Tabla6[[#This Row],[NOMBRE]],'RESUMEN CLIENTES'!A:A,'RESUMEN CLIENTES'!X:X)</f>
        <v>1.6666666666666667</v>
      </c>
      <c r="F874" s="71">
        <f>+_xlfn.XLOOKUP(Tabla6[[#This Row],[ID CLIENTE]],'RESUMEN CLIENTES'!D:D,'RESUMEN CLIENTES'!W:W)</f>
        <v>0</v>
      </c>
      <c r="G874" s="17">
        <v>46040</v>
      </c>
      <c r="H874" s="169" t="s">
        <v>81</v>
      </c>
      <c r="I874" s="2">
        <v>250</v>
      </c>
      <c r="J874" s="20" t="s">
        <v>1937</v>
      </c>
      <c r="K874" t="s">
        <v>1938</v>
      </c>
      <c r="L874" s="44" t="str" cm="1">
        <f t="array" ref="L874">+_xlfn.IFS(COUNTIF(INGRESOS!E:E,Tabla6[[#This Row],[ID FACTURA]])=1,"PAGADA",Tabla6[[#This Row],[ID FACTURA]]&lt;&gt;0,"EMITIDA",Tabla6[[#This Row],[ID FACTURA]]=0,"POR EMITIR")</f>
        <v>PAGADA</v>
      </c>
      <c r="M874" s="54">
        <f>+IF(Tabla6[[#This Row],[ESTADO FACTURA]]="PAGADA",Tabla6[[#This Row],[FECHA]]-_xlfn.XLOOKUP(Tabla6[[#This Row],[N° FACTURA]],INGRESOS!F:F,INGRESOS!A:A),"-")</f>
        <v>1</v>
      </c>
      <c r="O874"/>
    </row>
    <row r="875" spans="1:15" ht="14.75" customHeight="1">
      <c r="A875" s="320" t="s">
        <v>1936</v>
      </c>
      <c r="B875" t="str">
        <f>+_xlfn.XLOOKUP(Tabla6[[#This Row],[ID CLIENTE]],'RESUMEN CLIENTES'!D:D,'RESUMEN CLIENTES'!A:A)</f>
        <v>Jaime Kevin Mendez Arias</v>
      </c>
      <c r="C875" t="str">
        <f>+_xlfn.XLOOKUP(Tabla6[[#This Row],[ID CLIENTE]],'RESUMEN CLIENTES'!D:D,'RESUMEN CLIENTES'!C:C)</f>
        <v>México</v>
      </c>
      <c r="D875" s="169" t="str">
        <f>+_xlfn.XLOOKUP(Tabla6[[#This Row],[ID CLIENTE]],'RESUMEN CLIENTES'!D:D,'RESUMEN CLIENTES'!M:M)</f>
        <v>OK</v>
      </c>
      <c r="E875" s="71">
        <f>+_xlfn.XLOOKUP(Tabla6[[#This Row],[NOMBRE]],'RESUMEN CLIENTES'!A:A,'RESUMEN CLIENTES'!X:X)</f>
        <v>1.6666666666666667</v>
      </c>
      <c r="F875" s="71">
        <f>+_xlfn.XLOOKUP(Tabla6[[#This Row],[ID CLIENTE]],'RESUMEN CLIENTES'!D:D,'RESUMEN CLIENTES'!W:W)</f>
        <v>0</v>
      </c>
      <c r="G875" s="17">
        <v>46040</v>
      </c>
      <c r="H875" s="169" t="s">
        <v>81</v>
      </c>
      <c r="I875" s="2">
        <v>2750</v>
      </c>
      <c r="J875" s="20" t="s">
        <v>1939</v>
      </c>
      <c r="K875" t="s">
        <v>1940</v>
      </c>
      <c r="L875" s="44" t="str" cm="1">
        <f t="array" ref="L875">+_xlfn.IFS(COUNTIF(INGRESOS!E:E,Tabla6[[#This Row],[ID FACTURA]])=1,"PAGADA",Tabla6[[#This Row],[ID FACTURA]]&lt;&gt;0,"EMITIDA",Tabla6[[#This Row],[ID FACTURA]]=0,"POR EMITIR")</f>
        <v>PAGADA</v>
      </c>
      <c r="M875" s="54">
        <f>+IF(Tabla6[[#This Row],[ESTADO FACTURA]]="PAGADA",Tabla6[[#This Row],[FECHA]]-_xlfn.XLOOKUP(Tabla6[[#This Row],[N° FACTURA]],INGRESOS!F:F,INGRESOS!A:A),"-")</f>
        <v>1</v>
      </c>
      <c r="O875"/>
    </row>
    <row r="876" spans="1:15" ht="14.75" customHeight="1">
      <c r="A876" s="320" t="s">
        <v>247</v>
      </c>
      <c r="B876" t="str">
        <f>+_xlfn.XLOOKUP(Tabla6[[#This Row],[ID CLIENTE]],'RESUMEN CLIENTES'!D:D,'RESUMEN CLIENTES'!A:A)</f>
        <v>Nancy Gisselle Molinari Cheme</v>
      </c>
      <c r="C876" t="str">
        <f>+_xlfn.XLOOKUP(Tabla6[[#This Row],[ID CLIENTE]],'RESUMEN CLIENTES'!D:D,'RESUMEN CLIENTES'!C:C)</f>
        <v>Perú</v>
      </c>
      <c r="D876" s="44" t="str">
        <f>+_xlfn.XLOOKUP(Tabla6[[#This Row],[ID CLIENTE]],'RESUMEN CLIENTES'!D:D,'RESUMEN CLIENTES'!M:M)</f>
        <v>OK</v>
      </c>
      <c r="E876" s="72">
        <f>+_xlfn.XLOOKUP(Tabla6[[#This Row],[NOMBRE]],'RESUMEN CLIENTES'!A:A,'RESUMEN CLIENTES'!X:X)</f>
        <v>0.9</v>
      </c>
      <c r="F876" s="72">
        <f>+_xlfn.XLOOKUP(Tabla6[[#This Row],[ID CLIENTE]],'RESUMEN CLIENTES'!D:D,'RESUMEN CLIENTES'!W:W)</f>
        <v>1</v>
      </c>
      <c r="G876" s="17">
        <v>46040</v>
      </c>
      <c r="H876" s="44" t="s">
        <v>81</v>
      </c>
      <c r="I876" s="2">
        <v>1000</v>
      </c>
      <c r="J876" s="20" t="s">
        <v>1934</v>
      </c>
      <c r="K876" t="s">
        <v>1935</v>
      </c>
      <c r="L876" s="44" t="str" cm="1">
        <f t="array" ref="L876">+_xlfn.IFS(COUNTIF(INGRESOS!E:E,Tabla6[[#This Row],[ID FACTURA]])=1,"PAGADA",Tabla6[[#This Row],[ID FACTURA]]&lt;&gt;0,"EMITIDA",Tabla6[[#This Row],[ID FACTURA]]=0,"POR EMITIR")</f>
        <v>PAGADA</v>
      </c>
      <c r="M876" s="55">
        <f>+IF(Tabla6[[#This Row],[ESTADO FACTURA]]="PAGADA",Tabla6[[#This Row],[FECHA]]-_xlfn.XLOOKUP(Tabla6[[#This Row],[N° FACTURA]],INGRESOS!F:F,INGRESOS!A:A),"-")</f>
        <v>0</v>
      </c>
      <c r="N876" s="2"/>
      <c r="O876"/>
    </row>
    <row r="877" spans="1:15" ht="14.75" customHeight="1">
      <c r="A877" s="321" t="s">
        <v>519</v>
      </c>
      <c r="B877" t="str">
        <f>+_xlfn.XLOOKUP(Tabla6[[#This Row],[ID CLIENTE]],'RESUMEN CLIENTES'!D:D,'RESUMEN CLIENTES'!A:A)</f>
        <v>Elaine Acosta Cabrera</v>
      </c>
      <c r="C877" t="str">
        <f>+_xlfn.XLOOKUP(Tabla6[[#This Row],[ID CLIENTE]],'RESUMEN CLIENTES'!D:D,'RESUMEN CLIENTES'!C:C)</f>
        <v>República Dominicana</v>
      </c>
      <c r="D877" s="169" t="str">
        <f>+_xlfn.XLOOKUP(Tabla6[[#This Row],[ID CLIENTE]],'RESUMEN CLIENTES'!D:D,'RESUMEN CLIENTES'!M:M)</f>
        <v>OK</v>
      </c>
      <c r="E877" s="71">
        <f>+_xlfn.XLOOKUP(Tabla6[[#This Row],[NOMBRE]],'RESUMEN CLIENTES'!A:A,'RESUMEN CLIENTES'!X:X)</f>
        <v>0</v>
      </c>
      <c r="F877" s="71">
        <f>+_xlfn.XLOOKUP(Tabla6[[#This Row],[ID CLIENTE]],'RESUMEN CLIENTES'!D:D,'RESUMEN CLIENTES'!W:W)</f>
        <v>1</v>
      </c>
      <c r="G877" s="17">
        <v>46041</v>
      </c>
      <c r="H877" s="169" t="s">
        <v>81</v>
      </c>
      <c r="I877" s="2">
        <v>750</v>
      </c>
      <c r="J877" s="20" t="s">
        <v>1941</v>
      </c>
      <c r="K877" t="s">
        <v>1942</v>
      </c>
      <c r="L877" s="44" t="str" cm="1">
        <f t="array" ref="L877">+_xlfn.IFS(COUNTIF(INGRESOS!E:E,Tabla6[[#This Row],[ID FACTURA]])=1,"PAGADA",Tabla6[[#This Row],[ID FACTURA]]&lt;&gt;0,"EMITIDA",Tabla6[[#This Row],[ID FACTURA]]=0,"POR EMITIR")</f>
        <v>PAGADA</v>
      </c>
      <c r="M877" s="54">
        <f>+IF(Tabla6[[#This Row],[ESTADO FACTURA]]="PAGADA",Tabla6[[#This Row],[FECHA]]-_xlfn.XLOOKUP(Tabla6[[#This Row],[N° FACTURA]],INGRESOS!F:F,INGRESOS!A:A),"-")</f>
        <v>0</v>
      </c>
      <c r="O877"/>
    </row>
    <row r="878" spans="1:15" ht="14.75" customHeight="1">
      <c r="A878" s="320" t="s">
        <v>1945</v>
      </c>
      <c r="B878" t="str">
        <f>+_xlfn.XLOOKUP(Tabla6[[#This Row],[ID CLIENTE]],'RESUMEN CLIENTES'!D:D,'RESUMEN CLIENTES'!A:A)</f>
        <v>Fernanda Constanza Kompai Antu Arellano Guzmán</v>
      </c>
      <c r="C878" t="str">
        <f>+_xlfn.XLOOKUP(Tabla6[[#This Row],[ID CLIENTE]],'RESUMEN CLIENTES'!D:D,'RESUMEN CLIENTES'!C:C)</f>
        <v>Chile</v>
      </c>
      <c r="D878" s="169" t="str">
        <f>+_xlfn.XLOOKUP(Tabla6[[#This Row],[ID CLIENTE]],'RESUMEN CLIENTES'!D:D,'RESUMEN CLIENTES'!M:M)</f>
        <v>OK</v>
      </c>
      <c r="E878" s="71">
        <f>+_xlfn.XLOOKUP(Tabla6[[#This Row],[NOMBRE]],'RESUMEN CLIENTES'!A:A,'RESUMEN CLIENTES'!X:X)</f>
        <v>0</v>
      </c>
      <c r="F878" s="71">
        <f>+_xlfn.XLOOKUP(Tabla6[[#This Row],[ID CLIENTE]],'RESUMEN CLIENTES'!D:D,'RESUMEN CLIENTES'!W:W)</f>
        <v>0</v>
      </c>
      <c r="G878" s="170">
        <v>46041</v>
      </c>
      <c r="H878" s="170" t="s">
        <v>81</v>
      </c>
      <c r="I878" s="2">
        <v>250</v>
      </c>
      <c r="J878" s="20" t="s">
        <v>1946</v>
      </c>
      <c r="K878" t="s">
        <v>1947</v>
      </c>
      <c r="L878" s="44" t="str" cm="1">
        <f t="array" ref="L878">+_xlfn.IFS(COUNTIF(INGRESOS!E:E,Tabla6[[#This Row],[ID FACTURA]])=1,"PAGADA",Tabla6[[#This Row],[ID FACTURA]]&lt;&gt;0,"EMITIDA",Tabla6[[#This Row],[ID FACTURA]]=0,"POR EMITIR")</f>
        <v>PAGADA</v>
      </c>
      <c r="M878" s="54">
        <f>+IF(Tabla6[[#This Row],[ESTADO FACTURA]]="PAGADA",Tabla6[[#This Row],[FECHA]]-_xlfn.XLOOKUP(Tabla6[[#This Row],[N° FACTURA]],INGRESOS!F:F,INGRESOS!A:A),"-")</f>
        <v>0</v>
      </c>
      <c r="O878"/>
    </row>
    <row r="879" spans="1:15" ht="14.75" customHeight="1">
      <c r="A879" s="320" t="s">
        <v>1001</v>
      </c>
      <c r="B879" t="str">
        <f>+_xlfn.XLOOKUP(Tabla6[[#This Row],[ID CLIENTE]],'RESUMEN CLIENTES'!D:D,'RESUMEN CLIENTES'!A:A)</f>
        <v>Karenn Yadira Tavera Lara</v>
      </c>
      <c r="C879" t="str">
        <f>+_xlfn.XLOOKUP(Tabla6[[#This Row],[ID CLIENTE]],'RESUMEN CLIENTES'!D:D,'RESUMEN CLIENTES'!C:C)</f>
        <v>México</v>
      </c>
      <c r="D879" s="44" t="str">
        <f>+_xlfn.XLOOKUP(Tabla6[[#This Row],[ID CLIENTE]],'RESUMEN CLIENTES'!D:D,'RESUMEN CLIENTES'!M:M)</f>
        <v>OK</v>
      </c>
      <c r="E879" s="72">
        <f>+_xlfn.XLOOKUP(Tabla6[[#This Row],[NOMBRE]],'RESUMEN CLIENTES'!A:A,'RESUMEN CLIENTES'!X:X)</f>
        <v>1.5</v>
      </c>
      <c r="F879" s="72">
        <f>+_xlfn.XLOOKUP(Tabla6[[#This Row],[ID CLIENTE]],'RESUMEN CLIENTES'!D:D,'RESUMEN CLIENTES'!W:W)</f>
        <v>1</v>
      </c>
      <c r="G879" s="17">
        <v>46041</v>
      </c>
      <c r="H879" s="44" t="s">
        <v>81</v>
      </c>
      <c r="I879" s="2">
        <v>1000</v>
      </c>
      <c r="J879" s="20" t="s">
        <v>1943</v>
      </c>
      <c r="K879" t="s">
        <v>1944</v>
      </c>
      <c r="L879" s="44" t="str" cm="1">
        <f t="array" ref="L879">+_xlfn.IFS(COUNTIF(INGRESOS!E:E,Tabla6[[#This Row],[ID FACTURA]])=1,"PAGADA",Tabla6[[#This Row],[ID FACTURA]]&lt;&gt;0,"EMITIDA",Tabla6[[#This Row],[ID FACTURA]]=0,"POR EMITIR")</f>
        <v>PAGADA</v>
      </c>
      <c r="M879" s="55">
        <f>+IF(Tabla6[[#This Row],[ESTADO FACTURA]]="PAGADA",Tabla6[[#This Row],[FECHA]]-_xlfn.XLOOKUP(Tabla6[[#This Row],[N° FACTURA]],INGRESOS!F:F,INGRESOS!A:A),"-")</f>
        <v>1</v>
      </c>
      <c r="N879" s="2"/>
      <c r="O879"/>
    </row>
    <row r="880" spans="1:15" ht="14.75" customHeight="1">
      <c r="A880" s="320" t="s">
        <v>574</v>
      </c>
      <c r="B880" t="str">
        <f>+_xlfn.XLOOKUP(Tabla6[[#This Row],[ID CLIENTE]],'RESUMEN CLIENTES'!D:D,'RESUMEN CLIENTES'!A:A)</f>
        <v>Astrid Mariam Enamorado Ortega</v>
      </c>
      <c r="C880" t="str">
        <f>+_xlfn.XLOOKUP(Tabla6[[#This Row],[ID CLIENTE]],'RESUMEN CLIENTES'!D:D,'RESUMEN CLIENTES'!C:C)</f>
        <v>Honduras</v>
      </c>
      <c r="D880" s="44" t="str">
        <f>+_xlfn.XLOOKUP(Tabla6[[#This Row],[ID CLIENTE]],'RESUMEN CLIENTES'!D:D,'RESUMEN CLIENTES'!M:M)</f>
        <v>OK</v>
      </c>
      <c r="E880" s="72">
        <f>+_xlfn.XLOOKUP(Tabla6[[#This Row],[NOMBRE]],'RESUMEN CLIENTES'!A:A,'RESUMEN CLIENTES'!X:X)</f>
        <v>-1.75</v>
      </c>
      <c r="F880" s="72">
        <f>+_xlfn.XLOOKUP(Tabla6[[#This Row],[ID CLIENTE]],'RESUMEN CLIENTES'!D:D,'RESUMEN CLIENTES'!W:W)</f>
        <v>0</v>
      </c>
      <c r="G880" s="17">
        <v>46042</v>
      </c>
      <c r="H880" s="44" t="s">
        <v>81</v>
      </c>
      <c r="I880" s="2">
        <v>1200</v>
      </c>
      <c r="J880" s="20" t="s">
        <v>1948</v>
      </c>
      <c r="K880" t="s">
        <v>1949</v>
      </c>
      <c r="L880" s="44" t="str" cm="1">
        <f t="array" ref="L880">+_xlfn.IFS(COUNTIF(INGRESOS!E:E,Tabla6[[#This Row],[ID FACTURA]])=1,"PAGADA",Tabla6[[#This Row],[ID FACTURA]]&lt;&gt;0,"EMITIDA",Tabla6[[#This Row],[ID FACTURA]]=0,"POR EMITIR")</f>
        <v>PAGADA</v>
      </c>
      <c r="M880" s="55">
        <f>+IF(Tabla6[[#This Row],[ESTADO FACTURA]]="PAGADA",Tabla6[[#This Row],[FECHA]]-_xlfn.XLOOKUP(Tabla6[[#This Row],[N° FACTURA]],INGRESOS!F:F,INGRESOS!A:A),"-")</f>
        <v>-1</v>
      </c>
      <c r="N880" s="2"/>
      <c r="O880"/>
    </row>
    <row r="881" spans="1:15" ht="14.75" customHeight="1">
      <c r="A881" s="320" t="s">
        <v>587</v>
      </c>
      <c r="B881" t="str">
        <f>+_xlfn.XLOOKUP(Tabla6[[#This Row],[ID CLIENTE]],'RESUMEN CLIENTES'!D:D,'RESUMEN CLIENTES'!A:A)</f>
        <v>Keidwin Perez</v>
      </c>
      <c r="C881" t="str">
        <f>+_xlfn.XLOOKUP(Tabla6[[#This Row],[ID CLIENTE]],'RESUMEN CLIENTES'!D:D,'RESUMEN CLIENTES'!C:C)</f>
        <v>Colombia</v>
      </c>
      <c r="D881" s="44" t="str">
        <f>+_xlfn.XLOOKUP(Tabla6[[#This Row],[ID CLIENTE]],'RESUMEN CLIENTES'!D:D,'RESUMEN CLIENTES'!M:M)</f>
        <v>OK</v>
      </c>
      <c r="E881" s="72">
        <f>+_xlfn.XLOOKUP(Tabla6[[#This Row],[NOMBRE]],'RESUMEN CLIENTES'!A:A,'RESUMEN CLIENTES'!X:X)</f>
        <v>-4.25</v>
      </c>
      <c r="F881" s="72">
        <f>+_xlfn.XLOOKUP(Tabla6[[#This Row],[ID CLIENTE]],'RESUMEN CLIENTES'!D:D,'RESUMEN CLIENTES'!W:W)</f>
        <v>1</v>
      </c>
      <c r="G881" s="17">
        <v>46042</v>
      </c>
      <c r="H881" s="44" t="s">
        <v>81</v>
      </c>
      <c r="I881" s="2">
        <v>750</v>
      </c>
      <c r="J881" s="20" t="s">
        <v>1950</v>
      </c>
      <c r="K881" t="s">
        <v>1951</v>
      </c>
      <c r="L881" s="44" t="str" cm="1">
        <f t="array" ref="L881">+_xlfn.IFS(COUNTIF(INGRESOS!E:E,Tabla6[[#This Row],[ID FACTURA]])=1,"PAGADA",Tabla6[[#This Row],[ID FACTURA]]&lt;&gt;0,"EMITIDA",Tabla6[[#This Row],[ID FACTURA]]=0,"POR EMITIR")</f>
        <v>PAGADA</v>
      </c>
      <c r="M881" s="55">
        <f>+IF(Tabla6[[#This Row],[ESTADO FACTURA]]="PAGADA",Tabla6[[#This Row],[FECHA]]-_xlfn.XLOOKUP(Tabla6[[#This Row],[N° FACTURA]],INGRESOS!F:F,INGRESOS!A:A),"-")</f>
        <v>0</v>
      </c>
      <c r="N881" s="2"/>
      <c r="O881"/>
    </row>
    <row r="882" spans="1:15" ht="14.75" customHeight="1">
      <c r="A882" s="320" t="s">
        <v>200</v>
      </c>
      <c r="B882" t="str">
        <f>+_xlfn.XLOOKUP(Tabla6[[#This Row],[ID CLIENTE]],'RESUMEN CLIENTES'!D:D,'RESUMEN CLIENTES'!A:A)</f>
        <v>Mateo Gabriel Martinez Dávila</v>
      </c>
      <c r="C882" t="str">
        <f>+_xlfn.XLOOKUP(Tabla6[[#This Row],[ID CLIENTE]],'RESUMEN CLIENTES'!D:D,'RESUMEN CLIENTES'!C:C)</f>
        <v>Bolivia</v>
      </c>
      <c r="D882" s="169" t="str">
        <f>+_xlfn.XLOOKUP(Tabla6[[#This Row],[ID CLIENTE]],'RESUMEN CLIENTES'!D:D,'RESUMEN CLIENTES'!M:M)</f>
        <v>OK</v>
      </c>
      <c r="E882" s="71">
        <f>+_xlfn.XLOOKUP(Tabla6[[#This Row],[NOMBRE]],'RESUMEN CLIENTES'!A:A,'RESUMEN CLIENTES'!X:X)</f>
        <v>-0.5</v>
      </c>
      <c r="F882" s="71">
        <f>+_xlfn.XLOOKUP(Tabla6[[#This Row],[ID CLIENTE]],'RESUMEN CLIENTES'!D:D,'RESUMEN CLIENTES'!W:W)</f>
        <v>0</v>
      </c>
      <c r="G882" s="17">
        <v>46042</v>
      </c>
      <c r="H882" s="169" t="s">
        <v>81</v>
      </c>
      <c r="I882" s="2">
        <v>500</v>
      </c>
      <c r="J882" s="20" t="s">
        <v>1952</v>
      </c>
      <c r="K882" t="s">
        <v>1953</v>
      </c>
      <c r="L882" s="44" t="str" cm="1">
        <f t="array" ref="L882">+_xlfn.IFS(COUNTIF(INGRESOS!E:E,Tabla6[[#This Row],[ID FACTURA]])=1,"PAGADA",Tabla6[[#This Row],[ID FACTURA]]&lt;&gt;0,"EMITIDA",Tabla6[[#This Row],[ID FACTURA]]=0,"POR EMITIR")</f>
        <v>PAGADA</v>
      </c>
      <c r="M882" s="54">
        <f>+IF(Tabla6[[#This Row],[ESTADO FACTURA]]="PAGADA",Tabla6[[#This Row],[FECHA]]-_xlfn.XLOOKUP(Tabla6[[#This Row],[N° FACTURA]],INGRESOS!F:F,INGRESOS!A:A),"-")</f>
        <v>-1</v>
      </c>
      <c r="O882"/>
    </row>
    <row r="883" spans="1:15" ht="14.75" customHeight="1">
      <c r="A883" s="320" t="s">
        <v>1956</v>
      </c>
      <c r="B883" t="str">
        <f>+_xlfn.XLOOKUP(Tabla6[[#This Row],[ID CLIENTE]],'RESUMEN CLIENTES'!D:D,'RESUMEN CLIENTES'!A:A)</f>
        <v>Daniel David Mendez Parraga</v>
      </c>
      <c r="C883" t="str">
        <f>+_xlfn.XLOOKUP(Tabla6[[#This Row],[ID CLIENTE]],'RESUMEN CLIENTES'!D:D,'RESUMEN CLIENTES'!C:C)</f>
        <v>Venezuela</v>
      </c>
      <c r="D883" s="169" t="str">
        <f>+_xlfn.XLOOKUP(Tabla6[[#This Row],[ID CLIENTE]],'RESUMEN CLIENTES'!D:D,'RESUMEN CLIENTES'!M:M)</f>
        <v>ELIMINADO</v>
      </c>
      <c r="E883" s="71">
        <f>+_xlfn.XLOOKUP(Tabla6[[#This Row],[NOMBRE]],'RESUMEN CLIENTES'!A:A,'RESUMEN CLIENTES'!X:X)</f>
        <v>0</v>
      </c>
      <c r="F883" s="71">
        <f>+_xlfn.XLOOKUP(Tabla6[[#This Row],[ID CLIENTE]],'RESUMEN CLIENTES'!D:D,'RESUMEN CLIENTES'!W:W)</f>
        <v>0</v>
      </c>
      <c r="G883" s="17">
        <v>46044</v>
      </c>
      <c r="H883" s="169" t="s">
        <v>81</v>
      </c>
      <c r="I883" s="2">
        <v>250</v>
      </c>
      <c r="J883" s="20" t="s">
        <v>1957</v>
      </c>
      <c r="K883" t="s">
        <v>1958</v>
      </c>
      <c r="L883" s="44" t="str" cm="1">
        <f t="array" ref="L883">+_xlfn.IFS(COUNTIF(INGRESOS!E:E,Tabla6[[#This Row],[ID FACTURA]])=1,"PAGADA",Tabla6[[#This Row],[ID FACTURA]]&lt;&gt;0,"EMITIDA",Tabla6[[#This Row],[ID FACTURA]]=0,"POR EMITIR")</f>
        <v>PAGADA</v>
      </c>
      <c r="M883" s="54">
        <f>+IF(Tabla6[[#This Row],[ESTADO FACTURA]]="PAGADA",Tabla6[[#This Row],[FECHA]]-_xlfn.XLOOKUP(Tabla6[[#This Row],[N° FACTURA]],INGRESOS!F:F,INGRESOS!A:A),"-")</f>
        <v>0</v>
      </c>
      <c r="O883"/>
    </row>
    <row r="884" spans="1:15" ht="14.75" customHeight="1">
      <c r="A884" s="320" t="s">
        <v>1956</v>
      </c>
      <c r="B884" t="str">
        <f>+_xlfn.XLOOKUP(Tabla6[[#This Row],[ID CLIENTE]],'RESUMEN CLIENTES'!D:D,'RESUMEN CLIENTES'!A:A)</f>
        <v>Daniel David Mendez Parraga</v>
      </c>
      <c r="C884" t="str">
        <f>+_xlfn.XLOOKUP(Tabla6[[#This Row],[ID CLIENTE]],'RESUMEN CLIENTES'!D:D,'RESUMEN CLIENTES'!C:C)</f>
        <v>Venezuela</v>
      </c>
      <c r="D884" s="169" t="str">
        <f>+_xlfn.XLOOKUP(Tabla6[[#This Row],[ID CLIENTE]],'RESUMEN CLIENTES'!D:D,'RESUMEN CLIENTES'!M:M)</f>
        <v>ELIMINADO</v>
      </c>
      <c r="E884" s="71">
        <f>+_xlfn.XLOOKUP(Tabla6[[#This Row],[NOMBRE]],'RESUMEN CLIENTES'!A:A,'RESUMEN CLIENTES'!X:X)</f>
        <v>0</v>
      </c>
      <c r="F884" s="71">
        <f>+_xlfn.XLOOKUP(Tabla6[[#This Row],[ID CLIENTE]],'RESUMEN CLIENTES'!D:D,'RESUMEN CLIENTES'!W:W)</f>
        <v>0</v>
      </c>
      <c r="G884" s="17">
        <v>46044</v>
      </c>
      <c r="H884" s="169" t="s">
        <v>81</v>
      </c>
      <c r="I884" s="2">
        <v>1250</v>
      </c>
      <c r="J884" s="20" t="s">
        <v>1959</v>
      </c>
      <c r="K884" t="s">
        <v>1960</v>
      </c>
      <c r="L884" s="44" t="str" cm="1">
        <f t="array" ref="L884">+_xlfn.IFS(COUNTIF(INGRESOS!E:E,Tabla6[[#This Row],[ID FACTURA]])=1,"PAGADA",Tabla6[[#This Row],[ID FACTURA]]&lt;&gt;0,"EMITIDA",Tabla6[[#This Row],[ID FACTURA]]=0,"POR EMITIR")</f>
        <v>PAGADA</v>
      </c>
      <c r="M884" s="54">
        <f>+IF(Tabla6[[#This Row],[ESTADO FACTURA]]="PAGADA",Tabla6[[#This Row],[FECHA]]-_xlfn.XLOOKUP(Tabla6[[#This Row],[N° FACTURA]],INGRESOS!F:F,INGRESOS!A:A),"-")</f>
        <v>0</v>
      </c>
      <c r="O884"/>
    </row>
    <row r="885" spans="1:15" ht="14.75" customHeight="1">
      <c r="A885" s="320" t="s">
        <v>142</v>
      </c>
      <c r="B885" t="str">
        <f>+_xlfn.XLOOKUP(Tabla6[[#This Row],[ID CLIENTE]],'RESUMEN CLIENTES'!D:D,'RESUMEN CLIENTES'!A:A)</f>
        <v>Jordan Eliecer Toledo Bravo</v>
      </c>
      <c r="C885" t="str">
        <f>+_xlfn.XLOOKUP(Tabla6[[#This Row],[ID CLIENTE]],'RESUMEN CLIENTES'!D:D,'RESUMEN CLIENTES'!C:C)</f>
        <v>Chile</v>
      </c>
      <c r="D885" s="169" t="str">
        <f>+_xlfn.XLOOKUP(Tabla6[[#This Row],[ID CLIENTE]],'RESUMEN CLIENTES'!D:D,'RESUMEN CLIENTES'!M:M)</f>
        <v>OK</v>
      </c>
      <c r="E885" s="71">
        <f>+_xlfn.XLOOKUP(Tabla6[[#This Row],[NOMBRE]],'RESUMEN CLIENTES'!A:A,'RESUMEN CLIENTES'!X:X)</f>
        <v>-1.6153846153846154</v>
      </c>
      <c r="F885" s="71">
        <f>+_xlfn.XLOOKUP(Tabla6[[#This Row],[ID CLIENTE]],'RESUMEN CLIENTES'!D:D,'RESUMEN CLIENTES'!W:W)</f>
        <v>0</v>
      </c>
      <c r="G885" s="17">
        <v>46044</v>
      </c>
      <c r="H885" s="169" t="s">
        <v>81</v>
      </c>
      <c r="I885" s="2">
        <v>500</v>
      </c>
      <c r="J885" s="20" t="s">
        <v>1954</v>
      </c>
      <c r="K885" t="s">
        <v>1955</v>
      </c>
      <c r="L885" s="44" t="str" cm="1">
        <f t="array" ref="L885">+_xlfn.IFS(COUNTIF(INGRESOS!E:E,Tabla6[[#This Row],[ID FACTURA]])=1,"PAGADA",Tabla6[[#This Row],[ID FACTURA]]&lt;&gt;0,"EMITIDA",Tabla6[[#This Row],[ID FACTURA]]=0,"POR EMITIR")</f>
        <v>PAGADA</v>
      </c>
      <c r="M885" s="54">
        <f>+IF(Tabla6[[#This Row],[ESTADO FACTURA]]="PAGADA",Tabla6[[#This Row],[FECHA]]-_xlfn.XLOOKUP(Tabla6[[#This Row],[N° FACTURA]],INGRESOS!F:F,INGRESOS!A:A),"-")</f>
        <v>0</v>
      </c>
      <c r="O885"/>
    </row>
    <row r="886" spans="1:15" ht="14.75" customHeight="1">
      <c r="A886" s="320" t="s">
        <v>250</v>
      </c>
      <c r="B886" t="str">
        <f>+_xlfn.XLOOKUP(Tabla6[[#This Row],[ID CLIENTE]],'RESUMEN CLIENTES'!D:D,'RESUMEN CLIENTES'!A:A)</f>
        <v>Fernanda Castro</v>
      </c>
      <c r="C886" t="str">
        <f>+_xlfn.XLOOKUP(Tabla6[[#This Row],[ID CLIENTE]],'RESUMEN CLIENTES'!D:D,'RESUMEN CLIENTES'!C:C)</f>
        <v>Ecuador</v>
      </c>
      <c r="D886" s="44" t="str">
        <f>+_xlfn.XLOOKUP(Tabla6[[#This Row],[ID CLIENTE]],'RESUMEN CLIENTES'!D:D,'RESUMEN CLIENTES'!M:M)</f>
        <v>OK</v>
      </c>
      <c r="E886" s="72">
        <f>+_xlfn.XLOOKUP(Tabla6[[#This Row],[NOMBRE]],'RESUMEN CLIENTES'!A:A,'RESUMEN CLIENTES'!X:X)</f>
        <v>0</v>
      </c>
      <c r="F886" s="72">
        <f>+_xlfn.XLOOKUP(Tabla6[[#This Row],[ID CLIENTE]],'RESUMEN CLIENTES'!D:D,'RESUMEN CLIENTES'!W:W)</f>
        <v>1</v>
      </c>
      <c r="G886" s="17">
        <v>46045</v>
      </c>
      <c r="H886" s="44" t="s">
        <v>81</v>
      </c>
      <c r="I886" s="2">
        <v>1000</v>
      </c>
      <c r="J886" s="20" t="s">
        <v>1961</v>
      </c>
      <c r="K886" t="s">
        <v>1962</v>
      </c>
      <c r="L886" s="44" t="str" cm="1">
        <f t="array" ref="L886">+_xlfn.IFS(COUNTIF(INGRESOS!E:E,Tabla6[[#This Row],[ID FACTURA]])=1,"PAGADA",Tabla6[[#This Row],[ID FACTURA]]&lt;&gt;0,"EMITIDA",Tabla6[[#This Row],[ID FACTURA]]=0,"POR EMITIR")</f>
        <v>PAGADA</v>
      </c>
      <c r="M886" s="55">
        <f>+IF(Tabla6[[#This Row],[ESTADO FACTURA]]="PAGADA",Tabla6[[#This Row],[FECHA]]-_xlfn.XLOOKUP(Tabla6[[#This Row],[N° FACTURA]],INGRESOS!F:F,INGRESOS!A:A),"-")</f>
        <v>1</v>
      </c>
      <c r="N886" s="2"/>
      <c r="O886"/>
    </row>
    <row r="887" spans="1:15" ht="14.75" customHeight="1">
      <c r="A887" s="320" t="s">
        <v>1931</v>
      </c>
      <c r="B887" t="str">
        <f>+_xlfn.XLOOKUP(Tabla6[[#This Row],[ID CLIENTE]],'RESUMEN CLIENTES'!D:D,'RESUMEN CLIENTES'!A:A)</f>
        <v>Josué Bernardo Reyes Flores</v>
      </c>
      <c r="C887" t="str">
        <f>+_xlfn.XLOOKUP(Tabla6[[#This Row],[ID CLIENTE]],'RESUMEN CLIENTES'!D:D,'RESUMEN CLIENTES'!C:C)</f>
        <v>México</v>
      </c>
      <c r="D887" s="169" t="str">
        <f>+_xlfn.XLOOKUP(Tabla6[[#This Row],[ID CLIENTE]],'RESUMEN CLIENTES'!D:D,'RESUMEN CLIENTES'!M:M)</f>
        <v>OK</v>
      </c>
      <c r="E887" s="71">
        <f>+_xlfn.XLOOKUP(Tabla6[[#This Row],[NOMBRE]],'RESUMEN CLIENTES'!A:A,'RESUMEN CLIENTES'!X:X)</f>
        <v>0</v>
      </c>
      <c r="F887" s="71">
        <f>+_xlfn.XLOOKUP(Tabla6[[#This Row],[ID CLIENTE]],'RESUMEN CLIENTES'!D:D,'RESUMEN CLIENTES'!W:W)</f>
        <v>1</v>
      </c>
      <c r="G887" s="17">
        <v>46045</v>
      </c>
      <c r="H887" s="169" t="s">
        <v>81</v>
      </c>
      <c r="I887" s="2">
        <v>2750</v>
      </c>
      <c r="J887" s="20" t="s">
        <v>1965</v>
      </c>
      <c r="K887" t="s">
        <v>1966</v>
      </c>
      <c r="L887" s="44" t="str" cm="1">
        <f t="array" ref="L887">+_xlfn.IFS(COUNTIF(INGRESOS!E:E,Tabla6[[#This Row],[ID FACTURA]])=1,"PAGADA",Tabla6[[#This Row],[ID FACTURA]]&lt;&gt;0,"EMITIDA",Tabla6[[#This Row],[ID FACTURA]]=0,"POR EMITIR")</f>
        <v>PAGADA</v>
      </c>
      <c r="M887" s="54">
        <f>+IF(Tabla6[[#This Row],[ESTADO FACTURA]]="PAGADA",Tabla6[[#This Row],[FECHA]]-_xlfn.XLOOKUP(Tabla6[[#This Row],[N° FACTURA]],INGRESOS!F:F,INGRESOS!A:A),"-")</f>
        <v>0</v>
      </c>
      <c r="O887"/>
    </row>
    <row r="888" spans="1:15" ht="14.75" customHeight="1">
      <c r="A888" s="320" t="s">
        <v>994</v>
      </c>
      <c r="B888" t="str">
        <f>+_xlfn.XLOOKUP(Tabla6[[#This Row],[ID CLIENTE]],'RESUMEN CLIENTES'!D:D,'RESUMEN CLIENTES'!A:A)</f>
        <v>Raúl Ernesto Martínez Orantes</v>
      </c>
      <c r="C888" t="str">
        <f>+_xlfn.XLOOKUP(Tabla6[[#This Row],[ID CLIENTE]],'RESUMEN CLIENTES'!D:D,'RESUMEN CLIENTES'!C:C)</f>
        <v>El Salvador</v>
      </c>
      <c r="D888" s="44" t="str">
        <f>+_xlfn.XLOOKUP(Tabla6[[#This Row],[ID CLIENTE]],'RESUMEN CLIENTES'!D:D,'RESUMEN CLIENTES'!M:M)</f>
        <v>OK</v>
      </c>
      <c r="E888" s="72">
        <f>+_xlfn.XLOOKUP(Tabla6[[#This Row],[NOMBRE]],'RESUMEN CLIENTES'!A:A,'RESUMEN CLIENTES'!X:X)</f>
        <v>1.1428571428571428</v>
      </c>
      <c r="F888" s="72">
        <f>+_xlfn.XLOOKUP(Tabla6[[#This Row],[ID CLIENTE]],'RESUMEN CLIENTES'!D:D,'RESUMEN CLIENTES'!W:W)</f>
        <v>1</v>
      </c>
      <c r="G888" s="17">
        <v>46045</v>
      </c>
      <c r="H888" s="44" t="s">
        <v>81</v>
      </c>
      <c r="I888" s="2">
        <v>850</v>
      </c>
      <c r="J888" s="20" t="s">
        <v>1963</v>
      </c>
      <c r="K888" t="s">
        <v>1964</v>
      </c>
      <c r="L888" s="44" t="str" cm="1">
        <f t="array" ref="L888">+_xlfn.IFS(COUNTIF(INGRESOS!E:E,Tabla6[[#This Row],[ID FACTURA]])=1,"PAGADA",Tabla6[[#This Row],[ID FACTURA]]&lt;&gt;0,"EMITIDA",Tabla6[[#This Row],[ID FACTURA]]=0,"POR EMITIR")</f>
        <v>PAGADA</v>
      </c>
      <c r="M888" s="55">
        <f>+IF(Tabla6[[#This Row],[ESTADO FACTURA]]="PAGADA",Tabla6[[#This Row],[FECHA]]-_xlfn.XLOOKUP(Tabla6[[#This Row],[N° FACTURA]],INGRESOS!F:F,INGRESOS!A:A),"-")</f>
        <v>0</v>
      </c>
      <c r="N888" s="2"/>
      <c r="O888"/>
    </row>
    <row r="889" spans="1:15" ht="14.75" customHeight="1">
      <c r="A889" s="320" t="s">
        <v>261</v>
      </c>
      <c r="B889" t="str">
        <f>+_xlfn.XLOOKUP(Tabla6[[#This Row],[ID CLIENTE]],'RESUMEN CLIENTES'!D:D,'RESUMEN CLIENTES'!A:A)</f>
        <v>Maryori Elizabeth Ramos Tapia</v>
      </c>
      <c r="C889" t="str">
        <f>+_xlfn.XLOOKUP(Tabla6[[#This Row],[ID CLIENTE]],'RESUMEN CLIENTES'!D:D,'RESUMEN CLIENTES'!C:C)</f>
        <v>Perú</v>
      </c>
      <c r="D889" s="44" t="str">
        <f>+_xlfn.XLOOKUP(Tabla6[[#This Row],[ID CLIENTE]],'RESUMEN CLIENTES'!D:D,'RESUMEN CLIENTES'!M:M)</f>
        <v>OK</v>
      </c>
      <c r="E889" s="72">
        <f>+_xlfn.XLOOKUP(Tabla6[[#This Row],[NOMBRE]],'RESUMEN CLIENTES'!A:A,'RESUMEN CLIENTES'!X:X)</f>
        <v>-0.88425925925952875</v>
      </c>
      <c r="F889" s="72">
        <f>+_xlfn.XLOOKUP(Tabla6[[#This Row],[ID CLIENTE]],'RESUMEN CLIENTES'!D:D,'RESUMEN CLIENTES'!W:W)</f>
        <v>1</v>
      </c>
      <c r="G889" s="17">
        <v>46046</v>
      </c>
      <c r="H889" s="44" t="s">
        <v>81</v>
      </c>
      <c r="I889" s="2">
        <v>1000</v>
      </c>
      <c r="J889" s="20" t="s">
        <v>1967</v>
      </c>
      <c r="K889" t="s">
        <v>1968</v>
      </c>
      <c r="L889" s="44" t="str" cm="1">
        <f t="array" ref="L889">+_xlfn.IFS(COUNTIF(INGRESOS!E:E,Tabla6[[#This Row],[ID FACTURA]])=1,"PAGADA",Tabla6[[#This Row],[ID FACTURA]]&lt;&gt;0,"EMITIDA",Tabla6[[#This Row],[ID FACTURA]]=0,"POR EMITIR")</f>
        <v>PAGADA</v>
      </c>
      <c r="M889" s="55">
        <f>+IF(Tabla6[[#This Row],[ESTADO FACTURA]]="PAGADA",Tabla6[[#This Row],[FECHA]]-_xlfn.XLOOKUP(Tabla6[[#This Row],[N° FACTURA]],INGRESOS!F:F,INGRESOS!A:A),"-")</f>
        <v>0</v>
      </c>
      <c r="N889" s="2"/>
      <c r="O889"/>
    </row>
    <row r="890" spans="1:15" ht="14.75" customHeight="1">
      <c r="A890" s="320" t="s">
        <v>162</v>
      </c>
      <c r="B890" t="str">
        <f>+_xlfn.XLOOKUP(Tabla6[[#This Row],[ID CLIENTE]],'RESUMEN CLIENTES'!D:D,'RESUMEN CLIENTES'!A:A)</f>
        <v>Bastian Sofjer Peralta</v>
      </c>
      <c r="C890" t="str">
        <f>+_xlfn.XLOOKUP(Tabla6[[#This Row],[ID CLIENTE]],'RESUMEN CLIENTES'!D:D,'RESUMEN CLIENTES'!C:C)</f>
        <v>Chile</v>
      </c>
      <c r="D890" s="44" t="str">
        <f>+_xlfn.XLOOKUP(Tabla6[[#This Row],[ID CLIENTE]],'RESUMEN CLIENTES'!D:D,'RESUMEN CLIENTES'!M:M)</f>
        <v>OK</v>
      </c>
      <c r="E890" s="72">
        <f>+_xlfn.XLOOKUP(Tabla6[[#This Row],[NOMBRE]],'RESUMEN CLIENTES'!A:A,'RESUMEN CLIENTES'!X:X)</f>
        <v>4.125</v>
      </c>
      <c r="F890" s="72">
        <f>+_xlfn.XLOOKUP(Tabla6[[#This Row],[ID CLIENTE]],'RESUMEN CLIENTES'!D:D,'RESUMEN CLIENTES'!W:W)</f>
        <v>1</v>
      </c>
      <c r="G890" s="17">
        <v>46047</v>
      </c>
      <c r="H890" s="44" t="s">
        <v>81</v>
      </c>
      <c r="I890" s="2">
        <v>900</v>
      </c>
      <c r="J890" s="20" t="s">
        <v>1969</v>
      </c>
      <c r="K890" t="s">
        <v>1970</v>
      </c>
      <c r="L890" s="44" t="str" cm="1">
        <f t="array" ref="L890">+_xlfn.IFS(COUNTIF(INGRESOS!E:E,Tabla6[[#This Row],[ID FACTURA]])=1,"PAGADA",Tabla6[[#This Row],[ID FACTURA]]&lt;&gt;0,"EMITIDA",Tabla6[[#This Row],[ID FACTURA]]=0,"POR EMITIR")</f>
        <v>PAGADA</v>
      </c>
      <c r="M890" s="55">
        <f>+IF(Tabla6[[#This Row],[ESTADO FACTURA]]="PAGADA",Tabla6[[#This Row],[FECHA]]-_xlfn.XLOOKUP(Tabla6[[#This Row],[N° FACTURA]],INGRESOS!F:F,INGRESOS!A:A),"-")</f>
        <v>3</v>
      </c>
      <c r="N890" s="2"/>
      <c r="O890"/>
    </row>
    <row r="891" spans="1:15" ht="14.75" customHeight="1">
      <c r="A891" s="320" t="s">
        <v>191</v>
      </c>
      <c r="B891" t="str">
        <f>+_xlfn.XLOOKUP(Tabla6[[#This Row],[ID CLIENTE]],'RESUMEN CLIENTES'!D:D,'RESUMEN CLIENTES'!A:A)</f>
        <v>Christian Rivera Hernandez</v>
      </c>
      <c r="C891" t="str">
        <f>+_xlfn.XLOOKUP(Tabla6[[#This Row],[ID CLIENTE]],'RESUMEN CLIENTES'!D:D,'RESUMEN CLIENTES'!C:C)</f>
        <v>Colombia</v>
      </c>
      <c r="D891" s="169" t="str">
        <f>+_xlfn.XLOOKUP(Tabla6[[#This Row],[ID CLIENTE]],'RESUMEN CLIENTES'!D:D,'RESUMEN CLIENTES'!M:M)</f>
        <v>OK</v>
      </c>
      <c r="E891" s="71">
        <f>+_xlfn.XLOOKUP(Tabla6[[#This Row],[NOMBRE]],'RESUMEN CLIENTES'!A:A,'RESUMEN CLIENTES'!X:X)</f>
        <v>0.75</v>
      </c>
      <c r="F891" s="71">
        <f>+_xlfn.XLOOKUP(Tabla6[[#This Row],[ID CLIENTE]],'RESUMEN CLIENTES'!D:D,'RESUMEN CLIENTES'!W:W)</f>
        <v>1</v>
      </c>
      <c r="G891" s="17">
        <v>46047</v>
      </c>
      <c r="H891" s="169" t="s">
        <v>81</v>
      </c>
      <c r="I891" s="2">
        <v>4802</v>
      </c>
      <c r="J891" s="20" t="s">
        <v>1971</v>
      </c>
      <c r="K891" t="s">
        <v>1972</v>
      </c>
      <c r="L891" s="44" t="str" cm="1">
        <f t="array" ref="L891">+_xlfn.IFS(COUNTIF(INGRESOS!E:E,Tabla6[[#This Row],[ID FACTURA]])=1,"PAGADA",Tabla6[[#This Row],[ID FACTURA]]&lt;&gt;0,"EMITIDA",Tabla6[[#This Row],[ID FACTURA]]=0,"POR EMITIR")</f>
        <v>PAGADA</v>
      </c>
      <c r="M891" s="55">
        <f>+IF(Tabla6[[#This Row],[ESTADO FACTURA]]="PAGADA",Tabla6[[#This Row],[FECHA]]-_xlfn.XLOOKUP(Tabla6[[#This Row],[N° FACTURA]],INGRESOS!F:F,INGRESOS!A:A),"-")</f>
        <v>1</v>
      </c>
      <c r="N891" s="2"/>
      <c r="O891" s="8" t="s">
        <v>1973</v>
      </c>
    </row>
    <row r="892" spans="1:15" ht="14.75" customHeight="1">
      <c r="A892" s="320" t="s">
        <v>1437</v>
      </c>
      <c r="B892" t="str">
        <f>+_xlfn.XLOOKUP(Tabla6[[#This Row],[ID CLIENTE]],'RESUMEN CLIENTES'!D:D,'RESUMEN CLIENTES'!A:A)</f>
        <v>Jorge Andres Galgani Muñoz</v>
      </c>
      <c r="C892" t="str">
        <f>+_xlfn.XLOOKUP(Tabla6[[#This Row],[ID CLIENTE]],'RESUMEN CLIENTES'!D:D,'RESUMEN CLIENTES'!C:C)</f>
        <v>Chile</v>
      </c>
      <c r="D892" s="44" t="str">
        <f>+_xlfn.XLOOKUP(Tabla6[[#This Row],[ID CLIENTE]],'RESUMEN CLIENTES'!D:D,'RESUMEN CLIENTES'!M:M)</f>
        <v>OK</v>
      </c>
      <c r="E892" s="71">
        <f>+_xlfn.XLOOKUP(Tabla6[[#This Row],[NOMBRE]],'RESUMEN CLIENTES'!A:A,'RESUMEN CLIENTES'!X:X)</f>
        <v>-1.1428571428571428</v>
      </c>
      <c r="F892" s="71">
        <f>+_xlfn.XLOOKUP(Tabla6[[#This Row],[ID CLIENTE]],'RESUMEN CLIENTES'!D:D,'RESUMEN CLIENTES'!W:W)</f>
        <v>1</v>
      </c>
      <c r="G892" s="17">
        <v>46047</v>
      </c>
      <c r="H892" s="169" t="s">
        <v>81</v>
      </c>
      <c r="I892" s="2">
        <v>850</v>
      </c>
      <c r="J892" s="20" t="s">
        <v>1974</v>
      </c>
      <c r="K892" t="s">
        <v>1975</v>
      </c>
      <c r="L892" s="44" t="str" cm="1">
        <f t="array" ref="L892">+_xlfn.IFS(COUNTIF(INGRESOS!E:E,Tabla6[[#This Row],[ID FACTURA]])=1,"PAGADA",Tabla6[[#This Row],[ID FACTURA]]&lt;&gt;0,"EMITIDA",Tabla6[[#This Row],[ID FACTURA]]=0,"POR EMITIR")</f>
        <v>PAGADA</v>
      </c>
      <c r="M892" s="55">
        <f>+IF(Tabla6[[#This Row],[ESTADO FACTURA]]="PAGADA",Tabla6[[#This Row],[FECHA]]-_xlfn.XLOOKUP(Tabla6[[#This Row],[N° FACTURA]],INGRESOS!F:F,INGRESOS!A:A),"-")</f>
        <v>-1</v>
      </c>
      <c r="N892" s="2"/>
      <c r="O892"/>
    </row>
    <row r="893" spans="1:15" ht="14.75" customHeight="1">
      <c r="A893" s="320" t="s">
        <v>333</v>
      </c>
      <c r="B893" t="str">
        <f>+_xlfn.XLOOKUP(Tabla6[[#This Row],[ID CLIENTE]],'RESUMEN CLIENTES'!D:D,'RESUMEN CLIENTES'!A:A)</f>
        <v>Jorge Augusto Cámbara Vargas</v>
      </c>
      <c r="C893" t="str">
        <f>+_xlfn.XLOOKUP(Tabla6[[#This Row],[ID CLIENTE]],'RESUMEN CLIENTES'!D:D,'RESUMEN CLIENTES'!C:C)</f>
        <v>Guatemala</v>
      </c>
      <c r="D893" s="44" t="str">
        <f>+_xlfn.XLOOKUP(Tabla6[[#This Row],[ID CLIENTE]],'RESUMEN CLIENTES'!D:D,'RESUMEN CLIENTES'!M:M)</f>
        <v>OK</v>
      </c>
      <c r="E893" s="72">
        <f>+_xlfn.XLOOKUP(Tabla6[[#This Row],[NOMBRE]],'RESUMEN CLIENTES'!A:A,'RESUMEN CLIENTES'!X:X)</f>
        <v>0.1157407407331953</v>
      </c>
      <c r="F893" s="72">
        <f>+_xlfn.XLOOKUP(Tabla6[[#This Row],[ID CLIENTE]],'RESUMEN CLIENTES'!D:D,'RESUMEN CLIENTES'!W:W)</f>
        <v>1</v>
      </c>
      <c r="G893" s="17">
        <v>46047</v>
      </c>
      <c r="H893" s="44" t="s">
        <v>81</v>
      </c>
      <c r="I893" s="2">
        <f>2750-Tabla6[[#This Row],[DCTO DOC]]</f>
        <v>2630</v>
      </c>
      <c r="J893" s="20" t="s">
        <v>1976</v>
      </c>
      <c r="K893" t="s">
        <v>1977</v>
      </c>
      <c r="L893" s="44" t="str" cm="1">
        <f t="array" ref="L893">+_xlfn.IFS(COUNTIF(INGRESOS!E:E,Tabla6[[#This Row],[ID FACTURA]])=1,"PAGADA",Tabla6[[#This Row],[ID FACTURA]]&lt;&gt;0,"EMITIDA",Tabla6[[#This Row],[ID FACTURA]]=0,"POR EMITIR")</f>
        <v>PAGADA</v>
      </c>
      <c r="M893" s="55">
        <f>+IF(Tabla6[[#This Row],[ESTADO FACTURA]]="PAGADA",Tabla6[[#This Row],[FECHA]]-_xlfn.XLOOKUP(Tabla6[[#This Row],[N° FACTURA]],INGRESOS!F:F,INGRESOS!A:A),"-")</f>
        <v>1</v>
      </c>
      <c r="N893" s="2">
        <f>24+96</f>
        <v>120</v>
      </c>
      <c r="O893"/>
    </row>
    <row r="894" spans="1:15" ht="14.75" customHeight="1">
      <c r="A894" s="320" t="s">
        <v>87</v>
      </c>
      <c r="B894" t="str">
        <f>+_xlfn.XLOOKUP(Tabla6[[#This Row],[ID CLIENTE]],'RESUMEN CLIENTES'!D:D,'RESUMEN CLIENTES'!A:A)</f>
        <v>Jose Marcelo Marroquín Guzmán</v>
      </c>
      <c r="C894" t="str">
        <f>+_xlfn.XLOOKUP(Tabla6[[#This Row],[ID CLIENTE]],'RESUMEN CLIENTES'!D:D,'RESUMEN CLIENTES'!C:C)</f>
        <v>El Salvador</v>
      </c>
      <c r="D894" s="44" t="str">
        <f>+_xlfn.XLOOKUP(Tabla6[[#This Row],[ID CLIENTE]],'RESUMEN CLIENTES'!D:D,'RESUMEN CLIENTES'!M:M)</f>
        <v>OK</v>
      </c>
      <c r="E894" s="72">
        <f>+_xlfn.XLOOKUP(Tabla6[[#This Row],[NOMBRE]],'RESUMEN CLIENTES'!A:A,'RESUMEN CLIENTES'!X:X)</f>
        <v>-1.5833333333333333</v>
      </c>
      <c r="F894" s="72">
        <f>+_xlfn.XLOOKUP(Tabla6[[#This Row],[ID CLIENTE]],'RESUMEN CLIENTES'!D:D,'RESUMEN CLIENTES'!W:W)</f>
        <v>1</v>
      </c>
      <c r="G894" s="17">
        <v>46047</v>
      </c>
      <c r="H894" s="44" t="s">
        <v>81</v>
      </c>
      <c r="I894" s="2">
        <v>400</v>
      </c>
      <c r="J894" s="20" t="s">
        <v>1978</v>
      </c>
      <c r="K894" t="s">
        <v>1979</v>
      </c>
      <c r="L894" s="44" t="str" cm="1">
        <f t="array" ref="L894">+_xlfn.IFS(COUNTIF(INGRESOS!E:E,Tabla6[[#This Row],[ID FACTURA]])=1,"PAGADA",Tabla6[[#This Row],[ID FACTURA]]&lt;&gt;0,"EMITIDA",Tabla6[[#This Row],[ID FACTURA]]=0,"POR EMITIR")</f>
        <v>PAGADA</v>
      </c>
      <c r="M894" s="55">
        <f>+IF(Tabla6[[#This Row],[ESTADO FACTURA]]="PAGADA",Tabla6[[#This Row],[FECHA]]-_xlfn.XLOOKUP(Tabla6[[#This Row],[N° FACTURA]],INGRESOS!F:F,INGRESOS!A:A),"-")</f>
        <v>-3</v>
      </c>
      <c r="N894" s="2"/>
      <c r="O894"/>
    </row>
    <row r="895" spans="1:15" ht="14.75" customHeight="1">
      <c r="A895" s="320" t="s">
        <v>197</v>
      </c>
      <c r="B895" t="str">
        <f>+_xlfn.XLOOKUP(Tabla6[[#This Row],[ID CLIENTE]],'RESUMEN CLIENTES'!D:D,'RESUMEN CLIENTES'!A:A)</f>
        <v>Lina Estrada</v>
      </c>
      <c r="C895" t="str">
        <f>+_xlfn.XLOOKUP(Tabla6[[#This Row],[ID CLIENTE]],'RESUMEN CLIENTES'!D:D,'RESUMEN CLIENTES'!C:C)</f>
        <v>Colombia</v>
      </c>
      <c r="D895" s="169" t="str">
        <f>+_xlfn.XLOOKUP(Tabla6[[#This Row],[ID CLIENTE]],'RESUMEN CLIENTES'!D:D,'RESUMEN CLIENTES'!M:M)</f>
        <v>¡REGULARIZAR!</v>
      </c>
      <c r="E895" s="71">
        <f>+_xlfn.XLOOKUP(Tabla6[[#This Row],[NOMBRE]],'RESUMEN CLIENTES'!A:A,'RESUMEN CLIENTES'!X:X)</f>
        <v>0.5</v>
      </c>
      <c r="F895" s="71">
        <f>+_xlfn.XLOOKUP(Tabla6[[#This Row],[ID CLIENTE]],'RESUMEN CLIENTES'!D:D,'RESUMEN CLIENTES'!W:W)</f>
        <v>0</v>
      </c>
      <c r="G895" s="17">
        <v>46047</v>
      </c>
      <c r="H895" s="169" t="s">
        <v>81</v>
      </c>
      <c r="I895" s="2">
        <v>3000</v>
      </c>
      <c r="J895" s="20" t="s">
        <v>1984</v>
      </c>
      <c r="K895" t="s">
        <v>1985</v>
      </c>
      <c r="L895" s="44" t="str" cm="1">
        <f t="array" ref="L895">+_xlfn.IFS(COUNTIF(INGRESOS!E:E,Tabla6[[#This Row],[ID FACTURA]])=1,"PAGADA",Tabla6[[#This Row],[ID FACTURA]]&lt;&gt;0,"EMITIDA",Tabla6[[#This Row],[ID FACTURA]]=0,"POR EMITIR")</f>
        <v>PAGADA</v>
      </c>
      <c r="M895" s="54">
        <f>+IF(Tabla6[[#This Row],[ESTADO FACTURA]]="PAGADA",Tabla6[[#This Row],[FECHA]]-_xlfn.XLOOKUP(Tabla6[[#This Row],[N° FACTURA]],INGRESOS!F:F,INGRESOS!A:A),"-")</f>
        <v>1</v>
      </c>
      <c r="O895"/>
    </row>
    <row r="896" spans="1:15" ht="14.75" customHeight="1">
      <c r="A896" s="320" t="s">
        <v>322</v>
      </c>
      <c r="B896" t="str">
        <f>+_xlfn.XLOOKUP(Tabla6[[#This Row],[ID CLIENTE]],'RESUMEN CLIENTES'!D:D,'RESUMEN CLIENTES'!A:A)</f>
        <v>Mauricio Ignacio Alcayaga Romo</v>
      </c>
      <c r="C896" t="str">
        <f>+_xlfn.XLOOKUP(Tabla6[[#This Row],[ID CLIENTE]],'RESUMEN CLIENTES'!D:D,'RESUMEN CLIENTES'!C:C)</f>
        <v>Chile</v>
      </c>
      <c r="D896" s="44" t="str">
        <f>+_xlfn.XLOOKUP(Tabla6[[#This Row],[ID CLIENTE]],'RESUMEN CLIENTES'!D:D,'RESUMEN CLIENTES'!M:M)</f>
        <v>OK</v>
      </c>
      <c r="E896" s="72">
        <f>+_xlfn.XLOOKUP(Tabla6[[#This Row],[NOMBRE]],'RESUMEN CLIENTES'!A:A,'RESUMEN CLIENTES'!X:X)</f>
        <v>-0.3</v>
      </c>
      <c r="F896" s="72">
        <f>+_xlfn.XLOOKUP(Tabla6[[#This Row],[ID CLIENTE]],'RESUMEN CLIENTES'!D:D,'RESUMEN CLIENTES'!W:W)</f>
        <v>0</v>
      </c>
      <c r="G896" s="17">
        <v>46047</v>
      </c>
      <c r="H896" s="44" t="s">
        <v>81</v>
      </c>
      <c r="I896" s="2">
        <v>1000</v>
      </c>
      <c r="J896" s="20" t="s">
        <v>1980</v>
      </c>
      <c r="K896" t="s">
        <v>1981</v>
      </c>
      <c r="L896" s="44" t="str" cm="1">
        <f t="array" ref="L896">+_xlfn.IFS(COUNTIF(INGRESOS!E:E,Tabla6[[#This Row],[ID FACTURA]])=1,"PAGADA",Tabla6[[#This Row],[ID FACTURA]]&lt;&gt;0,"EMITIDA",Tabla6[[#This Row],[ID FACTURA]]=0,"POR EMITIR")</f>
        <v>PAGADA</v>
      </c>
      <c r="M896" s="55">
        <f>+IF(Tabla6[[#This Row],[ESTADO FACTURA]]="PAGADA",Tabla6[[#This Row],[FECHA]]-_xlfn.XLOOKUP(Tabla6[[#This Row],[N° FACTURA]],INGRESOS!F:F,INGRESOS!A:A),"-")</f>
        <v>-2</v>
      </c>
      <c r="N896" s="2"/>
      <c r="O896"/>
    </row>
    <row r="897" spans="1:15" ht="14.75" customHeight="1">
      <c r="A897" s="320" t="s">
        <v>716</v>
      </c>
      <c r="B897" t="str">
        <f>+_xlfn.XLOOKUP(Tabla6[[#This Row],[ID CLIENTE]],'RESUMEN CLIENTES'!D:D,'RESUMEN CLIENTES'!A:A)</f>
        <v>Sofia Martínez Restrepo</v>
      </c>
      <c r="C897" t="str">
        <f>+_xlfn.XLOOKUP(Tabla6[[#This Row],[ID CLIENTE]],'RESUMEN CLIENTES'!D:D,'RESUMEN CLIENTES'!C:C)</f>
        <v>Colombia</v>
      </c>
      <c r="D897" s="44" t="str">
        <f>+_xlfn.XLOOKUP(Tabla6[[#This Row],[ID CLIENTE]],'RESUMEN CLIENTES'!D:D,'RESUMEN CLIENTES'!M:M)</f>
        <v>OK</v>
      </c>
      <c r="E897" s="72">
        <f>+_xlfn.XLOOKUP(Tabla6[[#This Row],[NOMBRE]],'RESUMEN CLIENTES'!A:A,'RESUMEN CLIENTES'!X:X)</f>
        <v>-0.33333333333333331</v>
      </c>
      <c r="F897" s="72">
        <f>+_xlfn.XLOOKUP(Tabla6[[#This Row],[ID CLIENTE]],'RESUMEN CLIENTES'!D:D,'RESUMEN CLIENTES'!W:W)</f>
        <v>1</v>
      </c>
      <c r="G897" s="17">
        <v>46047</v>
      </c>
      <c r="H897" s="44" t="s">
        <v>81</v>
      </c>
      <c r="I897" s="2">
        <v>1000</v>
      </c>
      <c r="J897" s="20" t="s">
        <v>1982</v>
      </c>
      <c r="K897" t="s">
        <v>1983</v>
      </c>
      <c r="L897" s="44" t="str" cm="1">
        <f t="array" ref="L897">+_xlfn.IFS(COUNTIF(INGRESOS!E:E,Tabla6[[#This Row],[ID FACTURA]])=1,"PAGADA",Tabla6[[#This Row],[ID FACTURA]]&lt;&gt;0,"EMITIDA",Tabla6[[#This Row],[ID FACTURA]]=0,"POR EMITIR")</f>
        <v>PAGADA</v>
      </c>
      <c r="M897" s="55">
        <f>+IF(Tabla6[[#This Row],[ESTADO FACTURA]]="PAGADA",Tabla6[[#This Row],[FECHA]]-_xlfn.XLOOKUP(Tabla6[[#This Row],[N° FACTURA]],INGRESOS!F:F,INGRESOS!A:A),"-")</f>
        <v>1</v>
      </c>
      <c r="N897" s="2"/>
      <c r="O897"/>
    </row>
    <row r="898" spans="1:15" ht="14.75" customHeight="1">
      <c r="A898" s="320" t="s">
        <v>2521</v>
      </c>
      <c r="B898" t="str">
        <f>+_xlfn.XLOOKUP(Tabla6[[#This Row],[ID CLIENTE]],'RESUMEN CLIENTES'!D:D,'RESUMEN CLIENTES'!A:A)</f>
        <v>Fabián Andrés Sarmiento Auli</v>
      </c>
      <c r="C898" t="str">
        <f>+_xlfn.XLOOKUP(Tabla6[[#This Row],[ID CLIENTE]],'RESUMEN CLIENTES'!D:D,'RESUMEN CLIENTES'!C:C)</f>
        <v>Colombia</v>
      </c>
      <c r="D898" s="169" t="str">
        <f>+_xlfn.XLOOKUP(Tabla6[[#This Row],[ID CLIENTE]],'RESUMEN CLIENTES'!D:D,'RESUMEN CLIENTES'!M:M)</f>
        <v>OK</v>
      </c>
      <c r="E898" s="71">
        <f>+_xlfn.XLOOKUP(Tabla6[[#This Row],[NOMBRE]],'RESUMEN CLIENTES'!A:A,'RESUMEN CLIENTES'!X:X)</f>
        <v>0</v>
      </c>
      <c r="F898" s="71">
        <f>+_xlfn.XLOOKUP(Tabla6[[#This Row],[ID CLIENTE]],'RESUMEN CLIENTES'!D:D,'RESUMEN CLIENTES'!W:W)</f>
        <v>0</v>
      </c>
      <c r="G898" s="17">
        <v>46048</v>
      </c>
      <c r="H898" s="169" t="s">
        <v>81</v>
      </c>
      <c r="I898" s="2">
        <v>650</v>
      </c>
      <c r="J898" s="20" t="s">
        <v>2648</v>
      </c>
      <c r="K898" t="s">
        <v>2649</v>
      </c>
      <c r="L898" s="44" t="str" cm="1">
        <f t="array" ref="L898">+_xlfn.IFS(COUNTIF(INGRESOS!E:E,Tabla6[[#This Row],[ID FACTURA]])=1,"PAGADA",Tabla6[[#This Row],[ID FACTURA]]&lt;&gt;0,"EMITIDA",Tabla6[[#This Row],[ID FACTURA]]=0,"POR EMITIR")</f>
        <v>PAGADA</v>
      </c>
      <c r="M898" s="54">
        <f>+IF(Tabla6[[#This Row],[ESTADO FACTURA]]="PAGADA",Tabla6[[#This Row],[FECHA]]-_xlfn.XLOOKUP(Tabla6[[#This Row],[N° FACTURA]],INGRESOS!F:F,INGRESOS!A:A),"-")</f>
        <v>0</v>
      </c>
      <c r="O898"/>
    </row>
    <row r="899" spans="1:15" ht="14.75" customHeight="1">
      <c r="A899" s="320" t="s">
        <v>1945</v>
      </c>
      <c r="B899" t="str">
        <f>+_xlfn.XLOOKUP(Tabla6[[#This Row],[ID CLIENTE]],'RESUMEN CLIENTES'!D:D,'RESUMEN CLIENTES'!A:A)</f>
        <v>Fernanda Constanza Kompai Antu Arellano Guzmán</v>
      </c>
      <c r="C899" t="str">
        <f>+_xlfn.XLOOKUP(Tabla6[[#This Row],[ID CLIENTE]],'RESUMEN CLIENTES'!D:D,'RESUMEN CLIENTES'!C:C)</f>
        <v>Chile</v>
      </c>
      <c r="D899" s="169" t="str">
        <f>+_xlfn.XLOOKUP(Tabla6[[#This Row],[ID CLIENTE]],'RESUMEN CLIENTES'!D:D,'RESUMEN CLIENTES'!M:M)</f>
        <v>OK</v>
      </c>
      <c r="E899" s="71">
        <f>+_xlfn.XLOOKUP(Tabla6[[#This Row],[NOMBRE]],'RESUMEN CLIENTES'!A:A,'RESUMEN CLIENTES'!X:X)</f>
        <v>0</v>
      </c>
      <c r="F899" s="71">
        <f>+_xlfn.XLOOKUP(Tabla6[[#This Row],[ID CLIENTE]],'RESUMEN CLIENTES'!D:D,'RESUMEN CLIENTES'!W:W)</f>
        <v>0</v>
      </c>
      <c r="G899" s="170">
        <v>46048</v>
      </c>
      <c r="H899" s="170" t="s">
        <v>81</v>
      </c>
      <c r="I899" s="2">
        <v>250</v>
      </c>
      <c r="J899" s="20" t="s">
        <v>1990</v>
      </c>
      <c r="K899" t="s">
        <v>1991</v>
      </c>
      <c r="L899" s="44" t="str" cm="1">
        <f t="array" ref="L899">+_xlfn.IFS(COUNTIF(INGRESOS!E:E,Tabla6[[#This Row],[ID FACTURA]])=1,"PAGADA",Tabla6[[#This Row],[ID FACTURA]]&lt;&gt;0,"EMITIDA",Tabla6[[#This Row],[ID FACTURA]]=0,"POR EMITIR")</f>
        <v>PAGADA</v>
      </c>
      <c r="M899" s="54">
        <f>+IF(Tabla6[[#This Row],[ESTADO FACTURA]]="PAGADA",Tabla6[[#This Row],[FECHA]]-_xlfn.XLOOKUP(Tabla6[[#This Row],[N° FACTURA]],INGRESOS!F:F,INGRESOS!A:A),"-")</f>
        <v>0</v>
      </c>
      <c r="O899"/>
    </row>
    <row r="900" spans="1:15" ht="14.75" customHeight="1">
      <c r="A900" s="320" t="s">
        <v>1743</v>
      </c>
      <c r="B900" t="str">
        <f>+_xlfn.XLOOKUP(Tabla6[[#This Row],[ID CLIENTE]],'RESUMEN CLIENTES'!D:D,'RESUMEN CLIENTES'!A:A)</f>
        <v>Fernando Alberto Lagos Belmar</v>
      </c>
      <c r="C900" t="str">
        <f>+_xlfn.XLOOKUP(Tabla6[[#This Row],[ID CLIENTE]],'RESUMEN CLIENTES'!D:D,'RESUMEN CLIENTES'!C:C)</f>
        <v>Chile</v>
      </c>
      <c r="D900" s="169" t="str">
        <f>+_xlfn.XLOOKUP(Tabla6[[#This Row],[ID CLIENTE]],'RESUMEN CLIENTES'!D:D,'RESUMEN CLIENTES'!M:M)</f>
        <v>OK</v>
      </c>
      <c r="E900" s="71">
        <f>+_xlfn.XLOOKUP(Tabla6[[#This Row],[NOMBRE]],'RESUMEN CLIENTES'!A:A,'RESUMEN CLIENTES'!X:X)</f>
        <v>0.25</v>
      </c>
      <c r="F900" s="71">
        <f>+_xlfn.XLOOKUP(Tabla6[[#This Row],[ID CLIENTE]],'RESUMEN CLIENTES'!D:D,'RESUMEN CLIENTES'!W:W)</f>
        <v>1</v>
      </c>
      <c r="G900" s="17">
        <v>46048</v>
      </c>
      <c r="H900" s="169" t="s">
        <v>81</v>
      </c>
      <c r="I900" s="2">
        <v>1000</v>
      </c>
      <c r="J900" s="20" t="s">
        <v>1986</v>
      </c>
      <c r="K900" t="s">
        <v>1987</v>
      </c>
      <c r="L900" s="44" t="str" cm="1">
        <f t="array" ref="L900">+_xlfn.IFS(COUNTIF(INGRESOS!E:E,Tabla6[[#This Row],[ID FACTURA]])=1,"PAGADA",Tabla6[[#This Row],[ID FACTURA]]&lt;&gt;0,"EMITIDA",Tabla6[[#This Row],[ID FACTURA]]=0,"POR EMITIR")</f>
        <v>PAGADA</v>
      </c>
      <c r="M900" s="55">
        <f>+IF(Tabla6[[#This Row],[ESTADO FACTURA]]="PAGADA",Tabla6[[#This Row],[FECHA]]-_xlfn.XLOOKUP(Tabla6[[#This Row],[N° FACTURA]],INGRESOS!F:F,INGRESOS!A:A),"-")</f>
        <v>1</v>
      </c>
      <c r="O900"/>
    </row>
    <row r="901" spans="1:15" ht="14.75" customHeight="1">
      <c r="A901" s="320" t="s">
        <v>706</v>
      </c>
      <c r="B901" t="str">
        <f>+_xlfn.XLOOKUP(Tabla6[[#This Row],[ID CLIENTE]],'RESUMEN CLIENTES'!D:D,'RESUMEN CLIENTES'!A:A)</f>
        <v>Virna Nathaly Montenegro Samaniego</v>
      </c>
      <c r="C901" t="str">
        <f>+_xlfn.XLOOKUP(Tabla6[[#This Row],[ID CLIENTE]],'RESUMEN CLIENTES'!D:D,'RESUMEN CLIENTES'!C:C)</f>
        <v>Ecuador</v>
      </c>
      <c r="D901" s="44" t="str">
        <f>+_xlfn.XLOOKUP(Tabla6[[#This Row],[ID CLIENTE]],'RESUMEN CLIENTES'!D:D,'RESUMEN CLIENTES'!M:M)</f>
        <v>OK</v>
      </c>
      <c r="E901" s="72">
        <f>+_xlfn.XLOOKUP(Tabla6[[#This Row],[NOMBRE]],'RESUMEN CLIENTES'!A:A,'RESUMEN CLIENTES'!X:X)</f>
        <v>7.375</v>
      </c>
      <c r="F901" s="72">
        <f>+_xlfn.XLOOKUP(Tabla6[[#This Row],[ID CLIENTE]],'RESUMEN CLIENTES'!D:D,'RESUMEN CLIENTES'!W:W)</f>
        <v>0</v>
      </c>
      <c r="G901" s="17">
        <v>46048</v>
      </c>
      <c r="H901" s="44" t="s">
        <v>81</v>
      </c>
      <c r="I901" s="2">
        <v>1000</v>
      </c>
      <c r="J901" s="20" t="s">
        <v>1988</v>
      </c>
      <c r="K901" t="s">
        <v>1989</v>
      </c>
      <c r="L901" s="44" t="str" cm="1">
        <f t="array" ref="L901">+_xlfn.IFS(COUNTIF(INGRESOS!E:E,Tabla6[[#This Row],[ID FACTURA]])=1,"PAGADA",Tabla6[[#This Row],[ID FACTURA]]&lt;&gt;0,"EMITIDA",Tabla6[[#This Row],[ID FACTURA]]=0,"POR EMITIR")</f>
        <v>PAGADA</v>
      </c>
      <c r="M901" s="55">
        <f>+IF(Tabla6[[#This Row],[ESTADO FACTURA]]="PAGADA",Tabla6[[#This Row],[FECHA]]-_xlfn.XLOOKUP(Tabla6[[#This Row],[N° FACTURA]],INGRESOS!F:F,INGRESOS!A:A),"-")</f>
        <v>2</v>
      </c>
      <c r="N901" s="2"/>
      <c r="O901"/>
    </row>
    <row r="902" spans="1:15" ht="14.75" customHeight="1">
      <c r="A902" s="320" t="s">
        <v>1996</v>
      </c>
      <c r="B902" t="str">
        <f>+_xlfn.XLOOKUP(Tabla6[[#This Row],[ID CLIENTE]],'RESUMEN CLIENTES'!D:D,'RESUMEN CLIENTES'!A:A)</f>
        <v>Ivan Gonzales Graus</v>
      </c>
      <c r="C902" t="str">
        <f>+_xlfn.XLOOKUP(Tabla6[[#This Row],[ID CLIENTE]],'RESUMEN CLIENTES'!D:D,'RESUMEN CLIENTES'!C:C)</f>
        <v>Perú</v>
      </c>
      <c r="D902" s="169" t="str">
        <f>+_xlfn.XLOOKUP(Tabla6[[#This Row],[ID CLIENTE]],'RESUMEN CLIENTES'!D:D,'RESUMEN CLIENTES'!M:M)</f>
        <v>OK</v>
      </c>
      <c r="E902" s="71">
        <f>+_xlfn.XLOOKUP(Tabla6[[#This Row],[NOMBRE]],'RESUMEN CLIENTES'!A:A,'RESUMEN CLIENTES'!X:X)</f>
        <v>-2</v>
      </c>
      <c r="F902" s="71">
        <f>+_xlfn.XLOOKUP(Tabla6[[#This Row],[ID CLIENTE]],'RESUMEN CLIENTES'!D:D,'RESUMEN CLIENTES'!W:W)</f>
        <v>1</v>
      </c>
      <c r="G902" s="17">
        <v>46049</v>
      </c>
      <c r="H902" s="169" t="s">
        <v>81</v>
      </c>
      <c r="I902" s="2">
        <v>250</v>
      </c>
      <c r="J902" s="20" t="s">
        <v>1997</v>
      </c>
      <c r="K902" t="s">
        <v>1998</v>
      </c>
      <c r="L902" s="44" t="str" cm="1">
        <f t="array" ref="L902">+_xlfn.IFS(COUNTIF(INGRESOS!E:E,Tabla6[[#This Row],[ID FACTURA]])=1,"PAGADA",Tabla6[[#This Row],[ID FACTURA]]&lt;&gt;0,"EMITIDA",Tabla6[[#This Row],[ID FACTURA]]=0,"POR EMITIR")</f>
        <v>PAGADA</v>
      </c>
      <c r="M902" s="54">
        <f>+IF(Tabla6[[#This Row],[ESTADO FACTURA]]="PAGADA",Tabla6[[#This Row],[FECHA]]-_xlfn.XLOOKUP(Tabla6[[#This Row],[N° FACTURA]],INGRESOS!F:F,INGRESOS!A:A),"-")</f>
        <v>0</v>
      </c>
      <c r="O902"/>
    </row>
    <row r="903" spans="1:15" ht="14.75" customHeight="1">
      <c r="A903" s="320" t="s">
        <v>711</v>
      </c>
      <c r="B903" t="str">
        <f>+_xlfn.XLOOKUP(Tabla6[[#This Row],[ID CLIENTE]],'RESUMEN CLIENTES'!D:D,'RESUMEN CLIENTES'!A:A)</f>
        <v>Julian David Gutierrez Rodriguez</v>
      </c>
      <c r="C903" t="str">
        <f>+_xlfn.XLOOKUP(Tabla6[[#This Row],[ID CLIENTE]],'RESUMEN CLIENTES'!D:D,'RESUMEN CLIENTES'!C:C)</f>
        <v>Colombia</v>
      </c>
      <c r="D903" s="44" t="str">
        <f>+_xlfn.XLOOKUP(Tabla6[[#This Row],[ID CLIENTE]],'RESUMEN CLIENTES'!D:D,'RESUMEN CLIENTES'!M:M)</f>
        <v>OK</v>
      </c>
      <c r="E903" s="72">
        <f>+_xlfn.XLOOKUP(Tabla6[[#This Row],[NOMBRE]],'RESUMEN CLIENTES'!A:A,'RESUMEN CLIENTES'!X:X)</f>
        <v>0.7142857142857143</v>
      </c>
      <c r="F903" s="72">
        <f>+_xlfn.XLOOKUP(Tabla6[[#This Row],[ID CLIENTE]],'RESUMEN CLIENTES'!D:D,'RESUMEN CLIENTES'!W:W)</f>
        <v>1</v>
      </c>
      <c r="G903" s="17">
        <v>46049</v>
      </c>
      <c r="H903" s="44" t="s">
        <v>81</v>
      </c>
      <c r="I903" s="2">
        <v>500</v>
      </c>
      <c r="J903" s="20" t="s">
        <v>1992</v>
      </c>
      <c r="K903" t="s">
        <v>1993</v>
      </c>
      <c r="L903" s="44" t="str" cm="1">
        <f t="array" ref="L903">+_xlfn.IFS(COUNTIF(INGRESOS!E:E,Tabla6[[#This Row],[ID FACTURA]])=1,"PAGADA",Tabla6[[#This Row],[ID FACTURA]]&lt;&gt;0,"EMITIDA",Tabla6[[#This Row],[ID FACTURA]]=0,"POR EMITIR")</f>
        <v>PAGADA</v>
      </c>
      <c r="M903" s="55">
        <f>+IF(Tabla6[[#This Row],[ESTADO FACTURA]]="PAGADA",Tabla6[[#This Row],[FECHA]]-_xlfn.XLOOKUP(Tabla6[[#This Row],[N° FACTURA]],INGRESOS!F:F,INGRESOS!A:A),"-")</f>
        <v>0</v>
      </c>
      <c r="N903" s="2"/>
      <c r="O903"/>
    </row>
    <row r="904" spans="1:15" ht="14.75" customHeight="1">
      <c r="A904" s="320" t="s">
        <v>372</v>
      </c>
      <c r="B904" t="str">
        <f>+_xlfn.XLOOKUP(Tabla6[[#This Row],[ID CLIENTE]],'RESUMEN CLIENTES'!D:D,'RESUMEN CLIENTES'!A:A)</f>
        <v>Julio Nelson Adaros Moraga</v>
      </c>
      <c r="C904" t="str">
        <f>+_xlfn.XLOOKUP(Tabla6[[#This Row],[ID CLIENTE]],'RESUMEN CLIENTES'!D:D,'RESUMEN CLIENTES'!C:C)</f>
        <v>Chile</v>
      </c>
      <c r="D904" s="44" t="str">
        <f>+_xlfn.XLOOKUP(Tabla6[[#This Row],[ID CLIENTE]],'RESUMEN CLIENTES'!D:D,'RESUMEN CLIENTES'!M:M)</f>
        <v>OK</v>
      </c>
      <c r="E904" s="72">
        <f>+_xlfn.XLOOKUP(Tabla6[[#This Row],[NOMBRE]],'RESUMEN CLIENTES'!A:A,'RESUMEN CLIENTES'!X:X)</f>
        <v>1</v>
      </c>
      <c r="F904" s="72">
        <f>+_xlfn.XLOOKUP(Tabla6[[#This Row],[ID CLIENTE]],'RESUMEN CLIENTES'!D:D,'RESUMEN CLIENTES'!W:W)</f>
        <v>1</v>
      </c>
      <c r="G904" s="17">
        <v>46049</v>
      </c>
      <c r="H904" s="44" t="s">
        <v>81</v>
      </c>
      <c r="I904" s="2">
        <v>1000</v>
      </c>
      <c r="J904" s="20" t="s">
        <v>1994</v>
      </c>
      <c r="K904" t="s">
        <v>1995</v>
      </c>
      <c r="L904" s="44" t="str" cm="1">
        <f t="array" ref="L904">+_xlfn.IFS(COUNTIF(INGRESOS!E:E,Tabla6[[#This Row],[ID FACTURA]])=1,"PAGADA",Tabla6[[#This Row],[ID FACTURA]]&lt;&gt;0,"EMITIDA",Tabla6[[#This Row],[ID FACTURA]]=0,"POR EMITIR")</f>
        <v>PAGADA</v>
      </c>
      <c r="M904" s="55">
        <f>+IF(Tabla6[[#This Row],[ESTADO FACTURA]]="PAGADA",Tabla6[[#This Row],[FECHA]]-_xlfn.XLOOKUP(Tabla6[[#This Row],[N° FACTURA]],INGRESOS!F:F,INGRESOS!A:A),"-")</f>
        <v>0</v>
      </c>
      <c r="N904" s="2"/>
      <c r="O904"/>
    </row>
    <row r="905" spans="1:15" ht="14.75" customHeight="1">
      <c r="A905" s="321" t="s">
        <v>1870</v>
      </c>
      <c r="B905" t="str">
        <f>+_xlfn.XLOOKUP(Tabla6[[#This Row],[ID CLIENTE]],'RESUMEN CLIENTES'!D:D,'RESUMEN CLIENTES'!A:A)</f>
        <v>Berenisse Shadia Yarango Garay</v>
      </c>
      <c r="C905" t="str">
        <f>+_xlfn.XLOOKUP(Tabla6[[#This Row],[ID CLIENTE]],'RESUMEN CLIENTES'!D:D,'RESUMEN CLIENTES'!C:C)</f>
        <v>Perú</v>
      </c>
      <c r="D905" s="169" t="str">
        <f>+_xlfn.XLOOKUP(Tabla6[[#This Row],[ID CLIENTE]],'RESUMEN CLIENTES'!D:D,'RESUMEN CLIENTES'!M:M)</f>
        <v>OK</v>
      </c>
      <c r="E905" s="71">
        <f>+_xlfn.XLOOKUP(Tabla6[[#This Row],[NOMBRE]],'RESUMEN CLIENTES'!A:A,'RESUMEN CLIENTES'!X:X)</f>
        <v>-0.33333333333333331</v>
      </c>
      <c r="F905" s="71">
        <f>+_xlfn.XLOOKUP(Tabla6[[#This Row],[ID CLIENTE]],'RESUMEN CLIENTES'!D:D,'RESUMEN CLIENTES'!W:W)</f>
        <v>0</v>
      </c>
      <c r="G905" s="17">
        <v>46050</v>
      </c>
      <c r="H905" s="169" t="s">
        <v>81</v>
      </c>
      <c r="I905" s="2">
        <v>2750</v>
      </c>
      <c r="J905" s="20" t="s">
        <v>1999</v>
      </c>
      <c r="K905" t="s">
        <v>2000</v>
      </c>
      <c r="L905" s="44" t="str" cm="1">
        <f t="array" ref="L905">+_xlfn.IFS(COUNTIF(INGRESOS!E:E,Tabla6[[#This Row],[ID FACTURA]])=1,"PAGADA",Tabla6[[#This Row],[ID FACTURA]]&lt;&gt;0,"EMITIDA",Tabla6[[#This Row],[ID FACTURA]]=0,"POR EMITIR")</f>
        <v>PAGADA</v>
      </c>
      <c r="M905" s="54">
        <f>+IF(Tabla6[[#This Row],[ESTADO FACTURA]]="PAGADA",Tabla6[[#This Row],[FECHA]]-_xlfn.XLOOKUP(Tabla6[[#This Row],[N° FACTURA]],INGRESOS!F:F,INGRESOS!A:A),"-")</f>
        <v>-3</v>
      </c>
      <c r="O905"/>
    </row>
    <row r="906" spans="1:15" ht="14.75" customHeight="1">
      <c r="A906" s="320" t="s">
        <v>1461</v>
      </c>
      <c r="B906" t="str">
        <f>+_xlfn.XLOOKUP(Tabla6[[#This Row],[ID CLIENTE]],'RESUMEN CLIENTES'!D:D,'RESUMEN CLIENTES'!A:A)</f>
        <v>Katerine Marianela Verastegui Mendoza</v>
      </c>
      <c r="C906" t="str">
        <f>+_xlfn.XLOOKUP(Tabla6[[#This Row],[ID CLIENTE]],'RESUMEN CLIENTES'!D:D,'RESUMEN CLIENTES'!C:C)</f>
        <v>Perú</v>
      </c>
      <c r="D906" s="44" t="str">
        <f>+_xlfn.XLOOKUP(Tabla6[[#This Row],[ID CLIENTE]],'RESUMEN CLIENTES'!D:D,'RESUMEN CLIENTES'!M:M)</f>
        <v>OK</v>
      </c>
      <c r="E906" s="71">
        <f>+_xlfn.XLOOKUP(Tabla6[[#This Row],[NOMBRE]],'RESUMEN CLIENTES'!A:A,'RESUMEN CLIENTES'!X:X)</f>
        <v>-2</v>
      </c>
      <c r="F906" s="71">
        <f>+_xlfn.XLOOKUP(Tabla6[[#This Row],[ID CLIENTE]],'RESUMEN CLIENTES'!D:D,'RESUMEN CLIENTES'!W:W)</f>
        <v>0</v>
      </c>
      <c r="G906" s="17">
        <v>46050</v>
      </c>
      <c r="H906" s="169" t="s">
        <v>81</v>
      </c>
      <c r="I906" s="2">
        <v>1000</v>
      </c>
      <c r="J906" s="20" t="s">
        <v>2001</v>
      </c>
      <c r="K906" t="s">
        <v>2002</v>
      </c>
      <c r="L906" s="44" t="str" cm="1">
        <f t="array" ref="L906">+_xlfn.IFS(COUNTIF(INGRESOS!E:E,Tabla6[[#This Row],[ID FACTURA]])=1,"PAGADA",Tabla6[[#This Row],[ID FACTURA]]&lt;&gt;0,"EMITIDA",Tabla6[[#This Row],[ID FACTURA]]=0,"POR EMITIR")</f>
        <v>PAGADA</v>
      </c>
      <c r="M906" s="55">
        <f>+IF(Tabla6[[#This Row],[ESTADO FACTURA]]="PAGADA",Tabla6[[#This Row],[FECHA]]-_xlfn.XLOOKUP(Tabla6[[#This Row],[N° FACTURA]],INGRESOS!F:F,INGRESOS!A:A),"-")</f>
        <v>-2</v>
      </c>
      <c r="N906" s="2"/>
      <c r="O906"/>
    </row>
    <row r="907" spans="1:15" ht="14.75" customHeight="1">
      <c r="A907" s="320" t="s">
        <v>1482</v>
      </c>
      <c r="B907" t="str">
        <f>+_xlfn.XLOOKUP(Tabla6[[#This Row],[ID CLIENTE]],'RESUMEN CLIENTES'!D:D,'RESUMEN CLIENTES'!A:A)</f>
        <v>Laxmi Davi Patel Flores</v>
      </c>
      <c r="C907" t="str">
        <f>+_xlfn.XLOOKUP(Tabla6[[#This Row],[ID CLIENTE]],'RESUMEN CLIENTES'!D:D,'RESUMEN CLIENTES'!C:C)</f>
        <v>Ecuador</v>
      </c>
      <c r="D907" s="44" t="str">
        <f>+_xlfn.XLOOKUP(Tabla6[[#This Row],[ID CLIENTE]],'RESUMEN CLIENTES'!D:D,'RESUMEN CLIENTES'!M:M)</f>
        <v>OK</v>
      </c>
      <c r="E907" s="71">
        <f>+_xlfn.XLOOKUP(Tabla6[[#This Row],[NOMBRE]],'RESUMEN CLIENTES'!A:A,'RESUMEN CLIENTES'!X:X)</f>
        <v>-1.5714285714285714</v>
      </c>
      <c r="F907" s="71">
        <f>+_xlfn.XLOOKUP(Tabla6[[#This Row],[ID CLIENTE]],'RESUMEN CLIENTES'!D:D,'RESUMEN CLIENTES'!W:W)</f>
        <v>0</v>
      </c>
      <c r="G907" s="17">
        <v>46050</v>
      </c>
      <c r="H907" s="169" t="s">
        <v>81</v>
      </c>
      <c r="I907" s="2">
        <v>2750</v>
      </c>
      <c r="J907" s="20" t="s">
        <v>2003</v>
      </c>
      <c r="K907" t="s">
        <v>2004</v>
      </c>
      <c r="L907" s="44" t="str" cm="1">
        <f t="array" ref="L907">+_xlfn.IFS(COUNTIF(INGRESOS!E:E,Tabla6[[#This Row],[ID FACTURA]])=1,"PAGADA",Tabla6[[#This Row],[ID FACTURA]]&lt;&gt;0,"EMITIDA",Tabla6[[#This Row],[ID FACTURA]]=0,"POR EMITIR")</f>
        <v>PAGADA</v>
      </c>
      <c r="M907" s="55">
        <f>+IF(Tabla6[[#This Row],[ESTADO FACTURA]]="PAGADA",Tabla6[[#This Row],[FECHA]]-_xlfn.XLOOKUP(Tabla6[[#This Row],[N° FACTURA]],INGRESOS!F:F,INGRESOS!A:A),"-")</f>
        <v>0</v>
      </c>
      <c r="N907" s="2"/>
      <c r="O907"/>
    </row>
    <row r="908" spans="1:15" ht="14.75" customHeight="1">
      <c r="A908" s="320" t="s">
        <v>1374</v>
      </c>
      <c r="B908" t="str">
        <f>+_xlfn.XLOOKUP(Tabla6[[#This Row],[ID CLIENTE]],'RESUMEN CLIENTES'!D:D,'RESUMEN CLIENTES'!A:A)</f>
        <v>Samuel Sebastián Marmolejo Saldarriaga</v>
      </c>
      <c r="C908" t="str">
        <f>+_xlfn.XLOOKUP(Tabla6[[#This Row],[ID CLIENTE]],'RESUMEN CLIENTES'!D:D,'RESUMEN CLIENTES'!C:C)</f>
        <v>Perú</v>
      </c>
      <c r="D908" s="44" t="str">
        <f>+_xlfn.XLOOKUP(Tabla6[[#This Row],[ID CLIENTE]],'RESUMEN CLIENTES'!D:D,'RESUMEN CLIENTES'!M:M)</f>
        <v>OK</v>
      </c>
      <c r="E908" s="71">
        <f>+_xlfn.XLOOKUP(Tabla6[[#This Row],[NOMBRE]],'RESUMEN CLIENTES'!A:A,'RESUMEN CLIENTES'!X:X)</f>
        <v>-0.5</v>
      </c>
      <c r="F908" s="71">
        <f>+_xlfn.XLOOKUP(Tabla6[[#This Row],[ID CLIENTE]],'RESUMEN CLIENTES'!D:D,'RESUMEN CLIENTES'!W:W)</f>
        <v>0</v>
      </c>
      <c r="G908" s="17">
        <v>46050</v>
      </c>
      <c r="H908" s="44" t="s">
        <v>81</v>
      </c>
      <c r="I908" s="2">
        <v>984</v>
      </c>
      <c r="J908" s="20" t="s">
        <v>2005</v>
      </c>
      <c r="K908" t="s">
        <v>2006</v>
      </c>
      <c r="L908" s="44" t="str" cm="1">
        <f t="array" ref="L908">+_xlfn.IFS(COUNTIF(INGRESOS!E:E,Tabla6[[#This Row],[ID FACTURA]])=1,"PAGADA",Tabla6[[#This Row],[ID FACTURA]]&lt;&gt;0,"EMITIDA",Tabla6[[#This Row],[ID FACTURA]]=0,"POR EMITIR")</f>
        <v>PAGADA</v>
      </c>
      <c r="M908" s="55">
        <f>+IF(Tabla6[[#This Row],[ESTADO FACTURA]]="PAGADA",Tabla6[[#This Row],[FECHA]]-_xlfn.XLOOKUP(Tabla6[[#This Row],[N° FACTURA]],INGRESOS!F:F,INGRESOS!A:A),"-")</f>
        <v>1</v>
      </c>
      <c r="N908" s="2"/>
      <c r="O908"/>
    </row>
    <row r="909" spans="1:15" ht="14.75" customHeight="1">
      <c r="A909" s="320" t="s">
        <v>450</v>
      </c>
      <c r="B909" t="str">
        <f>+_xlfn.XLOOKUP(Tabla6[[#This Row],[ID CLIENTE]],'RESUMEN CLIENTES'!D:D,'RESUMEN CLIENTES'!A:A)</f>
        <v>Alexandra Carolina Ordoñez Cuotto</v>
      </c>
      <c r="C909" t="str">
        <f>+_xlfn.XLOOKUP(Tabla6[[#This Row],[ID CLIENTE]],'RESUMEN CLIENTES'!D:D,'RESUMEN CLIENTES'!C:C)</f>
        <v>Venezuela</v>
      </c>
      <c r="D909" s="44" t="str">
        <f>+_xlfn.XLOOKUP(Tabla6[[#This Row],[ID CLIENTE]],'RESUMEN CLIENTES'!D:D,'RESUMEN CLIENTES'!M:M)</f>
        <v>¡REGULARIZAR!</v>
      </c>
      <c r="E909" s="72">
        <f>+_xlfn.XLOOKUP(Tabla6[[#This Row],[NOMBRE]],'RESUMEN CLIENTES'!A:A,'RESUMEN CLIENTES'!X:X)</f>
        <v>-2</v>
      </c>
      <c r="F909" s="72">
        <f>+_xlfn.XLOOKUP(Tabla6[[#This Row],[ID CLIENTE]],'RESUMEN CLIENTES'!D:D,'RESUMEN CLIENTES'!W:W)</f>
        <v>0</v>
      </c>
      <c r="G909" s="17">
        <v>46051</v>
      </c>
      <c r="H909" s="44" t="s">
        <v>81</v>
      </c>
      <c r="I909" s="2">
        <v>1000</v>
      </c>
      <c r="J909" t="s">
        <v>2007</v>
      </c>
      <c r="K909" t="s">
        <v>2008</v>
      </c>
      <c r="L909" s="44" t="str" cm="1">
        <f t="array" ref="L909">+_xlfn.IFS(COUNTIF(INGRESOS!E:E,Tabla6[[#This Row],[ID FACTURA]])=1,"PAGADA",Tabla6[[#This Row],[ID FACTURA]]&lt;&gt;0,"EMITIDA",Tabla6[[#This Row],[ID FACTURA]]=0,"POR EMITIR")</f>
        <v>EMITIDA</v>
      </c>
      <c r="M909" s="55" t="str">
        <f>+IF(Tabla6[[#This Row],[ESTADO FACTURA]]="PAGADA",Tabla6[[#This Row],[FECHA]]-_xlfn.XLOOKUP(Tabla6[[#This Row],[N° FACTURA]],INGRESOS!F:F,INGRESOS!A:A),"-")</f>
        <v>-</v>
      </c>
      <c r="N909" s="2"/>
      <c r="O909" t="s">
        <v>2009</v>
      </c>
    </row>
    <row r="910" spans="1:15" ht="14.75" customHeight="1">
      <c r="A910" s="320" t="s">
        <v>2011</v>
      </c>
      <c r="B910" t="str">
        <f>+_xlfn.XLOOKUP(Tabla6[[#This Row],[ID CLIENTE]],'RESUMEN CLIENTES'!D:D,'RESUMEN CLIENTES'!A:A)</f>
        <v>Bárbara Fuentes</v>
      </c>
      <c r="C910" t="str">
        <f>+_xlfn.XLOOKUP(Tabla6[[#This Row],[ID CLIENTE]],'RESUMEN CLIENTES'!D:D,'RESUMEN CLIENTES'!C:C)</f>
        <v>Chile</v>
      </c>
      <c r="D910" s="169" t="str">
        <f>+_xlfn.XLOOKUP(Tabla6[[#This Row],[ID CLIENTE]],'RESUMEN CLIENTES'!D:D,'RESUMEN CLIENTES'!M:M)</f>
        <v>OK</v>
      </c>
      <c r="E910" s="71">
        <f>+_xlfn.XLOOKUP(Tabla6[[#This Row],[NOMBRE]],'RESUMEN CLIENTES'!A:A,'RESUMEN CLIENTES'!X:X)</f>
        <v>-0.33333333333333331</v>
      </c>
      <c r="F910" s="71">
        <f>+_xlfn.XLOOKUP(Tabla6[[#This Row],[ID CLIENTE]],'RESUMEN CLIENTES'!D:D,'RESUMEN CLIENTES'!W:W)</f>
        <v>0</v>
      </c>
      <c r="G910" s="17">
        <v>46051</v>
      </c>
      <c r="H910" s="169" t="s">
        <v>81</v>
      </c>
      <c r="I910" s="2">
        <v>250</v>
      </c>
      <c r="J910" s="20" t="s">
        <v>2012</v>
      </c>
      <c r="K910" t="s">
        <v>2013</v>
      </c>
      <c r="L910" s="44" t="str" cm="1">
        <f t="array" ref="L910">+_xlfn.IFS(COUNTIF(INGRESOS!E:E,Tabla6[[#This Row],[ID FACTURA]])=1,"PAGADA",Tabla6[[#This Row],[ID FACTURA]]&lt;&gt;0,"EMITIDA",Tabla6[[#This Row],[ID FACTURA]]=0,"POR EMITIR")</f>
        <v>PAGADA</v>
      </c>
      <c r="M910" s="54">
        <f>+IF(Tabla6[[#This Row],[ESTADO FACTURA]]="PAGADA",Tabla6[[#This Row],[FECHA]]-_xlfn.XLOOKUP(Tabla6[[#This Row],[N° FACTURA]],INGRESOS!F:F,INGRESOS!A:A),"-")</f>
        <v>0</v>
      </c>
      <c r="O910"/>
    </row>
    <row r="911" spans="1:15" ht="14.75" customHeight="1">
      <c r="A911" s="320" t="s">
        <v>952</v>
      </c>
      <c r="B911" t="str">
        <f>+_xlfn.XLOOKUP(Tabla6[[#This Row],[ID CLIENTE]],'RESUMEN CLIENTES'!D:D,'RESUMEN CLIENTES'!A:A)</f>
        <v>Fernando José Fuentes Bárcenas</v>
      </c>
      <c r="C911" t="str">
        <f>+_xlfn.XLOOKUP(Tabla6[[#This Row],[ID CLIENTE]],'RESUMEN CLIENTES'!D:D,'RESUMEN CLIENTES'!C:C)</f>
        <v>El Salvador</v>
      </c>
      <c r="D911" s="44" t="str">
        <f>+_xlfn.XLOOKUP(Tabla6[[#This Row],[ID CLIENTE]],'RESUMEN CLIENTES'!D:D,'RESUMEN CLIENTES'!M:M)</f>
        <v>ELIMINADO</v>
      </c>
      <c r="E911" s="72">
        <f>+_xlfn.XLOOKUP(Tabla6[[#This Row],[NOMBRE]],'RESUMEN CLIENTES'!A:A,'RESUMEN CLIENTES'!X:X)</f>
        <v>0.4</v>
      </c>
      <c r="F911" s="72">
        <f>+_xlfn.XLOOKUP(Tabla6[[#This Row],[ID CLIENTE]],'RESUMEN CLIENTES'!D:D,'RESUMEN CLIENTES'!W:W)</f>
        <v>1</v>
      </c>
      <c r="G911" s="17">
        <v>46051</v>
      </c>
      <c r="H911" s="44" t="s">
        <v>81</v>
      </c>
      <c r="I911" s="2">
        <v>1000</v>
      </c>
      <c r="J911"/>
      <c r="K911"/>
      <c r="L911" s="44" t="str" cm="1">
        <f t="array" ref="L911">+_xlfn.IFS(COUNTIF(INGRESOS!E:E,Tabla6[[#This Row],[ID FACTURA]])=1,"PAGADA",Tabla6[[#This Row],[ID FACTURA]]&lt;&gt;0,"EMITIDA",Tabla6[[#This Row],[ID FACTURA]]=0,"POR EMITIR")</f>
        <v>POR EMITIR</v>
      </c>
      <c r="M911" s="55" t="str">
        <f>+IF(Tabla6[[#This Row],[ESTADO FACTURA]]="PAGADA",Tabla6[[#This Row],[FECHA]]-_xlfn.XLOOKUP(Tabla6[[#This Row],[N° FACTURA]],INGRESOS!F:F,INGRESOS!A:A),"-")</f>
        <v>-</v>
      </c>
      <c r="N911" s="2"/>
      <c r="O911" t="s">
        <v>2010</v>
      </c>
    </row>
    <row r="912" spans="1:15" ht="14.75" customHeight="1">
      <c r="A912" s="320" t="s">
        <v>4464</v>
      </c>
      <c r="B912" t="str">
        <f>+_xlfn.XLOOKUP(Tabla6[[#This Row],[ID CLIENTE]],'RESUMEN CLIENTES'!D:D,'RESUMEN CLIENTES'!A:A)</f>
        <v>Alan Diego Titiro Casone</v>
      </c>
      <c r="C912" t="str">
        <f>+_xlfn.XLOOKUP(Tabla6[[#This Row],[ID CLIENTE]],'RESUMEN CLIENTES'!D:D,'RESUMEN CLIENTES'!C:C)</f>
        <v>Chile</v>
      </c>
      <c r="D912" s="44" t="str">
        <f>+_xlfn.XLOOKUP(Tabla6[[#This Row],[ID CLIENTE]],'RESUMEN CLIENTES'!D:D,'RESUMEN CLIENTES'!M:M)</f>
        <v>OK</v>
      </c>
      <c r="E912" s="72">
        <f>+_xlfn.XLOOKUP(Tabla6[[#This Row],[NOMBRE]],'RESUMEN CLIENTES'!A:A,'RESUMEN CLIENTES'!X:X)</f>
        <v>0</v>
      </c>
      <c r="F912" s="72">
        <f>+_xlfn.XLOOKUP(Tabla6[[#This Row],[ID CLIENTE]],'RESUMEN CLIENTES'!D:D,'RESUMEN CLIENTES'!W:W)</f>
        <v>0</v>
      </c>
      <c r="G912" s="17">
        <v>46052</v>
      </c>
      <c r="H912" s="44" t="s">
        <v>81</v>
      </c>
      <c r="I912" s="2">
        <v>8438</v>
      </c>
      <c r="J912" s="20" t="s">
        <v>4462</v>
      </c>
      <c r="K912" t="s">
        <v>4463</v>
      </c>
      <c r="L912" s="44" t="str" cm="1">
        <f t="array" ref="L912">+_xlfn.IFS(COUNTIF(INGRESOS!E:E,Tabla6[[#This Row],[ID FACTURA]])=1,"PAGADA",Tabla6[[#This Row],[ID FACTURA]]&lt;&gt;0,"EMITIDA",Tabla6[[#This Row],[ID FACTURA]]=0,"POR EMITIR")</f>
        <v>PAGADA</v>
      </c>
      <c r="M912" s="55">
        <f>+IF(Tabla6[[#This Row],[ESTADO FACTURA]]="PAGADA",Tabla6[[#This Row],[FECHA]]-_xlfn.XLOOKUP(Tabla6[[#This Row],[N° FACTURA]],INGRESOS!F:F,INGRESOS!A:A),"-")</f>
        <v>0</v>
      </c>
      <c r="N912" s="186"/>
      <c r="O912"/>
    </row>
    <row r="913" spans="1:15" ht="14.75" customHeight="1">
      <c r="A913" s="320" t="s">
        <v>541</v>
      </c>
      <c r="B913" t="str">
        <f>+_xlfn.XLOOKUP(Tabla6[[#This Row],[ID CLIENTE]],'RESUMEN CLIENTES'!D:D,'RESUMEN CLIENTES'!A:A)</f>
        <v>Alejandra Goretti Figueroa Romo</v>
      </c>
      <c r="C913" t="str">
        <f>+_xlfn.XLOOKUP(Tabla6[[#This Row],[ID CLIENTE]],'RESUMEN CLIENTES'!D:D,'RESUMEN CLIENTES'!C:C)</f>
        <v>México</v>
      </c>
      <c r="D913" s="44" t="str">
        <f>+_xlfn.XLOOKUP(Tabla6[[#This Row],[ID CLIENTE]],'RESUMEN CLIENTES'!D:D,'RESUMEN CLIENTES'!M:M)</f>
        <v>OK</v>
      </c>
      <c r="E913" s="72">
        <f>+_xlfn.XLOOKUP(Tabla6[[#This Row],[NOMBRE]],'RESUMEN CLIENTES'!A:A,'RESUMEN CLIENTES'!X:X)</f>
        <v>0.75</v>
      </c>
      <c r="F913" s="72">
        <f>+_xlfn.XLOOKUP(Tabla6[[#This Row],[ID CLIENTE]],'RESUMEN CLIENTES'!D:D,'RESUMEN CLIENTES'!W:W)</f>
        <v>0</v>
      </c>
      <c r="G913" s="17">
        <v>46052</v>
      </c>
      <c r="H913" s="44" t="s">
        <v>81</v>
      </c>
      <c r="I913" s="2">
        <v>1000</v>
      </c>
      <c r="J913" s="20" t="s">
        <v>2014</v>
      </c>
      <c r="K913" t="s">
        <v>2015</v>
      </c>
      <c r="L913" s="44" t="str" cm="1">
        <f t="array" ref="L913">+_xlfn.IFS(COUNTIF(INGRESOS!E:E,Tabla6[[#This Row],[ID FACTURA]])=1,"PAGADA",Tabla6[[#This Row],[ID FACTURA]]&lt;&gt;0,"EMITIDA",Tabla6[[#This Row],[ID FACTURA]]=0,"POR EMITIR")</f>
        <v>PAGADA</v>
      </c>
      <c r="M913" s="55">
        <f>+IF(Tabla6[[#This Row],[ESTADO FACTURA]]="PAGADA",Tabla6[[#This Row],[FECHA]]-_xlfn.XLOOKUP(Tabla6[[#This Row],[N° FACTURA]],INGRESOS!F:F,INGRESOS!A:A),"-")</f>
        <v>1</v>
      </c>
      <c r="N913" s="2"/>
      <c r="O913"/>
    </row>
    <row r="914" spans="1:15" ht="14.75" customHeight="1">
      <c r="A914" s="320" t="s">
        <v>84</v>
      </c>
      <c r="B914" t="str">
        <f>+_xlfn.XLOOKUP(Tabla6[[#This Row],[ID CLIENTE]],'RESUMEN CLIENTES'!D:D,'RESUMEN CLIENTES'!A:A)</f>
        <v>Andrea Corpeño López</v>
      </c>
      <c r="C914" t="str">
        <f>+_xlfn.XLOOKUP(Tabla6[[#This Row],[ID CLIENTE]],'RESUMEN CLIENTES'!D:D,'RESUMEN CLIENTES'!C:C)</f>
        <v>El Salvador</v>
      </c>
      <c r="D914" s="44" t="str">
        <f>+_xlfn.XLOOKUP(Tabla6[[#This Row],[ID CLIENTE]],'RESUMEN CLIENTES'!D:D,'RESUMEN CLIENTES'!M:M)</f>
        <v>OK</v>
      </c>
      <c r="E914" s="72">
        <f>+_xlfn.XLOOKUP(Tabla6[[#This Row],[NOMBRE]],'RESUMEN CLIENTES'!A:A,'RESUMEN CLIENTES'!X:X)</f>
        <v>-0.81818181818181823</v>
      </c>
      <c r="F914" s="72">
        <f>+_xlfn.XLOOKUP(Tabla6[[#This Row],[ID CLIENTE]],'RESUMEN CLIENTES'!D:D,'RESUMEN CLIENTES'!W:W)</f>
        <v>0</v>
      </c>
      <c r="G914" s="17">
        <v>46052</v>
      </c>
      <c r="H914" s="44" t="s">
        <v>81</v>
      </c>
      <c r="I914" s="2">
        <v>800</v>
      </c>
      <c r="J914" s="20" t="s">
        <v>2016</v>
      </c>
      <c r="K914" t="s">
        <v>2017</v>
      </c>
      <c r="L914" s="44" t="str" cm="1">
        <f t="array" ref="L914">+_xlfn.IFS(COUNTIF(INGRESOS!E:E,Tabla6[[#This Row],[ID FACTURA]])=1,"PAGADA",Tabla6[[#This Row],[ID FACTURA]]&lt;&gt;0,"EMITIDA",Tabla6[[#This Row],[ID FACTURA]]=0,"POR EMITIR")</f>
        <v>PAGADA</v>
      </c>
      <c r="M914" s="55">
        <f>+IF(Tabla6[[#This Row],[ESTADO FACTURA]]="PAGADA",Tabla6[[#This Row],[FECHA]]-_xlfn.XLOOKUP(Tabla6[[#This Row],[N° FACTURA]],INGRESOS!F:F,INGRESOS!A:A),"-")</f>
        <v>6</v>
      </c>
      <c r="N914" s="2"/>
      <c r="O914"/>
    </row>
    <row r="915" spans="1:15" ht="14.75" customHeight="1">
      <c r="A915" s="320" t="s">
        <v>226</v>
      </c>
      <c r="B915" t="str">
        <f>+_xlfn.XLOOKUP(Tabla6[[#This Row],[ID CLIENTE]],'RESUMEN CLIENTES'!D:D,'RESUMEN CLIENTES'!A:A)</f>
        <v>Carlos Josue Escobar Morán</v>
      </c>
      <c r="C915" t="str">
        <f>+_xlfn.XLOOKUP(Tabla6[[#This Row],[ID CLIENTE]],'RESUMEN CLIENTES'!D:D,'RESUMEN CLIENTES'!C:C)</f>
        <v>El Salvador</v>
      </c>
      <c r="D915" s="44" t="str">
        <f>+_xlfn.XLOOKUP(Tabla6[[#This Row],[ID CLIENTE]],'RESUMEN CLIENTES'!D:D,'RESUMEN CLIENTES'!M:M)</f>
        <v>OK</v>
      </c>
      <c r="E915" s="72">
        <f>+_xlfn.XLOOKUP(Tabla6[[#This Row],[NOMBRE]],'RESUMEN CLIENTES'!A:A,'RESUMEN CLIENTES'!X:X)</f>
        <v>0.8</v>
      </c>
      <c r="F915" s="72">
        <f>+_xlfn.XLOOKUP(Tabla6[[#This Row],[ID CLIENTE]],'RESUMEN CLIENTES'!D:D,'RESUMEN CLIENTES'!W:W)</f>
        <v>0</v>
      </c>
      <c r="G915" s="17">
        <v>46052</v>
      </c>
      <c r="H915" s="44" t="s">
        <v>81</v>
      </c>
      <c r="I915" s="2">
        <v>500</v>
      </c>
      <c r="J915" s="20" t="s">
        <v>2018</v>
      </c>
      <c r="K915" t="s">
        <v>2019</v>
      </c>
      <c r="L915" s="44" t="str" cm="1">
        <f t="array" ref="L915">+_xlfn.IFS(COUNTIF(INGRESOS!E:E,Tabla6[[#This Row],[ID FACTURA]])=1,"PAGADA",Tabla6[[#This Row],[ID FACTURA]]&lt;&gt;0,"EMITIDA",Tabla6[[#This Row],[ID FACTURA]]=0,"POR EMITIR")</f>
        <v>PAGADA</v>
      </c>
      <c r="M915" s="55">
        <f>+IF(Tabla6[[#This Row],[ESTADO FACTURA]]="PAGADA",Tabla6[[#This Row],[FECHA]]-_xlfn.XLOOKUP(Tabla6[[#This Row],[N° FACTURA]],INGRESOS!F:F,INGRESOS!A:A),"-")</f>
        <v>1</v>
      </c>
      <c r="N915" s="2"/>
      <c r="O915"/>
    </row>
    <row r="916" spans="1:15" ht="14.75" customHeight="1">
      <c r="A916" s="320" t="s">
        <v>479</v>
      </c>
      <c r="B916" t="str">
        <f>+_xlfn.XLOOKUP(Tabla6[[#This Row],[ID CLIENTE]],'RESUMEN CLIENTES'!D:D,'RESUMEN CLIENTES'!A:A)</f>
        <v>Carlos Mersaim Olivares Sandoval</v>
      </c>
      <c r="C916" t="str">
        <f>+_xlfn.XLOOKUP(Tabla6[[#This Row],[ID CLIENTE]],'RESUMEN CLIENTES'!D:D,'RESUMEN CLIENTES'!C:C)</f>
        <v>México</v>
      </c>
      <c r="D916" s="44" t="str">
        <f>+_xlfn.XLOOKUP(Tabla6[[#This Row],[ID CLIENTE]],'RESUMEN CLIENTES'!D:D,'RESUMEN CLIENTES'!M:M)</f>
        <v>OK</v>
      </c>
      <c r="E916" s="72">
        <f>+_xlfn.XLOOKUP(Tabla6[[#This Row],[NOMBRE]],'RESUMEN CLIENTES'!A:A,'RESUMEN CLIENTES'!X:X)</f>
        <v>1.4444444444444444</v>
      </c>
      <c r="F916" s="72">
        <f>+_xlfn.XLOOKUP(Tabla6[[#This Row],[ID CLIENTE]],'RESUMEN CLIENTES'!D:D,'RESUMEN CLIENTES'!W:W)</f>
        <v>0</v>
      </c>
      <c r="G916" s="17">
        <v>46052</v>
      </c>
      <c r="H916" s="44" t="s">
        <v>81</v>
      </c>
      <c r="I916" s="2">
        <v>1000</v>
      </c>
      <c r="J916" s="20" t="s">
        <v>2020</v>
      </c>
      <c r="K916" t="s">
        <v>2021</v>
      </c>
      <c r="L916" s="44" t="str" cm="1">
        <f t="array" ref="L916">+_xlfn.IFS(COUNTIF(INGRESOS!E:E,Tabla6[[#This Row],[ID FACTURA]])=1,"PAGADA",Tabla6[[#This Row],[ID FACTURA]]&lt;&gt;0,"EMITIDA",Tabla6[[#This Row],[ID FACTURA]]=0,"POR EMITIR")</f>
        <v>PAGADA</v>
      </c>
      <c r="M916" s="55">
        <f>+IF(Tabla6[[#This Row],[ESTADO FACTURA]]="PAGADA",Tabla6[[#This Row],[FECHA]]-_xlfn.XLOOKUP(Tabla6[[#This Row],[N° FACTURA]],INGRESOS!F:F,INGRESOS!A:A),"-")</f>
        <v>1</v>
      </c>
      <c r="N916" s="2"/>
      <c r="O916"/>
    </row>
    <row r="917" spans="1:15" ht="14.75" customHeight="1">
      <c r="A917" s="320" t="s">
        <v>385</v>
      </c>
      <c r="B917" t="str">
        <f>+_xlfn.XLOOKUP(Tabla6[[#This Row],[ID CLIENTE]],'RESUMEN CLIENTES'!D:D,'RESUMEN CLIENTES'!A:A)</f>
        <v>Ellen Cristina Gerónimo Bonilla</v>
      </c>
      <c r="C917" t="str">
        <f>+_xlfn.XLOOKUP(Tabla6[[#This Row],[ID CLIENTE]],'RESUMEN CLIENTES'!D:D,'RESUMEN CLIENTES'!C:C)</f>
        <v>República Dominicana</v>
      </c>
      <c r="D917" s="44" t="str">
        <f>+_xlfn.XLOOKUP(Tabla6[[#This Row],[ID CLIENTE]],'RESUMEN CLIENTES'!D:D,'RESUMEN CLIENTES'!M:M)</f>
        <v>OK</v>
      </c>
      <c r="E917" s="72">
        <f>+_xlfn.XLOOKUP(Tabla6[[#This Row],[NOMBRE]],'RESUMEN CLIENTES'!A:A,'RESUMEN CLIENTES'!X:X)</f>
        <v>1.5555555555555556</v>
      </c>
      <c r="F917" s="72">
        <f>+_xlfn.XLOOKUP(Tabla6[[#This Row],[ID CLIENTE]],'RESUMEN CLIENTES'!D:D,'RESUMEN CLIENTES'!W:W)</f>
        <v>1</v>
      </c>
      <c r="G917" s="17">
        <v>46052</v>
      </c>
      <c r="H917" s="44" t="s">
        <v>81</v>
      </c>
      <c r="I917" s="2">
        <v>600</v>
      </c>
      <c r="J917" s="20" t="s">
        <v>2022</v>
      </c>
      <c r="K917" t="s">
        <v>2023</v>
      </c>
      <c r="L917" s="44" t="str" cm="1">
        <f t="array" ref="L917">+_xlfn.IFS(COUNTIF(INGRESOS!E:E,Tabla6[[#This Row],[ID FACTURA]])=1,"PAGADA",Tabla6[[#This Row],[ID FACTURA]]&lt;&gt;0,"EMITIDA",Tabla6[[#This Row],[ID FACTURA]]=0,"POR EMITIR")</f>
        <v>PAGADA</v>
      </c>
      <c r="M917" s="55">
        <f>+IF(Tabla6[[#This Row],[ESTADO FACTURA]]="PAGADA",Tabla6[[#This Row],[FECHA]]-_xlfn.XLOOKUP(Tabla6[[#This Row],[N° FACTURA]],INGRESOS!F:F,INGRESOS!A:A),"-")</f>
        <v>1</v>
      </c>
      <c r="N917" s="2"/>
      <c r="O917"/>
    </row>
    <row r="918" spans="1:15" ht="14.75" customHeight="1">
      <c r="A918" s="320" t="s">
        <v>1761</v>
      </c>
      <c r="B918" t="str">
        <f>+_xlfn.XLOOKUP(Tabla6[[#This Row],[ID CLIENTE]],'RESUMEN CLIENTES'!D:D,'RESUMEN CLIENTES'!A:A)</f>
        <v>Francisco Salas Barrera</v>
      </c>
      <c r="C918" t="str">
        <f>+_xlfn.XLOOKUP(Tabla6[[#This Row],[ID CLIENTE]],'RESUMEN CLIENTES'!D:D,'RESUMEN CLIENTES'!C:C)</f>
        <v>México</v>
      </c>
      <c r="D918" s="169" t="str">
        <f>+_xlfn.XLOOKUP(Tabla6[[#This Row],[ID CLIENTE]],'RESUMEN CLIENTES'!D:D,'RESUMEN CLIENTES'!M:M)</f>
        <v>OK</v>
      </c>
      <c r="E918" s="71">
        <f>+_xlfn.XLOOKUP(Tabla6[[#This Row],[NOMBRE]],'RESUMEN CLIENTES'!A:A,'RESUMEN CLIENTES'!X:X)</f>
        <v>-0.75</v>
      </c>
      <c r="F918" s="71">
        <f>+_xlfn.XLOOKUP(Tabla6[[#This Row],[ID CLIENTE]],'RESUMEN CLIENTES'!D:D,'RESUMEN CLIENTES'!W:W)</f>
        <v>0</v>
      </c>
      <c r="G918" s="17">
        <v>46052</v>
      </c>
      <c r="H918" s="169" t="s">
        <v>81</v>
      </c>
      <c r="I918" s="2">
        <v>1000</v>
      </c>
      <c r="J918" s="20" t="s">
        <v>2024</v>
      </c>
      <c r="K918" t="s">
        <v>2025</v>
      </c>
      <c r="L918" s="44" t="str" cm="1">
        <f t="array" ref="L918">+_xlfn.IFS(COUNTIF(INGRESOS!E:E,Tabla6[[#This Row],[ID FACTURA]])=1,"PAGADA",Tabla6[[#This Row],[ID FACTURA]]&lt;&gt;0,"EMITIDA",Tabla6[[#This Row],[ID FACTURA]]=0,"POR EMITIR")</f>
        <v>PAGADA</v>
      </c>
      <c r="M918" s="55">
        <f>+IF(Tabla6[[#This Row],[ESTADO FACTURA]]="PAGADA",Tabla6[[#This Row],[FECHA]]-_xlfn.XLOOKUP(Tabla6[[#This Row],[N° FACTURA]],INGRESOS!F:F,INGRESOS!A:A),"-")</f>
        <v>-2</v>
      </c>
      <c r="O918"/>
    </row>
    <row r="919" spans="1:15" ht="14.75" customHeight="1">
      <c r="A919" s="320" t="s">
        <v>739</v>
      </c>
      <c r="B919" t="str">
        <f>+_xlfn.XLOOKUP(Tabla6[[#This Row],[ID CLIENTE]],'RESUMEN CLIENTES'!D:D,'RESUMEN CLIENTES'!A:A)</f>
        <v>Gilberto Martiñon Torres</v>
      </c>
      <c r="C919" t="str">
        <f>+_xlfn.XLOOKUP(Tabla6[[#This Row],[ID CLIENTE]],'RESUMEN CLIENTES'!D:D,'RESUMEN CLIENTES'!C:C)</f>
        <v>México</v>
      </c>
      <c r="D919" s="44" t="str">
        <f>+_xlfn.XLOOKUP(Tabla6[[#This Row],[ID CLIENTE]],'RESUMEN CLIENTES'!D:D,'RESUMEN CLIENTES'!M:M)</f>
        <v>OK</v>
      </c>
      <c r="E919" s="72">
        <f>+_xlfn.XLOOKUP(Tabla6[[#This Row],[NOMBRE]],'RESUMEN CLIENTES'!A:A,'RESUMEN CLIENTES'!X:X)</f>
        <v>-0.625</v>
      </c>
      <c r="F919" s="72">
        <f>+_xlfn.XLOOKUP(Tabla6[[#This Row],[ID CLIENTE]],'RESUMEN CLIENTES'!D:D,'RESUMEN CLIENTES'!W:W)</f>
        <v>0</v>
      </c>
      <c r="G919" s="17">
        <v>46052</v>
      </c>
      <c r="H919" s="44" t="s">
        <v>81</v>
      </c>
      <c r="I919" s="2">
        <v>700</v>
      </c>
      <c r="J919" s="20" t="s">
        <v>2654</v>
      </c>
      <c r="K919" t="s">
        <v>2655</v>
      </c>
      <c r="L919" s="44" t="str" cm="1">
        <f t="array" ref="L919">+_xlfn.IFS(COUNTIF(INGRESOS!E:E,Tabla6[[#This Row],[ID FACTURA]])=1,"PAGADA",Tabla6[[#This Row],[ID FACTURA]]&lt;&gt;0,"EMITIDA",Tabla6[[#This Row],[ID FACTURA]]=0,"POR EMITIR")</f>
        <v>PAGADA</v>
      </c>
      <c r="M919" s="55">
        <f>+IF(Tabla6[[#This Row],[ESTADO FACTURA]]="PAGADA",Tabla6[[#This Row],[FECHA]]-_xlfn.XLOOKUP(Tabla6[[#This Row],[N° FACTURA]],INGRESOS!F:F,INGRESOS!A:A),"-")</f>
        <v>-2</v>
      </c>
      <c r="N919" s="2"/>
      <c r="O919"/>
    </row>
    <row r="920" spans="1:15" ht="14.75" customHeight="1">
      <c r="A920" s="320" t="s">
        <v>106</v>
      </c>
      <c r="B920" t="str">
        <f>+_xlfn.XLOOKUP(Tabla6[[#This Row],[ID CLIENTE]],'RESUMEN CLIENTES'!D:D,'RESUMEN CLIENTES'!A:A)</f>
        <v>Hector Armando Daza Mejia</v>
      </c>
      <c r="C920" t="str">
        <f>+_xlfn.XLOOKUP(Tabla6[[#This Row],[ID CLIENTE]],'RESUMEN CLIENTES'!D:D,'RESUMEN CLIENTES'!C:C)</f>
        <v>Colombia</v>
      </c>
      <c r="D920" s="44" t="str">
        <f>+_xlfn.XLOOKUP(Tabla6[[#This Row],[ID CLIENTE]],'RESUMEN CLIENTES'!D:D,'RESUMEN CLIENTES'!M:M)</f>
        <v>OK</v>
      </c>
      <c r="E920" s="72">
        <f>+_xlfn.XLOOKUP(Tabla6[[#This Row],[NOMBRE]],'RESUMEN CLIENTES'!A:A,'RESUMEN CLIENTES'!X:X)</f>
        <v>1.1111111111111112</v>
      </c>
      <c r="F920" s="72">
        <f>+_xlfn.XLOOKUP(Tabla6[[#This Row],[ID CLIENTE]],'RESUMEN CLIENTES'!D:D,'RESUMEN CLIENTES'!W:W)</f>
        <v>0</v>
      </c>
      <c r="G920" s="17">
        <v>46052</v>
      </c>
      <c r="H920" s="44" t="s">
        <v>81</v>
      </c>
      <c r="I920" s="2">
        <v>1500</v>
      </c>
      <c r="J920" s="20" t="s">
        <v>2026</v>
      </c>
      <c r="K920" t="s">
        <v>2027</v>
      </c>
      <c r="L920" s="44" t="str" cm="1">
        <f t="array" ref="L920">+_xlfn.IFS(COUNTIF(INGRESOS!E:E,Tabla6[[#This Row],[ID FACTURA]])=1,"PAGADA",Tabla6[[#This Row],[ID FACTURA]]&lt;&gt;0,"EMITIDA",Tabla6[[#This Row],[ID FACTURA]]=0,"POR EMITIR")</f>
        <v>PAGADA</v>
      </c>
      <c r="M920" s="55">
        <f>+IF(Tabla6[[#This Row],[ESTADO FACTURA]]="PAGADA",Tabla6[[#This Row],[FECHA]]-_xlfn.XLOOKUP(Tabla6[[#This Row],[N° FACTURA]],INGRESOS!F:F,INGRESOS!A:A),"-")</f>
        <v>3</v>
      </c>
      <c r="N920" s="2"/>
      <c r="O920"/>
    </row>
    <row r="921" spans="1:15" ht="14.75" customHeight="1">
      <c r="A921" s="320" t="s">
        <v>139</v>
      </c>
      <c r="B921" t="str">
        <f>+_xlfn.XLOOKUP(Tabla6[[#This Row],[ID CLIENTE]],'RESUMEN CLIENTES'!D:D,'RESUMEN CLIENTES'!A:A)</f>
        <v>Hugo Nicolás Trávez Morales</v>
      </c>
      <c r="C921" t="str">
        <f>+_xlfn.XLOOKUP(Tabla6[[#This Row],[ID CLIENTE]],'RESUMEN CLIENTES'!D:D,'RESUMEN CLIENTES'!C:C)</f>
        <v>Ecuador</v>
      </c>
      <c r="D921" s="169" t="str">
        <f>+_xlfn.XLOOKUP(Tabla6[[#This Row],[ID CLIENTE]],'RESUMEN CLIENTES'!D:D,'RESUMEN CLIENTES'!M:M)</f>
        <v>OK</v>
      </c>
      <c r="E921" s="71">
        <f>+_xlfn.XLOOKUP(Tabla6[[#This Row],[NOMBRE]],'RESUMEN CLIENTES'!A:A,'RESUMEN CLIENTES'!X:X)</f>
        <v>0</v>
      </c>
      <c r="F921" s="71">
        <f>+_xlfn.XLOOKUP(Tabla6[[#This Row],[ID CLIENTE]],'RESUMEN CLIENTES'!D:D,'RESUMEN CLIENTES'!W:W)</f>
        <v>0</v>
      </c>
      <c r="G921" s="17">
        <v>46052</v>
      </c>
      <c r="H921" s="44" t="s">
        <v>81</v>
      </c>
      <c r="I921" s="2">
        <v>500</v>
      </c>
      <c r="J921" s="20" t="s">
        <v>2044</v>
      </c>
      <c r="K921" t="s">
        <v>2045</v>
      </c>
      <c r="L921" s="44" t="str" cm="1">
        <f t="array" ref="L921">+_xlfn.IFS(COUNTIF(INGRESOS!E:E,Tabla6[[#This Row],[ID FACTURA]])=1,"PAGADA",Tabla6[[#This Row],[ID FACTURA]]&lt;&gt;0,"EMITIDA",Tabla6[[#This Row],[ID FACTURA]]=0,"POR EMITIR")</f>
        <v>PAGADA</v>
      </c>
      <c r="M921" s="54">
        <f>+IF(Tabla6[[#This Row],[ESTADO FACTURA]]="PAGADA",Tabla6[[#This Row],[FECHA]]-_xlfn.XLOOKUP(Tabla6[[#This Row],[N° FACTURA]],INGRESOS!F:F,INGRESOS!A:A),"-")</f>
        <v>-2</v>
      </c>
      <c r="O921"/>
    </row>
    <row r="922" spans="1:15" ht="14.75" customHeight="1">
      <c r="A922" s="320" t="s">
        <v>1996</v>
      </c>
      <c r="B922" t="str">
        <f>+_xlfn.XLOOKUP(Tabla6[[#This Row],[ID CLIENTE]],'RESUMEN CLIENTES'!D:D,'RESUMEN CLIENTES'!A:A)</f>
        <v>Ivan Gonzales Graus</v>
      </c>
      <c r="C922" t="str">
        <f>+_xlfn.XLOOKUP(Tabla6[[#This Row],[ID CLIENTE]],'RESUMEN CLIENTES'!D:D,'RESUMEN CLIENTES'!C:C)</f>
        <v>Perú</v>
      </c>
      <c r="D922" s="169" t="str">
        <f>+_xlfn.XLOOKUP(Tabla6[[#This Row],[ID CLIENTE]],'RESUMEN CLIENTES'!D:D,'RESUMEN CLIENTES'!M:M)</f>
        <v>OK</v>
      </c>
      <c r="E922" s="71">
        <f>+_xlfn.XLOOKUP(Tabla6[[#This Row],[NOMBRE]],'RESUMEN CLIENTES'!A:A,'RESUMEN CLIENTES'!X:X)</f>
        <v>-2</v>
      </c>
      <c r="F922" s="71">
        <f>+_xlfn.XLOOKUP(Tabla6[[#This Row],[ID CLIENTE]],'RESUMEN CLIENTES'!D:D,'RESUMEN CLIENTES'!W:W)</f>
        <v>1</v>
      </c>
      <c r="G922" s="17">
        <v>46052</v>
      </c>
      <c r="H922" s="169" t="s">
        <v>81</v>
      </c>
      <c r="I922" s="2">
        <v>750</v>
      </c>
      <c r="J922" s="20" t="s">
        <v>4409</v>
      </c>
      <c r="K922" t="s">
        <v>4410</v>
      </c>
      <c r="L922" s="44" t="str" cm="1">
        <f t="array" ref="L922">+_xlfn.IFS(COUNTIF(INGRESOS!E:E,Tabla6[[#This Row],[ID FACTURA]])=1,"PAGADA",Tabla6[[#This Row],[ID FACTURA]]&lt;&gt;0,"EMITIDA",Tabla6[[#This Row],[ID FACTURA]]=0,"POR EMITIR")</f>
        <v>PAGADA</v>
      </c>
      <c r="M922" s="54">
        <f>+IF(Tabla6[[#This Row],[ESTADO FACTURA]]="PAGADA",Tabla6[[#This Row],[FECHA]]-_xlfn.XLOOKUP(Tabla6[[#This Row],[N° FACTURA]],INGRESOS!F:F,INGRESOS!A:A),"-")</f>
        <v>-5</v>
      </c>
      <c r="O922"/>
    </row>
    <row r="923" spans="1:15" ht="14.75" customHeight="1">
      <c r="A923" s="320" t="s">
        <v>2046</v>
      </c>
      <c r="B923" t="str">
        <f>+_xlfn.XLOOKUP(Tabla6[[#This Row],[ID CLIENTE]],'RESUMEN CLIENTES'!D:D,'RESUMEN CLIENTES'!A:A)</f>
        <v>Jesica Daniela Paredes Mendoza</v>
      </c>
      <c r="C923" t="str">
        <f>+_xlfn.XLOOKUP(Tabla6[[#This Row],[ID CLIENTE]],'RESUMEN CLIENTES'!D:D,'RESUMEN CLIENTES'!C:C)</f>
        <v>México</v>
      </c>
      <c r="D923" s="169" t="str">
        <f>+_xlfn.XLOOKUP(Tabla6[[#This Row],[ID CLIENTE]],'RESUMEN CLIENTES'!D:D,'RESUMEN CLIENTES'!M:M)</f>
        <v>OK</v>
      </c>
      <c r="E923" s="71">
        <f>+_xlfn.XLOOKUP(Tabla6[[#This Row],[NOMBRE]],'RESUMEN CLIENTES'!A:A,'RESUMEN CLIENTES'!X:X)</f>
        <v>-2.75</v>
      </c>
      <c r="F923" s="71">
        <f>+_xlfn.XLOOKUP(Tabla6[[#This Row],[ID CLIENTE]],'RESUMEN CLIENTES'!D:D,'RESUMEN CLIENTES'!W:W)</f>
        <v>1</v>
      </c>
      <c r="G923" s="17">
        <v>46052</v>
      </c>
      <c r="H923" s="169" t="s">
        <v>81</v>
      </c>
      <c r="I923" s="2">
        <v>250</v>
      </c>
      <c r="J923" s="20" t="s">
        <v>2047</v>
      </c>
      <c r="K923" t="s">
        <v>2048</v>
      </c>
      <c r="L923" s="44" t="str" cm="1">
        <f t="array" ref="L923">+_xlfn.IFS(COUNTIF(INGRESOS!E:E,Tabla6[[#This Row],[ID FACTURA]])=1,"PAGADA",Tabla6[[#This Row],[ID FACTURA]]&lt;&gt;0,"EMITIDA",Tabla6[[#This Row],[ID FACTURA]]=0,"POR EMITIR")</f>
        <v>PAGADA</v>
      </c>
      <c r="M923" s="54">
        <f>+IF(Tabla6[[#This Row],[ESTADO FACTURA]]="PAGADA",Tabla6[[#This Row],[FECHA]]-_xlfn.XLOOKUP(Tabla6[[#This Row],[N° FACTURA]],INGRESOS!F:F,INGRESOS!A:A),"-")</f>
        <v>0</v>
      </c>
      <c r="O923"/>
    </row>
    <row r="924" spans="1:15" ht="14.75" customHeight="1">
      <c r="A924" s="320" t="s">
        <v>266</v>
      </c>
      <c r="B924" t="str">
        <f>+_xlfn.XLOOKUP(Tabla6[[#This Row],[ID CLIENTE]],'RESUMEN CLIENTES'!D:D,'RESUMEN CLIENTES'!A:A)</f>
        <v>Juan Camilo Sanchez Ramirez</v>
      </c>
      <c r="C924" t="str">
        <f>+_xlfn.XLOOKUP(Tabla6[[#This Row],[ID CLIENTE]],'RESUMEN CLIENTES'!D:D,'RESUMEN CLIENTES'!C:C)</f>
        <v>Colombia</v>
      </c>
      <c r="D924" s="44" t="str">
        <f>+_xlfn.XLOOKUP(Tabla6[[#This Row],[ID CLIENTE]],'RESUMEN CLIENTES'!D:D,'RESUMEN CLIENTES'!M:M)</f>
        <v>OK</v>
      </c>
      <c r="E924" s="72">
        <f>+_xlfn.XLOOKUP(Tabla6[[#This Row],[NOMBRE]],'RESUMEN CLIENTES'!A:A,'RESUMEN CLIENTES'!X:X)</f>
        <v>0.2</v>
      </c>
      <c r="F924" s="72">
        <f>+_xlfn.XLOOKUP(Tabla6[[#This Row],[ID CLIENTE]],'RESUMEN CLIENTES'!D:D,'RESUMEN CLIENTES'!W:W)</f>
        <v>0</v>
      </c>
      <c r="G924" s="17">
        <v>46052</v>
      </c>
      <c r="H924" s="44" t="s">
        <v>81</v>
      </c>
      <c r="I924" s="2">
        <v>1000</v>
      </c>
      <c r="J924" s="20" t="s">
        <v>2652</v>
      </c>
      <c r="K924" t="s">
        <v>2653</v>
      </c>
      <c r="L924" s="44" t="str" cm="1">
        <f t="array" ref="L924">+_xlfn.IFS(COUNTIF(INGRESOS!E:E,Tabla6[[#This Row],[ID FACTURA]])=1,"PAGADA",Tabla6[[#This Row],[ID FACTURA]]&lt;&gt;0,"EMITIDA",Tabla6[[#This Row],[ID FACTURA]]=0,"POR EMITIR")</f>
        <v>PAGADA</v>
      </c>
      <c r="M924" s="55">
        <f>+IF(Tabla6[[#This Row],[ESTADO FACTURA]]="PAGADA",Tabla6[[#This Row],[FECHA]]-_xlfn.XLOOKUP(Tabla6[[#This Row],[N° FACTURA]],INGRESOS!F:F,INGRESOS!A:A),"-")</f>
        <v>-2</v>
      </c>
      <c r="N924" s="2"/>
      <c r="O924"/>
    </row>
    <row r="925" spans="1:15" ht="14.75" customHeight="1">
      <c r="A925" s="320" t="s">
        <v>468</v>
      </c>
      <c r="B925" t="str">
        <f>+_xlfn.XLOOKUP(Tabla6[[#This Row],[ID CLIENTE]],'RESUMEN CLIENTES'!D:D,'RESUMEN CLIENTES'!A:A)</f>
        <v>Julian Medina</v>
      </c>
      <c r="C925" t="str">
        <f>+_xlfn.XLOOKUP(Tabla6[[#This Row],[ID CLIENTE]],'RESUMEN CLIENTES'!D:D,'RESUMEN CLIENTES'!C:C)</f>
        <v>Ecuador</v>
      </c>
      <c r="D925" s="44" t="str">
        <f>+_xlfn.XLOOKUP(Tabla6[[#This Row],[ID CLIENTE]],'RESUMEN CLIENTES'!D:D,'RESUMEN CLIENTES'!M:M)</f>
        <v>OK</v>
      </c>
      <c r="E925" s="72">
        <f>+_xlfn.XLOOKUP(Tabla6[[#This Row],[NOMBRE]],'RESUMEN CLIENTES'!A:A,'RESUMEN CLIENTES'!X:X)</f>
        <v>-0.5</v>
      </c>
      <c r="F925" s="72">
        <f>+_xlfn.XLOOKUP(Tabla6[[#This Row],[ID CLIENTE]],'RESUMEN CLIENTES'!D:D,'RESUMEN CLIENTES'!W:W)</f>
        <v>0</v>
      </c>
      <c r="G925" s="17">
        <v>46052</v>
      </c>
      <c r="H925" s="44" t="s">
        <v>81</v>
      </c>
      <c r="I925" s="2">
        <v>1700</v>
      </c>
      <c r="J925" s="20" t="s">
        <v>2030</v>
      </c>
      <c r="K925" t="s">
        <v>2031</v>
      </c>
      <c r="L925" s="44" t="str" cm="1">
        <f t="array" ref="L925">+_xlfn.IFS(COUNTIF(INGRESOS!E:E,Tabla6[[#This Row],[ID FACTURA]])=1,"PAGADA",Tabla6[[#This Row],[ID FACTURA]]&lt;&gt;0,"EMITIDA",Tabla6[[#This Row],[ID FACTURA]]=0,"POR EMITIR")</f>
        <v>PAGADA</v>
      </c>
      <c r="M925" s="55">
        <f>+IF(Tabla6[[#This Row],[ESTADO FACTURA]]="PAGADA",Tabla6[[#This Row],[FECHA]]-_xlfn.XLOOKUP(Tabla6[[#This Row],[N° FACTURA]],INGRESOS!F:F,INGRESOS!A:A),"-")</f>
        <v>-1</v>
      </c>
      <c r="N925" s="2">
        <v>50</v>
      </c>
      <c r="O925"/>
    </row>
    <row r="926" spans="1:15" ht="14.75" customHeight="1">
      <c r="A926" s="320" t="s">
        <v>468</v>
      </c>
      <c r="B926" t="str">
        <f>+_xlfn.XLOOKUP(Tabla6[[#This Row],[ID CLIENTE]],'RESUMEN CLIENTES'!D:D,'RESUMEN CLIENTES'!A:A)</f>
        <v>Julian Medina</v>
      </c>
      <c r="C926" t="str">
        <f>+_xlfn.XLOOKUP(Tabla6[[#This Row],[ID CLIENTE]],'RESUMEN CLIENTES'!D:D,'RESUMEN CLIENTES'!C:C)</f>
        <v>Ecuador</v>
      </c>
      <c r="D926" s="44" t="str">
        <f>+_xlfn.XLOOKUP(Tabla6[[#This Row],[ID CLIENTE]],'RESUMEN CLIENTES'!D:D,'RESUMEN CLIENTES'!M:M)</f>
        <v>OK</v>
      </c>
      <c r="E926" s="72">
        <f>+_xlfn.XLOOKUP(Tabla6[[#This Row],[NOMBRE]],'RESUMEN CLIENTES'!A:A,'RESUMEN CLIENTES'!X:X)</f>
        <v>-0.5</v>
      </c>
      <c r="F926" s="71">
        <f>+_xlfn.XLOOKUP(Tabla6[[#This Row],[ID CLIENTE]],'RESUMEN CLIENTES'!D:D,'RESUMEN CLIENTES'!W:W)</f>
        <v>0</v>
      </c>
      <c r="G926" s="17">
        <v>46052</v>
      </c>
      <c r="H926" s="44" t="s">
        <v>81</v>
      </c>
      <c r="I926" s="2">
        <v>2000</v>
      </c>
      <c r="J926" s="20" t="s">
        <v>2028</v>
      </c>
      <c r="K926" t="s">
        <v>2029</v>
      </c>
      <c r="L926" s="44" t="str" cm="1">
        <f t="array" ref="L926">+_xlfn.IFS(COUNTIF(INGRESOS!E:E,Tabla6[[#This Row],[ID FACTURA]])=1,"PAGADA",Tabla6[[#This Row],[ID FACTURA]]&lt;&gt;0,"EMITIDA",Tabla6[[#This Row],[ID FACTURA]]=0,"POR EMITIR")</f>
        <v>PAGADA</v>
      </c>
      <c r="M926" s="55">
        <f>+IF(Tabla6[[#This Row],[ESTADO FACTURA]]="PAGADA",Tabla6[[#This Row],[FECHA]]-_xlfn.XLOOKUP(Tabla6[[#This Row],[N° FACTURA]],INGRESOS!F:F,INGRESOS!A:A),"-")</f>
        <v>-1</v>
      </c>
      <c r="N926" s="214"/>
      <c r="O926"/>
    </row>
    <row r="927" spans="1:15" ht="14.75" customHeight="1">
      <c r="A927" s="320" t="s">
        <v>441</v>
      </c>
      <c r="B927" t="str">
        <f>+_xlfn.XLOOKUP(Tabla6[[#This Row],[ID CLIENTE]],'RESUMEN CLIENTES'!D:D,'RESUMEN CLIENTES'!A:A)</f>
        <v>Luis Manuel Villanueva Contreras</v>
      </c>
      <c r="C927" t="str">
        <f>+_xlfn.XLOOKUP(Tabla6[[#This Row],[ID CLIENTE]],'RESUMEN CLIENTES'!D:D,'RESUMEN CLIENTES'!C:C)</f>
        <v>México</v>
      </c>
      <c r="D927" s="44" t="str">
        <f>+_xlfn.XLOOKUP(Tabla6[[#This Row],[ID CLIENTE]],'RESUMEN CLIENTES'!D:D,'RESUMEN CLIENTES'!M:M)</f>
        <v>OK</v>
      </c>
      <c r="E927" s="72">
        <f>+_xlfn.XLOOKUP(Tabla6[[#This Row],[NOMBRE]],'RESUMEN CLIENTES'!A:A,'RESUMEN CLIENTES'!X:X)</f>
        <v>0.55555555555555558</v>
      </c>
      <c r="F927" s="72">
        <f>+_xlfn.XLOOKUP(Tabla6[[#This Row],[ID CLIENTE]],'RESUMEN CLIENTES'!D:D,'RESUMEN CLIENTES'!W:W)</f>
        <v>0</v>
      </c>
      <c r="G927" s="17">
        <v>46052</v>
      </c>
      <c r="H927" s="44" t="s">
        <v>81</v>
      </c>
      <c r="I927" s="2">
        <v>1000</v>
      </c>
      <c r="J927" s="20" t="s">
        <v>2032</v>
      </c>
      <c r="K927" t="s">
        <v>2033</v>
      </c>
      <c r="L927" s="44" t="str" cm="1">
        <f t="array" ref="L927">+_xlfn.IFS(COUNTIF(INGRESOS!E:E,Tabla6[[#This Row],[ID FACTURA]])=1,"PAGADA",Tabla6[[#This Row],[ID FACTURA]]&lt;&gt;0,"EMITIDA",Tabla6[[#This Row],[ID FACTURA]]=0,"POR EMITIR")</f>
        <v>PAGADA</v>
      </c>
      <c r="M927" s="55">
        <f>+IF(Tabla6[[#This Row],[ESTADO FACTURA]]="PAGADA",Tabla6[[#This Row],[FECHA]]-_xlfn.XLOOKUP(Tabla6[[#This Row],[N° FACTURA]],INGRESOS!F:F,INGRESOS!A:A),"-")</f>
        <v>1</v>
      </c>
      <c r="N927" s="2"/>
      <c r="O927"/>
    </row>
    <row r="928" spans="1:15" ht="14.75" customHeight="1">
      <c r="A928" s="320" t="s">
        <v>390</v>
      </c>
      <c r="B928" t="str">
        <f>+_xlfn.XLOOKUP(Tabla6[[#This Row],[ID CLIENTE]],'RESUMEN CLIENTES'!D:D,'RESUMEN CLIENTES'!A:A)</f>
        <v>María Fernanda Lincango Andi</v>
      </c>
      <c r="C928" t="str">
        <f>+_xlfn.XLOOKUP(Tabla6[[#This Row],[ID CLIENTE]],'RESUMEN CLIENTES'!D:D,'RESUMEN CLIENTES'!C:C)</f>
        <v>Ecuador</v>
      </c>
      <c r="D928" s="44" t="str">
        <f>+_xlfn.XLOOKUP(Tabla6[[#This Row],[ID CLIENTE]],'RESUMEN CLIENTES'!D:D,'RESUMEN CLIENTES'!M:M)</f>
        <v>¡REGULARIZAR!</v>
      </c>
      <c r="E928" s="72">
        <f>+_xlfn.XLOOKUP(Tabla6[[#This Row],[NOMBRE]],'RESUMEN CLIENTES'!A:A,'RESUMEN CLIENTES'!X:X)</f>
        <v>0.66666666666666663</v>
      </c>
      <c r="F928" s="72">
        <f>+_xlfn.XLOOKUP(Tabla6[[#This Row],[ID CLIENTE]],'RESUMEN CLIENTES'!D:D,'RESUMEN CLIENTES'!W:W)</f>
        <v>0</v>
      </c>
      <c r="G928" s="17">
        <v>46052</v>
      </c>
      <c r="H928" s="44" t="s">
        <v>81</v>
      </c>
      <c r="I928" s="2">
        <v>599</v>
      </c>
      <c r="J928" t="s">
        <v>6705</v>
      </c>
      <c r="K928" t="s">
        <v>6706</v>
      </c>
      <c r="L928" s="44" t="str" cm="1">
        <f t="array" ref="L928">+_xlfn.IFS(COUNTIF(INGRESOS!E:E,Tabla6[[#This Row],[ID FACTURA]])=1,"PAGADA",Tabla6[[#This Row],[ID FACTURA]]&lt;&gt;0,"EMITIDA",Tabla6[[#This Row],[ID FACTURA]]=0,"POR EMITIR")</f>
        <v>EMITIDA</v>
      </c>
      <c r="M928" s="55" t="str">
        <f>+IF(Tabla6[[#This Row],[ESTADO FACTURA]]="PAGADA",Tabla6[[#This Row],[FECHA]]-_xlfn.XLOOKUP(Tabla6[[#This Row],[N° FACTURA]],INGRESOS!F:F,INGRESOS!A:A),"-")</f>
        <v>-</v>
      </c>
      <c r="N928" s="2"/>
      <c r="O928" t="s">
        <v>6707</v>
      </c>
    </row>
    <row r="929" spans="1:15" ht="14.75" customHeight="1">
      <c r="A929" s="320" t="s">
        <v>590</v>
      </c>
      <c r="B929" t="str">
        <f>+_xlfn.XLOOKUP(Tabla6[[#This Row],[ID CLIENTE]],'RESUMEN CLIENTES'!D:D,'RESUMEN CLIENTES'!A:A)</f>
        <v>María Lucero de Jesús Barrios Sazo</v>
      </c>
      <c r="C929" t="str">
        <f>+_xlfn.XLOOKUP(Tabla6[[#This Row],[ID CLIENTE]],'RESUMEN CLIENTES'!D:D,'RESUMEN CLIENTES'!C:C)</f>
        <v>Guatemala</v>
      </c>
      <c r="D929" s="44" t="str">
        <f>+_xlfn.XLOOKUP(Tabla6[[#This Row],[ID CLIENTE]],'RESUMEN CLIENTES'!D:D,'RESUMEN CLIENTES'!M:M)</f>
        <v>OK</v>
      </c>
      <c r="E929" s="72">
        <f>+_xlfn.XLOOKUP(Tabla6[[#This Row],[NOMBRE]],'RESUMEN CLIENTES'!A:A,'RESUMEN CLIENTES'!X:X)</f>
        <v>1.25</v>
      </c>
      <c r="F929" s="72">
        <f>+_xlfn.XLOOKUP(Tabla6[[#This Row],[ID CLIENTE]],'RESUMEN CLIENTES'!D:D,'RESUMEN CLIENTES'!W:W)</f>
        <v>0</v>
      </c>
      <c r="G929" s="17">
        <v>46052</v>
      </c>
      <c r="H929" s="44" t="s">
        <v>81</v>
      </c>
      <c r="I929" s="2">
        <v>700</v>
      </c>
      <c r="J929" s="20" t="s">
        <v>2034</v>
      </c>
      <c r="K929" t="s">
        <v>2035</v>
      </c>
      <c r="L929" s="44" t="str" cm="1">
        <f t="array" ref="L929">+_xlfn.IFS(COUNTIF(INGRESOS!E:E,Tabla6[[#This Row],[ID FACTURA]])=1,"PAGADA",Tabla6[[#This Row],[ID FACTURA]]&lt;&gt;0,"EMITIDA",Tabla6[[#This Row],[ID FACTURA]]=0,"POR EMITIR")</f>
        <v>PAGADA</v>
      </c>
      <c r="M929" s="55">
        <f>+IF(Tabla6[[#This Row],[ESTADO FACTURA]]="PAGADA",Tabla6[[#This Row],[FECHA]]-_xlfn.XLOOKUP(Tabla6[[#This Row],[N° FACTURA]],INGRESOS!F:F,INGRESOS!A:A),"-")</f>
        <v>4</v>
      </c>
      <c r="N929" s="2"/>
      <c r="O929"/>
    </row>
    <row r="930" spans="1:15" ht="14.75" customHeight="1">
      <c r="A930" s="320" t="s">
        <v>1201</v>
      </c>
      <c r="B930" t="str">
        <f>+_xlfn.XLOOKUP(Tabla6[[#This Row],[ID CLIENTE]],'RESUMEN CLIENTES'!D:D,'RESUMEN CLIENTES'!A:A)</f>
        <v>María Soledad Tituana Asanza</v>
      </c>
      <c r="C930" t="str">
        <f>+_xlfn.XLOOKUP(Tabla6[[#This Row],[ID CLIENTE]],'RESUMEN CLIENTES'!D:D,'RESUMEN CLIENTES'!C:C)</f>
        <v>Ecuador</v>
      </c>
      <c r="D930" s="44" t="str">
        <f>+_xlfn.XLOOKUP(Tabla6[[#This Row],[ID CLIENTE]],'RESUMEN CLIENTES'!D:D,'RESUMEN CLIENTES'!M:M)</f>
        <v>OK</v>
      </c>
      <c r="E930" s="72">
        <f>+_xlfn.XLOOKUP(Tabla6[[#This Row],[NOMBRE]],'RESUMEN CLIENTES'!A:A,'RESUMEN CLIENTES'!X:X)</f>
        <v>-0.16666666666666666</v>
      </c>
      <c r="F930" s="72">
        <f>+_xlfn.XLOOKUP(Tabla6[[#This Row],[ID CLIENTE]],'RESUMEN CLIENTES'!D:D,'RESUMEN CLIENTES'!W:W)</f>
        <v>0</v>
      </c>
      <c r="G930" s="17">
        <v>46052</v>
      </c>
      <c r="H930" s="44" t="s">
        <v>81</v>
      </c>
      <c r="I930" s="2">
        <v>1000</v>
      </c>
      <c r="J930" s="20" t="s">
        <v>2036</v>
      </c>
      <c r="K930" t="s">
        <v>2037</v>
      </c>
      <c r="L930" s="44" t="str" cm="1">
        <f t="array" ref="L930">+_xlfn.IFS(COUNTIF(INGRESOS!E:E,Tabla6[[#This Row],[ID FACTURA]])=1,"PAGADA",Tabla6[[#This Row],[ID FACTURA]]&lt;&gt;0,"EMITIDA",Tabla6[[#This Row],[ID FACTURA]]=0,"POR EMITIR")</f>
        <v>PAGADA</v>
      </c>
      <c r="M930" s="55">
        <f>+IF(Tabla6[[#This Row],[ESTADO FACTURA]]="PAGADA",Tabla6[[#This Row],[FECHA]]-_xlfn.XLOOKUP(Tabla6[[#This Row],[N° FACTURA]],INGRESOS!F:F,INGRESOS!A:A),"-")</f>
        <v>-1</v>
      </c>
      <c r="N930" s="2"/>
      <c r="O930"/>
    </row>
    <row r="931" spans="1:15" ht="14.75" customHeight="1">
      <c r="A931" s="320" t="s">
        <v>314</v>
      </c>
      <c r="B931" t="str">
        <f>+_xlfn.XLOOKUP(Tabla6[[#This Row],[ID CLIENTE]],'RESUMEN CLIENTES'!D:D,'RESUMEN CLIENTES'!A:A)</f>
        <v>Miguel Angel Sisalima Shiña</v>
      </c>
      <c r="C931" t="str">
        <f>+_xlfn.XLOOKUP(Tabla6[[#This Row],[ID CLIENTE]],'RESUMEN CLIENTES'!D:D,'RESUMEN CLIENTES'!C:C)</f>
        <v>Ecuador</v>
      </c>
      <c r="D931" s="44" t="str">
        <f>+_xlfn.XLOOKUP(Tabla6[[#This Row],[ID CLIENTE]],'RESUMEN CLIENTES'!D:D,'RESUMEN CLIENTES'!M:M)</f>
        <v>OK</v>
      </c>
      <c r="E931" s="72">
        <f>+_xlfn.XLOOKUP(Tabla6[[#This Row],[NOMBRE]],'RESUMEN CLIENTES'!A:A,'RESUMEN CLIENTES'!X:X)</f>
        <v>0.6</v>
      </c>
      <c r="F931" s="72">
        <f>+_xlfn.XLOOKUP(Tabla6[[#This Row],[ID CLIENTE]],'RESUMEN CLIENTES'!D:D,'RESUMEN CLIENTES'!W:W)</f>
        <v>0</v>
      </c>
      <c r="G931" s="17">
        <v>46052</v>
      </c>
      <c r="H931" s="44" t="s">
        <v>81</v>
      </c>
      <c r="I931" s="2">
        <v>1000</v>
      </c>
      <c r="J931" s="20" t="s">
        <v>2038</v>
      </c>
      <c r="K931" t="s">
        <v>2039</v>
      </c>
      <c r="L931" s="44" t="str" cm="1">
        <f t="array" ref="L931">+_xlfn.IFS(COUNTIF(INGRESOS!E:E,Tabla6[[#This Row],[ID FACTURA]])=1,"PAGADA",Tabla6[[#This Row],[ID FACTURA]]&lt;&gt;0,"EMITIDA",Tabla6[[#This Row],[ID FACTURA]]=0,"POR EMITIR")</f>
        <v>PAGADA</v>
      </c>
      <c r="M931" s="55">
        <f>+IF(Tabla6[[#This Row],[ESTADO FACTURA]]="PAGADA",Tabla6[[#This Row],[FECHA]]-_xlfn.XLOOKUP(Tabla6[[#This Row],[N° FACTURA]],INGRESOS!F:F,INGRESOS!A:A),"-")</f>
        <v>1</v>
      </c>
      <c r="N931" s="2"/>
      <c r="O931"/>
    </row>
    <row r="932" spans="1:15" ht="14.75" customHeight="1">
      <c r="A932" s="320" t="s">
        <v>229</v>
      </c>
      <c r="B932" t="str">
        <f>+_xlfn.XLOOKUP(Tabla6[[#This Row],[ID CLIENTE]],'RESUMEN CLIENTES'!D:D,'RESUMEN CLIENTES'!A:A)</f>
        <v>Nathaly Gabriela Henríquez Masín</v>
      </c>
      <c r="C932" t="str">
        <f>+_xlfn.XLOOKUP(Tabla6[[#This Row],[ID CLIENTE]],'RESUMEN CLIENTES'!D:D,'RESUMEN CLIENTES'!C:C)</f>
        <v>El Salvador</v>
      </c>
      <c r="D932" s="44" t="str">
        <f>+_xlfn.XLOOKUP(Tabla6[[#This Row],[ID CLIENTE]],'RESUMEN CLIENTES'!D:D,'RESUMEN CLIENTES'!M:M)</f>
        <v>OK</v>
      </c>
      <c r="E932" s="72">
        <f>+_xlfn.XLOOKUP(Tabla6[[#This Row],[NOMBRE]],'RESUMEN CLIENTES'!A:A,'RESUMEN CLIENTES'!X:X)</f>
        <v>0.7</v>
      </c>
      <c r="F932" s="72">
        <f>+_xlfn.XLOOKUP(Tabla6[[#This Row],[ID CLIENTE]],'RESUMEN CLIENTES'!D:D,'RESUMEN CLIENTES'!W:W)</f>
        <v>0</v>
      </c>
      <c r="G932" s="17">
        <v>46052</v>
      </c>
      <c r="H932" s="44" t="s">
        <v>81</v>
      </c>
      <c r="I932" s="2">
        <v>500</v>
      </c>
      <c r="J932" s="20" t="s">
        <v>2040</v>
      </c>
      <c r="K932" t="s">
        <v>2041</v>
      </c>
      <c r="L932" s="44" t="str" cm="1">
        <f t="array" ref="L932">+_xlfn.IFS(COUNTIF(INGRESOS!E:E,Tabla6[[#This Row],[ID FACTURA]])=1,"PAGADA",Tabla6[[#This Row],[ID FACTURA]]&lt;&gt;0,"EMITIDA",Tabla6[[#This Row],[ID FACTURA]]=0,"POR EMITIR")</f>
        <v>PAGADA</v>
      </c>
      <c r="M932" s="55">
        <f>+IF(Tabla6[[#This Row],[ESTADO FACTURA]]="PAGADA",Tabla6[[#This Row],[FECHA]]-_xlfn.XLOOKUP(Tabla6[[#This Row],[N° FACTURA]],INGRESOS!F:F,INGRESOS!A:A),"-")</f>
        <v>1</v>
      </c>
      <c r="N932" s="2"/>
      <c r="O932"/>
    </row>
    <row r="933" spans="1:15" ht="14.75" customHeight="1">
      <c r="A933" s="320" t="s">
        <v>350</v>
      </c>
      <c r="B933" t="str">
        <f>+_xlfn.XLOOKUP(Tabla6[[#This Row],[ID CLIENTE]],'RESUMEN CLIENTES'!D:D,'RESUMEN CLIENTES'!A:A)</f>
        <v>Rainier Guerrero</v>
      </c>
      <c r="C933" t="str">
        <f>+_xlfn.XLOOKUP(Tabla6[[#This Row],[ID CLIENTE]],'RESUMEN CLIENTES'!D:D,'RESUMEN CLIENTES'!C:C)</f>
        <v>México</v>
      </c>
      <c r="D933" s="44" t="str">
        <f>+_xlfn.XLOOKUP(Tabla6[[#This Row],[ID CLIENTE]],'RESUMEN CLIENTES'!D:D,'RESUMEN CLIENTES'!M:M)</f>
        <v>OK</v>
      </c>
      <c r="E933" s="72">
        <f>+_xlfn.XLOOKUP(Tabla6[[#This Row],[NOMBRE]],'RESUMEN CLIENTES'!A:A,'RESUMEN CLIENTES'!X:X)</f>
        <v>-0.3</v>
      </c>
      <c r="F933" s="72">
        <f>+_xlfn.XLOOKUP(Tabla6[[#This Row],[ID CLIENTE]],'RESUMEN CLIENTES'!D:D,'RESUMEN CLIENTES'!W:W)</f>
        <v>1</v>
      </c>
      <c r="G933" s="17">
        <v>46052</v>
      </c>
      <c r="H933" s="44" t="s">
        <v>81</v>
      </c>
      <c r="I933" s="2">
        <v>1000</v>
      </c>
      <c r="J933" s="20" t="s">
        <v>2042</v>
      </c>
      <c r="K933" t="s">
        <v>2043</v>
      </c>
      <c r="L933" s="44" t="str" cm="1">
        <f t="array" ref="L933">+_xlfn.IFS(COUNTIF(INGRESOS!E:E,Tabla6[[#This Row],[ID FACTURA]])=1,"PAGADA",Tabla6[[#This Row],[ID FACTURA]]&lt;&gt;0,"EMITIDA",Tabla6[[#This Row],[ID FACTURA]]=0,"POR EMITIR")</f>
        <v>PAGADA</v>
      </c>
      <c r="M933" s="55">
        <f>+IF(Tabla6[[#This Row],[ESTADO FACTURA]]="PAGADA",Tabla6[[#This Row],[FECHA]]-_xlfn.XLOOKUP(Tabla6[[#This Row],[N° FACTURA]],INGRESOS!F:F,INGRESOS!A:A),"-")</f>
        <v>1</v>
      </c>
      <c r="N933" s="2"/>
      <c r="O933"/>
    </row>
    <row r="934" spans="1:15" ht="14.75" customHeight="1">
      <c r="A934" s="320" t="s">
        <v>527</v>
      </c>
      <c r="B934" t="str">
        <f>+_xlfn.XLOOKUP(Tabla6[[#This Row],[ID CLIENTE]],'RESUMEN CLIENTES'!D:D,'RESUMEN CLIENTES'!A:A)</f>
        <v>Angie Pérez Cáceres</v>
      </c>
      <c r="C934" t="str">
        <f>+_xlfn.XLOOKUP(Tabla6[[#This Row],[ID CLIENTE]],'RESUMEN CLIENTES'!D:D,'RESUMEN CLIENTES'!C:C)</f>
        <v>Perú</v>
      </c>
      <c r="D934" s="44" t="str">
        <f>+_xlfn.XLOOKUP(Tabla6[[#This Row],[ID CLIENTE]],'RESUMEN CLIENTES'!D:D,'RESUMEN CLIENTES'!M:M)</f>
        <v>OK</v>
      </c>
      <c r="E934" s="72">
        <f>+_xlfn.XLOOKUP(Tabla6[[#This Row],[NOMBRE]],'RESUMEN CLIENTES'!A:A,'RESUMEN CLIENTES'!X:X)</f>
        <v>1.625</v>
      </c>
      <c r="F934" s="72">
        <f>+_xlfn.XLOOKUP(Tabla6[[#This Row],[ID CLIENTE]],'RESUMEN CLIENTES'!D:D,'RESUMEN CLIENTES'!W:W)</f>
        <v>0</v>
      </c>
      <c r="G934" s="17">
        <v>46053</v>
      </c>
      <c r="H934" s="44" t="s">
        <v>81</v>
      </c>
      <c r="I934" s="2">
        <v>1000</v>
      </c>
      <c r="J934" s="20" t="s">
        <v>2049</v>
      </c>
      <c r="K934" t="s">
        <v>2050</v>
      </c>
      <c r="L934" s="44" t="str" cm="1">
        <f t="array" ref="L934">+_xlfn.IFS(COUNTIF(INGRESOS!E:E,Tabla6[[#This Row],[ID FACTURA]])=1,"PAGADA",Tabla6[[#This Row],[ID FACTURA]]&lt;&gt;0,"EMITIDA",Tabla6[[#This Row],[ID FACTURA]]=0,"POR EMITIR")</f>
        <v>PAGADA</v>
      </c>
      <c r="M934" s="55">
        <f>+IF(Tabla6[[#This Row],[ESTADO FACTURA]]="PAGADA",Tabla6[[#This Row],[FECHA]]-_xlfn.XLOOKUP(Tabla6[[#This Row],[N° FACTURA]],INGRESOS!F:F,INGRESOS!A:A),"-")</f>
        <v>4</v>
      </c>
      <c r="N934" s="2"/>
      <c r="O934"/>
    </row>
    <row r="935" spans="1:15" ht="14.75" customHeight="1">
      <c r="A935" s="320" t="s">
        <v>2046</v>
      </c>
      <c r="B935" t="str">
        <f>+_xlfn.XLOOKUP(Tabla6[[#This Row],[ID CLIENTE]],'RESUMEN CLIENTES'!D:D,'RESUMEN CLIENTES'!A:A)</f>
        <v>Jesica Daniela Paredes Mendoza</v>
      </c>
      <c r="C935" t="str">
        <f>+_xlfn.XLOOKUP(Tabla6[[#This Row],[ID CLIENTE]],'RESUMEN CLIENTES'!D:D,'RESUMEN CLIENTES'!C:C)</f>
        <v>México</v>
      </c>
      <c r="D935" s="169" t="str">
        <f>+_xlfn.XLOOKUP(Tabla6[[#This Row],[ID CLIENTE]],'RESUMEN CLIENTES'!D:D,'RESUMEN CLIENTES'!M:M)</f>
        <v>OK</v>
      </c>
      <c r="E935" s="71">
        <f>+_xlfn.XLOOKUP(Tabla6[[#This Row],[NOMBRE]],'RESUMEN CLIENTES'!A:A,'RESUMEN CLIENTES'!X:X)</f>
        <v>-2.75</v>
      </c>
      <c r="F935" s="71">
        <f>+_xlfn.XLOOKUP(Tabla6[[#This Row],[ID CLIENTE]],'RESUMEN CLIENTES'!D:D,'RESUMEN CLIENTES'!W:W)</f>
        <v>1</v>
      </c>
      <c r="G935" s="17">
        <v>46053</v>
      </c>
      <c r="H935" s="169" t="s">
        <v>81</v>
      </c>
      <c r="I935" s="2">
        <v>250</v>
      </c>
      <c r="J935" s="20" t="s">
        <v>2664</v>
      </c>
      <c r="K935" t="s">
        <v>2665</v>
      </c>
      <c r="L935" s="44" t="str" cm="1">
        <f t="array" ref="L935">+_xlfn.IFS(COUNTIF(INGRESOS!E:E,Tabla6[[#This Row],[ID FACTURA]])=1,"PAGADA",Tabla6[[#This Row],[ID FACTURA]]&lt;&gt;0,"EMITIDA",Tabla6[[#This Row],[ID FACTURA]]=0,"POR EMITIR")</f>
        <v>PAGADA</v>
      </c>
      <c r="M935" s="54">
        <f>+IF(Tabla6[[#This Row],[ESTADO FACTURA]]="PAGADA",Tabla6[[#This Row],[FECHA]]-_xlfn.XLOOKUP(Tabla6[[#This Row],[N° FACTURA]],INGRESOS!F:F,INGRESOS!A:A),"-")</f>
        <v>-2</v>
      </c>
      <c r="O935"/>
    </row>
    <row r="936" spans="1:15" ht="14.75" customHeight="1">
      <c r="A936" s="320" t="s">
        <v>1245</v>
      </c>
      <c r="B936" t="str">
        <f>+_xlfn.XLOOKUP(Tabla6[[#This Row],[ID CLIENTE]],'RESUMEN CLIENTES'!D:D,'RESUMEN CLIENTES'!A:A)</f>
        <v>Constanza Andrea Águila Vergara</v>
      </c>
      <c r="C936" t="str">
        <f>+_xlfn.XLOOKUP(Tabla6[[#This Row],[ID CLIENTE]],'RESUMEN CLIENTES'!D:D,'RESUMEN CLIENTES'!C:C)</f>
        <v>Chile</v>
      </c>
      <c r="D936" s="44" t="str">
        <f>+_xlfn.XLOOKUP(Tabla6[[#This Row],[ID CLIENTE]],'RESUMEN CLIENTES'!D:D,'RESUMEN CLIENTES'!M:M)</f>
        <v>OK</v>
      </c>
      <c r="E936" s="71">
        <f>+_xlfn.XLOOKUP(Tabla6[[#This Row],[NOMBRE]],'RESUMEN CLIENTES'!A:A,'RESUMEN CLIENTES'!X:X)</f>
        <v>-0.2</v>
      </c>
      <c r="F936" s="71">
        <f>+_xlfn.XLOOKUP(Tabla6[[#This Row],[ID CLIENTE]],'RESUMEN CLIENTES'!D:D,'RESUMEN CLIENTES'!W:W)</f>
        <v>1</v>
      </c>
      <c r="G936" s="17">
        <v>46054</v>
      </c>
      <c r="H936" s="44" t="s">
        <v>81</v>
      </c>
      <c r="I936" s="2">
        <v>850</v>
      </c>
      <c r="J936" s="20" t="s">
        <v>2051</v>
      </c>
      <c r="K936" t="s">
        <v>2052</v>
      </c>
      <c r="L936" s="44" t="str" cm="1">
        <f t="array" ref="L936">+_xlfn.IFS(COUNTIF(INGRESOS!E:E,Tabla6[[#This Row],[ID FACTURA]])=1,"PAGADA",Tabla6[[#This Row],[ID FACTURA]]&lt;&gt;0,"EMITIDA",Tabla6[[#This Row],[ID FACTURA]]=0,"POR EMITIR")</f>
        <v>PAGADA</v>
      </c>
      <c r="M936" s="55">
        <f>+IF(Tabla6[[#This Row],[ESTADO FACTURA]]="PAGADA",Tabla6[[#This Row],[FECHA]]-_xlfn.XLOOKUP(Tabla6[[#This Row],[N° FACTURA]],INGRESOS!F:F,INGRESOS!A:A),"-")</f>
        <v>0</v>
      </c>
      <c r="N936" s="2"/>
      <c r="O936"/>
    </row>
    <row r="937" spans="1:15" ht="14.75" customHeight="1">
      <c r="A937" s="320" t="s">
        <v>1178</v>
      </c>
      <c r="B937" t="str">
        <f>+_xlfn.XLOOKUP(Tabla6[[#This Row],[ID CLIENTE]],'RESUMEN CLIENTES'!D:D,'RESUMEN CLIENTES'!A:A)</f>
        <v>Daniel Flores</v>
      </c>
      <c r="C937" t="str">
        <f>+_xlfn.XLOOKUP(Tabla6[[#This Row],[ID CLIENTE]],'RESUMEN CLIENTES'!D:D,'RESUMEN CLIENTES'!C:C)</f>
        <v>Ecuador</v>
      </c>
      <c r="D937" s="44" t="str">
        <f>+_xlfn.XLOOKUP(Tabla6[[#This Row],[ID CLIENTE]],'RESUMEN CLIENTES'!D:D,'RESUMEN CLIENTES'!M:M)</f>
        <v>OK</v>
      </c>
      <c r="E937" s="72">
        <f>+_xlfn.XLOOKUP(Tabla6[[#This Row],[NOMBRE]],'RESUMEN CLIENTES'!A:A,'RESUMEN CLIENTES'!X:X)</f>
        <v>3.8333333333333335</v>
      </c>
      <c r="F937" s="72">
        <f>+_xlfn.XLOOKUP(Tabla6[[#This Row],[ID CLIENTE]],'RESUMEN CLIENTES'!D:D,'RESUMEN CLIENTES'!W:W)</f>
        <v>1</v>
      </c>
      <c r="G937" s="17">
        <v>46054</v>
      </c>
      <c r="H937" s="44" t="s">
        <v>81</v>
      </c>
      <c r="I937" s="2">
        <v>850</v>
      </c>
      <c r="J937" s="20" t="s">
        <v>1800</v>
      </c>
      <c r="K937" t="s">
        <v>1801</v>
      </c>
      <c r="L937" s="44" t="str" cm="1">
        <f t="array" ref="L937">+_xlfn.IFS(COUNTIF(INGRESOS!E:E,Tabla6[[#This Row],[ID FACTURA]])=1,"PAGADA",Tabla6[[#This Row],[ID FACTURA]]&lt;&gt;0,"EMITIDA",Tabla6[[#This Row],[ID FACTURA]]=0,"POR EMITIR")</f>
        <v>PAGADA</v>
      </c>
      <c r="M937" s="55">
        <f>+IF(Tabla6[[#This Row],[ESTADO FACTURA]]="PAGADA",Tabla6[[#This Row],[FECHA]]-_xlfn.XLOOKUP(Tabla6[[#This Row],[N° FACTURA]],INGRESOS!F:F,INGRESOS!A:A),"-")</f>
        <v>31</v>
      </c>
      <c r="N937" s="2"/>
      <c r="O937"/>
    </row>
    <row r="938" spans="1:15" ht="14.75" customHeight="1">
      <c r="A938" s="321" t="s">
        <v>1899</v>
      </c>
      <c r="B938" t="str">
        <f>+_xlfn.XLOOKUP(Tabla6[[#This Row],[ID CLIENTE]],'RESUMEN CLIENTES'!D:D,'RESUMEN CLIENTES'!A:A)</f>
        <v>Johan Martínez</v>
      </c>
      <c r="C938" t="str">
        <f>+_xlfn.XLOOKUP(Tabla6[[#This Row],[ID CLIENTE]],'RESUMEN CLIENTES'!D:D,'RESUMEN CLIENTES'!C:C)</f>
        <v>Colombia</v>
      </c>
      <c r="D938" s="44" t="str">
        <f>+_xlfn.XLOOKUP(Tabla6[[#This Row],[ID CLIENTE]],'RESUMEN CLIENTES'!D:D,'RESUMEN CLIENTES'!M:M)</f>
        <v>OK</v>
      </c>
      <c r="E938" s="72">
        <f>+_xlfn.XLOOKUP(Tabla6[[#This Row],[NOMBRE]],'RESUMEN CLIENTES'!A:A,'RESUMEN CLIENTES'!X:X)</f>
        <v>-0.66666666666666663</v>
      </c>
      <c r="F938" s="71">
        <f>+_xlfn.XLOOKUP(Tabla6[[#This Row],[ID CLIENTE]],'RESUMEN CLIENTES'!D:D,'RESUMEN CLIENTES'!W:W)</f>
        <v>0</v>
      </c>
      <c r="G938" s="17">
        <v>46055</v>
      </c>
      <c r="H938" s="169" t="s">
        <v>81</v>
      </c>
      <c r="I938" s="2">
        <v>500</v>
      </c>
      <c r="J938" s="20" t="s">
        <v>2666</v>
      </c>
      <c r="K938" t="s">
        <v>2667</v>
      </c>
      <c r="L938" s="44" t="str" cm="1">
        <f t="array" ref="L938">+_xlfn.IFS(COUNTIF(INGRESOS!E:E,Tabla6[[#This Row],[ID FACTURA]])=1,"PAGADA",Tabla6[[#This Row],[ID FACTURA]]&lt;&gt;0,"EMITIDA",Tabla6[[#This Row],[ID FACTURA]]=0,"POR EMITIR")</f>
        <v>PAGADA</v>
      </c>
      <c r="M938" s="55">
        <f>+IF(Tabla6[[#This Row],[ESTADO FACTURA]]="PAGADA",Tabla6[[#This Row],[FECHA]]-_xlfn.XLOOKUP(Tabla6[[#This Row],[N° FACTURA]],INGRESOS!F:F,INGRESOS!A:A),"-")</f>
        <v>-1</v>
      </c>
      <c r="N938" s="214"/>
      <c r="O938"/>
    </row>
    <row r="939" spans="1:15" ht="14.75" customHeight="1">
      <c r="A939" s="320" t="s">
        <v>695</v>
      </c>
      <c r="B939" t="str">
        <f>+_xlfn.XLOOKUP(Tabla6[[#This Row],[ID CLIENTE]],'RESUMEN CLIENTES'!D:D,'RESUMEN CLIENTES'!A:A)</f>
        <v>Olguer Ariel Pruna Herrera</v>
      </c>
      <c r="C939" t="str">
        <f>+_xlfn.XLOOKUP(Tabla6[[#This Row],[ID CLIENTE]],'RESUMEN CLIENTES'!D:D,'RESUMEN CLIENTES'!C:C)</f>
        <v>Ecuador</v>
      </c>
      <c r="D939" s="44" t="str">
        <f>+_xlfn.XLOOKUP(Tabla6[[#This Row],[ID CLIENTE]],'RESUMEN CLIENTES'!D:D,'RESUMEN CLIENTES'!M:M)</f>
        <v>OK</v>
      </c>
      <c r="E939" s="72">
        <f>+_xlfn.XLOOKUP(Tabla6[[#This Row],[NOMBRE]],'RESUMEN CLIENTES'!A:A,'RESUMEN CLIENTES'!X:X)</f>
        <v>0.25</v>
      </c>
      <c r="F939" s="72">
        <f>+_xlfn.XLOOKUP(Tabla6[[#This Row],[ID CLIENTE]],'RESUMEN CLIENTES'!D:D,'RESUMEN CLIENTES'!W:W)</f>
        <v>1</v>
      </c>
      <c r="G939" s="17">
        <v>46055</v>
      </c>
      <c r="H939" s="44" t="s">
        <v>81</v>
      </c>
      <c r="I939" s="2">
        <v>1000</v>
      </c>
      <c r="J939" s="20" t="s">
        <v>2053</v>
      </c>
      <c r="K939" t="s">
        <v>2054</v>
      </c>
      <c r="L939" s="44" t="str" cm="1">
        <f t="array" ref="L939">+_xlfn.IFS(COUNTIF(INGRESOS!E:E,Tabla6[[#This Row],[ID FACTURA]])=1,"PAGADA",Tabla6[[#This Row],[ID FACTURA]]&lt;&gt;0,"EMITIDA",Tabla6[[#This Row],[ID FACTURA]]=0,"POR EMITIR")</f>
        <v>PAGADA</v>
      </c>
      <c r="M939" s="55">
        <f>+IF(Tabla6[[#This Row],[ESTADO FACTURA]]="PAGADA",Tabla6[[#This Row],[FECHA]]-_xlfn.XLOOKUP(Tabla6[[#This Row],[N° FACTURA]],INGRESOS!F:F,INGRESOS!A:A),"-")</f>
        <v>-1</v>
      </c>
      <c r="N939" s="2"/>
      <c r="O939"/>
    </row>
    <row r="940" spans="1:15" ht="14.75" customHeight="1">
      <c r="A940" s="320" t="s">
        <v>221</v>
      </c>
      <c r="B940" t="str">
        <f>+_xlfn.XLOOKUP(Tabla6[[#This Row],[ID CLIENTE]],'RESUMEN CLIENTES'!D:D,'RESUMEN CLIENTES'!A:A)</f>
        <v>Angel Martin Alarcon Macias</v>
      </c>
      <c r="C940" t="str">
        <f>+_xlfn.XLOOKUP(Tabla6[[#This Row],[ID CLIENTE]],'RESUMEN CLIENTES'!D:D,'RESUMEN CLIENTES'!C:C)</f>
        <v>Ecuador</v>
      </c>
      <c r="D940" s="44" t="str">
        <f>+_xlfn.XLOOKUP(Tabla6[[#This Row],[ID CLIENTE]],'RESUMEN CLIENTES'!D:D,'RESUMEN CLIENTES'!M:M)</f>
        <v>¡REGULARIZAR!</v>
      </c>
      <c r="E940" s="72">
        <f>+_xlfn.XLOOKUP(Tabla6[[#This Row],[NOMBRE]],'RESUMEN CLIENTES'!A:A,'RESUMEN CLIENTES'!X:X)</f>
        <v>-0.5</v>
      </c>
      <c r="F940" s="72">
        <f>+_xlfn.XLOOKUP(Tabla6[[#This Row],[ID CLIENTE]],'RESUMEN CLIENTES'!D:D,'RESUMEN CLIENTES'!W:W)</f>
        <v>0</v>
      </c>
      <c r="G940" s="17">
        <v>46056</v>
      </c>
      <c r="H940" s="44" t="s">
        <v>81</v>
      </c>
      <c r="I940" s="2">
        <v>625</v>
      </c>
      <c r="J940" t="s">
        <v>2055</v>
      </c>
      <c r="K940" t="s">
        <v>2056</v>
      </c>
      <c r="L940" s="44" t="str" cm="1">
        <f t="array" ref="L940">+_xlfn.IFS(COUNTIF(INGRESOS!E:E,Tabla6[[#This Row],[ID FACTURA]])=1,"PAGADA",Tabla6[[#This Row],[ID FACTURA]]&lt;&gt;0,"EMITIDA",Tabla6[[#This Row],[ID FACTURA]]=0,"POR EMITIR")</f>
        <v>EMITIDA</v>
      </c>
      <c r="M940" s="55" t="str">
        <f>+IF(Tabla6[[#This Row],[ESTADO FACTURA]]="PAGADA",Tabla6[[#This Row],[FECHA]]-_xlfn.XLOOKUP(Tabla6[[#This Row],[N° FACTURA]],INGRESOS!F:F,INGRESOS!A:A),"-")</f>
        <v>-</v>
      </c>
      <c r="N940" s="2"/>
      <c r="O940" t="s">
        <v>2057</v>
      </c>
    </row>
    <row r="941" spans="1:15" ht="14.75" customHeight="1">
      <c r="A941" s="320" t="s">
        <v>258</v>
      </c>
      <c r="B941" t="str">
        <f>+_xlfn.XLOOKUP(Tabla6[[#This Row],[ID CLIENTE]],'RESUMEN CLIENTES'!D:D,'RESUMEN CLIENTES'!A:A)</f>
        <v>Maria Laura Rios Pino</v>
      </c>
      <c r="C941" t="str">
        <f>+_xlfn.XLOOKUP(Tabla6[[#This Row],[ID CLIENTE]],'RESUMEN CLIENTES'!D:D,'RESUMEN CLIENTES'!C:C)</f>
        <v>Perú</v>
      </c>
      <c r="D941" s="44" t="str">
        <f>+_xlfn.XLOOKUP(Tabla6[[#This Row],[ID CLIENTE]],'RESUMEN CLIENTES'!D:D,'RESUMEN CLIENTES'!M:M)</f>
        <v>OK</v>
      </c>
      <c r="E941" s="72">
        <f>+_xlfn.XLOOKUP(Tabla6[[#This Row],[NOMBRE]],'RESUMEN CLIENTES'!A:A,'RESUMEN CLIENTES'!X:X)</f>
        <v>1.4545454545454546</v>
      </c>
      <c r="F941" s="72">
        <f>+_xlfn.XLOOKUP(Tabla6[[#This Row],[ID CLIENTE]],'RESUMEN CLIENTES'!D:D,'RESUMEN CLIENTES'!W:W)</f>
        <v>0</v>
      </c>
      <c r="G941" s="17">
        <v>46056</v>
      </c>
      <c r="H941" s="44" t="s">
        <v>81</v>
      </c>
      <c r="I941" s="19">
        <v>750</v>
      </c>
      <c r="J941" s="20" t="s">
        <v>2662</v>
      </c>
      <c r="K941" t="s">
        <v>2663</v>
      </c>
      <c r="L941" s="44" t="str" cm="1">
        <f t="array" ref="L941">+_xlfn.IFS(COUNTIF(INGRESOS!E:E,Tabla6[[#This Row],[ID FACTURA]])=1,"PAGADA",Tabla6[[#This Row],[ID FACTURA]]&lt;&gt;0,"EMITIDA",Tabla6[[#This Row],[ID FACTURA]]=0,"POR EMITIR")</f>
        <v>PAGADA</v>
      </c>
      <c r="M941" s="55">
        <f>+IF(Tabla6[[#This Row],[ESTADO FACTURA]]="PAGADA",Tabla6[[#This Row],[FECHA]]-_xlfn.XLOOKUP(Tabla6[[#This Row],[N° FACTURA]],INGRESOS!F:F,INGRESOS!A:A),"-")</f>
        <v>1</v>
      </c>
      <c r="N941" s="19"/>
      <c r="O941" s="8"/>
    </row>
    <row r="942" spans="1:15" ht="14.75" customHeight="1">
      <c r="A942" s="320" t="s">
        <v>1556</v>
      </c>
      <c r="B942" t="str">
        <f>+_xlfn.XLOOKUP(Tabla6[[#This Row],[ID CLIENTE]],'RESUMEN CLIENTES'!D:D,'RESUMEN CLIENTES'!A:A)</f>
        <v>Claudia Nivon Chacón</v>
      </c>
      <c r="C942" t="str">
        <f>+_xlfn.XLOOKUP(Tabla6[[#This Row],[ID CLIENTE]],'RESUMEN CLIENTES'!D:D,'RESUMEN CLIENTES'!C:C)</f>
        <v>México</v>
      </c>
      <c r="D942" s="44" t="str">
        <f>+_xlfn.XLOOKUP(Tabla6[[#This Row],[ID CLIENTE]],'RESUMEN CLIENTES'!D:D,'RESUMEN CLIENTES'!M:M)</f>
        <v>OK</v>
      </c>
      <c r="E942" s="71">
        <f>+_xlfn.XLOOKUP(Tabla6[[#This Row],[NOMBRE]],'RESUMEN CLIENTES'!A:A,'RESUMEN CLIENTES'!X:X)</f>
        <v>0.4</v>
      </c>
      <c r="F942" s="71">
        <f>+_xlfn.XLOOKUP(Tabla6[[#This Row],[ID CLIENTE]],'RESUMEN CLIENTES'!D:D,'RESUMEN CLIENTES'!W:W)</f>
        <v>0</v>
      </c>
      <c r="G942" s="17">
        <v>46057</v>
      </c>
      <c r="H942" s="169" t="s">
        <v>81</v>
      </c>
      <c r="I942" s="2">
        <v>1136.6300000000001</v>
      </c>
      <c r="J942" s="20" t="s">
        <v>2058</v>
      </c>
      <c r="K942" t="s">
        <v>2059</v>
      </c>
      <c r="L942" s="44" t="str" cm="1">
        <f t="array" ref="L942">+_xlfn.IFS(COUNTIF(INGRESOS!E:E,Tabla6[[#This Row],[ID FACTURA]])=1,"PAGADA",Tabla6[[#This Row],[ID FACTURA]]&lt;&gt;0,"EMITIDA",Tabla6[[#This Row],[ID FACTURA]]=0,"POR EMITIR")</f>
        <v>PAGADA</v>
      </c>
      <c r="M942" s="55">
        <f>+IF(Tabla6[[#This Row],[ESTADO FACTURA]]="PAGADA",Tabla6[[#This Row],[FECHA]]-_xlfn.XLOOKUP(Tabla6[[#This Row],[N° FACTURA]],INGRESOS!F:F,INGRESOS!A:A),"-")</f>
        <v>0</v>
      </c>
      <c r="N942" s="2"/>
      <c r="O942"/>
    </row>
    <row r="943" spans="1:15" ht="14.75" customHeight="1">
      <c r="A943" s="320" t="s">
        <v>407</v>
      </c>
      <c r="B943" t="str">
        <f>+_xlfn.XLOOKUP(Tabla6[[#This Row],[ID CLIENTE]],'RESUMEN CLIENTES'!D:D,'RESUMEN CLIENTES'!A:A)</f>
        <v>Mayra Leonor Rivera Paico</v>
      </c>
      <c r="C943" t="str">
        <f>+_xlfn.XLOOKUP(Tabla6[[#This Row],[ID CLIENTE]],'RESUMEN CLIENTES'!D:D,'RESUMEN CLIENTES'!C:C)</f>
        <v>Perú</v>
      </c>
      <c r="D943" s="44" t="str">
        <f>+_xlfn.XLOOKUP(Tabla6[[#This Row],[ID CLIENTE]],'RESUMEN CLIENTES'!D:D,'RESUMEN CLIENTES'!M:M)</f>
        <v>OK</v>
      </c>
      <c r="E943" s="72">
        <f>+_xlfn.XLOOKUP(Tabla6[[#This Row],[NOMBRE]],'RESUMEN CLIENTES'!A:A,'RESUMEN CLIENTES'!X:X)</f>
        <v>-0.22222222222222221</v>
      </c>
      <c r="F943" s="72">
        <f>+_xlfn.XLOOKUP(Tabla6[[#This Row],[ID CLIENTE]],'RESUMEN CLIENTES'!D:D,'RESUMEN CLIENTES'!W:W)</f>
        <v>0</v>
      </c>
      <c r="G943" s="17">
        <v>46057</v>
      </c>
      <c r="H943" s="44" t="s">
        <v>81</v>
      </c>
      <c r="I943" s="2">
        <v>1000</v>
      </c>
      <c r="J943" s="20" t="s">
        <v>4407</v>
      </c>
      <c r="K943" t="s">
        <v>4408</v>
      </c>
      <c r="L943" s="44" t="str" cm="1">
        <f t="array" ref="L943">+_xlfn.IFS(COUNTIF(INGRESOS!E:E,Tabla6[[#This Row],[ID FACTURA]])=1,"PAGADA",Tabla6[[#This Row],[ID FACTURA]]&lt;&gt;0,"EMITIDA",Tabla6[[#This Row],[ID FACTURA]]=0,"POR EMITIR")</f>
        <v>PAGADA</v>
      </c>
      <c r="M943" s="55">
        <f>+IF(Tabla6[[#This Row],[ESTADO FACTURA]]="PAGADA",Tabla6[[#This Row],[FECHA]]-_xlfn.XLOOKUP(Tabla6[[#This Row],[N° FACTURA]],INGRESOS!F:F,INGRESOS!A:A),"-")</f>
        <v>0</v>
      </c>
      <c r="N943" s="2"/>
      <c r="O943"/>
    </row>
    <row r="944" spans="1:15" ht="14.75" customHeight="1">
      <c r="A944" s="320" t="s">
        <v>912</v>
      </c>
      <c r="B944" t="str">
        <f>+_xlfn.XLOOKUP(Tabla6[[#This Row],[ID CLIENTE]],'RESUMEN CLIENTES'!D:D,'RESUMEN CLIENTES'!A:A)</f>
        <v>Vanessa Villarreal Villareal</v>
      </c>
      <c r="C944" t="str">
        <f>+_xlfn.XLOOKUP(Tabla6[[#This Row],[ID CLIENTE]],'RESUMEN CLIENTES'!D:D,'RESUMEN CLIENTES'!C:C)</f>
        <v>Ecuador</v>
      </c>
      <c r="D944" s="44" t="str">
        <f>+_xlfn.XLOOKUP(Tabla6[[#This Row],[ID CLIENTE]],'RESUMEN CLIENTES'!D:D,'RESUMEN CLIENTES'!M:M)</f>
        <v>OK</v>
      </c>
      <c r="E944" s="72">
        <f>+_xlfn.XLOOKUP(Tabla6[[#This Row],[NOMBRE]],'RESUMEN CLIENTES'!A:A,'RESUMEN CLIENTES'!X:X)</f>
        <v>-9.1428571428571423</v>
      </c>
      <c r="F944" s="71">
        <f>+_xlfn.XLOOKUP(Tabla6[[#This Row],[ID CLIENTE]],'RESUMEN CLIENTES'!D:D,'RESUMEN CLIENTES'!W:W)</f>
        <v>1</v>
      </c>
      <c r="G944" s="481">
        <v>46057</v>
      </c>
      <c r="H944" s="44" t="s">
        <v>81</v>
      </c>
      <c r="I944" s="2">
        <v>1000</v>
      </c>
      <c r="J944" s="20" t="s">
        <v>4411</v>
      </c>
      <c r="K944" t="s">
        <v>4412</v>
      </c>
      <c r="L944" s="44" t="str" cm="1">
        <f t="array" ref="L944">+_xlfn.IFS(COUNTIF(INGRESOS!E:E,Tabla6[[#This Row],[ID FACTURA]])=1,"PAGADA",Tabla6[[#This Row],[ID FACTURA]]&lt;&gt;0,"EMITIDA",Tabla6[[#This Row],[ID FACTURA]]=0,"POR EMITIR")</f>
        <v>PAGADA</v>
      </c>
      <c r="M944" s="55">
        <f>+IF(Tabla6[[#This Row],[ESTADO FACTURA]]="PAGADA",Tabla6[[#This Row],[FECHA]]-_xlfn.XLOOKUP(Tabla6[[#This Row],[N° FACTURA]],INGRESOS!F:F,INGRESOS!A:A),"-")</f>
        <v>0</v>
      </c>
      <c r="N944" s="214"/>
      <c r="O944" s="8"/>
    </row>
    <row r="945" spans="1:15" ht="14.75" customHeight="1">
      <c r="A945" s="320" t="s">
        <v>447</v>
      </c>
      <c r="B945" t="str">
        <f>+_xlfn.XLOOKUP(Tabla6[[#This Row],[ID CLIENTE]],'RESUMEN CLIENTES'!D:D,'RESUMEN CLIENTES'!A:A)</f>
        <v>Yefry Onil Santana Marte</v>
      </c>
      <c r="C945" t="str">
        <f>+_xlfn.XLOOKUP(Tabla6[[#This Row],[ID CLIENTE]],'RESUMEN CLIENTES'!D:D,'RESUMEN CLIENTES'!C:C)</f>
        <v>República Dominicana</v>
      </c>
      <c r="D945" s="44" t="str">
        <f>+_xlfn.XLOOKUP(Tabla6[[#This Row],[ID CLIENTE]],'RESUMEN CLIENTES'!D:D,'RESUMEN CLIENTES'!M:M)</f>
        <v>OK</v>
      </c>
      <c r="E945" s="72">
        <f>+_xlfn.XLOOKUP(Tabla6[[#This Row],[NOMBRE]],'RESUMEN CLIENTES'!A:A,'RESUMEN CLIENTES'!X:X)</f>
        <v>-0.90909090909090906</v>
      </c>
      <c r="F945" s="71">
        <f>+_xlfn.XLOOKUP(Tabla6[[#This Row],[ID CLIENTE]],'RESUMEN CLIENTES'!D:D,'RESUMEN CLIENTES'!W:W)</f>
        <v>0</v>
      </c>
      <c r="G945" s="17">
        <v>46057</v>
      </c>
      <c r="H945" s="44" t="s">
        <v>81</v>
      </c>
      <c r="I945" s="2">
        <v>625</v>
      </c>
      <c r="J945" s="20" t="s">
        <v>2060</v>
      </c>
      <c r="K945" t="s">
        <v>2061</v>
      </c>
      <c r="L945" s="44" t="str" cm="1">
        <f t="array" ref="L945">+_xlfn.IFS(COUNTIF(INGRESOS!E:E,Tabla6[[#This Row],[ID FACTURA]])=1,"PAGADA",Tabla6[[#This Row],[ID FACTURA]]&lt;&gt;0,"EMITIDA",Tabla6[[#This Row],[ID FACTURA]]=0,"POR EMITIR")</f>
        <v>PAGADA</v>
      </c>
      <c r="M945" s="55">
        <f>+IF(Tabla6[[#This Row],[ESTADO FACTURA]]="PAGADA",Tabla6[[#This Row],[FECHA]]-_xlfn.XLOOKUP(Tabla6[[#This Row],[N° FACTURA]],INGRESOS!F:F,INGRESOS!A:A),"-")</f>
        <v>2</v>
      </c>
      <c r="N945" s="214"/>
      <c r="O945"/>
    </row>
    <row r="946" spans="1:15" ht="14.75" customHeight="1">
      <c r="A946" s="320" t="s">
        <v>447</v>
      </c>
      <c r="B946" t="str">
        <f>+_xlfn.XLOOKUP(Tabla6[[#This Row],[ID CLIENTE]],'RESUMEN CLIENTES'!D:D,'RESUMEN CLIENTES'!A:A)</f>
        <v>Yefry Onil Santana Marte</v>
      </c>
      <c r="C946" t="str">
        <f>+_xlfn.XLOOKUP(Tabla6[[#This Row],[ID CLIENTE]],'RESUMEN CLIENTES'!D:D,'RESUMEN CLIENTES'!C:C)</f>
        <v>República Dominicana</v>
      </c>
      <c r="D946" s="44" t="str">
        <f>+_xlfn.XLOOKUP(Tabla6[[#This Row],[ID CLIENTE]],'RESUMEN CLIENTES'!D:D,'RESUMEN CLIENTES'!M:M)</f>
        <v>OK</v>
      </c>
      <c r="E946" s="72">
        <f>+_xlfn.XLOOKUP(Tabla6[[#This Row],[NOMBRE]],'RESUMEN CLIENTES'!A:A,'RESUMEN CLIENTES'!X:X)</f>
        <v>-0.90909090909090906</v>
      </c>
      <c r="F946" s="71">
        <f>+_xlfn.XLOOKUP(Tabla6[[#This Row],[ID CLIENTE]],'RESUMEN CLIENTES'!D:D,'RESUMEN CLIENTES'!W:W)</f>
        <v>0</v>
      </c>
      <c r="G946" s="17">
        <v>46057</v>
      </c>
      <c r="H946" s="44" t="s">
        <v>81</v>
      </c>
      <c r="I946" s="2">
        <v>625</v>
      </c>
      <c r="J946" s="20" t="s">
        <v>2062</v>
      </c>
      <c r="K946" t="s">
        <v>2063</v>
      </c>
      <c r="L946" s="44" t="str" cm="1">
        <f t="array" ref="L946">+_xlfn.IFS(COUNTIF(INGRESOS!E:E,Tabla6[[#This Row],[ID FACTURA]])=1,"PAGADA",Tabla6[[#This Row],[ID FACTURA]]&lt;&gt;0,"EMITIDA",Tabla6[[#This Row],[ID FACTURA]]=0,"POR EMITIR")</f>
        <v>PAGADA</v>
      </c>
      <c r="M946" s="55">
        <f>+IF(Tabla6[[#This Row],[ESTADO FACTURA]]="PAGADA",Tabla6[[#This Row],[FECHA]]-_xlfn.XLOOKUP(Tabla6[[#This Row],[N° FACTURA]],INGRESOS!F:F,INGRESOS!A:A),"-")</f>
        <v>2</v>
      </c>
      <c r="N946" s="214"/>
      <c r="O946"/>
    </row>
    <row r="947" spans="1:15" ht="14.75" customHeight="1">
      <c r="A947" s="320" t="s">
        <v>447</v>
      </c>
      <c r="B947" t="str">
        <f>+_xlfn.XLOOKUP(Tabla6[[#This Row],[ID CLIENTE]],'RESUMEN CLIENTES'!D:D,'RESUMEN CLIENTES'!A:A)</f>
        <v>Yefry Onil Santana Marte</v>
      </c>
      <c r="C947" t="str">
        <f>+_xlfn.XLOOKUP(Tabla6[[#This Row],[ID CLIENTE]],'RESUMEN CLIENTES'!D:D,'RESUMEN CLIENTES'!C:C)</f>
        <v>República Dominicana</v>
      </c>
      <c r="D947" s="44" t="str">
        <f>+_xlfn.XLOOKUP(Tabla6[[#This Row],[ID CLIENTE]],'RESUMEN CLIENTES'!D:D,'RESUMEN CLIENTES'!M:M)</f>
        <v>OK</v>
      </c>
      <c r="E947" s="72">
        <f>+_xlfn.XLOOKUP(Tabla6[[#This Row],[NOMBRE]],'RESUMEN CLIENTES'!A:A,'RESUMEN CLIENTES'!X:X)</f>
        <v>-0.90909090909090906</v>
      </c>
      <c r="F947" s="72">
        <f>+_xlfn.XLOOKUP(Tabla6[[#This Row],[ID CLIENTE]],'RESUMEN CLIENTES'!D:D,'RESUMEN CLIENTES'!W:W)</f>
        <v>0</v>
      </c>
      <c r="G947" s="17">
        <v>46057</v>
      </c>
      <c r="H947" s="44" t="s">
        <v>81</v>
      </c>
      <c r="I947" s="2">
        <v>625</v>
      </c>
      <c r="J947" s="20" t="s">
        <v>2064</v>
      </c>
      <c r="K947" t="s">
        <v>2065</v>
      </c>
      <c r="L947" s="44" t="str" cm="1">
        <f t="array" ref="L947">+_xlfn.IFS(COUNTIF(INGRESOS!E:E,Tabla6[[#This Row],[ID FACTURA]])=1,"PAGADA",Tabla6[[#This Row],[ID FACTURA]]&lt;&gt;0,"EMITIDA",Tabla6[[#This Row],[ID FACTURA]]=0,"POR EMITIR")</f>
        <v>PAGADA</v>
      </c>
      <c r="M947" s="55">
        <f>+IF(Tabla6[[#This Row],[ESTADO FACTURA]]="PAGADA",Tabla6[[#This Row],[FECHA]]-_xlfn.XLOOKUP(Tabla6[[#This Row],[N° FACTURA]],INGRESOS!F:F,INGRESOS!A:A),"-")</f>
        <v>2</v>
      </c>
      <c r="N947" s="2"/>
      <c r="O947"/>
    </row>
    <row r="948" spans="1:15" ht="14.75" customHeight="1">
      <c r="A948" s="320" t="s">
        <v>165</v>
      </c>
      <c r="B948" t="str">
        <f>+_xlfn.XLOOKUP(Tabla6[[#This Row],[ID CLIENTE]],'RESUMEN CLIENTES'!D:D,'RESUMEN CLIENTES'!A:A)</f>
        <v>Alejandra Leva Vallejo</v>
      </c>
      <c r="C948" t="str">
        <f>+_xlfn.XLOOKUP(Tabla6[[#This Row],[ID CLIENTE]],'RESUMEN CLIENTES'!D:D,'RESUMEN CLIENTES'!C:C)</f>
        <v>México</v>
      </c>
      <c r="D948" s="44" t="str">
        <f>+_xlfn.XLOOKUP(Tabla6[[#This Row],[ID CLIENTE]],'RESUMEN CLIENTES'!D:D,'RESUMEN CLIENTES'!M:M)</f>
        <v>OK</v>
      </c>
      <c r="E948" s="72">
        <f>+_xlfn.XLOOKUP(Tabla6[[#This Row],[NOMBRE]],'RESUMEN CLIENTES'!A:A,'RESUMEN CLIENTES'!X:X)</f>
        <v>0</v>
      </c>
      <c r="F948" s="72">
        <f>+_xlfn.XLOOKUP(Tabla6[[#This Row],[ID CLIENTE]],'RESUMEN CLIENTES'!D:D,'RESUMEN CLIENTES'!W:W)</f>
        <v>1</v>
      </c>
      <c r="G948" s="17">
        <v>46058</v>
      </c>
      <c r="H948" s="44" t="s">
        <v>81</v>
      </c>
      <c r="I948" s="2">
        <v>1000</v>
      </c>
      <c r="J948" s="20" t="s">
        <v>4413</v>
      </c>
      <c r="K948" t="s">
        <v>4414</v>
      </c>
      <c r="L948" s="44" t="str" cm="1">
        <f t="array" ref="L948">+_xlfn.IFS(COUNTIF(INGRESOS!E:E,Tabla6[[#This Row],[ID FACTURA]])=1,"PAGADA",Tabla6[[#This Row],[ID FACTURA]]&lt;&gt;0,"EMITIDA",Tabla6[[#This Row],[ID FACTURA]]=0,"POR EMITIR")</f>
        <v>PAGADA</v>
      </c>
      <c r="M948" s="55">
        <f>+IF(Tabla6[[#This Row],[ESTADO FACTURA]]="PAGADA",Tabla6[[#This Row],[FECHA]]-_xlfn.XLOOKUP(Tabla6[[#This Row],[N° FACTURA]],INGRESOS!F:F,INGRESOS!A:A),"-")</f>
        <v>0</v>
      </c>
      <c r="N948" s="2"/>
      <c r="O948"/>
    </row>
    <row r="949" spans="1:15" ht="14.75" customHeight="1">
      <c r="A949" s="320" t="s">
        <v>1357</v>
      </c>
      <c r="B949" t="str">
        <f>+_xlfn.XLOOKUP(Tabla6[[#This Row],[ID CLIENTE]],'RESUMEN CLIENTES'!D:D,'RESUMEN CLIENTES'!A:A)</f>
        <v>Angel Andres Velastegui Huebla</v>
      </c>
      <c r="C949" t="str">
        <f>+_xlfn.XLOOKUP(Tabla6[[#This Row],[ID CLIENTE]],'RESUMEN CLIENTES'!D:D,'RESUMEN CLIENTES'!C:C)</f>
        <v>Ecuador</v>
      </c>
      <c r="D949" s="44" t="str">
        <f>+_xlfn.XLOOKUP(Tabla6[[#This Row],[ID CLIENTE]],'RESUMEN CLIENTES'!D:D,'RESUMEN CLIENTES'!M:M)</f>
        <v>OK</v>
      </c>
      <c r="E949" s="71">
        <f>+_xlfn.XLOOKUP(Tabla6[[#This Row],[NOMBRE]],'RESUMEN CLIENTES'!A:A,'RESUMEN CLIENTES'!X:X)</f>
        <v>0</v>
      </c>
      <c r="F949" s="71">
        <f>+_xlfn.XLOOKUP(Tabla6[[#This Row],[ID CLIENTE]],'RESUMEN CLIENTES'!D:D,'RESUMEN CLIENTES'!W:W)</f>
        <v>1</v>
      </c>
      <c r="G949" s="17">
        <v>46058</v>
      </c>
      <c r="H949" s="44" t="s">
        <v>81</v>
      </c>
      <c r="I949" s="2">
        <v>3700</v>
      </c>
      <c r="J949" s="20" t="s">
        <v>4415</v>
      </c>
      <c r="K949" t="s">
        <v>4416</v>
      </c>
      <c r="L949" s="44" t="str" cm="1">
        <f t="array" ref="L949">+_xlfn.IFS(COUNTIF(INGRESOS!E:E,Tabla6[[#This Row],[ID FACTURA]])=1,"PAGADA",Tabla6[[#This Row],[ID FACTURA]]&lt;&gt;0,"EMITIDA",Tabla6[[#This Row],[ID FACTURA]]=0,"POR EMITIR")</f>
        <v>PAGADA</v>
      </c>
      <c r="M949" s="55">
        <f>+IF(Tabla6[[#This Row],[ESTADO FACTURA]]="PAGADA",Tabla6[[#This Row],[FECHA]]-_xlfn.XLOOKUP(Tabla6[[#This Row],[N° FACTURA]],INGRESOS!F:F,INGRESOS!A:A),"-")</f>
        <v>0</v>
      </c>
      <c r="N949" s="2"/>
      <c r="O949"/>
    </row>
    <row r="950" spans="1:15" ht="14.75" customHeight="1">
      <c r="A950" s="320" t="s">
        <v>2011</v>
      </c>
      <c r="B950" t="str">
        <f>+_xlfn.XLOOKUP(Tabla6[[#This Row],[ID CLIENTE]],'RESUMEN CLIENTES'!D:D,'RESUMEN CLIENTES'!A:A)</f>
        <v>Bárbara Fuentes</v>
      </c>
      <c r="C950" t="str">
        <f>+_xlfn.XLOOKUP(Tabla6[[#This Row],[ID CLIENTE]],'RESUMEN CLIENTES'!D:D,'RESUMEN CLIENTES'!C:C)</f>
        <v>Chile</v>
      </c>
      <c r="D950" s="169" t="str">
        <f>+_xlfn.XLOOKUP(Tabla6[[#This Row],[ID CLIENTE]],'RESUMEN CLIENTES'!D:D,'RESUMEN CLIENTES'!M:M)</f>
        <v>OK</v>
      </c>
      <c r="E950" s="71">
        <f>+_xlfn.XLOOKUP(Tabla6[[#This Row],[NOMBRE]],'RESUMEN CLIENTES'!A:A,'RESUMEN CLIENTES'!X:X)</f>
        <v>-0.33333333333333331</v>
      </c>
      <c r="F950" s="71">
        <f>+_xlfn.XLOOKUP(Tabla6[[#This Row],[ID CLIENTE]],'RESUMEN CLIENTES'!D:D,'RESUMEN CLIENTES'!W:W)</f>
        <v>0</v>
      </c>
      <c r="G950" s="17">
        <v>46058</v>
      </c>
      <c r="H950" s="169" t="s">
        <v>81</v>
      </c>
      <c r="I950" s="2">
        <v>2750</v>
      </c>
      <c r="J950" s="20" t="s">
        <v>2080</v>
      </c>
      <c r="K950" t="s">
        <v>2081</v>
      </c>
      <c r="L950" s="44" t="str" cm="1">
        <f t="array" ref="L950">+_xlfn.IFS(COUNTIF(INGRESOS!E:E,Tabla6[[#This Row],[ID FACTURA]])=1,"PAGADA",Tabla6[[#This Row],[ID FACTURA]]&lt;&gt;0,"EMITIDA",Tabla6[[#This Row],[ID FACTURA]]=0,"POR EMITIR")</f>
        <v>PAGADA</v>
      </c>
      <c r="M950" s="54">
        <f>+IF(Tabla6[[#This Row],[ESTADO FACTURA]]="PAGADA",Tabla6[[#This Row],[FECHA]]-_xlfn.XLOOKUP(Tabla6[[#This Row],[N° FACTURA]],INGRESOS!F:F,INGRESOS!A:A),"-")</f>
        <v>0</v>
      </c>
      <c r="O950"/>
    </row>
    <row r="951" spans="1:15">
      <c r="A951" s="320" t="s">
        <v>203</v>
      </c>
      <c r="B951" t="str">
        <f>+_xlfn.XLOOKUP(Tabla6[[#This Row],[ID CLIENTE]],'RESUMEN CLIENTES'!D:D,'RESUMEN CLIENTES'!A:A)</f>
        <v>Bernardita Lobo Zegers</v>
      </c>
      <c r="C951" t="str">
        <f>+_xlfn.XLOOKUP(Tabla6[[#This Row],[ID CLIENTE]],'RESUMEN CLIENTES'!D:D,'RESUMEN CLIENTES'!C:C)</f>
        <v>México</v>
      </c>
      <c r="D951" s="44" t="str">
        <f>+_xlfn.XLOOKUP(Tabla6[[#This Row],[ID CLIENTE]],'RESUMEN CLIENTES'!D:D,'RESUMEN CLIENTES'!M:M)</f>
        <v>OK</v>
      </c>
      <c r="E951" s="72">
        <f>+_xlfn.XLOOKUP(Tabla6[[#This Row],[NOMBRE]],'RESUMEN CLIENTES'!A:A,'RESUMEN CLIENTES'!X:X)</f>
        <v>-0.8</v>
      </c>
      <c r="F951" s="72">
        <f>+_xlfn.XLOOKUP(Tabla6[[#This Row],[ID CLIENTE]],'RESUMEN CLIENTES'!D:D,'RESUMEN CLIENTES'!W:W)</f>
        <v>1</v>
      </c>
      <c r="G951" s="17">
        <v>46058</v>
      </c>
      <c r="H951" s="44" t="s">
        <v>81</v>
      </c>
      <c r="I951" s="2">
        <v>800</v>
      </c>
      <c r="J951" s="20" t="s">
        <v>4417</v>
      </c>
      <c r="K951" t="s">
        <v>4418</v>
      </c>
      <c r="L951" s="44" t="str" cm="1">
        <f t="array" ref="L951">+_xlfn.IFS(COUNTIF(INGRESOS!E:E,Tabla6[[#This Row],[ID FACTURA]])=1,"PAGADA",Tabla6[[#This Row],[ID FACTURA]]&lt;&gt;0,"EMITIDA",Tabla6[[#This Row],[ID FACTURA]]=0,"POR EMITIR")</f>
        <v>PAGADA</v>
      </c>
      <c r="M951" s="55">
        <f>+IF(Tabla6[[#This Row],[ESTADO FACTURA]]="PAGADA",Tabla6[[#This Row],[FECHA]]-_xlfn.XLOOKUP(Tabla6[[#This Row],[N° FACTURA]],INGRESOS!F:F,INGRESOS!A:A),"-")</f>
        <v>0</v>
      </c>
      <c r="N951" s="2"/>
      <c r="O951"/>
    </row>
    <row r="952" spans="1:15" ht="14.75" customHeight="1">
      <c r="A952" s="320" t="s">
        <v>184</v>
      </c>
      <c r="B952" t="str">
        <f>+_xlfn.XLOOKUP(Tabla6[[#This Row],[ID CLIENTE]],'RESUMEN CLIENTES'!D:D,'RESUMEN CLIENTES'!A:A)</f>
        <v>Boris Andrés Silva Véliz</v>
      </c>
      <c r="C952" t="str">
        <f>+_xlfn.XLOOKUP(Tabla6[[#This Row],[ID CLIENTE]],'RESUMEN CLIENTES'!D:D,'RESUMEN CLIENTES'!C:C)</f>
        <v>Chile</v>
      </c>
      <c r="D952" s="44" t="str">
        <f>+_xlfn.XLOOKUP(Tabla6[[#This Row],[ID CLIENTE]],'RESUMEN CLIENTES'!D:D,'RESUMEN CLIENTES'!M:M)</f>
        <v>OK</v>
      </c>
      <c r="E952" s="72">
        <f>+_xlfn.XLOOKUP(Tabla6[[#This Row],[NOMBRE]],'RESUMEN CLIENTES'!A:A,'RESUMEN CLIENTES'!X:X)</f>
        <v>2.1111111111111112</v>
      </c>
      <c r="F952" s="72">
        <f>+_xlfn.XLOOKUP(Tabla6[[#This Row],[ID CLIENTE]],'RESUMEN CLIENTES'!D:D,'RESUMEN CLIENTES'!W:W)</f>
        <v>0</v>
      </c>
      <c r="G952" s="17">
        <v>46058</v>
      </c>
      <c r="H952" s="44" t="s">
        <v>81</v>
      </c>
      <c r="I952" s="2">
        <v>695</v>
      </c>
      <c r="J952" s="20" t="s">
        <v>2066</v>
      </c>
      <c r="K952" t="s">
        <v>2067</v>
      </c>
      <c r="L952" s="44" t="str" cm="1">
        <f t="array" ref="L952">+_xlfn.IFS(COUNTIF(INGRESOS!E:E,Tabla6[[#This Row],[ID FACTURA]])=1,"PAGADA",Tabla6[[#This Row],[ID FACTURA]]&lt;&gt;0,"EMITIDA",Tabla6[[#This Row],[ID FACTURA]]=0,"POR EMITIR")</f>
        <v>PAGADA</v>
      </c>
      <c r="M952" s="55">
        <f>+IF(Tabla6[[#This Row],[ESTADO FACTURA]]="PAGADA",Tabla6[[#This Row],[FECHA]]-_xlfn.XLOOKUP(Tabla6[[#This Row],[N° FACTURA]],INGRESOS!F:F,INGRESOS!A:A),"-")</f>
        <v>5</v>
      </c>
      <c r="N952" s="2"/>
      <c r="O952"/>
    </row>
    <row r="953" spans="1:15" ht="14.75" customHeight="1">
      <c r="A953" s="320" t="s">
        <v>1206</v>
      </c>
      <c r="B953" t="str">
        <f>+_xlfn.XLOOKUP(Tabla6[[#This Row],[ID CLIENTE]],'RESUMEN CLIENTES'!D:D,'RESUMEN CLIENTES'!A:A)</f>
        <v>Bryan Israel Jiménez Puente</v>
      </c>
      <c r="C953" t="str">
        <f>+_xlfn.XLOOKUP(Tabla6[[#This Row],[ID CLIENTE]],'RESUMEN CLIENTES'!D:D,'RESUMEN CLIENTES'!C:C)</f>
        <v>Ecuador</v>
      </c>
      <c r="D953" s="44" t="str">
        <f>+_xlfn.XLOOKUP(Tabla6[[#This Row],[ID CLIENTE]],'RESUMEN CLIENTES'!D:D,'RESUMEN CLIENTES'!M:M)</f>
        <v>OK</v>
      </c>
      <c r="E953" s="72">
        <f>+_xlfn.XLOOKUP(Tabla6[[#This Row],[NOMBRE]],'RESUMEN CLIENTES'!A:A,'RESUMEN CLIENTES'!X:X)</f>
        <v>1</v>
      </c>
      <c r="F953" s="72">
        <f>+_xlfn.XLOOKUP(Tabla6[[#This Row],[ID CLIENTE]],'RESUMEN CLIENTES'!D:D,'RESUMEN CLIENTES'!W:W)</f>
        <v>0</v>
      </c>
      <c r="G953" s="17">
        <v>46058</v>
      </c>
      <c r="H953" s="44" t="s">
        <v>81</v>
      </c>
      <c r="I953" s="2">
        <v>1000</v>
      </c>
      <c r="J953" s="20" t="s">
        <v>2672</v>
      </c>
      <c r="K953" t="s">
        <v>2673</v>
      </c>
      <c r="L953" s="44" t="str" cm="1">
        <f t="array" ref="L953">+_xlfn.IFS(COUNTIF(INGRESOS!E:E,Tabla6[[#This Row],[ID FACTURA]])=1,"PAGADA",Tabla6[[#This Row],[ID FACTURA]]&lt;&gt;0,"EMITIDA",Tabla6[[#This Row],[ID FACTURA]]=0,"POR EMITIR")</f>
        <v>PAGADA</v>
      </c>
      <c r="M953" s="55">
        <f>+IF(Tabla6[[#This Row],[ESTADO FACTURA]]="PAGADA",Tabla6[[#This Row],[FECHA]]-_xlfn.XLOOKUP(Tabla6[[#This Row],[N° FACTURA]],INGRESOS!F:F,INGRESOS!A:A),"-")</f>
        <v>2</v>
      </c>
      <c r="N953" s="2"/>
      <c r="O953" s="8"/>
    </row>
    <row r="954" spans="1:15" ht="14.75" customHeight="1">
      <c r="A954" s="320" t="s">
        <v>168</v>
      </c>
      <c r="B954" t="str">
        <f>+_xlfn.XLOOKUP(Tabla6[[#This Row],[ID CLIENTE]],'RESUMEN CLIENTES'!D:D,'RESUMEN CLIENTES'!A:A)</f>
        <v xml:space="preserve">Catalina Ochoa Urrutia
</v>
      </c>
      <c r="C954" t="str">
        <f>+_xlfn.XLOOKUP(Tabla6[[#This Row],[ID CLIENTE]],'RESUMEN CLIENTES'!D:D,'RESUMEN CLIENTES'!C:C)</f>
        <v>Chile</v>
      </c>
      <c r="D954" s="44" t="str">
        <f>+_xlfn.XLOOKUP(Tabla6[[#This Row],[ID CLIENTE]],'RESUMEN CLIENTES'!D:D,'RESUMEN CLIENTES'!M:M)</f>
        <v>OK</v>
      </c>
      <c r="E954" s="72">
        <f>+_xlfn.XLOOKUP(Tabla6[[#This Row],[NOMBRE]],'RESUMEN CLIENTES'!A:A,'RESUMEN CLIENTES'!X:X)</f>
        <v>0.75</v>
      </c>
      <c r="F954" s="72">
        <f>+_xlfn.XLOOKUP(Tabla6[[#This Row],[ID CLIENTE]],'RESUMEN CLIENTES'!D:D,'RESUMEN CLIENTES'!W:W)</f>
        <v>1</v>
      </c>
      <c r="G954" s="17">
        <v>46058</v>
      </c>
      <c r="H954" s="44" t="s">
        <v>81</v>
      </c>
      <c r="I954" s="2">
        <v>800</v>
      </c>
      <c r="J954" s="20" t="s">
        <v>4419</v>
      </c>
      <c r="K954" t="s">
        <v>4420</v>
      </c>
      <c r="L954" s="44" t="str" cm="1">
        <f t="array" ref="L954">+_xlfn.IFS(COUNTIF(INGRESOS!E:E,Tabla6[[#This Row],[ID FACTURA]])=1,"PAGADA",Tabla6[[#This Row],[ID FACTURA]]&lt;&gt;0,"EMITIDA",Tabla6[[#This Row],[ID FACTURA]]=0,"POR EMITIR")</f>
        <v>PAGADA</v>
      </c>
      <c r="M954" s="55">
        <f>+IF(Tabla6[[#This Row],[ESTADO FACTURA]]="PAGADA",Tabla6[[#This Row],[FECHA]]-_xlfn.XLOOKUP(Tabla6[[#This Row],[N° FACTURA]],INGRESOS!F:F,INGRESOS!A:A),"-")</f>
        <v>0</v>
      </c>
      <c r="N954" s="2"/>
      <c r="O954"/>
    </row>
    <row r="955" spans="1:15" ht="14.75" customHeight="1">
      <c r="A955" s="320" t="s">
        <v>1674</v>
      </c>
      <c r="B955" t="str">
        <f>+_xlfn.XLOOKUP(Tabla6[[#This Row],[ID CLIENTE]],'RESUMEN CLIENTES'!D:D,'RESUMEN CLIENTES'!A:A)</f>
        <v>Diego Alberto Ruiz Cifuentes</v>
      </c>
      <c r="C955" t="str">
        <f>+_xlfn.XLOOKUP(Tabla6[[#This Row],[ID CLIENTE]],'RESUMEN CLIENTES'!D:D,'RESUMEN CLIENTES'!C:C)</f>
        <v>Chile</v>
      </c>
      <c r="D955" s="169" t="str">
        <f>+_xlfn.XLOOKUP(Tabla6[[#This Row],[ID CLIENTE]],'RESUMEN CLIENTES'!D:D,'RESUMEN CLIENTES'!M:M)</f>
        <v>OK</v>
      </c>
      <c r="E955" s="71">
        <f>+_xlfn.XLOOKUP(Tabla6[[#This Row],[NOMBRE]],'RESUMEN CLIENTES'!A:A,'RESUMEN CLIENTES'!X:X)</f>
        <v>5.75</v>
      </c>
      <c r="F955" s="71">
        <f>+_xlfn.XLOOKUP(Tabla6[[#This Row],[ID CLIENTE]],'RESUMEN CLIENTES'!D:D,'RESUMEN CLIENTES'!W:W)</f>
        <v>0</v>
      </c>
      <c r="G955" s="17">
        <v>46058</v>
      </c>
      <c r="H955" s="169" t="s">
        <v>81</v>
      </c>
      <c r="I955" s="2">
        <v>1000</v>
      </c>
      <c r="J955" s="20" t="s">
        <v>2068</v>
      </c>
      <c r="K955" t="s">
        <v>2069</v>
      </c>
      <c r="L955" s="44" t="str" cm="1">
        <f t="array" ref="L955">+_xlfn.IFS(COUNTIF(INGRESOS!E:E,Tabla6[[#This Row],[ID FACTURA]])=1,"PAGADA",Tabla6[[#This Row],[ID FACTURA]]&lt;&gt;0,"EMITIDA",Tabla6[[#This Row],[ID FACTURA]]=0,"POR EMITIR")</f>
        <v>PAGADA</v>
      </c>
      <c r="M955" s="55">
        <f>+IF(Tabla6[[#This Row],[ESTADO FACTURA]]="PAGADA",Tabla6[[#This Row],[FECHA]]-_xlfn.XLOOKUP(Tabla6[[#This Row],[N° FACTURA]],INGRESOS!F:F,INGRESOS!A:A),"-")</f>
        <v>3</v>
      </c>
      <c r="N955" s="2"/>
      <c r="O955"/>
    </row>
    <row r="956" spans="1:15" ht="14.75" customHeight="1">
      <c r="A956" s="320" t="s">
        <v>194</v>
      </c>
      <c r="B956" t="str">
        <f>+_xlfn.XLOOKUP(Tabla6[[#This Row],[ID CLIENTE]],'RESUMEN CLIENTES'!D:D,'RESUMEN CLIENTES'!A:A)</f>
        <v>Dinorah Gómez Castellanos</v>
      </c>
      <c r="C956" t="str">
        <f>+_xlfn.XLOOKUP(Tabla6[[#This Row],[ID CLIENTE]],'RESUMEN CLIENTES'!D:D,'RESUMEN CLIENTES'!C:C)</f>
        <v>México</v>
      </c>
      <c r="D956" s="44" t="str">
        <f>+_xlfn.XLOOKUP(Tabla6[[#This Row],[ID CLIENTE]],'RESUMEN CLIENTES'!D:D,'RESUMEN CLIENTES'!M:M)</f>
        <v>OK</v>
      </c>
      <c r="E956" s="72">
        <f>+_xlfn.XLOOKUP(Tabla6[[#This Row],[NOMBRE]],'RESUMEN CLIENTES'!A:A,'RESUMEN CLIENTES'!X:X)</f>
        <v>2.75</v>
      </c>
      <c r="F956" s="72">
        <f>+_xlfn.XLOOKUP(Tabla6[[#This Row],[ID CLIENTE]],'RESUMEN CLIENTES'!D:D,'RESUMEN CLIENTES'!W:W)</f>
        <v>0</v>
      </c>
      <c r="G956" s="17">
        <v>46058</v>
      </c>
      <c r="H956" s="44" t="s">
        <v>81</v>
      </c>
      <c r="I956" s="2">
        <v>400</v>
      </c>
      <c r="J956" s="20" t="s">
        <v>2070</v>
      </c>
      <c r="K956" t="s">
        <v>2071</v>
      </c>
      <c r="L956" s="44" t="str" cm="1">
        <f t="array" ref="L956">+_xlfn.IFS(COUNTIF(INGRESOS!E:E,Tabla6[[#This Row],[ID FACTURA]])=1,"PAGADA",Tabla6[[#This Row],[ID FACTURA]]&lt;&gt;0,"EMITIDA",Tabla6[[#This Row],[ID FACTURA]]=0,"POR EMITIR")</f>
        <v>PAGADA</v>
      </c>
      <c r="M956" s="55">
        <f>+IF(Tabla6[[#This Row],[ESTADO FACTURA]]="PAGADA",Tabla6[[#This Row],[FECHA]]-_xlfn.XLOOKUP(Tabla6[[#This Row],[N° FACTURA]],INGRESOS!F:F,INGRESOS!A:A),"-")</f>
        <v>1</v>
      </c>
      <c r="N956" s="2"/>
      <c r="O956"/>
    </row>
    <row r="957" spans="1:15" ht="14.75" customHeight="1">
      <c r="A957" s="320" t="s">
        <v>787</v>
      </c>
      <c r="B957" t="str">
        <f>+_xlfn.XLOOKUP(Tabla6[[#This Row],[ID CLIENTE]],'RESUMEN CLIENTES'!D:D,'RESUMEN CLIENTES'!A:A)</f>
        <v>Florencia Luján Sapia</v>
      </c>
      <c r="C957" t="str">
        <f>+_xlfn.XLOOKUP(Tabla6[[#This Row],[ID CLIENTE]],'RESUMEN CLIENTES'!D:D,'RESUMEN CLIENTES'!C:C)</f>
        <v>Argentina</v>
      </c>
      <c r="D957" s="44" t="str">
        <f>+_xlfn.XLOOKUP(Tabla6[[#This Row],[ID CLIENTE]],'RESUMEN CLIENTES'!D:D,'RESUMEN CLIENTES'!M:M)</f>
        <v>OK</v>
      </c>
      <c r="E957" s="72">
        <f>+_xlfn.XLOOKUP(Tabla6[[#This Row],[NOMBRE]],'RESUMEN CLIENTES'!A:A,'RESUMEN CLIENTES'!X:X)</f>
        <v>-0.77777777777777779</v>
      </c>
      <c r="F957" s="72">
        <f>+_xlfn.XLOOKUP(Tabla6[[#This Row],[ID CLIENTE]],'RESUMEN CLIENTES'!D:D,'RESUMEN CLIENTES'!W:W)</f>
        <v>1</v>
      </c>
      <c r="G957" s="17">
        <v>46058</v>
      </c>
      <c r="H957" s="44" t="s">
        <v>81</v>
      </c>
      <c r="I957" s="2">
        <v>600</v>
      </c>
      <c r="J957" s="20" t="s">
        <v>2670</v>
      </c>
      <c r="K957" t="s">
        <v>2671</v>
      </c>
      <c r="L957" s="44" t="str" cm="1">
        <f t="array" ref="L957">+_xlfn.IFS(COUNTIF(INGRESOS!E:E,Tabla6[[#This Row],[ID FACTURA]])=1,"PAGADA",Tabla6[[#This Row],[ID FACTURA]]&lt;&gt;0,"EMITIDA",Tabla6[[#This Row],[ID FACTURA]]=0,"POR EMITIR")</f>
        <v>PAGADA</v>
      </c>
      <c r="M957" s="55">
        <f>+IF(Tabla6[[#This Row],[ESTADO FACTURA]]="PAGADA",Tabla6[[#This Row],[FECHA]]-_xlfn.XLOOKUP(Tabla6[[#This Row],[N° FACTURA]],INGRESOS!F:F,INGRESOS!A:A),"-")</f>
        <v>2</v>
      </c>
      <c r="N957" s="2"/>
      <c r="O957" s="8"/>
    </row>
    <row r="958" spans="1:15" ht="14.75" customHeight="1">
      <c r="A958" s="320" t="s">
        <v>171</v>
      </c>
      <c r="B958" t="str">
        <f>+_xlfn.XLOOKUP(Tabla6[[#This Row],[ID CLIENTE]],'RESUMEN CLIENTES'!D:D,'RESUMEN CLIENTES'!A:A)</f>
        <v>Guillermo Alfonso Garvalena Gaxiola</v>
      </c>
      <c r="C958" t="str">
        <f>+_xlfn.XLOOKUP(Tabla6[[#This Row],[ID CLIENTE]],'RESUMEN CLIENTES'!D:D,'RESUMEN CLIENTES'!C:C)</f>
        <v>México</v>
      </c>
      <c r="D958" s="44" t="str">
        <f>+_xlfn.XLOOKUP(Tabla6[[#This Row],[ID CLIENTE]],'RESUMEN CLIENTES'!D:D,'RESUMEN CLIENTES'!M:M)</f>
        <v>OK</v>
      </c>
      <c r="E958" s="72">
        <f>+_xlfn.XLOOKUP(Tabla6[[#This Row],[NOMBRE]],'RESUMEN CLIENTES'!A:A,'RESUMEN CLIENTES'!X:X)</f>
        <v>1.173913043478261</v>
      </c>
      <c r="F958" s="72">
        <f>+_xlfn.XLOOKUP(Tabla6[[#This Row],[ID CLIENTE]],'RESUMEN CLIENTES'!D:D,'RESUMEN CLIENTES'!W:W)</f>
        <v>1</v>
      </c>
      <c r="G958" s="17">
        <v>46058</v>
      </c>
      <c r="H958" s="44" t="s">
        <v>81</v>
      </c>
      <c r="I958" s="2">
        <v>200</v>
      </c>
      <c r="J958" s="20" t="s">
        <v>4423</v>
      </c>
      <c r="K958" t="s">
        <v>4424</v>
      </c>
      <c r="L958" s="44" t="str" cm="1">
        <f t="array" ref="L958">+_xlfn.IFS(COUNTIF(INGRESOS!E:E,Tabla6[[#This Row],[ID FACTURA]])=1,"PAGADA",Tabla6[[#This Row],[ID FACTURA]]&lt;&gt;0,"EMITIDA",Tabla6[[#This Row],[ID FACTURA]]=0,"POR EMITIR")</f>
        <v>PAGADA</v>
      </c>
      <c r="M958" s="55">
        <f>+IF(Tabla6[[#This Row],[ESTADO FACTURA]]="PAGADA",Tabla6[[#This Row],[FECHA]]-_xlfn.XLOOKUP(Tabla6[[#This Row],[N° FACTURA]],INGRESOS!F:F,INGRESOS!A:A),"-")</f>
        <v>1</v>
      </c>
      <c r="N958" s="2"/>
      <c r="O958"/>
    </row>
    <row r="959" spans="1:15" ht="14.75" customHeight="1">
      <c r="A959" s="320" t="s">
        <v>171</v>
      </c>
      <c r="B959" t="str">
        <f>+_xlfn.XLOOKUP(Tabla6[[#This Row],[ID CLIENTE]],'RESUMEN CLIENTES'!D:D,'RESUMEN CLIENTES'!A:A)</f>
        <v>Guillermo Alfonso Garvalena Gaxiola</v>
      </c>
      <c r="C959" t="str">
        <f>+_xlfn.XLOOKUP(Tabla6[[#This Row],[ID CLIENTE]],'RESUMEN CLIENTES'!D:D,'RESUMEN CLIENTES'!C:C)</f>
        <v>México</v>
      </c>
      <c r="D959" s="44" t="str">
        <f>+_xlfn.XLOOKUP(Tabla6[[#This Row],[ID CLIENTE]],'RESUMEN CLIENTES'!D:D,'RESUMEN CLIENTES'!M:M)</f>
        <v>OK</v>
      </c>
      <c r="E959" s="72">
        <f>+_xlfn.XLOOKUP(Tabla6[[#This Row],[NOMBRE]],'RESUMEN CLIENTES'!A:A,'RESUMEN CLIENTES'!X:X)</f>
        <v>1.173913043478261</v>
      </c>
      <c r="F959" s="71">
        <f>+_xlfn.XLOOKUP(Tabla6[[#This Row],[ID CLIENTE]],'RESUMEN CLIENTES'!D:D,'RESUMEN CLIENTES'!W:W)</f>
        <v>1</v>
      </c>
      <c r="G959" s="17">
        <v>46058</v>
      </c>
      <c r="H959" s="44" t="s">
        <v>81</v>
      </c>
      <c r="I959" s="2">
        <v>500</v>
      </c>
      <c r="J959" s="20" t="s">
        <v>4421</v>
      </c>
      <c r="K959" t="s">
        <v>4422</v>
      </c>
      <c r="L959" s="44" t="str" cm="1">
        <f t="array" ref="L959">+_xlfn.IFS(COUNTIF(INGRESOS!E:E,Tabla6[[#This Row],[ID FACTURA]])=1,"PAGADA",Tabla6[[#This Row],[ID FACTURA]]&lt;&gt;0,"EMITIDA",Tabla6[[#This Row],[ID FACTURA]]=0,"POR EMITIR")</f>
        <v>PAGADA</v>
      </c>
      <c r="M959" s="55">
        <f>+IF(Tabla6[[#This Row],[ESTADO FACTURA]]="PAGADA",Tabla6[[#This Row],[FECHA]]-_xlfn.XLOOKUP(Tabla6[[#This Row],[N° FACTURA]],INGRESOS!F:F,INGRESOS!A:A),"-")</f>
        <v>1</v>
      </c>
      <c r="N959" s="214"/>
      <c r="O959"/>
    </row>
    <row r="960" spans="1:15" ht="14.75" customHeight="1">
      <c r="A960" s="320" t="s">
        <v>109</v>
      </c>
      <c r="B960" t="str">
        <f>+_xlfn.XLOOKUP(Tabla6[[#This Row],[ID CLIENTE]],'RESUMEN CLIENTES'!D:D,'RESUMEN CLIENTES'!A:A)</f>
        <v>Ian Job Lino Durán</v>
      </c>
      <c r="C960" t="str">
        <f>+_xlfn.XLOOKUP(Tabla6[[#This Row],[ID CLIENTE]],'RESUMEN CLIENTES'!D:D,'RESUMEN CLIENTES'!C:C)</f>
        <v>México</v>
      </c>
      <c r="D960" s="44" t="str">
        <f>+_xlfn.XLOOKUP(Tabla6[[#This Row],[ID CLIENTE]],'RESUMEN CLIENTES'!D:D,'RESUMEN CLIENTES'!M:M)</f>
        <v>OK</v>
      </c>
      <c r="E960" s="72">
        <f>+_xlfn.XLOOKUP(Tabla6[[#This Row],[NOMBRE]],'RESUMEN CLIENTES'!A:A,'RESUMEN CLIENTES'!X:X)</f>
        <v>0.1</v>
      </c>
      <c r="F960" s="72">
        <f>+_xlfn.XLOOKUP(Tabla6[[#This Row],[ID CLIENTE]],'RESUMEN CLIENTES'!D:D,'RESUMEN CLIENTES'!W:W)</f>
        <v>1</v>
      </c>
      <c r="G960" s="17">
        <v>46058</v>
      </c>
      <c r="H960" s="44" t="s">
        <v>81</v>
      </c>
      <c r="I960" s="2">
        <v>800</v>
      </c>
      <c r="J960" s="20" t="s">
        <v>4425</v>
      </c>
      <c r="K960" t="s">
        <v>4426</v>
      </c>
      <c r="L960" s="44" t="str" cm="1">
        <f t="array" ref="L960">+_xlfn.IFS(COUNTIF(INGRESOS!E:E,Tabla6[[#This Row],[ID FACTURA]])=1,"PAGADA",Tabla6[[#This Row],[ID FACTURA]]&lt;&gt;0,"EMITIDA",Tabla6[[#This Row],[ID FACTURA]]=0,"POR EMITIR")</f>
        <v>PAGADA</v>
      </c>
      <c r="M960" s="55">
        <f>+IF(Tabla6[[#This Row],[ESTADO FACTURA]]="PAGADA",Tabla6[[#This Row],[FECHA]]-_xlfn.XLOOKUP(Tabla6[[#This Row],[N° FACTURA]],INGRESOS!F:F,INGRESOS!A:A),"-")</f>
        <v>0</v>
      </c>
      <c r="N960" s="2"/>
      <c r="O960"/>
    </row>
    <row r="961" spans="1:15" ht="14.75" customHeight="1">
      <c r="A961" s="320" t="s">
        <v>142</v>
      </c>
      <c r="B961" t="str">
        <f>+_xlfn.XLOOKUP(Tabla6[[#This Row],[ID CLIENTE]],'RESUMEN CLIENTES'!D:D,'RESUMEN CLIENTES'!A:A)</f>
        <v>Jordan Eliecer Toledo Bravo</v>
      </c>
      <c r="C961" t="str">
        <f>+_xlfn.XLOOKUP(Tabla6[[#This Row],[ID CLIENTE]],'RESUMEN CLIENTES'!D:D,'RESUMEN CLIENTES'!C:C)</f>
        <v>Chile</v>
      </c>
      <c r="D961" s="169" t="str">
        <f>+_xlfn.XLOOKUP(Tabla6[[#This Row],[ID CLIENTE]],'RESUMEN CLIENTES'!D:D,'RESUMEN CLIENTES'!M:M)</f>
        <v>OK</v>
      </c>
      <c r="E961" s="71">
        <f>+_xlfn.XLOOKUP(Tabla6[[#This Row],[NOMBRE]],'RESUMEN CLIENTES'!A:A,'RESUMEN CLIENTES'!X:X)</f>
        <v>-1.6153846153846154</v>
      </c>
      <c r="F961" s="71">
        <f>+_xlfn.XLOOKUP(Tabla6[[#This Row],[ID CLIENTE]],'RESUMEN CLIENTES'!D:D,'RESUMEN CLIENTES'!W:W)</f>
        <v>0</v>
      </c>
      <c r="G961" s="17">
        <v>46058</v>
      </c>
      <c r="H961" s="169" t="s">
        <v>81</v>
      </c>
      <c r="I961" s="2">
        <v>500</v>
      </c>
      <c r="J961" s="20" t="s">
        <v>2078</v>
      </c>
      <c r="K961" t="s">
        <v>2079</v>
      </c>
      <c r="L961" s="44" t="str" cm="1">
        <f t="array" ref="L961">+_xlfn.IFS(COUNTIF(INGRESOS!E:E,Tabla6[[#This Row],[ID FACTURA]])=1,"PAGADA",Tabla6[[#This Row],[ID FACTURA]]&lt;&gt;0,"EMITIDA",Tabla6[[#This Row],[ID FACTURA]]=0,"POR EMITIR")</f>
        <v>PAGADA</v>
      </c>
      <c r="M961" s="54">
        <f>+IF(Tabla6[[#This Row],[ESTADO FACTURA]]="PAGADA",Tabla6[[#This Row],[FECHA]]-_xlfn.XLOOKUP(Tabla6[[#This Row],[N° FACTURA]],INGRESOS!F:F,INGRESOS!A:A),"-")</f>
        <v>0</v>
      </c>
      <c r="O961"/>
    </row>
    <row r="962" spans="1:15" ht="14.75" customHeight="1">
      <c r="A962" s="320" t="s">
        <v>4454</v>
      </c>
      <c r="B962" t="str">
        <f>+_xlfn.XLOOKUP(Tabla6[[#This Row],[ID CLIENTE]],'RESUMEN CLIENTES'!D:D,'RESUMEN CLIENTES'!A:A)</f>
        <v>Jose Luis Avilez Casas</v>
      </c>
      <c r="C962" t="str">
        <f>+_xlfn.XLOOKUP(Tabla6[[#This Row],[ID CLIENTE]],'RESUMEN CLIENTES'!D:D,'RESUMEN CLIENTES'!C:C)</f>
        <v>México</v>
      </c>
      <c r="D962" s="169" t="str">
        <f>+_xlfn.XLOOKUP(Tabla6[[#This Row],[ID CLIENTE]],'RESUMEN CLIENTES'!D:D,'RESUMEN CLIENTES'!M:M)</f>
        <v>OK</v>
      </c>
      <c r="E962" s="71">
        <f>+_xlfn.XLOOKUP(Tabla6[[#This Row],[NOMBRE]],'RESUMEN CLIENTES'!A:A,'RESUMEN CLIENTES'!X:X)</f>
        <v>0.33333333333333331</v>
      </c>
      <c r="F962" s="71">
        <f>+_xlfn.XLOOKUP(Tabla6[[#This Row],[ID CLIENTE]],'RESUMEN CLIENTES'!D:D,'RESUMEN CLIENTES'!W:W)</f>
        <v>0</v>
      </c>
      <c r="G962" s="17">
        <v>46058</v>
      </c>
      <c r="H962" s="169" t="s">
        <v>81</v>
      </c>
      <c r="I962" s="2">
        <v>250</v>
      </c>
      <c r="J962" s="20" t="s">
        <v>4455</v>
      </c>
      <c r="K962" t="s">
        <v>4456</v>
      </c>
      <c r="L962" s="44" t="str" cm="1">
        <f t="array" ref="L962">+_xlfn.IFS(COUNTIF(INGRESOS!E:E,Tabla6[[#This Row],[ID FACTURA]])=1,"PAGADA",Tabla6[[#This Row],[ID FACTURA]]&lt;&gt;0,"EMITIDA",Tabla6[[#This Row],[ID FACTURA]]=0,"POR EMITIR")</f>
        <v>PAGADA</v>
      </c>
      <c r="M962" s="54">
        <f>+IF(Tabla6[[#This Row],[ESTADO FACTURA]]="PAGADA",Tabla6[[#This Row],[FECHA]]-_xlfn.XLOOKUP(Tabla6[[#This Row],[N° FACTURA]],INGRESOS!F:F,INGRESOS!A:A),"-")</f>
        <v>0</v>
      </c>
      <c r="O962"/>
    </row>
    <row r="963" spans="1:15" ht="14.75" customHeight="1">
      <c r="A963" s="320" t="s">
        <v>4454</v>
      </c>
      <c r="B963" t="str">
        <f>+_xlfn.XLOOKUP(Tabla6[[#This Row],[ID CLIENTE]],'RESUMEN CLIENTES'!D:D,'RESUMEN CLIENTES'!A:A)</f>
        <v>Jose Luis Avilez Casas</v>
      </c>
      <c r="C963" t="str">
        <f>+_xlfn.XLOOKUP(Tabla6[[#This Row],[ID CLIENTE]],'RESUMEN CLIENTES'!D:D,'RESUMEN CLIENTES'!C:C)</f>
        <v>México</v>
      </c>
      <c r="D963" s="169" t="str">
        <f>+_xlfn.XLOOKUP(Tabla6[[#This Row],[ID CLIENTE]],'RESUMEN CLIENTES'!D:D,'RESUMEN CLIENTES'!M:M)</f>
        <v>OK</v>
      </c>
      <c r="E963" s="71">
        <f>+_xlfn.XLOOKUP(Tabla6[[#This Row],[NOMBRE]],'RESUMEN CLIENTES'!A:A,'RESUMEN CLIENTES'!X:X)</f>
        <v>0.33333333333333331</v>
      </c>
      <c r="F963" s="71">
        <f>+_xlfn.XLOOKUP(Tabla6[[#This Row],[ID CLIENTE]],'RESUMEN CLIENTES'!D:D,'RESUMEN CLIENTES'!W:W)</f>
        <v>0</v>
      </c>
      <c r="G963" s="17">
        <v>46058</v>
      </c>
      <c r="H963" s="169" t="s">
        <v>81</v>
      </c>
      <c r="I963" s="2">
        <v>750</v>
      </c>
      <c r="J963" s="20" t="s">
        <v>4457</v>
      </c>
      <c r="K963" t="s">
        <v>4458</v>
      </c>
      <c r="L963" s="44" t="str" cm="1">
        <f t="array" ref="L963">+_xlfn.IFS(COUNTIF(INGRESOS!E:E,Tabla6[[#This Row],[ID FACTURA]])=1,"PAGADA",Tabla6[[#This Row],[ID FACTURA]]&lt;&gt;0,"EMITIDA",Tabla6[[#This Row],[ID FACTURA]]=0,"POR EMITIR")</f>
        <v>PAGADA</v>
      </c>
      <c r="M963" s="54">
        <f>+IF(Tabla6[[#This Row],[ESTADO FACTURA]]="PAGADA",Tabla6[[#This Row],[FECHA]]-_xlfn.XLOOKUP(Tabla6[[#This Row],[N° FACTURA]],INGRESOS!F:F,INGRESOS!A:A),"-")</f>
        <v>0</v>
      </c>
      <c r="O963"/>
    </row>
    <row r="964" spans="1:15" ht="14.75" customHeight="1">
      <c r="A964" s="320" t="s">
        <v>798</v>
      </c>
      <c r="B964" t="str">
        <f>+_xlfn.XLOOKUP(Tabla6[[#This Row],[ID CLIENTE]],'RESUMEN CLIENTES'!D:D,'RESUMEN CLIENTES'!A:A)</f>
        <v>Juan Manuel Paranzino</v>
      </c>
      <c r="C964" t="str">
        <f>+_xlfn.XLOOKUP(Tabla6[[#This Row],[ID CLIENTE]],'RESUMEN CLIENTES'!D:D,'RESUMEN CLIENTES'!C:C)</f>
        <v>Argentina</v>
      </c>
      <c r="D964" s="44" t="str">
        <f>+_xlfn.XLOOKUP(Tabla6[[#This Row],[ID CLIENTE]],'RESUMEN CLIENTES'!D:D,'RESUMEN CLIENTES'!M:M)</f>
        <v>OK</v>
      </c>
      <c r="E964" s="72">
        <f>+_xlfn.XLOOKUP(Tabla6[[#This Row],[NOMBRE]],'RESUMEN CLIENTES'!A:A,'RESUMEN CLIENTES'!X:X)</f>
        <v>-1</v>
      </c>
      <c r="F964" s="72">
        <f>+_xlfn.XLOOKUP(Tabla6[[#This Row],[ID CLIENTE]],'RESUMEN CLIENTES'!D:D,'RESUMEN CLIENTES'!W:W)</f>
        <v>0</v>
      </c>
      <c r="G964" s="17">
        <v>46058</v>
      </c>
      <c r="H964" s="44" t="s">
        <v>81</v>
      </c>
      <c r="I964" s="2">
        <v>600</v>
      </c>
      <c r="J964" s="20" t="s">
        <v>2072</v>
      </c>
      <c r="K964" t="s">
        <v>2073</v>
      </c>
      <c r="L964" s="44" t="str" cm="1">
        <f t="array" ref="L964">+_xlfn.IFS(COUNTIF(INGRESOS!E:E,Tabla6[[#This Row],[ID FACTURA]])=1,"PAGADA",Tabla6[[#This Row],[ID FACTURA]]&lt;&gt;0,"EMITIDA",Tabla6[[#This Row],[ID FACTURA]]=0,"POR EMITIR")</f>
        <v>PAGADA</v>
      </c>
      <c r="M964" s="55">
        <f>+IF(Tabla6[[#This Row],[ESTADO FACTURA]]="PAGADA",Tabla6[[#This Row],[FECHA]]-_xlfn.XLOOKUP(Tabla6[[#This Row],[N° FACTURA]],INGRESOS!F:F,INGRESOS!A:A),"-")</f>
        <v>1</v>
      </c>
      <c r="N964" s="2"/>
      <c r="O964"/>
    </row>
    <row r="965" spans="1:15" ht="14.75" customHeight="1">
      <c r="A965" s="320" t="s">
        <v>955</v>
      </c>
      <c r="B965" t="str">
        <f>+_xlfn.XLOOKUP(Tabla6[[#This Row],[ID CLIENTE]],'RESUMEN CLIENTES'!D:D,'RESUMEN CLIENTES'!A:A)</f>
        <v>Judith Elizabeth Lopez Sanchez</v>
      </c>
      <c r="C965" t="str">
        <f>+_xlfn.XLOOKUP(Tabla6[[#This Row],[ID CLIENTE]],'RESUMEN CLIENTES'!D:D,'RESUMEN CLIENTES'!C:C)</f>
        <v>Perú</v>
      </c>
      <c r="D965" s="44" t="str">
        <f>+_xlfn.XLOOKUP(Tabla6[[#This Row],[ID CLIENTE]],'RESUMEN CLIENTES'!D:D,'RESUMEN CLIENTES'!M:M)</f>
        <v>OK</v>
      </c>
      <c r="E965" s="72">
        <f>+_xlfn.XLOOKUP(Tabla6[[#This Row],[NOMBRE]],'RESUMEN CLIENTES'!A:A,'RESUMEN CLIENTES'!X:X)</f>
        <v>0.2857142857142857</v>
      </c>
      <c r="F965" s="72">
        <f>+_xlfn.XLOOKUP(Tabla6[[#This Row],[ID CLIENTE]],'RESUMEN CLIENTES'!D:D,'RESUMEN CLIENTES'!W:W)</f>
        <v>1</v>
      </c>
      <c r="G965" s="17">
        <v>46058</v>
      </c>
      <c r="H965" s="44" t="s">
        <v>81</v>
      </c>
      <c r="I965" s="2">
        <v>1000</v>
      </c>
      <c r="J965" s="20" t="s">
        <v>4427</v>
      </c>
      <c r="K965" t="s">
        <v>4428</v>
      </c>
      <c r="L965" s="44" t="str" cm="1">
        <f t="array" ref="L965">+_xlfn.IFS(COUNTIF(INGRESOS!E:E,Tabla6[[#This Row],[ID FACTURA]])=1,"PAGADA",Tabla6[[#This Row],[ID FACTURA]]&lt;&gt;0,"EMITIDA",Tabla6[[#This Row],[ID FACTURA]]=0,"POR EMITIR")</f>
        <v>PAGADA</v>
      </c>
      <c r="M965" s="55">
        <f>+IF(Tabla6[[#This Row],[ESTADO FACTURA]]="PAGADA",Tabla6[[#This Row],[FECHA]]-_xlfn.XLOOKUP(Tabla6[[#This Row],[N° FACTURA]],INGRESOS!F:F,INGRESOS!A:A),"-")</f>
        <v>0</v>
      </c>
      <c r="N965" s="2"/>
      <c r="O965"/>
    </row>
    <row r="966" spans="1:15" ht="14.5" customHeight="1">
      <c r="A966" s="320" t="s">
        <v>1416</v>
      </c>
      <c r="B966" t="str">
        <f>+_xlfn.XLOOKUP(Tabla6[[#This Row],[ID CLIENTE]],'RESUMEN CLIENTES'!D:D,'RESUMEN CLIENTES'!A:A)</f>
        <v>Luis Armando Calderon Manzanera</v>
      </c>
      <c r="C966" t="str">
        <f>+_xlfn.XLOOKUP(Tabla6[[#This Row],[ID CLIENTE]],'RESUMEN CLIENTES'!D:D,'RESUMEN CLIENTES'!C:C)</f>
        <v>México</v>
      </c>
      <c r="D966" s="44" t="str">
        <f>+_xlfn.XLOOKUP(Tabla6[[#This Row],[ID CLIENTE]],'RESUMEN CLIENTES'!D:D,'RESUMEN CLIENTES'!M:M)</f>
        <v>OK</v>
      </c>
      <c r="E966" s="71">
        <f>+_xlfn.XLOOKUP(Tabla6[[#This Row],[NOMBRE]],'RESUMEN CLIENTES'!A:A,'RESUMEN CLIENTES'!X:X)</f>
        <v>2</v>
      </c>
      <c r="F966" s="71">
        <f>+_xlfn.XLOOKUP(Tabla6[[#This Row],[ID CLIENTE]],'RESUMEN CLIENTES'!D:D,'RESUMEN CLIENTES'!W:W)</f>
        <v>1</v>
      </c>
      <c r="G966" s="17">
        <v>46058</v>
      </c>
      <c r="H966" s="44" t="s">
        <v>81</v>
      </c>
      <c r="I966" s="2">
        <v>650</v>
      </c>
      <c r="J966" s="20" t="s">
        <v>2658</v>
      </c>
      <c r="K966" t="s">
        <v>2659</v>
      </c>
      <c r="L966" s="44" t="str" cm="1">
        <f t="array" ref="L966">+_xlfn.IFS(COUNTIF(INGRESOS!E:E,Tabla6[[#This Row],[ID FACTURA]])=1,"PAGADA",Tabla6[[#This Row],[ID FACTURA]]&lt;&gt;0,"EMITIDA",Tabla6[[#This Row],[ID FACTURA]]=0,"POR EMITIR")</f>
        <v>PAGADA</v>
      </c>
      <c r="M966" s="55">
        <f>+IF(Tabla6[[#This Row],[ESTADO FACTURA]]="PAGADA",Tabla6[[#This Row],[FECHA]]-_xlfn.XLOOKUP(Tabla6[[#This Row],[N° FACTURA]],INGRESOS!F:F,INGRESOS!A:A),"-")</f>
        <v>3</v>
      </c>
      <c r="N966" s="2"/>
      <c r="O966" s="8"/>
    </row>
    <row r="967" spans="1:15" ht="14.75" customHeight="1">
      <c r="A967" s="320" t="s">
        <v>703</v>
      </c>
      <c r="B967" t="str">
        <f>+_xlfn.XLOOKUP(Tabla6[[#This Row],[ID CLIENTE]],'RESUMEN CLIENTES'!D:D,'RESUMEN CLIENTES'!A:A)</f>
        <v>Maira Paz Navas Sánchez</v>
      </c>
      <c r="C967" t="str">
        <f>+_xlfn.XLOOKUP(Tabla6[[#This Row],[ID CLIENTE]],'RESUMEN CLIENTES'!D:D,'RESUMEN CLIENTES'!C:C)</f>
        <v>Chile</v>
      </c>
      <c r="D967" s="44" t="str">
        <f>+_xlfn.XLOOKUP(Tabla6[[#This Row],[ID CLIENTE]],'RESUMEN CLIENTES'!D:D,'RESUMEN CLIENTES'!M:M)</f>
        <v>OK</v>
      </c>
      <c r="E967" s="72">
        <f>+_xlfn.XLOOKUP(Tabla6[[#This Row],[NOMBRE]],'RESUMEN CLIENTES'!A:A,'RESUMEN CLIENTES'!X:X)</f>
        <v>-1.75</v>
      </c>
      <c r="F967" s="72">
        <f>+_xlfn.XLOOKUP(Tabla6[[#This Row],[ID CLIENTE]],'RESUMEN CLIENTES'!D:D,'RESUMEN CLIENTES'!W:W)</f>
        <v>1</v>
      </c>
      <c r="G967" s="17">
        <v>46058</v>
      </c>
      <c r="H967" s="44" t="s">
        <v>81</v>
      </c>
      <c r="I967" s="2">
        <v>700</v>
      </c>
      <c r="J967" s="20" t="s">
        <v>4429</v>
      </c>
      <c r="K967" t="s">
        <v>4430</v>
      </c>
      <c r="L967" s="44" t="str" cm="1">
        <f t="array" ref="L967">+_xlfn.IFS(COUNTIF(INGRESOS!E:E,Tabla6[[#This Row],[ID FACTURA]])=1,"PAGADA",Tabla6[[#This Row],[ID FACTURA]]&lt;&gt;0,"EMITIDA",Tabla6[[#This Row],[ID FACTURA]]=0,"POR EMITIR")</f>
        <v>PAGADA</v>
      </c>
      <c r="M967" s="55">
        <f>+IF(Tabla6[[#This Row],[ESTADO FACTURA]]="PAGADA",Tabla6[[#This Row],[FECHA]]-_xlfn.XLOOKUP(Tabla6[[#This Row],[N° FACTURA]],INGRESOS!F:F,INGRESOS!A:A),"-")</f>
        <v>0</v>
      </c>
      <c r="N967" s="2"/>
      <c r="O967"/>
    </row>
    <row r="968" spans="1:15" ht="14.75" customHeight="1">
      <c r="A968" s="320" t="s">
        <v>80</v>
      </c>
      <c r="B968" t="str">
        <f>+_xlfn.XLOOKUP(Tabla6[[#This Row],[ID CLIENTE]],'RESUMEN CLIENTES'!D:D,'RESUMEN CLIENTES'!A:A)</f>
        <v>María Fernanda Alvar Sepúlveda</v>
      </c>
      <c r="C968" t="str">
        <f>+_xlfn.XLOOKUP(Tabla6[[#This Row],[ID CLIENTE]],'RESUMEN CLIENTES'!D:D,'RESUMEN CLIENTES'!C:C)</f>
        <v>Chile</v>
      </c>
      <c r="D968" s="44" t="str">
        <f>+_xlfn.XLOOKUP(Tabla6[[#This Row],[ID CLIENTE]],'RESUMEN CLIENTES'!D:D,'RESUMEN CLIENTES'!M:M)</f>
        <v>OK</v>
      </c>
      <c r="E968" s="72">
        <f>+_xlfn.XLOOKUP(Tabla6[[#This Row],[NOMBRE]],'RESUMEN CLIENTES'!A:A,'RESUMEN CLIENTES'!X:X)</f>
        <v>5</v>
      </c>
      <c r="F968" s="72">
        <f>+_xlfn.XLOOKUP(Tabla6[[#This Row],[ID CLIENTE]],'RESUMEN CLIENTES'!D:D,'RESUMEN CLIENTES'!W:W)</f>
        <v>1</v>
      </c>
      <c r="G968" s="17">
        <v>46058</v>
      </c>
      <c r="H968" s="44" t="s">
        <v>81</v>
      </c>
      <c r="I968" s="2">
        <v>800</v>
      </c>
      <c r="J968" s="20" t="s">
        <v>2668</v>
      </c>
      <c r="K968" t="s">
        <v>2669</v>
      </c>
      <c r="L968" s="44" t="str" cm="1">
        <f t="array" ref="L968">+_xlfn.IFS(COUNTIF(INGRESOS!E:E,Tabla6[[#This Row],[ID FACTURA]])=1,"PAGADA",Tabla6[[#This Row],[ID FACTURA]]&lt;&gt;0,"EMITIDA",Tabla6[[#This Row],[ID FACTURA]]=0,"POR EMITIR")</f>
        <v>PAGADA</v>
      </c>
      <c r="M968" s="55">
        <f>+IF(Tabla6[[#This Row],[ESTADO FACTURA]]="PAGADA",Tabla6[[#This Row],[FECHA]]-_xlfn.XLOOKUP(Tabla6[[#This Row],[N° FACTURA]],INGRESOS!F:F,INGRESOS!A:A),"-")</f>
        <v>2</v>
      </c>
      <c r="N968" s="2"/>
      <c r="O968"/>
    </row>
    <row r="969" spans="1:15" ht="14.75" customHeight="1">
      <c r="A969" s="320" t="s">
        <v>1551</v>
      </c>
      <c r="B969" t="str">
        <f>+_xlfn.XLOOKUP(Tabla6[[#This Row],[ID CLIENTE]],'RESUMEN CLIENTES'!D:D,'RESUMEN CLIENTES'!A:A)</f>
        <v>María Fernanda Cid Ramírez</v>
      </c>
      <c r="C969" t="str">
        <f>+_xlfn.XLOOKUP(Tabla6[[#This Row],[ID CLIENTE]],'RESUMEN CLIENTES'!D:D,'RESUMEN CLIENTES'!C:C)</f>
        <v>México</v>
      </c>
      <c r="D969" s="44" t="str">
        <f>+_xlfn.XLOOKUP(Tabla6[[#This Row],[ID CLIENTE]],'RESUMEN CLIENTES'!D:D,'RESUMEN CLIENTES'!M:M)</f>
        <v>OK</v>
      </c>
      <c r="E969" s="71">
        <f>+_xlfn.XLOOKUP(Tabla6[[#This Row],[NOMBRE]],'RESUMEN CLIENTES'!A:A,'RESUMEN CLIENTES'!X:X)</f>
        <v>-0.8571428571428571</v>
      </c>
      <c r="F969" s="71">
        <f>+_xlfn.XLOOKUP(Tabla6[[#This Row],[ID CLIENTE]],'RESUMEN CLIENTES'!D:D,'RESUMEN CLIENTES'!W:W)</f>
        <v>0</v>
      </c>
      <c r="G969" s="17">
        <v>46058</v>
      </c>
      <c r="H969" s="169" t="s">
        <v>81</v>
      </c>
      <c r="I969" s="2">
        <v>850</v>
      </c>
      <c r="J969" s="20" t="s">
        <v>2074</v>
      </c>
      <c r="K969" t="s">
        <v>2075</v>
      </c>
      <c r="L969" s="44" t="str" cm="1">
        <f t="array" ref="L969">+_xlfn.IFS(COUNTIF(INGRESOS!E:E,Tabla6[[#This Row],[ID FACTURA]])=1,"PAGADA",Tabla6[[#This Row],[ID FACTURA]]&lt;&gt;0,"EMITIDA",Tabla6[[#This Row],[ID FACTURA]]=0,"POR EMITIR")</f>
        <v>PAGADA</v>
      </c>
      <c r="M969" s="55">
        <f>+IF(Tabla6[[#This Row],[ESTADO FACTURA]]="PAGADA",Tabla6[[#This Row],[FECHA]]-_xlfn.XLOOKUP(Tabla6[[#This Row],[N° FACTURA]],INGRESOS!F:F,INGRESOS!A:A),"-")</f>
        <v>0</v>
      </c>
      <c r="N969" s="2"/>
      <c r="O969"/>
    </row>
    <row r="970" spans="1:15" ht="14.75" customHeight="1">
      <c r="A970" s="320" t="s">
        <v>1155</v>
      </c>
      <c r="B970" t="str">
        <f>+_xlfn.XLOOKUP(Tabla6[[#This Row],[ID CLIENTE]],'RESUMEN CLIENTES'!D:D,'RESUMEN CLIENTES'!A:A)</f>
        <v>Mario Arciga Casián</v>
      </c>
      <c r="C970" t="str">
        <f>+_xlfn.XLOOKUP(Tabla6[[#This Row],[ID CLIENTE]],'RESUMEN CLIENTES'!D:D,'RESUMEN CLIENTES'!C:C)</f>
        <v>México</v>
      </c>
      <c r="D970" s="44" t="str">
        <f>+_xlfn.XLOOKUP(Tabla6[[#This Row],[ID CLIENTE]],'RESUMEN CLIENTES'!D:D,'RESUMEN CLIENTES'!M:M)</f>
        <v>OK</v>
      </c>
      <c r="E970" s="72">
        <f>+_xlfn.XLOOKUP(Tabla6[[#This Row],[NOMBRE]],'RESUMEN CLIENTES'!A:A,'RESUMEN CLIENTES'!X:X)</f>
        <v>-0.66666666666666663</v>
      </c>
      <c r="F970" s="72">
        <f>+_xlfn.XLOOKUP(Tabla6[[#This Row],[ID CLIENTE]],'RESUMEN CLIENTES'!D:D,'RESUMEN CLIENTES'!W:W)</f>
        <v>1</v>
      </c>
      <c r="G970" s="17">
        <v>46058</v>
      </c>
      <c r="H970" s="44" t="s">
        <v>81</v>
      </c>
      <c r="I970" s="2">
        <v>1000</v>
      </c>
      <c r="J970" s="20" t="s">
        <v>4431</v>
      </c>
      <c r="K970" t="s">
        <v>4432</v>
      </c>
      <c r="L970" s="44" t="str" cm="1">
        <f t="array" ref="L970">+_xlfn.IFS(COUNTIF(INGRESOS!E:E,Tabla6[[#This Row],[ID FACTURA]])=1,"PAGADA",Tabla6[[#This Row],[ID FACTURA]]&lt;&gt;0,"EMITIDA",Tabla6[[#This Row],[ID FACTURA]]=0,"POR EMITIR")</f>
        <v>PAGADA</v>
      </c>
      <c r="M970" s="55">
        <f>+IF(Tabla6[[#This Row],[ESTADO FACTURA]]="PAGADA",Tabla6[[#This Row],[FECHA]]-_xlfn.XLOOKUP(Tabla6[[#This Row],[N° FACTURA]],INGRESOS!F:F,INGRESOS!A:A),"-")</f>
        <v>-1</v>
      </c>
      <c r="N970" s="2"/>
      <c r="O970"/>
    </row>
    <row r="971" spans="1:15" ht="14.75" customHeight="1">
      <c r="A971" s="320" t="s">
        <v>129</v>
      </c>
      <c r="B971" t="str">
        <f>+_xlfn.XLOOKUP(Tabla6[[#This Row],[ID CLIENTE]],'RESUMEN CLIENTES'!D:D,'RESUMEN CLIENTES'!A:A)</f>
        <v>Moira Millaray Schneider Rivera</v>
      </c>
      <c r="C971" t="str">
        <f>+_xlfn.XLOOKUP(Tabla6[[#This Row],[ID CLIENTE]],'RESUMEN CLIENTES'!D:D,'RESUMEN CLIENTES'!C:C)</f>
        <v>Chile</v>
      </c>
      <c r="D971" s="44" t="str">
        <f>+_xlfn.XLOOKUP(Tabla6[[#This Row],[ID CLIENTE]],'RESUMEN CLIENTES'!D:D,'RESUMEN CLIENTES'!M:M)</f>
        <v>OK</v>
      </c>
      <c r="E971" s="72">
        <f>+_xlfn.XLOOKUP(Tabla6[[#This Row],[NOMBRE]],'RESUMEN CLIENTES'!A:A,'RESUMEN CLIENTES'!X:X)</f>
        <v>0</v>
      </c>
      <c r="F971" s="72">
        <f>+_xlfn.XLOOKUP(Tabla6[[#This Row],[ID CLIENTE]],'RESUMEN CLIENTES'!D:D,'RESUMEN CLIENTES'!W:W)</f>
        <v>1</v>
      </c>
      <c r="G971" s="17">
        <v>46058</v>
      </c>
      <c r="H971" s="44" t="s">
        <v>81</v>
      </c>
      <c r="I971" s="2">
        <v>800</v>
      </c>
      <c r="J971" s="20" t="s">
        <v>4433</v>
      </c>
      <c r="K971" t="s">
        <v>4434</v>
      </c>
      <c r="L971" s="44" t="str" cm="1">
        <f t="array" ref="L971">+_xlfn.IFS(COUNTIF(INGRESOS!E:E,Tabla6[[#This Row],[ID FACTURA]])=1,"PAGADA",Tabla6[[#This Row],[ID FACTURA]]&lt;&gt;0,"EMITIDA",Tabla6[[#This Row],[ID FACTURA]]=0,"POR EMITIR")</f>
        <v>PAGADA</v>
      </c>
      <c r="M971" s="55">
        <f>+IF(Tabla6[[#This Row],[ESTADO FACTURA]]="PAGADA",Tabla6[[#This Row],[FECHA]]-_xlfn.XLOOKUP(Tabla6[[#This Row],[N° FACTURA]],INGRESOS!F:F,INGRESOS!A:A),"-")</f>
        <v>-1</v>
      </c>
      <c r="N971" s="2"/>
      <c r="O971"/>
    </row>
    <row r="972" spans="1:15" ht="14.75" customHeight="1">
      <c r="A972" s="321" t="s">
        <v>1881</v>
      </c>
      <c r="B972" t="str">
        <f>+_xlfn.XLOOKUP(Tabla6[[#This Row],[ID CLIENTE]],'RESUMEN CLIENTES'!D:D,'RESUMEN CLIENTES'!A:A)</f>
        <v>Paulina Alejandra Silva Gómez</v>
      </c>
      <c r="C972" t="str">
        <f>+_xlfn.XLOOKUP(Tabla6[[#This Row],[ID CLIENTE]],'RESUMEN CLIENTES'!D:D,'RESUMEN CLIENTES'!C:C)</f>
        <v>Chile</v>
      </c>
      <c r="D972" s="169" t="str">
        <f>+_xlfn.XLOOKUP(Tabla6[[#This Row],[ID CLIENTE]],'RESUMEN CLIENTES'!D:D,'RESUMEN CLIENTES'!M:M)</f>
        <v>¡REGULARIZAR!</v>
      </c>
      <c r="E972" s="71">
        <f>+_xlfn.XLOOKUP(Tabla6[[#This Row],[NOMBRE]],'RESUMEN CLIENTES'!A:A,'RESUMEN CLIENTES'!X:X)</f>
        <v>-6.833333333333333</v>
      </c>
      <c r="F972" s="71">
        <f>+_xlfn.XLOOKUP(Tabla6[[#This Row],[ID CLIENTE]],'RESUMEN CLIENTES'!D:D,'RESUMEN CLIENTES'!W:W)</f>
        <v>0</v>
      </c>
      <c r="G972" s="17">
        <v>46058</v>
      </c>
      <c r="H972" s="169" t="s">
        <v>81</v>
      </c>
      <c r="I972" s="2">
        <v>1000</v>
      </c>
      <c r="J972" s="20" t="s">
        <v>4683</v>
      </c>
      <c r="K972" t="s">
        <v>4684</v>
      </c>
      <c r="L972" s="44" t="str" cm="1">
        <f t="array" ref="L972">+_xlfn.IFS(COUNTIF(INGRESOS!E:E,Tabla6[[#This Row],[ID FACTURA]])=1,"PAGADA",Tabla6[[#This Row],[ID FACTURA]]&lt;&gt;0,"EMITIDA",Tabla6[[#This Row],[ID FACTURA]]=0,"POR EMITIR")</f>
        <v>PAGADA</v>
      </c>
      <c r="M972" s="54">
        <f>+IF(Tabla6[[#This Row],[ESTADO FACTURA]]="PAGADA",Tabla6[[#This Row],[FECHA]]-_xlfn.XLOOKUP(Tabla6[[#This Row],[N° FACTURA]],INGRESOS!F:F,INGRESOS!A:A),"-")</f>
        <v>-15</v>
      </c>
      <c r="O972"/>
    </row>
    <row r="973" spans="1:15" ht="14.75" customHeight="1">
      <c r="A973" s="321" t="s">
        <v>1881</v>
      </c>
      <c r="B973" t="str">
        <f>+_xlfn.XLOOKUP(Tabla6[[#This Row],[ID CLIENTE]],'RESUMEN CLIENTES'!D:D,'RESUMEN CLIENTES'!A:A)</f>
        <v>Paulina Alejandra Silva Gómez</v>
      </c>
      <c r="C973" t="str">
        <f>+_xlfn.XLOOKUP(Tabla6[[#This Row],[ID CLIENTE]],'RESUMEN CLIENTES'!D:D,'RESUMEN CLIENTES'!C:C)</f>
        <v>Chile</v>
      </c>
      <c r="D973" s="169" t="str">
        <f>+_xlfn.XLOOKUP(Tabla6[[#This Row],[ID CLIENTE]],'RESUMEN CLIENTES'!D:D,'RESUMEN CLIENTES'!M:M)</f>
        <v>¡REGULARIZAR!</v>
      </c>
      <c r="E973" s="71">
        <f>+_xlfn.XLOOKUP(Tabla6[[#This Row],[NOMBRE]],'RESUMEN CLIENTES'!A:A,'RESUMEN CLIENTES'!X:X)</f>
        <v>-6.833333333333333</v>
      </c>
      <c r="F973" s="71">
        <f>+_xlfn.XLOOKUP(Tabla6[[#This Row],[ID CLIENTE]],'RESUMEN CLIENTES'!D:D,'RESUMEN CLIENTES'!W:W)</f>
        <v>0</v>
      </c>
      <c r="G973" s="17">
        <v>46058</v>
      </c>
      <c r="H973" s="169" t="s">
        <v>81</v>
      </c>
      <c r="I973" s="2">
        <v>1000</v>
      </c>
      <c r="J973" s="20" t="s">
        <v>4685</v>
      </c>
      <c r="K973" t="s">
        <v>4686</v>
      </c>
      <c r="L973" s="44" t="str" cm="1">
        <f t="array" ref="L973">+_xlfn.IFS(COUNTIF(INGRESOS!E:E,Tabla6[[#This Row],[ID FACTURA]])=1,"PAGADA",Tabla6[[#This Row],[ID FACTURA]]&lt;&gt;0,"EMITIDA",Tabla6[[#This Row],[ID FACTURA]]=0,"POR EMITIR")</f>
        <v>PAGADA</v>
      </c>
      <c r="M973" s="54">
        <f>+IF(Tabla6[[#This Row],[ESTADO FACTURA]]="PAGADA",Tabla6[[#This Row],[FECHA]]-_xlfn.XLOOKUP(Tabla6[[#This Row],[N° FACTURA]],INGRESOS!F:F,INGRESOS!A:A),"-")</f>
        <v>-15</v>
      </c>
      <c r="O973"/>
    </row>
    <row r="974" spans="1:15" ht="14.75" customHeight="1">
      <c r="A974" s="321" t="s">
        <v>1881</v>
      </c>
      <c r="B974" t="str">
        <f>+_xlfn.XLOOKUP(Tabla6[[#This Row],[ID CLIENTE]],'RESUMEN CLIENTES'!D:D,'RESUMEN CLIENTES'!A:A)</f>
        <v>Paulina Alejandra Silva Gómez</v>
      </c>
      <c r="C974" t="str">
        <f>+_xlfn.XLOOKUP(Tabla6[[#This Row],[ID CLIENTE]],'RESUMEN CLIENTES'!D:D,'RESUMEN CLIENTES'!C:C)</f>
        <v>Chile</v>
      </c>
      <c r="D974" s="169" t="str">
        <f>+_xlfn.XLOOKUP(Tabla6[[#This Row],[ID CLIENTE]],'RESUMEN CLIENTES'!D:D,'RESUMEN CLIENTES'!M:M)</f>
        <v>¡REGULARIZAR!</v>
      </c>
      <c r="E974" s="71">
        <f>+_xlfn.XLOOKUP(Tabla6[[#This Row],[NOMBRE]],'RESUMEN CLIENTES'!A:A,'RESUMEN CLIENTES'!X:X)</f>
        <v>-6.833333333333333</v>
      </c>
      <c r="F974" s="71">
        <f>+_xlfn.XLOOKUP(Tabla6[[#This Row],[ID CLIENTE]],'RESUMEN CLIENTES'!D:D,'RESUMEN CLIENTES'!W:W)</f>
        <v>0</v>
      </c>
      <c r="G974" s="17">
        <v>46058</v>
      </c>
      <c r="H974" s="169" t="s">
        <v>81</v>
      </c>
      <c r="I974" s="2">
        <v>1700</v>
      </c>
      <c r="J974"/>
      <c r="K974"/>
      <c r="L974" s="44" t="str" cm="1">
        <f t="array" ref="L974">+_xlfn.IFS(COUNTIF(INGRESOS!E:E,Tabla6[[#This Row],[ID FACTURA]])=1,"PAGADA",Tabla6[[#This Row],[ID FACTURA]]&lt;&gt;0,"EMITIDA",Tabla6[[#This Row],[ID FACTURA]]=0,"POR EMITIR")</f>
        <v>POR EMITIR</v>
      </c>
      <c r="M974" s="54" t="str">
        <f>+IF(Tabla6[[#This Row],[ESTADO FACTURA]]="PAGADA",Tabla6[[#This Row],[FECHA]]-_xlfn.XLOOKUP(Tabla6[[#This Row],[N° FACTURA]],INGRESOS!F:F,INGRESOS!A:A),"-")</f>
        <v>-</v>
      </c>
      <c r="O974"/>
    </row>
    <row r="975" spans="1:15" ht="14.75" customHeight="1">
      <c r="A975" s="321" t="s">
        <v>1881</v>
      </c>
      <c r="B975" t="str">
        <f>+_xlfn.XLOOKUP(Tabla6[[#This Row],[ID CLIENTE]],'RESUMEN CLIENTES'!D:D,'RESUMEN CLIENTES'!A:A)</f>
        <v>Paulina Alejandra Silva Gómez</v>
      </c>
      <c r="C975" t="str">
        <f>+_xlfn.XLOOKUP(Tabla6[[#This Row],[ID CLIENTE]],'RESUMEN CLIENTES'!D:D,'RESUMEN CLIENTES'!C:C)</f>
        <v>Chile</v>
      </c>
      <c r="D975" s="169" t="str">
        <f>+_xlfn.XLOOKUP(Tabla6[[#This Row],[ID CLIENTE]],'RESUMEN CLIENTES'!D:D,'RESUMEN CLIENTES'!M:M)</f>
        <v>¡REGULARIZAR!</v>
      </c>
      <c r="E975" s="71">
        <f>+_xlfn.XLOOKUP(Tabla6[[#This Row],[NOMBRE]],'RESUMEN CLIENTES'!A:A,'RESUMEN CLIENTES'!X:X)</f>
        <v>-6.833333333333333</v>
      </c>
      <c r="F975" s="71">
        <f>+_xlfn.XLOOKUP(Tabla6[[#This Row],[ID CLIENTE]],'RESUMEN CLIENTES'!D:D,'RESUMEN CLIENTES'!W:W)</f>
        <v>0</v>
      </c>
      <c r="G975" s="17">
        <v>46058</v>
      </c>
      <c r="H975" s="169" t="s">
        <v>81</v>
      </c>
      <c r="I975" s="2">
        <v>3700</v>
      </c>
      <c r="J975" s="20" t="s">
        <v>4473</v>
      </c>
      <c r="K975" t="s">
        <v>4474</v>
      </c>
      <c r="L975" s="44" t="str" cm="1">
        <f t="array" ref="L975">+_xlfn.IFS(COUNTIF(INGRESOS!E:E,Tabla6[[#This Row],[ID FACTURA]])=1,"PAGADA",Tabla6[[#This Row],[ID FACTURA]]&lt;&gt;0,"EMITIDA",Tabla6[[#This Row],[ID FACTURA]]=0,"POR EMITIR")</f>
        <v>PAGADA</v>
      </c>
      <c r="M975" s="54">
        <f>+IF(Tabla6[[#This Row],[ESTADO FACTURA]]="PAGADA",Tabla6[[#This Row],[FECHA]]-_xlfn.XLOOKUP(Tabla6[[#This Row],[N° FACTURA]],INGRESOS!F:F,INGRESOS!A:A),"-")</f>
        <v>-1</v>
      </c>
      <c r="O975"/>
    </row>
    <row r="976" spans="1:15" ht="14.75" customHeight="1">
      <c r="A976" s="321" t="s">
        <v>1881</v>
      </c>
      <c r="B976" t="str">
        <f>+_xlfn.XLOOKUP(Tabla6[[#This Row],[ID CLIENTE]],'RESUMEN CLIENTES'!D:D,'RESUMEN CLIENTES'!A:A)</f>
        <v>Paulina Alejandra Silva Gómez</v>
      </c>
      <c r="C976" t="str">
        <f>+_xlfn.XLOOKUP(Tabla6[[#This Row],[ID CLIENTE]],'RESUMEN CLIENTES'!D:D,'RESUMEN CLIENTES'!C:C)</f>
        <v>Chile</v>
      </c>
      <c r="D976" s="169" t="str">
        <f>+_xlfn.XLOOKUP(Tabla6[[#This Row],[ID CLIENTE]],'RESUMEN CLIENTES'!D:D,'RESUMEN CLIENTES'!M:M)</f>
        <v>¡REGULARIZAR!</v>
      </c>
      <c r="E976" s="71">
        <f>+_xlfn.XLOOKUP(Tabla6[[#This Row],[NOMBRE]],'RESUMEN CLIENTES'!A:A,'RESUMEN CLIENTES'!X:X)</f>
        <v>-6.833333333333333</v>
      </c>
      <c r="F976" s="71">
        <f>+_xlfn.XLOOKUP(Tabla6[[#This Row],[ID CLIENTE]],'RESUMEN CLIENTES'!D:D,'RESUMEN CLIENTES'!W:W)</f>
        <v>0</v>
      </c>
      <c r="G976" s="17">
        <v>46058</v>
      </c>
      <c r="H976" s="169" t="s">
        <v>81</v>
      </c>
      <c r="I976" s="2">
        <v>3700</v>
      </c>
      <c r="J976" s="20" t="s">
        <v>4563</v>
      </c>
      <c r="K976" t="s">
        <v>4564</v>
      </c>
      <c r="L976" s="44" t="str" cm="1">
        <f t="array" ref="L976">+_xlfn.IFS(COUNTIF(INGRESOS!E:E,Tabla6[[#This Row],[ID FACTURA]])=1,"PAGADA",Tabla6[[#This Row],[ID FACTURA]]&lt;&gt;0,"EMITIDA",Tabla6[[#This Row],[ID FACTURA]]=0,"POR EMITIR")</f>
        <v>PAGADA</v>
      </c>
      <c r="M976" s="54">
        <f>+IF(Tabla6[[#This Row],[ESTADO FACTURA]]="PAGADA",Tabla6[[#This Row],[FECHA]]-_xlfn.XLOOKUP(Tabla6[[#This Row],[N° FACTURA]],INGRESOS!F:F,INGRESOS!A:A),"-")</f>
        <v>-9</v>
      </c>
      <c r="O976"/>
    </row>
    <row r="977" spans="1:18" ht="14.75" customHeight="1">
      <c r="A977" s="320" t="s">
        <v>159</v>
      </c>
      <c r="B977" t="str">
        <f>+_xlfn.XLOOKUP(Tabla6[[#This Row],[ID CLIENTE]],'RESUMEN CLIENTES'!D:D,'RESUMEN CLIENTES'!A:A)</f>
        <v>Rodrigo Rivera Ruiz</v>
      </c>
      <c r="C977" t="str">
        <f>+_xlfn.XLOOKUP(Tabla6[[#This Row],[ID CLIENTE]],'RESUMEN CLIENTES'!D:D,'RESUMEN CLIENTES'!C:C)</f>
        <v>Chile</v>
      </c>
      <c r="D977" s="44" t="str">
        <f>+_xlfn.XLOOKUP(Tabla6[[#This Row],[ID CLIENTE]],'RESUMEN CLIENTES'!D:D,'RESUMEN CLIENTES'!M:M)</f>
        <v>OK</v>
      </c>
      <c r="E977" s="72">
        <f>+_xlfn.XLOOKUP(Tabla6[[#This Row],[NOMBRE]],'RESUMEN CLIENTES'!A:A,'RESUMEN CLIENTES'!X:X)</f>
        <v>0.8</v>
      </c>
      <c r="F977" s="72">
        <f>+_xlfn.XLOOKUP(Tabla6[[#This Row],[ID CLIENTE]],'RESUMEN CLIENTES'!D:D,'RESUMEN CLIENTES'!W:W)</f>
        <v>1</v>
      </c>
      <c r="G977" s="17">
        <v>46058</v>
      </c>
      <c r="H977" s="44" t="s">
        <v>81</v>
      </c>
      <c r="I977" s="2">
        <v>1000</v>
      </c>
      <c r="J977" s="20" t="s">
        <v>2660</v>
      </c>
      <c r="K977" t="s">
        <v>2661</v>
      </c>
      <c r="L977" s="44" t="str" cm="1">
        <f t="array" ref="L977">+_xlfn.IFS(COUNTIF(INGRESOS!E:E,Tabla6[[#This Row],[ID FACTURA]])=1,"PAGADA",Tabla6[[#This Row],[ID FACTURA]]&lt;&gt;0,"EMITIDA",Tabla6[[#This Row],[ID FACTURA]]=0,"POR EMITIR")</f>
        <v>PAGADA</v>
      </c>
      <c r="M977" s="55">
        <f>+IF(Tabla6[[#This Row],[ESTADO FACTURA]]="PAGADA",Tabla6[[#This Row],[FECHA]]-_xlfn.XLOOKUP(Tabla6[[#This Row],[N° FACTURA]],INGRESOS!F:F,INGRESOS!A:A),"-")</f>
        <v>3</v>
      </c>
      <c r="N977" s="2"/>
      <c r="O977" s="8"/>
    </row>
    <row r="978" spans="1:18" ht="14.75" customHeight="1">
      <c r="A978" s="320" t="s">
        <v>281</v>
      </c>
      <c r="B978" t="str">
        <f>+_xlfn.XLOOKUP(Tabla6[[#This Row],[ID CLIENTE]],'RESUMEN CLIENTES'!D:D,'RESUMEN CLIENTES'!A:A)</f>
        <v>Sergio Francisco Garcia Sandoval</v>
      </c>
      <c r="C978" t="str">
        <f>+_xlfn.XLOOKUP(Tabla6[[#This Row],[ID CLIENTE]],'RESUMEN CLIENTES'!D:D,'RESUMEN CLIENTES'!C:C)</f>
        <v>Perú</v>
      </c>
      <c r="D978" s="44" t="str">
        <f>+_xlfn.XLOOKUP(Tabla6[[#This Row],[ID CLIENTE]],'RESUMEN CLIENTES'!D:D,'RESUMEN CLIENTES'!M:M)</f>
        <v>OK</v>
      </c>
      <c r="E978" s="72">
        <f>+_xlfn.XLOOKUP(Tabla6[[#This Row],[NOMBRE]],'RESUMEN CLIENTES'!A:A,'RESUMEN CLIENTES'!X:X)</f>
        <v>0.88888888888888884</v>
      </c>
      <c r="F978" s="72">
        <f>+_xlfn.XLOOKUP(Tabla6[[#This Row],[ID CLIENTE]],'RESUMEN CLIENTES'!D:D,'RESUMEN CLIENTES'!W:W)</f>
        <v>1</v>
      </c>
      <c r="G978" s="17">
        <v>46058</v>
      </c>
      <c r="H978" s="44" t="s">
        <v>81</v>
      </c>
      <c r="I978" s="2">
        <v>350</v>
      </c>
      <c r="J978" s="20" t="s">
        <v>4435</v>
      </c>
      <c r="K978" t="s">
        <v>4436</v>
      </c>
      <c r="L978" s="44" t="str" cm="1">
        <f t="array" ref="L978">+_xlfn.IFS(COUNTIF(INGRESOS!E:E,Tabla6[[#This Row],[ID FACTURA]])=1,"PAGADA",Tabla6[[#This Row],[ID FACTURA]]&lt;&gt;0,"EMITIDA",Tabla6[[#This Row],[ID FACTURA]]=0,"POR EMITIR")</f>
        <v>PAGADA</v>
      </c>
      <c r="M978" s="55">
        <f>+IF(Tabla6[[#This Row],[ESTADO FACTURA]]="PAGADA",Tabla6[[#This Row],[FECHA]]-_xlfn.XLOOKUP(Tabla6[[#This Row],[N° FACTURA]],INGRESOS!F:F,INGRESOS!A:A),"-")</f>
        <v>1</v>
      </c>
      <c r="N978" s="2"/>
      <c r="O978" s="8"/>
    </row>
    <row r="979" spans="1:18" ht="14.75" customHeight="1">
      <c r="A979" s="320" t="s">
        <v>178</v>
      </c>
      <c r="B979" t="str">
        <f>+_xlfn.XLOOKUP(Tabla6[[#This Row],[ID CLIENTE]],'RESUMEN CLIENTES'!D:D,'RESUMEN CLIENTES'!A:A)</f>
        <v>Sven Sigurd Biedermann Aberg</v>
      </c>
      <c r="C979" t="str">
        <f>+_xlfn.XLOOKUP(Tabla6[[#This Row],[ID CLIENTE]],'RESUMEN CLIENTES'!D:D,'RESUMEN CLIENTES'!C:C)</f>
        <v>Chile</v>
      </c>
      <c r="D979" s="44" t="str">
        <f>+_xlfn.XLOOKUP(Tabla6[[#This Row],[ID CLIENTE]],'RESUMEN CLIENTES'!D:D,'RESUMEN CLIENTES'!M:M)</f>
        <v>OK</v>
      </c>
      <c r="E979" s="71">
        <f>+_xlfn.XLOOKUP(Tabla6[[#This Row],[NOMBRE]],'RESUMEN CLIENTES'!A:A,'RESUMEN CLIENTES'!X:X)</f>
        <v>-0.33333333333333331</v>
      </c>
      <c r="F979" s="71">
        <f>+_xlfn.XLOOKUP(Tabla6[[#This Row],[ID CLIENTE]],'RESUMEN CLIENTES'!D:D,'RESUMEN CLIENTES'!W:W)</f>
        <v>0</v>
      </c>
      <c r="G979" s="17">
        <v>46058</v>
      </c>
      <c r="H979" s="169" t="s">
        <v>81</v>
      </c>
      <c r="I979" s="2">
        <v>4000</v>
      </c>
      <c r="J979" s="20" t="s">
        <v>2076</v>
      </c>
      <c r="K979" t="s">
        <v>2077</v>
      </c>
      <c r="L979" s="44" t="str" cm="1">
        <f t="array" ref="L979">+_xlfn.IFS(COUNTIF(INGRESOS!E:E,Tabla6[[#This Row],[ID FACTURA]])=1,"PAGADA",Tabla6[[#This Row],[ID FACTURA]]&lt;&gt;0,"EMITIDA",Tabla6[[#This Row],[ID FACTURA]]=0,"POR EMITIR")</f>
        <v>PAGADA</v>
      </c>
      <c r="M979" s="55">
        <f>+IF(Tabla6[[#This Row],[ESTADO FACTURA]]="PAGADA",Tabla6[[#This Row],[FECHA]]-_xlfn.XLOOKUP(Tabla6[[#This Row],[N° FACTURA]],INGRESOS!F:F,INGRESOS!A:A),"-")</f>
        <v>-1</v>
      </c>
      <c r="N979" s="186"/>
      <c r="O979"/>
    </row>
    <row r="980" spans="1:18" ht="14.75" customHeight="1">
      <c r="A980" s="320" t="s">
        <v>4442</v>
      </c>
      <c r="B980" t="str">
        <f>+_xlfn.XLOOKUP(Tabla6[[#This Row],[ID CLIENTE]],'RESUMEN CLIENTES'!D:D,'RESUMEN CLIENTES'!A:A)</f>
        <v>Vicente Javier Campusano Banse</v>
      </c>
      <c r="C980" t="str">
        <f>+_xlfn.XLOOKUP(Tabla6[[#This Row],[ID CLIENTE]],'RESUMEN CLIENTES'!D:D,'RESUMEN CLIENTES'!C:C)</f>
        <v>Chile</v>
      </c>
      <c r="D980" s="169" t="str">
        <f>+_xlfn.XLOOKUP(Tabla6[[#This Row],[ID CLIENTE]],'RESUMEN CLIENTES'!D:D,'RESUMEN CLIENTES'!M:M)</f>
        <v>¡REGULARIZAR!</v>
      </c>
      <c r="E980" s="71">
        <f>+_xlfn.XLOOKUP(Tabla6[[#This Row],[NOMBRE]],'RESUMEN CLIENTES'!A:A,'RESUMEN CLIENTES'!X:X)</f>
        <v>0</v>
      </c>
      <c r="F980" s="71">
        <f>+_xlfn.XLOOKUP(Tabla6[[#This Row],[ID CLIENTE]],'RESUMEN CLIENTES'!D:D,'RESUMEN CLIENTES'!W:W)</f>
        <v>0</v>
      </c>
      <c r="G980" s="17">
        <v>46058</v>
      </c>
      <c r="H980" s="169" t="s">
        <v>81</v>
      </c>
      <c r="I980" s="2">
        <v>500</v>
      </c>
      <c r="J980" s="20" t="s">
        <v>4460</v>
      </c>
      <c r="K980" t="s">
        <v>4461</v>
      </c>
      <c r="L980" s="44" t="str" cm="1">
        <f t="array" ref="L980">+_xlfn.IFS(COUNTIF(INGRESOS!E:E,Tabla6[[#This Row],[ID FACTURA]])=1,"PAGADA",Tabla6[[#This Row],[ID FACTURA]]&lt;&gt;0,"EMITIDA",Tabla6[[#This Row],[ID FACTURA]]=0,"POR EMITIR")</f>
        <v>PAGADA</v>
      </c>
      <c r="M980" s="54">
        <f>+IF(Tabla6[[#This Row],[ESTADO FACTURA]]="PAGADA",Tabla6[[#This Row],[FECHA]]-_xlfn.XLOOKUP(Tabla6[[#This Row],[N° FACTURA]],INGRESOS!F:F,INGRESOS!A:A),"-")</f>
        <v>0</v>
      </c>
      <c r="O980"/>
    </row>
    <row r="981" spans="1:18" ht="14.75" customHeight="1">
      <c r="A981" s="320" t="s">
        <v>112</v>
      </c>
      <c r="B981" t="str">
        <f>+_xlfn.XLOOKUP(Tabla6[[#This Row],[ID CLIENTE]],'RESUMEN CLIENTES'!D:D,'RESUMEN CLIENTES'!A:A)</f>
        <v>Victor Emanuel Hernández Ruíz</v>
      </c>
      <c r="C981" t="str">
        <f>+_xlfn.XLOOKUP(Tabla6[[#This Row],[ID CLIENTE]],'RESUMEN CLIENTES'!D:D,'RESUMEN CLIENTES'!C:C)</f>
        <v>México</v>
      </c>
      <c r="D981" s="44" t="str">
        <f>+_xlfn.XLOOKUP(Tabla6[[#This Row],[ID CLIENTE]],'RESUMEN CLIENTES'!D:D,'RESUMEN CLIENTES'!M:M)</f>
        <v>OK</v>
      </c>
      <c r="E981" s="72">
        <f>+_xlfn.XLOOKUP(Tabla6[[#This Row],[NOMBRE]],'RESUMEN CLIENTES'!A:A,'RESUMEN CLIENTES'!X:X)</f>
        <v>-1.2727272727272727</v>
      </c>
      <c r="F981" s="72">
        <f>+_xlfn.XLOOKUP(Tabla6[[#This Row],[ID CLIENTE]],'RESUMEN CLIENTES'!D:D,'RESUMEN CLIENTES'!W:W)</f>
        <v>1</v>
      </c>
      <c r="G981" s="17">
        <v>46058</v>
      </c>
      <c r="H981" s="44" t="s">
        <v>81</v>
      </c>
      <c r="I981" s="2">
        <v>800</v>
      </c>
      <c r="J981" s="20" t="s">
        <v>4475</v>
      </c>
      <c r="K981" t="s">
        <v>4476</v>
      </c>
      <c r="L981" s="44" t="str" cm="1">
        <f t="array" ref="L981">+_xlfn.IFS(COUNTIF(INGRESOS!E:E,Tabla6[[#This Row],[ID FACTURA]])=1,"PAGADA",Tabla6[[#This Row],[ID FACTURA]]&lt;&gt;0,"EMITIDA",Tabla6[[#This Row],[ID FACTURA]]=0,"POR EMITIR")</f>
        <v>PAGADA</v>
      </c>
      <c r="M981" s="55">
        <f>+IF(Tabla6[[#This Row],[ESTADO FACTURA]]="PAGADA",Tabla6[[#This Row],[FECHA]]-_xlfn.XLOOKUP(Tabla6[[#This Row],[N° FACTURA]],INGRESOS!F:F,INGRESOS!A:A),"-")</f>
        <v>-3</v>
      </c>
      <c r="N981" s="2"/>
      <c r="O981"/>
      <c r="Q981" s="16"/>
      <c r="R981" s="16"/>
    </row>
    <row r="982" spans="1:18" ht="14.75" customHeight="1">
      <c r="A982" s="320" t="s">
        <v>907</v>
      </c>
      <c r="B982" t="str">
        <f>+_xlfn.XLOOKUP(Tabla6[[#This Row],[ID CLIENTE]],'RESUMEN CLIENTES'!D:D,'RESUMEN CLIENTES'!A:A)</f>
        <v>Luis Carlos Villa Cortés</v>
      </c>
      <c r="C982" t="str">
        <f>+_xlfn.XLOOKUP(Tabla6[[#This Row],[ID CLIENTE]],'RESUMEN CLIENTES'!D:D,'RESUMEN CLIENTES'!C:C)</f>
        <v>México</v>
      </c>
      <c r="D982" s="44" t="str">
        <f>+_xlfn.XLOOKUP(Tabla6[[#This Row],[ID CLIENTE]],'RESUMEN CLIENTES'!D:D,'RESUMEN CLIENTES'!M:M)</f>
        <v>OK</v>
      </c>
      <c r="E982" s="72">
        <f>+_xlfn.XLOOKUP(Tabla6[[#This Row],[NOMBRE]],'RESUMEN CLIENTES'!A:A,'RESUMEN CLIENTES'!X:X)</f>
        <v>0</v>
      </c>
      <c r="F982" s="72">
        <f>+_xlfn.XLOOKUP(Tabla6[[#This Row],[ID CLIENTE]],'RESUMEN CLIENTES'!D:D,'RESUMEN CLIENTES'!W:W)</f>
        <v>1</v>
      </c>
      <c r="G982" s="17">
        <v>46059</v>
      </c>
      <c r="H982" s="44" t="s">
        <v>81</v>
      </c>
      <c r="I982" s="2">
        <v>1000</v>
      </c>
      <c r="J982" s="20" t="s">
        <v>4437</v>
      </c>
      <c r="K982" t="s">
        <v>4438</v>
      </c>
      <c r="L982" s="44" t="str" cm="1">
        <f t="array" ref="L982">+_xlfn.IFS(COUNTIF(INGRESOS!E:E,Tabla6[[#This Row],[ID FACTURA]])=1,"PAGADA",Tabla6[[#This Row],[ID FACTURA]]&lt;&gt;0,"EMITIDA",Tabla6[[#This Row],[ID FACTURA]]=0,"POR EMITIR")</f>
        <v>PAGADA</v>
      </c>
      <c r="M982" s="55">
        <f>+IF(Tabla6[[#This Row],[ESTADO FACTURA]]="PAGADA",Tabla6[[#This Row],[FECHA]]-_xlfn.XLOOKUP(Tabla6[[#This Row],[N° FACTURA]],INGRESOS!F:F,INGRESOS!A:A),"-")</f>
        <v>1</v>
      </c>
      <c r="N982" s="2"/>
      <c r="O982"/>
      <c r="Q982" s="16"/>
    </row>
    <row r="983" spans="1:18" ht="14.75" customHeight="1">
      <c r="A983" s="320" t="s">
        <v>1152</v>
      </c>
      <c r="B983" t="str">
        <f>+_xlfn.XLOOKUP(Tabla6[[#This Row],[ID CLIENTE]],'RESUMEN CLIENTES'!D:D,'RESUMEN CLIENTES'!A:A)</f>
        <v>Ricardo Ernesto Miño Valencia</v>
      </c>
      <c r="C983" t="str">
        <f>+_xlfn.XLOOKUP(Tabla6[[#This Row],[ID CLIENTE]],'RESUMEN CLIENTES'!D:D,'RESUMEN CLIENTES'!C:C)</f>
        <v>Ecuador</v>
      </c>
      <c r="D983" s="44" t="str">
        <f>+_xlfn.XLOOKUP(Tabla6[[#This Row],[ID CLIENTE]],'RESUMEN CLIENTES'!D:D,'RESUMEN CLIENTES'!M:M)</f>
        <v>OK</v>
      </c>
      <c r="E983" s="72">
        <f>+_xlfn.XLOOKUP(Tabla6[[#This Row],[NOMBRE]],'RESUMEN CLIENTES'!A:A,'RESUMEN CLIENTES'!X:X)</f>
        <v>-3.2</v>
      </c>
      <c r="F983" s="72">
        <f>+_xlfn.XLOOKUP(Tabla6[[#This Row],[ID CLIENTE]],'RESUMEN CLIENTES'!D:D,'RESUMEN CLIENTES'!W:W)</f>
        <v>1</v>
      </c>
      <c r="G983" s="17">
        <v>46059</v>
      </c>
      <c r="H983" s="44" t="s">
        <v>81</v>
      </c>
      <c r="I983" s="2">
        <v>700</v>
      </c>
      <c r="J983" s="20" t="s">
        <v>4439</v>
      </c>
      <c r="K983" t="s">
        <v>4440</v>
      </c>
      <c r="L983" s="44" t="str" cm="1">
        <f t="array" ref="L983">+_xlfn.IFS(COUNTIF(INGRESOS!E:E,Tabla6[[#This Row],[ID FACTURA]])=1,"PAGADA",Tabla6[[#This Row],[ID FACTURA]]&lt;&gt;0,"EMITIDA",Tabla6[[#This Row],[ID FACTURA]]=0,"POR EMITIR")</f>
        <v>PAGADA</v>
      </c>
      <c r="M983" s="55">
        <f>+IF(Tabla6[[#This Row],[ESTADO FACTURA]]="PAGADA",Tabla6[[#This Row],[FECHA]]-_xlfn.XLOOKUP(Tabla6[[#This Row],[N° FACTURA]],INGRESOS!F:F,INGRESOS!A:A),"-")</f>
        <v>-5</v>
      </c>
      <c r="N983" s="2"/>
      <c r="O983"/>
    </row>
    <row r="984" spans="1:18" ht="14.75" customHeight="1">
      <c r="A984" s="320" t="s">
        <v>253</v>
      </c>
      <c r="B984" t="str">
        <f>+_xlfn.XLOOKUP(Tabla6[[#This Row],[ID CLIENTE]],'RESUMEN CLIENTES'!D:D,'RESUMEN CLIENTES'!A:A)</f>
        <v>Diego Alonso Salazar Palacios</v>
      </c>
      <c r="C984" t="str">
        <f>+_xlfn.XLOOKUP(Tabla6[[#This Row],[ID CLIENTE]],'RESUMEN CLIENTES'!D:D,'RESUMEN CLIENTES'!C:C)</f>
        <v>Perú</v>
      </c>
      <c r="D984" s="44" t="str">
        <f>+_xlfn.XLOOKUP(Tabla6[[#This Row],[ID CLIENTE]],'RESUMEN CLIENTES'!D:D,'RESUMEN CLIENTES'!M:M)</f>
        <v>OK</v>
      </c>
      <c r="E984" s="72">
        <f>+_xlfn.XLOOKUP(Tabla6[[#This Row],[NOMBRE]],'RESUMEN CLIENTES'!A:A,'RESUMEN CLIENTES'!X:X)</f>
        <v>0.18560606059988707</v>
      </c>
      <c r="F984" s="71">
        <f>+_xlfn.XLOOKUP(Tabla6[[#This Row],[ID CLIENTE]],'RESUMEN CLIENTES'!D:D,'RESUMEN CLIENTES'!W:W)</f>
        <v>1</v>
      </c>
      <c r="G984" s="17">
        <v>46061</v>
      </c>
      <c r="H984" s="44" t="s">
        <v>81</v>
      </c>
      <c r="I984" s="2">
        <v>1000</v>
      </c>
      <c r="J984" s="20" t="s">
        <v>4477</v>
      </c>
      <c r="K984" t="s">
        <v>4478</v>
      </c>
      <c r="L984" s="44" t="str" cm="1">
        <f t="array" ref="L984">+_xlfn.IFS(COUNTIF(INGRESOS!E:E,Tabla6[[#This Row],[ID FACTURA]])=1,"PAGADA",Tabla6[[#This Row],[ID FACTURA]]&lt;&gt;0,"EMITIDA",Tabla6[[#This Row],[ID FACTURA]]=0,"POR EMITIR")</f>
        <v>PAGADA</v>
      </c>
      <c r="M984" s="55">
        <f>+IF(Tabla6[[#This Row],[ESTADO FACTURA]]="PAGADA",Tabla6[[#This Row],[FECHA]]-_xlfn.XLOOKUP(Tabla6[[#This Row],[N° FACTURA]],INGRESOS!F:F,INGRESOS!A:A),"-")</f>
        <v>0</v>
      </c>
      <c r="N984" s="214"/>
      <c r="O984"/>
    </row>
    <row r="985" spans="1:18" ht="14.75" customHeight="1">
      <c r="A985" s="320" t="s">
        <v>1645</v>
      </c>
      <c r="B985" t="str">
        <f>+_xlfn.XLOOKUP(Tabla6[[#This Row],[ID CLIENTE]],'RESUMEN CLIENTES'!D:D,'RESUMEN CLIENTES'!A:A)</f>
        <v>Gerardo Abel Palacios Preciado</v>
      </c>
      <c r="C985" t="str">
        <f>+_xlfn.XLOOKUP(Tabla6[[#This Row],[ID CLIENTE]],'RESUMEN CLIENTES'!D:D,'RESUMEN CLIENTES'!C:C)</f>
        <v>México</v>
      </c>
      <c r="D985" s="169" t="str">
        <f>+_xlfn.XLOOKUP(Tabla6[[#This Row],[ID CLIENTE]],'RESUMEN CLIENTES'!D:D,'RESUMEN CLIENTES'!M:M)</f>
        <v>OK</v>
      </c>
      <c r="E985" s="71">
        <f>+_xlfn.XLOOKUP(Tabla6[[#This Row],[NOMBRE]],'RESUMEN CLIENTES'!A:A,'RESUMEN CLIENTES'!X:X)</f>
        <v>-1.3333333333333333</v>
      </c>
      <c r="F985" s="71">
        <f>+_xlfn.XLOOKUP(Tabla6[[#This Row],[ID CLIENTE]],'RESUMEN CLIENTES'!D:D,'RESUMEN CLIENTES'!W:W)</f>
        <v>1</v>
      </c>
      <c r="G985" s="17">
        <v>46062</v>
      </c>
      <c r="H985" s="169" t="s">
        <v>81</v>
      </c>
      <c r="I985" s="2">
        <v>650</v>
      </c>
      <c r="J985" s="20" t="s">
        <v>4469</v>
      </c>
      <c r="K985" t="s">
        <v>4470</v>
      </c>
      <c r="L985" s="44" t="str" cm="1">
        <f t="array" ref="L985">+_xlfn.IFS(COUNTIF(INGRESOS!E:E,Tabla6[[#This Row],[ID FACTURA]])=1,"PAGADA",Tabla6[[#This Row],[ID FACTURA]]&lt;&gt;0,"EMITIDA",Tabla6[[#This Row],[ID FACTURA]]=0,"POR EMITIR")</f>
        <v>PAGADA</v>
      </c>
      <c r="M985" s="55">
        <f>+IF(Tabla6[[#This Row],[ESTADO FACTURA]]="PAGADA",Tabla6[[#This Row],[FECHA]]-_xlfn.XLOOKUP(Tabla6[[#This Row],[N° FACTURA]],INGRESOS!F:F,INGRESOS!A:A),"-")</f>
        <v>-4</v>
      </c>
      <c r="N985" s="2"/>
      <c r="O985"/>
    </row>
    <row r="986" spans="1:18" ht="14.75" customHeight="1">
      <c r="A986" s="320" t="s">
        <v>4509</v>
      </c>
      <c r="B986" t="str">
        <f>+_xlfn.XLOOKUP(Tabla6[[#This Row],[ID CLIENTE]],'RESUMEN CLIENTES'!D:D,'RESUMEN CLIENTES'!A:A)</f>
        <v>Marisol Madeleine Ibáñez Paredes</v>
      </c>
      <c r="C986" t="str">
        <f>+_xlfn.XLOOKUP(Tabla6[[#This Row],[ID CLIENTE]],'RESUMEN CLIENTES'!D:D,'RESUMEN CLIENTES'!C:C)</f>
        <v>Ecuador</v>
      </c>
      <c r="D986" s="169" t="str">
        <f>+_xlfn.XLOOKUP(Tabla6[[#This Row],[ID CLIENTE]],'RESUMEN CLIENTES'!D:D,'RESUMEN CLIENTES'!M:M)</f>
        <v>OK</v>
      </c>
      <c r="E986" s="71">
        <f>+_xlfn.XLOOKUP(Tabla6[[#This Row],[NOMBRE]],'RESUMEN CLIENTES'!A:A,'RESUMEN CLIENTES'!X:X)</f>
        <v>-3</v>
      </c>
      <c r="F986" s="71">
        <f>+_xlfn.XLOOKUP(Tabla6[[#This Row],[ID CLIENTE]],'RESUMEN CLIENTES'!D:D,'RESUMEN CLIENTES'!W:W)</f>
        <v>0</v>
      </c>
      <c r="G986" s="17">
        <v>46062</v>
      </c>
      <c r="H986" s="169" t="s">
        <v>81</v>
      </c>
      <c r="I986" s="2">
        <v>250</v>
      </c>
      <c r="J986" s="20" t="s">
        <v>4510</v>
      </c>
      <c r="K986" t="s">
        <v>4511</v>
      </c>
      <c r="L986" s="44" t="str" cm="1">
        <f t="array" ref="L986">+_xlfn.IFS(COUNTIF(INGRESOS!E:E,Tabla6[[#This Row],[ID FACTURA]])=1,"PAGADA",Tabla6[[#This Row],[ID FACTURA]]&lt;&gt;0,"EMITIDA",Tabla6[[#This Row],[ID FACTURA]]=0,"POR EMITIR")</f>
        <v>PAGADA</v>
      </c>
      <c r="M986" s="54">
        <f>+IF(Tabla6[[#This Row],[ESTADO FACTURA]]="PAGADA",Tabla6[[#This Row],[FECHA]]-_xlfn.XLOOKUP(Tabla6[[#This Row],[N° FACTURA]],INGRESOS!F:F,INGRESOS!A:A),"-")</f>
        <v>0</v>
      </c>
      <c r="O986"/>
    </row>
    <row r="987" spans="1:18" ht="14.75" customHeight="1">
      <c r="A987" s="320" t="s">
        <v>1956</v>
      </c>
      <c r="B987" t="str">
        <f>+_xlfn.XLOOKUP(Tabla6[[#This Row],[ID CLIENTE]],'RESUMEN CLIENTES'!D:D,'RESUMEN CLIENTES'!A:A)</f>
        <v>Daniel David Mendez Parraga</v>
      </c>
      <c r="C987" t="str">
        <f>+_xlfn.XLOOKUP(Tabla6[[#This Row],[ID CLIENTE]],'RESUMEN CLIENTES'!D:D,'RESUMEN CLIENTES'!C:C)</f>
        <v>Venezuela</v>
      </c>
      <c r="D987" s="169" t="str">
        <f>+_xlfn.XLOOKUP(Tabla6[[#This Row],[ID CLIENTE]],'RESUMEN CLIENTES'!D:D,'RESUMEN CLIENTES'!M:M)</f>
        <v>ELIMINADO</v>
      </c>
      <c r="E987" s="71">
        <f>+_xlfn.XLOOKUP(Tabla6[[#This Row],[NOMBRE]],'RESUMEN CLIENTES'!A:A,'RESUMEN CLIENTES'!X:X)</f>
        <v>0</v>
      </c>
      <c r="F987" s="71">
        <f>+_xlfn.XLOOKUP(Tabla6[[#This Row],[ID CLIENTE]],'RESUMEN CLIENTES'!D:D,'RESUMEN CLIENTES'!W:W)</f>
        <v>0</v>
      </c>
      <c r="G987" s="17">
        <v>46063</v>
      </c>
      <c r="H987" s="169" t="s">
        <v>81</v>
      </c>
      <c r="I987" s="2">
        <v>9500</v>
      </c>
      <c r="J987"/>
      <c r="K987"/>
      <c r="L987" s="44" t="str" cm="1">
        <f t="array" ref="L987">+_xlfn.IFS(COUNTIF(INGRESOS!E:E,Tabla6[[#This Row],[ID FACTURA]])=1,"PAGADA",Tabla6[[#This Row],[ID FACTURA]]&lt;&gt;0,"EMITIDA",Tabla6[[#This Row],[ID FACTURA]]=0,"POR EMITIR")</f>
        <v>POR EMITIR</v>
      </c>
      <c r="M987" s="54" t="str">
        <f>+IF(Tabla6[[#This Row],[ESTADO FACTURA]]="PAGADA",Tabla6[[#This Row],[FECHA]]-_xlfn.XLOOKUP(Tabla6[[#This Row],[N° FACTURA]],INGRESOS!F:F,INGRESOS!A:A),"-")</f>
        <v>-</v>
      </c>
      <c r="O987" t="s">
        <v>1471</v>
      </c>
    </row>
    <row r="988" spans="1:18" ht="14.75" customHeight="1">
      <c r="A988" s="321" t="s">
        <v>367</v>
      </c>
      <c r="B988" t="str">
        <f>+_xlfn.XLOOKUP(Tabla6[[#This Row],[ID CLIENTE]],'RESUMEN CLIENTES'!D:D,'RESUMEN CLIENTES'!A:A)</f>
        <v>José Miguel Undurraga Saavedra</v>
      </c>
      <c r="C988" t="str">
        <f>+_xlfn.XLOOKUP(Tabla6[[#This Row],[ID CLIENTE]],'RESUMEN CLIENTES'!D:D,'RESUMEN CLIENTES'!C:C)</f>
        <v>Chile</v>
      </c>
      <c r="D988" s="169" t="str">
        <f>+_xlfn.XLOOKUP(Tabla6[[#This Row],[ID CLIENTE]],'RESUMEN CLIENTES'!D:D,'RESUMEN CLIENTES'!M:M)</f>
        <v>OK</v>
      </c>
      <c r="E988" s="71">
        <f>+_xlfn.XLOOKUP(Tabla6[[#This Row],[NOMBRE]],'RESUMEN CLIENTES'!A:A,'RESUMEN CLIENTES'!X:X)</f>
        <v>-11.5</v>
      </c>
      <c r="F988" s="71">
        <f>+_xlfn.XLOOKUP(Tabla6[[#This Row],[ID CLIENTE]],'RESUMEN CLIENTES'!D:D,'RESUMEN CLIENTES'!W:W)</f>
        <v>0</v>
      </c>
      <c r="G988" s="17">
        <v>46063</v>
      </c>
      <c r="H988" s="169" t="s">
        <v>81</v>
      </c>
      <c r="I988" s="2">
        <v>100</v>
      </c>
      <c r="J988" t="s">
        <v>6715</v>
      </c>
      <c r="K988" t="s">
        <v>6716</v>
      </c>
      <c r="L988" s="44" t="str" cm="1">
        <f t="array" ref="L988">+_xlfn.IFS(COUNTIF(INGRESOS!E:E,Tabla6[[#This Row],[ID FACTURA]])=1,"PAGADA",Tabla6[[#This Row],[ID FACTURA]]&lt;&gt;0,"EMITIDA",Tabla6[[#This Row],[ID FACTURA]]=0,"POR EMITIR")</f>
        <v>EMITIDA</v>
      </c>
      <c r="M988" s="54" t="str">
        <f>+IF(Tabla6[[#This Row],[ESTADO FACTURA]]="PAGADA",Tabla6[[#This Row],[FECHA]]-_xlfn.XLOOKUP(Tabla6[[#This Row],[N° FACTURA]],INGRESOS!F:F,INGRESOS!A:A),"-")</f>
        <v>-</v>
      </c>
      <c r="O988" t="s">
        <v>6717</v>
      </c>
    </row>
    <row r="989" spans="1:18" ht="14.75" customHeight="1">
      <c r="A989" s="320" t="s">
        <v>274</v>
      </c>
      <c r="B989" t="str">
        <f>+_xlfn.XLOOKUP(Tabla6[[#This Row],[ID CLIENTE]],'RESUMEN CLIENTES'!D:D,'RESUMEN CLIENTES'!A:A)</f>
        <v>María de los Ángeles Gutiérrez Quevedo</v>
      </c>
      <c r="C989" t="str">
        <f>+_xlfn.XLOOKUP(Tabla6[[#This Row],[ID CLIENTE]],'RESUMEN CLIENTES'!D:D,'RESUMEN CLIENTES'!C:C)</f>
        <v>Chile</v>
      </c>
      <c r="D989" s="44" t="str">
        <f>+_xlfn.XLOOKUP(Tabla6[[#This Row],[ID CLIENTE]],'RESUMEN CLIENTES'!D:D,'RESUMEN CLIENTES'!M:M)</f>
        <v>OK</v>
      </c>
      <c r="E989" s="72">
        <f>+_xlfn.XLOOKUP(Tabla6[[#This Row],[NOMBRE]],'RESUMEN CLIENTES'!A:A,'RESUMEN CLIENTES'!X:X)</f>
        <v>0.22222222222222221</v>
      </c>
      <c r="F989" s="72">
        <f>+_xlfn.XLOOKUP(Tabla6[[#This Row],[ID CLIENTE]],'RESUMEN CLIENTES'!D:D,'RESUMEN CLIENTES'!W:W)</f>
        <v>1</v>
      </c>
      <c r="G989" s="17">
        <v>46063</v>
      </c>
      <c r="H989" s="44" t="s">
        <v>81</v>
      </c>
      <c r="I989" s="2">
        <v>1500</v>
      </c>
      <c r="J989" s="20" t="s">
        <v>4483</v>
      </c>
      <c r="K989" t="s">
        <v>4484</v>
      </c>
      <c r="L989" s="44" t="str" cm="1">
        <f t="array" ref="L989">+_xlfn.IFS(COUNTIF(INGRESOS!E:E,Tabla6[[#This Row],[ID FACTURA]])=1,"PAGADA",Tabla6[[#This Row],[ID FACTURA]]&lt;&gt;0,"EMITIDA",Tabla6[[#This Row],[ID FACTURA]]=0,"POR EMITIR")</f>
        <v>PAGADA</v>
      </c>
      <c r="M989" s="55">
        <f>+IF(Tabla6[[#This Row],[ESTADO FACTURA]]="PAGADA",Tabla6[[#This Row],[FECHA]]-_xlfn.XLOOKUP(Tabla6[[#This Row],[N° FACTURA]],INGRESOS!F:F,INGRESOS!A:A),"-")</f>
        <v>1</v>
      </c>
      <c r="N989" s="2"/>
      <c r="O989"/>
    </row>
    <row r="990" spans="1:18" ht="14.75" customHeight="1">
      <c r="A990" s="320" t="s">
        <v>455</v>
      </c>
      <c r="B990" t="str">
        <f>+_xlfn.XLOOKUP(Tabla6[[#This Row],[ID CLIENTE]],'RESUMEN CLIENTES'!D:D,'RESUMEN CLIENTES'!A:A)</f>
        <v>Paola Hitos</v>
      </c>
      <c r="C990" t="str">
        <f>+_xlfn.XLOOKUP(Tabla6[[#This Row],[ID CLIENTE]],'RESUMEN CLIENTES'!D:D,'RESUMEN CLIENTES'!C:C)</f>
        <v>México</v>
      </c>
      <c r="D990" s="44" t="str">
        <f>+_xlfn.XLOOKUP(Tabla6[[#This Row],[ID CLIENTE]],'RESUMEN CLIENTES'!D:D,'RESUMEN CLIENTES'!M:M)</f>
        <v>OK</v>
      </c>
      <c r="E990" s="72">
        <f>+_xlfn.XLOOKUP(Tabla6[[#This Row],[NOMBRE]],'RESUMEN CLIENTES'!A:A,'RESUMEN CLIENTES'!X:X)</f>
        <v>-0.55555555555555558</v>
      </c>
      <c r="F990" s="72">
        <f>+_xlfn.XLOOKUP(Tabla6[[#This Row],[ID CLIENTE]],'RESUMEN CLIENTES'!D:D,'RESUMEN CLIENTES'!W:W)</f>
        <v>1</v>
      </c>
      <c r="G990" s="17">
        <v>46063</v>
      </c>
      <c r="H990" s="44" t="s">
        <v>81</v>
      </c>
      <c r="I990" s="2">
        <v>1000</v>
      </c>
      <c r="J990" s="20" t="s">
        <v>4481</v>
      </c>
      <c r="K990" t="s">
        <v>4482</v>
      </c>
      <c r="L990" s="44" t="str" cm="1">
        <f t="array" ref="L990">+_xlfn.IFS(COUNTIF(INGRESOS!E:E,Tabla6[[#This Row],[ID FACTURA]])=1,"PAGADA",Tabla6[[#This Row],[ID FACTURA]]&lt;&gt;0,"EMITIDA",Tabla6[[#This Row],[ID FACTURA]]=0,"POR EMITIR")</f>
        <v>PAGADA</v>
      </c>
      <c r="M990" s="55">
        <f>+IF(Tabla6[[#This Row],[ESTADO FACTURA]]="PAGADA",Tabla6[[#This Row],[FECHA]]-_xlfn.XLOOKUP(Tabla6[[#This Row],[N° FACTURA]],INGRESOS!F:F,INGRESOS!A:A),"-")</f>
        <v>0</v>
      </c>
      <c r="N990" s="2"/>
      <c r="O990"/>
    </row>
    <row r="991" spans="1:18" ht="14.75" customHeight="1">
      <c r="A991" s="320" t="s">
        <v>275</v>
      </c>
      <c r="B991" t="str">
        <f>+_xlfn.XLOOKUP(Tabla6[[#This Row],[ID CLIENTE]],'RESUMEN CLIENTES'!D:D,'RESUMEN CLIENTES'!A:A)</f>
        <v>Rodrigo Alfonso Busse Hernández</v>
      </c>
      <c r="C991" t="str">
        <f>+_xlfn.XLOOKUP(Tabla6[[#This Row],[ID CLIENTE]],'RESUMEN CLIENTES'!D:D,'RESUMEN CLIENTES'!C:C)</f>
        <v>Chile</v>
      </c>
      <c r="D991" s="44" t="str">
        <f>+_xlfn.XLOOKUP(Tabla6[[#This Row],[ID CLIENTE]],'RESUMEN CLIENTES'!D:D,'RESUMEN CLIENTES'!M:M)</f>
        <v>OK</v>
      </c>
      <c r="E991" s="72">
        <f>+_xlfn.XLOOKUP(Tabla6[[#This Row],[NOMBRE]],'RESUMEN CLIENTES'!A:A,'RESUMEN CLIENTES'!X:X)</f>
        <v>0.33333333333333331</v>
      </c>
      <c r="F991" s="72">
        <f>+_xlfn.XLOOKUP(Tabla6[[#This Row],[ID CLIENTE]],'RESUMEN CLIENTES'!D:D,'RESUMEN CLIENTES'!W:W)</f>
        <v>1</v>
      </c>
      <c r="G991" s="17">
        <v>46063</v>
      </c>
      <c r="H991" s="44" t="s">
        <v>81</v>
      </c>
      <c r="I991" s="2">
        <v>1111</v>
      </c>
      <c r="J991" s="20" t="s">
        <v>4479</v>
      </c>
      <c r="K991" t="s">
        <v>4480</v>
      </c>
      <c r="L991" s="44" t="str" cm="1">
        <f t="array" ref="L991">+_xlfn.IFS(COUNTIF(INGRESOS!E:E,Tabla6[[#This Row],[ID FACTURA]])=1,"PAGADA",Tabla6[[#This Row],[ID FACTURA]]&lt;&gt;0,"EMITIDA",Tabla6[[#This Row],[ID FACTURA]]=0,"POR EMITIR")</f>
        <v>PAGADA</v>
      </c>
      <c r="M991" s="55">
        <f>+IF(Tabla6[[#This Row],[ESTADO FACTURA]]="PAGADA",Tabla6[[#This Row],[FECHA]]-_xlfn.XLOOKUP(Tabla6[[#This Row],[N° FACTURA]],INGRESOS!F:F,INGRESOS!A:A),"-")</f>
        <v>0</v>
      </c>
      <c r="N991" s="2"/>
      <c r="O991"/>
    </row>
    <row r="992" spans="1:18" ht="14.75" customHeight="1">
      <c r="A992" s="320" t="s">
        <v>4509</v>
      </c>
      <c r="B992" t="str">
        <f>+_xlfn.XLOOKUP(Tabla6[[#This Row],[ID CLIENTE]],'RESUMEN CLIENTES'!D:D,'RESUMEN CLIENTES'!A:A)</f>
        <v>Marisol Madeleine Ibáñez Paredes</v>
      </c>
      <c r="C992" t="str">
        <f>+_xlfn.XLOOKUP(Tabla6[[#This Row],[ID CLIENTE]],'RESUMEN CLIENTES'!D:D,'RESUMEN CLIENTES'!C:C)</f>
        <v>Ecuador</v>
      </c>
      <c r="D992" s="169" t="str">
        <f>+_xlfn.XLOOKUP(Tabla6[[#This Row],[ID CLIENTE]],'RESUMEN CLIENTES'!D:D,'RESUMEN CLIENTES'!M:M)</f>
        <v>OK</v>
      </c>
      <c r="E992" s="71">
        <f>+_xlfn.XLOOKUP(Tabla6[[#This Row],[NOMBRE]],'RESUMEN CLIENTES'!A:A,'RESUMEN CLIENTES'!X:X)</f>
        <v>-3</v>
      </c>
      <c r="F992" s="71">
        <f>+_xlfn.XLOOKUP(Tabla6[[#This Row],[ID CLIENTE]],'RESUMEN CLIENTES'!D:D,'RESUMEN CLIENTES'!W:W)</f>
        <v>0</v>
      </c>
      <c r="G992" s="17">
        <v>46064</v>
      </c>
      <c r="H992" s="169" t="s">
        <v>81</v>
      </c>
      <c r="I992" s="2">
        <v>1750</v>
      </c>
      <c r="J992" s="20" t="s">
        <v>4594</v>
      </c>
      <c r="K992" t="s">
        <v>4595</v>
      </c>
      <c r="L992" s="44" t="str" cm="1">
        <f t="array" ref="L992">+_xlfn.IFS(COUNTIF(INGRESOS!E:E,Tabla6[[#This Row],[ID FACTURA]])=1,"PAGADA",Tabla6[[#This Row],[ID FACTURA]]&lt;&gt;0,"EMITIDA",Tabla6[[#This Row],[ID FACTURA]]=0,"POR EMITIR")</f>
        <v>PAGADA</v>
      </c>
      <c r="M992" s="54">
        <f>+IF(Tabla6[[#This Row],[ESTADO FACTURA]]="PAGADA",Tabla6[[#This Row],[FECHA]]-_xlfn.XLOOKUP(Tabla6[[#This Row],[N° FACTURA]],INGRESOS!F:F,INGRESOS!A:A),"-")</f>
        <v>-6</v>
      </c>
      <c r="O992"/>
    </row>
    <row r="993" spans="1:15" ht="14.75" customHeight="1">
      <c r="A993" s="320" t="s">
        <v>501</v>
      </c>
      <c r="B993" t="str">
        <f>+_xlfn.XLOOKUP(Tabla6[[#This Row],[ID CLIENTE]],'RESUMEN CLIENTES'!D:D,'RESUMEN CLIENTES'!A:A)</f>
        <v>Kimberly Chantelle Frey Arteaga</v>
      </c>
      <c r="C993" t="str">
        <f>+_xlfn.XLOOKUP(Tabla6[[#This Row],[ID CLIENTE]],'RESUMEN CLIENTES'!D:D,'RESUMEN CLIENTES'!C:C)</f>
        <v>México</v>
      </c>
      <c r="D993" s="44" t="str">
        <f>+_xlfn.XLOOKUP(Tabla6[[#This Row],[ID CLIENTE]],'RESUMEN CLIENTES'!D:D,'RESUMEN CLIENTES'!M:M)</f>
        <v>OK</v>
      </c>
      <c r="E993" s="72">
        <f>+_xlfn.XLOOKUP(Tabla6[[#This Row],[NOMBRE]],'RESUMEN CLIENTES'!A:A,'RESUMEN CLIENTES'!X:X)</f>
        <v>0</v>
      </c>
      <c r="F993" s="72">
        <f>+_xlfn.XLOOKUP(Tabla6[[#This Row],[ID CLIENTE]],'RESUMEN CLIENTES'!D:D,'RESUMEN CLIENTES'!W:W)</f>
        <v>1</v>
      </c>
      <c r="G993" s="17">
        <v>46065</v>
      </c>
      <c r="H993" s="44" t="s">
        <v>81</v>
      </c>
      <c r="I993" s="2">
        <v>1000</v>
      </c>
      <c r="J993" s="20" t="s">
        <v>4485</v>
      </c>
      <c r="K993" t="s">
        <v>4486</v>
      </c>
      <c r="L993" s="44" t="str" cm="1">
        <f t="array" ref="L993">+_xlfn.IFS(COUNTIF(INGRESOS!E:E,Tabla6[[#This Row],[ID FACTURA]])=1,"PAGADA",Tabla6[[#This Row],[ID FACTURA]]&lt;&gt;0,"EMITIDA",Tabla6[[#This Row],[ID FACTURA]]=0,"POR EMITIR")</f>
        <v>PAGADA</v>
      </c>
      <c r="M993" s="55">
        <f>+IF(Tabla6[[#This Row],[ESTADO FACTURA]]="PAGADA",Tabla6[[#This Row],[FECHA]]-_xlfn.XLOOKUP(Tabla6[[#This Row],[N° FACTURA]],INGRESOS!F:F,INGRESOS!A:A),"-")</f>
        <v>2</v>
      </c>
      <c r="N993" s="2"/>
      <c r="O993"/>
    </row>
    <row r="994" spans="1:15" ht="14.75" customHeight="1">
      <c r="A994" s="320" t="s">
        <v>187</v>
      </c>
      <c r="B994" t="str">
        <f>+_xlfn.XLOOKUP(Tabla6[[#This Row],[ID CLIENTE]],'RESUMEN CLIENTES'!D:D,'RESUMEN CLIENTES'!A:A)</f>
        <v>Alina Maria Cervantes Real</v>
      </c>
      <c r="C994" t="str">
        <f>+_xlfn.XLOOKUP(Tabla6[[#This Row],[ID CLIENTE]],'RESUMEN CLIENTES'!D:D,'RESUMEN CLIENTES'!C:C)</f>
        <v>México</v>
      </c>
      <c r="D994" s="44" t="str">
        <f>+_xlfn.XLOOKUP(Tabla6[[#This Row],[ID CLIENTE]],'RESUMEN CLIENTES'!D:D,'RESUMEN CLIENTES'!M:M)</f>
        <v>OK</v>
      </c>
      <c r="E994" s="72">
        <f>+_xlfn.XLOOKUP(Tabla6[[#This Row],[NOMBRE]],'RESUMEN CLIENTES'!A:A,'RESUMEN CLIENTES'!X:X)</f>
        <v>21.583333333333332</v>
      </c>
      <c r="F994" s="71">
        <f>+_xlfn.XLOOKUP(Tabla6[[#This Row],[ID CLIENTE]],'RESUMEN CLIENTES'!D:D,'RESUMEN CLIENTES'!W:W)</f>
        <v>1</v>
      </c>
      <c r="G994" s="17">
        <v>46067</v>
      </c>
      <c r="H994" s="44" t="s">
        <v>81</v>
      </c>
      <c r="I994" s="2">
        <v>769</v>
      </c>
      <c r="J994" s="20" t="s">
        <v>4561</v>
      </c>
      <c r="K994" t="s">
        <v>4562</v>
      </c>
      <c r="L994" s="44" t="str" cm="1">
        <f t="array" ref="L994">+_xlfn.IFS(COUNTIF(INGRESOS!E:E,Tabla6[[#This Row],[ID FACTURA]])=1,"PAGADA",Tabla6[[#This Row],[ID FACTURA]]&lt;&gt;0,"EMITIDA",Tabla6[[#This Row],[ID FACTURA]]=0,"POR EMITIR")</f>
        <v>PAGADA</v>
      </c>
      <c r="M994" s="55">
        <f>+IF(Tabla6[[#This Row],[ESTADO FACTURA]]="PAGADA",Tabla6[[#This Row],[FECHA]]-_xlfn.XLOOKUP(Tabla6[[#This Row],[N° FACTURA]],INGRESOS!F:F,INGRESOS!A:A),"-")</f>
        <v>0</v>
      </c>
      <c r="N994" s="2">
        <f>56+25</f>
        <v>81</v>
      </c>
      <c r="O994" t="s">
        <v>1233</v>
      </c>
    </row>
    <row r="995" spans="1:15" ht="14.75" customHeight="1">
      <c r="A995" s="320" t="s">
        <v>187</v>
      </c>
      <c r="B995" t="str">
        <f>+_xlfn.XLOOKUP(Tabla6[[#This Row],[ID CLIENTE]],'RESUMEN CLIENTES'!D:D,'RESUMEN CLIENTES'!A:A)</f>
        <v>Alina Maria Cervantes Real</v>
      </c>
      <c r="C995" t="str">
        <f>+_xlfn.XLOOKUP(Tabla6[[#This Row],[ID CLIENTE]],'RESUMEN CLIENTES'!D:D,'RESUMEN CLIENTES'!C:C)</f>
        <v>México</v>
      </c>
      <c r="D995" s="44" t="str">
        <f>+_xlfn.XLOOKUP(Tabla6[[#This Row],[ID CLIENTE]],'RESUMEN CLIENTES'!D:D,'RESUMEN CLIENTES'!M:M)</f>
        <v>OK</v>
      </c>
      <c r="E995" s="72">
        <f>+_xlfn.XLOOKUP(Tabla6[[#This Row],[NOMBRE]],'RESUMEN CLIENTES'!A:A,'RESUMEN CLIENTES'!X:X)</f>
        <v>21.583333333333332</v>
      </c>
      <c r="F995" s="72">
        <f>+_xlfn.XLOOKUP(Tabla6[[#This Row],[ID CLIENTE]],'RESUMEN CLIENTES'!D:D,'RESUMEN CLIENTES'!W:W)</f>
        <v>1</v>
      </c>
      <c r="G995" s="17">
        <v>46068</v>
      </c>
      <c r="H995" s="44" t="s">
        <v>81</v>
      </c>
      <c r="I995" s="2">
        <v>1000</v>
      </c>
      <c r="J995" s="20" t="s">
        <v>1906</v>
      </c>
      <c r="K995" t="s">
        <v>1907</v>
      </c>
      <c r="L995" s="44" t="str" cm="1">
        <f t="array" ref="L995">+_xlfn.IFS(COUNTIF(INGRESOS!E:E,Tabla6[[#This Row],[ID FACTURA]])=1,"PAGADA",Tabla6[[#This Row],[ID FACTURA]]&lt;&gt;0,"EMITIDA",Tabla6[[#This Row],[ID FACTURA]]=0,"POR EMITIR")</f>
        <v>PAGADA</v>
      </c>
      <c r="M995" s="55">
        <f>+IF(Tabla6[[#This Row],[ESTADO FACTURA]]="PAGADA",Tabla6[[#This Row],[FECHA]]-_xlfn.XLOOKUP(Tabla6[[#This Row],[N° FACTURA]],INGRESOS!F:F,INGRESOS!A:A),"-")</f>
        <v>30</v>
      </c>
      <c r="N995" s="2"/>
      <c r="O995"/>
    </row>
    <row r="996" spans="1:15" ht="14.75" customHeight="1">
      <c r="A996" s="320" t="s">
        <v>325</v>
      </c>
      <c r="B996" t="str">
        <f>+_xlfn.XLOOKUP(Tabla6[[#This Row],[ID CLIENTE]],'RESUMEN CLIENTES'!D:D,'RESUMEN CLIENTES'!A:A)</f>
        <v>Andrea Cristina Estrada Morocho</v>
      </c>
      <c r="C996" t="str">
        <f>+_xlfn.XLOOKUP(Tabla6[[#This Row],[ID CLIENTE]],'RESUMEN CLIENTES'!D:D,'RESUMEN CLIENTES'!C:C)</f>
        <v>Ecuador</v>
      </c>
      <c r="D996" s="44" t="str">
        <f>+_xlfn.XLOOKUP(Tabla6[[#This Row],[ID CLIENTE]],'RESUMEN CLIENTES'!D:D,'RESUMEN CLIENTES'!M:M)</f>
        <v>OK</v>
      </c>
      <c r="E996" s="72">
        <f>+_xlfn.XLOOKUP(Tabla6[[#This Row],[NOMBRE]],'RESUMEN CLIENTES'!A:A,'RESUMEN CLIENTES'!X:X)</f>
        <v>-3.6666666666666665</v>
      </c>
      <c r="F996" s="72">
        <f>+_xlfn.XLOOKUP(Tabla6[[#This Row],[ID CLIENTE]],'RESUMEN CLIENTES'!D:D,'RESUMEN CLIENTES'!W:W)</f>
        <v>1</v>
      </c>
      <c r="G996" s="17">
        <v>46068</v>
      </c>
      <c r="H996" s="44" t="s">
        <v>81</v>
      </c>
      <c r="I996" s="2">
        <v>500</v>
      </c>
      <c r="J996" s="20" t="s">
        <v>4541</v>
      </c>
      <c r="K996" t="s">
        <v>4542</v>
      </c>
      <c r="L996" s="44" t="str" cm="1">
        <f t="array" ref="L996">+_xlfn.IFS(COUNTIF(INGRESOS!E:E,Tabla6[[#This Row],[ID FACTURA]])=1,"PAGADA",Tabla6[[#This Row],[ID FACTURA]]&lt;&gt;0,"EMITIDA",Tabla6[[#This Row],[ID FACTURA]]=0,"POR EMITIR")</f>
        <v>PAGADA</v>
      </c>
      <c r="M996" s="55">
        <f>+IF(Tabla6[[#This Row],[ESTADO FACTURA]]="PAGADA",Tabla6[[#This Row],[FECHA]]-_xlfn.XLOOKUP(Tabla6[[#This Row],[N° FACTURA]],INGRESOS!F:F,INGRESOS!A:A),"-")</f>
        <v>-6</v>
      </c>
      <c r="N996" s="2"/>
      <c r="O996"/>
    </row>
    <row r="997" spans="1:15" ht="14.75" customHeight="1">
      <c r="A997" s="320" t="s">
        <v>751</v>
      </c>
      <c r="B997" t="str">
        <f>+_xlfn.XLOOKUP(Tabla6[[#This Row],[ID CLIENTE]],'RESUMEN CLIENTES'!D:D,'RESUMEN CLIENTES'!A:A)</f>
        <v>Carlos Alberto Suarez Hernandez</v>
      </c>
      <c r="C997" t="str">
        <f>+_xlfn.XLOOKUP(Tabla6[[#This Row],[ID CLIENTE]],'RESUMEN CLIENTES'!D:D,'RESUMEN CLIENTES'!C:C)</f>
        <v>Colombia</v>
      </c>
      <c r="D997" s="44" t="str">
        <f>+_xlfn.XLOOKUP(Tabla6[[#This Row],[ID CLIENTE]],'RESUMEN CLIENTES'!D:D,'RESUMEN CLIENTES'!M:M)</f>
        <v>OK</v>
      </c>
      <c r="E997" s="72">
        <f>+_xlfn.XLOOKUP(Tabla6[[#This Row],[NOMBRE]],'RESUMEN CLIENTES'!A:A,'RESUMEN CLIENTES'!X:X)</f>
        <v>0</v>
      </c>
      <c r="F997" s="72">
        <f>+_xlfn.XLOOKUP(Tabla6[[#This Row],[ID CLIENTE]],'RESUMEN CLIENTES'!D:D,'RESUMEN CLIENTES'!W:W)</f>
        <v>1</v>
      </c>
      <c r="G997" s="17">
        <v>46068</v>
      </c>
      <c r="H997" s="44" t="s">
        <v>81</v>
      </c>
      <c r="I997" s="2">
        <v>1000</v>
      </c>
      <c r="J997" s="20" t="s">
        <v>4573</v>
      </c>
      <c r="K997" t="s">
        <v>4574</v>
      </c>
      <c r="L997" s="44" t="str" cm="1">
        <f t="array" ref="L997">+_xlfn.IFS(COUNTIF(INGRESOS!E:E,Tabla6[[#This Row],[ID FACTURA]])=1,"PAGADA",Tabla6[[#This Row],[ID FACTURA]]&lt;&gt;0,"EMITIDA",Tabla6[[#This Row],[ID FACTURA]]=0,"POR EMITIR")</f>
        <v>PAGADA</v>
      </c>
      <c r="M997" s="55">
        <f>+IF(Tabla6[[#This Row],[ESTADO FACTURA]]="PAGADA",Tabla6[[#This Row],[FECHA]]-_xlfn.XLOOKUP(Tabla6[[#This Row],[N° FACTURA]],INGRESOS!F:F,INGRESOS!A:A),"-")</f>
        <v>1</v>
      </c>
      <c r="N997" s="2"/>
      <c r="O997"/>
    </row>
    <row r="998" spans="1:15" ht="14.75" customHeight="1">
      <c r="A998" s="320" t="s">
        <v>156</v>
      </c>
      <c r="B998" t="str">
        <f>+_xlfn.XLOOKUP(Tabla6[[#This Row],[ID CLIENTE]],'RESUMEN CLIENTES'!D:D,'RESUMEN CLIENTES'!A:A)</f>
        <v>Catalina Andrea Videla Muñoz</v>
      </c>
      <c r="C998" t="str">
        <f>+_xlfn.XLOOKUP(Tabla6[[#This Row],[ID CLIENTE]],'RESUMEN CLIENTES'!D:D,'RESUMEN CLIENTES'!C:C)</f>
        <v>Chile</v>
      </c>
      <c r="D998" s="44" t="str">
        <f>+_xlfn.XLOOKUP(Tabla6[[#This Row],[ID CLIENTE]],'RESUMEN CLIENTES'!D:D,'RESUMEN CLIENTES'!M:M)</f>
        <v>OK</v>
      </c>
      <c r="E998" s="72">
        <f>+_xlfn.XLOOKUP(Tabla6[[#This Row],[NOMBRE]],'RESUMEN CLIENTES'!A:A,'RESUMEN CLIENTES'!X:X)</f>
        <v>1.5454545454545454</v>
      </c>
      <c r="F998" s="72">
        <f>+_xlfn.XLOOKUP(Tabla6[[#This Row],[ID CLIENTE]],'RESUMEN CLIENTES'!D:D,'RESUMEN CLIENTES'!W:W)</f>
        <v>1</v>
      </c>
      <c r="G998" s="17">
        <v>46068</v>
      </c>
      <c r="H998" s="44" t="s">
        <v>81</v>
      </c>
      <c r="I998" s="2">
        <f>800-Tabla6[[#This Row],[DCTO DOC]]</f>
        <v>398.54</v>
      </c>
      <c r="J998" s="20" t="s">
        <v>4533</v>
      </c>
      <c r="K998" t="s">
        <v>4534</v>
      </c>
      <c r="L998" s="44" t="str" cm="1">
        <f t="array" ref="L998">+_xlfn.IFS(COUNTIF(INGRESOS!E:E,Tabla6[[#This Row],[ID FACTURA]])=1,"PAGADA",Tabla6[[#This Row],[ID FACTURA]]&lt;&gt;0,"EMITIDA",Tabla6[[#This Row],[ID FACTURA]]=0,"POR EMITIR")</f>
        <v>PAGADA</v>
      </c>
      <c r="M998" s="55">
        <f>+IF(Tabla6[[#This Row],[ESTADO FACTURA]]="PAGADA",Tabla6[[#This Row],[FECHA]]-_xlfn.XLOOKUP(Tabla6[[#This Row],[N° FACTURA]],INGRESOS!F:F,INGRESOS!A:A),"-")</f>
        <v>4</v>
      </c>
      <c r="N998" s="2">
        <f>330+71.46</f>
        <v>401.46</v>
      </c>
      <c r="O998"/>
    </row>
    <row r="999" spans="1:15" ht="14.75" customHeight="1">
      <c r="A999" s="320" t="s">
        <v>90</v>
      </c>
      <c r="B999" t="str">
        <f>+_xlfn.XLOOKUP(Tabla6[[#This Row],[ID CLIENTE]],'RESUMEN CLIENTES'!D:D,'RESUMEN CLIENTES'!A:A)</f>
        <v>David Enrique Díaz Mejía</v>
      </c>
      <c r="C999" t="str">
        <f>+_xlfn.XLOOKUP(Tabla6[[#This Row],[ID CLIENTE]],'RESUMEN CLIENTES'!D:D,'RESUMEN CLIENTES'!C:C)</f>
        <v>Honduras</v>
      </c>
      <c r="D999" s="44" t="str">
        <f>+_xlfn.XLOOKUP(Tabla6[[#This Row],[ID CLIENTE]],'RESUMEN CLIENTES'!D:D,'RESUMEN CLIENTES'!M:M)</f>
        <v>OK</v>
      </c>
      <c r="E999" s="72">
        <f>+_xlfn.XLOOKUP(Tabla6[[#This Row],[NOMBRE]],'RESUMEN CLIENTES'!A:A,'RESUMEN CLIENTES'!X:X)</f>
        <v>-15.217592592592862</v>
      </c>
      <c r="F999" s="72">
        <f>+_xlfn.XLOOKUP(Tabla6[[#This Row],[ID CLIENTE]],'RESUMEN CLIENTES'!D:D,'RESUMEN CLIENTES'!W:W)</f>
        <v>1</v>
      </c>
      <c r="G999" s="17">
        <v>46068</v>
      </c>
      <c r="H999" s="44" t="s">
        <v>81</v>
      </c>
      <c r="I999" s="2">
        <v>500</v>
      </c>
      <c r="J999" s="20" t="s">
        <v>4543</v>
      </c>
      <c r="K999" t="s">
        <v>4544</v>
      </c>
      <c r="L999" s="44" t="str" cm="1">
        <f t="array" ref="L999">+_xlfn.IFS(COUNTIF(INGRESOS!E:E,Tabla6[[#This Row],[ID FACTURA]])=1,"PAGADA",Tabla6[[#This Row],[ID FACTURA]]&lt;&gt;0,"EMITIDA",Tabla6[[#This Row],[ID FACTURA]]=0,"POR EMITIR")</f>
        <v>PAGADA</v>
      </c>
      <c r="M999" s="55">
        <f>+IF(Tabla6[[#This Row],[ESTADO FACTURA]]="PAGADA",Tabla6[[#This Row],[FECHA]]-_xlfn.XLOOKUP(Tabla6[[#This Row],[N° FACTURA]],INGRESOS!F:F,INGRESOS!A:A),"-")</f>
        <v>-1</v>
      </c>
      <c r="N999" s="2"/>
      <c r="O999"/>
    </row>
    <row r="1000" spans="1:15" ht="14.75" customHeight="1">
      <c r="A1000" s="320" t="s">
        <v>4660</v>
      </c>
      <c r="B1000" t="str">
        <f>+_xlfn.XLOOKUP(Tabla6[[#This Row],[ID CLIENTE]],'RESUMEN CLIENTES'!D:D,'RESUMEN CLIENTES'!A:A)</f>
        <v>Edipris Flores</v>
      </c>
      <c r="C1000" s="15" t="str">
        <f>+_xlfn.XLOOKUP(Tabla6[[#This Row],[ID CLIENTE]],'RESUMEN CLIENTES'!D:D,'RESUMEN CLIENTES'!C:C)</f>
        <v>Chile</v>
      </c>
      <c r="D1000" s="169" t="str">
        <f>+_xlfn.XLOOKUP(Tabla6[[#This Row],[ID CLIENTE]],'RESUMEN CLIENTES'!D:D,'RESUMEN CLIENTES'!M:M)</f>
        <v>OK</v>
      </c>
      <c r="E1000" s="71">
        <f>+_xlfn.XLOOKUP(Tabla6[[#This Row],[NOMBRE]],'RESUMEN CLIENTES'!A:A,'RESUMEN CLIENTES'!X:X)</f>
        <v>-4</v>
      </c>
      <c r="F1000" s="71">
        <f>+_xlfn.XLOOKUP(Tabla6[[#This Row],[ID CLIENTE]],'RESUMEN CLIENTES'!D:D,'RESUMEN CLIENTES'!W:W)</f>
        <v>0</v>
      </c>
      <c r="G1000" s="17">
        <v>46068</v>
      </c>
      <c r="H1000" s="169" t="s">
        <v>81</v>
      </c>
      <c r="I1000" s="2">
        <v>250</v>
      </c>
      <c r="J1000" s="20" t="s">
        <v>4661</v>
      </c>
      <c r="K1000" t="s">
        <v>4662</v>
      </c>
      <c r="L1000" s="44" t="str" cm="1">
        <f t="array" ref="L1000">+_xlfn.IFS(COUNTIF(INGRESOS!E:E,Tabla6[[#This Row],[ID FACTURA]])=1,"PAGADA",Tabla6[[#This Row],[ID FACTURA]]&lt;&gt;0,"EMITIDA",Tabla6[[#This Row],[ID FACTURA]]=0,"POR EMITIR")</f>
        <v>PAGADA</v>
      </c>
      <c r="M1000" s="54">
        <f>+IF(Tabla6[[#This Row],[ESTADO FACTURA]]="PAGADA",Tabla6[[#This Row],[FECHA]]-_xlfn.XLOOKUP(Tabla6[[#This Row],[N° FACTURA]],INGRESOS!F:F,INGRESOS!A:A),"-")</f>
        <v>-4</v>
      </c>
      <c r="O1000"/>
    </row>
    <row r="1001" spans="1:15" ht="14.75" customHeight="1">
      <c r="A1001" s="320" t="s">
        <v>4660</v>
      </c>
      <c r="B1001" t="str">
        <f>+_xlfn.XLOOKUP(Tabla6[[#This Row],[ID CLIENTE]],'RESUMEN CLIENTES'!D:D,'RESUMEN CLIENTES'!A:A)</f>
        <v>Edipris Flores</v>
      </c>
      <c r="C1001" s="15" t="str">
        <f>+_xlfn.XLOOKUP(Tabla6[[#This Row],[ID CLIENTE]],'RESUMEN CLIENTES'!D:D,'RESUMEN CLIENTES'!C:C)</f>
        <v>Chile</v>
      </c>
      <c r="D1001" s="169" t="str">
        <f>+_xlfn.XLOOKUP(Tabla6[[#This Row],[ID CLIENTE]],'RESUMEN CLIENTES'!D:D,'RESUMEN CLIENTES'!M:M)</f>
        <v>OK</v>
      </c>
      <c r="E1001" s="71">
        <f>+_xlfn.XLOOKUP(Tabla6[[#This Row],[NOMBRE]],'RESUMEN CLIENTES'!A:A,'RESUMEN CLIENTES'!X:X)</f>
        <v>-4</v>
      </c>
      <c r="F1001" s="71">
        <f>+_xlfn.XLOOKUP(Tabla6[[#This Row],[ID CLIENTE]],'RESUMEN CLIENTES'!D:D,'RESUMEN CLIENTES'!W:W)</f>
        <v>0</v>
      </c>
      <c r="G1001" s="17">
        <v>46068</v>
      </c>
      <c r="H1001" s="169" t="s">
        <v>81</v>
      </c>
      <c r="I1001" s="2">
        <v>750</v>
      </c>
      <c r="J1001" s="20" t="s">
        <v>4663</v>
      </c>
      <c r="K1001" t="s">
        <v>4664</v>
      </c>
      <c r="L1001" s="44" t="str" cm="1">
        <f t="array" ref="L1001">+_xlfn.IFS(COUNTIF(INGRESOS!E:E,Tabla6[[#This Row],[ID FACTURA]])=1,"PAGADA",Tabla6[[#This Row],[ID FACTURA]]&lt;&gt;0,"EMITIDA",Tabla6[[#This Row],[ID FACTURA]]=0,"POR EMITIR")</f>
        <v>PAGADA</v>
      </c>
      <c r="M1001" s="54">
        <f>+IF(Tabla6[[#This Row],[ESTADO FACTURA]]="PAGADA",Tabla6[[#This Row],[FECHA]]-_xlfn.XLOOKUP(Tabla6[[#This Row],[N° FACTURA]],INGRESOS!F:F,INGRESOS!A:A),"-")</f>
        <v>-4</v>
      </c>
      <c r="O1001"/>
    </row>
    <row r="1002" spans="1:15" ht="14.75" customHeight="1">
      <c r="A1002" s="320" t="s">
        <v>95</v>
      </c>
      <c r="B1002" t="str">
        <f>+_xlfn.XLOOKUP(Tabla6[[#This Row],[ID CLIENTE]],'RESUMEN CLIENTES'!D:D,'RESUMEN CLIENTES'!A:A)</f>
        <v>Gabriel Alejandro Ortega Moreno</v>
      </c>
      <c r="C1002" t="str">
        <f>+_xlfn.XLOOKUP(Tabla6[[#This Row],[ID CLIENTE]],'RESUMEN CLIENTES'!D:D,'RESUMEN CLIENTES'!C:C)</f>
        <v>Ecuador</v>
      </c>
      <c r="D1002" s="44" t="str">
        <f>+_xlfn.XLOOKUP(Tabla6[[#This Row],[ID CLIENTE]],'RESUMEN CLIENTES'!D:D,'RESUMEN CLIENTES'!M:M)</f>
        <v>OK</v>
      </c>
      <c r="E1002" s="72">
        <f>+_xlfn.XLOOKUP(Tabla6[[#This Row],[NOMBRE]],'RESUMEN CLIENTES'!A:A,'RESUMEN CLIENTES'!X:X)</f>
        <v>-0.1111111111111111</v>
      </c>
      <c r="F1002" s="72">
        <f>+_xlfn.XLOOKUP(Tabla6[[#This Row],[ID CLIENTE]],'RESUMEN CLIENTES'!D:D,'RESUMEN CLIENTES'!W:W)</f>
        <v>0</v>
      </c>
      <c r="G1002" s="17">
        <v>46068</v>
      </c>
      <c r="H1002" s="44" t="s">
        <v>81</v>
      </c>
      <c r="I1002" s="2">
        <v>200</v>
      </c>
      <c r="J1002" s="20" t="s">
        <v>4535</v>
      </c>
      <c r="K1002" t="s">
        <v>4536</v>
      </c>
      <c r="L1002" s="44" t="str" cm="1">
        <f t="array" ref="L1002">+_xlfn.IFS(COUNTIF(INGRESOS!E:E,Tabla6[[#This Row],[ID FACTURA]])=1,"PAGADA",Tabla6[[#This Row],[ID FACTURA]]&lt;&gt;0,"EMITIDA",Tabla6[[#This Row],[ID FACTURA]]=0,"POR EMITIR")</f>
        <v>PAGADA</v>
      </c>
      <c r="M1002" s="55">
        <f>+IF(Tabla6[[#This Row],[ESTADO FACTURA]]="PAGADA",Tabla6[[#This Row],[FECHA]]-_xlfn.XLOOKUP(Tabla6[[#This Row],[N° FACTURA]],INGRESOS!F:F,INGRESOS!A:A),"-")</f>
        <v>1</v>
      </c>
      <c r="N1002" s="2"/>
      <c r="O1002"/>
    </row>
    <row r="1003" spans="1:15" ht="14.75" customHeight="1">
      <c r="A1003" s="320" t="s">
        <v>98</v>
      </c>
      <c r="B1003" t="str">
        <f>+_xlfn.XLOOKUP(Tabla6[[#This Row],[ID CLIENTE]],'RESUMEN CLIENTES'!D:D,'RESUMEN CLIENTES'!A:A)</f>
        <v>Gabriela Kimberlyn Moran Caiza</v>
      </c>
      <c r="C1003" t="str">
        <f>+_xlfn.XLOOKUP(Tabla6[[#This Row],[ID CLIENTE]],'RESUMEN CLIENTES'!D:D,'RESUMEN CLIENTES'!C:C)</f>
        <v>Ecuador</v>
      </c>
      <c r="D1003" s="44" t="str">
        <f>+_xlfn.XLOOKUP(Tabla6[[#This Row],[ID CLIENTE]],'RESUMEN CLIENTES'!D:D,'RESUMEN CLIENTES'!M:M)</f>
        <v>OK</v>
      </c>
      <c r="E1003" s="72">
        <f>+_xlfn.XLOOKUP(Tabla6[[#This Row],[NOMBRE]],'RESUMEN CLIENTES'!A:A,'RESUMEN CLIENTES'!X:X)</f>
        <v>-1.25</v>
      </c>
      <c r="F1003" s="72">
        <f>+_xlfn.XLOOKUP(Tabla6[[#This Row],[ID CLIENTE]],'RESUMEN CLIENTES'!D:D,'RESUMEN CLIENTES'!W:W)</f>
        <v>0</v>
      </c>
      <c r="G1003" s="17">
        <v>46068</v>
      </c>
      <c r="H1003" s="44" t="s">
        <v>81</v>
      </c>
      <c r="I1003" s="2">
        <v>100</v>
      </c>
      <c r="J1003" s="20" t="s">
        <v>4537</v>
      </c>
      <c r="K1003" t="s">
        <v>4538</v>
      </c>
      <c r="L1003" s="44" t="str" cm="1">
        <f t="array" ref="L1003">+_xlfn.IFS(COUNTIF(INGRESOS!E:E,Tabla6[[#This Row],[ID FACTURA]])=1,"PAGADA",Tabla6[[#This Row],[ID FACTURA]]&lt;&gt;0,"EMITIDA",Tabla6[[#This Row],[ID FACTURA]]=0,"POR EMITIR")</f>
        <v>PAGADA</v>
      </c>
      <c r="M1003" s="55">
        <f>+IF(Tabla6[[#This Row],[ESTADO FACTURA]]="PAGADA",Tabla6[[#This Row],[FECHA]]-_xlfn.XLOOKUP(Tabla6[[#This Row],[N° FACTURA]],INGRESOS!F:F,INGRESOS!A:A),"-")</f>
        <v>0</v>
      </c>
      <c r="N1003" s="2"/>
      <c r="O1003"/>
    </row>
    <row r="1004" spans="1:15" ht="14.75" customHeight="1">
      <c r="A1004" s="320" t="s">
        <v>103</v>
      </c>
      <c r="B1004" t="str">
        <f>+_xlfn.XLOOKUP(Tabla6[[#This Row],[ID CLIENTE]],'RESUMEN CLIENTES'!D:D,'RESUMEN CLIENTES'!A:A)</f>
        <v>Isaac Ricardo Jimenez Campos</v>
      </c>
      <c r="C1004" t="str">
        <f>+_xlfn.XLOOKUP(Tabla6[[#This Row],[ID CLIENTE]],'RESUMEN CLIENTES'!D:D,'RESUMEN CLIENTES'!C:C)</f>
        <v>México</v>
      </c>
      <c r="D1004" s="44" t="str">
        <f>+_xlfn.XLOOKUP(Tabla6[[#This Row],[ID CLIENTE]],'RESUMEN CLIENTES'!D:D,'RESUMEN CLIENTES'!M:M)</f>
        <v>OK</v>
      </c>
      <c r="E1004" s="72">
        <f>+_xlfn.XLOOKUP(Tabla6[[#This Row],[NOMBRE]],'RESUMEN CLIENTES'!A:A,'RESUMEN CLIENTES'!X:X)</f>
        <v>0.5</v>
      </c>
      <c r="F1004" s="72">
        <f>+_xlfn.XLOOKUP(Tabla6[[#This Row],[ID CLIENTE]],'RESUMEN CLIENTES'!D:D,'RESUMEN CLIENTES'!W:W)</f>
        <v>1</v>
      </c>
      <c r="G1004" s="17">
        <v>46068</v>
      </c>
      <c r="H1004" s="44" t="s">
        <v>81</v>
      </c>
      <c r="I1004" s="2">
        <v>654</v>
      </c>
      <c r="J1004" s="20" t="s">
        <v>4545</v>
      </c>
      <c r="K1004" t="s">
        <v>4546</v>
      </c>
      <c r="L1004" s="44" t="str" cm="1">
        <f t="array" ref="L1004">+_xlfn.IFS(COUNTIF(INGRESOS!E:E,Tabla6[[#This Row],[ID FACTURA]])=1,"PAGADA",Tabla6[[#This Row],[ID FACTURA]]&lt;&gt;0,"EMITIDA",Tabla6[[#This Row],[ID FACTURA]]=0,"POR EMITIR")</f>
        <v>PAGADA</v>
      </c>
      <c r="M1004" s="55">
        <f>+IF(Tabla6[[#This Row],[ESTADO FACTURA]]="PAGADA",Tabla6[[#This Row],[FECHA]]-_xlfn.XLOOKUP(Tabla6[[#This Row],[N° FACTURA]],INGRESOS!F:F,INGRESOS!A:A),"-")</f>
        <v>4</v>
      </c>
      <c r="N1004" s="2"/>
      <c r="O1004"/>
    </row>
    <row r="1005" spans="1:15" ht="14.75" customHeight="1">
      <c r="A1005" s="320" t="s">
        <v>362</v>
      </c>
      <c r="B1005" t="str">
        <f>+_xlfn.XLOOKUP(Tabla6[[#This Row],[ID CLIENTE]],'RESUMEN CLIENTES'!D:D,'RESUMEN CLIENTES'!A:A)</f>
        <v>Jessica Ayelén Culla Alvarez</v>
      </c>
      <c r="C1005" t="str">
        <f>+_xlfn.XLOOKUP(Tabla6[[#This Row],[ID CLIENTE]],'RESUMEN CLIENTES'!D:D,'RESUMEN CLIENTES'!C:C)</f>
        <v>Argentina</v>
      </c>
      <c r="D1005" s="44" t="str">
        <f>+_xlfn.XLOOKUP(Tabla6[[#This Row],[ID CLIENTE]],'RESUMEN CLIENTES'!D:D,'RESUMEN CLIENTES'!M:M)</f>
        <v>OK</v>
      </c>
      <c r="E1005" s="72">
        <f>+_xlfn.XLOOKUP(Tabla6[[#This Row],[NOMBRE]],'RESUMEN CLIENTES'!A:A,'RESUMEN CLIENTES'!X:X)</f>
        <v>-2.1538461538461537</v>
      </c>
      <c r="F1005" s="72">
        <f>+_xlfn.XLOOKUP(Tabla6[[#This Row],[ID CLIENTE]],'RESUMEN CLIENTES'!D:D,'RESUMEN CLIENTES'!W:W)</f>
        <v>1</v>
      </c>
      <c r="G1005" s="17">
        <v>46068</v>
      </c>
      <c r="H1005" s="44" t="s">
        <v>81</v>
      </c>
      <c r="I1005" s="2">
        <v>1000</v>
      </c>
      <c r="J1005" s="20" t="s">
        <v>4547</v>
      </c>
      <c r="K1005" t="s">
        <v>4548</v>
      </c>
      <c r="L1005" s="44" t="str" cm="1">
        <f t="array" ref="L1005">+_xlfn.IFS(COUNTIF(INGRESOS!E:E,Tabla6[[#This Row],[ID FACTURA]])=1,"PAGADA",Tabla6[[#This Row],[ID FACTURA]]&lt;&gt;0,"EMITIDA",Tabla6[[#This Row],[ID FACTURA]]=0,"POR EMITIR")</f>
        <v>PAGADA</v>
      </c>
      <c r="M1005" s="55">
        <f>+IF(Tabla6[[#This Row],[ESTADO FACTURA]]="PAGADA",Tabla6[[#This Row],[FECHA]]-_xlfn.XLOOKUP(Tabla6[[#This Row],[N° FACTURA]],INGRESOS!F:F,INGRESOS!A:A),"-")</f>
        <v>-1</v>
      </c>
      <c r="N1005" s="2"/>
      <c r="O1005"/>
    </row>
    <row r="1006" spans="1:15" ht="14.75" customHeight="1">
      <c r="A1006" s="320" t="s">
        <v>670</v>
      </c>
      <c r="B1006" t="str">
        <f>+_xlfn.XLOOKUP(Tabla6[[#This Row],[ID CLIENTE]],'RESUMEN CLIENTES'!D:D,'RESUMEN CLIENTES'!A:A)</f>
        <v>Jonathan Christian Cardenas Peña</v>
      </c>
      <c r="C1006" t="str">
        <f>+_xlfn.XLOOKUP(Tabla6[[#This Row],[ID CLIENTE]],'RESUMEN CLIENTES'!D:D,'RESUMEN CLIENTES'!C:C)</f>
        <v>Ecuador</v>
      </c>
      <c r="D1006" s="44" t="str">
        <f>+_xlfn.XLOOKUP(Tabla6[[#This Row],[ID CLIENTE]],'RESUMEN CLIENTES'!D:D,'RESUMEN CLIENTES'!M:M)</f>
        <v>OK</v>
      </c>
      <c r="E1006" s="72">
        <f>+_xlfn.XLOOKUP(Tabla6[[#This Row],[NOMBRE]],'RESUMEN CLIENTES'!A:A,'RESUMEN CLIENTES'!X:X)</f>
        <v>0.33333333333333331</v>
      </c>
      <c r="F1006" s="72">
        <f>+_xlfn.XLOOKUP(Tabla6[[#This Row],[ID CLIENTE]],'RESUMEN CLIENTES'!D:D,'RESUMEN CLIENTES'!W:W)</f>
        <v>0</v>
      </c>
      <c r="G1006" s="17">
        <v>46068</v>
      </c>
      <c r="H1006" s="44" t="s">
        <v>81</v>
      </c>
      <c r="I1006" s="2">
        <v>4000</v>
      </c>
      <c r="J1006" s="20" t="s">
        <v>4539</v>
      </c>
      <c r="K1006" t="s">
        <v>4540</v>
      </c>
      <c r="L1006" s="44" t="str" cm="1">
        <f t="array" ref="L1006">+_xlfn.IFS(COUNTIF(INGRESOS!E:E,Tabla6[[#This Row],[ID FACTURA]])=1,"PAGADA",Tabla6[[#This Row],[ID FACTURA]]&lt;&gt;0,"EMITIDA",Tabla6[[#This Row],[ID FACTURA]]=0,"POR EMITIR")</f>
        <v>PAGADA</v>
      </c>
      <c r="M1006" s="55">
        <f>+IF(Tabla6[[#This Row],[ESTADO FACTURA]]="PAGADA",Tabla6[[#This Row],[FECHA]]-_xlfn.XLOOKUP(Tabla6[[#This Row],[N° FACTURA]],INGRESOS!F:F,INGRESOS!A:A),"-")</f>
        <v>-1</v>
      </c>
      <c r="N1006" s="2"/>
      <c r="O1006"/>
    </row>
    <row r="1007" spans="1:15" ht="14.75" customHeight="1">
      <c r="A1007" s="321" t="s">
        <v>1875</v>
      </c>
      <c r="B1007" t="str">
        <f>+_xlfn.XLOOKUP(Tabla6[[#This Row],[ID CLIENTE]],'RESUMEN CLIENTES'!D:D,'RESUMEN CLIENTES'!A:A)</f>
        <v>Laura Giraldo</v>
      </c>
      <c r="C1007" t="str">
        <f>+_xlfn.XLOOKUP(Tabla6[[#This Row],[ID CLIENTE]],'RESUMEN CLIENTES'!D:D,'RESUMEN CLIENTES'!C:C)</f>
        <v>Colombia</v>
      </c>
      <c r="D1007" s="169" t="str">
        <f>+_xlfn.XLOOKUP(Tabla6[[#This Row],[ID CLIENTE]],'RESUMEN CLIENTES'!D:D,'RESUMEN CLIENTES'!M:M)</f>
        <v>OK</v>
      </c>
      <c r="E1007" s="71">
        <f>+_xlfn.XLOOKUP(Tabla6[[#This Row],[NOMBRE]],'RESUMEN CLIENTES'!A:A,'RESUMEN CLIENTES'!X:X)</f>
        <v>-3.25</v>
      </c>
      <c r="F1007" s="71">
        <f>+_xlfn.XLOOKUP(Tabla6[[#This Row],[ID CLIENTE]],'RESUMEN CLIENTES'!D:D,'RESUMEN CLIENTES'!W:W)</f>
        <v>1</v>
      </c>
      <c r="G1007" s="17">
        <v>46068</v>
      </c>
      <c r="H1007" s="169" t="s">
        <v>1876</v>
      </c>
      <c r="I1007" s="2">
        <v>500</v>
      </c>
      <c r="J1007" s="20" t="s">
        <v>4549</v>
      </c>
      <c r="K1007" t="s">
        <v>4550</v>
      </c>
      <c r="L1007" s="44" t="str" cm="1">
        <f t="array" ref="L1007">+_xlfn.IFS(COUNTIF(INGRESOS!E:E,Tabla6[[#This Row],[ID FACTURA]])=1,"PAGADA",Tabla6[[#This Row],[ID FACTURA]]&lt;&gt;0,"EMITIDA",Tabla6[[#This Row],[ID FACTURA]]=0,"POR EMITIR")</f>
        <v>PAGADA</v>
      </c>
      <c r="M1007" s="54">
        <f>+IF(Tabla6[[#This Row],[ESTADO FACTURA]]="PAGADA",Tabla6[[#This Row],[FECHA]]-_xlfn.XLOOKUP(Tabla6[[#This Row],[N° FACTURA]],INGRESOS!F:F,INGRESOS!A:A),"-")</f>
        <v>1</v>
      </c>
      <c r="O1007"/>
    </row>
    <row r="1008" spans="1:15" ht="14.75" customHeight="1">
      <c r="A1008" s="320" t="s">
        <v>762</v>
      </c>
      <c r="B1008" t="str">
        <f>+_xlfn.XLOOKUP(Tabla6[[#This Row],[ID CLIENTE]],'RESUMEN CLIENTES'!D:D,'RESUMEN CLIENTES'!A:A)</f>
        <v>María Stefania Gelvez Olaya</v>
      </c>
      <c r="C1008" t="str">
        <f>+_xlfn.XLOOKUP(Tabla6[[#This Row],[ID CLIENTE]],'RESUMEN CLIENTES'!D:D,'RESUMEN CLIENTES'!C:C)</f>
        <v>Colombia</v>
      </c>
      <c r="D1008" s="44" t="str">
        <f>+_xlfn.XLOOKUP(Tabla6[[#This Row],[ID CLIENTE]],'RESUMEN CLIENTES'!D:D,'RESUMEN CLIENTES'!M:M)</f>
        <v>OK</v>
      </c>
      <c r="E1008" s="72">
        <f>+_xlfn.XLOOKUP(Tabla6[[#This Row],[NOMBRE]],'RESUMEN CLIENTES'!A:A,'RESUMEN CLIENTES'!X:X)</f>
        <v>-0.14285714285714285</v>
      </c>
      <c r="F1008" s="72">
        <f>+_xlfn.XLOOKUP(Tabla6[[#This Row],[ID CLIENTE]],'RESUMEN CLIENTES'!D:D,'RESUMEN CLIENTES'!W:W)</f>
        <v>1</v>
      </c>
      <c r="G1008" s="17">
        <v>46068</v>
      </c>
      <c r="H1008" s="44" t="s">
        <v>81</v>
      </c>
      <c r="I1008" s="2">
        <v>1000</v>
      </c>
      <c r="J1008" s="20" t="s">
        <v>4580</v>
      </c>
      <c r="K1008" t="s">
        <v>4581</v>
      </c>
      <c r="L1008" s="44" t="str" cm="1">
        <f t="array" ref="L1008">+_xlfn.IFS(COUNTIF(INGRESOS!E:E,Tabla6[[#This Row],[ID FACTURA]])=1,"PAGADA",Tabla6[[#This Row],[ID FACTURA]]&lt;&gt;0,"EMITIDA",Tabla6[[#This Row],[ID FACTURA]]=0,"POR EMITIR")</f>
        <v>PAGADA</v>
      </c>
      <c r="M1008" s="55">
        <f>+IF(Tabla6[[#This Row],[ESTADO FACTURA]]="PAGADA",Tabla6[[#This Row],[FECHA]]-_xlfn.XLOOKUP(Tabla6[[#This Row],[N° FACTURA]],INGRESOS!F:F,INGRESOS!A:A),"-")</f>
        <v>-1</v>
      </c>
      <c r="N1008" s="2"/>
      <c r="O1008"/>
    </row>
    <row r="1009" spans="1:15" ht="14.75" customHeight="1">
      <c r="A1009" s="320" t="s">
        <v>242</v>
      </c>
      <c r="B1009" t="str">
        <f>+_xlfn.XLOOKUP(Tabla6[[#This Row],[ID CLIENTE]],'RESUMEN CLIENTES'!D:D,'RESUMEN CLIENTES'!A:A)</f>
        <v>Rodrigo Ignacio Rodriguez Frutos</v>
      </c>
      <c r="C1009" t="str">
        <f>+_xlfn.XLOOKUP(Tabla6[[#This Row],[ID CLIENTE]],'RESUMEN CLIENTES'!D:D,'RESUMEN CLIENTES'!C:C)</f>
        <v>México</v>
      </c>
      <c r="D1009" s="44" t="str">
        <f>+_xlfn.XLOOKUP(Tabla6[[#This Row],[ID CLIENTE]],'RESUMEN CLIENTES'!D:D,'RESUMEN CLIENTES'!M:M)</f>
        <v>OK</v>
      </c>
      <c r="E1009" s="72">
        <f>+_xlfn.XLOOKUP(Tabla6[[#This Row],[NOMBRE]],'RESUMEN CLIENTES'!A:A,'RESUMEN CLIENTES'!X:X)</f>
        <v>-1.4285714285714286</v>
      </c>
      <c r="F1009" s="72">
        <f>+_xlfn.XLOOKUP(Tabla6[[#This Row],[ID CLIENTE]],'RESUMEN CLIENTES'!D:D,'RESUMEN CLIENTES'!W:W)</f>
        <v>1</v>
      </c>
      <c r="G1009" s="17">
        <v>46068</v>
      </c>
      <c r="H1009" s="44" t="s">
        <v>81</v>
      </c>
      <c r="I1009" s="2">
        <v>630</v>
      </c>
      <c r="J1009" s="20" t="s">
        <v>4551</v>
      </c>
      <c r="K1009" t="s">
        <v>4552</v>
      </c>
      <c r="L1009" s="44" t="str" cm="1">
        <f t="array" ref="L1009">+_xlfn.IFS(COUNTIF(INGRESOS!E:E,Tabla6[[#This Row],[ID FACTURA]])=1,"PAGADA",Tabla6[[#This Row],[ID FACTURA]]&lt;&gt;0,"EMITIDA",Tabla6[[#This Row],[ID FACTURA]]=0,"POR EMITIR")</f>
        <v>PAGADA</v>
      </c>
      <c r="M1009" s="55">
        <f>+IF(Tabla6[[#This Row],[ESTADO FACTURA]]="PAGADA",Tabla6[[#This Row],[FECHA]]-_xlfn.XLOOKUP(Tabla6[[#This Row],[N° FACTURA]],INGRESOS!F:F,INGRESOS!A:A),"-")</f>
        <v>-1</v>
      </c>
      <c r="N1009" s="2"/>
      <c r="O1009"/>
    </row>
    <row r="1010" spans="1:15" ht="14.75" customHeight="1">
      <c r="A1010" s="321" t="s">
        <v>1756</v>
      </c>
      <c r="B1010" t="str">
        <f>+_xlfn.XLOOKUP(Tabla6[[#This Row],[ID CLIENTE]],'RESUMEN CLIENTES'!D:D,'RESUMEN CLIENTES'!A:A)</f>
        <v>Aylin Micaela Ortiz Chiriboga</v>
      </c>
      <c r="C1010" t="str">
        <f>+_xlfn.XLOOKUP(Tabla6[[#This Row],[ID CLIENTE]],'RESUMEN CLIENTES'!D:D,'RESUMEN CLIENTES'!C:C)</f>
        <v>Ecuador</v>
      </c>
      <c r="D1010" s="169" t="str">
        <f>+_xlfn.XLOOKUP(Tabla6[[#This Row],[ID CLIENTE]],'RESUMEN CLIENTES'!D:D,'RESUMEN CLIENTES'!M:M)</f>
        <v>¡REGULARIZAR!</v>
      </c>
      <c r="E1010" s="71">
        <f>+_xlfn.XLOOKUP(Tabla6[[#This Row],[NOMBRE]],'RESUMEN CLIENTES'!A:A,'RESUMEN CLIENTES'!X:X)</f>
        <v>0</v>
      </c>
      <c r="F1010" s="71">
        <f>+_xlfn.XLOOKUP(Tabla6[[#This Row],[ID CLIENTE]],'RESUMEN CLIENTES'!D:D,'RESUMEN CLIENTES'!W:W)</f>
        <v>1</v>
      </c>
      <c r="G1010" s="170">
        <v>46069</v>
      </c>
      <c r="H1010" s="169" t="s">
        <v>81</v>
      </c>
      <c r="I1010" s="2">
        <v>2750</v>
      </c>
      <c r="J1010" t="s">
        <v>4553</v>
      </c>
      <c r="K1010" t="s">
        <v>4554</v>
      </c>
      <c r="L1010" s="44" t="str" cm="1">
        <f t="array" ref="L1010">+_xlfn.IFS(COUNTIF(INGRESOS!E:E,Tabla6[[#This Row],[ID FACTURA]])=1,"PAGADA",Tabla6[[#This Row],[ID FACTURA]]&lt;&gt;0,"EMITIDA",Tabla6[[#This Row],[ID FACTURA]]=0,"POR EMITIR")</f>
        <v>EMITIDA</v>
      </c>
      <c r="M1010" s="54" t="str">
        <f>+IF(Tabla6[[#This Row],[ESTADO FACTURA]]="PAGADA",Tabla6[[#This Row],[FECHA]]-_xlfn.XLOOKUP(Tabla6[[#This Row],[N° FACTURA]],INGRESOS!F:F,INGRESOS!A:A),"-")</f>
        <v>-</v>
      </c>
      <c r="O1010" t="s">
        <v>4555</v>
      </c>
    </row>
    <row r="1011" spans="1:15" ht="14.75" customHeight="1">
      <c r="A1011" s="320" t="s">
        <v>4768</v>
      </c>
      <c r="B1011" t="str">
        <f>+_xlfn.XLOOKUP(Tabla6[[#This Row],[ID CLIENTE]],'RESUMEN CLIENTES'!D:D,'RESUMEN CLIENTES'!A:A)</f>
        <v>Carla Elena Patínez Rondón</v>
      </c>
      <c r="C1011" s="15" t="str">
        <f>+_xlfn.XLOOKUP(Tabla6[[#This Row],[ID CLIENTE]],'RESUMEN CLIENTES'!D:D,'RESUMEN CLIENTES'!C:C)</f>
        <v>Venezuela</v>
      </c>
      <c r="D1011" s="169" t="str">
        <f>+_xlfn.XLOOKUP(Tabla6[[#This Row],[ID CLIENTE]],'RESUMEN CLIENTES'!D:D,'RESUMEN CLIENTES'!M:M)</f>
        <v>OK</v>
      </c>
      <c r="E1011" s="71">
        <f>+_xlfn.XLOOKUP(Tabla6[[#This Row],[NOMBRE]],'RESUMEN CLIENTES'!A:A,'RESUMEN CLIENTES'!X:X)</f>
        <v>-9</v>
      </c>
      <c r="F1011" s="71">
        <f>+_xlfn.XLOOKUP(Tabla6[[#This Row],[ID CLIENTE]],'RESUMEN CLIENTES'!D:D,'RESUMEN CLIENTES'!W:W)</f>
        <v>0</v>
      </c>
      <c r="G1011" s="17">
        <v>46069</v>
      </c>
      <c r="H1011" s="169" t="s">
        <v>81</v>
      </c>
      <c r="I1011" s="2">
        <v>250</v>
      </c>
      <c r="J1011" s="20" t="s">
        <v>4769</v>
      </c>
      <c r="K1011" t="s">
        <v>4770</v>
      </c>
      <c r="L1011" s="44" t="str" cm="1">
        <f t="array" ref="L1011">+_xlfn.IFS(COUNTIF(INGRESOS!E:E,Tabla6[[#This Row],[ID FACTURA]])=1,"PAGADA",Tabla6[[#This Row],[ID FACTURA]]&lt;&gt;0,"EMITIDA",Tabla6[[#This Row],[ID FACTURA]]=0,"POR EMITIR")</f>
        <v>PAGADA</v>
      </c>
      <c r="M1011" s="54">
        <f>+IF(Tabla6[[#This Row],[ESTADO FACTURA]]="PAGADA",Tabla6[[#This Row],[FECHA]]-_xlfn.XLOOKUP(Tabla6[[#This Row],[N° FACTURA]],INGRESOS!F:F,INGRESOS!A:A),"-")</f>
        <v>-9</v>
      </c>
      <c r="O1011"/>
    </row>
    <row r="1012" spans="1:15" ht="14.75" customHeight="1">
      <c r="A1012" s="320" t="s">
        <v>1996</v>
      </c>
      <c r="B1012" t="str">
        <f>+_xlfn.XLOOKUP(Tabla6[[#This Row],[ID CLIENTE]],'RESUMEN CLIENTES'!D:D,'RESUMEN CLIENTES'!A:A)</f>
        <v>Ivan Gonzales Graus</v>
      </c>
      <c r="C1012" t="str">
        <f>+_xlfn.XLOOKUP(Tabla6[[#This Row],[ID CLIENTE]],'RESUMEN CLIENTES'!D:D,'RESUMEN CLIENTES'!C:C)</f>
        <v>Perú</v>
      </c>
      <c r="D1012" s="169" t="str">
        <f>+_xlfn.XLOOKUP(Tabla6[[#This Row],[ID CLIENTE]],'RESUMEN CLIENTES'!D:D,'RESUMEN CLIENTES'!M:M)</f>
        <v>OK</v>
      </c>
      <c r="E1012" s="71">
        <f>+_xlfn.XLOOKUP(Tabla6[[#This Row],[NOMBRE]],'RESUMEN CLIENTES'!A:A,'RESUMEN CLIENTES'!X:X)</f>
        <v>-2</v>
      </c>
      <c r="F1012" s="71">
        <f>+_xlfn.XLOOKUP(Tabla6[[#This Row],[ID CLIENTE]],'RESUMEN CLIENTES'!D:D,'RESUMEN CLIENTES'!W:W)</f>
        <v>1</v>
      </c>
      <c r="G1012" s="17">
        <v>46069</v>
      </c>
      <c r="H1012" s="169" t="s">
        <v>81</v>
      </c>
      <c r="I1012" s="2">
        <v>650</v>
      </c>
      <c r="J1012" s="20" t="s">
        <v>4556</v>
      </c>
      <c r="K1012" t="s">
        <v>4557</v>
      </c>
      <c r="L1012" s="44" t="str" cm="1">
        <f t="array" ref="L1012">+_xlfn.IFS(COUNTIF(INGRESOS!E:E,Tabla6[[#This Row],[ID FACTURA]])=1,"PAGADA",Tabla6[[#This Row],[ID FACTURA]]&lt;&gt;0,"EMITIDA",Tabla6[[#This Row],[ID FACTURA]]=0,"POR EMITIR")</f>
        <v>PAGADA</v>
      </c>
      <c r="M1012" s="54">
        <f>+IF(Tabla6[[#This Row],[ESTADO FACTURA]]="PAGADA",Tabla6[[#This Row],[FECHA]]-_xlfn.XLOOKUP(Tabla6[[#This Row],[N° FACTURA]],INGRESOS!F:F,INGRESOS!A:A),"-")</f>
        <v>-1</v>
      </c>
      <c r="O1012"/>
    </row>
    <row r="1013" spans="1:15" ht="14.75" customHeight="1">
      <c r="A1013" s="320" t="s">
        <v>2046</v>
      </c>
      <c r="B1013" t="str">
        <f>+_xlfn.XLOOKUP(Tabla6[[#This Row],[ID CLIENTE]],'RESUMEN CLIENTES'!D:D,'RESUMEN CLIENTES'!A:A)</f>
        <v>Jesica Daniela Paredes Mendoza</v>
      </c>
      <c r="C1013" t="str">
        <f>+_xlfn.XLOOKUP(Tabla6[[#This Row],[ID CLIENTE]],'RESUMEN CLIENTES'!D:D,'RESUMEN CLIENTES'!C:C)</f>
        <v>México</v>
      </c>
      <c r="D1013" s="169" t="str">
        <f>+_xlfn.XLOOKUP(Tabla6[[#This Row],[ID CLIENTE]],'RESUMEN CLIENTES'!D:D,'RESUMEN CLIENTES'!M:M)</f>
        <v>OK</v>
      </c>
      <c r="E1013" s="71">
        <f>+_xlfn.XLOOKUP(Tabla6[[#This Row],[NOMBRE]],'RESUMEN CLIENTES'!A:A,'RESUMEN CLIENTES'!X:X)</f>
        <v>-2.75</v>
      </c>
      <c r="F1013" s="71">
        <f>+_xlfn.XLOOKUP(Tabla6[[#This Row],[ID CLIENTE]],'RESUMEN CLIENTES'!D:D,'RESUMEN CLIENTES'!W:W)</f>
        <v>1</v>
      </c>
      <c r="G1013" s="17">
        <v>46069</v>
      </c>
      <c r="H1013" s="169" t="s">
        <v>81</v>
      </c>
      <c r="I1013" s="2">
        <v>200</v>
      </c>
      <c r="J1013" s="20" t="s">
        <v>4636</v>
      </c>
      <c r="K1013" t="s">
        <v>4637</v>
      </c>
      <c r="L1013" s="44" t="str" cm="1">
        <f t="array" ref="L1013">+_xlfn.IFS(COUNTIF(INGRESOS!E:E,Tabla6[[#This Row],[ID FACTURA]])=1,"PAGADA",Tabla6[[#This Row],[ID FACTURA]]&lt;&gt;0,"EMITIDA",Tabla6[[#This Row],[ID FACTURA]]=0,"POR EMITIR")</f>
        <v>PAGADA</v>
      </c>
      <c r="M1013" s="54">
        <f>+IF(Tabla6[[#This Row],[ESTADO FACTURA]]="PAGADA",Tabla6[[#This Row],[FECHA]]-_xlfn.XLOOKUP(Tabla6[[#This Row],[N° FACTURA]],INGRESOS!F:F,INGRESOS!A:A),"-")</f>
        <v>-1</v>
      </c>
      <c r="O1013"/>
    </row>
    <row r="1014" spans="1:15" ht="14.75" customHeight="1">
      <c r="A1014" s="320" t="s">
        <v>247</v>
      </c>
      <c r="B1014" t="str">
        <f>+_xlfn.XLOOKUP(Tabla6[[#This Row],[ID CLIENTE]],'RESUMEN CLIENTES'!D:D,'RESUMEN CLIENTES'!A:A)</f>
        <v>Nancy Gisselle Molinari Cheme</v>
      </c>
      <c r="C1014" t="str">
        <f>+_xlfn.XLOOKUP(Tabla6[[#This Row],[ID CLIENTE]],'RESUMEN CLIENTES'!D:D,'RESUMEN CLIENTES'!C:C)</f>
        <v>Perú</v>
      </c>
      <c r="D1014" s="44" t="str">
        <f>+_xlfn.XLOOKUP(Tabla6[[#This Row],[ID CLIENTE]],'RESUMEN CLIENTES'!D:D,'RESUMEN CLIENTES'!M:M)</f>
        <v>OK</v>
      </c>
      <c r="E1014" s="72">
        <f>+_xlfn.XLOOKUP(Tabla6[[#This Row],[NOMBRE]],'RESUMEN CLIENTES'!A:A,'RESUMEN CLIENTES'!X:X)</f>
        <v>0.9</v>
      </c>
      <c r="F1014" s="72">
        <f>+_xlfn.XLOOKUP(Tabla6[[#This Row],[ID CLIENTE]],'RESUMEN CLIENTES'!D:D,'RESUMEN CLIENTES'!W:W)</f>
        <v>1</v>
      </c>
      <c r="G1014" s="17">
        <v>46071</v>
      </c>
      <c r="H1014" s="44" t="s">
        <v>81</v>
      </c>
      <c r="I1014" s="2">
        <v>1000</v>
      </c>
      <c r="J1014" s="20" t="s">
        <v>4575</v>
      </c>
      <c r="K1014" t="s">
        <v>4576</v>
      </c>
      <c r="L1014" s="44" t="str" cm="1">
        <f t="array" ref="L1014">+_xlfn.IFS(COUNTIF(INGRESOS!E:E,Tabla6[[#This Row],[ID FACTURA]])=1,"PAGADA",Tabla6[[#This Row],[ID FACTURA]]&lt;&gt;0,"EMITIDA",Tabla6[[#This Row],[ID FACTURA]]=0,"POR EMITIR")</f>
        <v>PAGADA</v>
      </c>
      <c r="M1014" s="55">
        <f>+IF(Tabla6[[#This Row],[ESTADO FACTURA]]="PAGADA",Tabla6[[#This Row],[FECHA]]-_xlfn.XLOOKUP(Tabla6[[#This Row],[N° FACTURA]],INGRESOS!F:F,INGRESOS!A:A),"-")</f>
        <v>1</v>
      </c>
      <c r="N1014" s="2"/>
      <c r="O1014"/>
    </row>
    <row r="1015" spans="1:15" ht="14.75" customHeight="1">
      <c r="A1015" s="320" t="s">
        <v>1001</v>
      </c>
      <c r="B1015" t="str">
        <f>+_xlfn.XLOOKUP(Tabla6[[#This Row],[ID CLIENTE]],'RESUMEN CLIENTES'!D:D,'RESUMEN CLIENTES'!A:A)</f>
        <v>Karenn Yadira Tavera Lara</v>
      </c>
      <c r="C1015" t="str">
        <f>+_xlfn.XLOOKUP(Tabla6[[#This Row],[ID CLIENTE]],'RESUMEN CLIENTES'!D:D,'RESUMEN CLIENTES'!C:C)</f>
        <v>México</v>
      </c>
      <c r="D1015" s="44" t="str">
        <f>+_xlfn.XLOOKUP(Tabla6[[#This Row],[ID CLIENTE]],'RESUMEN CLIENTES'!D:D,'RESUMEN CLIENTES'!M:M)</f>
        <v>OK</v>
      </c>
      <c r="E1015" s="72">
        <f>+_xlfn.XLOOKUP(Tabla6[[#This Row],[NOMBRE]],'RESUMEN CLIENTES'!A:A,'RESUMEN CLIENTES'!X:X)</f>
        <v>1.5</v>
      </c>
      <c r="F1015" s="72">
        <f>+_xlfn.XLOOKUP(Tabla6[[#This Row],[ID CLIENTE]],'RESUMEN CLIENTES'!D:D,'RESUMEN CLIENTES'!W:W)</f>
        <v>1</v>
      </c>
      <c r="G1015" s="17">
        <v>46072</v>
      </c>
      <c r="H1015" s="44" t="s">
        <v>81</v>
      </c>
      <c r="I1015" s="2">
        <v>1000</v>
      </c>
      <c r="J1015" s="20" t="s">
        <v>4578</v>
      </c>
      <c r="K1015" t="s">
        <v>4579</v>
      </c>
      <c r="L1015" s="44" t="str" cm="1">
        <f t="array" ref="L1015">+_xlfn.IFS(COUNTIF(INGRESOS!E:E,Tabla6[[#This Row],[ID FACTURA]])=1,"PAGADA",Tabla6[[#This Row],[ID FACTURA]]&lt;&gt;0,"EMITIDA",Tabla6[[#This Row],[ID FACTURA]]=0,"POR EMITIR")</f>
        <v>PAGADA</v>
      </c>
      <c r="M1015" s="55">
        <f>+IF(Tabla6[[#This Row],[ESTADO FACTURA]]="PAGADA",Tabla6[[#This Row],[FECHA]]-_xlfn.XLOOKUP(Tabla6[[#This Row],[N° FACTURA]],INGRESOS!F:F,INGRESOS!A:A),"-")</f>
        <v>3</v>
      </c>
      <c r="N1015" s="2"/>
      <c r="O1015"/>
    </row>
    <row r="1016" spans="1:15" ht="14.75" customHeight="1">
      <c r="A1016" s="320" t="s">
        <v>574</v>
      </c>
      <c r="B1016" t="str">
        <f>+_xlfn.XLOOKUP(Tabla6[[#This Row],[ID CLIENTE]],'RESUMEN CLIENTES'!D:D,'RESUMEN CLIENTES'!A:A)</f>
        <v>Astrid Mariam Enamorado Ortega</v>
      </c>
      <c r="C1016" t="str">
        <f>+_xlfn.XLOOKUP(Tabla6[[#This Row],[ID CLIENTE]],'RESUMEN CLIENTES'!D:D,'RESUMEN CLIENTES'!C:C)</f>
        <v>Honduras</v>
      </c>
      <c r="D1016" s="44" t="str">
        <f>+_xlfn.XLOOKUP(Tabla6[[#This Row],[ID CLIENTE]],'RESUMEN CLIENTES'!D:D,'RESUMEN CLIENTES'!M:M)</f>
        <v>OK</v>
      </c>
      <c r="E1016" s="72">
        <f>+_xlfn.XLOOKUP(Tabla6[[#This Row],[NOMBRE]],'RESUMEN CLIENTES'!A:A,'RESUMEN CLIENTES'!X:X)</f>
        <v>-1.75</v>
      </c>
      <c r="F1016" s="72">
        <f>+_xlfn.XLOOKUP(Tabla6[[#This Row],[ID CLIENTE]],'RESUMEN CLIENTES'!D:D,'RESUMEN CLIENTES'!W:W)</f>
        <v>0</v>
      </c>
      <c r="G1016" s="17">
        <v>46073</v>
      </c>
      <c r="H1016" s="44" t="s">
        <v>81</v>
      </c>
      <c r="I1016" s="2">
        <v>1060</v>
      </c>
      <c r="J1016" s="20" t="s">
        <v>4625</v>
      </c>
      <c r="K1016" t="s">
        <v>4626</v>
      </c>
      <c r="L1016" s="44" t="str" cm="1">
        <f t="array" ref="L1016">+_xlfn.IFS(COUNTIF(INGRESOS!E:E,Tabla6[[#This Row],[ID FACTURA]])=1,"PAGADA",Tabla6[[#This Row],[ID FACTURA]]&lt;&gt;0,"EMITIDA",Tabla6[[#This Row],[ID FACTURA]]=0,"POR EMITIR")</f>
        <v>PAGADA</v>
      </c>
      <c r="M1016" s="55">
        <f>+IF(Tabla6[[#This Row],[ESTADO FACTURA]]="PAGADA",Tabla6[[#This Row],[FECHA]]-_xlfn.XLOOKUP(Tabla6[[#This Row],[N° FACTURA]],INGRESOS!F:F,INGRESOS!A:A),"-")</f>
        <v>-1</v>
      </c>
      <c r="N1016" s="2"/>
      <c r="O1016"/>
    </row>
    <row r="1017" spans="1:15" ht="14.75" customHeight="1">
      <c r="A1017" s="320" t="s">
        <v>4768</v>
      </c>
      <c r="B1017" t="str">
        <f>+_xlfn.XLOOKUP(Tabla6[[#This Row],[ID CLIENTE]],'RESUMEN CLIENTES'!D:D,'RESUMEN CLIENTES'!A:A)</f>
        <v>Carla Elena Patínez Rondón</v>
      </c>
      <c r="C1017" s="15" t="str">
        <f>+_xlfn.XLOOKUP(Tabla6[[#This Row],[ID CLIENTE]],'RESUMEN CLIENTES'!D:D,'RESUMEN CLIENTES'!C:C)</f>
        <v>Venezuela</v>
      </c>
      <c r="D1017" s="169" t="str">
        <f>+_xlfn.XLOOKUP(Tabla6[[#This Row],[ID CLIENTE]],'RESUMEN CLIENTES'!D:D,'RESUMEN CLIENTES'!M:M)</f>
        <v>OK</v>
      </c>
      <c r="E1017" s="71">
        <f>+_xlfn.XLOOKUP(Tabla6[[#This Row],[NOMBRE]],'RESUMEN CLIENTES'!A:A,'RESUMEN CLIENTES'!X:X)</f>
        <v>-9</v>
      </c>
      <c r="F1017" s="71">
        <f>+_xlfn.XLOOKUP(Tabla6[[#This Row],[ID CLIENTE]],'RESUMEN CLIENTES'!D:D,'RESUMEN CLIENTES'!W:W)</f>
        <v>0</v>
      </c>
      <c r="G1017" s="17">
        <v>46073</v>
      </c>
      <c r="H1017" s="169" t="s">
        <v>81</v>
      </c>
      <c r="I1017" s="2">
        <v>1750</v>
      </c>
      <c r="J1017" t="s">
        <v>4772</v>
      </c>
      <c r="K1017" t="s">
        <v>4773</v>
      </c>
      <c r="L1017" s="44" t="str" cm="1">
        <f t="array" ref="L1017">+_xlfn.IFS(COUNTIF(INGRESOS!E:E,Tabla6[[#This Row],[ID FACTURA]])=1,"PAGADA",Tabla6[[#This Row],[ID FACTURA]]&lt;&gt;0,"EMITIDA",Tabla6[[#This Row],[ID FACTURA]]=0,"POR EMITIR")</f>
        <v>EMITIDA</v>
      </c>
      <c r="M1017" s="54" t="str">
        <f>+IF(Tabla6[[#This Row],[ESTADO FACTURA]]="PAGADA",Tabla6[[#This Row],[FECHA]]-_xlfn.XLOOKUP(Tabla6[[#This Row],[N° FACTURA]],INGRESOS!F:F,INGRESOS!A:A),"-")</f>
        <v>-</v>
      </c>
      <c r="O1017" t="s">
        <v>4803</v>
      </c>
    </row>
    <row r="1018" spans="1:15" ht="14.75" customHeight="1">
      <c r="A1018" s="320" t="s">
        <v>1936</v>
      </c>
      <c r="B1018" t="str">
        <f>+_xlfn.XLOOKUP(Tabla6[[#This Row],[ID CLIENTE]],'RESUMEN CLIENTES'!D:D,'RESUMEN CLIENTES'!A:A)</f>
        <v>Jaime Kevin Mendez Arias</v>
      </c>
      <c r="C1018" t="str">
        <f>+_xlfn.XLOOKUP(Tabla6[[#This Row],[ID CLIENTE]],'RESUMEN CLIENTES'!D:D,'RESUMEN CLIENTES'!C:C)</f>
        <v>México</v>
      </c>
      <c r="D1018" s="169" t="str">
        <f>+_xlfn.XLOOKUP(Tabla6[[#This Row],[ID CLIENTE]],'RESUMEN CLIENTES'!D:D,'RESUMEN CLIENTES'!M:M)</f>
        <v>OK</v>
      </c>
      <c r="E1018" s="71">
        <f>+_xlfn.XLOOKUP(Tabla6[[#This Row],[NOMBRE]],'RESUMEN CLIENTES'!A:A,'RESUMEN CLIENTES'!X:X)</f>
        <v>1.6666666666666667</v>
      </c>
      <c r="F1018" s="71">
        <f>+_xlfn.XLOOKUP(Tabla6[[#This Row],[ID CLIENTE]],'RESUMEN CLIENTES'!D:D,'RESUMEN CLIENTES'!W:W)</f>
        <v>0</v>
      </c>
      <c r="G1018" s="17">
        <v>46073</v>
      </c>
      <c r="H1018" s="169" t="s">
        <v>81</v>
      </c>
      <c r="I1018" s="2">
        <v>1000</v>
      </c>
      <c r="J1018" s="20" t="s">
        <v>4629</v>
      </c>
      <c r="K1018" t="s">
        <v>4630</v>
      </c>
      <c r="L1018" s="44" t="str" cm="1">
        <f t="array" ref="L1018">+_xlfn.IFS(COUNTIF(INGRESOS!E:E,Tabla6[[#This Row],[ID FACTURA]])=1,"PAGADA",Tabla6[[#This Row],[ID FACTURA]]&lt;&gt;0,"EMITIDA",Tabla6[[#This Row],[ID FACTURA]]=0,"POR EMITIR")</f>
        <v>PAGADA</v>
      </c>
      <c r="M1018" s="54">
        <f>+IF(Tabla6[[#This Row],[ESTADO FACTURA]]="PAGADA",Tabla6[[#This Row],[FECHA]]-_xlfn.XLOOKUP(Tabla6[[#This Row],[N° FACTURA]],INGRESOS!F:F,INGRESOS!A:A),"-")</f>
        <v>3</v>
      </c>
      <c r="O1018"/>
    </row>
    <row r="1019" spans="1:15" ht="14.75" customHeight="1">
      <c r="A1019" s="320" t="s">
        <v>587</v>
      </c>
      <c r="B1019" t="str">
        <f>+_xlfn.XLOOKUP(Tabla6[[#This Row],[ID CLIENTE]],'RESUMEN CLIENTES'!D:D,'RESUMEN CLIENTES'!A:A)</f>
        <v>Keidwin Perez</v>
      </c>
      <c r="C1019" t="str">
        <f>+_xlfn.XLOOKUP(Tabla6[[#This Row],[ID CLIENTE]],'RESUMEN CLIENTES'!D:D,'RESUMEN CLIENTES'!C:C)</f>
        <v>Colombia</v>
      </c>
      <c r="D1019" s="44" t="str">
        <f>+_xlfn.XLOOKUP(Tabla6[[#This Row],[ID CLIENTE]],'RESUMEN CLIENTES'!D:D,'RESUMEN CLIENTES'!M:M)</f>
        <v>OK</v>
      </c>
      <c r="E1019" s="72">
        <f>+_xlfn.XLOOKUP(Tabla6[[#This Row],[NOMBRE]],'RESUMEN CLIENTES'!A:A,'RESUMEN CLIENTES'!X:X)</f>
        <v>-4.25</v>
      </c>
      <c r="F1019" s="72">
        <f>+_xlfn.XLOOKUP(Tabla6[[#This Row],[ID CLIENTE]],'RESUMEN CLIENTES'!D:D,'RESUMEN CLIENTES'!W:W)</f>
        <v>1</v>
      </c>
      <c r="G1019" s="17">
        <v>46073</v>
      </c>
      <c r="H1019" s="44" t="s">
        <v>81</v>
      </c>
      <c r="I1019" s="2">
        <v>750</v>
      </c>
      <c r="J1019" s="20" t="s">
        <v>4763</v>
      </c>
      <c r="K1019" t="s">
        <v>4764</v>
      </c>
      <c r="L1019" s="44" t="str" cm="1">
        <f t="array" ref="L1019">+_xlfn.IFS(COUNTIF(INGRESOS!E:E,Tabla6[[#This Row],[ID FACTURA]])=1,"PAGADA",Tabla6[[#This Row],[ID FACTURA]]&lt;&gt;0,"EMITIDA",Tabla6[[#This Row],[ID FACTURA]]=0,"POR EMITIR")</f>
        <v>PAGADA</v>
      </c>
      <c r="M1019" s="55">
        <f>+IF(Tabla6[[#This Row],[ESTADO FACTURA]]="PAGADA",Tabla6[[#This Row],[FECHA]]-_xlfn.XLOOKUP(Tabla6[[#This Row],[N° FACTURA]],INGRESOS!F:F,INGRESOS!A:A),"-")</f>
        <v>-4</v>
      </c>
      <c r="N1019" s="2"/>
      <c r="O1019"/>
    </row>
    <row r="1020" spans="1:15" ht="14.75" customHeight="1">
      <c r="A1020" s="320" t="s">
        <v>200</v>
      </c>
      <c r="B1020" t="str">
        <f>+_xlfn.XLOOKUP(Tabla6[[#This Row],[ID CLIENTE]],'RESUMEN CLIENTES'!D:D,'RESUMEN CLIENTES'!A:A)</f>
        <v>Mateo Gabriel Martinez Dávila</v>
      </c>
      <c r="C1020" t="str">
        <f>+_xlfn.XLOOKUP(Tabla6[[#This Row],[ID CLIENTE]],'RESUMEN CLIENTES'!D:D,'RESUMEN CLIENTES'!C:C)</f>
        <v>Bolivia</v>
      </c>
      <c r="D1020" s="169" t="str">
        <f>+_xlfn.XLOOKUP(Tabla6[[#This Row],[ID CLIENTE]],'RESUMEN CLIENTES'!D:D,'RESUMEN CLIENTES'!M:M)</f>
        <v>OK</v>
      </c>
      <c r="E1020" s="71">
        <f>+_xlfn.XLOOKUP(Tabla6[[#This Row],[NOMBRE]],'RESUMEN CLIENTES'!A:A,'RESUMEN CLIENTES'!X:X)</f>
        <v>-0.5</v>
      </c>
      <c r="F1020" s="71">
        <f>+_xlfn.XLOOKUP(Tabla6[[#This Row],[ID CLIENTE]],'RESUMEN CLIENTES'!D:D,'RESUMEN CLIENTES'!W:W)</f>
        <v>0</v>
      </c>
      <c r="G1020" s="17">
        <v>46073</v>
      </c>
      <c r="H1020" s="169" t="s">
        <v>81</v>
      </c>
      <c r="I1020" s="2">
        <v>500</v>
      </c>
      <c r="J1020" s="20" t="s">
        <v>4627</v>
      </c>
      <c r="K1020" t="s">
        <v>4628</v>
      </c>
      <c r="L1020" s="44" t="str" cm="1">
        <f t="array" ref="L1020">+_xlfn.IFS(COUNTIF(INGRESOS!E:E,Tabla6[[#This Row],[ID FACTURA]])=1,"PAGADA",Tabla6[[#This Row],[ID FACTURA]]&lt;&gt;0,"EMITIDA",Tabla6[[#This Row],[ID FACTURA]]=0,"POR EMITIR")</f>
        <v>PAGADA</v>
      </c>
      <c r="M1020" s="54">
        <f>+IF(Tabla6[[#This Row],[ESTADO FACTURA]]="PAGADA",Tabla6[[#This Row],[FECHA]]-_xlfn.XLOOKUP(Tabla6[[#This Row],[N° FACTURA]],INGRESOS!F:F,INGRESOS!A:A),"-")</f>
        <v>-4</v>
      </c>
      <c r="O1020"/>
    </row>
    <row r="1021" spans="1:15" ht="14.75" customHeight="1">
      <c r="A1021" s="320" t="s">
        <v>250</v>
      </c>
      <c r="B1021" t="str">
        <f>+_xlfn.XLOOKUP(Tabla6[[#This Row],[ID CLIENTE]],'RESUMEN CLIENTES'!D:D,'RESUMEN CLIENTES'!A:A)</f>
        <v>Fernanda Castro</v>
      </c>
      <c r="C1021" t="str">
        <f>+_xlfn.XLOOKUP(Tabla6[[#This Row],[ID CLIENTE]],'RESUMEN CLIENTES'!D:D,'RESUMEN CLIENTES'!C:C)</f>
        <v>Ecuador</v>
      </c>
      <c r="D1021" s="44" t="str">
        <f>+_xlfn.XLOOKUP(Tabla6[[#This Row],[ID CLIENTE]],'RESUMEN CLIENTES'!D:D,'RESUMEN CLIENTES'!M:M)</f>
        <v>OK</v>
      </c>
      <c r="E1021" s="72">
        <f>+_xlfn.XLOOKUP(Tabla6[[#This Row],[NOMBRE]],'RESUMEN CLIENTES'!A:A,'RESUMEN CLIENTES'!X:X)</f>
        <v>0</v>
      </c>
      <c r="F1021" s="72">
        <f>+_xlfn.XLOOKUP(Tabla6[[#This Row],[ID CLIENTE]],'RESUMEN CLIENTES'!D:D,'RESUMEN CLIENTES'!W:W)</f>
        <v>1</v>
      </c>
      <c r="G1021" s="17">
        <v>46076</v>
      </c>
      <c r="H1021" s="44" t="s">
        <v>81</v>
      </c>
      <c r="I1021" s="2">
        <v>1000</v>
      </c>
      <c r="J1021" s="20" t="s">
        <v>4644</v>
      </c>
      <c r="K1021" t="s">
        <v>4645</v>
      </c>
      <c r="L1021" s="44" t="str" cm="1">
        <f t="array" ref="L1021">+_xlfn.IFS(COUNTIF(INGRESOS!E:E,Tabla6[[#This Row],[ID FACTURA]])=1,"PAGADA",Tabla6[[#This Row],[ID FACTURA]]&lt;&gt;0,"EMITIDA",Tabla6[[#This Row],[ID FACTURA]]=0,"POR EMITIR")</f>
        <v>PAGADA</v>
      </c>
      <c r="M1021" s="55">
        <f>+IF(Tabla6[[#This Row],[ESTADO FACTURA]]="PAGADA",Tabla6[[#This Row],[FECHA]]-_xlfn.XLOOKUP(Tabla6[[#This Row],[N° FACTURA]],INGRESOS!F:F,INGRESOS!A:A),"-")</f>
        <v>3</v>
      </c>
      <c r="N1021" s="2"/>
      <c r="O1021"/>
    </row>
    <row r="1022" spans="1:15" ht="14.75" customHeight="1">
      <c r="A1022" s="320" t="s">
        <v>1931</v>
      </c>
      <c r="B1022" t="str">
        <f>+_xlfn.XLOOKUP(Tabla6[[#This Row],[ID CLIENTE]],'RESUMEN CLIENTES'!D:D,'RESUMEN CLIENTES'!A:A)</f>
        <v>Josué Bernardo Reyes Flores</v>
      </c>
      <c r="C1022" t="str">
        <f>+_xlfn.XLOOKUP(Tabla6[[#This Row],[ID CLIENTE]],'RESUMEN CLIENTES'!D:D,'RESUMEN CLIENTES'!C:C)</f>
        <v>México</v>
      </c>
      <c r="D1022" s="169" t="str">
        <f>+_xlfn.XLOOKUP(Tabla6[[#This Row],[ID CLIENTE]],'RESUMEN CLIENTES'!D:D,'RESUMEN CLIENTES'!M:M)</f>
        <v>OK</v>
      </c>
      <c r="E1022" s="71">
        <f>+_xlfn.XLOOKUP(Tabla6[[#This Row],[NOMBRE]],'RESUMEN CLIENTES'!A:A,'RESUMEN CLIENTES'!X:X)</f>
        <v>0</v>
      </c>
      <c r="F1022" s="71">
        <f>+_xlfn.XLOOKUP(Tabla6[[#This Row],[ID CLIENTE]],'RESUMEN CLIENTES'!D:D,'RESUMEN CLIENTES'!W:W)</f>
        <v>1</v>
      </c>
      <c r="G1022" s="17">
        <v>46076</v>
      </c>
      <c r="H1022" s="169" t="s">
        <v>81</v>
      </c>
      <c r="I1022" s="2">
        <v>1000</v>
      </c>
      <c r="J1022" s="20" t="s">
        <v>4648</v>
      </c>
      <c r="K1022" t="s">
        <v>4649</v>
      </c>
      <c r="L1022" s="44" t="str" cm="1">
        <f t="array" ref="L1022">+_xlfn.IFS(COUNTIF(INGRESOS!E:E,Tabla6[[#This Row],[ID FACTURA]])=1,"PAGADA",Tabla6[[#This Row],[ID FACTURA]]&lt;&gt;0,"EMITIDA",Tabla6[[#This Row],[ID FACTURA]]=0,"POR EMITIR")</f>
        <v>PAGADA</v>
      </c>
      <c r="M1022" s="54">
        <f>+IF(Tabla6[[#This Row],[ESTADO FACTURA]]="PAGADA",Tabla6[[#This Row],[FECHA]]-_xlfn.XLOOKUP(Tabla6[[#This Row],[N° FACTURA]],INGRESOS!F:F,INGRESOS!A:A),"-")</f>
        <v>0</v>
      </c>
      <c r="O1022"/>
    </row>
    <row r="1023" spans="1:15" ht="14.75" customHeight="1">
      <c r="A1023" s="320" t="s">
        <v>994</v>
      </c>
      <c r="B1023" t="str">
        <f>+_xlfn.XLOOKUP(Tabla6[[#This Row],[ID CLIENTE]],'RESUMEN CLIENTES'!D:D,'RESUMEN CLIENTES'!A:A)</f>
        <v>Raúl Ernesto Martínez Orantes</v>
      </c>
      <c r="C1023" t="str">
        <f>+_xlfn.XLOOKUP(Tabla6[[#This Row],[ID CLIENTE]],'RESUMEN CLIENTES'!D:D,'RESUMEN CLIENTES'!C:C)</f>
        <v>El Salvador</v>
      </c>
      <c r="D1023" s="44" t="str">
        <f>+_xlfn.XLOOKUP(Tabla6[[#This Row],[ID CLIENTE]],'RESUMEN CLIENTES'!D:D,'RESUMEN CLIENTES'!M:M)</f>
        <v>OK</v>
      </c>
      <c r="E1023" s="72">
        <f>+_xlfn.XLOOKUP(Tabla6[[#This Row],[NOMBRE]],'RESUMEN CLIENTES'!A:A,'RESUMEN CLIENTES'!X:X)</f>
        <v>1.1428571428571428</v>
      </c>
      <c r="F1023" s="72">
        <f>+_xlfn.XLOOKUP(Tabla6[[#This Row],[ID CLIENTE]],'RESUMEN CLIENTES'!D:D,'RESUMEN CLIENTES'!W:W)</f>
        <v>1</v>
      </c>
      <c r="G1023" s="17">
        <v>46076</v>
      </c>
      <c r="H1023" s="44" t="s">
        <v>81</v>
      </c>
      <c r="I1023" s="2">
        <v>850</v>
      </c>
      <c r="J1023" s="20" t="s">
        <v>4646</v>
      </c>
      <c r="K1023" t="s">
        <v>4647</v>
      </c>
      <c r="L1023" s="44" t="str" cm="1">
        <f t="array" ref="L1023">+_xlfn.IFS(COUNTIF(INGRESOS!E:E,Tabla6[[#This Row],[ID FACTURA]])=1,"PAGADA",Tabla6[[#This Row],[ID FACTURA]]&lt;&gt;0,"EMITIDA",Tabla6[[#This Row],[ID FACTURA]]=0,"POR EMITIR")</f>
        <v>PAGADA</v>
      </c>
      <c r="M1023" s="55">
        <f>+IF(Tabla6[[#This Row],[ESTADO FACTURA]]="PAGADA",Tabla6[[#This Row],[FECHA]]-_xlfn.XLOOKUP(Tabla6[[#This Row],[N° FACTURA]],INGRESOS!F:F,INGRESOS!A:A),"-")</f>
        <v>3</v>
      </c>
      <c r="N1023" s="2"/>
      <c r="O1023"/>
    </row>
    <row r="1024" spans="1:15" ht="14.75" customHeight="1">
      <c r="A1024" s="320" t="s">
        <v>261</v>
      </c>
      <c r="B1024" t="str">
        <f>+_xlfn.XLOOKUP(Tabla6[[#This Row],[ID CLIENTE]],'RESUMEN CLIENTES'!D:D,'RESUMEN CLIENTES'!A:A)</f>
        <v>Maryori Elizabeth Ramos Tapia</v>
      </c>
      <c r="C1024" t="str">
        <f>+_xlfn.XLOOKUP(Tabla6[[#This Row],[ID CLIENTE]],'RESUMEN CLIENTES'!D:D,'RESUMEN CLIENTES'!C:C)</f>
        <v>Perú</v>
      </c>
      <c r="D1024" s="44" t="str">
        <f>+_xlfn.XLOOKUP(Tabla6[[#This Row],[ID CLIENTE]],'RESUMEN CLIENTES'!D:D,'RESUMEN CLIENTES'!M:M)</f>
        <v>OK</v>
      </c>
      <c r="E1024" s="72">
        <f>+_xlfn.XLOOKUP(Tabla6[[#This Row],[NOMBRE]],'RESUMEN CLIENTES'!A:A,'RESUMEN CLIENTES'!X:X)</f>
        <v>-0.88425925925952875</v>
      </c>
      <c r="F1024" s="72">
        <f>+_xlfn.XLOOKUP(Tabla6[[#This Row],[ID CLIENTE]],'RESUMEN CLIENTES'!D:D,'RESUMEN CLIENTES'!W:W)</f>
        <v>1</v>
      </c>
      <c r="G1024" s="17">
        <v>46077</v>
      </c>
      <c r="H1024" s="44" t="s">
        <v>81</v>
      </c>
      <c r="I1024" s="2">
        <v>1000</v>
      </c>
      <c r="J1024" s="20" t="s">
        <v>4666</v>
      </c>
      <c r="K1024" t="s">
        <v>4667</v>
      </c>
      <c r="L1024" s="44" t="str" cm="1">
        <f t="array" ref="L1024">+_xlfn.IFS(COUNTIF(INGRESOS!E:E,Tabla6[[#This Row],[ID FACTURA]])=1,"PAGADA",Tabla6[[#This Row],[ID FACTURA]]&lt;&gt;0,"EMITIDA",Tabla6[[#This Row],[ID FACTURA]]=0,"POR EMITIR")</f>
        <v>PAGADA</v>
      </c>
      <c r="M1024" s="55">
        <f>+IF(Tabla6[[#This Row],[ESTADO FACTURA]]="PAGADA",Tabla6[[#This Row],[FECHA]]-_xlfn.XLOOKUP(Tabla6[[#This Row],[N° FACTURA]],INGRESOS!F:F,INGRESOS!A:A),"-")</f>
        <v>0</v>
      </c>
      <c r="N1024" s="2"/>
      <c r="O1024"/>
    </row>
    <row r="1025" spans="1:15" ht="14.75" customHeight="1">
      <c r="A1025" s="320" t="s">
        <v>162</v>
      </c>
      <c r="B1025" t="str">
        <f>+_xlfn.XLOOKUP(Tabla6[[#This Row],[ID CLIENTE]],'RESUMEN CLIENTES'!D:D,'RESUMEN CLIENTES'!A:A)</f>
        <v>Bastian Sofjer Peralta</v>
      </c>
      <c r="C1025" t="str">
        <f>+_xlfn.XLOOKUP(Tabla6[[#This Row],[ID CLIENTE]],'RESUMEN CLIENTES'!D:D,'RESUMEN CLIENTES'!C:C)</f>
        <v>Chile</v>
      </c>
      <c r="D1025" s="44" t="str">
        <f>+_xlfn.XLOOKUP(Tabla6[[#This Row],[ID CLIENTE]],'RESUMEN CLIENTES'!D:D,'RESUMEN CLIENTES'!M:M)</f>
        <v>OK</v>
      </c>
      <c r="E1025" s="72">
        <f>+_xlfn.XLOOKUP(Tabla6[[#This Row],[NOMBRE]],'RESUMEN CLIENTES'!A:A,'RESUMEN CLIENTES'!X:X)</f>
        <v>4.125</v>
      </c>
      <c r="F1025" s="72">
        <f>+_xlfn.XLOOKUP(Tabla6[[#This Row],[ID CLIENTE]],'RESUMEN CLIENTES'!D:D,'RESUMEN CLIENTES'!W:W)</f>
        <v>1</v>
      </c>
      <c r="G1025" s="17">
        <v>46078</v>
      </c>
      <c r="H1025" s="44" t="s">
        <v>81</v>
      </c>
      <c r="I1025" s="2">
        <v>900</v>
      </c>
      <c r="J1025" s="20" t="s">
        <v>4687</v>
      </c>
      <c r="K1025" t="s">
        <v>4688</v>
      </c>
      <c r="L1025" s="44" t="str" cm="1">
        <f t="array" ref="L1025">+_xlfn.IFS(COUNTIF(INGRESOS!E:E,Tabla6[[#This Row],[ID FACTURA]])=1,"PAGADA",Tabla6[[#This Row],[ID FACTURA]]&lt;&gt;0,"EMITIDA",Tabla6[[#This Row],[ID FACTURA]]=0,"POR EMITIR")</f>
        <v>PAGADA</v>
      </c>
      <c r="M1025" s="55">
        <f>+IF(Tabla6[[#This Row],[ESTADO FACTURA]]="PAGADA",Tabla6[[#This Row],[FECHA]]-_xlfn.XLOOKUP(Tabla6[[#This Row],[N° FACTURA]],INGRESOS!F:F,INGRESOS!A:A),"-")</f>
        <v>2</v>
      </c>
      <c r="N1025" s="2"/>
      <c r="O1025"/>
    </row>
    <row r="1026" spans="1:15" ht="14.75" customHeight="1">
      <c r="A1026" s="320" t="s">
        <v>191</v>
      </c>
      <c r="B1026" t="str">
        <f>+_xlfn.XLOOKUP(Tabla6[[#This Row],[ID CLIENTE]],'RESUMEN CLIENTES'!D:D,'RESUMEN CLIENTES'!A:A)</f>
        <v>Christian Rivera Hernandez</v>
      </c>
      <c r="C1026" t="str">
        <f>+_xlfn.XLOOKUP(Tabla6[[#This Row],[ID CLIENTE]],'RESUMEN CLIENTES'!D:D,'RESUMEN CLIENTES'!C:C)</f>
        <v>Colombia</v>
      </c>
      <c r="D1026" s="169" t="str">
        <f>+_xlfn.XLOOKUP(Tabla6[[#This Row],[ID CLIENTE]],'RESUMEN CLIENTES'!D:D,'RESUMEN CLIENTES'!M:M)</f>
        <v>OK</v>
      </c>
      <c r="E1026" s="71">
        <f>+_xlfn.XLOOKUP(Tabla6[[#This Row],[NOMBRE]],'RESUMEN CLIENTES'!A:A,'RESUMEN CLIENTES'!X:X)</f>
        <v>0.75</v>
      </c>
      <c r="F1026" s="71">
        <f>+_xlfn.XLOOKUP(Tabla6[[#This Row],[ID CLIENTE]],'RESUMEN CLIENTES'!D:D,'RESUMEN CLIENTES'!W:W)</f>
        <v>1</v>
      </c>
      <c r="G1026" s="17">
        <v>46078</v>
      </c>
      <c r="H1026" s="169" t="s">
        <v>81</v>
      </c>
      <c r="I1026" s="2">
        <v>600</v>
      </c>
      <c r="J1026" s="20" t="s">
        <v>4695</v>
      </c>
      <c r="K1026" t="s">
        <v>4696</v>
      </c>
      <c r="L1026" s="44" t="str" cm="1">
        <f t="array" ref="L1026">+_xlfn.IFS(COUNTIF(INGRESOS!E:E,Tabla6[[#This Row],[ID FACTURA]])=1,"PAGADA",Tabla6[[#This Row],[ID FACTURA]]&lt;&gt;0,"EMITIDA",Tabla6[[#This Row],[ID FACTURA]]=0,"POR EMITIR")</f>
        <v>PAGADA</v>
      </c>
      <c r="M1026" s="55">
        <f>+IF(Tabla6[[#This Row],[ESTADO FACTURA]]="PAGADA",Tabla6[[#This Row],[FECHA]]-_xlfn.XLOOKUP(Tabla6[[#This Row],[N° FACTURA]],INGRESOS!F:F,INGRESOS!A:A),"-")</f>
        <v>0</v>
      </c>
      <c r="N1026" s="2"/>
      <c r="O1026"/>
    </row>
    <row r="1027" spans="1:15" ht="14.75" customHeight="1">
      <c r="A1027" s="320" t="s">
        <v>1437</v>
      </c>
      <c r="B1027" t="str">
        <f>+_xlfn.XLOOKUP(Tabla6[[#This Row],[ID CLIENTE]],'RESUMEN CLIENTES'!D:D,'RESUMEN CLIENTES'!A:A)</f>
        <v>Jorge Andres Galgani Muñoz</v>
      </c>
      <c r="C1027" t="str">
        <f>+_xlfn.XLOOKUP(Tabla6[[#This Row],[ID CLIENTE]],'RESUMEN CLIENTES'!D:D,'RESUMEN CLIENTES'!C:C)</f>
        <v>Chile</v>
      </c>
      <c r="D1027" s="44" t="str">
        <f>+_xlfn.XLOOKUP(Tabla6[[#This Row],[ID CLIENTE]],'RESUMEN CLIENTES'!D:D,'RESUMEN CLIENTES'!M:M)</f>
        <v>OK</v>
      </c>
      <c r="E1027" s="71">
        <f>+_xlfn.XLOOKUP(Tabla6[[#This Row],[NOMBRE]],'RESUMEN CLIENTES'!A:A,'RESUMEN CLIENTES'!X:X)</f>
        <v>-1.1428571428571428</v>
      </c>
      <c r="F1027" s="71">
        <f>+_xlfn.XLOOKUP(Tabla6[[#This Row],[ID CLIENTE]],'RESUMEN CLIENTES'!D:D,'RESUMEN CLIENTES'!W:W)</f>
        <v>1</v>
      </c>
      <c r="G1027" s="17">
        <v>46078</v>
      </c>
      <c r="H1027" s="169" t="s">
        <v>81</v>
      </c>
      <c r="I1027" s="2">
        <v>850</v>
      </c>
      <c r="J1027" s="20" t="s">
        <v>4697</v>
      </c>
      <c r="K1027" t="s">
        <v>4698</v>
      </c>
      <c r="L1027" s="44" t="str" cm="1">
        <f t="array" ref="L1027">+_xlfn.IFS(COUNTIF(INGRESOS!E:E,Tabla6[[#This Row],[ID FACTURA]])=1,"PAGADA",Tabla6[[#This Row],[ID FACTURA]]&lt;&gt;0,"EMITIDA",Tabla6[[#This Row],[ID FACTURA]]=0,"POR EMITIR")</f>
        <v>PAGADA</v>
      </c>
      <c r="M1027" s="55">
        <f>+IF(Tabla6[[#This Row],[ESTADO FACTURA]]="PAGADA",Tabla6[[#This Row],[FECHA]]-_xlfn.XLOOKUP(Tabla6[[#This Row],[N° FACTURA]],INGRESOS!F:F,INGRESOS!A:A),"-")</f>
        <v>0</v>
      </c>
      <c r="N1027" s="2"/>
      <c r="O1027"/>
    </row>
    <row r="1028" spans="1:15" ht="14.75" customHeight="1">
      <c r="A1028" s="320" t="s">
        <v>333</v>
      </c>
      <c r="B1028" t="str">
        <f>+_xlfn.XLOOKUP(Tabla6[[#This Row],[ID CLIENTE]],'RESUMEN CLIENTES'!D:D,'RESUMEN CLIENTES'!A:A)</f>
        <v>Jorge Augusto Cámbara Vargas</v>
      </c>
      <c r="C1028" t="str">
        <f>+_xlfn.XLOOKUP(Tabla6[[#This Row],[ID CLIENTE]],'RESUMEN CLIENTES'!D:D,'RESUMEN CLIENTES'!C:C)</f>
        <v>Guatemala</v>
      </c>
      <c r="D1028" s="44" t="str">
        <f>+_xlfn.XLOOKUP(Tabla6[[#This Row],[ID CLIENTE]],'RESUMEN CLIENTES'!D:D,'RESUMEN CLIENTES'!M:M)</f>
        <v>OK</v>
      </c>
      <c r="E1028" s="72">
        <f>+_xlfn.XLOOKUP(Tabla6[[#This Row],[NOMBRE]],'RESUMEN CLIENTES'!A:A,'RESUMEN CLIENTES'!X:X)</f>
        <v>0.1157407407331953</v>
      </c>
      <c r="F1028" s="72">
        <f>+_xlfn.XLOOKUP(Tabla6[[#This Row],[ID CLIENTE]],'RESUMEN CLIENTES'!D:D,'RESUMEN CLIENTES'!W:W)</f>
        <v>1</v>
      </c>
      <c r="G1028" s="17">
        <v>46078</v>
      </c>
      <c r="H1028" s="44" t="s">
        <v>81</v>
      </c>
      <c r="I1028" s="2">
        <v>2750</v>
      </c>
      <c r="J1028" s="20" t="s">
        <v>4689</v>
      </c>
      <c r="K1028" t="s">
        <v>4690</v>
      </c>
      <c r="L1028" s="44" t="str" cm="1">
        <f t="array" ref="L1028">+_xlfn.IFS(COUNTIF(INGRESOS!E:E,Tabla6[[#This Row],[ID FACTURA]])=1,"PAGADA",Tabla6[[#This Row],[ID FACTURA]]&lt;&gt;0,"EMITIDA",Tabla6[[#This Row],[ID FACTURA]]=0,"POR EMITIR")</f>
        <v>PAGADA</v>
      </c>
      <c r="M1028" s="55">
        <f>+IF(Tabla6[[#This Row],[ESTADO FACTURA]]="PAGADA",Tabla6[[#This Row],[FECHA]]-_xlfn.XLOOKUP(Tabla6[[#This Row],[N° FACTURA]],INGRESOS!F:F,INGRESOS!A:A),"-")</f>
        <v>0</v>
      </c>
      <c r="N1028" s="2"/>
      <c r="O1028"/>
    </row>
    <row r="1029" spans="1:15" ht="14.75" customHeight="1">
      <c r="A1029" s="320" t="s">
        <v>87</v>
      </c>
      <c r="B1029" t="str">
        <f>+_xlfn.XLOOKUP(Tabla6[[#This Row],[ID CLIENTE]],'RESUMEN CLIENTES'!D:D,'RESUMEN CLIENTES'!A:A)</f>
        <v>Jose Marcelo Marroquín Guzmán</v>
      </c>
      <c r="C1029" t="str">
        <f>+_xlfn.XLOOKUP(Tabla6[[#This Row],[ID CLIENTE]],'RESUMEN CLIENTES'!D:D,'RESUMEN CLIENTES'!C:C)</f>
        <v>El Salvador</v>
      </c>
      <c r="D1029" s="44" t="str">
        <f>+_xlfn.XLOOKUP(Tabla6[[#This Row],[ID CLIENTE]],'RESUMEN CLIENTES'!D:D,'RESUMEN CLIENTES'!M:M)</f>
        <v>OK</v>
      </c>
      <c r="E1029" s="72">
        <f>+_xlfn.XLOOKUP(Tabla6[[#This Row],[NOMBRE]],'RESUMEN CLIENTES'!A:A,'RESUMEN CLIENTES'!X:X)</f>
        <v>-1.5833333333333333</v>
      </c>
      <c r="F1029" s="72">
        <f>+_xlfn.XLOOKUP(Tabla6[[#This Row],[ID CLIENTE]],'RESUMEN CLIENTES'!D:D,'RESUMEN CLIENTES'!W:W)</f>
        <v>1</v>
      </c>
      <c r="G1029" s="17">
        <v>46078</v>
      </c>
      <c r="H1029" s="44" t="s">
        <v>81</v>
      </c>
      <c r="I1029" s="2">
        <v>400</v>
      </c>
      <c r="J1029" s="20" t="s">
        <v>4699</v>
      </c>
      <c r="K1029" t="s">
        <v>4700</v>
      </c>
      <c r="L1029" s="44" t="str" cm="1">
        <f t="array" ref="L1029">+_xlfn.IFS(COUNTIF(INGRESOS!E:E,Tabla6[[#This Row],[ID FACTURA]])=1,"PAGADA",Tabla6[[#This Row],[ID FACTURA]]&lt;&gt;0,"EMITIDA",Tabla6[[#This Row],[ID FACTURA]]=0,"POR EMITIR")</f>
        <v>PAGADA</v>
      </c>
      <c r="M1029" s="55">
        <f>+IF(Tabla6[[#This Row],[ESTADO FACTURA]]="PAGADA",Tabla6[[#This Row],[FECHA]]-_xlfn.XLOOKUP(Tabla6[[#This Row],[N° FACTURA]],INGRESOS!F:F,INGRESOS!A:A),"-")</f>
        <v>-3</v>
      </c>
      <c r="N1029" s="2"/>
      <c r="O1029"/>
    </row>
    <row r="1030" spans="1:15" ht="14.75" customHeight="1">
      <c r="A1030" s="320" t="s">
        <v>322</v>
      </c>
      <c r="B1030" t="str">
        <f>+_xlfn.XLOOKUP(Tabla6[[#This Row],[ID CLIENTE]],'RESUMEN CLIENTES'!D:D,'RESUMEN CLIENTES'!A:A)</f>
        <v>Mauricio Ignacio Alcayaga Romo</v>
      </c>
      <c r="C1030" t="str">
        <f>+_xlfn.XLOOKUP(Tabla6[[#This Row],[ID CLIENTE]],'RESUMEN CLIENTES'!D:D,'RESUMEN CLIENTES'!C:C)</f>
        <v>Chile</v>
      </c>
      <c r="D1030" s="44" t="str">
        <f>+_xlfn.XLOOKUP(Tabla6[[#This Row],[ID CLIENTE]],'RESUMEN CLIENTES'!D:D,'RESUMEN CLIENTES'!M:M)</f>
        <v>OK</v>
      </c>
      <c r="E1030" s="72">
        <f>+_xlfn.XLOOKUP(Tabla6[[#This Row],[NOMBRE]],'RESUMEN CLIENTES'!A:A,'RESUMEN CLIENTES'!X:X)</f>
        <v>-0.3</v>
      </c>
      <c r="F1030" s="72">
        <f>+_xlfn.XLOOKUP(Tabla6[[#This Row],[ID CLIENTE]],'RESUMEN CLIENTES'!D:D,'RESUMEN CLIENTES'!W:W)</f>
        <v>0</v>
      </c>
      <c r="G1030" s="17">
        <v>46078</v>
      </c>
      <c r="H1030" s="44" t="s">
        <v>81</v>
      </c>
      <c r="I1030" s="2">
        <v>1000</v>
      </c>
      <c r="J1030" s="20" t="s">
        <v>4691</v>
      </c>
      <c r="K1030" t="s">
        <v>4692</v>
      </c>
      <c r="L1030" s="44" t="str" cm="1">
        <f t="array" ref="L1030">+_xlfn.IFS(COUNTIF(INGRESOS!E:E,Tabla6[[#This Row],[ID FACTURA]])=1,"PAGADA",Tabla6[[#This Row],[ID FACTURA]]&lt;&gt;0,"EMITIDA",Tabla6[[#This Row],[ID FACTURA]]=0,"POR EMITIR")</f>
        <v>PAGADA</v>
      </c>
      <c r="M1030" s="55">
        <f>+IF(Tabla6[[#This Row],[ESTADO FACTURA]]="PAGADA",Tabla6[[#This Row],[FECHA]]-_xlfn.XLOOKUP(Tabla6[[#This Row],[N° FACTURA]],INGRESOS!F:F,INGRESOS!A:A),"-")</f>
        <v>0</v>
      </c>
      <c r="N1030" s="2"/>
      <c r="O1030"/>
    </row>
    <row r="1031" spans="1:15" ht="14.75" customHeight="1">
      <c r="A1031" s="320" t="s">
        <v>1658</v>
      </c>
      <c r="B1031" t="str">
        <f>+_xlfn.XLOOKUP(Tabla6[[#This Row],[ID CLIENTE]],'RESUMEN CLIENTES'!D:D,'RESUMEN CLIENTES'!A:A)</f>
        <v>Nadya Sofía García Carrasco</v>
      </c>
      <c r="C1031" t="str">
        <f>+_xlfn.XLOOKUP(Tabla6[[#This Row],[ID CLIENTE]],'RESUMEN CLIENTES'!D:D,'RESUMEN CLIENTES'!C:C)</f>
        <v>Ecuador</v>
      </c>
      <c r="D1031" s="169" t="str">
        <f>+_xlfn.XLOOKUP(Tabla6[[#This Row],[ID CLIENTE]],'RESUMEN CLIENTES'!D:D,'RESUMEN CLIENTES'!M:M)</f>
        <v>OK</v>
      </c>
      <c r="E1031" s="71">
        <f>+_xlfn.XLOOKUP(Tabla6[[#This Row],[NOMBRE]],'RESUMEN CLIENTES'!A:A,'RESUMEN CLIENTES'!X:X)</f>
        <v>0</v>
      </c>
      <c r="F1031" s="71">
        <f>+_xlfn.XLOOKUP(Tabla6[[#This Row],[ID CLIENTE]],'RESUMEN CLIENTES'!D:D,'RESUMEN CLIENTES'!W:W)</f>
        <v>1</v>
      </c>
      <c r="G1031" s="17">
        <v>46078</v>
      </c>
      <c r="H1031" s="169" t="s">
        <v>81</v>
      </c>
      <c r="I1031" s="2">
        <v>1000</v>
      </c>
      <c r="J1031" s="20" t="s">
        <v>4701</v>
      </c>
      <c r="K1031" t="s">
        <v>4702</v>
      </c>
      <c r="L1031" s="44" t="str" cm="1">
        <f t="array" ref="L1031">+_xlfn.IFS(COUNTIF(INGRESOS!E:E,Tabla6[[#This Row],[ID FACTURA]])=1,"PAGADA",Tabla6[[#This Row],[ID FACTURA]]&lt;&gt;0,"EMITIDA",Tabla6[[#This Row],[ID FACTURA]]=0,"POR EMITIR")</f>
        <v>PAGADA</v>
      </c>
      <c r="M1031" s="55">
        <f>+IF(Tabla6[[#This Row],[ESTADO FACTURA]]="PAGADA",Tabla6[[#This Row],[FECHA]]-_xlfn.XLOOKUP(Tabla6[[#This Row],[N° FACTURA]],INGRESOS!F:F,INGRESOS!A:A),"-")</f>
        <v>0</v>
      </c>
      <c r="O1031"/>
    </row>
    <row r="1032" spans="1:15" ht="14.75" customHeight="1">
      <c r="A1032" s="320" t="s">
        <v>716</v>
      </c>
      <c r="B1032" t="str">
        <f>+_xlfn.XLOOKUP(Tabla6[[#This Row],[ID CLIENTE]],'RESUMEN CLIENTES'!D:D,'RESUMEN CLIENTES'!A:A)</f>
        <v>Sofia Martínez Restrepo</v>
      </c>
      <c r="C1032" t="str">
        <f>+_xlfn.XLOOKUP(Tabla6[[#This Row],[ID CLIENTE]],'RESUMEN CLIENTES'!D:D,'RESUMEN CLIENTES'!C:C)</f>
        <v>Colombia</v>
      </c>
      <c r="D1032" s="44" t="str">
        <f>+_xlfn.XLOOKUP(Tabla6[[#This Row],[ID CLIENTE]],'RESUMEN CLIENTES'!D:D,'RESUMEN CLIENTES'!M:M)</f>
        <v>OK</v>
      </c>
      <c r="E1032" s="72">
        <f>+_xlfn.XLOOKUP(Tabla6[[#This Row],[NOMBRE]],'RESUMEN CLIENTES'!A:A,'RESUMEN CLIENTES'!X:X)</f>
        <v>-0.33333333333333331</v>
      </c>
      <c r="F1032" s="72">
        <f>+_xlfn.XLOOKUP(Tabla6[[#This Row],[ID CLIENTE]],'RESUMEN CLIENTES'!D:D,'RESUMEN CLIENTES'!W:W)</f>
        <v>1</v>
      </c>
      <c r="G1032" s="17">
        <v>46078</v>
      </c>
      <c r="H1032" s="44" t="s">
        <v>81</v>
      </c>
      <c r="I1032" s="2">
        <v>1000</v>
      </c>
      <c r="J1032" s="20" t="s">
        <v>4703</v>
      </c>
      <c r="K1032" t="s">
        <v>4704</v>
      </c>
      <c r="L1032" s="44" t="str" cm="1">
        <f t="array" ref="L1032">+_xlfn.IFS(COUNTIF(INGRESOS!E:E,Tabla6[[#This Row],[ID FACTURA]])=1,"PAGADA",Tabla6[[#This Row],[ID FACTURA]]&lt;&gt;0,"EMITIDA",Tabla6[[#This Row],[ID FACTURA]]=0,"POR EMITIR")</f>
        <v>PAGADA</v>
      </c>
      <c r="M1032" s="55">
        <f>+IF(Tabla6[[#This Row],[ESTADO FACTURA]]="PAGADA",Tabla6[[#This Row],[FECHA]]-_xlfn.XLOOKUP(Tabla6[[#This Row],[N° FACTURA]],INGRESOS!F:F,INGRESOS!A:A),"-")</f>
        <v>0</v>
      </c>
      <c r="N1032" s="2"/>
      <c r="O1032"/>
    </row>
    <row r="1033" spans="1:15" ht="14.75" customHeight="1">
      <c r="A1033" s="320" t="s">
        <v>1743</v>
      </c>
      <c r="B1033" t="str">
        <f>+_xlfn.XLOOKUP(Tabla6[[#This Row],[ID CLIENTE]],'RESUMEN CLIENTES'!D:D,'RESUMEN CLIENTES'!A:A)</f>
        <v>Fernando Alberto Lagos Belmar</v>
      </c>
      <c r="C1033" t="str">
        <f>+_xlfn.XLOOKUP(Tabla6[[#This Row],[ID CLIENTE]],'RESUMEN CLIENTES'!D:D,'RESUMEN CLIENTES'!C:C)</f>
        <v>Chile</v>
      </c>
      <c r="D1033" s="169" t="str">
        <f>+_xlfn.XLOOKUP(Tabla6[[#This Row],[ID CLIENTE]],'RESUMEN CLIENTES'!D:D,'RESUMEN CLIENTES'!M:M)</f>
        <v>OK</v>
      </c>
      <c r="E1033" s="71">
        <f>+_xlfn.XLOOKUP(Tabla6[[#This Row],[NOMBRE]],'RESUMEN CLIENTES'!A:A,'RESUMEN CLIENTES'!X:X)</f>
        <v>0.25</v>
      </c>
      <c r="F1033" s="71">
        <f>+_xlfn.XLOOKUP(Tabla6[[#This Row],[ID CLIENTE]],'RESUMEN CLIENTES'!D:D,'RESUMEN CLIENTES'!W:W)</f>
        <v>1</v>
      </c>
      <c r="G1033" s="17">
        <v>46079</v>
      </c>
      <c r="H1033" s="169" t="s">
        <v>81</v>
      </c>
      <c r="I1033" s="2">
        <v>1000</v>
      </c>
      <c r="J1033" s="20" t="s">
        <v>4705</v>
      </c>
      <c r="K1033" t="s">
        <v>4706</v>
      </c>
      <c r="L1033" s="44" t="str" cm="1">
        <f t="array" ref="L1033">+_xlfn.IFS(COUNTIF(INGRESOS!E:E,Tabla6[[#This Row],[ID FACTURA]])=1,"PAGADA",Tabla6[[#This Row],[ID FACTURA]]&lt;&gt;0,"EMITIDA",Tabla6[[#This Row],[ID FACTURA]]=0,"POR EMITIR")</f>
        <v>PAGADA</v>
      </c>
      <c r="M1033" s="55">
        <f>+IF(Tabla6[[#This Row],[ESTADO FACTURA]]="PAGADA",Tabla6[[#This Row],[FECHA]]-_xlfn.XLOOKUP(Tabla6[[#This Row],[N° FACTURA]],INGRESOS!F:F,INGRESOS!A:A),"-")</f>
        <v>0</v>
      </c>
      <c r="O1033"/>
    </row>
    <row r="1034" spans="1:15" ht="14.75" customHeight="1">
      <c r="A1034" s="320" t="s">
        <v>706</v>
      </c>
      <c r="B1034" t="str">
        <f>+_xlfn.XLOOKUP(Tabla6[[#This Row],[ID CLIENTE]],'RESUMEN CLIENTES'!D:D,'RESUMEN CLIENTES'!A:A)</f>
        <v>Virna Nathaly Montenegro Samaniego</v>
      </c>
      <c r="C1034" t="str">
        <f>+_xlfn.XLOOKUP(Tabla6[[#This Row],[ID CLIENTE]],'RESUMEN CLIENTES'!D:D,'RESUMEN CLIENTES'!C:C)</f>
        <v>Ecuador</v>
      </c>
      <c r="D1034" s="44" t="str">
        <f>+_xlfn.XLOOKUP(Tabla6[[#This Row],[ID CLIENTE]],'RESUMEN CLIENTES'!D:D,'RESUMEN CLIENTES'!M:M)</f>
        <v>OK</v>
      </c>
      <c r="E1034" s="72">
        <f>+_xlfn.XLOOKUP(Tabla6[[#This Row],[NOMBRE]],'RESUMEN CLIENTES'!A:A,'RESUMEN CLIENTES'!X:X)</f>
        <v>7.375</v>
      </c>
      <c r="F1034" s="72">
        <f>+_xlfn.XLOOKUP(Tabla6[[#This Row],[ID CLIENTE]],'RESUMEN CLIENTES'!D:D,'RESUMEN CLIENTES'!W:W)</f>
        <v>0</v>
      </c>
      <c r="G1034" s="17">
        <v>46079</v>
      </c>
      <c r="H1034" s="44" t="s">
        <v>81</v>
      </c>
      <c r="I1034" s="2">
        <v>1000</v>
      </c>
      <c r="J1034" s="20" t="s">
        <v>4638</v>
      </c>
      <c r="K1034" t="s">
        <v>4639</v>
      </c>
      <c r="L1034" s="44" t="str" cm="1">
        <f t="array" ref="L1034">+_xlfn.IFS(COUNTIF(INGRESOS!E:E,Tabla6[[#This Row],[ID FACTURA]])=1,"PAGADA",Tabla6[[#This Row],[ID FACTURA]]&lt;&gt;0,"EMITIDA",Tabla6[[#This Row],[ID FACTURA]]=0,"POR EMITIR")</f>
        <v>PAGADA</v>
      </c>
      <c r="M1034" s="55">
        <f>+IF(Tabla6[[#This Row],[ESTADO FACTURA]]="PAGADA",Tabla6[[#This Row],[FECHA]]-_xlfn.XLOOKUP(Tabla6[[#This Row],[N° FACTURA]],INGRESOS!F:F,INGRESOS!A:A),"-")</f>
        <v>24</v>
      </c>
      <c r="N1034" s="2"/>
      <c r="O1034"/>
    </row>
    <row r="1035" spans="1:15" ht="14.75" customHeight="1">
      <c r="A1035" s="321" t="s">
        <v>519</v>
      </c>
      <c r="B1035" t="str">
        <f>+_xlfn.XLOOKUP(Tabla6[[#This Row],[ID CLIENTE]],'RESUMEN CLIENTES'!D:D,'RESUMEN CLIENTES'!A:A)</f>
        <v>Elaine Acosta Cabrera</v>
      </c>
      <c r="C1035" t="str">
        <f>+_xlfn.XLOOKUP(Tabla6[[#This Row],[ID CLIENTE]],'RESUMEN CLIENTES'!D:D,'RESUMEN CLIENTES'!C:C)</f>
        <v>República Dominicana</v>
      </c>
      <c r="D1035" s="169" t="str">
        <f>+_xlfn.XLOOKUP(Tabla6[[#This Row],[ID CLIENTE]],'RESUMEN CLIENTES'!D:D,'RESUMEN CLIENTES'!M:M)</f>
        <v>OK</v>
      </c>
      <c r="E1035" s="71">
        <f>+_xlfn.XLOOKUP(Tabla6[[#This Row],[NOMBRE]],'RESUMEN CLIENTES'!A:A,'RESUMEN CLIENTES'!X:X)</f>
        <v>0</v>
      </c>
      <c r="F1035" s="71">
        <f>+_xlfn.XLOOKUP(Tabla6[[#This Row],[ID CLIENTE]],'RESUMEN CLIENTES'!D:D,'RESUMEN CLIENTES'!W:W)</f>
        <v>1</v>
      </c>
      <c r="G1035" s="17">
        <v>46080</v>
      </c>
      <c r="H1035" s="169" t="s">
        <v>81</v>
      </c>
      <c r="I1035" s="2">
        <v>1000</v>
      </c>
      <c r="J1035" s="20" t="s">
        <v>4707</v>
      </c>
      <c r="K1035" t="s">
        <v>4708</v>
      </c>
      <c r="L1035" s="44" t="str" cm="1">
        <f t="array" ref="L1035">+_xlfn.IFS(COUNTIF(INGRESOS!E:E,Tabla6[[#This Row],[ID FACTURA]])=1,"PAGADA",Tabla6[[#This Row],[ID FACTURA]]&lt;&gt;0,"EMITIDA",Tabla6[[#This Row],[ID FACTURA]]=0,"POR EMITIR")</f>
        <v>PAGADA</v>
      </c>
      <c r="M1035" s="54">
        <f>+IF(Tabla6[[#This Row],[ESTADO FACTURA]]="PAGADA",Tabla6[[#This Row],[FECHA]]-_xlfn.XLOOKUP(Tabla6[[#This Row],[N° FACTURA]],INGRESOS!F:F,INGRESOS!A:A),"-")</f>
        <v>0</v>
      </c>
      <c r="O1035"/>
    </row>
    <row r="1036" spans="1:15" ht="14.75" customHeight="1">
      <c r="A1036" s="320" t="s">
        <v>2046</v>
      </c>
      <c r="B1036" t="str">
        <f>+_xlfn.XLOOKUP(Tabla6[[#This Row],[ID CLIENTE]],'RESUMEN CLIENTES'!D:D,'RESUMEN CLIENTES'!A:A)</f>
        <v>Jesica Daniela Paredes Mendoza</v>
      </c>
      <c r="C1036" t="str">
        <f>+_xlfn.XLOOKUP(Tabla6[[#This Row],[ID CLIENTE]],'RESUMEN CLIENTES'!D:D,'RESUMEN CLIENTES'!C:C)</f>
        <v>México</v>
      </c>
      <c r="D1036" s="169" t="str">
        <f>+_xlfn.XLOOKUP(Tabla6[[#This Row],[ID CLIENTE]],'RESUMEN CLIENTES'!D:D,'RESUMEN CLIENTES'!M:M)</f>
        <v>OK</v>
      </c>
      <c r="E1036" s="71">
        <f>+_xlfn.XLOOKUP(Tabla6[[#This Row],[NOMBRE]],'RESUMEN CLIENTES'!A:A,'RESUMEN CLIENTES'!X:X)</f>
        <v>-2.75</v>
      </c>
      <c r="F1036" s="71">
        <f>+_xlfn.XLOOKUP(Tabla6[[#This Row],[ID CLIENTE]],'RESUMEN CLIENTES'!D:D,'RESUMEN CLIENTES'!W:W)</f>
        <v>1</v>
      </c>
      <c r="G1036" s="17">
        <v>46080</v>
      </c>
      <c r="H1036" s="169" t="s">
        <v>81</v>
      </c>
      <c r="I1036" s="2">
        <v>300</v>
      </c>
      <c r="J1036" s="20" t="s">
        <v>4634</v>
      </c>
      <c r="K1036" t="s">
        <v>4635</v>
      </c>
      <c r="L1036" s="44" t="str" cm="1">
        <f t="array" ref="L1036">+_xlfn.IFS(COUNTIF(INGRESOS!E:E,Tabla6[[#This Row],[ID FACTURA]])=1,"PAGADA",Tabla6[[#This Row],[ID FACTURA]]&lt;&gt;0,"EMITIDA",Tabla6[[#This Row],[ID FACTURA]]=0,"POR EMITIR")</f>
        <v>PAGADA</v>
      </c>
      <c r="M1036" s="54">
        <f>+IF(Tabla6[[#This Row],[ESTADO FACTURA]]="PAGADA",Tabla6[[#This Row],[FECHA]]-_xlfn.XLOOKUP(Tabla6[[#This Row],[N° FACTURA]],INGRESOS!F:F,INGRESOS!A:A),"-")</f>
        <v>-8</v>
      </c>
      <c r="O1036"/>
    </row>
    <row r="1037" spans="1:15" ht="14.75" customHeight="1">
      <c r="A1037" s="320" t="s">
        <v>711</v>
      </c>
      <c r="B1037" t="str">
        <f>+_xlfn.XLOOKUP(Tabla6[[#This Row],[ID CLIENTE]],'RESUMEN CLIENTES'!D:D,'RESUMEN CLIENTES'!A:A)</f>
        <v>Julian David Gutierrez Rodriguez</v>
      </c>
      <c r="C1037" t="str">
        <f>+_xlfn.XLOOKUP(Tabla6[[#This Row],[ID CLIENTE]],'RESUMEN CLIENTES'!D:D,'RESUMEN CLIENTES'!C:C)</f>
        <v>Colombia</v>
      </c>
      <c r="D1037" s="44" t="str">
        <f>+_xlfn.XLOOKUP(Tabla6[[#This Row],[ID CLIENTE]],'RESUMEN CLIENTES'!D:D,'RESUMEN CLIENTES'!M:M)</f>
        <v>OK</v>
      </c>
      <c r="E1037" s="72">
        <f>+_xlfn.XLOOKUP(Tabla6[[#This Row],[NOMBRE]],'RESUMEN CLIENTES'!A:A,'RESUMEN CLIENTES'!X:X)</f>
        <v>0.7142857142857143</v>
      </c>
      <c r="F1037" s="72">
        <f>+_xlfn.XLOOKUP(Tabla6[[#This Row],[ID CLIENTE]],'RESUMEN CLIENTES'!D:D,'RESUMEN CLIENTES'!W:W)</f>
        <v>1</v>
      </c>
      <c r="G1037" s="17">
        <v>46080</v>
      </c>
      <c r="H1037" s="44" t="s">
        <v>81</v>
      </c>
      <c r="I1037" s="2">
        <v>500</v>
      </c>
      <c r="J1037" s="20" t="s">
        <v>4711</v>
      </c>
      <c r="K1037" t="s">
        <v>4712</v>
      </c>
      <c r="L1037" s="44" t="str" cm="1">
        <f t="array" ref="L1037">+_xlfn.IFS(COUNTIF(INGRESOS!E:E,Tabla6[[#This Row],[ID FACTURA]])=1,"PAGADA",Tabla6[[#This Row],[ID FACTURA]]&lt;&gt;0,"EMITIDA",Tabla6[[#This Row],[ID FACTURA]]=0,"POR EMITIR")</f>
        <v>PAGADA</v>
      </c>
      <c r="M1037" s="55">
        <f>+IF(Tabla6[[#This Row],[ESTADO FACTURA]]="PAGADA",Tabla6[[#This Row],[FECHA]]-_xlfn.XLOOKUP(Tabla6[[#This Row],[N° FACTURA]],INGRESOS!F:F,INGRESOS!A:A),"-")</f>
        <v>3</v>
      </c>
      <c r="N1037" s="2"/>
      <c r="O1037"/>
    </row>
    <row r="1038" spans="1:15" ht="14.75" customHeight="1">
      <c r="A1038" s="320" t="s">
        <v>372</v>
      </c>
      <c r="B1038" t="str">
        <f>+_xlfn.XLOOKUP(Tabla6[[#This Row],[ID CLIENTE]],'RESUMEN CLIENTES'!D:D,'RESUMEN CLIENTES'!A:A)</f>
        <v>Julio Nelson Adaros Moraga</v>
      </c>
      <c r="C1038" t="str">
        <f>+_xlfn.XLOOKUP(Tabla6[[#This Row],[ID CLIENTE]],'RESUMEN CLIENTES'!D:D,'RESUMEN CLIENTES'!C:C)</f>
        <v>Chile</v>
      </c>
      <c r="D1038" s="44" t="str">
        <f>+_xlfn.XLOOKUP(Tabla6[[#This Row],[ID CLIENTE]],'RESUMEN CLIENTES'!D:D,'RESUMEN CLIENTES'!M:M)</f>
        <v>OK</v>
      </c>
      <c r="E1038" s="72">
        <f>+_xlfn.XLOOKUP(Tabla6[[#This Row],[NOMBRE]],'RESUMEN CLIENTES'!A:A,'RESUMEN CLIENTES'!X:X)</f>
        <v>1</v>
      </c>
      <c r="F1038" s="72">
        <f>+_xlfn.XLOOKUP(Tabla6[[#This Row],[ID CLIENTE]],'RESUMEN CLIENTES'!D:D,'RESUMEN CLIENTES'!W:W)</f>
        <v>1</v>
      </c>
      <c r="G1038" s="17">
        <v>46080</v>
      </c>
      <c r="H1038" s="44" t="s">
        <v>81</v>
      </c>
      <c r="I1038" s="2">
        <v>1000</v>
      </c>
      <c r="J1038" s="20" t="s">
        <v>4709</v>
      </c>
      <c r="K1038" t="s">
        <v>4710</v>
      </c>
      <c r="L1038" s="44" t="str" cm="1">
        <f t="array" ref="L1038">+_xlfn.IFS(COUNTIF(INGRESOS!E:E,Tabla6[[#This Row],[ID FACTURA]])=1,"PAGADA",Tabla6[[#This Row],[ID FACTURA]]&lt;&gt;0,"EMITIDA",Tabla6[[#This Row],[ID FACTURA]]=0,"POR EMITIR")</f>
        <v>PAGADA</v>
      </c>
      <c r="M1038" s="55">
        <f>+IF(Tabla6[[#This Row],[ESTADO FACTURA]]="PAGADA",Tabla6[[#This Row],[FECHA]]-_xlfn.XLOOKUP(Tabla6[[#This Row],[N° FACTURA]],INGRESOS!F:F,INGRESOS!A:A),"-")</f>
        <v>2</v>
      </c>
      <c r="N1038" s="2"/>
      <c r="O1038"/>
    </row>
    <row r="1039" spans="1:15" ht="14.75" customHeight="1">
      <c r="A1039" s="320" t="s">
        <v>541</v>
      </c>
      <c r="B1039" t="str">
        <f>+_xlfn.XLOOKUP(Tabla6[[#This Row],[ID CLIENTE]],'RESUMEN CLIENTES'!D:D,'RESUMEN CLIENTES'!A:A)</f>
        <v>Alejandra Goretti Figueroa Romo</v>
      </c>
      <c r="C1039" t="str">
        <f>+_xlfn.XLOOKUP(Tabla6[[#This Row],[ID CLIENTE]],'RESUMEN CLIENTES'!D:D,'RESUMEN CLIENTES'!C:C)</f>
        <v>México</v>
      </c>
      <c r="D1039" s="44" t="str">
        <f>+_xlfn.XLOOKUP(Tabla6[[#This Row],[ID CLIENTE]],'RESUMEN CLIENTES'!D:D,'RESUMEN CLIENTES'!M:M)</f>
        <v>OK</v>
      </c>
      <c r="E1039" s="72">
        <f>+_xlfn.XLOOKUP(Tabla6[[#This Row],[NOMBRE]],'RESUMEN CLIENTES'!A:A,'RESUMEN CLIENTES'!X:X)</f>
        <v>0.75</v>
      </c>
      <c r="F1039" s="72">
        <f>+_xlfn.XLOOKUP(Tabla6[[#This Row],[ID CLIENTE]],'RESUMEN CLIENTES'!D:D,'RESUMEN CLIENTES'!W:W)</f>
        <v>0</v>
      </c>
      <c r="G1039" s="17">
        <v>46081</v>
      </c>
      <c r="H1039" s="44" t="s">
        <v>81</v>
      </c>
      <c r="I1039" s="2">
        <v>1000</v>
      </c>
      <c r="J1039" s="20" t="s">
        <v>4718</v>
      </c>
      <c r="K1039" t="s">
        <v>4719</v>
      </c>
      <c r="L1039" s="44" t="str" cm="1">
        <f t="array" ref="L1039">+_xlfn.IFS(COUNTIF(INGRESOS!E:E,Tabla6[[#This Row],[ID FACTURA]])=1,"PAGADA",Tabla6[[#This Row],[ID FACTURA]]&lt;&gt;0,"EMITIDA",Tabla6[[#This Row],[ID FACTURA]]=0,"POR EMITIR")</f>
        <v>PAGADA</v>
      </c>
      <c r="M1039" s="55">
        <f>+IF(Tabla6[[#This Row],[ESTADO FACTURA]]="PAGADA",Tabla6[[#This Row],[FECHA]]-_xlfn.XLOOKUP(Tabla6[[#This Row],[N° FACTURA]],INGRESOS!F:F,INGRESOS!A:A),"-")</f>
        <v>1</v>
      </c>
      <c r="N1039" s="2"/>
      <c r="O1039"/>
    </row>
    <row r="1040" spans="1:15" ht="14.75" customHeight="1">
      <c r="A1040" s="320" t="s">
        <v>450</v>
      </c>
      <c r="B1040" t="str">
        <f>+_xlfn.XLOOKUP(Tabla6[[#This Row],[ID CLIENTE]],'RESUMEN CLIENTES'!D:D,'RESUMEN CLIENTES'!A:A)</f>
        <v>Alexandra Carolina Ordoñez Cuotto</v>
      </c>
      <c r="C1040" t="str">
        <f>+_xlfn.XLOOKUP(Tabla6[[#This Row],[ID CLIENTE]],'RESUMEN CLIENTES'!D:D,'RESUMEN CLIENTES'!C:C)</f>
        <v>Venezuela</v>
      </c>
      <c r="D1040" s="44" t="str">
        <f>+_xlfn.XLOOKUP(Tabla6[[#This Row],[ID CLIENTE]],'RESUMEN CLIENTES'!D:D,'RESUMEN CLIENTES'!M:M)</f>
        <v>¡REGULARIZAR!</v>
      </c>
      <c r="E1040" s="72">
        <f>+_xlfn.XLOOKUP(Tabla6[[#This Row],[NOMBRE]],'RESUMEN CLIENTES'!A:A,'RESUMEN CLIENTES'!X:X)</f>
        <v>-2</v>
      </c>
      <c r="F1040" s="72">
        <f>+_xlfn.XLOOKUP(Tabla6[[#This Row],[ID CLIENTE]],'RESUMEN CLIENTES'!D:D,'RESUMEN CLIENTES'!W:W)</f>
        <v>0</v>
      </c>
      <c r="G1040" s="17">
        <v>46081</v>
      </c>
      <c r="H1040" s="44" t="s">
        <v>81</v>
      </c>
      <c r="I1040" s="2">
        <v>1000</v>
      </c>
      <c r="J1040"/>
      <c r="K1040"/>
      <c r="L1040" s="44" t="str" cm="1">
        <f t="array" ref="L1040">+_xlfn.IFS(COUNTIF(INGRESOS!E:E,Tabla6[[#This Row],[ID FACTURA]])=1,"PAGADA",Tabla6[[#This Row],[ID FACTURA]]&lt;&gt;0,"EMITIDA",Tabla6[[#This Row],[ID FACTURA]]=0,"POR EMITIR")</f>
        <v>POR EMITIR</v>
      </c>
      <c r="M1040" s="55" t="str">
        <f>+IF(Tabla6[[#This Row],[ESTADO FACTURA]]="PAGADA",Tabla6[[#This Row],[FECHA]]-_xlfn.XLOOKUP(Tabla6[[#This Row],[N° FACTURA]],INGRESOS!F:F,INGRESOS!A:A),"-")</f>
        <v>-</v>
      </c>
      <c r="N1040" s="2"/>
      <c r="O1040" s="8" t="s">
        <v>4762</v>
      </c>
    </row>
    <row r="1041" spans="1:15" ht="14.75" customHeight="1">
      <c r="A1041" s="320" t="s">
        <v>84</v>
      </c>
      <c r="B1041" t="str">
        <f>+_xlfn.XLOOKUP(Tabla6[[#This Row],[ID CLIENTE]],'RESUMEN CLIENTES'!D:D,'RESUMEN CLIENTES'!A:A)</f>
        <v>Andrea Corpeño López</v>
      </c>
      <c r="C1041" t="str">
        <f>+_xlfn.XLOOKUP(Tabla6[[#This Row],[ID CLIENTE]],'RESUMEN CLIENTES'!D:D,'RESUMEN CLIENTES'!C:C)</f>
        <v>El Salvador</v>
      </c>
      <c r="D1041" s="44" t="str">
        <f>+_xlfn.XLOOKUP(Tabla6[[#This Row],[ID CLIENTE]],'RESUMEN CLIENTES'!D:D,'RESUMEN CLIENTES'!M:M)</f>
        <v>OK</v>
      </c>
      <c r="E1041" s="72">
        <f>+_xlfn.XLOOKUP(Tabla6[[#This Row],[NOMBRE]],'RESUMEN CLIENTES'!A:A,'RESUMEN CLIENTES'!X:X)</f>
        <v>-0.81818181818181823</v>
      </c>
      <c r="F1041" s="72">
        <f>+_xlfn.XLOOKUP(Tabla6[[#This Row],[ID CLIENTE]],'RESUMEN CLIENTES'!D:D,'RESUMEN CLIENTES'!W:W)</f>
        <v>0</v>
      </c>
      <c r="G1041" s="17">
        <v>46081</v>
      </c>
      <c r="H1041" s="44" t="s">
        <v>81</v>
      </c>
      <c r="I1041" s="2">
        <v>400</v>
      </c>
      <c r="J1041" s="20" t="s">
        <v>4720</v>
      </c>
      <c r="K1041" t="s">
        <v>4721</v>
      </c>
      <c r="L1041" s="44" t="str" cm="1">
        <f t="array" ref="L1041">+_xlfn.IFS(COUNTIF(INGRESOS!E:E,Tabla6[[#This Row],[ID FACTURA]])=1,"PAGADA",Tabla6[[#This Row],[ID FACTURA]]&lt;&gt;0,"EMITIDA",Tabla6[[#This Row],[ID FACTURA]]=0,"POR EMITIR")</f>
        <v>PAGADA</v>
      </c>
      <c r="M1041" s="55">
        <f>+IF(Tabla6[[#This Row],[ESTADO FACTURA]]="PAGADA",Tabla6[[#This Row],[FECHA]]-_xlfn.XLOOKUP(Tabla6[[#This Row],[N° FACTURA]],INGRESOS!F:F,INGRESOS!A:A),"-")</f>
        <v>0</v>
      </c>
      <c r="N1041" s="2"/>
      <c r="O1041"/>
    </row>
    <row r="1042" spans="1:15" ht="14.75" customHeight="1">
      <c r="A1042" s="320" t="s">
        <v>527</v>
      </c>
      <c r="B1042" t="str">
        <f>+_xlfn.XLOOKUP(Tabla6[[#This Row],[ID CLIENTE]],'RESUMEN CLIENTES'!D:D,'RESUMEN CLIENTES'!A:A)</f>
        <v>Angie Pérez Cáceres</v>
      </c>
      <c r="C1042" t="str">
        <f>+_xlfn.XLOOKUP(Tabla6[[#This Row],[ID CLIENTE]],'RESUMEN CLIENTES'!D:D,'RESUMEN CLIENTES'!C:C)</f>
        <v>Perú</v>
      </c>
      <c r="D1042" s="44" t="str">
        <f>+_xlfn.XLOOKUP(Tabla6[[#This Row],[ID CLIENTE]],'RESUMEN CLIENTES'!D:D,'RESUMEN CLIENTES'!M:M)</f>
        <v>OK</v>
      </c>
      <c r="E1042" s="72">
        <f>+_xlfn.XLOOKUP(Tabla6[[#This Row],[NOMBRE]],'RESUMEN CLIENTES'!A:A,'RESUMEN CLIENTES'!X:X)</f>
        <v>1.625</v>
      </c>
      <c r="F1042" s="72">
        <f>+_xlfn.XLOOKUP(Tabla6[[#This Row],[ID CLIENTE]],'RESUMEN CLIENTES'!D:D,'RESUMEN CLIENTES'!W:W)</f>
        <v>0</v>
      </c>
      <c r="G1042" s="17">
        <v>46081</v>
      </c>
      <c r="H1042" s="44" t="s">
        <v>81</v>
      </c>
      <c r="I1042" s="2">
        <v>1000</v>
      </c>
      <c r="J1042" s="20" t="s">
        <v>4722</v>
      </c>
      <c r="K1042" t="s">
        <v>4723</v>
      </c>
      <c r="L1042" s="44" t="str" cm="1">
        <f t="array" ref="L1042">+_xlfn.IFS(COUNTIF(INGRESOS!E:E,Tabla6[[#This Row],[ID FACTURA]])=1,"PAGADA",Tabla6[[#This Row],[ID FACTURA]]&lt;&gt;0,"EMITIDA",Tabla6[[#This Row],[ID FACTURA]]=0,"POR EMITIR")</f>
        <v>PAGADA</v>
      </c>
      <c r="M1042" s="55">
        <f>+IF(Tabla6[[#This Row],[ESTADO FACTURA]]="PAGADA",Tabla6[[#This Row],[FECHA]]-_xlfn.XLOOKUP(Tabla6[[#This Row],[N° FACTURA]],INGRESOS!F:F,INGRESOS!A:A),"-")</f>
        <v>2</v>
      </c>
      <c r="N1042" s="2"/>
      <c r="O1042"/>
    </row>
    <row r="1043" spans="1:15" ht="14.75" customHeight="1">
      <c r="A1043" s="321" t="s">
        <v>1870</v>
      </c>
      <c r="B1043" t="str">
        <f>+_xlfn.XLOOKUP(Tabla6[[#This Row],[ID CLIENTE]],'RESUMEN CLIENTES'!D:D,'RESUMEN CLIENTES'!A:A)</f>
        <v>Berenisse Shadia Yarango Garay</v>
      </c>
      <c r="C1043" t="str">
        <f>+_xlfn.XLOOKUP(Tabla6[[#This Row],[ID CLIENTE]],'RESUMEN CLIENTES'!D:D,'RESUMEN CLIENTES'!C:C)</f>
        <v>Perú</v>
      </c>
      <c r="D1043" s="169" t="str">
        <f>+_xlfn.XLOOKUP(Tabla6[[#This Row],[ID CLIENTE]],'RESUMEN CLIENTES'!D:D,'RESUMEN CLIENTES'!M:M)</f>
        <v>OK</v>
      </c>
      <c r="E1043" s="71">
        <f>+_xlfn.XLOOKUP(Tabla6[[#This Row],[NOMBRE]],'RESUMEN CLIENTES'!A:A,'RESUMEN CLIENTES'!X:X)</f>
        <v>-0.33333333333333331</v>
      </c>
      <c r="F1043" s="71">
        <f>+_xlfn.XLOOKUP(Tabla6[[#This Row],[ID CLIENTE]],'RESUMEN CLIENTES'!D:D,'RESUMEN CLIENTES'!W:W)</f>
        <v>0</v>
      </c>
      <c r="G1043" s="17">
        <v>46081</v>
      </c>
      <c r="H1043" s="169" t="s">
        <v>81</v>
      </c>
      <c r="I1043" s="2">
        <v>850</v>
      </c>
      <c r="J1043" s="20" t="s">
        <v>4724</v>
      </c>
      <c r="K1043" t="s">
        <v>4725</v>
      </c>
      <c r="L1043" s="44" t="str" cm="1">
        <f t="array" ref="L1043">+_xlfn.IFS(COUNTIF(INGRESOS!E:E,Tabla6[[#This Row],[ID FACTURA]])=1,"PAGADA",Tabla6[[#This Row],[ID FACTURA]]&lt;&gt;0,"EMITIDA",Tabla6[[#This Row],[ID FACTURA]]=0,"POR EMITIR")</f>
        <v>PAGADA</v>
      </c>
      <c r="M1043" s="54">
        <f>+IF(Tabla6[[#This Row],[ESTADO FACTURA]]="PAGADA",Tabla6[[#This Row],[FECHA]]-_xlfn.XLOOKUP(Tabla6[[#This Row],[N° FACTURA]],INGRESOS!F:F,INGRESOS!A:A),"-")</f>
        <v>2</v>
      </c>
      <c r="O1043"/>
    </row>
    <row r="1044" spans="1:15" ht="14.75" customHeight="1">
      <c r="A1044" s="320" t="s">
        <v>226</v>
      </c>
      <c r="B1044" t="str">
        <f>+_xlfn.XLOOKUP(Tabla6[[#This Row],[ID CLIENTE]],'RESUMEN CLIENTES'!D:D,'RESUMEN CLIENTES'!A:A)</f>
        <v>Carlos Josue Escobar Morán</v>
      </c>
      <c r="C1044" t="str">
        <f>+_xlfn.XLOOKUP(Tabla6[[#This Row],[ID CLIENTE]],'RESUMEN CLIENTES'!D:D,'RESUMEN CLIENTES'!C:C)</f>
        <v>El Salvador</v>
      </c>
      <c r="D1044" s="44" t="str">
        <f>+_xlfn.XLOOKUP(Tabla6[[#This Row],[ID CLIENTE]],'RESUMEN CLIENTES'!D:D,'RESUMEN CLIENTES'!M:M)</f>
        <v>OK</v>
      </c>
      <c r="E1044" s="72">
        <f>+_xlfn.XLOOKUP(Tabla6[[#This Row],[NOMBRE]],'RESUMEN CLIENTES'!A:A,'RESUMEN CLIENTES'!X:X)</f>
        <v>0.8</v>
      </c>
      <c r="F1044" s="72">
        <f>+_xlfn.XLOOKUP(Tabla6[[#This Row],[ID CLIENTE]],'RESUMEN CLIENTES'!D:D,'RESUMEN CLIENTES'!W:W)</f>
        <v>0</v>
      </c>
      <c r="G1044" s="17">
        <v>46081</v>
      </c>
      <c r="H1044" s="44" t="s">
        <v>81</v>
      </c>
      <c r="I1044" s="2">
        <v>500</v>
      </c>
      <c r="J1044" s="20" t="s">
        <v>4726</v>
      </c>
      <c r="K1044" t="s">
        <v>4727</v>
      </c>
      <c r="L1044" s="44" t="str" cm="1">
        <f t="array" ref="L1044">+_xlfn.IFS(COUNTIF(INGRESOS!E:E,Tabla6[[#This Row],[ID FACTURA]])=1,"PAGADA",Tabla6[[#This Row],[ID FACTURA]]&lt;&gt;0,"EMITIDA",Tabla6[[#This Row],[ID FACTURA]]=0,"POR EMITIR")</f>
        <v>PAGADA</v>
      </c>
      <c r="M1044" s="55">
        <f>+IF(Tabla6[[#This Row],[ESTADO FACTURA]]="PAGADA",Tabla6[[#This Row],[FECHA]]-_xlfn.XLOOKUP(Tabla6[[#This Row],[N° FACTURA]],INGRESOS!F:F,INGRESOS!A:A),"-")</f>
        <v>1</v>
      </c>
      <c r="N1044" s="2"/>
      <c r="O1044"/>
    </row>
    <row r="1045" spans="1:15" ht="14.75" customHeight="1">
      <c r="A1045" s="320" t="s">
        <v>479</v>
      </c>
      <c r="B1045" t="str">
        <f>+_xlfn.XLOOKUP(Tabla6[[#This Row],[ID CLIENTE]],'RESUMEN CLIENTES'!D:D,'RESUMEN CLIENTES'!A:A)</f>
        <v>Carlos Mersaim Olivares Sandoval</v>
      </c>
      <c r="C1045" t="str">
        <f>+_xlfn.XLOOKUP(Tabla6[[#This Row],[ID CLIENTE]],'RESUMEN CLIENTES'!D:D,'RESUMEN CLIENTES'!C:C)</f>
        <v>México</v>
      </c>
      <c r="D1045" s="44" t="str">
        <f>+_xlfn.XLOOKUP(Tabla6[[#This Row],[ID CLIENTE]],'RESUMEN CLIENTES'!D:D,'RESUMEN CLIENTES'!M:M)</f>
        <v>OK</v>
      </c>
      <c r="E1045" s="72">
        <f>+_xlfn.XLOOKUP(Tabla6[[#This Row],[NOMBRE]],'RESUMEN CLIENTES'!A:A,'RESUMEN CLIENTES'!X:X)</f>
        <v>1.4444444444444444</v>
      </c>
      <c r="F1045" s="72">
        <f>+_xlfn.XLOOKUP(Tabla6[[#This Row],[ID CLIENTE]],'RESUMEN CLIENTES'!D:D,'RESUMEN CLIENTES'!W:W)</f>
        <v>0</v>
      </c>
      <c r="G1045" s="17">
        <v>46081</v>
      </c>
      <c r="H1045" s="44" t="s">
        <v>81</v>
      </c>
      <c r="I1045" s="2">
        <v>1000</v>
      </c>
      <c r="J1045" s="20" t="s">
        <v>4728</v>
      </c>
      <c r="K1045" t="s">
        <v>4729</v>
      </c>
      <c r="L1045" s="44" t="str" cm="1">
        <f t="array" ref="L1045">+_xlfn.IFS(COUNTIF(INGRESOS!E:E,Tabla6[[#This Row],[ID FACTURA]])=1,"PAGADA",Tabla6[[#This Row],[ID FACTURA]]&lt;&gt;0,"EMITIDA",Tabla6[[#This Row],[ID FACTURA]]=0,"POR EMITIR")</f>
        <v>PAGADA</v>
      </c>
      <c r="M1045" s="55">
        <f>+IF(Tabla6[[#This Row],[ESTADO FACTURA]]="PAGADA",Tabla6[[#This Row],[FECHA]]-_xlfn.XLOOKUP(Tabla6[[#This Row],[N° FACTURA]],INGRESOS!F:F,INGRESOS!A:A),"-")</f>
        <v>0</v>
      </c>
      <c r="N1045" s="2"/>
      <c r="O1045"/>
    </row>
    <row r="1046" spans="1:15" ht="14.75" customHeight="1">
      <c r="A1046" s="320" t="s">
        <v>385</v>
      </c>
      <c r="B1046" t="str">
        <f>+_xlfn.XLOOKUP(Tabla6[[#This Row],[ID CLIENTE]],'RESUMEN CLIENTES'!D:D,'RESUMEN CLIENTES'!A:A)</f>
        <v>Ellen Cristina Gerónimo Bonilla</v>
      </c>
      <c r="C1046" t="str">
        <f>+_xlfn.XLOOKUP(Tabla6[[#This Row],[ID CLIENTE]],'RESUMEN CLIENTES'!D:D,'RESUMEN CLIENTES'!C:C)</f>
        <v>República Dominicana</v>
      </c>
      <c r="D1046" s="44" t="str">
        <f>+_xlfn.XLOOKUP(Tabla6[[#This Row],[ID CLIENTE]],'RESUMEN CLIENTES'!D:D,'RESUMEN CLIENTES'!M:M)</f>
        <v>OK</v>
      </c>
      <c r="E1046" s="72">
        <f>+_xlfn.XLOOKUP(Tabla6[[#This Row],[NOMBRE]],'RESUMEN CLIENTES'!A:A,'RESUMEN CLIENTES'!X:X)</f>
        <v>1.5555555555555556</v>
      </c>
      <c r="F1046" s="72">
        <f>+_xlfn.XLOOKUP(Tabla6[[#This Row],[ID CLIENTE]],'RESUMEN CLIENTES'!D:D,'RESUMEN CLIENTES'!W:W)</f>
        <v>1</v>
      </c>
      <c r="G1046" s="17">
        <v>46081</v>
      </c>
      <c r="H1046" s="44" t="s">
        <v>81</v>
      </c>
      <c r="I1046" s="2">
        <v>600</v>
      </c>
      <c r="J1046" s="20" t="s">
        <v>4730</v>
      </c>
      <c r="K1046" t="s">
        <v>4731</v>
      </c>
      <c r="L1046" s="44" t="str" cm="1">
        <f t="array" ref="L1046">+_xlfn.IFS(COUNTIF(INGRESOS!E:E,Tabla6[[#This Row],[ID FACTURA]])=1,"PAGADA",Tabla6[[#This Row],[ID FACTURA]]&lt;&gt;0,"EMITIDA",Tabla6[[#This Row],[ID FACTURA]]=0,"POR EMITIR")</f>
        <v>PAGADA</v>
      </c>
      <c r="M1046" s="55">
        <f>+IF(Tabla6[[#This Row],[ESTADO FACTURA]]="PAGADA",Tabla6[[#This Row],[FECHA]]-_xlfn.XLOOKUP(Tabla6[[#This Row],[N° FACTURA]],INGRESOS!F:F,INGRESOS!A:A),"-")</f>
        <v>2</v>
      </c>
      <c r="N1046" s="2"/>
      <c r="O1046"/>
    </row>
    <row r="1047" spans="1:15" ht="14.75" customHeight="1">
      <c r="A1047" s="320" t="s">
        <v>595</v>
      </c>
      <c r="B1047" t="str">
        <f>+_xlfn.XLOOKUP(Tabla6[[#This Row],[ID CLIENTE]],'RESUMEN CLIENTES'!D:D,'RESUMEN CLIENTES'!A:A)</f>
        <v>Erick Leonardo Chiriboga Valdiviezo</v>
      </c>
      <c r="C1047" t="str">
        <f>+_xlfn.XLOOKUP(Tabla6[[#This Row],[ID CLIENTE]],'RESUMEN CLIENTES'!D:D,'RESUMEN CLIENTES'!C:C)</f>
        <v>Ecuador</v>
      </c>
      <c r="D1047" s="44" t="str">
        <f>+_xlfn.XLOOKUP(Tabla6[[#This Row],[ID CLIENTE]],'RESUMEN CLIENTES'!D:D,'RESUMEN CLIENTES'!M:M)</f>
        <v>OK</v>
      </c>
      <c r="E1047" s="72">
        <f>+_xlfn.XLOOKUP(Tabla6[[#This Row],[NOMBRE]],'RESUMEN CLIENTES'!A:A,'RESUMEN CLIENTES'!X:X)</f>
        <v>-0.33333333333333331</v>
      </c>
      <c r="F1047" s="71">
        <f>+_xlfn.XLOOKUP(Tabla6[[#This Row],[ID CLIENTE]],'RESUMEN CLIENTES'!D:D,'RESUMEN CLIENTES'!W:W)</f>
        <v>0</v>
      </c>
      <c r="G1047" s="17">
        <v>46081</v>
      </c>
      <c r="H1047" s="44" t="s">
        <v>81</v>
      </c>
      <c r="I1047" s="2">
        <v>1000</v>
      </c>
      <c r="J1047" s="20" t="s">
        <v>4850</v>
      </c>
      <c r="K1047" t="s">
        <v>4851</v>
      </c>
      <c r="L1047" s="44" t="str" cm="1">
        <f t="array" ref="L1047">+_xlfn.IFS(COUNTIF(INGRESOS!E:E,Tabla6[[#This Row],[ID FACTURA]])=1,"PAGADA",Tabla6[[#This Row],[ID FACTURA]]&lt;&gt;0,"EMITIDA",Tabla6[[#This Row],[ID FACTURA]]=0,"POR EMITIR")</f>
        <v>PAGADA</v>
      </c>
      <c r="M1047" s="55">
        <f>+IF(Tabla6[[#This Row],[ESTADO FACTURA]]="PAGADA",Tabla6[[#This Row],[FECHA]]-_xlfn.XLOOKUP(Tabla6[[#This Row],[N° FACTURA]],INGRESOS!F:F,INGRESOS!A:A),"-")</f>
        <v>-2</v>
      </c>
      <c r="N1047" s="214"/>
      <c r="O1047"/>
    </row>
    <row r="1048" spans="1:15" ht="14.75" customHeight="1">
      <c r="A1048" s="320" t="s">
        <v>1761</v>
      </c>
      <c r="B1048" t="str">
        <f>+_xlfn.XLOOKUP(Tabla6[[#This Row],[ID CLIENTE]],'RESUMEN CLIENTES'!D:D,'RESUMEN CLIENTES'!A:A)</f>
        <v>Francisco Salas Barrera</v>
      </c>
      <c r="C1048" t="str">
        <f>+_xlfn.XLOOKUP(Tabla6[[#This Row],[ID CLIENTE]],'RESUMEN CLIENTES'!D:D,'RESUMEN CLIENTES'!C:C)</f>
        <v>México</v>
      </c>
      <c r="D1048" s="169" t="str">
        <f>+_xlfn.XLOOKUP(Tabla6[[#This Row],[ID CLIENTE]],'RESUMEN CLIENTES'!D:D,'RESUMEN CLIENTES'!M:M)</f>
        <v>OK</v>
      </c>
      <c r="E1048" s="71">
        <f>+_xlfn.XLOOKUP(Tabla6[[#This Row],[NOMBRE]],'RESUMEN CLIENTES'!A:A,'RESUMEN CLIENTES'!X:X)</f>
        <v>-0.75</v>
      </c>
      <c r="F1048" s="71">
        <f>+_xlfn.XLOOKUP(Tabla6[[#This Row],[ID CLIENTE]],'RESUMEN CLIENTES'!D:D,'RESUMEN CLIENTES'!W:W)</f>
        <v>0</v>
      </c>
      <c r="G1048" s="17">
        <v>46081</v>
      </c>
      <c r="H1048" s="169" t="s">
        <v>81</v>
      </c>
      <c r="I1048" s="2">
        <v>1000</v>
      </c>
      <c r="J1048" s="20" t="s">
        <v>4737</v>
      </c>
      <c r="K1048" t="s">
        <v>4738</v>
      </c>
      <c r="L1048" s="44" t="str" cm="1">
        <f t="array" ref="L1048">+_xlfn.IFS(COUNTIF(INGRESOS!E:E,Tabla6[[#This Row],[ID FACTURA]])=1,"PAGADA",Tabla6[[#This Row],[ID FACTURA]]&lt;&gt;0,"EMITIDA",Tabla6[[#This Row],[ID FACTURA]]=0,"POR EMITIR")</f>
        <v>PAGADA</v>
      </c>
      <c r="M1048" s="55">
        <f>+IF(Tabla6[[#This Row],[ESTADO FACTURA]]="PAGADA",Tabla6[[#This Row],[FECHA]]-_xlfn.XLOOKUP(Tabla6[[#This Row],[N° FACTURA]],INGRESOS!F:F,INGRESOS!A:A),"-")</f>
        <v>0</v>
      </c>
      <c r="O1048"/>
    </row>
    <row r="1049" spans="1:15" ht="14.75" customHeight="1">
      <c r="A1049" s="320" t="s">
        <v>739</v>
      </c>
      <c r="B1049" t="str">
        <f>+_xlfn.XLOOKUP(Tabla6[[#This Row],[ID CLIENTE]],'RESUMEN CLIENTES'!D:D,'RESUMEN CLIENTES'!A:A)</f>
        <v>Gilberto Martiñon Torres</v>
      </c>
      <c r="C1049" t="str">
        <f>+_xlfn.XLOOKUP(Tabla6[[#This Row],[ID CLIENTE]],'RESUMEN CLIENTES'!D:D,'RESUMEN CLIENTES'!C:C)</f>
        <v>México</v>
      </c>
      <c r="D1049" s="44" t="str">
        <f>+_xlfn.XLOOKUP(Tabla6[[#This Row],[ID CLIENTE]],'RESUMEN CLIENTES'!D:D,'RESUMEN CLIENTES'!M:M)</f>
        <v>OK</v>
      </c>
      <c r="E1049" s="72">
        <f>+_xlfn.XLOOKUP(Tabla6[[#This Row],[NOMBRE]],'RESUMEN CLIENTES'!A:A,'RESUMEN CLIENTES'!X:X)</f>
        <v>-0.625</v>
      </c>
      <c r="F1049" s="72">
        <f>+_xlfn.XLOOKUP(Tabla6[[#This Row],[ID CLIENTE]],'RESUMEN CLIENTES'!D:D,'RESUMEN CLIENTES'!W:W)</f>
        <v>0</v>
      </c>
      <c r="G1049" s="17">
        <v>46081</v>
      </c>
      <c r="H1049" s="44" t="s">
        <v>81</v>
      </c>
      <c r="I1049" s="2">
        <v>700</v>
      </c>
      <c r="J1049" s="20" t="s">
        <v>4739</v>
      </c>
      <c r="K1049" t="s">
        <v>4740</v>
      </c>
      <c r="L1049" s="44" t="str" cm="1">
        <f t="array" ref="L1049">+_xlfn.IFS(COUNTIF(INGRESOS!E:E,Tabla6[[#This Row],[ID FACTURA]])=1,"PAGADA",Tabla6[[#This Row],[ID FACTURA]]&lt;&gt;0,"EMITIDA",Tabla6[[#This Row],[ID FACTURA]]=0,"POR EMITIR")</f>
        <v>PAGADA</v>
      </c>
      <c r="M1049" s="55">
        <f>+IF(Tabla6[[#This Row],[ESTADO FACTURA]]="PAGADA",Tabla6[[#This Row],[FECHA]]-_xlfn.XLOOKUP(Tabla6[[#This Row],[N° FACTURA]],INGRESOS!F:F,INGRESOS!A:A),"-")</f>
        <v>0</v>
      </c>
      <c r="N1049" s="2"/>
      <c r="O1049"/>
    </row>
    <row r="1050" spans="1:15" ht="14.75" customHeight="1">
      <c r="A1050" s="320" t="s">
        <v>106</v>
      </c>
      <c r="B1050" t="str">
        <f>+_xlfn.XLOOKUP(Tabla6[[#This Row],[ID CLIENTE]],'RESUMEN CLIENTES'!D:D,'RESUMEN CLIENTES'!A:A)</f>
        <v>Hector Armando Daza Mejia</v>
      </c>
      <c r="C1050" t="str">
        <f>+_xlfn.XLOOKUP(Tabla6[[#This Row],[ID CLIENTE]],'RESUMEN CLIENTES'!D:D,'RESUMEN CLIENTES'!C:C)</f>
        <v>Colombia</v>
      </c>
      <c r="D1050" s="44" t="str">
        <f>+_xlfn.XLOOKUP(Tabla6[[#This Row],[ID CLIENTE]],'RESUMEN CLIENTES'!D:D,'RESUMEN CLIENTES'!M:M)</f>
        <v>OK</v>
      </c>
      <c r="E1050" s="72">
        <f>+_xlfn.XLOOKUP(Tabla6[[#This Row],[NOMBRE]],'RESUMEN CLIENTES'!A:A,'RESUMEN CLIENTES'!X:X)</f>
        <v>1.1111111111111112</v>
      </c>
      <c r="F1050" s="72">
        <f>+_xlfn.XLOOKUP(Tabla6[[#This Row],[ID CLIENTE]],'RESUMEN CLIENTES'!D:D,'RESUMEN CLIENTES'!W:W)</f>
        <v>0</v>
      </c>
      <c r="G1050" s="17">
        <v>46081</v>
      </c>
      <c r="H1050" s="44" t="s">
        <v>81</v>
      </c>
      <c r="I1050" s="2">
        <v>1500</v>
      </c>
      <c r="J1050" s="20" t="s">
        <v>4741</v>
      </c>
      <c r="K1050" t="s">
        <v>4742</v>
      </c>
      <c r="L1050" s="44" t="str" cm="1">
        <f t="array" ref="L1050">+_xlfn.IFS(COUNTIF(INGRESOS!E:E,Tabla6[[#This Row],[ID FACTURA]])=1,"PAGADA",Tabla6[[#This Row],[ID FACTURA]]&lt;&gt;0,"EMITIDA",Tabla6[[#This Row],[ID FACTURA]]=0,"POR EMITIR")</f>
        <v>PAGADA</v>
      </c>
      <c r="M1050" s="55">
        <f>+IF(Tabla6[[#This Row],[ESTADO FACTURA]]="PAGADA",Tabla6[[#This Row],[FECHA]]-_xlfn.XLOOKUP(Tabla6[[#This Row],[N° FACTURA]],INGRESOS!F:F,INGRESOS!A:A),"-")</f>
        <v>1</v>
      </c>
      <c r="N1050" s="2"/>
      <c r="O1050"/>
    </row>
    <row r="1051" spans="1:15" ht="14.75" customHeight="1">
      <c r="A1051" s="320" t="s">
        <v>139</v>
      </c>
      <c r="B1051" t="str">
        <f>+_xlfn.XLOOKUP(Tabla6[[#This Row],[ID CLIENTE]],'RESUMEN CLIENTES'!D:D,'RESUMEN CLIENTES'!A:A)</f>
        <v>Hugo Nicolás Trávez Morales</v>
      </c>
      <c r="C1051" t="str">
        <f>+_xlfn.XLOOKUP(Tabla6[[#This Row],[ID CLIENTE]],'RESUMEN CLIENTES'!D:D,'RESUMEN CLIENTES'!C:C)</f>
        <v>Ecuador</v>
      </c>
      <c r="D1051" s="169" t="str">
        <f>+_xlfn.XLOOKUP(Tabla6[[#This Row],[ID CLIENTE]],'RESUMEN CLIENTES'!D:D,'RESUMEN CLIENTES'!M:M)</f>
        <v>OK</v>
      </c>
      <c r="E1051" s="71">
        <f>+_xlfn.XLOOKUP(Tabla6[[#This Row],[NOMBRE]],'RESUMEN CLIENTES'!A:A,'RESUMEN CLIENTES'!X:X)</f>
        <v>0</v>
      </c>
      <c r="F1051" s="71">
        <f>+_xlfn.XLOOKUP(Tabla6[[#This Row],[ID CLIENTE]],'RESUMEN CLIENTES'!D:D,'RESUMEN CLIENTES'!W:W)</f>
        <v>0</v>
      </c>
      <c r="G1051" s="17">
        <v>46081</v>
      </c>
      <c r="H1051" s="44" t="s">
        <v>81</v>
      </c>
      <c r="I1051" s="2">
        <v>500</v>
      </c>
      <c r="J1051" s="20" t="s">
        <v>4760</v>
      </c>
      <c r="K1051" t="s">
        <v>4761</v>
      </c>
      <c r="L1051" s="44" t="str" cm="1">
        <f t="array" ref="L1051">+_xlfn.IFS(COUNTIF(INGRESOS!E:E,Tabla6[[#This Row],[ID FACTURA]])=1,"PAGADA",Tabla6[[#This Row],[ID FACTURA]]&lt;&gt;0,"EMITIDA",Tabla6[[#This Row],[ID FACTURA]]=0,"POR EMITIR")</f>
        <v>PAGADA</v>
      </c>
      <c r="M1051" s="54">
        <f>+IF(Tabla6[[#This Row],[ESTADO FACTURA]]="PAGADA",Tabla6[[#This Row],[FECHA]]-_xlfn.XLOOKUP(Tabla6[[#This Row],[N° FACTURA]],INGRESOS!F:F,INGRESOS!A:A),"-")</f>
        <v>0</v>
      </c>
      <c r="O1051"/>
    </row>
    <row r="1052" spans="1:15" ht="14.75" customHeight="1">
      <c r="A1052" s="320" t="s">
        <v>266</v>
      </c>
      <c r="B1052" t="str">
        <f>+_xlfn.XLOOKUP(Tabla6[[#This Row],[ID CLIENTE]],'RESUMEN CLIENTES'!D:D,'RESUMEN CLIENTES'!A:A)</f>
        <v>Juan Camilo Sanchez Ramirez</v>
      </c>
      <c r="C1052" t="str">
        <f>+_xlfn.XLOOKUP(Tabla6[[#This Row],[ID CLIENTE]],'RESUMEN CLIENTES'!D:D,'RESUMEN CLIENTES'!C:C)</f>
        <v>Colombia</v>
      </c>
      <c r="D1052" s="44" t="str">
        <f>+_xlfn.XLOOKUP(Tabla6[[#This Row],[ID CLIENTE]],'RESUMEN CLIENTES'!D:D,'RESUMEN CLIENTES'!M:M)</f>
        <v>OK</v>
      </c>
      <c r="E1052" s="72">
        <f>+_xlfn.XLOOKUP(Tabla6[[#This Row],[NOMBRE]],'RESUMEN CLIENTES'!A:A,'RESUMEN CLIENTES'!X:X)</f>
        <v>0.2</v>
      </c>
      <c r="F1052" s="72">
        <f>+_xlfn.XLOOKUP(Tabla6[[#This Row],[ID CLIENTE]],'RESUMEN CLIENTES'!D:D,'RESUMEN CLIENTES'!W:W)</f>
        <v>0</v>
      </c>
      <c r="G1052" s="17">
        <v>46081</v>
      </c>
      <c r="H1052" s="44" t="s">
        <v>81</v>
      </c>
      <c r="I1052" s="2">
        <v>1000</v>
      </c>
      <c r="J1052" s="20" t="s">
        <v>4743</v>
      </c>
      <c r="K1052" t="s">
        <v>4744</v>
      </c>
      <c r="L1052" s="44" t="str" cm="1">
        <f t="array" ref="L1052">+_xlfn.IFS(COUNTIF(INGRESOS!E:E,Tabla6[[#This Row],[ID FACTURA]])=1,"PAGADA",Tabla6[[#This Row],[ID FACTURA]]&lt;&gt;0,"EMITIDA",Tabla6[[#This Row],[ID FACTURA]]=0,"POR EMITIR")</f>
        <v>PAGADA</v>
      </c>
      <c r="M1052" s="55">
        <f>+IF(Tabla6[[#This Row],[ESTADO FACTURA]]="PAGADA",Tabla6[[#This Row],[FECHA]]-_xlfn.XLOOKUP(Tabla6[[#This Row],[N° FACTURA]],INGRESOS!F:F,INGRESOS!A:A),"-")</f>
        <v>0</v>
      </c>
      <c r="N1052" s="2"/>
      <c r="O1052"/>
    </row>
    <row r="1053" spans="1:15" ht="14.75" customHeight="1">
      <c r="A1053" s="320" t="s">
        <v>1461</v>
      </c>
      <c r="B1053" t="str">
        <f>+_xlfn.XLOOKUP(Tabla6[[#This Row],[ID CLIENTE]],'RESUMEN CLIENTES'!D:D,'RESUMEN CLIENTES'!A:A)</f>
        <v>Katerine Marianela Verastegui Mendoza</v>
      </c>
      <c r="C1053" t="str">
        <f>+_xlfn.XLOOKUP(Tabla6[[#This Row],[ID CLIENTE]],'RESUMEN CLIENTES'!D:D,'RESUMEN CLIENTES'!C:C)</f>
        <v>Perú</v>
      </c>
      <c r="D1053" s="44" t="str">
        <f>+_xlfn.XLOOKUP(Tabla6[[#This Row],[ID CLIENTE]],'RESUMEN CLIENTES'!D:D,'RESUMEN CLIENTES'!M:M)</f>
        <v>OK</v>
      </c>
      <c r="E1053" s="71">
        <f>+_xlfn.XLOOKUP(Tabla6[[#This Row],[NOMBRE]],'RESUMEN CLIENTES'!A:A,'RESUMEN CLIENTES'!X:X)</f>
        <v>-2</v>
      </c>
      <c r="F1053" s="71">
        <f>+_xlfn.XLOOKUP(Tabla6[[#This Row],[ID CLIENTE]],'RESUMEN CLIENTES'!D:D,'RESUMEN CLIENTES'!W:W)</f>
        <v>0</v>
      </c>
      <c r="G1053" s="17">
        <v>46081</v>
      </c>
      <c r="H1053" s="169" t="s">
        <v>81</v>
      </c>
      <c r="I1053" s="2">
        <v>1000</v>
      </c>
      <c r="J1053" t="s">
        <v>4745</v>
      </c>
      <c r="K1053" t="s">
        <v>4746</v>
      </c>
      <c r="L1053" s="44" t="str" cm="1">
        <f t="array" ref="L1053">+_xlfn.IFS(COUNTIF(INGRESOS!E:E,Tabla6[[#This Row],[ID FACTURA]])=1,"PAGADA",Tabla6[[#This Row],[ID FACTURA]]&lt;&gt;0,"EMITIDA",Tabla6[[#This Row],[ID FACTURA]]=0,"POR EMITIR")</f>
        <v>EMITIDA</v>
      </c>
      <c r="M1053" s="55" t="str">
        <f>+IF(Tabla6[[#This Row],[ESTADO FACTURA]]="PAGADA",Tabla6[[#This Row],[FECHA]]-_xlfn.XLOOKUP(Tabla6[[#This Row],[N° FACTURA]],INGRESOS!F:F,INGRESOS!A:A),"-")</f>
        <v>-</v>
      </c>
      <c r="N1053" s="2"/>
      <c r="O1053" t="s">
        <v>4747</v>
      </c>
    </row>
    <row r="1054" spans="1:15" ht="14.75" customHeight="1">
      <c r="A1054" s="320" t="s">
        <v>441</v>
      </c>
      <c r="B1054" t="str">
        <f>+_xlfn.XLOOKUP(Tabla6[[#This Row],[ID CLIENTE]],'RESUMEN CLIENTES'!D:D,'RESUMEN CLIENTES'!A:A)</f>
        <v>Luis Manuel Villanueva Contreras</v>
      </c>
      <c r="C1054" t="str">
        <f>+_xlfn.XLOOKUP(Tabla6[[#This Row],[ID CLIENTE]],'RESUMEN CLIENTES'!D:D,'RESUMEN CLIENTES'!C:C)</f>
        <v>México</v>
      </c>
      <c r="D1054" s="44" t="str">
        <f>+_xlfn.XLOOKUP(Tabla6[[#This Row],[ID CLIENTE]],'RESUMEN CLIENTES'!D:D,'RESUMEN CLIENTES'!M:M)</f>
        <v>OK</v>
      </c>
      <c r="E1054" s="72">
        <f>+_xlfn.XLOOKUP(Tabla6[[#This Row],[NOMBRE]],'RESUMEN CLIENTES'!A:A,'RESUMEN CLIENTES'!X:X)</f>
        <v>0.55555555555555558</v>
      </c>
      <c r="F1054" s="72">
        <f>+_xlfn.XLOOKUP(Tabla6[[#This Row],[ID CLIENTE]],'RESUMEN CLIENTES'!D:D,'RESUMEN CLIENTES'!W:W)</f>
        <v>0</v>
      </c>
      <c r="G1054" s="17">
        <v>46081</v>
      </c>
      <c r="H1054" s="44" t="s">
        <v>81</v>
      </c>
      <c r="I1054" s="2">
        <v>1000</v>
      </c>
      <c r="J1054" s="20" t="s">
        <v>4748</v>
      </c>
      <c r="K1054" t="s">
        <v>4749</v>
      </c>
      <c r="L1054" s="44" t="str" cm="1">
        <f t="array" ref="L1054">+_xlfn.IFS(COUNTIF(INGRESOS!E:E,Tabla6[[#This Row],[ID FACTURA]])=1,"PAGADA",Tabla6[[#This Row],[ID FACTURA]]&lt;&gt;0,"EMITIDA",Tabla6[[#This Row],[ID FACTURA]]=0,"POR EMITIR")</f>
        <v>PAGADA</v>
      </c>
      <c r="M1054" s="55">
        <f>+IF(Tabla6[[#This Row],[ESTADO FACTURA]]="PAGADA",Tabla6[[#This Row],[FECHA]]-_xlfn.XLOOKUP(Tabla6[[#This Row],[N° FACTURA]],INGRESOS!F:F,INGRESOS!A:A),"-")</f>
        <v>1</v>
      </c>
      <c r="N1054" s="2"/>
      <c r="O1054"/>
    </row>
    <row r="1055" spans="1:15" ht="14.75" customHeight="1">
      <c r="A1055" s="320" t="s">
        <v>390</v>
      </c>
      <c r="B1055" t="str">
        <f>+_xlfn.XLOOKUP(Tabla6[[#This Row],[ID CLIENTE]],'RESUMEN CLIENTES'!D:D,'RESUMEN CLIENTES'!A:A)</f>
        <v>María Fernanda Lincango Andi</v>
      </c>
      <c r="C1055" t="str">
        <f>+_xlfn.XLOOKUP(Tabla6[[#This Row],[ID CLIENTE]],'RESUMEN CLIENTES'!D:D,'RESUMEN CLIENTES'!C:C)</f>
        <v>Ecuador</v>
      </c>
      <c r="D1055" s="44" t="str">
        <f>+_xlfn.XLOOKUP(Tabla6[[#This Row],[ID CLIENTE]],'RESUMEN CLIENTES'!D:D,'RESUMEN CLIENTES'!M:M)</f>
        <v>¡REGULARIZAR!</v>
      </c>
      <c r="E1055" s="72">
        <f>+_xlfn.XLOOKUP(Tabla6[[#This Row],[NOMBRE]],'RESUMEN CLIENTES'!A:A,'RESUMEN CLIENTES'!X:X)</f>
        <v>0.66666666666666663</v>
      </c>
      <c r="F1055" s="72">
        <f>+_xlfn.XLOOKUP(Tabla6[[#This Row],[ID CLIENTE]],'RESUMEN CLIENTES'!D:D,'RESUMEN CLIENTES'!W:W)</f>
        <v>0</v>
      </c>
      <c r="G1055" s="17">
        <v>46081</v>
      </c>
      <c r="H1055" s="44" t="s">
        <v>81</v>
      </c>
      <c r="I1055" s="2">
        <v>599</v>
      </c>
      <c r="J1055" t="s">
        <v>6708</v>
      </c>
      <c r="K1055" t="s">
        <v>6709</v>
      </c>
      <c r="L1055" s="44" t="str" cm="1">
        <f t="array" ref="L1055">+_xlfn.IFS(COUNTIF(INGRESOS!E:E,Tabla6[[#This Row],[ID FACTURA]])=1,"PAGADA",Tabla6[[#This Row],[ID FACTURA]]&lt;&gt;0,"EMITIDA",Tabla6[[#This Row],[ID FACTURA]]=0,"POR EMITIR")</f>
        <v>EMITIDA</v>
      </c>
      <c r="M1055" s="55" t="str">
        <f>+IF(Tabla6[[#This Row],[ESTADO FACTURA]]="PAGADA",Tabla6[[#This Row],[FECHA]]-_xlfn.XLOOKUP(Tabla6[[#This Row],[N° FACTURA]],INGRESOS!F:F,INGRESOS!A:A),"-")</f>
        <v>-</v>
      </c>
      <c r="N1055" s="2"/>
      <c r="O1055" t="s">
        <v>6710</v>
      </c>
    </row>
    <row r="1056" spans="1:15" ht="14.75" customHeight="1">
      <c r="A1056" s="320" t="s">
        <v>590</v>
      </c>
      <c r="B1056" t="str">
        <f>+_xlfn.XLOOKUP(Tabla6[[#This Row],[ID CLIENTE]],'RESUMEN CLIENTES'!D:D,'RESUMEN CLIENTES'!A:A)</f>
        <v>María Lucero de Jesús Barrios Sazo</v>
      </c>
      <c r="C1056" t="str">
        <f>+_xlfn.XLOOKUP(Tabla6[[#This Row],[ID CLIENTE]],'RESUMEN CLIENTES'!D:D,'RESUMEN CLIENTES'!C:C)</f>
        <v>Guatemala</v>
      </c>
      <c r="D1056" s="44" t="str">
        <f>+_xlfn.XLOOKUP(Tabla6[[#This Row],[ID CLIENTE]],'RESUMEN CLIENTES'!D:D,'RESUMEN CLIENTES'!M:M)</f>
        <v>OK</v>
      </c>
      <c r="E1056" s="72">
        <f>+_xlfn.XLOOKUP(Tabla6[[#This Row],[NOMBRE]],'RESUMEN CLIENTES'!A:A,'RESUMEN CLIENTES'!X:X)</f>
        <v>1.25</v>
      </c>
      <c r="F1056" s="72">
        <f>+_xlfn.XLOOKUP(Tabla6[[#This Row],[ID CLIENTE]],'RESUMEN CLIENTES'!D:D,'RESUMEN CLIENTES'!W:W)</f>
        <v>0</v>
      </c>
      <c r="G1056" s="17">
        <v>46081</v>
      </c>
      <c r="H1056" s="44" t="s">
        <v>81</v>
      </c>
      <c r="I1056" s="2">
        <v>700</v>
      </c>
      <c r="J1056" s="20" t="s">
        <v>4750</v>
      </c>
      <c r="K1056" t="s">
        <v>4751</v>
      </c>
      <c r="L1056" s="44" t="str" cm="1">
        <f t="array" ref="L1056">+_xlfn.IFS(COUNTIF(INGRESOS!E:E,Tabla6[[#This Row],[ID FACTURA]])=1,"PAGADA",Tabla6[[#This Row],[ID FACTURA]]&lt;&gt;0,"EMITIDA",Tabla6[[#This Row],[ID FACTURA]]=0,"POR EMITIR")</f>
        <v>PAGADA</v>
      </c>
      <c r="M1056" s="55">
        <f>+IF(Tabla6[[#This Row],[ESTADO FACTURA]]="PAGADA",Tabla6[[#This Row],[FECHA]]-_xlfn.XLOOKUP(Tabla6[[#This Row],[N° FACTURA]],INGRESOS!F:F,INGRESOS!A:A),"-")</f>
        <v>1</v>
      </c>
      <c r="N1056" s="2"/>
      <c r="O1056"/>
    </row>
    <row r="1057" spans="1:15" ht="14.75" customHeight="1">
      <c r="A1057" s="320" t="s">
        <v>1201</v>
      </c>
      <c r="B1057" t="str">
        <f>+_xlfn.XLOOKUP(Tabla6[[#This Row],[ID CLIENTE]],'RESUMEN CLIENTES'!D:D,'RESUMEN CLIENTES'!A:A)</f>
        <v>María Soledad Tituana Asanza</v>
      </c>
      <c r="C1057" t="str">
        <f>+_xlfn.XLOOKUP(Tabla6[[#This Row],[ID CLIENTE]],'RESUMEN CLIENTES'!D:D,'RESUMEN CLIENTES'!C:C)</f>
        <v>Ecuador</v>
      </c>
      <c r="D1057" s="44" t="str">
        <f>+_xlfn.XLOOKUP(Tabla6[[#This Row],[ID CLIENTE]],'RESUMEN CLIENTES'!D:D,'RESUMEN CLIENTES'!M:M)</f>
        <v>OK</v>
      </c>
      <c r="E1057" s="72">
        <f>+_xlfn.XLOOKUP(Tabla6[[#This Row],[NOMBRE]],'RESUMEN CLIENTES'!A:A,'RESUMEN CLIENTES'!X:X)</f>
        <v>-0.16666666666666666</v>
      </c>
      <c r="F1057" s="72">
        <f>+_xlfn.XLOOKUP(Tabla6[[#This Row],[ID CLIENTE]],'RESUMEN CLIENTES'!D:D,'RESUMEN CLIENTES'!W:W)</f>
        <v>0</v>
      </c>
      <c r="G1057" s="17">
        <v>46081</v>
      </c>
      <c r="H1057" s="44" t="s">
        <v>81</v>
      </c>
      <c r="I1057" s="2">
        <v>1000</v>
      </c>
      <c r="J1057" s="20" t="s">
        <v>4752</v>
      </c>
      <c r="K1057" t="s">
        <v>4753</v>
      </c>
      <c r="L1057" s="44" t="str" cm="1">
        <f t="array" ref="L1057">+_xlfn.IFS(COUNTIF(INGRESOS!E:E,Tabla6[[#This Row],[ID FACTURA]])=1,"PAGADA",Tabla6[[#This Row],[ID FACTURA]]&lt;&gt;0,"EMITIDA",Tabla6[[#This Row],[ID FACTURA]]=0,"POR EMITIR")</f>
        <v>PAGADA</v>
      </c>
      <c r="M1057" s="55">
        <f>+IF(Tabla6[[#This Row],[ESTADO FACTURA]]="PAGADA",Tabla6[[#This Row],[FECHA]]-_xlfn.XLOOKUP(Tabla6[[#This Row],[N° FACTURA]],INGRESOS!F:F,INGRESOS!A:A),"-")</f>
        <v>1</v>
      </c>
      <c r="N1057" s="2"/>
      <c r="O1057"/>
    </row>
    <row r="1058" spans="1:15" ht="14.75" customHeight="1">
      <c r="A1058" s="320" t="s">
        <v>314</v>
      </c>
      <c r="B1058" t="str">
        <f>+_xlfn.XLOOKUP(Tabla6[[#This Row],[ID CLIENTE]],'RESUMEN CLIENTES'!D:D,'RESUMEN CLIENTES'!A:A)</f>
        <v>Miguel Angel Sisalima Shiña</v>
      </c>
      <c r="C1058" t="str">
        <f>+_xlfn.XLOOKUP(Tabla6[[#This Row],[ID CLIENTE]],'RESUMEN CLIENTES'!D:D,'RESUMEN CLIENTES'!C:C)</f>
        <v>Ecuador</v>
      </c>
      <c r="D1058" s="44" t="str">
        <f>+_xlfn.XLOOKUP(Tabla6[[#This Row],[ID CLIENTE]],'RESUMEN CLIENTES'!D:D,'RESUMEN CLIENTES'!M:M)</f>
        <v>OK</v>
      </c>
      <c r="E1058" s="72">
        <f>+_xlfn.XLOOKUP(Tabla6[[#This Row],[NOMBRE]],'RESUMEN CLIENTES'!A:A,'RESUMEN CLIENTES'!X:X)</f>
        <v>0.6</v>
      </c>
      <c r="F1058" s="72">
        <f>+_xlfn.XLOOKUP(Tabla6[[#This Row],[ID CLIENTE]],'RESUMEN CLIENTES'!D:D,'RESUMEN CLIENTES'!W:W)</f>
        <v>0</v>
      </c>
      <c r="G1058" s="17">
        <v>46081</v>
      </c>
      <c r="H1058" s="44" t="s">
        <v>81</v>
      </c>
      <c r="I1058" s="2">
        <v>1000</v>
      </c>
      <c r="J1058" s="20" t="s">
        <v>4754</v>
      </c>
      <c r="K1058" t="s">
        <v>4755</v>
      </c>
      <c r="L1058" s="44" t="str" cm="1">
        <f t="array" ref="L1058">+_xlfn.IFS(COUNTIF(INGRESOS!E:E,Tabla6[[#This Row],[ID FACTURA]])=1,"PAGADA",Tabla6[[#This Row],[ID FACTURA]]&lt;&gt;0,"EMITIDA",Tabla6[[#This Row],[ID FACTURA]]=0,"POR EMITIR")</f>
        <v>PAGADA</v>
      </c>
      <c r="M1058" s="55">
        <f>+IF(Tabla6[[#This Row],[ESTADO FACTURA]]="PAGADA",Tabla6[[#This Row],[FECHA]]-_xlfn.XLOOKUP(Tabla6[[#This Row],[N° FACTURA]],INGRESOS!F:F,INGRESOS!A:A),"-")</f>
        <v>0</v>
      </c>
      <c r="N1058" s="2"/>
      <c r="O1058"/>
    </row>
    <row r="1059" spans="1:15" ht="14.75" customHeight="1">
      <c r="A1059" s="320" t="s">
        <v>229</v>
      </c>
      <c r="B1059" t="str">
        <f>+_xlfn.XLOOKUP(Tabla6[[#This Row],[ID CLIENTE]],'RESUMEN CLIENTES'!D:D,'RESUMEN CLIENTES'!A:A)</f>
        <v>Nathaly Gabriela Henríquez Masín</v>
      </c>
      <c r="C1059" t="str">
        <f>+_xlfn.XLOOKUP(Tabla6[[#This Row],[ID CLIENTE]],'RESUMEN CLIENTES'!D:D,'RESUMEN CLIENTES'!C:C)</f>
        <v>El Salvador</v>
      </c>
      <c r="D1059" s="44" t="str">
        <f>+_xlfn.XLOOKUP(Tabla6[[#This Row],[ID CLIENTE]],'RESUMEN CLIENTES'!D:D,'RESUMEN CLIENTES'!M:M)</f>
        <v>OK</v>
      </c>
      <c r="E1059" s="72">
        <f>+_xlfn.XLOOKUP(Tabla6[[#This Row],[NOMBRE]],'RESUMEN CLIENTES'!A:A,'RESUMEN CLIENTES'!X:X)</f>
        <v>0.7</v>
      </c>
      <c r="F1059" s="72">
        <f>+_xlfn.XLOOKUP(Tabla6[[#This Row],[ID CLIENTE]],'RESUMEN CLIENTES'!D:D,'RESUMEN CLIENTES'!W:W)</f>
        <v>0</v>
      </c>
      <c r="G1059" s="17">
        <v>46081</v>
      </c>
      <c r="H1059" s="44" t="s">
        <v>81</v>
      </c>
      <c r="I1059" s="2">
        <v>500</v>
      </c>
      <c r="J1059" s="20" t="s">
        <v>4756</v>
      </c>
      <c r="K1059" t="s">
        <v>4757</v>
      </c>
      <c r="L1059" s="44" t="str" cm="1">
        <f t="array" ref="L1059">+_xlfn.IFS(COUNTIF(INGRESOS!E:E,Tabla6[[#This Row],[ID FACTURA]])=1,"PAGADA",Tabla6[[#This Row],[ID FACTURA]]&lt;&gt;0,"EMITIDA",Tabla6[[#This Row],[ID FACTURA]]=0,"POR EMITIR")</f>
        <v>PAGADA</v>
      </c>
      <c r="M1059" s="55">
        <f>+IF(Tabla6[[#This Row],[ESTADO FACTURA]]="PAGADA",Tabla6[[#This Row],[FECHA]]-_xlfn.XLOOKUP(Tabla6[[#This Row],[N° FACTURA]],INGRESOS!F:F,INGRESOS!A:A),"-")</f>
        <v>0</v>
      </c>
      <c r="N1059" s="2"/>
      <c r="O1059"/>
    </row>
    <row r="1060" spans="1:15" ht="14.75" customHeight="1">
      <c r="A1060" s="320" t="s">
        <v>350</v>
      </c>
      <c r="B1060" t="str">
        <f>+_xlfn.XLOOKUP(Tabla6[[#This Row],[ID CLIENTE]],'RESUMEN CLIENTES'!D:D,'RESUMEN CLIENTES'!A:A)</f>
        <v>Rainier Guerrero</v>
      </c>
      <c r="C1060" t="str">
        <f>+_xlfn.XLOOKUP(Tabla6[[#This Row],[ID CLIENTE]],'RESUMEN CLIENTES'!D:D,'RESUMEN CLIENTES'!C:C)</f>
        <v>México</v>
      </c>
      <c r="D1060" s="44" t="str">
        <f>+_xlfn.XLOOKUP(Tabla6[[#This Row],[ID CLIENTE]],'RESUMEN CLIENTES'!D:D,'RESUMEN CLIENTES'!M:M)</f>
        <v>OK</v>
      </c>
      <c r="E1060" s="72">
        <f>+_xlfn.XLOOKUP(Tabla6[[#This Row],[NOMBRE]],'RESUMEN CLIENTES'!A:A,'RESUMEN CLIENTES'!X:X)</f>
        <v>-0.3</v>
      </c>
      <c r="F1060" s="72">
        <f>+_xlfn.XLOOKUP(Tabla6[[#This Row],[ID CLIENTE]],'RESUMEN CLIENTES'!D:D,'RESUMEN CLIENTES'!W:W)</f>
        <v>1</v>
      </c>
      <c r="G1060" s="17">
        <v>46081</v>
      </c>
      <c r="H1060" s="44" t="s">
        <v>81</v>
      </c>
      <c r="I1060" s="2">
        <v>1000</v>
      </c>
      <c r="J1060" s="20" t="s">
        <v>4758</v>
      </c>
      <c r="K1060" t="s">
        <v>4759</v>
      </c>
      <c r="L1060" s="44" t="str" cm="1">
        <f t="array" ref="L1060">+_xlfn.IFS(COUNTIF(INGRESOS!E:E,Tabla6[[#This Row],[ID FACTURA]])=1,"PAGADA",Tabla6[[#This Row],[ID FACTURA]]&lt;&gt;0,"EMITIDA",Tabla6[[#This Row],[ID FACTURA]]=0,"POR EMITIR")</f>
        <v>PAGADA</v>
      </c>
      <c r="M1060" s="55">
        <f>+IF(Tabla6[[#This Row],[ESTADO FACTURA]]="PAGADA",Tabla6[[#This Row],[FECHA]]-_xlfn.XLOOKUP(Tabla6[[#This Row],[N° FACTURA]],INGRESOS!F:F,INGRESOS!A:A),"-")</f>
        <v>-1</v>
      </c>
      <c r="N1060" s="2"/>
      <c r="O1060"/>
    </row>
    <row r="1061" spans="1:15" ht="14.75" customHeight="1">
      <c r="A1061" s="320" t="s">
        <v>1245</v>
      </c>
      <c r="B1061" t="str">
        <f>+_xlfn.XLOOKUP(Tabla6[[#This Row],[ID CLIENTE]],'RESUMEN CLIENTES'!D:D,'RESUMEN CLIENTES'!A:A)</f>
        <v>Constanza Andrea Águila Vergara</v>
      </c>
      <c r="C1061" t="str">
        <f>+_xlfn.XLOOKUP(Tabla6[[#This Row],[ID CLIENTE]],'RESUMEN CLIENTES'!D:D,'RESUMEN CLIENTES'!C:C)</f>
        <v>Chile</v>
      </c>
      <c r="D1061" s="44" t="str">
        <f>+_xlfn.XLOOKUP(Tabla6[[#This Row],[ID CLIENTE]],'RESUMEN CLIENTES'!D:D,'RESUMEN CLIENTES'!M:M)</f>
        <v>OK</v>
      </c>
      <c r="E1061" s="71">
        <f>+_xlfn.XLOOKUP(Tabla6[[#This Row],[NOMBRE]],'RESUMEN CLIENTES'!A:A,'RESUMEN CLIENTES'!X:X)</f>
        <v>-0.2</v>
      </c>
      <c r="F1061" s="71">
        <f>+_xlfn.XLOOKUP(Tabla6[[#This Row],[ID CLIENTE]],'RESUMEN CLIENTES'!D:D,'RESUMEN CLIENTES'!W:W)</f>
        <v>1</v>
      </c>
      <c r="G1061" s="17">
        <v>46082</v>
      </c>
      <c r="H1061" s="44" t="s">
        <v>81</v>
      </c>
      <c r="I1061" s="2">
        <v>850</v>
      </c>
      <c r="J1061" s="20" t="s">
        <v>4809</v>
      </c>
      <c r="K1061" t="s">
        <v>4810</v>
      </c>
      <c r="L1061" s="44" t="str" cm="1">
        <f t="array" ref="L1061">+_xlfn.IFS(COUNTIF(INGRESOS!E:E,Tabla6[[#This Row],[ID FACTURA]])=1,"PAGADA",Tabla6[[#This Row],[ID FACTURA]]&lt;&gt;0,"EMITIDA",Tabla6[[#This Row],[ID FACTURA]]=0,"POR EMITIR")</f>
        <v>PAGADA</v>
      </c>
      <c r="M1061" s="55">
        <f>+IF(Tabla6[[#This Row],[ESTADO FACTURA]]="PAGADA",Tabla6[[#This Row],[FECHA]]-_xlfn.XLOOKUP(Tabla6[[#This Row],[N° FACTURA]],INGRESOS!F:F,INGRESOS!A:A),"-")</f>
        <v>0</v>
      </c>
      <c r="N1061" s="2"/>
      <c r="O1061"/>
    </row>
    <row r="1062" spans="1:15" ht="14.75" customHeight="1">
      <c r="A1062" s="320" t="s">
        <v>1178</v>
      </c>
      <c r="B1062" t="str">
        <f>+_xlfn.XLOOKUP(Tabla6[[#This Row],[ID CLIENTE]],'RESUMEN CLIENTES'!D:D,'RESUMEN CLIENTES'!A:A)</f>
        <v>Daniel Flores</v>
      </c>
      <c r="C1062" t="str">
        <f>+_xlfn.XLOOKUP(Tabla6[[#This Row],[ID CLIENTE]],'RESUMEN CLIENTES'!D:D,'RESUMEN CLIENTES'!C:C)</f>
        <v>Ecuador</v>
      </c>
      <c r="D1062" s="44" t="str">
        <f>+_xlfn.XLOOKUP(Tabla6[[#This Row],[ID CLIENTE]],'RESUMEN CLIENTES'!D:D,'RESUMEN CLIENTES'!M:M)</f>
        <v>OK</v>
      </c>
      <c r="E1062" s="72">
        <f>+_xlfn.XLOOKUP(Tabla6[[#This Row],[NOMBRE]],'RESUMEN CLIENTES'!A:A,'RESUMEN CLIENTES'!X:X)</f>
        <v>3.8333333333333335</v>
      </c>
      <c r="F1062" s="72">
        <f>+_xlfn.XLOOKUP(Tabla6[[#This Row],[ID CLIENTE]],'RESUMEN CLIENTES'!D:D,'RESUMEN CLIENTES'!W:W)</f>
        <v>1</v>
      </c>
      <c r="G1062" s="17">
        <v>46082</v>
      </c>
      <c r="H1062" s="44" t="s">
        <v>81</v>
      </c>
      <c r="I1062" s="2">
        <v>850</v>
      </c>
      <c r="J1062" s="20" t="s">
        <v>4811</v>
      </c>
      <c r="K1062" t="s">
        <v>4812</v>
      </c>
      <c r="L1062" s="44" t="str" cm="1">
        <f t="array" ref="L1062">+_xlfn.IFS(COUNTIF(INGRESOS!E:E,Tabla6[[#This Row],[ID FACTURA]])=1,"PAGADA",Tabla6[[#This Row],[ID FACTURA]]&lt;&gt;0,"EMITIDA",Tabla6[[#This Row],[ID FACTURA]]=0,"POR EMITIR")</f>
        <v>PAGADA</v>
      </c>
      <c r="M1062" s="55">
        <f>+IF(Tabla6[[#This Row],[ESTADO FACTURA]]="PAGADA",Tabla6[[#This Row],[FECHA]]-_xlfn.XLOOKUP(Tabla6[[#This Row],[N° FACTURA]],INGRESOS!F:F,INGRESOS!A:A),"-")</f>
        <v>-2</v>
      </c>
      <c r="N1062" s="2"/>
      <c r="O1062"/>
    </row>
    <row r="1063" spans="1:15" ht="14.75" customHeight="1">
      <c r="A1063" s="320" t="s">
        <v>6035</v>
      </c>
      <c r="B1063" t="str">
        <f>+_xlfn.XLOOKUP(Tabla6[[#This Row],[ID CLIENTE]],'RESUMEN CLIENTES'!D:D,'RESUMEN CLIENTES'!A:A)</f>
        <v>Ari Sifuentes Becerra</v>
      </c>
      <c r="C1063" s="15" t="str">
        <f>+_xlfn.XLOOKUP(Tabla6[[#This Row],[ID CLIENTE]],'RESUMEN CLIENTES'!D:D,'RESUMEN CLIENTES'!C:C)</f>
        <v>México</v>
      </c>
      <c r="D1063" s="169" t="str">
        <f>+_xlfn.XLOOKUP(Tabla6[[#This Row],[ID CLIENTE]],'RESUMEN CLIENTES'!D:D,'RESUMEN CLIENTES'!M:M)</f>
        <v>OK</v>
      </c>
      <c r="E1063" s="71">
        <f>+_xlfn.XLOOKUP(Tabla6[[#This Row],[NOMBRE]],'RESUMEN CLIENTES'!A:A,'RESUMEN CLIENTES'!X:X)</f>
        <v>-1</v>
      </c>
      <c r="F1063" s="71">
        <f>+_xlfn.XLOOKUP(Tabla6[[#This Row],[ID CLIENTE]],'RESUMEN CLIENTES'!D:D,'RESUMEN CLIENTES'!W:W)</f>
        <v>0</v>
      </c>
      <c r="G1063" s="17">
        <v>46083</v>
      </c>
      <c r="H1063" s="169" t="s">
        <v>81</v>
      </c>
      <c r="I1063" s="2">
        <v>250</v>
      </c>
      <c r="J1063" s="20" t="s">
        <v>6038</v>
      </c>
      <c r="K1063" t="s">
        <v>6039</v>
      </c>
      <c r="L1063" s="44" t="str" cm="1">
        <f t="array" ref="L1063">+_xlfn.IFS(COUNTIF(INGRESOS!E:E,Tabla6[[#This Row],[ID FACTURA]])=1,"PAGADA",Tabla6[[#This Row],[ID FACTURA]]&lt;&gt;0,"EMITIDA",Tabla6[[#This Row],[ID FACTURA]]=0,"POR EMITIR")</f>
        <v>PAGADA</v>
      </c>
      <c r="M1063" s="54">
        <f>+IF(Tabla6[[#This Row],[ESTADO FACTURA]]="PAGADA",Tabla6[[#This Row],[FECHA]]-_xlfn.XLOOKUP(Tabla6[[#This Row],[N° FACTURA]],INGRESOS!F:F,INGRESOS!A:A),"-")</f>
        <v>-1</v>
      </c>
      <c r="O1063"/>
    </row>
    <row r="1064" spans="1:15" ht="14.75" customHeight="1">
      <c r="A1064" s="320" t="s">
        <v>6035</v>
      </c>
      <c r="B1064" t="str">
        <f>+_xlfn.XLOOKUP(Tabla6[[#This Row],[ID CLIENTE]],'RESUMEN CLIENTES'!D:D,'RESUMEN CLIENTES'!A:A)</f>
        <v>Ari Sifuentes Becerra</v>
      </c>
      <c r="C1064" s="15" t="str">
        <f>+_xlfn.XLOOKUP(Tabla6[[#This Row],[ID CLIENTE]],'RESUMEN CLIENTES'!D:D,'RESUMEN CLIENTES'!C:C)</f>
        <v>México</v>
      </c>
      <c r="D1064" s="169" t="str">
        <f>+_xlfn.XLOOKUP(Tabla6[[#This Row],[ID CLIENTE]],'RESUMEN CLIENTES'!D:D,'RESUMEN CLIENTES'!M:M)</f>
        <v>OK</v>
      </c>
      <c r="E1064" s="71">
        <f>+_xlfn.XLOOKUP(Tabla6[[#This Row],[NOMBRE]],'RESUMEN CLIENTES'!A:A,'RESUMEN CLIENTES'!X:X)</f>
        <v>-1</v>
      </c>
      <c r="F1064" s="71">
        <f>+_xlfn.XLOOKUP(Tabla6[[#This Row],[ID CLIENTE]],'RESUMEN CLIENTES'!D:D,'RESUMEN CLIENTES'!W:W)</f>
        <v>0</v>
      </c>
      <c r="G1064" s="17">
        <v>46083</v>
      </c>
      <c r="H1064" s="169" t="s">
        <v>81</v>
      </c>
      <c r="I1064" s="2">
        <v>2750</v>
      </c>
      <c r="J1064" s="20" t="s">
        <v>6036</v>
      </c>
      <c r="K1064" t="s">
        <v>6037</v>
      </c>
      <c r="L1064" s="44" t="str" cm="1">
        <f t="array" ref="L1064">+_xlfn.IFS(COUNTIF(INGRESOS!E:E,Tabla6[[#This Row],[ID FACTURA]])=1,"PAGADA",Tabla6[[#This Row],[ID FACTURA]]&lt;&gt;0,"EMITIDA",Tabla6[[#This Row],[ID FACTURA]]=0,"POR EMITIR")</f>
        <v>PAGADA</v>
      </c>
      <c r="M1064" s="54">
        <f>+IF(Tabla6[[#This Row],[ESTADO FACTURA]]="PAGADA",Tabla6[[#This Row],[FECHA]]-_xlfn.XLOOKUP(Tabla6[[#This Row],[N° FACTURA]],INGRESOS!F:F,INGRESOS!A:A),"-")</f>
        <v>-1</v>
      </c>
      <c r="O1064"/>
    </row>
    <row r="1065" spans="1:15" ht="14.75" customHeight="1">
      <c r="A1065" s="321" t="s">
        <v>1899</v>
      </c>
      <c r="B1065" t="str">
        <f>+_xlfn.XLOOKUP(Tabla6[[#This Row],[ID CLIENTE]],'RESUMEN CLIENTES'!D:D,'RESUMEN CLIENTES'!A:A)</f>
        <v>Johan Martínez</v>
      </c>
      <c r="C1065" t="str">
        <f>+_xlfn.XLOOKUP(Tabla6[[#This Row],[ID CLIENTE]],'RESUMEN CLIENTES'!D:D,'RESUMEN CLIENTES'!C:C)</f>
        <v>Colombia</v>
      </c>
      <c r="D1065" s="169" t="str">
        <f>+_xlfn.XLOOKUP(Tabla6[[#This Row],[ID CLIENTE]],'RESUMEN CLIENTES'!D:D,'RESUMEN CLIENTES'!M:M)</f>
        <v>OK</v>
      </c>
      <c r="E1065" s="71">
        <f>+_xlfn.XLOOKUP(Tabla6[[#This Row],[NOMBRE]],'RESUMEN CLIENTES'!A:A,'RESUMEN CLIENTES'!X:X)</f>
        <v>-0.66666666666666663</v>
      </c>
      <c r="F1065" s="71">
        <f>+_xlfn.XLOOKUP(Tabla6[[#This Row],[ID CLIENTE]],'RESUMEN CLIENTES'!D:D,'RESUMEN CLIENTES'!W:W)</f>
        <v>0</v>
      </c>
      <c r="G1065" s="17">
        <v>46083</v>
      </c>
      <c r="H1065" s="169" t="s">
        <v>81</v>
      </c>
      <c r="I1065" s="2">
        <v>500</v>
      </c>
      <c r="J1065" s="20" t="s">
        <v>4807</v>
      </c>
      <c r="K1065" t="s">
        <v>4808</v>
      </c>
      <c r="L1065" s="44" t="str" cm="1">
        <f t="array" ref="L1065">+_xlfn.IFS(COUNTIF(INGRESOS!E:E,Tabla6[[#This Row],[ID FACTURA]])=1,"PAGADA",Tabla6[[#This Row],[ID FACTURA]]&lt;&gt;0,"EMITIDA",Tabla6[[#This Row],[ID FACTURA]]=0,"POR EMITIR")</f>
        <v>PAGADA</v>
      </c>
      <c r="M1065" s="54">
        <f>+IF(Tabla6[[#This Row],[ESTADO FACTURA]]="PAGADA",Tabla6[[#This Row],[FECHA]]-_xlfn.XLOOKUP(Tabla6[[#This Row],[N° FACTURA]],INGRESOS!F:F,INGRESOS!A:A),"-")</f>
        <v>-1</v>
      </c>
      <c r="O1065"/>
    </row>
    <row r="1066" spans="1:15" ht="14.75" customHeight="1">
      <c r="A1066" s="320" t="s">
        <v>695</v>
      </c>
      <c r="B1066" t="str">
        <f>+_xlfn.XLOOKUP(Tabla6[[#This Row],[ID CLIENTE]],'RESUMEN CLIENTES'!D:D,'RESUMEN CLIENTES'!A:A)</f>
        <v>Olguer Ariel Pruna Herrera</v>
      </c>
      <c r="C1066" t="str">
        <f>+_xlfn.XLOOKUP(Tabla6[[#This Row],[ID CLIENTE]],'RESUMEN CLIENTES'!D:D,'RESUMEN CLIENTES'!C:C)</f>
        <v>Ecuador</v>
      </c>
      <c r="D1066" s="44" t="str">
        <f>+_xlfn.XLOOKUP(Tabla6[[#This Row],[ID CLIENTE]],'RESUMEN CLIENTES'!D:D,'RESUMEN CLIENTES'!M:M)</f>
        <v>OK</v>
      </c>
      <c r="E1066" s="72">
        <f>+_xlfn.XLOOKUP(Tabla6[[#This Row],[NOMBRE]],'RESUMEN CLIENTES'!A:A,'RESUMEN CLIENTES'!X:X)</f>
        <v>0.25</v>
      </c>
      <c r="F1066" s="72">
        <f>+_xlfn.XLOOKUP(Tabla6[[#This Row],[ID CLIENTE]],'RESUMEN CLIENTES'!D:D,'RESUMEN CLIENTES'!W:W)</f>
        <v>1</v>
      </c>
      <c r="G1066" s="17">
        <v>46083</v>
      </c>
      <c r="H1066" s="44" t="s">
        <v>81</v>
      </c>
      <c r="I1066" s="2">
        <v>1000</v>
      </c>
      <c r="J1066" s="20" t="s">
        <v>4813</v>
      </c>
      <c r="K1066" t="s">
        <v>4814</v>
      </c>
      <c r="L1066" s="44" t="str" cm="1">
        <f t="array" ref="L1066">+_xlfn.IFS(COUNTIF(INGRESOS!E:E,Tabla6[[#This Row],[ID FACTURA]])=1,"PAGADA",Tabla6[[#This Row],[ID FACTURA]]&lt;&gt;0,"EMITIDA",Tabla6[[#This Row],[ID FACTURA]]=0,"POR EMITIR")</f>
        <v>PAGADA</v>
      </c>
      <c r="M1066" s="55">
        <f>+IF(Tabla6[[#This Row],[ESTADO FACTURA]]="PAGADA",Tabla6[[#This Row],[FECHA]]-_xlfn.XLOOKUP(Tabla6[[#This Row],[N° FACTURA]],INGRESOS!F:F,INGRESOS!A:A),"-")</f>
        <v>2</v>
      </c>
      <c r="N1066" s="2"/>
      <c r="O1066"/>
    </row>
    <row r="1067" spans="1:15" ht="14.75" customHeight="1">
      <c r="A1067" s="320" t="s">
        <v>221</v>
      </c>
      <c r="B1067" t="str">
        <f>+_xlfn.XLOOKUP(Tabla6[[#This Row],[ID CLIENTE]],'RESUMEN CLIENTES'!D:D,'RESUMEN CLIENTES'!A:A)</f>
        <v>Angel Martin Alarcon Macias</v>
      </c>
      <c r="C1067" t="str">
        <f>+_xlfn.XLOOKUP(Tabla6[[#This Row],[ID CLIENTE]],'RESUMEN CLIENTES'!D:D,'RESUMEN CLIENTES'!C:C)</f>
        <v>Ecuador</v>
      </c>
      <c r="D1067" s="44" t="str">
        <f>+_xlfn.XLOOKUP(Tabla6[[#This Row],[ID CLIENTE]],'RESUMEN CLIENTES'!D:D,'RESUMEN CLIENTES'!M:M)</f>
        <v>¡REGULARIZAR!</v>
      </c>
      <c r="E1067" s="72">
        <f>+_xlfn.XLOOKUP(Tabla6[[#This Row],[NOMBRE]],'RESUMEN CLIENTES'!A:A,'RESUMEN CLIENTES'!X:X)</f>
        <v>-0.5</v>
      </c>
      <c r="F1067" s="72">
        <f>+_xlfn.XLOOKUP(Tabla6[[#This Row],[ID CLIENTE]],'RESUMEN CLIENTES'!D:D,'RESUMEN CLIENTES'!W:W)</f>
        <v>0</v>
      </c>
      <c r="G1067" s="17">
        <v>46084</v>
      </c>
      <c r="H1067" s="44" t="s">
        <v>81</v>
      </c>
      <c r="I1067" s="2">
        <v>625</v>
      </c>
      <c r="J1067"/>
      <c r="K1067"/>
      <c r="L1067" s="44" t="str" cm="1">
        <f t="array" ref="L1067">+_xlfn.IFS(COUNTIF(INGRESOS!E:E,Tabla6[[#This Row],[ID FACTURA]])=1,"PAGADA",Tabla6[[#This Row],[ID FACTURA]]&lt;&gt;0,"EMITIDA",Tabla6[[#This Row],[ID FACTURA]]=0,"POR EMITIR")</f>
        <v>POR EMITIR</v>
      </c>
      <c r="M1067" s="55" t="str">
        <f>+IF(Tabla6[[#This Row],[ESTADO FACTURA]]="PAGADA",Tabla6[[#This Row],[FECHA]]-_xlfn.XLOOKUP(Tabla6[[#This Row],[N° FACTURA]],INGRESOS!F:F,INGRESOS!A:A),"-")</f>
        <v>-</v>
      </c>
      <c r="N1067" s="2"/>
      <c r="O1067" s="8"/>
    </row>
    <row r="1068" spans="1:15" ht="14.75" customHeight="1">
      <c r="A1068" s="320" t="s">
        <v>5987</v>
      </c>
      <c r="B1068" t="str">
        <f>+_xlfn.XLOOKUP(Tabla6[[#This Row],[ID CLIENTE]],'RESUMEN CLIENTES'!D:D,'RESUMEN CLIENTES'!A:A)</f>
        <v>Jessenia Mishell Mosquera Olivo</v>
      </c>
      <c r="C1068" s="15" t="str">
        <f>+_xlfn.XLOOKUP(Tabla6[[#This Row],[ID CLIENTE]],'RESUMEN CLIENTES'!D:D,'RESUMEN CLIENTES'!C:C)</f>
        <v>Ecuador</v>
      </c>
      <c r="D1068" s="169" t="str">
        <f>+_xlfn.XLOOKUP(Tabla6[[#This Row],[ID CLIENTE]],'RESUMEN CLIENTES'!D:D,'RESUMEN CLIENTES'!M:M)</f>
        <v>OK</v>
      </c>
      <c r="E1068" s="71">
        <f>+_xlfn.XLOOKUP(Tabla6[[#This Row],[NOMBRE]],'RESUMEN CLIENTES'!A:A,'RESUMEN CLIENTES'!X:X)</f>
        <v>0</v>
      </c>
      <c r="F1068" s="71">
        <f>+_xlfn.XLOOKUP(Tabla6[[#This Row],[ID CLIENTE]],'RESUMEN CLIENTES'!D:D,'RESUMEN CLIENTES'!W:W)</f>
        <v>0</v>
      </c>
      <c r="G1068" s="17">
        <v>46084</v>
      </c>
      <c r="H1068" s="169" t="s">
        <v>1876</v>
      </c>
      <c r="I1068" s="2">
        <v>500</v>
      </c>
      <c r="J1068" s="20" t="s">
        <v>5988</v>
      </c>
      <c r="K1068" t="s">
        <v>5989</v>
      </c>
      <c r="L1068" s="44" t="str" cm="1">
        <f t="array" ref="L1068">+_xlfn.IFS(COUNTIF(INGRESOS!E:E,Tabla6[[#This Row],[ID FACTURA]])=1,"PAGADA",Tabla6[[#This Row],[ID FACTURA]]&lt;&gt;0,"EMITIDA",Tabla6[[#This Row],[ID FACTURA]]=0,"POR EMITIR")</f>
        <v>PAGADA</v>
      </c>
      <c r="M1068" s="54">
        <f>+IF(Tabla6[[#This Row],[ESTADO FACTURA]]="PAGADA",Tabla6[[#This Row],[FECHA]]-_xlfn.XLOOKUP(Tabla6[[#This Row],[N° FACTURA]],INGRESOS!F:F,INGRESOS!A:A),"-")</f>
        <v>0</v>
      </c>
      <c r="O1068"/>
    </row>
    <row r="1069" spans="1:15" ht="14.75" customHeight="1">
      <c r="A1069" s="320" t="s">
        <v>258</v>
      </c>
      <c r="B1069" t="str">
        <f>+_xlfn.XLOOKUP(Tabla6[[#This Row],[ID CLIENTE]],'RESUMEN CLIENTES'!D:D,'RESUMEN CLIENTES'!A:A)</f>
        <v>Maria Laura Rios Pino</v>
      </c>
      <c r="C1069" t="str">
        <f>+_xlfn.XLOOKUP(Tabla6[[#This Row],[ID CLIENTE]],'RESUMEN CLIENTES'!D:D,'RESUMEN CLIENTES'!C:C)</f>
        <v>Perú</v>
      </c>
      <c r="D1069" s="44" t="str">
        <f>+_xlfn.XLOOKUP(Tabla6[[#This Row],[ID CLIENTE]],'RESUMEN CLIENTES'!D:D,'RESUMEN CLIENTES'!M:M)</f>
        <v>OK</v>
      </c>
      <c r="E1069" s="72">
        <f>+_xlfn.XLOOKUP(Tabla6[[#This Row],[NOMBRE]],'RESUMEN CLIENTES'!A:A,'RESUMEN CLIENTES'!X:X)</f>
        <v>1.4545454545454546</v>
      </c>
      <c r="F1069" s="72">
        <f>+_xlfn.XLOOKUP(Tabla6[[#This Row],[ID CLIENTE]],'RESUMEN CLIENTES'!D:D,'RESUMEN CLIENTES'!W:W)</f>
        <v>0</v>
      </c>
      <c r="G1069" s="17">
        <v>46084</v>
      </c>
      <c r="H1069" s="44" t="s">
        <v>81</v>
      </c>
      <c r="I1069" s="2">
        <v>637</v>
      </c>
      <c r="J1069" s="20" t="s">
        <v>4815</v>
      </c>
      <c r="K1069" t="s">
        <v>4816</v>
      </c>
      <c r="L1069" s="44" t="str" cm="1">
        <f t="array" ref="L1069">+_xlfn.IFS(COUNTIF(INGRESOS!E:E,Tabla6[[#This Row],[ID FACTURA]])=1,"PAGADA",Tabla6[[#This Row],[ID FACTURA]]&lt;&gt;0,"EMITIDA",Tabla6[[#This Row],[ID FACTURA]]=0,"POR EMITIR")</f>
        <v>PAGADA</v>
      </c>
      <c r="M1069" s="55">
        <f>+IF(Tabla6[[#This Row],[ESTADO FACTURA]]="PAGADA",Tabla6[[#This Row],[FECHA]]-_xlfn.XLOOKUP(Tabla6[[#This Row],[N° FACTURA]],INGRESOS!F:F,INGRESOS!A:A),"-")</f>
        <v>4</v>
      </c>
      <c r="N1069" s="19"/>
      <c r="O1069"/>
    </row>
    <row r="1070" spans="1:15" ht="14.75" customHeight="1">
      <c r="A1070" s="320" t="s">
        <v>1556</v>
      </c>
      <c r="B1070" t="str">
        <f>+_xlfn.XLOOKUP(Tabla6[[#This Row],[ID CLIENTE]],'RESUMEN CLIENTES'!D:D,'RESUMEN CLIENTES'!A:A)</f>
        <v>Claudia Nivon Chacón</v>
      </c>
      <c r="C1070" t="str">
        <f>+_xlfn.XLOOKUP(Tabla6[[#This Row],[ID CLIENTE]],'RESUMEN CLIENTES'!D:D,'RESUMEN CLIENTES'!C:C)</f>
        <v>México</v>
      </c>
      <c r="D1070" s="44" t="str">
        <f>+_xlfn.XLOOKUP(Tabla6[[#This Row],[ID CLIENTE]],'RESUMEN CLIENTES'!D:D,'RESUMEN CLIENTES'!M:M)</f>
        <v>OK</v>
      </c>
      <c r="E1070" s="71">
        <f>+_xlfn.XLOOKUP(Tabla6[[#This Row],[NOMBRE]],'RESUMEN CLIENTES'!A:A,'RESUMEN CLIENTES'!X:X)</f>
        <v>0.4</v>
      </c>
      <c r="F1070" s="71">
        <f>+_xlfn.XLOOKUP(Tabla6[[#This Row],[ID CLIENTE]],'RESUMEN CLIENTES'!D:D,'RESUMEN CLIENTES'!W:W)</f>
        <v>0</v>
      </c>
      <c r="G1070" s="17">
        <v>46085</v>
      </c>
      <c r="H1070" s="169" t="s">
        <v>81</v>
      </c>
      <c r="I1070" s="2">
        <v>1136.6300000000001</v>
      </c>
      <c r="J1070" s="20" t="s">
        <v>4853</v>
      </c>
      <c r="K1070" t="s">
        <v>4854</v>
      </c>
      <c r="L1070" s="44" t="str" cm="1">
        <f t="array" ref="L1070">+_xlfn.IFS(COUNTIF(INGRESOS!E:E,Tabla6[[#This Row],[ID FACTURA]])=1,"PAGADA",Tabla6[[#This Row],[ID FACTURA]]&lt;&gt;0,"EMITIDA",Tabla6[[#This Row],[ID FACTURA]]=0,"POR EMITIR")</f>
        <v>PAGADA</v>
      </c>
      <c r="M1070" s="55">
        <f>+IF(Tabla6[[#This Row],[ESTADO FACTURA]]="PAGADA",Tabla6[[#This Row],[FECHA]]-_xlfn.XLOOKUP(Tabla6[[#This Row],[N° FACTURA]],INGRESOS!F:F,INGRESOS!A:A),"-")</f>
        <v>0</v>
      </c>
      <c r="N1070" s="2"/>
      <c r="O1070"/>
    </row>
    <row r="1071" spans="1:15" ht="14.75" customHeight="1">
      <c r="A1071" s="320" t="s">
        <v>407</v>
      </c>
      <c r="B1071" t="str">
        <f>+_xlfn.XLOOKUP(Tabla6[[#This Row],[ID CLIENTE]],'RESUMEN CLIENTES'!D:D,'RESUMEN CLIENTES'!A:A)</f>
        <v>Mayra Leonor Rivera Paico</v>
      </c>
      <c r="C1071" t="str">
        <f>+_xlfn.XLOOKUP(Tabla6[[#This Row],[ID CLIENTE]],'RESUMEN CLIENTES'!D:D,'RESUMEN CLIENTES'!C:C)</f>
        <v>Perú</v>
      </c>
      <c r="D1071" s="44" t="str">
        <f>+_xlfn.XLOOKUP(Tabla6[[#This Row],[ID CLIENTE]],'RESUMEN CLIENTES'!D:D,'RESUMEN CLIENTES'!M:M)</f>
        <v>OK</v>
      </c>
      <c r="E1071" s="72">
        <f>+_xlfn.XLOOKUP(Tabla6[[#This Row],[NOMBRE]],'RESUMEN CLIENTES'!A:A,'RESUMEN CLIENTES'!X:X)</f>
        <v>-0.22222222222222221</v>
      </c>
      <c r="F1071" s="72">
        <f>+_xlfn.XLOOKUP(Tabla6[[#This Row],[ID CLIENTE]],'RESUMEN CLIENTES'!D:D,'RESUMEN CLIENTES'!W:W)</f>
        <v>0</v>
      </c>
      <c r="G1071" s="17">
        <v>46085</v>
      </c>
      <c r="H1071" s="44" t="s">
        <v>81</v>
      </c>
      <c r="I1071" s="2">
        <v>1000</v>
      </c>
      <c r="J1071" s="20" t="s">
        <v>4855</v>
      </c>
      <c r="K1071" t="s">
        <v>4856</v>
      </c>
      <c r="L1071" s="44" t="str" cm="1">
        <f t="array" ref="L1071">+_xlfn.IFS(COUNTIF(INGRESOS!E:E,Tabla6[[#This Row],[ID FACTURA]])=1,"PAGADA",Tabla6[[#This Row],[ID FACTURA]]&lt;&gt;0,"EMITIDA",Tabla6[[#This Row],[ID FACTURA]]=0,"POR EMITIR")</f>
        <v>PAGADA</v>
      </c>
      <c r="M1071" s="55">
        <f>+IF(Tabla6[[#This Row],[ESTADO FACTURA]]="PAGADA",Tabla6[[#This Row],[FECHA]]-_xlfn.XLOOKUP(Tabla6[[#This Row],[N° FACTURA]],INGRESOS!F:F,INGRESOS!A:A),"-")</f>
        <v>0</v>
      </c>
      <c r="N1071" s="2"/>
      <c r="O1071"/>
    </row>
    <row r="1072" spans="1:15" ht="14.75" customHeight="1">
      <c r="A1072" s="320" t="s">
        <v>447</v>
      </c>
      <c r="B1072" t="str">
        <f>+_xlfn.XLOOKUP(Tabla6[[#This Row],[ID CLIENTE]],'RESUMEN CLIENTES'!D:D,'RESUMEN CLIENTES'!A:A)</f>
        <v>Yefry Onil Santana Marte</v>
      </c>
      <c r="C1072" t="str">
        <f>+_xlfn.XLOOKUP(Tabla6[[#This Row],[ID CLIENTE]],'RESUMEN CLIENTES'!D:D,'RESUMEN CLIENTES'!C:C)</f>
        <v>República Dominicana</v>
      </c>
      <c r="D1072" s="44" t="str">
        <f>+_xlfn.XLOOKUP(Tabla6[[#This Row],[ID CLIENTE]],'RESUMEN CLIENTES'!D:D,'RESUMEN CLIENTES'!M:M)</f>
        <v>OK</v>
      </c>
      <c r="E1072" s="72">
        <f>+_xlfn.XLOOKUP(Tabla6[[#This Row],[NOMBRE]],'RESUMEN CLIENTES'!A:A,'RESUMEN CLIENTES'!X:X)</f>
        <v>-0.90909090909090906</v>
      </c>
      <c r="F1072" s="71">
        <f>+_xlfn.XLOOKUP(Tabla6[[#This Row],[ID CLIENTE]],'RESUMEN CLIENTES'!D:D,'RESUMEN CLIENTES'!W:W)</f>
        <v>0</v>
      </c>
      <c r="G1072" s="17">
        <v>46085</v>
      </c>
      <c r="H1072" s="44" t="s">
        <v>81</v>
      </c>
      <c r="I1072" s="2">
        <v>625</v>
      </c>
      <c r="J1072" s="20" t="s">
        <v>4857</v>
      </c>
      <c r="K1072" t="s">
        <v>4858</v>
      </c>
      <c r="L1072" s="44" t="str" cm="1">
        <f t="array" ref="L1072">+_xlfn.IFS(COUNTIF(INGRESOS!E:E,Tabla6[[#This Row],[ID FACTURA]])=1,"PAGADA",Tabla6[[#This Row],[ID FACTURA]]&lt;&gt;0,"EMITIDA",Tabla6[[#This Row],[ID FACTURA]]=0,"POR EMITIR")</f>
        <v>PAGADA</v>
      </c>
      <c r="M1072" s="55">
        <f>+IF(Tabla6[[#This Row],[ESTADO FACTURA]]="PAGADA",Tabla6[[#This Row],[FECHA]]-_xlfn.XLOOKUP(Tabla6[[#This Row],[N° FACTURA]],INGRESOS!F:F,INGRESOS!A:A),"-")</f>
        <v>-3</v>
      </c>
      <c r="N1072" s="214"/>
      <c r="O1072"/>
    </row>
    <row r="1073" spans="1:15" ht="14.75" customHeight="1">
      <c r="A1073" s="320" t="s">
        <v>447</v>
      </c>
      <c r="B1073" t="str">
        <f>+_xlfn.XLOOKUP(Tabla6[[#This Row],[ID CLIENTE]],'RESUMEN CLIENTES'!D:D,'RESUMEN CLIENTES'!A:A)</f>
        <v>Yefry Onil Santana Marte</v>
      </c>
      <c r="C1073" t="str">
        <f>+_xlfn.XLOOKUP(Tabla6[[#This Row],[ID CLIENTE]],'RESUMEN CLIENTES'!D:D,'RESUMEN CLIENTES'!C:C)</f>
        <v>República Dominicana</v>
      </c>
      <c r="D1073" s="44" t="str">
        <f>+_xlfn.XLOOKUP(Tabla6[[#This Row],[ID CLIENTE]],'RESUMEN CLIENTES'!D:D,'RESUMEN CLIENTES'!M:M)</f>
        <v>OK</v>
      </c>
      <c r="E1073" s="72">
        <f>+_xlfn.XLOOKUP(Tabla6[[#This Row],[NOMBRE]],'RESUMEN CLIENTES'!A:A,'RESUMEN CLIENTES'!X:X)</f>
        <v>-0.90909090909090906</v>
      </c>
      <c r="F1073" s="71">
        <f>+_xlfn.XLOOKUP(Tabla6[[#This Row],[ID CLIENTE]],'RESUMEN CLIENTES'!D:D,'RESUMEN CLIENTES'!W:W)</f>
        <v>0</v>
      </c>
      <c r="G1073" s="17">
        <v>46085</v>
      </c>
      <c r="H1073" s="44" t="s">
        <v>81</v>
      </c>
      <c r="I1073" s="2">
        <v>625</v>
      </c>
      <c r="J1073" s="20" t="s">
        <v>4859</v>
      </c>
      <c r="K1073" t="s">
        <v>4860</v>
      </c>
      <c r="L1073" s="44" t="str" cm="1">
        <f t="array" ref="L1073">+_xlfn.IFS(COUNTIF(INGRESOS!E:E,Tabla6[[#This Row],[ID FACTURA]])=1,"PAGADA",Tabla6[[#This Row],[ID FACTURA]]&lt;&gt;0,"EMITIDA",Tabla6[[#This Row],[ID FACTURA]]=0,"POR EMITIR")</f>
        <v>PAGADA</v>
      </c>
      <c r="M1073" s="55">
        <f>+IF(Tabla6[[#This Row],[ESTADO FACTURA]]="PAGADA",Tabla6[[#This Row],[FECHA]]-_xlfn.XLOOKUP(Tabla6[[#This Row],[N° FACTURA]],INGRESOS!F:F,INGRESOS!A:A),"-")</f>
        <v>-3</v>
      </c>
      <c r="N1073" s="214"/>
      <c r="O1073"/>
    </row>
    <row r="1074" spans="1:15" ht="14.75" customHeight="1">
      <c r="A1074" s="320" t="s">
        <v>447</v>
      </c>
      <c r="B1074" t="str">
        <f>+_xlfn.XLOOKUP(Tabla6[[#This Row],[ID CLIENTE]],'RESUMEN CLIENTES'!D:D,'RESUMEN CLIENTES'!A:A)</f>
        <v>Yefry Onil Santana Marte</v>
      </c>
      <c r="C1074" t="str">
        <f>+_xlfn.XLOOKUP(Tabla6[[#This Row],[ID CLIENTE]],'RESUMEN CLIENTES'!D:D,'RESUMEN CLIENTES'!C:C)</f>
        <v>República Dominicana</v>
      </c>
      <c r="D1074" s="44" t="str">
        <f>+_xlfn.XLOOKUP(Tabla6[[#This Row],[ID CLIENTE]],'RESUMEN CLIENTES'!D:D,'RESUMEN CLIENTES'!M:M)</f>
        <v>OK</v>
      </c>
      <c r="E1074" s="72">
        <f>+_xlfn.XLOOKUP(Tabla6[[#This Row],[NOMBRE]],'RESUMEN CLIENTES'!A:A,'RESUMEN CLIENTES'!X:X)</f>
        <v>-0.90909090909090906</v>
      </c>
      <c r="F1074" s="72">
        <f>+_xlfn.XLOOKUP(Tabla6[[#This Row],[ID CLIENTE]],'RESUMEN CLIENTES'!D:D,'RESUMEN CLIENTES'!W:W)</f>
        <v>0</v>
      </c>
      <c r="G1074" s="17">
        <v>46085</v>
      </c>
      <c r="H1074" s="44" t="s">
        <v>81</v>
      </c>
      <c r="I1074" s="2">
        <v>625</v>
      </c>
      <c r="J1074" s="20" t="s">
        <v>4861</v>
      </c>
      <c r="K1074" t="s">
        <v>4862</v>
      </c>
      <c r="L1074" s="44" t="str" cm="1">
        <f t="array" ref="L1074">+_xlfn.IFS(COUNTIF(INGRESOS!E:E,Tabla6[[#This Row],[ID FACTURA]])=1,"PAGADA",Tabla6[[#This Row],[ID FACTURA]]&lt;&gt;0,"EMITIDA",Tabla6[[#This Row],[ID FACTURA]]=0,"POR EMITIR")</f>
        <v>PAGADA</v>
      </c>
      <c r="M1074" s="55">
        <f>+IF(Tabla6[[#This Row],[ESTADO FACTURA]]="PAGADA",Tabla6[[#This Row],[FECHA]]-_xlfn.XLOOKUP(Tabla6[[#This Row],[N° FACTURA]],INGRESOS!F:F,INGRESOS!A:A),"-")</f>
        <v>-3</v>
      </c>
      <c r="N1074" s="2"/>
      <c r="O1074"/>
    </row>
    <row r="1075" spans="1:15" ht="14.75" customHeight="1">
      <c r="A1075" s="320" t="s">
        <v>165</v>
      </c>
      <c r="B1075" t="str">
        <f>+_xlfn.XLOOKUP(Tabla6[[#This Row],[ID CLIENTE]],'RESUMEN CLIENTES'!D:D,'RESUMEN CLIENTES'!A:A)</f>
        <v>Alejandra Leva Vallejo</v>
      </c>
      <c r="C1075" t="str">
        <f>+_xlfn.XLOOKUP(Tabla6[[#This Row],[ID CLIENTE]],'RESUMEN CLIENTES'!D:D,'RESUMEN CLIENTES'!C:C)</f>
        <v>México</v>
      </c>
      <c r="D1075" s="44" t="str">
        <f>+_xlfn.XLOOKUP(Tabla6[[#This Row],[ID CLIENTE]],'RESUMEN CLIENTES'!D:D,'RESUMEN CLIENTES'!M:M)</f>
        <v>OK</v>
      </c>
      <c r="E1075" s="72">
        <f>+_xlfn.XLOOKUP(Tabla6[[#This Row],[NOMBRE]],'RESUMEN CLIENTES'!A:A,'RESUMEN CLIENTES'!X:X)</f>
        <v>0</v>
      </c>
      <c r="F1075" s="72">
        <f>+_xlfn.XLOOKUP(Tabla6[[#This Row],[ID CLIENTE]],'RESUMEN CLIENTES'!D:D,'RESUMEN CLIENTES'!W:W)</f>
        <v>1</v>
      </c>
      <c r="G1075" s="17">
        <v>46086</v>
      </c>
      <c r="H1075" s="44" t="s">
        <v>81</v>
      </c>
      <c r="I1075" s="2">
        <v>1000</v>
      </c>
      <c r="J1075" s="20" t="s">
        <v>4894</v>
      </c>
      <c r="K1075" t="s">
        <v>4895</v>
      </c>
      <c r="L1075" s="44" t="str" cm="1">
        <f t="array" ref="L1075">+_xlfn.IFS(COUNTIF(INGRESOS!E:E,Tabla6[[#This Row],[ID FACTURA]])=1,"PAGADA",Tabla6[[#This Row],[ID FACTURA]]&lt;&gt;0,"EMITIDA",Tabla6[[#This Row],[ID FACTURA]]=0,"POR EMITIR")</f>
        <v>PAGADA</v>
      </c>
      <c r="M1075" s="55">
        <f>+IF(Tabla6[[#This Row],[ESTADO FACTURA]]="PAGADA",Tabla6[[#This Row],[FECHA]]-_xlfn.XLOOKUP(Tabla6[[#This Row],[N° FACTURA]],INGRESOS!F:F,INGRESOS!A:A),"-")</f>
        <v>0</v>
      </c>
      <c r="N1075" s="2"/>
      <c r="O1075"/>
    </row>
    <row r="1076" spans="1:15" ht="14.75" customHeight="1">
      <c r="A1076" s="320" t="s">
        <v>1357</v>
      </c>
      <c r="B1076" t="str">
        <f>+_xlfn.XLOOKUP(Tabla6[[#This Row],[ID CLIENTE]],'RESUMEN CLIENTES'!D:D,'RESUMEN CLIENTES'!A:A)</f>
        <v>Angel Andres Velastegui Huebla</v>
      </c>
      <c r="C1076" t="str">
        <f>+_xlfn.XLOOKUP(Tabla6[[#This Row],[ID CLIENTE]],'RESUMEN CLIENTES'!D:D,'RESUMEN CLIENTES'!C:C)</f>
        <v>Ecuador</v>
      </c>
      <c r="D1076" s="44" t="str">
        <f>+_xlfn.XLOOKUP(Tabla6[[#This Row],[ID CLIENTE]],'RESUMEN CLIENTES'!D:D,'RESUMEN CLIENTES'!M:M)</f>
        <v>OK</v>
      </c>
      <c r="E1076" s="71">
        <f>+_xlfn.XLOOKUP(Tabla6[[#This Row],[NOMBRE]],'RESUMEN CLIENTES'!A:A,'RESUMEN CLIENTES'!X:X)</f>
        <v>0</v>
      </c>
      <c r="F1076" s="71">
        <f>+_xlfn.XLOOKUP(Tabla6[[#This Row],[ID CLIENTE]],'RESUMEN CLIENTES'!D:D,'RESUMEN CLIENTES'!W:W)</f>
        <v>1</v>
      </c>
      <c r="G1076" s="17">
        <v>46086</v>
      </c>
      <c r="H1076" s="44" t="s">
        <v>81</v>
      </c>
      <c r="I1076" s="186">
        <v>3700</v>
      </c>
      <c r="J1076" s="20" t="s">
        <v>4896</v>
      </c>
      <c r="K1076" t="s">
        <v>4897</v>
      </c>
      <c r="L1076" s="44" t="str" cm="1">
        <f t="array" ref="L1076">+_xlfn.IFS(COUNTIF(INGRESOS!E:E,Tabla6[[#This Row],[ID FACTURA]])=1,"PAGADA",Tabla6[[#This Row],[ID FACTURA]]&lt;&gt;0,"EMITIDA",Tabla6[[#This Row],[ID FACTURA]]=0,"POR EMITIR")</f>
        <v>PAGADA</v>
      </c>
      <c r="M1076" s="55">
        <f>+IF(Tabla6[[#This Row],[ESTADO FACTURA]]="PAGADA",Tabla6[[#This Row],[FECHA]]-_xlfn.XLOOKUP(Tabla6[[#This Row],[N° FACTURA]],INGRESOS!F:F,INGRESOS!A:A),"-")</f>
        <v>0</v>
      </c>
      <c r="N1076" s="2"/>
      <c r="O1076"/>
    </row>
    <row r="1077" spans="1:15" ht="14.75" customHeight="1">
      <c r="A1077" s="320" t="s">
        <v>2011</v>
      </c>
      <c r="B1077" t="str">
        <f>+_xlfn.XLOOKUP(Tabla6[[#This Row],[ID CLIENTE]],'RESUMEN CLIENTES'!D:D,'RESUMEN CLIENTES'!A:A)</f>
        <v>Bárbara Fuentes</v>
      </c>
      <c r="C1077" t="str">
        <f>+_xlfn.XLOOKUP(Tabla6[[#This Row],[ID CLIENTE]],'RESUMEN CLIENTES'!D:D,'RESUMEN CLIENTES'!C:C)</f>
        <v>Chile</v>
      </c>
      <c r="D1077" s="169" t="str">
        <f>+_xlfn.XLOOKUP(Tabla6[[#This Row],[ID CLIENTE]],'RESUMEN CLIENTES'!D:D,'RESUMEN CLIENTES'!M:M)</f>
        <v>OK</v>
      </c>
      <c r="E1077" s="71">
        <f>+_xlfn.XLOOKUP(Tabla6[[#This Row],[NOMBRE]],'RESUMEN CLIENTES'!A:A,'RESUMEN CLIENTES'!X:X)</f>
        <v>-0.33333333333333331</v>
      </c>
      <c r="F1077" s="71">
        <f>+_xlfn.XLOOKUP(Tabla6[[#This Row],[ID CLIENTE]],'RESUMEN CLIENTES'!D:D,'RESUMEN CLIENTES'!W:W)</f>
        <v>0</v>
      </c>
      <c r="G1077" s="17">
        <v>46086</v>
      </c>
      <c r="H1077" s="169" t="s">
        <v>81</v>
      </c>
      <c r="I1077" s="2">
        <v>1000</v>
      </c>
      <c r="J1077" s="20" t="s">
        <v>5974</v>
      </c>
      <c r="K1077" t="s">
        <v>5975</v>
      </c>
      <c r="L1077" s="44" t="str" cm="1">
        <f t="array" ref="L1077">+_xlfn.IFS(COUNTIF(INGRESOS!E:E,Tabla6[[#This Row],[ID FACTURA]])=1,"PAGADA",Tabla6[[#This Row],[ID FACTURA]]&lt;&gt;0,"EMITIDA",Tabla6[[#This Row],[ID FACTURA]]=0,"POR EMITIR")</f>
        <v>PAGADA</v>
      </c>
      <c r="M1077" s="54">
        <f>+IF(Tabla6[[#This Row],[ESTADO FACTURA]]="PAGADA",Tabla6[[#This Row],[FECHA]]-_xlfn.XLOOKUP(Tabla6[[#This Row],[N° FACTURA]],INGRESOS!F:F,INGRESOS!A:A),"-")</f>
        <v>-1</v>
      </c>
      <c r="O1077"/>
    </row>
    <row r="1078" spans="1:15" ht="14.75" customHeight="1">
      <c r="A1078" s="320" t="s">
        <v>203</v>
      </c>
      <c r="B1078" t="str">
        <f>+_xlfn.XLOOKUP(Tabla6[[#This Row],[ID CLIENTE]],'RESUMEN CLIENTES'!D:D,'RESUMEN CLIENTES'!A:A)</f>
        <v>Bernardita Lobo Zegers</v>
      </c>
      <c r="C1078" t="str">
        <f>+_xlfn.XLOOKUP(Tabla6[[#This Row],[ID CLIENTE]],'RESUMEN CLIENTES'!D:D,'RESUMEN CLIENTES'!C:C)</f>
        <v>México</v>
      </c>
      <c r="D1078" s="44" t="str">
        <f>+_xlfn.XLOOKUP(Tabla6[[#This Row],[ID CLIENTE]],'RESUMEN CLIENTES'!D:D,'RESUMEN CLIENTES'!M:M)</f>
        <v>OK</v>
      </c>
      <c r="E1078" s="72">
        <f>+_xlfn.XLOOKUP(Tabla6[[#This Row],[NOMBRE]],'RESUMEN CLIENTES'!A:A,'RESUMEN CLIENTES'!X:X)</f>
        <v>-0.8</v>
      </c>
      <c r="F1078" s="72">
        <f>+_xlfn.XLOOKUP(Tabla6[[#This Row],[ID CLIENTE]],'RESUMEN CLIENTES'!D:D,'RESUMEN CLIENTES'!W:W)</f>
        <v>1</v>
      </c>
      <c r="G1078" s="17">
        <v>46086</v>
      </c>
      <c r="H1078" s="44" t="s">
        <v>81</v>
      </c>
      <c r="I1078" s="2">
        <v>800</v>
      </c>
      <c r="J1078" s="20" t="s">
        <v>4898</v>
      </c>
      <c r="K1078" t="s">
        <v>4899</v>
      </c>
      <c r="L1078" s="44" t="str" cm="1">
        <f t="array" ref="L1078">+_xlfn.IFS(COUNTIF(INGRESOS!E:E,Tabla6[[#This Row],[ID FACTURA]])=1,"PAGADA",Tabla6[[#This Row],[ID FACTURA]]&lt;&gt;0,"EMITIDA",Tabla6[[#This Row],[ID FACTURA]]=0,"POR EMITIR")</f>
        <v>PAGADA</v>
      </c>
      <c r="M1078" s="55">
        <f>+IF(Tabla6[[#This Row],[ESTADO FACTURA]]="PAGADA",Tabla6[[#This Row],[FECHA]]-_xlfn.XLOOKUP(Tabla6[[#This Row],[N° FACTURA]],INGRESOS!F:F,INGRESOS!A:A),"-")</f>
        <v>0</v>
      </c>
      <c r="N1078" s="2"/>
      <c r="O1078"/>
    </row>
    <row r="1079" spans="1:15" ht="14.75" customHeight="1">
      <c r="A1079" s="320" t="s">
        <v>184</v>
      </c>
      <c r="B1079" t="str">
        <f>+_xlfn.XLOOKUP(Tabla6[[#This Row],[ID CLIENTE]],'RESUMEN CLIENTES'!D:D,'RESUMEN CLIENTES'!A:A)</f>
        <v>Boris Andrés Silva Véliz</v>
      </c>
      <c r="C1079" t="str">
        <f>+_xlfn.XLOOKUP(Tabla6[[#This Row],[ID CLIENTE]],'RESUMEN CLIENTES'!D:D,'RESUMEN CLIENTES'!C:C)</f>
        <v>Chile</v>
      </c>
      <c r="D1079" s="44" t="str">
        <f>+_xlfn.XLOOKUP(Tabla6[[#This Row],[ID CLIENTE]],'RESUMEN CLIENTES'!D:D,'RESUMEN CLIENTES'!M:M)</f>
        <v>OK</v>
      </c>
      <c r="E1079" s="72">
        <f>+_xlfn.XLOOKUP(Tabla6[[#This Row],[NOMBRE]],'RESUMEN CLIENTES'!A:A,'RESUMEN CLIENTES'!X:X)</f>
        <v>2.1111111111111112</v>
      </c>
      <c r="F1079" s="72">
        <f>+_xlfn.XLOOKUP(Tabla6[[#This Row],[ID CLIENTE]],'RESUMEN CLIENTES'!D:D,'RESUMEN CLIENTES'!W:W)</f>
        <v>0</v>
      </c>
      <c r="G1079" s="17">
        <v>46086</v>
      </c>
      <c r="H1079" s="44" t="s">
        <v>81</v>
      </c>
      <c r="I1079" s="2">
        <v>695</v>
      </c>
      <c r="J1079" s="20" t="s">
        <v>4890</v>
      </c>
      <c r="K1079" t="s">
        <v>4891</v>
      </c>
      <c r="L1079" s="44" t="str" cm="1">
        <f t="array" ref="L1079">+_xlfn.IFS(COUNTIF(INGRESOS!E:E,Tabla6[[#This Row],[ID FACTURA]])=1,"PAGADA",Tabla6[[#This Row],[ID FACTURA]]&lt;&gt;0,"EMITIDA",Tabla6[[#This Row],[ID FACTURA]]=0,"POR EMITIR")</f>
        <v>PAGADA</v>
      </c>
      <c r="M1079" s="55">
        <f>+IF(Tabla6[[#This Row],[ESTADO FACTURA]]="PAGADA",Tabla6[[#This Row],[FECHA]]-_xlfn.XLOOKUP(Tabla6[[#This Row],[N° FACTURA]],INGRESOS!F:F,INGRESOS!A:A),"-")</f>
        <v>3</v>
      </c>
      <c r="N1079" s="2"/>
      <c r="O1079"/>
    </row>
    <row r="1080" spans="1:15" ht="14.75" customHeight="1">
      <c r="A1080" s="320" t="s">
        <v>1206</v>
      </c>
      <c r="B1080" t="str">
        <f>+_xlfn.XLOOKUP(Tabla6[[#This Row],[ID CLIENTE]],'RESUMEN CLIENTES'!D:D,'RESUMEN CLIENTES'!A:A)</f>
        <v>Bryan Israel Jiménez Puente</v>
      </c>
      <c r="C1080" t="str">
        <f>+_xlfn.XLOOKUP(Tabla6[[#This Row],[ID CLIENTE]],'RESUMEN CLIENTES'!D:D,'RESUMEN CLIENTES'!C:C)</f>
        <v>Ecuador</v>
      </c>
      <c r="D1080" s="44" t="str">
        <f>+_xlfn.XLOOKUP(Tabla6[[#This Row],[ID CLIENTE]],'RESUMEN CLIENTES'!D:D,'RESUMEN CLIENTES'!M:M)</f>
        <v>OK</v>
      </c>
      <c r="E1080" s="72">
        <f>+_xlfn.XLOOKUP(Tabla6[[#This Row],[NOMBRE]],'RESUMEN CLIENTES'!A:A,'RESUMEN CLIENTES'!X:X)</f>
        <v>1</v>
      </c>
      <c r="F1080" s="72">
        <f>+_xlfn.XLOOKUP(Tabla6[[#This Row],[ID CLIENTE]],'RESUMEN CLIENTES'!D:D,'RESUMEN CLIENTES'!W:W)</f>
        <v>0</v>
      </c>
      <c r="G1080" s="17">
        <v>46086</v>
      </c>
      <c r="H1080" s="44" t="s">
        <v>81</v>
      </c>
      <c r="I1080" s="2">
        <f>1000-Tabla6[[#This Row],[DCTO DOC]]</f>
        <v>920</v>
      </c>
      <c r="J1080" s="20" t="s">
        <v>4900</v>
      </c>
      <c r="K1080" t="s">
        <v>4901</v>
      </c>
      <c r="L1080" s="44" t="str" cm="1">
        <f t="array" ref="L1080">+_xlfn.IFS(COUNTIF(INGRESOS!E:E,Tabla6[[#This Row],[ID FACTURA]])=1,"PAGADA",Tabla6[[#This Row],[ID FACTURA]]&lt;&gt;0,"EMITIDA",Tabla6[[#This Row],[ID FACTURA]]=0,"POR EMITIR")</f>
        <v>PAGADA</v>
      </c>
      <c r="M1080" s="55">
        <f>+IF(Tabla6[[#This Row],[ESTADO FACTURA]]="PAGADA",Tabla6[[#This Row],[FECHA]]-_xlfn.XLOOKUP(Tabla6[[#This Row],[N° FACTURA]],INGRESOS!F:F,INGRESOS!A:A),"-")</f>
        <v>3</v>
      </c>
      <c r="N1080" s="2">
        <v>80</v>
      </c>
      <c r="O1080"/>
    </row>
    <row r="1081" spans="1:15" ht="14.75" customHeight="1">
      <c r="A1081" s="320" t="s">
        <v>168</v>
      </c>
      <c r="B1081" t="str">
        <f>+_xlfn.XLOOKUP(Tabla6[[#This Row],[ID CLIENTE]],'RESUMEN CLIENTES'!D:D,'RESUMEN CLIENTES'!A:A)</f>
        <v xml:space="preserve">Catalina Ochoa Urrutia
</v>
      </c>
      <c r="C1081" t="str">
        <f>+_xlfn.XLOOKUP(Tabla6[[#This Row],[ID CLIENTE]],'RESUMEN CLIENTES'!D:D,'RESUMEN CLIENTES'!C:C)</f>
        <v>Chile</v>
      </c>
      <c r="D1081" s="44" t="str">
        <f>+_xlfn.XLOOKUP(Tabla6[[#This Row],[ID CLIENTE]],'RESUMEN CLIENTES'!D:D,'RESUMEN CLIENTES'!M:M)</f>
        <v>OK</v>
      </c>
      <c r="E1081" s="72">
        <f>+_xlfn.XLOOKUP(Tabla6[[#This Row],[NOMBRE]],'RESUMEN CLIENTES'!A:A,'RESUMEN CLIENTES'!X:X)</f>
        <v>0.75</v>
      </c>
      <c r="F1081" s="72">
        <f>+_xlfn.XLOOKUP(Tabla6[[#This Row],[ID CLIENTE]],'RESUMEN CLIENTES'!D:D,'RESUMEN CLIENTES'!W:W)</f>
        <v>1</v>
      </c>
      <c r="G1081" s="17">
        <v>46086</v>
      </c>
      <c r="H1081" s="44" t="s">
        <v>81</v>
      </c>
      <c r="I1081" s="2">
        <v>800</v>
      </c>
      <c r="J1081" s="20" t="s">
        <v>4879</v>
      </c>
      <c r="K1081" t="s">
        <v>4880</v>
      </c>
      <c r="L1081" s="44" t="str" cm="1">
        <f t="array" ref="L1081">+_xlfn.IFS(COUNTIF(INGRESOS!E:E,Tabla6[[#This Row],[ID FACTURA]])=1,"PAGADA",Tabla6[[#This Row],[ID FACTURA]]&lt;&gt;0,"EMITIDA",Tabla6[[#This Row],[ID FACTURA]]=0,"POR EMITIR")</f>
        <v>PAGADA</v>
      </c>
      <c r="M1081" s="55">
        <f>+IF(Tabla6[[#This Row],[ESTADO FACTURA]]="PAGADA",Tabla6[[#This Row],[FECHA]]-_xlfn.XLOOKUP(Tabla6[[#This Row],[N° FACTURA]],INGRESOS!F:F,INGRESOS!A:A),"-")</f>
        <v>3</v>
      </c>
      <c r="N1081" s="2"/>
      <c r="O1081"/>
    </row>
    <row r="1082" spans="1:15" ht="14.75" customHeight="1">
      <c r="A1082" s="320" t="s">
        <v>1674</v>
      </c>
      <c r="B1082" t="str">
        <f>+_xlfn.XLOOKUP(Tabla6[[#This Row],[ID CLIENTE]],'RESUMEN CLIENTES'!D:D,'RESUMEN CLIENTES'!A:A)</f>
        <v>Diego Alberto Ruiz Cifuentes</v>
      </c>
      <c r="C1082" t="str">
        <f>+_xlfn.XLOOKUP(Tabla6[[#This Row],[ID CLIENTE]],'RESUMEN CLIENTES'!D:D,'RESUMEN CLIENTES'!C:C)</f>
        <v>Chile</v>
      </c>
      <c r="D1082" s="169" t="str">
        <f>+_xlfn.XLOOKUP(Tabla6[[#This Row],[ID CLIENTE]],'RESUMEN CLIENTES'!D:D,'RESUMEN CLIENTES'!M:M)</f>
        <v>OK</v>
      </c>
      <c r="E1082" s="71">
        <f>+_xlfn.XLOOKUP(Tabla6[[#This Row],[NOMBRE]],'RESUMEN CLIENTES'!A:A,'RESUMEN CLIENTES'!X:X)</f>
        <v>5.75</v>
      </c>
      <c r="F1082" s="71">
        <f>+_xlfn.XLOOKUP(Tabla6[[#This Row],[ID CLIENTE]],'RESUMEN CLIENTES'!D:D,'RESUMEN CLIENTES'!W:W)</f>
        <v>0</v>
      </c>
      <c r="G1082" s="17">
        <v>46086</v>
      </c>
      <c r="H1082" s="169" t="s">
        <v>81</v>
      </c>
      <c r="I1082" s="2">
        <v>1000</v>
      </c>
      <c r="J1082" s="20" t="s">
        <v>4902</v>
      </c>
      <c r="K1082" t="s">
        <v>4903</v>
      </c>
      <c r="L1082" s="44" t="str" cm="1">
        <f t="array" ref="L1082">+_xlfn.IFS(COUNTIF(INGRESOS!E:E,Tabla6[[#This Row],[ID FACTURA]])=1,"PAGADA",Tabla6[[#This Row],[ID FACTURA]]&lt;&gt;0,"EMITIDA",Tabla6[[#This Row],[ID FACTURA]]=0,"POR EMITIR")</f>
        <v>PAGADA</v>
      </c>
      <c r="M1082" s="55">
        <f>+IF(Tabla6[[#This Row],[ESTADO FACTURA]]="PAGADA",Tabla6[[#This Row],[FECHA]]-_xlfn.XLOOKUP(Tabla6[[#This Row],[N° FACTURA]],INGRESOS!F:F,INGRESOS!A:A),"-")</f>
        <v>3</v>
      </c>
      <c r="N1082" s="2"/>
      <c r="O1082"/>
    </row>
    <row r="1083" spans="1:15" ht="14.75" customHeight="1">
      <c r="A1083" s="320" t="s">
        <v>194</v>
      </c>
      <c r="B1083" t="str">
        <f>+_xlfn.XLOOKUP(Tabla6[[#This Row],[ID CLIENTE]],'RESUMEN CLIENTES'!D:D,'RESUMEN CLIENTES'!A:A)</f>
        <v>Dinorah Gómez Castellanos</v>
      </c>
      <c r="C1083" t="str">
        <f>+_xlfn.XLOOKUP(Tabla6[[#This Row],[ID CLIENTE]],'RESUMEN CLIENTES'!D:D,'RESUMEN CLIENTES'!C:C)</f>
        <v>México</v>
      </c>
      <c r="D1083" s="44" t="str">
        <f>+_xlfn.XLOOKUP(Tabla6[[#This Row],[ID CLIENTE]],'RESUMEN CLIENTES'!D:D,'RESUMEN CLIENTES'!M:M)</f>
        <v>OK</v>
      </c>
      <c r="E1083" s="71">
        <f>+_xlfn.XLOOKUP(Tabla6[[#This Row],[NOMBRE]],'RESUMEN CLIENTES'!A:A,'RESUMEN CLIENTES'!X:X)</f>
        <v>2.75</v>
      </c>
      <c r="F1083" s="71">
        <f>+_xlfn.XLOOKUP(Tabla6[[#This Row],[ID CLIENTE]],'RESUMEN CLIENTES'!D:D,'RESUMEN CLIENTES'!W:W)</f>
        <v>0</v>
      </c>
      <c r="G1083" s="17">
        <v>46086</v>
      </c>
      <c r="H1083" s="44" t="s">
        <v>81</v>
      </c>
      <c r="I1083" s="2">
        <v>300</v>
      </c>
      <c r="J1083" s="20" t="s">
        <v>4910</v>
      </c>
      <c r="K1083" t="s">
        <v>4911</v>
      </c>
      <c r="L1083" s="44" t="str" cm="1">
        <f t="array" ref="L1083">+_xlfn.IFS(COUNTIF(INGRESOS!E:E,Tabla6[[#This Row],[ID FACTURA]])=1,"PAGADA",Tabla6[[#This Row],[ID FACTURA]]&lt;&gt;0,"EMITIDA",Tabla6[[#This Row],[ID FACTURA]]=0,"POR EMITIR")</f>
        <v>PAGADA</v>
      </c>
      <c r="M1083" s="55">
        <f>+IF(Tabla6[[#This Row],[ESTADO FACTURA]]="PAGADA",Tabla6[[#This Row],[FECHA]]-_xlfn.XLOOKUP(Tabla6[[#This Row],[N° FACTURA]],INGRESOS!F:F,INGRESOS!A:A),"-")</f>
        <v>2</v>
      </c>
      <c r="N1083" s="2"/>
      <c r="O1083"/>
    </row>
    <row r="1084" spans="1:15" ht="14.75" customHeight="1">
      <c r="A1084" s="320" t="s">
        <v>787</v>
      </c>
      <c r="B1084" t="str">
        <f>+_xlfn.XLOOKUP(Tabla6[[#This Row],[ID CLIENTE]],'RESUMEN CLIENTES'!D:D,'RESUMEN CLIENTES'!A:A)</f>
        <v>Florencia Luján Sapia</v>
      </c>
      <c r="C1084" t="str">
        <f>+_xlfn.XLOOKUP(Tabla6[[#This Row],[ID CLIENTE]],'RESUMEN CLIENTES'!D:D,'RESUMEN CLIENTES'!C:C)</f>
        <v>Argentina</v>
      </c>
      <c r="D1084" s="44" t="str">
        <f>+_xlfn.XLOOKUP(Tabla6[[#This Row],[ID CLIENTE]],'RESUMEN CLIENTES'!D:D,'RESUMEN CLIENTES'!M:M)</f>
        <v>OK</v>
      </c>
      <c r="E1084" s="72">
        <f>+_xlfn.XLOOKUP(Tabla6[[#This Row],[NOMBRE]],'RESUMEN CLIENTES'!A:A,'RESUMEN CLIENTES'!X:X)</f>
        <v>-0.77777777777777779</v>
      </c>
      <c r="F1084" s="72">
        <f>+_xlfn.XLOOKUP(Tabla6[[#This Row],[ID CLIENTE]],'RESUMEN CLIENTES'!D:D,'RESUMEN CLIENTES'!W:W)</f>
        <v>1</v>
      </c>
      <c r="G1084" s="17">
        <v>46086</v>
      </c>
      <c r="H1084" s="44" t="s">
        <v>81</v>
      </c>
      <c r="I1084" s="2">
        <v>600</v>
      </c>
      <c r="J1084" s="20" t="s">
        <v>4912</v>
      </c>
      <c r="K1084" t="s">
        <v>4913</v>
      </c>
      <c r="L1084" s="44" t="str" cm="1">
        <f t="array" ref="L1084">+_xlfn.IFS(COUNTIF(INGRESOS!E:E,Tabla6[[#This Row],[ID FACTURA]])=1,"PAGADA",Tabla6[[#This Row],[ID FACTURA]]&lt;&gt;0,"EMITIDA",Tabla6[[#This Row],[ID FACTURA]]=0,"POR EMITIR")</f>
        <v>PAGADA</v>
      </c>
      <c r="M1084" s="55">
        <f>+IF(Tabla6[[#This Row],[ESTADO FACTURA]]="PAGADA",Tabla6[[#This Row],[FECHA]]-_xlfn.XLOOKUP(Tabla6[[#This Row],[N° FACTURA]],INGRESOS!F:F,INGRESOS!A:A),"-")</f>
        <v>1</v>
      </c>
      <c r="N1084" s="2"/>
      <c r="O1084"/>
    </row>
    <row r="1085" spans="1:15" ht="14.75" customHeight="1">
      <c r="A1085" s="320" t="s">
        <v>171</v>
      </c>
      <c r="B1085" t="str">
        <f>+_xlfn.XLOOKUP(Tabla6[[#This Row],[ID CLIENTE]],'RESUMEN CLIENTES'!D:D,'RESUMEN CLIENTES'!A:A)</f>
        <v>Guillermo Alfonso Garvalena Gaxiola</v>
      </c>
      <c r="C1085" t="str">
        <f>+_xlfn.XLOOKUP(Tabla6[[#This Row],[ID CLIENTE]],'RESUMEN CLIENTES'!D:D,'RESUMEN CLIENTES'!C:C)</f>
        <v>México</v>
      </c>
      <c r="D1085" s="44" t="str">
        <f>+_xlfn.XLOOKUP(Tabla6[[#This Row],[ID CLIENTE]],'RESUMEN CLIENTES'!D:D,'RESUMEN CLIENTES'!M:M)</f>
        <v>OK</v>
      </c>
      <c r="E1085" s="72">
        <f>+_xlfn.XLOOKUP(Tabla6[[#This Row],[NOMBRE]],'RESUMEN CLIENTES'!A:A,'RESUMEN CLIENTES'!X:X)</f>
        <v>1.173913043478261</v>
      </c>
      <c r="F1085" s="71">
        <f>+_xlfn.XLOOKUP(Tabla6[[#This Row],[ID CLIENTE]],'RESUMEN CLIENTES'!D:D,'RESUMEN CLIENTES'!W:W)</f>
        <v>1</v>
      </c>
      <c r="G1085" s="17">
        <v>46086</v>
      </c>
      <c r="H1085" s="44" t="s">
        <v>81</v>
      </c>
      <c r="I1085" s="2">
        <v>200</v>
      </c>
      <c r="J1085" s="20" t="s">
        <v>4916</v>
      </c>
      <c r="K1085" t="s">
        <v>4917</v>
      </c>
      <c r="L1085" s="44" t="str" cm="1">
        <f t="array" ref="L1085">+_xlfn.IFS(COUNTIF(INGRESOS!E:E,Tabla6[[#This Row],[ID FACTURA]])=1,"PAGADA",Tabla6[[#This Row],[ID FACTURA]]&lt;&gt;0,"EMITIDA",Tabla6[[#This Row],[ID FACTURA]]=0,"POR EMITIR")</f>
        <v>PAGADA</v>
      </c>
      <c r="M1085" s="55">
        <f>+IF(Tabla6[[#This Row],[ESTADO FACTURA]]="PAGADA",Tabla6[[#This Row],[FECHA]]-_xlfn.XLOOKUP(Tabla6[[#This Row],[N° FACTURA]],INGRESOS!F:F,INGRESOS!A:A),"-")</f>
        <v>1</v>
      </c>
      <c r="N1085" s="214"/>
      <c r="O1085"/>
    </row>
    <row r="1086" spans="1:15" ht="14.75" customHeight="1">
      <c r="A1086" s="320" t="s">
        <v>171</v>
      </c>
      <c r="B1086" t="str">
        <f>+_xlfn.XLOOKUP(Tabla6[[#This Row],[ID CLIENTE]],'RESUMEN CLIENTES'!D:D,'RESUMEN CLIENTES'!A:A)</f>
        <v>Guillermo Alfonso Garvalena Gaxiola</v>
      </c>
      <c r="C1086" t="str">
        <f>+_xlfn.XLOOKUP(Tabla6[[#This Row],[ID CLIENTE]],'RESUMEN CLIENTES'!D:D,'RESUMEN CLIENTES'!C:C)</f>
        <v>México</v>
      </c>
      <c r="D1086" s="44" t="str">
        <f>+_xlfn.XLOOKUP(Tabla6[[#This Row],[ID CLIENTE]],'RESUMEN CLIENTES'!D:D,'RESUMEN CLIENTES'!M:M)</f>
        <v>OK</v>
      </c>
      <c r="E1086" s="72">
        <f>+_xlfn.XLOOKUP(Tabla6[[#This Row],[NOMBRE]],'RESUMEN CLIENTES'!A:A,'RESUMEN CLIENTES'!X:X)</f>
        <v>1.173913043478261</v>
      </c>
      <c r="F1086" s="72">
        <f>+_xlfn.XLOOKUP(Tabla6[[#This Row],[ID CLIENTE]],'RESUMEN CLIENTES'!D:D,'RESUMEN CLIENTES'!W:W)</f>
        <v>1</v>
      </c>
      <c r="G1086" s="17">
        <v>46086</v>
      </c>
      <c r="H1086" s="44" t="s">
        <v>81</v>
      </c>
      <c r="I1086" s="2">
        <v>500</v>
      </c>
      <c r="J1086" s="20" t="s">
        <v>4914</v>
      </c>
      <c r="K1086" t="s">
        <v>4915</v>
      </c>
      <c r="L1086" s="44" t="str" cm="1">
        <f t="array" ref="L1086">+_xlfn.IFS(COUNTIF(INGRESOS!E:E,Tabla6[[#This Row],[ID FACTURA]])=1,"PAGADA",Tabla6[[#This Row],[ID FACTURA]]&lt;&gt;0,"EMITIDA",Tabla6[[#This Row],[ID FACTURA]]=0,"POR EMITIR")</f>
        <v>PAGADA</v>
      </c>
      <c r="M1086" s="55">
        <f>+IF(Tabla6[[#This Row],[ESTADO FACTURA]]="PAGADA",Tabla6[[#This Row],[FECHA]]-_xlfn.XLOOKUP(Tabla6[[#This Row],[N° FACTURA]],INGRESOS!F:F,INGRESOS!A:A),"-")</f>
        <v>1</v>
      </c>
      <c r="N1086" s="2"/>
      <c r="O1086"/>
    </row>
    <row r="1087" spans="1:15" ht="14.75" customHeight="1">
      <c r="A1087" s="320" t="s">
        <v>142</v>
      </c>
      <c r="B1087" t="str">
        <f>+_xlfn.XLOOKUP(Tabla6[[#This Row],[ID CLIENTE]],'RESUMEN CLIENTES'!D:D,'RESUMEN CLIENTES'!A:A)</f>
        <v>Jordan Eliecer Toledo Bravo</v>
      </c>
      <c r="C1087" t="str">
        <f>+_xlfn.XLOOKUP(Tabla6[[#This Row],[ID CLIENTE]],'RESUMEN CLIENTES'!D:D,'RESUMEN CLIENTES'!C:C)</f>
        <v>Chile</v>
      </c>
      <c r="D1087" s="169" t="str">
        <f>+_xlfn.XLOOKUP(Tabla6[[#This Row],[ID CLIENTE]],'RESUMEN CLIENTES'!D:D,'RESUMEN CLIENTES'!M:M)</f>
        <v>OK</v>
      </c>
      <c r="E1087" s="71">
        <f>+_xlfn.XLOOKUP(Tabla6[[#This Row],[NOMBRE]],'RESUMEN CLIENTES'!A:A,'RESUMEN CLIENTES'!X:X)</f>
        <v>-1.6153846153846154</v>
      </c>
      <c r="F1087" s="71">
        <f>+_xlfn.XLOOKUP(Tabla6[[#This Row],[ID CLIENTE]],'RESUMEN CLIENTES'!D:D,'RESUMEN CLIENTES'!W:W)</f>
        <v>0</v>
      </c>
      <c r="G1087" s="17">
        <v>46086</v>
      </c>
      <c r="H1087" s="169" t="s">
        <v>81</v>
      </c>
      <c r="I1087" s="2">
        <v>500</v>
      </c>
      <c r="J1087" s="20" t="s">
        <v>5972</v>
      </c>
      <c r="K1087" t="s">
        <v>5973</v>
      </c>
      <c r="L1087" s="44" t="str" cm="1">
        <f t="array" ref="L1087">+_xlfn.IFS(COUNTIF(INGRESOS!E:E,Tabla6[[#This Row],[ID FACTURA]])=1,"PAGADA",Tabla6[[#This Row],[ID FACTURA]]&lt;&gt;0,"EMITIDA",Tabla6[[#This Row],[ID FACTURA]]=0,"POR EMITIR")</f>
        <v>PAGADA</v>
      </c>
      <c r="M1087" s="54">
        <f>+IF(Tabla6[[#This Row],[ESTADO FACTURA]]="PAGADA",Tabla6[[#This Row],[FECHA]]-_xlfn.XLOOKUP(Tabla6[[#This Row],[N° FACTURA]],INGRESOS!F:F,INGRESOS!A:A),"-")</f>
        <v>-2</v>
      </c>
      <c r="O1087"/>
    </row>
    <row r="1088" spans="1:15" ht="14.75" customHeight="1">
      <c r="A1088" s="320" t="s">
        <v>4454</v>
      </c>
      <c r="B1088" t="str">
        <f>+_xlfn.XLOOKUP(Tabla6[[#This Row],[ID CLIENTE]],'RESUMEN CLIENTES'!D:D,'RESUMEN CLIENTES'!A:A)</f>
        <v>Jose Luis Avilez Casas</v>
      </c>
      <c r="C1088" t="str">
        <f>+_xlfn.XLOOKUP(Tabla6[[#This Row],[ID CLIENTE]],'RESUMEN CLIENTES'!D:D,'RESUMEN CLIENTES'!C:C)</f>
        <v>México</v>
      </c>
      <c r="D1088" s="169" t="str">
        <f>+_xlfn.XLOOKUP(Tabla6[[#This Row],[ID CLIENTE]],'RESUMEN CLIENTES'!D:D,'RESUMEN CLIENTES'!M:M)</f>
        <v>OK</v>
      </c>
      <c r="E1088" s="71">
        <f>+_xlfn.XLOOKUP(Tabla6[[#This Row],[NOMBRE]],'RESUMEN CLIENTES'!A:A,'RESUMEN CLIENTES'!X:X)</f>
        <v>0.33333333333333331</v>
      </c>
      <c r="F1088" s="71">
        <f>+_xlfn.XLOOKUP(Tabla6[[#This Row],[ID CLIENTE]],'RESUMEN CLIENTES'!D:D,'RESUMEN CLIENTES'!W:W)</f>
        <v>0</v>
      </c>
      <c r="G1088" s="17">
        <v>46086</v>
      </c>
      <c r="H1088" s="169" t="s">
        <v>81</v>
      </c>
      <c r="I1088" s="2">
        <v>1000</v>
      </c>
      <c r="J1088" s="20" t="s">
        <v>4892</v>
      </c>
      <c r="K1088" t="s">
        <v>4893</v>
      </c>
      <c r="L1088" s="44" t="str" cm="1">
        <f t="array" ref="L1088">+_xlfn.IFS(COUNTIF(INGRESOS!E:E,Tabla6[[#This Row],[ID FACTURA]])=1,"PAGADA",Tabla6[[#This Row],[ID FACTURA]]&lt;&gt;0,"EMITIDA",Tabla6[[#This Row],[ID FACTURA]]=0,"POR EMITIR")</f>
        <v>PAGADA</v>
      </c>
      <c r="M1088" s="54">
        <f>+IF(Tabla6[[#This Row],[ESTADO FACTURA]]="PAGADA",Tabla6[[#This Row],[FECHA]]-_xlfn.XLOOKUP(Tabla6[[#This Row],[N° FACTURA]],INGRESOS!F:F,INGRESOS!A:A),"-")</f>
        <v>1</v>
      </c>
      <c r="O1088"/>
    </row>
    <row r="1089" spans="1:15" ht="14.75" customHeight="1">
      <c r="A1089" s="320" t="s">
        <v>798</v>
      </c>
      <c r="B1089" t="str">
        <f>+_xlfn.XLOOKUP(Tabla6[[#This Row],[ID CLIENTE]],'RESUMEN CLIENTES'!D:D,'RESUMEN CLIENTES'!A:A)</f>
        <v>Juan Manuel Paranzino</v>
      </c>
      <c r="C1089" t="str">
        <f>+_xlfn.XLOOKUP(Tabla6[[#This Row],[ID CLIENTE]],'RESUMEN CLIENTES'!D:D,'RESUMEN CLIENTES'!C:C)</f>
        <v>Argentina</v>
      </c>
      <c r="D1089" s="44" t="str">
        <f>+_xlfn.XLOOKUP(Tabla6[[#This Row],[ID CLIENTE]],'RESUMEN CLIENTES'!D:D,'RESUMEN CLIENTES'!M:M)</f>
        <v>OK</v>
      </c>
      <c r="E1089" s="72">
        <f>+_xlfn.XLOOKUP(Tabla6[[#This Row],[NOMBRE]],'RESUMEN CLIENTES'!A:A,'RESUMEN CLIENTES'!X:X)</f>
        <v>-1</v>
      </c>
      <c r="F1089" s="72">
        <f>+_xlfn.XLOOKUP(Tabla6[[#This Row],[ID CLIENTE]],'RESUMEN CLIENTES'!D:D,'RESUMEN CLIENTES'!W:W)</f>
        <v>0</v>
      </c>
      <c r="G1089" s="17">
        <v>46086</v>
      </c>
      <c r="H1089" s="44" t="s">
        <v>81</v>
      </c>
      <c r="I1089" s="2">
        <v>600</v>
      </c>
      <c r="J1089" s="20" t="s">
        <v>6548</v>
      </c>
      <c r="K1089" t="s">
        <v>6549</v>
      </c>
      <c r="L1089" s="44" t="str" cm="1">
        <f t="array" ref="L1089">+_xlfn.IFS(COUNTIF(INGRESOS!E:E,Tabla6[[#This Row],[ID FACTURA]])=1,"PAGADA",Tabla6[[#This Row],[ID FACTURA]]&lt;&gt;0,"EMITIDA",Tabla6[[#This Row],[ID FACTURA]]=0,"POR EMITIR")</f>
        <v>PAGADA</v>
      </c>
      <c r="M1089" s="55">
        <f>+IF(Tabla6[[#This Row],[ESTADO FACTURA]]="PAGADA",Tabla6[[#This Row],[FECHA]]-_xlfn.XLOOKUP(Tabla6[[#This Row],[N° FACTURA]],INGRESOS!F:F,INGRESOS!A:A),"-")</f>
        <v>-1</v>
      </c>
      <c r="N1089" s="2"/>
      <c r="O1089"/>
    </row>
    <row r="1090" spans="1:15" ht="14.75" customHeight="1">
      <c r="A1090" s="320" t="s">
        <v>955</v>
      </c>
      <c r="B1090" t="str">
        <f>+_xlfn.XLOOKUP(Tabla6[[#This Row],[ID CLIENTE]],'RESUMEN CLIENTES'!D:D,'RESUMEN CLIENTES'!A:A)</f>
        <v>Judith Elizabeth Lopez Sanchez</v>
      </c>
      <c r="C1090" t="str">
        <f>+_xlfn.XLOOKUP(Tabla6[[#This Row],[ID CLIENTE]],'RESUMEN CLIENTES'!D:D,'RESUMEN CLIENTES'!C:C)</f>
        <v>Perú</v>
      </c>
      <c r="D1090" s="44" t="str">
        <f>+_xlfn.XLOOKUP(Tabla6[[#This Row],[ID CLIENTE]],'RESUMEN CLIENTES'!D:D,'RESUMEN CLIENTES'!M:M)</f>
        <v>OK</v>
      </c>
      <c r="E1090" s="72">
        <f>+_xlfn.XLOOKUP(Tabla6[[#This Row],[NOMBRE]],'RESUMEN CLIENTES'!A:A,'RESUMEN CLIENTES'!X:X)</f>
        <v>0.2857142857142857</v>
      </c>
      <c r="F1090" s="72">
        <f>+_xlfn.XLOOKUP(Tabla6[[#This Row],[ID CLIENTE]],'RESUMEN CLIENTES'!D:D,'RESUMEN CLIENTES'!W:W)</f>
        <v>1</v>
      </c>
      <c r="G1090" s="17">
        <v>46086</v>
      </c>
      <c r="H1090" s="44" t="s">
        <v>81</v>
      </c>
      <c r="I1090" s="2">
        <v>1000</v>
      </c>
      <c r="J1090" s="20" t="s">
        <v>4920</v>
      </c>
      <c r="K1090" t="s">
        <v>4921</v>
      </c>
      <c r="L1090" s="44" t="str" cm="1">
        <f t="array" ref="L1090">+_xlfn.IFS(COUNTIF(INGRESOS!E:E,Tabla6[[#This Row],[ID FACTURA]])=1,"PAGADA",Tabla6[[#This Row],[ID FACTURA]]&lt;&gt;0,"EMITIDA",Tabla6[[#This Row],[ID FACTURA]]=0,"POR EMITIR")</f>
        <v>PAGADA</v>
      </c>
      <c r="M1090" s="55">
        <f>+IF(Tabla6[[#This Row],[ESTADO FACTURA]]="PAGADA",Tabla6[[#This Row],[FECHA]]-_xlfn.XLOOKUP(Tabla6[[#This Row],[N° FACTURA]],INGRESOS!F:F,INGRESOS!A:A),"-")</f>
        <v>1</v>
      </c>
      <c r="N1090" s="2"/>
      <c r="O1090"/>
    </row>
    <row r="1091" spans="1:15" ht="14.75" customHeight="1">
      <c r="A1091" s="320" t="s">
        <v>1416</v>
      </c>
      <c r="B1091" t="str">
        <f>+_xlfn.XLOOKUP(Tabla6[[#This Row],[ID CLIENTE]],'RESUMEN CLIENTES'!D:D,'RESUMEN CLIENTES'!A:A)</f>
        <v>Luis Armando Calderon Manzanera</v>
      </c>
      <c r="C1091" t="str">
        <f>+_xlfn.XLOOKUP(Tabla6[[#This Row],[ID CLIENTE]],'RESUMEN CLIENTES'!D:D,'RESUMEN CLIENTES'!C:C)</f>
        <v>México</v>
      </c>
      <c r="D1091" s="44" t="str">
        <f>+_xlfn.XLOOKUP(Tabla6[[#This Row],[ID CLIENTE]],'RESUMEN CLIENTES'!D:D,'RESUMEN CLIENTES'!M:M)</f>
        <v>OK</v>
      </c>
      <c r="E1091" s="71">
        <f>+_xlfn.XLOOKUP(Tabla6[[#This Row],[NOMBRE]],'RESUMEN CLIENTES'!A:A,'RESUMEN CLIENTES'!X:X)</f>
        <v>2</v>
      </c>
      <c r="F1091" s="71">
        <f>+_xlfn.XLOOKUP(Tabla6[[#This Row],[ID CLIENTE]],'RESUMEN CLIENTES'!D:D,'RESUMEN CLIENTES'!W:W)</f>
        <v>1</v>
      </c>
      <c r="G1091" s="17">
        <v>46086</v>
      </c>
      <c r="H1091" s="44" t="s">
        <v>81</v>
      </c>
      <c r="I1091" s="2">
        <v>650</v>
      </c>
      <c r="J1091" s="20" t="s">
        <v>4848</v>
      </c>
      <c r="K1091" t="s">
        <v>4849</v>
      </c>
      <c r="L1091" s="44" t="str" cm="1">
        <f t="array" ref="L1091">+_xlfn.IFS(COUNTIF(INGRESOS!E:E,Tabla6[[#This Row],[ID FACTURA]])=1,"PAGADA",Tabla6[[#This Row],[ID FACTURA]]&lt;&gt;0,"EMITIDA",Tabla6[[#This Row],[ID FACTURA]]=0,"POR EMITIR")</f>
        <v>PAGADA</v>
      </c>
      <c r="M1091" s="55">
        <f>+IF(Tabla6[[#This Row],[ESTADO FACTURA]]="PAGADA",Tabla6[[#This Row],[FECHA]]-_xlfn.XLOOKUP(Tabla6[[#This Row],[N° FACTURA]],INGRESOS!F:F,INGRESOS!A:A),"-")</f>
        <v>3</v>
      </c>
      <c r="N1091" s="2"/>
      <c r="O1091"/>
    </row>
    <row r="1092" spans="1:15" ht="14.75" customHeight="1">
      <c r="A1092" s="320" t="s">
        <v>703</v>
      </c>
      <c r="B1092" t="str">
        <f>+_xlfn.XLOOKUP(Tabla6[[#This Row],[ID CLIENTE]],'RESUMEN CLIENTES'!D:D,'RESUMEN CLIENTES'!A:A)</f>
        <v>Maira Paz Navas Sánchez</v>
      </c>
      <c r="C1092" t="str">
        <f>+_xlfn.XLOOKUP(Tabla6[[#This Row],[ID CLIENTE]],'RESUMEN CLIENTES'!D:D,'RESUMEN CLIENTES'!C:C)</f>
        <v>Chile</v>
      </c>
      <c r="D1092" s="44" t="str">
        <f>+_xlfn.XLOOKUP(Tabla6[[#This Row],[ID CLIENTE]],'RESUMEN CLIENTES'!D:D,'RESUMEN CLIENTES'!M:M)</f>
        <v>OK</v>
      </c>
      <c r="E1092" s="72">
        <f>+_xlfn.XLOOKUP(Tabla6[[#This Row],[NOMBRE]],'RESUMEN CLIENTES'!A:A,'RESUMEN CLIENTES'!X:X)</f>
        <v>-1.75</v>
      </c>
      <c r="F1092" s="72">
        <f>+_xlfn.XLOOKUP(Tabla6[[#This Row],[ID CLIENTE]],'RESUMEN CLIENTES'!D:D,'RESUMEN CLIENTES'!W:W)</f>
        <v>1</v>
      </c>
      <c r="G1092" s="17">
        <v>46086</v>
      </c>
      <c r="H1092" s="44" t="s">
        <v>81</v>
      </c>
      <c r="I1092" s="2">
        <v>700</v>
      </c>
      <c r="J1092" s="20" t="s">
        <v>4922</v>
      </c>
      <c r="K1092" t="s">
        <v>4923</v>
      </c>
      <c r="L1092" s="44" t="str" cm="1">
        <f t="array" ref="L1092">+_xlfn.IFS(COUNTIF(INGRESOS!E:E,Tabla6[[#This Row],[ID FACTURA]])=1,"PAGADA",Tabla6[[#This Row],[ID FACTURA]]&lt;&gt;0,"EMITIDA",Tabla6[[#This Row],[ID FACTURA]]=0,"POR EMITIR")</f>
        <v>PAGADA</v>
      </c>
      <c r="M1092" s="55">
        <f>+IF(Tabla6[[#This Row],[ESTADO FACTURA]]="PAGADA",Tabla6[[#This Row],[FECHA]]-_xlfn.XLOOKUP(Tabla6[[#This Row],[N° FACTURA]],INGRESOS!F:F,INGRESOS!A:A),"-")</f>
        <v>0</v>
      </c>
      <c r="N1092" s="2"/>
      <c r="O1092"/>
    </row>
    <row r="1093" spans="1:15" ht="14.75" customHeight="1">
      <c r="A1093" s="320" t="s">
        <v>80</v>
      </c>
      <c r="B1093" t="str">
        <f>+_xlfn.XLOOKUP(Tabla6[[#This Row],[ID CLIENTE]],'RESUMEN CLIENTES'!D:D,'RESUMEN CLIENTES'!A:A)</f>
        <v>María Fernanda Alvar Sepúlveda</v>
      </c>
      <c r="C1093" t="str">
        <f>+_xlfn.XLOOKUP(Tabla6[[#This Row],[ID CLIENTE]],'RESUMEN CLIENTES'!D:D,'RESUMEN CLIENTES'!C:C)</f>
        <v>Chile</v>
      </c>
      <c r="D1093" s="44" t="str">
        <f>+_xlfn.XLOOKUP(Tabla6[[#This Row],[ID CLIENTE]],'RESUMEN CLIENTES'!D:D,'RESUMEN CLIENTES'!M:M)</f>
        <v>OK</v>
      </c>
      <c r="E1093" s="72">
        <f>+_xlfn.XLOOKUP(Tabla6[[#This Row],[NOMBRE]],'RESUMEN CLIENTES'!A:A,'RESUMEN CLIENTES'!X:X)</f>
        <v>5</v>
      </c>
      <c r="F1093" s="72">
        <f>+_xlfn.XLOOKUP(Tabla6[[#This Row],[ID CLIENTE]],'RESUMEN CLIENTES'!D:D,'RESUMEN CLIENTES'!W:W)</f>
        <v>1</v>
      </c>
      <c r="G1093" s="17">
        <v>46086</v>
      </c>
      <c r="H1093" s="44" t="s">
        <v>81</v>
      </c>
      <c r="I1093" s="2">
        <f>800-Tabla6[[#This Row],[DCTO DOC]]</f>
        <v>514</v>
      </c>
      <c r="J1093" s="20" t="s">
        <v>4882</v>
      </c>
      <c r="K1093" t="s">
        <v>4883</v>
      </c>
      <c r="L1093" s="44" t="str" cm="1">
        <f t="array" ref="L1093">+_xlfn.IFS(COUNTIF(INGRESOS!E:E,Tabla6[[#This Row],[ID FACTURA]])=1,"PAGADA",Tabla6[[#This Row],[ID FACTURA]]&lt;&gt;0,"EMITIDA",Tabla6[[#This Row],[ID FACTURA]]=0,"POR EMITIR")</f>
        <v>PAGADA</v>
      </c>
      <c r="M1093" s="55">
        <f>+IF(Tabla6[[#This Row],[ESTADO FACTURA]]="PAGADA",Tabla6[[#This Row],[FECHA]]-_xlfn.XLOOKUP(Tabla6[[#This Row],[N° FACTURA]],INGRESOS!F:F,INGRESOS!A:A),"-")</f>
        <v>1</v>
      </c>
      <c r="N1093" s="2">
        <f>46+240</f>
        <v>286</v>
      </c>
      <c r="O1093"/>
    </row>
    <row r="1094" spans="1:15" ht="14.75" customHeight="1">
      <c r="A1094" s="320" t="s">
        <v>1551</v>
      </c>
      <c r="B1094" t="str">
        <f>+_xlfn.XLOOKUP(Tabla6[[#This Row],[ID CLIENTE]],'RESUMEN CLIENTES'!D:D,'RESUMEN CLIENTES'!A:A)</f>
        <v>María Fernanda Cid Ramírez</v>
      </c>
      <c r="C1094" t="str">
        <f>+_xlfn.XLOOKUP(Tabla6[[#This Row],[ID CLIENTE]],'RESUMEN CLIENTES'!D:D,'RESUMEN CLIENTES'!C:C)</f>
        <v>México</v>
      </c>
      <c r="D1094" s="44" t="str">
        <f>+_xlfn.XLOOKUP(Tabla6[[#This Row],[ID CLIENTE]],'RESUMEN CLIENTES'!D:D,'RESUMEN CLIENTES'!M:M)</f>
        <v>OK</v>
      </c>
      <c r="E1094" s="71">
        <f>+_xlfn.XLOOKUP(Tabla6[[#This Row],[NOMBRE]],'RESUMEN CLIENTES'!A:A,'RESUMEN CLIENTES'!X:X)</f>
        <v>-0.8571428571428571</v>
      </c>
      <c r="F1094" s="71">
        <f>+_xlfn.XLOOKUP(Tabla6[[#This Row],[ID CLIENTE]],'RESUMEN CLIENTES'!D:D,'RESUMEN CLIENTES'!W:W)</f>
        <v>0</v>
      </c>
      <c r="G1094" s="17">
        <v>46086</v>
      </c>
      <c r="H1094" s="169" t="s">
        <v>81</v>
      </c>
      <c r="I1094" s="2">
        <v>850</v>
      </c>
      <c r="J1094" s="20" t="s">
        <v>4924</v>
      </c>
      <c r="K1094" t="s">
        <v>4925</v>
      </c>
      <c r="L1094" s="44" t="str" cm="1">
        <f t="array" ref="L1094">+_xlfn.IFS(COUNTIF(INGRESOS!E:E,Tabla6[[#This Row],[ID FACTURA]])=1,"PAGADA",Tabla6[[#This Row],[ID FACTURA]]&lt;&gt;0,"EMITIDA",Tabla6[[#This Row],[ID FACTURA]]=0,"POR EMITIR")</f>
        <v>PAGADA</v>
      </c>
      <c r="M1094" s="55">
        <f>+IF(Tabla6[[#This Row],[ESTADO FACTURA]]="PAGADA",Tabla6[[#This Row],[FECHA]]-_xlfn.XLOOKUP(Tabla6[[#This Row],[N° FACTURA]],INGRESOS!F:F,INGRESOS!A:A),"-")</f>
        <v>-1</v>
      </c>
      <c r="N1094" s="2"/>
      <c r="O1094"/>
    </row>
    <row r="1095" spans="1:15" ht="14.75" customHeight="1">
      <c r="A1095" s="320" t="s">
        <v>1155</v>
      </c>
      <c r="B1095" t="str">
        <f>+_xlfn.XLOOKUP(Tabla6[[#This Row],[ID CLIENTE]],'RESUMEN CLIENTES'!D:D,'RESUMEN CLIENTES'!A:A)</f>
        <v>Mario Arciga Casián</v>
      </c>
      <c r="C1095" t="str">
        <f>+_xlfn.XLOOKUP(Tabla6[[#This Row],[ID CLIENTE]],'RESUMEN CLIENTES'!D:D,'RESUMEN CLIENTES'!C:C)</f>
        <v>México</v>
      </c>
      <c r="D1095" s="44" t="str">
        <f>+_xlfn.XLOOKUP(Tabla6[[#This Row],[ID CLIENTE]],'RESUMEN CLIENTES'!D:D,'RESUMEN CLIENTES'!M:M)</f>
        <v>OK</v>
      </c>
      <c r="E1095" s="72">
        <f>+_xlfn.XLOOKUP(Tabla6[[#This Row],[NOMBRE]],'RESUMEN CLIENTES'!A:A,'RESUMEN CLIENTES'!X:X)</f>
        <v>-0.66666666666666663</v>
      </c>
      <c r="F1095" s="72">
        <f>+_xlfn.XLOOKUP(Tabla6[[#This Row],[ID CLIENTE]],'RESUMEN CLIENTES'!D:D,'RESUMEN CLIENTES'!W:W)</f>
        <v>1</v>
      </c>
      <c r="G1095" s="17">
        <v>46086</v>
      </c>
      <c r="H1095" s="44" t="s">
        <v>81</v>
      </c>
      <c r="I1095" s="2">
        <v>1000</v>
      </c>
      <c r="J1095" s="20" t="s">
        <v>4926</v>
      </c>
      <c r="K1095" t="s">
        <v>4927</v>
      </c>
      <c r="L1095" s="44" t="str" cm="1">
        <f t="array" ref="L1095">+_xlfn.IFS(COUNTIF(INGRESOS!E:E,Tabla6[[#This Row],[ID FACTURA]])=1,"PAGADA",Tabla6[[#This Row],[ID FACTURA]]&lt;&gt;0,"EMITIDA",Tabla6[[#This Row],[ID FACTURA]]=0,"POR EMITIR")</f>
        <v>PAGADA</v>
      </c>
      <c r="M1095" s="55">
        <f>+IF(Tabla6[[#This Row],[ESTADO FACTURA]]="PAGADA",Tabla6[[#This Row],[FECHA]]-_xlfn.XLOOKUP(Tabla6[[#This Row],[N° FACTURA]],INGRESOS!F:F,INGRESOS!A:A),"-")</f>
        <v>0</v>
      </c>
      <c r="N1095" s="2"/>
      <c r="O1095"/>
    </row>
    <row r="1096" spans="1:15" ht="14.75" customHeight="1">
      <c r="A1096" s="320" t="s">
        <v>4509</v>
      </c>
      <c r="B1096" t="str">
        <f>+_xlfn.XLOOKUP(Tabla6[[#This Row],[ID CLIENTE]],'RESUMEN CLIENTES'!D:D,'RESUMEN CLIENTES'!A:A)</f>
        <v>Marisol Madeleine Ibáñez Paredes</v>
      </c>
      <c r="C1096" t="str">
        <f>+_xlfn.XLOOKUP(Tabla6[[#This Row],[ID CLIENTE]],'RESUMEN CLIENTES'!D:D,'RESUMEN CLIENTES'!C:C)</f>
        <v>Ecuador</v>
      </c>
      <c r="D1096" s="169" t="str">
        <f>+_xlfn.XLOOKUP(Tabla6[[#This Row],[ID CLIENTE]],'RESUMEN CLIENTES'!D:D,'RESUMEN CLIENTES'!M:M)</f>
        <v>OK</v>
      </c>
      <c r="E1096" s="71">
        <f>+_xlfn.XLOOKUP(Tabla6[[#This Row],[NOMBRE]],'RESUMEN CLIENTES'!A:A,'RESUMEN CLIENTES'!X:X)</f>
        <v>-3</v>
      </c>
      <c r="F1096" s="71">
        <f>+_xlfn.XLOOKUP(Tabla6[[#This Row],[ID CLIENTE]],'RESUMEN CLIENTES'!D:D,'RESUMEN CLIENTES'!W:W)</f>
        <v>0</v>
      </c>
      <c r="G1096" s="17">
        <v>46086</v>
      </c>
      <c r="H1096" s="169" t="s">
        <v>81</v>
      </c>
      <c r="I1096" s="2">
        <v>1000</v>
      </c>
      <c r="J1096" t="s">
        <v>5977</v>
      </c>
      <c r="K1096" t="s">
        <v>5978</v>
      </c>
      <c r="L1096" s="44" t="str" cm="1">
        <f t="array" ref="L1096">+_xlfn.IFS(COUNTIF(INGRESOS!E:E,Tabla6[[#This Row],[ID FACTURA]])=1,"PAGADA",Tabla6[[#This Row],[ID FACTURA]]&lt;&gt;0,"EMITIDA",Tabla6[[#This Row],[ID FACTURA]]=0,"POR EMITIR")</f>
        <v>EMITIDA</v>
      </c>
      <c r="M1096" s="54" t="str">
        <f>+IF(Tabla6[[#This Row],[ESTADO FACTURA]]="PAGADA",Tabla6[[#This Row],[FECHA]]-_xlfn.XLOOKUP(Tabla6[[#This Row],[N° FACTURA]],INGRESOS!F:F,INGRESOS!A:A),"-")</f>
        <v>-</v>
      </c>
      <c r="O1096" t="s">
        <v>5979</v>
      </c>
    </row>
    <row r="1097" spans="1:15" ht="14.75" customHeight="1">
      <c r="A1097" s="320" t="s">
        <v>129</v>
      </c>
      <c r="B1097" t="str">
        <f>+_xlfn.XLOOKUP(Tabla6[[#This Row],[ID CLIENTE]],'RESUMEN CLIENTES'!D:D,'RESUMEN CLIENTES'!A:A)</f>
        <v>Moira Millaray Schneider Rivera</v>
      </c>
      <c r="C1097" t="str">
        <f>+_xlfn.XLOOKUP(Tabla6[[#This Row],[ID CLIENTE]],'RESUMEN CLIENTES'!D:D,'RESUMEN CLIENTES'!C:C)</f>
        <v>Chile</v>
      </c>
      <c r="D1097" s="44" t="str">
        <f>+_xlfn.XLOOKUP(Tabla6[[#This Row],[ID CLIENTE]],'RESUMEN CLIENTES'!D:D,'RESUMEN CLIENTES'!M:M)</f>
        <v>OK</v>
      </c>
      <c r="E1097" s="72">
        <f>+_xlfn.XLOOKUP(Tabla6[[#This Row],[NOMBRE]],'RESUMEN CLIENTES'!A:A,'RESUMEN CLIENTES'!X:X)</f>
        <v>0</v>
      </c>
      <c r="F1097" s="72">
        <f>+_xlfn.XLOOKUP(Tabla6[[#This Row],[ID CLIENTE]],'RESUMEN CLIENTES'!D:D,'RESUMEN CLIENTES'!W:W)</f>
        <v>1</v>
      </c>
      <c r="G1097" s="17">
        <v>46086</v>
      </c>
      <c r="H1097" s="44" t="s">
        <v>81</v>
      </c>
      <c r="I1097" s="2">
        <v>800</v>
      </c>
      <c r="J1097" s="20" t="s">
        <v>4928</v>
      </c>
      <c r="K1097" t="s">
        <v>4929</v>
      </c>
      <c r="L1097" s="44" t="str" cm="1">
        <f t="array" ref="L1097">+_xlfn.IFS(COUNTIF(INGRESOS!E:E,Tabla6[[#This Row],[ID FACTURA]])=1,"PAGADA",Tabla6[[#This Row],[ID FACTURA]]&lt;&gt;0,"EMITIDA",Tabla6[[#This Row],[ID FACTURA]]=0,"POR EMITIR")</f>
        <v>PAGADA</v>
      </c>
      <c r="M1097" s="55">
        <f>+IF(Tabla6[[#This Row],[ESTADO FACTURA]]="PAGADA",Tabla6[[#This Row],[FECHA]]-_xlfn.XLOOKUP(Tabla6[[#This Row],[N° FACTURA]],INGRESOS!F:F,INGRESOS!A:A),"-")</f>
        <v>-1</v>
      </c>
      <c r="N1097" s="2"/>
      <c r="O1097"/>
    </row>
    <row r="1098" spans="1:15" ht="14.75" customHeight="1">
      <c r="A1098" s="320" t="s">
        <v>159</v>
      </c>
      <c r="B1098" t="str">
        <f>+_xlfn.XLOOKUP(Tabla6[[#This Row],[ID CLIENTE]],'RESUMEN CLIENTES'!D:D,'RESUMEN CLIENTES'!A:A)</f>
        <v>Rodrigo Rivera Ruiz</v>
      </c>
      <c r="C1098" t="str">
        <f>+_xlfn.XLOOKUP(Tabla6[[#This Row],[ID CLIENTE]],'RESUMEN CLIENTES'!D:D,'RESUMEN CLIENTES'!C:C)</f>
        <v>Chile</v>
      </c>
      <c r="D1098" s="44" t="str">
        <f>+_xlfn.XLOOKUP(Tabla6[[#This Row],[ID CLIENTE]],'RESUMEN CLIENTES'!D:D,'RESUMEN CLIENTES'!M:M)</f>
        <v>OK</v>
      </c>
      <c r="E1098" s="72">
        <f>+_xlfn.XLOOKUP(Tabla6[[#This Row],[NOMBRE]],'RESUMEN CLIENTES'!A:A,'RESUMEN CLIENTES'!X:X)</f>
        <v>0.8</v>
      </c>
      <c r="F1098" s="72">
        <f>+_xlfn.XLOOKUP(Tabla6[[#This Row],[ID CLIENTE]],'RESUMEN CLIENTES'!D:D,'RESUMEN CLIENTES'!W:W)</f>
        <v>1</v>
      </c>
      <c r="G1098" s="17">
        <v>46086</v>
      </c>
      <c r="H1098" s="44" t="s">
        <v>81</v>
      </c>
      <c r="I1098" s="2">
        <v>800</v>
      </c>
      <c r="J1098" s="20" t="s">
        <v>4918</v>
      </c>
      <c r="K1098" t="s">
        <v>4919</v>
      </c>
      <c r="L1098" s="44" t="str" cm="1">
        <f t="array" ref="L1098">+_xlfn.IFS(COUNTIF(INGRESOS!E:E,Tabla6[[#This Row],[ID FACTURA]])=1,"PAGADA",Tabla6[[#This Row],[ID FACTURA]]&lt;&gt;0,"EMITIDA",Tabla6[[#This Row],[ID FACTURA]]=0,"POR EMITIR")</f>
        <v>PAGADA</v>
      </c>
      <c r="M1098" s="55">
        <f>+IF(Tabla6[[#This Row],[ESTADO FACTURA]]="PAGADA",Tabla6[[#This Row],[FECHA]]-_xlfn.XLOOKUP(Tabla6[[#This Row],[N° FACTURA]],INGRESOS!F:F,INGRESOS!A:A),"-")</f>
        <v>3</v>
      </c>
      <c r="N1098" s="2"/>
      <c r="O1098"/>
    </row>
    <row r="1099" spans="1:15" ht="14.75" customHeight="1">
      <c r="A1099" s="320" t="s">
        <v>281</v>
      </c>
      <c r="B1099" t="str">
        <f>+_xlfn.XLOOKUP(Tabla6[[#This Row],[ID CLIENTE]],'RESUMEN CLIENTES'!D:D,'RESUMEN CLIENTES'!A:A)</f>
        <v>Sergio Francisco Garcia Sandoval</v>
      </c>
      <c r="C1099" t="str">
        <f>+_xlfn.XLOOKUP(Tabla6[[#This Row],[ID CLIENTE]],'RESUMEN CLIENTES'!D:D,'RESUMEN CLIENTES'!C:C)</f>
        <v>Perú</v>
      </c>
      <c r="D1099" s="44" t="str">
        <f>+_xlfn.XLOOKUP(Tabla6[[#This Row],[ID CLIENTE]],'RESUMEN CLIENTES'!D:D,'RESUMEN CLIENTES'!M:M)</f>
        <v>OK</v>
      </c>
      <c r="E1099" s="72">
        <f>+_xlfn.XLOOKUP(Tabla6[[#This Row],[NOMBRE]],'RESUMEN CLIENTES'!A:A,'RESUMEN CLIENTES'!X:X)</f>
        <v>0.88888888888888884</v>
      </c>
      <c r="F1099" s="72">
        <f>+_xlfn.XLOOKUP(Tabla6[[#This Row],[ID CLIENTE]],'RESUMEN CLIENTES'!D:D,'RESUMEN CLIENTES'!W:W)</f>
        <v>1</v>
      </c>
      <c r="G1099" s="17">
        <v>46086</v>
      </c>
      <c r="H1099" s="44" t="s">
        <v>81</v>
      </c>
      <c r="I1099" s="2">
        <v>350</v>
      </c>
      <c r="J1099" s="20" t="s">
        <v>4930</v>
      </c>
      <c r="K1099" t="s">
        <v>4931</v>
      </c>
      <c r="L1099" s="44" t="str" cm="1">
        <f t="array" ref="L1099">+_xlfn.IFS(COUNTIF(INGRESOS!E:E,Tabla6[[#This Row],[ID FACTURA]])=1,"PAGADA",Tabla6[[#This Row],[ID FACTURA]]&lt;&gt;0,"EMITIDA",Tabla6[[#This Row],[ID FACTURA]]=0,"POR EMITIR")</f>
        <v>PAGADA</v>
      </c>
      <c r="M1099" s="55">
        <f>+IF(Tabla6[[#This Row],[ESTADO FACTURA]]="PAGADA",Tabla6[[#This Row],[FECHA]]-_xlfn.XLOOKUP(Tabla6[[#This Row],[N° FACTURA]],INGRESOS!F:F,INGRESOS!A:A),"-")</f>
        <v>1</v>
      </c>
      <c r="N1099" s="2"/>
      <c r="O1099"/>
    </row>
    <row r="1100" spans="1:15" ht="14.75" customHeight="1">
      <c r="A1100" s="320" t="s">
        <v>112</v>
      </c>
      <c r="B1100" t="str">
        <f>+_xlfn.XLOOKUP(Tabla6[[#This Row],[ID CLIENTE]],'RESUMEN CLIENTES'!D:D,'RESUMEN CLIENTES'!A:A)</f>
        <v>Victor Emanuel Hernández Ruíz</v>
      </c>
      <c r="C1100" t="str">
        <f>+_xlfn.XLOOKUP(Tabla6[[#This Row],[ID CLIENTE]],'RESUMEN CLIENTES'!D:D,'RESUMEN CLIENTES'!C:C)</f>
        <v>México</v>
      </c>
      <c r="D1100" s="44" t="str">
        <f>+_xlfn.XLOOKUP(Tabla6[[#This Row],[ID CLIENTE]],'RESUMEN CLIENTES'!D:D,'RESUMEN CLIENTES'!M:M)</f>
        <v>OK</v>
      </c>
      <c r="E1100" s="72">
        <f>+_xlfn.XLOOKUP(Tabla6[[#This Row],[NOMBRE]],'RESUMEN CLIENTES'!A:A,'RESUMEN CLIENTES'!X:X)</f>
        <v>-1.2727272727272727</v>
      </c>
      <c r="F1100" s="72">
        <f>+_xlfn.XLOOKUP(Tabla6[[#This Row],[ID CLIENTE]],'RESUMEN CLIENTES'!D:D,'RESUMEN CLIENTES'!W:W)</f>
        <v>1</v>
      </c>
      <c r="G1100" s="17">
        <v>46086</v>
      </c>
      <c r="H1100" s="44" t="s">
        <v>81</v>
      </c>
      <c r="I1100" s="2">
        <v>800</v>
      </c>
      <c r="J1100" s="20" t="s">
        <v>4932</v>
      </c>
      <c r="K1100" t="s">
        <v>4933</v>
      </c>
      <c r="L1100" s="44" t="str" cm="1">
        <f t="array" ref="L1100">+_xlfn.IFS(COUNTIF(INGRESOS!E:E,Tabla6[[#This Row],[ID FACTURA]])=1,"PAGADA",Tabla6[[#This Row],[ID FACTURA]]&lt;&gt;0,"EMITIDA",Tabla6[[#This Row],[ID FACTURA]]=0,"POR EMITIR")</f>
        <v>PAGADA</v>
      </c>
      <c r="M1100" s="55">
        <f>+IF(Tabla6[[#This Row],[ESTADO FACTURA]]="PAGADA",Tabla6[[#This Row],[FECHA]]-_xlfn.XLOOKUP(Tabla6[[#This Row],[N° FACTURA]],INGRESOS!F:F,INGRESOS!A:A),"-")</f>
        <v>0</v>
      </c>
      <c r="N1100" s="2"/>
      <c r="O1100"/>
    </row>
    <row r="1101" spans="1:15" ht="14.75" customHeight="1">
      <c r="A1101" s="320" t="s">
        <v>907</v>
      </c>
      <c r="B1101" t="str">
        <f>+_xlfn.XLOOKUP(Tabla6[[#This Row],[ID CLIENTE]],'RESUMEN CLIENTES'!D:D,'RESUMEN CLIENTES'!A:A)</f>
        <v>Luis Carlos Villa Cortés</v>
      </c>
      <c r="C1101" t="str">
        <f>+_xlfn.XLOOKUP(Tabla6[[#This Row],[ID CLIENTE]],'RESUMEN CLIENTES'!D:D,'RESUMEN CLIENTES'!C:C)</f>
        <v>México</v>
      </c>
      <c r="D1101" s="44" t="str">
        <f>+_xlfn.XLOOKUP(Tabla6[[#This Row],[ID CLIENTE]],'RESUMEN CLIENTES'!D:D,'RESUMEN CLIENTES'!M:M)</f>
        <v>OK</v>
      </c>
      <c r="E1101" s="72">
        <f>+_xlfn.XLOOKUP(Tabla6[[#This Row],[NOMBRE]],'RESUMEN CLIENTES'!A:A,'RESUMEN CLIENTES'!X:X)</f>
        <v>0</v>
      </c>
      <c r="F1101" s="72">
        <f>+_xlfn.XLOOKUP(Tabla6[[#This Row],[ID CLIENTE]],'RESUMEN CLIENTES'!D:D,'RESUMEN CLIENTES'!W:W)</f>
        <v>1</v>
      </c>
      <c r="G1101" s="17">
        <v>46087</v>
      </c>
      <c r="H1101" s="44" t="s">
        <v>81</v>
      </c>
      <c r="I1101" s="2">
        <v>1000</v>
      </c>
      <c r="J1101" s="20" t="s">
        <v>5980</v>
      </c>
      <c r="K1101" t="s">
        <v>5981</v>
      </c>
      <c r="L1101" s="44" t="str" cm="1">
        <f t="array" ref="L1101">+_xlfn.IFS(COUNTIF(INGRESOS!E:E,Tabla6[[#This Row],[ID FACTURA]])=1,"PAGADA",Tabla6[[#This Row],[ID FACTURA]]&lt;&gt;0,"EMITIDA",Tabla6[[#This Row],[ID FACTURA]]=0,"POR EMITIR")</f>
        <v>PAGADA</v>
      </c>
      <c r="M1101" s="55">
        <f>+IF(Tabla6[[#This Row],[ESTADO FACTURA]]="PAGADA",Tabla6[[#This Row],[FECHA]]-_xlfn.XLOOKUP(Tabla6[[#This Row],[N° FACTURA]],INGRESOS!F:F,INGRESOS!A:A),"-")</f>
        <v>-1</v>
      </c>
      <c r="N1101" s="2"/>
      <c r="O1101"/>
    </row>
    <row r="1102" spans="1:15" ht="14.75" customHeight="1">
      <c r="A1102" s="320" t="s">
        <v>1152</v>
      </c>
      <c r="B1102" t="str">
        <f>+_xlfn.XLOOKUP(Tabla6[[#This Row],[ID CLIENTE]],'RESUMEN CLIENTES'!D:D,'RESUMEN CLIENTES'!A:A)</f>
        <v>Ricardo Ernesto Miño Valencia</v>
      </c>
      <c r="C1102" t="str">
        <f>+_xlfn.XLOOKUP(Tabla6[[#This Row],[ID CLIENTE]],'RESUMEN CLIENTES'!D:D,'RESUMEN CLIENTES'!C:C)</f>
        <v>Ecuador</v>
      </c>
      <c r="D1102" s="44" t="str">
        <f>+_xlfn.XLOOKUP(Tabla6[[#This Row],[ID CLIENTE]],'RESUMEN CLIENTES'!D:D,'RESUMEN CLIENTES'!M:M)</f>
        <v>OK</v>
      </c>
      <c r="E1102" s="72">
        <f>+_xlfn.XLOOKUP(Tabla6[[#This Row],[NOMBRE]],'RESUMEN CLIENTES'!A:A,'RESUMEN CLIENTES'!X:X)</f>
        <v>-3.2</v>
      </c>
      <c r="F1102" s="72">
        <f>+_xlfn.XLOOKUP(Tabla6[[#This Row],[ID CLIENTE]],'RESUMEN CLIENTES'!D:D,'RESUMEN CLIENTES'!W:W)</f>
        <v>1</v>
      </c>
      <c r="G1102" s="17">
        <v>46087</v>
      </c>
      <c r="H1102" s="44" t="s">
        <v>81</v>
      </c>
      <c r="I1102" s="2">
        <v>700</v>
      </c>
      <c r="J1102" t="s">
        <v>5983</v>
      </c>
      <c r="K1102" t="s">
        <v>5984</v>
      </c>
      <c r="L1102" s="44" t="str" cm="1">
        <f t="array" ref="L1102">+_xlfn.IFS(COUNTIF(INGRESOS!E:E,Tabla6[[#This Row],[ID FACTURA]])=1,"PAGADA",Tabla6[[#This Row],[ID FACTURA]]&lt;&gt;0,"EMITIDA",Tabla6[[#This Row],[ID FACTURA]]=0,"POR EMITIR")</f>
        <v>EMITIDA</v>
      </c>
      <c r="M1102" s="55" t="str">
        <f>+IF(Tabla6[[#This Row],[ESTADO FACTURA]]="PAGADA",Tabla6[[#This Row],[FECHA]]-_xlfn.XLOOKUP(Tabla6[[#This Row],[N° FACTURA]],INGRESOS!F:F,INGRESOS!A:A),"-")</f>
        <v>-</v>
      </c>
      <c r="N1102" s="2"/>
      <c r="O1102" t="s">
        <v>5985</v>
      </c>
    </row>
    <row r="1103" spans="1:15" ht="14.75" customHeight="1">
      <c r="A1103" s="320" t="s">
        <v>253</v>
      </c>
      <c r="B1103" t="str">
        <f>+_xlfn.XLOOKUP(Tabla6[[#This Row],[ID CLIENTE]],'RESUMEN CLIENTES'!D:D,'RESUMEN CLIENTES'!A:A)</f>
        <v>Diego Alonso Salazar Palacios</v>
      </c>
      <c r="C1103" t="str">
        <f>+_xlfn.XLOOKUP(Tabla6[[#This Row],[ID CLIENTE]],'RESUMEN CLIENTES'!D:D,'RESUMEN CLIENTES'!C:C)</f>
        <v>Perú</v>
      </c>
      <c r="D1103" s="44" t="str">
        <f>+_xlfn.XLOOKUP(Tabla6[[#This Row],[ID CLIENTE]],'RESUMEN CLIENTES'!D:D,'RESUMEN CLIENTES'!M:M)</f>
        <v>OK</v>
      </c>
      <c r="E1103" s="72">
        <f>+_xlfn.XLOOKUP(Tabla6[[#This Row],[NOMBRE]],'RESUMEN CLIENTES'!A:A,'RESUMEN CLIENTES'!X:X)</f>
        <v>0.18560606059988707</v>
      </c>
      <c r="F1103" s="71">
        <f>+_xlfn.XLOOKUP(Tabla6[[#This Row],[ID CLIENTE]],'RESUMEN CLIENTES'!D:D,'RESUMEN CLIENTES'!W:W)</f>
        <v>1</v>
      </c>
      <c r="G1103" s="17">
        <v>46089</v>
      </c>
      <c r="H1103" s="44" t="s">
        <v>81</v>
      </c>
      <c r="I1103" s="2">
        <v>1000</v>
      </c>
      <c r="J1103" s="20" t="s">
        <v>6040</v>
      </c>
      <c r="K1103" t="s">
        <v>6041</v>
      </c>
      <c r="L1103" s="44" t="str" cm="1">
        <f t="array" ref="L1103">+_xlfn.IFS(COUNTIF(INGRESOS!E:E,Tabla6[[#This Row],[ID FACTURA]])=1,"PAGADA",Tabla6[[#This Row],[ID FACTURA]]&lt;&gt;0,"EMITIDA",Tabla6[[#This Row],[ID FACTURA]]=0,"POR EMITIR")</f>
        <v>PAGADA</v>
      </c>
      <c r="M1103" s="55">
        <f>+IF(Tabla6[[#This Row],[ESTADO FACTURA]]="PAGADA",Tabla6[[#This Row],[FECHA]]-_xlfn.XLOOKUP(Tabla6[[#This Row],[N° FACTURA]],INGRESOS!F:F,INGRESOS!A:A),"-")</f>
        <v>4</v>
      </c>
      <c r="N1103" s="214"/>
      <c r="O1103"/>
    </row>
    <row r="1104" spans="1:15" ht="14.75" customHeight="1">
      <c r="A1104" s="320" t="s">
        <v>1645</v>
      </c>
      <c r="B1104" t="str">
        <f>+_xlfn.XLOOKUP(Tabla6[[#This Row],[ID CLIENTE]],'RESUMEN CLIENTES'!D:D,'RESUMEN CLIENTES'!A:A)</f>
        <v>Gerardo Abel Palacios Preciado</v>
      </c>
      <c r="C1104" t="str">
        <f>+_xlfn.XLOOKUP(Tabla6[[#This Row],[ID CLIENTE]],'RESUMEN CLIENTES'!D:D,'RESUMEN CLIENTES'!C:C)</f>
        <v>México</v>
      </c>
      <c r="D1104" s="169" t="str">
        <f>+_xlfn.XLOOKUP(Tabla6[[#This Row],[ID CLIENTE]],'RESUMEN CLIENTES'!D:D,'RESUMEN CLIENTES'!M:M)</f>
        <v>OK</v>
      </c>
      <c r="E1104" s="71">
        <f>+_xlfn.XLOOKUP(Tabla6[[#This Row],[NOMBRE]],'RESUMEN CLIENTES'!A:A,'RESUMEN CLIENTES'!X:X)</f>
        <v>-1.3333333333333333</v>
      </c>
      <c r="F1104" s="71">
        <f>+_xlfn.XLOOKUP(Tabla6[[#This Row],[ID CLIENTE]],'RESUMEN CLIENTES'!D:D,'RESUMEN CLIENTES'!W:W)</f>
        <v>1</v>
      </c>
      <c r="G1104" s="17">
        <v>46090</v>
      </c>
      <c r="H1104" s="169" t="s">
        <v>81</v>
      </c>
      <c r="I1104" s="2">
        <v>650</v>
      </c>
      <c r="J1104" t="s">
        <v>6536</v>
      </c>
      <c r="K1104" t="s">
        <v>6537</v>
      </c>
      <c r="L1104" s="44" t="str" cm="1">
        <f t="array" ref="L1104">+_xlfn.IFS(COUNTIF(INGRESOS!E:E,Tabla6[[#This Row],[ID FACTURA]])=1,"PAGADA",Tabla6[[#This Row],[ID FACTURA]]&lt;&gt;0,"EMITIDA",Tabla6[[#This Row],[ID FACTURA]]=0,"POR EMITIR")</f>
        <v>EMITIDA</v>
      </c>
      <c r="M1104" s="55" t="str">
        <f>+IF(Tabla6[[#This Row],[ESTADO FACTURA]]="PAGADA",Tabla6[[#This Row],[FECHA]]-_xlfn.XLOOKUP(Tabla6[[#This Row],[N° FACTURA]],INGRESOS!F:F,INGRESOS!A:A),"-")</f>
        <v>-</v>
      </c>
      <c r="N1104" s="2"/>
      <c r="O1104" t="s">
        <v>6538</v>
      </c>
    </row>
    <row r="1105" spans="1:15" ht="14.75" customHeight="1">
      <c r="A1105" s="321" t="s">
        <v>367</v>
      </c>
      <c r="B1105" t="str">
        <f>+_xlfn.XLOOKUP(Tabla6[[#This Row],[ID CLIENTE]],'RESUMEN CLIENTES'!D:D,'RESUMEN CLIENTES'!A:A)</f>
        <v>José Miguel Undurraga Saavedra</v>
      </c>
      <c r="C1105" t="str">
        <f>+_xlfn.XLOOKUP(Tabla6[[#This Row],[ID CLIENTE]],'RESUMEN CLIENTES'!D:D,'RESUMEN CLIENTES'!C:C)</f>
        <v>Chile</v>
      </c>
      <c r="D1105" s="169" t="str">
        <f>+_xlfn.XLOOKUP(Tabla6[[#This Row],[ID CLIENTE]],'RESUMEN CLIENTES'!D:D,'RESUMEN CLIENTES'!M:M)</f>
        <v>OK</v>
      </c>
      <c r="E1105" s="71">
        <f>+_xlfn.XLOOKUP(Tabla6[[#This Row],[NOMBRE]],'RESUMEN CLIENTES'!A:A,'RESUMEN CLIENTES'!X:X)</f>
        <v>-11.5</v>
      </c>
      <c r="F1105" s="71">
        <f>+_xlfn.XLOOKUP(Tabla6[[#This Row],[ID CLIENTE]],'RESUMEN CLIENTES'!D:D,'RESUMEN CLIENTES'!W:W)</f>
        <v>0</v>
      </c>
      <c r="G1105" s="17">
        <v>46091</v>
      </c>
      <c r="H1105" s="169" t="s">
        <v>81</v>
      </c>
      <c r="I1105" s="2">
        <v>100</v>
      </c>
      <c r="J1105" t="s">
        <v>6718</v>
      </c>
      <c r="K1105" t="s">
        <v>6719</v>
      </c>
      <c r="L1105" s="44" t="str" cm="1">
        <f t="array" ref="L1105">+_xlfn.IFS(COUNTIF(INGRESOS!E:E,Tabla6[[#This Row],[ID FACTURA]])=1,"PAGADA",Tabla6[[#This Row],[ID FACTURA]]&lt;&gt;0,"EMITIDA",Tabla6[[#This Row],[ID FACTURA]]=0,"POR EMITIR")</f>
        <v>EMITIDA</v>
      </c>
      <c r="M1105" s="54" t="str">
        <f>+IF(Tabla6[[#This Row],[ESTADO FACTURA]]="PAGADA",Tabla6[[#This Row],[FECHA]]-_xlfn.XLOOKUP(Tabla6[[#This Row],[N° FACTURA]],INGRESOS!F:F,INGRESOS!A:A),"-")</f>
        <v>-</v>
      </c>
      <c r="O1105" t="s">
        <v>6720</v>
      </c>
    </row>
    <row r="1106" spans="1:15" ht="14.5" customHeight="1">
      <c r="A1106" s="320" t="s">
        <v>455</v>
      </c>
      <c r="B1106" t="str">
        <f>+_xlfn.XLOOKUP(Tabla6[[#This Row],[ID CLIENTE]],'RESUMEN CLIENTES'!D:D,'RESUMEN CLIENTES'!A:A)</f>
        <v>Paola Hitos</v>
      </c>
      <c r="C1106" t="str">
        <f>+_xlfn.XLOOKUP(Tabla6[[#This Row],[ID CLIENTE]],'RESUMEN CLIENTES'!D:D,'RESUMEN CLIENTES'!C:C)</f>
        <v>México</v>
      </c>
      <c r="D1106" s="44" t="str">
        <f>+_xlfn.XLOOKUP(Tabla6[[#This Row],[ID CLIENTE]],'RESUMEN CLIENTES'!D:D,'RESUMEN CLIENTES'!M:M)</f>
        <v>OK</v>
      </c>
      <c r="E1106" s="72">
        <f>+_xlfn.XLOOKUP(Tabla6[[#This Row],[NOMBRE]],'RESUMEN CLIENTES'!A:A,'RESUMEN CLIENTES'!X:X)</f>
        <v>-0.55555555555555558</v>
      </c>
      <c r="F1106" s="72">
        <f>+_xlfn.XLOOKUP(Tabla6[[#This Row],[ID CLIENTE]],'RESUMEN CLIENTES'!D:D,'RESUMEN CLIENTES'!W:W)</f>
        <v>1</v>
      </c>
      <c r="G1106" s="17">
        <v>46091</v>
      </c>
      <c r="H1106" s="44" t="s">
        <v>81</v>
      </c>
      <c r="I1106" s="2">
        <v>1000</v>
      </c>
      <c r="J1106" t="s">
        <v>6721</v>
      </c>
      <c r="K1106" t="s">
        <v>6722</v>
      </c>
      <c r="L1106" s="44" t="str" cm="1">
        <f t="array" ref="L1106">+_xlfn.IFS(COUNTIF(INGRESOS!E:E,Tabla6[[#This Row],[ID FACTURA]])=1,"PAGADA",Tabla6[[#This Row],[ID FACTURA]]&lt;&gt;0,"EMITIDA",Tabla6[[#This Row],[ID FACTURA]]=0,"POR EMITIR")</f>
        <v>EMITIDA</v>
      </c>
      <c r="M1106" s="55" t="str">
        <f>+IF(Tabla6[[#This Row],[ESTADO FACTURA]]="PAGADA",Tabla6[[#This Row],[FECHA]]-_xlfn.XLOOKUP(Tabla6[[#This Row],[N° FACTURA]],INGRESOS!F:F,INGRESOS!A:A),"-")</f>
        <v>-</v>
      </c>
      <c r="N1106" s="2"/>
      <c r="O1106" t="s">
        <v>6723</v>
      </c>
    </row>
    <row r="1107" spans="1:15" ht="14.75" customHeight="1">
      <c r="A1107" s="320" t="s">
        <v>1374</v>
      </c>
      <c r="B1107" t="str">
        <f>+_xlfn.XLOOKUP(Tabla6[[#This Row],[ID CLIENTE]],'RESUMEN CLIENTES'!D:D,'RESUMEN CLIENTES'!A:A)</f>
        <v>Samuel Sebastián Marmolejo Saldarriaga</v>
      </c>
      <c r="C1107" t="str">
        <f>+_xlfn.XLOOKUP(Tabla6[[#This Row],[ID CLIENTE]],'RESUMEN CLIENTES'!D:D,'RESUMEN CLIENTES'!C:C)</f>
        <v>Perú</v>
      </c>
      <c r="D1107" s="44" t="str">
        <f>+_xlfn.XLOOKUP(Tabla6[[#This Row],[ID CLIENTE]],'RESUMEN CLIENTES'!D:D,'RESUMEN CLIENTES'!M:M)</f>
        <v>OK</v>
      </c>
      <c r="E1107" s="71">
        <f>+_xlfn.XLOOKUP(Tabla6[[#This Row],[NOMBRE]],'RESUMEN CLIENTES'!A:A,'RESUMEN CLIENTES'!X:X)</f>
        <v>-0.5</v>
      </c>
      <c r="F1107" s="71">
        <f>+_xlfn.XLOOKUP(Tabla6[[#This Row],[ID CLIENTE]],'RESUMEN CLIENTES'!D:D,'RESUMEN CLIENTES'!W:W)</f>
        <v>0</v>
      </c>
      <c r="G1107" s="17">
        <v>46091</v>
      </c>
      <c r="H1107" s="44" t="s">
        <v>81</v>
      </c>
      <c r="I1107" s="2">
        <v>3000</v>
      </c>
      <c r="J1107" t="s">
        <v>6533</v>
      </c>
      <c r="K1107" t="s">
        <v>6534</v>
      </c>
      <c r="L1107" s="44" t="str" cm="1">
        <f t="array" ref="L1107">+_xlfn.IFS(COUNTIF(INGRESOS!E:E,Tabla6[[#This Row],[ID FACTURA]])=1,"PAGADA",Tabla6[[#This Row],[ID FACTURA]]&lt;&gt;0,"EMITIDA",Tabla6[[#This Row],[ID FACTURA]]=0,"POR EMITIR")</f>
        <v>EMITIDA</v>
      </c>
      <c r="M1107" s="55" t="str">
        <f>+IF(Tabla6[[#This Row],[ESTADO FACTURA]]="PAGADA",Tabla6[[#This Row],[FECHA]]-_xlfn.XLOOKUP(Tabla6[[#This Row],[N° FACTURA]],INGRESOS!F:F,INGRESOS!A:A),"-")</f>
        <v>-</v>
      </c>
      <c r="N1107" s="2"/>
      <c r="O1107" t="s">
        <v>6535</v>
      </c>
    </row>
    <row r="1108" spans="1:15" ht="14.75" customHeight="1">
      <c r="A1108" s="320" t="s">
        <v>501</v>
      </c>
      <c r="B1108" t="str">
        <f>+_xlfn.XLOOKUP(Tabla6[[#This Row],[ID CLIENTE]],'RESUMEN CLIENTES'!D:D,'RESUMEN CLIENTES'!A:A)</f>
        <v>Kimberly Chantelle Frey Arteaga</v>
      </c>
      <c r="C1108" t="str">
        <f>+_xlfn.XLOOKUP(Tabla6[[#This Row],[ID CLIENTE]],'RESUMEN CLIENTES'!D:D,'RESUMEN CLIENTES'!C:C)</f>
        <v>México</v>
      </c>
      <c r="D1108" s="44" t="str">
        <f>+_xlfn.XLOOKUP(Tabla6[[#This Row],[ID CLIENTE]],'RESUMEN CLIENTES'!D:D,'RESUMEN CLIENTES'!M:M)</f>
        <v>OK</v>
      </c>
      <c r="E1108" s="72">
        <f>+_xlfn.XLOOKUP(Tabla6[[#This Row],[NOMBRE]],'RESUMEN CLIENTES'!A:A,'RESUMEN CLIENTES'!X:X)</f>
        <v>0</v>
      </c>
      <c r="F1108" s="72">
        <f>+_xlfn.XLOOKUP(Tabla6[[#This Row],[ID CLIENTE]],'RESUMEN CLIENTES'!D:D,'RESUMEN CLIENTES'!W:W)</f>
        <v>1</v>
      </c>
      <c r="G1108" s="17">
        <v>46093</v>
      </c>
      <c r="H1108" s="44" t="s">
        <v>81</v>
      </c>
      <c r="I1108" s="2">
        <v>1000</v>
      </c>
      <c r="J1108" t="s">
        <v>6724</v>
      </c>
      <c r="K1108" t="s">
        <v>6725</v>
      </c>
      <c r="L1108" s="44" t="str" cm="1">
        <f t="array" ref="L1108">+_xlfn.IFS(COUNTIF(INGRESOS!E:E,Tabla6[[#This Row],[ID FACTURA]])=1,"PAGADA",Tabla6[[#This Row],[ID FACTURA]]&lt;&gt;0,"EMITIDA",Tabla6[[#This Row],[ID FACTURA]]=0,"POR EMITIR")</f>
        <v>EMITIDA</v>
      </c>
      <c r="M1108" s="55" t="str">
        <f>+IF(Tabla6[[#This Row],[ESTADO FACTURA]]="PAGADA",Tabla6[[#This Row],[FECHA]]-_xlfn.XLOOKUP(Tabla6[[#This Row],[N° FACTURA]],INGRESOS!F:F,INGRESOS!A:A),"-")</f>
        <v>-</v>
      </c>
      <c r="N1108" s="2"/>
      <c r="O1108" t="s">
        <v>6726</v>
      </c>
    </row>
    <row r="1109" spans="1:15" ht="14.75" customHeight="1">
      <c r="A1109" s="320" t="s">
        <v>109</v>
      </c>
      <c r="B1109" t="str">
        <f>+_xlfn.XLOOKUP(Tabla6[[#This Row],[ID CLIENTE]],'RESUMEN CLIENTES'!D:D,'RESUMEN CLIENTES'!A:A)</f>
        <v>Ian Job Lino Durán</v>
      </c>
      <c r="C1109" t="str">
        <f>+_xlfn.XLOOKUP(Tabla6[[#This Row],[ID CLIENTE]],'RESUMEN CLIENTES'!D:D,'RESUMEN CLIENTES'!C:C)</f>
        <v>México</v>
      </c>
      <c r="D1109" s="44" t="str">
        <f>+_xlfn.XLOOKUP(Tabla6[[#This Row],[ID CLIENTE]],'RESUMEN CLIENTES'!D:D,'RESUMEN CLIENTES'!M:M)</f>
        <v>OK</v>
      </c>
      <c r="E1109" s="72">
        <f>+_xlfn.XLOOKUP(Tabla6[[#This Row],[NOMBRE]],'RESUMEN CLIENTES'!A:A,'RESUMEN CLIENTES'!X:X)</f>
        <v>0.1</v>
      </c>
      <c r="F1109" s="72">
        <f>+_xlfn.XLOOKUP(Tabla6[[#This Row],[ID CLIENTE]],'RESUMEN CLIENTES'!D:D,'RESUMEN CLIENTES'!W:W)</f>
        <v>1</v>
      </c>
      <c r="G1109" s="17">
        <v>46094</v>
      </c>
      <c r="H1109" s="44" t="s">
        <v>81</v>
      </c>
      <c r="I1109" s="2">
        <f>800-Tabla6[[#This Row],[DCTO DOC]]</f>
        <v>734</v>
      </c>
      <c r="J1109" t="s">
        <v>6541</v>
      </c>
      <c r="K1109" t="s">
        <v>6542</v>
      </c>
      <c r="L1109" s="44" t="str" cm="1">
        <f t="array" ref="L1109">+_xlfn.IFS(COUNTIF(INGRESOS!E:E,Tabla6[[#This Row],[ID FACTURA]])=1,"PAGADA",Tabla6[[#This Row],[ID FACTURA]]&lt;&gt;0,"EMITIDA",Tabla6[[#This Row],[ID FACTURA]]=0,"POR EMITIR")</f>
        <v>EMITIDA</v>
      </c>
      <c r="M1109" s="55" t="str">
        <f>+IF(Tabla6[[#This Row],[ESTADO FACTURA]]="PAGADA",Tabla6[[#This Row],[FECHA]]-_xlfn.XLOOKUP(Tabla6[[#This Row],[N° FACTURA]],INGRESOS!F:F,INGRESOS!A:A),"-")</f>
        <v>-</v>
      </c>
      <c r="N1109" s="2">
        <v>66</v>
      </c>
      <c r="O1109" t="s">
        <v>6543</v>
      </c>
    </row>
    <row r="1110" spans="1:15" ht="14.75" customHeight="1">
      <c r="A1110" s="320" t="s">
        <v>187</v>
      </c>
      <c r="B1110" t="str">
        <f>+_xlfn.XLOOKUP(Tabla6[[#This Row],[ID CLIENTE]],'RESUMEN CLIENTES'!D:D,'RESUMEN CLIENTES'!A:A)</f>
        <v>Alina Maria Cervantes Real</v>
      </c>
      <c r="C1110" t="str">
        <f>+_xlfn.XLOOKUP(Tabla6[[#This Row],[ID CLIENTE]],'RESUMEN CLIENTES'!D:D,'RESUMEN CLIENTES'!C:C)</f>
        <v>México</v>
      </c>
      <c r="D1110" s="44" t="str">
        <f>+_xlfn.XLOOKUP(Tabla6[[#This Row],[ID CLIENTE]],'RESUMEN CLIENTES'!D:D,'RESUMEN CLIENTES'!M:M)</f>
        <v>OK</v>
      </c>
      <c r="E1110" s="72">
        <f>+_xlfn.XLOOKUP(Tabla6[[#This Row],[NOMBRE]],'RESUMEN CLIENTES'!A:A,'RESUMEN CLIENTES'!X:X)</f>
        <v>21.583333333333332</v>
      </c>
      <c r="F1110" s="72">
        <f>+_xlfn.XLOOKUP(Tabla6[[#This Row],[ID CLIENTE]],'RESUMEN CLIENTES'!D:D,'RESUMEN CLIENTES'!W:W)</f>
        <v>1</v>
      </c>
      <c r="G1110" s="17">
        <v>46096</v>
      </c>
      <c r="H1110" s="44" t="s">
        <v>81</v>
      </c>
      <c r="I1110" s="2">
        <v>850</v>
      </c>
      <c r="J1110"/>
      <c r="K1110"/>
      <c r="L1110" s="44" t="str" cm="1">
        <f t="array" ref="L1110">+_xlfn.IFS(COUNTIF(INGRESOS!E:E,Tabla6[[#This Row],[ID FACTURA]])=1,"PAGADA",Tabla6[[#This Row],[ID FACTURA]]&lt;&gt;0,"EMITIDA",Tabla6[[#This Row],[ID FACTURA]]=0,"POR EMITIR")</f>
        <v>POR EMITIR</v>
      </c>
      <c r="M1110" s="55" t="str">
        <f>+IF(Tabla6[[#This Row],[ESTADO FACTURA]]="PAGADA",Tabla6[[#This Row],[FECHA]]-_xlfn.XLOOKUP(Tabla6[[#This Row],[N° FACTURA]],INGRESOS!F:F,INGRESOS!A:A),"-")</f>
        <v>-</v>
      </c>
      <c r="N1110" s="2"/>
      <c r="O1110"/>
    </row>
    <row r="1111" spans="1:15" ht="14.75" customHeight="1">
      <c r="A1111" s="320" t="s">
        <v>325</v>
      </c>
      <c r="B1111" t="str">
        <f>+_xlfn.XLOOKUP(Tabla6[[#This Row],[ID CLIENTE]],'RESUMEN CLIENTES'!D:D,'RESUMEN CLIENTES'!A:A)</f>
        <v>Andrea Cristina Estrada Morocho</v>
      </c>
      <c r="C1111" t="str">
        <f>+_xlfn.XLOOKUP(Tabla6[[#This Row],[ID CLIENTE]],'RESUMEN CLIENTES'!D:D,'RESUMEN CLIENTES'!C:C)</f>
        <v>Ecuador</v>
      </c>
      <c r="D1111" s="44" t="str">
        <f>+_xlfn.XLOOKUP(Tabla6[[#This Row],[ID CLIENTE]],'RESUMEN CLIENTES'!D:D,'RESUMEN CLIENTES'!M:M)</f>
        <v>OK</v>
      </c>
      <c r="E1111" s="72">
        <f>+_xlfn.XLOOKUP(Tabla6[[#This Row],[NOMBRE]],'RESUMEN CLIENTES'!A:A,'RESUMEN CLIENTES'!X:X)</f>
        <v>-3.6666666666666665</v>
      </c>
      <c r="F1111" s="72">
        <f>+_xlfn.XLOOKUP(Tabla6[[#This Row],[ID CLIENTE]],'RESUMEN CLIENTES'!D:D,'RESUMEN CLIENTES'!W:W)</f>
        <v>1</v>
      </c>
      <c r="G1111" s="17">
        <v>46096</v>
      </c>
      <c r="H1111" s="44" t="s">
        <v>81</v>
      </c>
      <c r="I1111" s="2">
        <v>500</v>
      </c>
      <c r="J1111"/>
      <c r="K1111"/>
      <c r="L1111" s="44" t="str" cm="1">
        <f t="array" ref="L1111">+_xlfn.IFS(COUNTIF(INGRESOS!E:E,Tabla6[[#This Row],[ID FACTURA]])=1,"PAGADA",Tabla6[[#This Row],[ID FACTURA]]&lt;&gt;0,"EMITIDA",Tabla6[[#This Row],[ID FACTURA]]=0,"POR EMITIR")</f>
        <v>POR EMITIR</v>
      </c>
      <c r="M1111" s="55" t="str">
        <f>+IF(Tabla6[[#This Row],[ESTADO FACTURA]]="PAGADA",Tabla6[[#This Row],[FECHA]]-_xlfn.XLOOKUP(Tabla6[[#This Row],[N° FACTURA]],INGRESOS!F:F,INGRESOS!A:A),"-")</f>
        <v>-</v>
      </c>
      <c r="N1111" s="2"/>
      <c r="O1111"/>
    </row>
    <row r="1112" spans="1:15" ht="14.75" customHeight="1">
      <c r="A1112" s="320" t="s">
        <v>4768</v>
      </c>
      <c r="B1112" t="str">
        <f>+_xlfn.XLOOKUP(Tabla6[[#This Row],[ID CLIENTE]],'RESUMEN CLIENTES'!D:D,'RESUMEN CLIENTES'!A:A)</f>
        <v>Carla Elena Patínez Rondón</v>
      </c>
      <c r="C1112" s="15" t="str">
        <f>+_xlfn.XLOOKUP(Tabla6[[#This Row],[ID CLIENTE]],'RESUMEN CLIENTES'!D:D,'RESUMEN CLIENTES'!C:C)</f>
        <v>Venezuela</v>
      </c>
      <c r="D1112" s="169" t="str">
        <f>+_xlfn.XLOOKUP(Tabla6[[#This Row],[ID CLIENTE]],'RESUMEN CLIENTES'!D:D,'RESUMEN CLIENTES'!M:M)</f>
        <v>OK</v>
      </c>
      <c r="E1112" s="71">
        <f>+_xlfn.XLOOKUP(Tabla6[[#This Row],[NOMBRE]],'RESUMEN CLIENTES'!A:A,'RESUMEN CLIENTES'!X:X)</f>
        <v>-9</v>
      </c>
      <c r="F1112" s="71">
        <f>+_xlfn.XLOOKUP(Tabla6[[#This Row],[ID CLIENTE]],'RESUMEN CLIENTES'!D:D,'RESUMEN CLIENTES'!W:W)</f>
        <v>0</v>
      </c>
      <c r="G1112" s="17">
        <v>46096</v>
      </c>
      <c r="H1112" s="169" t="s">
        <v>81</v>
      </c>
      <c r="I1112" s="2">
        <v>1000</v>
      </c>
      <c r="J1112"/>
      <c r="K1112"/>
      <c r="L1112" s="44" t="str" cm="1">
        <f t="array" ref="L1112">+_xlfn.IFS(COUNTIF(INGRESOS!E:E,Tabla6[[#This Row],[ID FACTURA]])=1,"PAGADA",Tabla6[[#This Row],[ID FACTURA]]&lt;&gt;0,"EMITIDA",Tabla6[[#This Row],[ID FACTURA]]=0,"POR EMITIR")</f>
        <v>POR EMITIR</v>
      </c>
      <c r="M1112" s="54" t="str">
        <f>+IF(Tabla6[[#This Row],[ESTADO FACTURA]]="PAGADA",Tabla6[[#This Row],[FECHA]]-_xlfn.XLOOKUP(Tabla6[[#This Row],[N° FACTURA]],INGRESOS!F:F,INGRESOS!A:A),"-")</f>
        <v>-</v>
      </c>
      <c r="O1112"/>
    </row>
    <row r="1113" spans="1:15" ht="14.75" customHeight="1">
      <c r="A1113" s="320" t="s">
        <v>751</v>
      </c>
      <c r="B1113" t="str">
        <f>+_xlfn.XLOOKUP(Tabla6[[#This Row],[ID CLIENTE]],'RESUMEN CLIENTES'!D:D,'RESUMEN CLIENTES'!A:A)</f>
        <v>Carlos Alberto Suarez Hernandez</v>
      </c>
      <c r="C1113" t="str">
        <f>+_xlfn.XLOOKUP(Tabla6[[#This Row],[ID CLIENTE]],'RESUMEN CLIENTES'!D:D,'RESUMEN CLIENTES'!C:C)</f>
        <v>Colombia</v>
      </c>
      <c r="D1113" s="44" t="str">
        <f>+_xlfn.XLOOKUP(Tabla6[[#This Row],[ID CLIENTE]],'RESUMEN CLIENTES'!D:D,'RESUMEN CLIENTES'!M:M)</f>
        <v>OK</v>
      </c>
      <c r="E1113" s="72">
        <f>+_xlfn.XLOOKUP(Tabla6[[#This Row],[NOMBRE]],'RESUMEN CLIENTES'!A:A,'RESUMEN CLIENTES'!X:X)</f>
        <v>0</v>
      </c>
      <c r="F1113" s="72">
        <f>+_xlfn.XLOOKUP(Tabla6[[#This Row],[ID CLIENTE]],'RESUMEN CLIENTES'!D:D,'RESUMEN CLIENTES'!W:W)</f>
        <v>1</v>
      </c>
      <c r="G1113" s="17">
        <v>46096</v>
      </c>
      <c r="H1113" s="44" t="s">
        <v>81</v>
      </c>
      <c r="I1113" s="2">
        <v>1000</v>
      </c>
      <c r="J1113"/>
      <c r="K1113"/>
      <c r="L1113" s="44" t="str" cm="1">
        <f t="array" ref="L1113">+_xlfn.IFS(COUNTIF(INGRESOS!E:E,Tabla6[[#This Row],[ID FACTURA]])=1,"PAGADA",Tabla6[[#This Row],[ID FACTURA]]&lt;&gt;0,"EMITIDA",Tabla6[[#This Row],[ID FACTURA]]=0,"POR EMITIR")</f>
        <v>POR EMITIR</v>
      </c>
      <c r="M1113" s="55" t="str">
        <f>+IF(Tabla6[[#This Row],[ESTADO FACTURA]]="PAGADA",Tabla6[[#This Row],[FECHA]]-_xlfn.XLOOKUP(Tabla6[[#This Row],[N° FACTURA]],INGRESOS!F:F,INGRESOS!A:A),"-")</f>
        <v>-</v>
      </c>
      <c r="N1113" s="2"/>
      <c r="O1113"/>
    </row>
    <row r="1114" spans="1:15" ht="14.75" customHeight="1">
      <c r="A1114" s="320" t="s">
        <v>156</v>
      </c>
      <c r="B1114" t="str">
        <f>+_xlfn.XLOOKUP(Tabla6[[#This Row],[ID CLIENTE]],'RESUMEN CLIENTES'!D:D,'RESUMEN CLIENTES'!A:A)</f>
        <v>Catalina Andrea Videla Muñoz</v>
      </c>
      <c r="C1114" t="str">
        <f>+_xlfn.XLOOKUP(Tabla6[[#This Row],[ID CLIENTE]],'RESUMEN CLIENTES'!D:D,'RESUMEN CLIENTES'!C:C)</f>
        <v>Chile</v>
      </c>
      <c r="D1114" s="44" t="str">
        <f>+_xlfn.XLOOKUP(Tabla6[[#This Row],[ID CLIENTE]],'RESUMEN CLIENTES'!D:D,'RESUMEN CLIENTES'!M:M)</f>
        <v>OK</v>
      </c>
      <c r="E1114" s="72">
        <f>+_xlfn.XLOOKUP(Tabla6[[#This Row],[NOMBRE]],'RESUMEN CLIENTES'!A:A,'RESUMEN CLIENTES'!X:X)</f>
        <v>1.5454545454545454</v>
      </c>
      <c r="F1114" s="72">
        <f>+_xlfn.XLOOKUP(Tabla6[[#This Row],[ID CLIENTE]],'RESUMEN CLIENTES'!D:D,'RESUMEN CLIENTES'!W:W)</f>
        <v>1</v>
      </c>
      <c r="G1114" s="17">
        <v>46096</v>
      </c>
      <c r="H1114" s="44" t="s">
        <v>81</v>
      </c>
      <c r="I1114" s="2">
        <v>800</v>
      </c>
      <c r="J1114"/>
      <c r="K1114"/>
      <c r="L1114" s="44" t="str" cm="1">
        <f t="array" ref="L1114">+_xlfn.IFS(COUNTIF(INGRESOS!E:E,Tabla6[[#This Row],[ID FACTURA]])=1,"PAGADA",Tabla6[[#This Row],[ID FACTURA]]&lt;&gt;0,"EMITIDA",Tabla6[[#This Row],[ID FACTURA]]=0,"POR EMITIR")</f>
        <v>POR EMITIR</v>
      </c>
      <c r="M1114" s="55" t="str">
        <f>+IF(Tabla6[[#This Row],[ESTADO FACTURA]]="PAGADA",Tabla6[[#This Row],[FECHA]]-_xlfn.XLOOKUP(Tabla6[[#This Row],[N° FACTURA]],INGRESOS!F:F,INGRESOS!A:A),"-")</f>
        <v>-</v>
      </c>
      <c r="N1114" s="2"/>
      <c r="O1114"/>
    </row>
    <row r="1115" spans="1:15" ht="14.75" customHeight="1">
      <c r="A1115" s="320" t="s">
        <v>90</v>
      </c>
      <c r="B1115" t="str">
        <f>+_xlfn.XLOOKUP(Tabla6[[#This Row],[ID CLIENTE]],'RESUMEN CLIENTES'!D:D,'RESUMEN CLIENTES'!A:A)</f>
        <v>David Enrique Díaz Mejía</v>
      </c>
      <c r="C1115" t="str">
        <f>+_xlfn.XLOOKUP(Tabla6[[#This Row],[ID CLIENTE]],'RESUMEN CLIENTES'!D:D,'RESUMEN CLIENTES'!C:C)</f>
        <v>Honduras</v>
      </c>
      <c r="D1115" s="44" t="str">
        <f>+_xlfn.XLOOKUP(Tabla6[[#This Row],[ID CLIENTE]],'RESUMEN CLIENTES'!D:D,'RESUMEN CLIENTES'!M:M)</f>
        <v>OK</v>
      </c>
      <c r="E1115" s="72">
        <f>+_xlfn.XLOOKUP(Tabla6[[#This Row],[NOMBRE]],'RESUMEN CLIENTES'!A:A,'RESUMEN CLIENTES'!X:X)</f>
        <v>-15.217592592592862</v>
      </c>
      <c r="F1115" s="72">
        <f>+_xlfn.XLOOKUP(Tabla6[[#This Row],[ID CLIENTE]],'RESUMEN CLIENTES'!D:D,'RESUMEN CLIENTES'!W:W)</f>
        <v>1</v>
      </c>
      <c r="G1115" s="17">
        <v>46096</v>
      </c>
      <c r="H1115" s="44" t="s">
        <v>81</v>
      </c>
      <c r="I1115" s="2">
        <v>500</v>
      </c>
      <c r="J1115"/>
      <c r="K1115"/>
      <c r="L1115" s="44" t="str" cm="1">
        <f t="array" ref="L1115">+_xlfn.IFS(COUNTIF(INGRESOS!E:E,Tabla6[[#This Row],[ID FACTURA]])=1,"PAGADA",Tabla6[[#This Row],[ID FACTURA]]&lt;&gt;0,"EMITIDA",Tabla6[[#This Row],[ID FACTURA]]=0,"POR EMITIR")</f>
        <v>POR EMITIR</v>
      </c>
      <c r="M1115" s="55" t="str">
        <f>+IF(Tabla6[[#This Row],[ESTADO FACTURA]]="PAGADA",Tabla6[[#This Row],[FECHA]]-_xlfn.XLOOKUP(Tabla6[[#This Row],[N° FACTURA]],INGRESOS!F:F,INGRESOS!A:A),"-")</f>
        <v>-</v>
      </c>
      <c r="N1115" s="2"/>
      <c r="O1115"/>
    </row>
    <row r="1116" spans="1:15" ht="14.75" customHeight="1">
      <c r="A1116" s="320" t="s">
        <v>1945</v>
      </c>
      <c r="B1116" t="str">
        <f>+_xlfn.XLOOKUP(Tabla6[[#This Row],[ID CLIENTE]],'RESUMEN CLIENTES'!D:D,'RESUMEN CLIENTES'!A:A)</f>
        <v>Fernanda Constanza Kompai Antu Arellano Guzmán</v>
      </c>
      <c r="C1116" t="str">
        <f>+_xlfn.XLOOKUP(Tabla6[[#This Row],[ID CLIENTE]],'RESUMEN CLIENTES'!D:D,'RESUMEN CLIENTES'!C:C)</f>
        <v>Chile</v>
      </c>
      <c r="D1116" s="169" t="str">
        <f>+_xlfn.XLOOKUP(Tabla6[[#This Row],[ID CLIENTE]],'RESUMEN CLIENTES'!D:D,'RESUMEN CLIENTES'!M:M)</f>
        <v>OK</v>
      </c>
      <c r="E1116" s="71">
        <f>+_xlfn.XLOOKUP(Tabla6[[#This Row],[NOMBRE]],'RESUMEN CLIENTES'!A:A,'RESUMEN CLIENTES'!X:X)</f>
        <v>0</v>
      </c>
      <c r="F1116" s="71">
        <f>+_xlfn.XLOOKUP(Tabla6[[#This Row],[ID CLIENTE]],'RESUMEN CLIENTES'!D:D,'RESUMEN CLIENTES'!W:W)</f>
        <v>0</v>
      </c>
      <c r="G1116" s="170">
        <v>46096</v>
      </c>
      <c r="H1116" s="170" t="s">
        <v>81</v>
      </c>
      <c r="I1116" s="2">
        <v>2500</v>
      </c>
      <c r="J1116"/>
      <c r="K1116"/>
      <c r="L1116" s="44" t="str" cm="1">
        <f t="array" ref="L1116">+_xlfn.IFS(COUNTIF(INGRESOS!E:E,Tabla6[[#This Row],[ID FACTURA]])=1,"PAGADA",Tabla6[[#This Row],[ID FACTURA]]&lt;&gt;0,"EMITIDA",Tabla6[[#This Row],[ID FACTURA]]=0,"POR EMITIR")</f>
        <v>POR EMITIR</v>
      </c>
      <c r="M1116" s="54" t="str">
        <f>+IF(Tabla6[[#This Row],[ESTADO FACTURA]]="PAGADA",Tabla6[[#This Row],[FECHA]]-_xlfn.XLOOKUP(Tabla6[[#This Row],[N° FACTURA]],INGRESOS!F:F,INGRESOS!A:A),"-")</f>
        <v>-</v>
      </c>
      <c r="O1116"/>
    </row>
    <row r="1117" spans="1:15" ht="14.75" customHeight="1">
      <c r="A1117" s="320" t="s">
        <v>95</v>
      </c>
      <c r="B1117" t="str">
        <f>+_xlfn.XLOOKUP(Tabla6[[#This Row],[ID CLIENTE]],'RESUMEN CLIENTES'!D:D,'RESUMEN CLIENTES'!A:A)</f>
        <v>Gabriel Alejandro Ortega Moreno</v>
      </c>
      <c r="C1117" t="str">
        <f>+_xlfn.XLOOKUP(Tabla6[[#This Row],[ID CLIENTE]],'RESUMEN CLIENTES'!D:D,'RESUMEN CLIENTES'!C:C)</f>
        <v>Ecuador</v>
      </c>
      <c r="D1117" s="44" t="str">
        <f>+_xlfn.XLOOKUP(Tabla6[[#This Row],[ID CLIENTE]],'RESUMEN CLIENTES'!D:D,'RESUMEN CLIENTES'!M:M)</f>
        <v>OK</v>
      </c>
      <c r="E1117" s="72">
        <f>+_xlfn.XLOOKUP(Tabla6[[#This Row],[NOMBRE]],'RESUMEN CLIENTES'!A:A,'RESUMEN CLIENTES'!X:X)</f>
        <v>-0.1111111111111111</v>
      </c>
      <c r="F1117" s="72">
        <f>+_xlfn.XLOOKUP(Tabla6[[#This Row],[ID CLIENTE]],'RESUMEN CLIENTES'!D:D,'RESUMEN CLIENTES'!W:W)</f>
        <v>0</v>
      </c>
      <c r="G1117" s="17">
        <v>46096</v>
      </c>
      <c r="H1117" s="44" t="s">
        <v>81</v>
      </c>
      <c r="I1117" s="2">
        <v>200</v>
      </c>
      <c r="J1117"/>
      <c r="K1117"/>
      <c r="L1117" s="44" t="str" cm="1">
        <f t="array" ref="L1117">+_xlfn.IFS(COUNTIF(INGRESOS!E:E,Tabla6[[#This Row],[ID FACTURA]])=1,"PAGADA",Tabla6[[#This Row],[ID FACTURA]]&lt;&gt;0,"EMITIDA",Tabla6[[#This Row],[ID FACTURA]]=0,"POR EMITIR")</f>
        <v>POR EMITIR</v>
      </c>
      <c r="M1117" s="55" t="str">
        <f>+IF(Tabla6[[#This Row],[ESTADO FACTURA]]="PAGADA",Tabla6[[#This Row],[FECHA]]-_xlfn.XLOOKUP(Tabla6[[#This Row],[N° FACTURA]],INGRESOS!F:F,INGRESOS!A:A),"-")</f>
        <v>-</v>
      </c>
      <c r="N1117" s="2"/>
      <c r="O1117"/>
    </row>
    <row r="1118" spans="1:15" ht="14.75" customHeight="1">
      <c r="A1118" s="320" t="s">
        <v>98</v>
      </c>
      <c r="B1118" t="str">
        <f>+_xlfn.XLOOKUP(Tabla6[[#This Row],[ID CLIENTE]],'RESUMEN CLIENTES'!D:D,'RESUMEN CLIENTES'!A:A)</f>
        <v>Gabriela Kimberlyn Moran Caiza</v>
      </c>
      <c r="C1118" t="str">
        <f>+_xlfn.XLOOKUP(Tabla6[[#This Row],[ID CLIENTE]],'RESUMEN CLIENTES'!D:D,'RESUMEN CLIENTES'!C:C)</f>
        <v>Ecuador</v>
      </c>
      <c r="D1118" s="44" t="str">
        <f>+_xlfn.XLOOKUP(Tabla6[[#This Row],[ID CLIENTE]],'RESUMEN CLIENTES'!D:D,'RESUMEN CLIENTES'!M:M)</f>
        <v>OK</v>
      </c>
      <c r="E1118" s="72">
        <f>+_xlfn.XLOOKUP(Tabla6[[#This Row],[NOMBRE]],'RESUMEN CLIENTES'!A:A,'RESUMEN CLIENTES'!X:X)</f>
        <v>-1.25</v>
      </c>
      <c r="F1118" s="72">
        <f>+_xlfn.XLOOKUP(Tabla6[[#This Row],[ID CLIENTE]],'RESUMEN CLIENTES'!D:D,'RESUMEN CLIENTES'!W:W)</f>
        <v>0</v>
      </c>
      <c r="G1118" s="17">
        <v>46096</v>
      </c>
      <c r="H1118" s="44" t="s">
        <v>81</v>
      </c>
      <c r="I1118" s="2">
        <v>100</v>
      </c>
      <c r="J1118"/>
      <c r="K1118"/>
      <c r="L1118" s="44" t="str" cm="1">
        <f t="array" ref="L1118">+_xlfn.IFS(COUNTIF(INGRESOS!E:E,Tabla6[[#This Row],[ID FACTURA]])=1,"PAGADA",Tabla6[[#This Row],[ID FACTURA]]&lt;&gt;0,"EMITIDA",Tabla6[[#This Row],[ID FACTURA]]=0,"POR EMITIR")</f>
        <v>POR EMITIR</v>
      </c>
      <c r="M1118" s="55" t="str">
        <f>+IF(Tabla6[[#This Row],[ESTADO FACTURA]]="PAGADA",Tabla6[[#This Row],[FECHA]]-_xlfn.XLOOKUP(Tabla6[[#This Row],[N° FACTURA]],INGRESOS!F:F,INGRESOS!A:A),"-")</f>
        <v>-</v>
      </c>
      <c r="N1118" s="2"/>
      <c r="O1118"/>
    </row>
    <row r="1119" spans="1:15" ht="14.75" customHeight="1">
      <c r="A1119" s="320" t="s">
        <v>103</v>
      </c>
      <c r="B1119" t="str">
        <f>+_xlfn.XLOOKUP(Tabla6[[#This Row],[ID CLIENTE]],'RESUMEN CLIENTES'!D:D,'RESUMEN CLIENTES'!A:A)</f>
        <v>Isaac Ricardo Jimenez Campos</v>
      </c>
      <c r="C1119" t="str">
        <f>+_xlfn.XLOOKUP(Tabla6[[#This Row],[ID CLIENTE]],'RESUMEN CLIENTES'!D:D,'RESUMEN CLIENTES'!C:C)</f>
        <v>México</v>
      </c>
      <c r="D1119" s="44" t="str">
        <f>+_xlfn.XLOOKUP(Tabla6[[#This Row],[ID CLIENTE]],'RESUMEN CLIENTES'!D:D,'RESUMEN CLIENTES'!M:M)</f>
        <v>OK</v>
      </c>
      <c r="E1119" s="72">
        <f>+_xlfn.XLOOKUP(Tabla6[[#This Row],[NOMBRE]],'RESUMEN CLIENTES'!A:A,'RESUMEN CLIENTES'!X:X)</f>
        <v>0.5</v>
      </c>
      <c r="F1119" s="72">
        <f>+_xlfn.XLOOKUP(Tabla6[[#This Row],[ID CLIENTE]],'RESUMEN CLIENTES'!D:D,'RESUMEN CLIENTES'!W:W)</f>
        <v>1</v>
      </c>
      <c r="G1119" s="17">
        <v>46096</v>
      </c>
      <c r="H1119" s="44" t="s">
        <v>81</v>
      </c>
      <c r="I1119" s="2">
        <f>654-Tabla6[[#This Row],[DCTO DOC]]</f>
        <v>588</v>
      </c>
      <c r="J1119"/>
      <c r="K1119"/>
      <c r="L1119" s="44" t="str" cm="1">
        <f t="array" ref="L1119">+_xlfn.IFS(COUNTIF(INGRESOS!E:E,Tabla6[[#This Row],[ID FACTURA]])=1,"PAGADA",Tabla6[[#This Row],[ID FACTURA]]&lt;&gt;0,"EMITIDA",Tabla6[[#This Row],[ID FACTURA]]=0,"POR EMITIR")</f>
        <v>POR EMITIR</v>
      </c>
      <c r="M1119" s="55" t="str">
        <f>+IF(Tabla6[[#This Row],[ESTADO FACTURA]]="PAGADA",Tabla6[[#This Row],[FECHA]]-_xlfn.XLOOKUP(Tabla6[[#This Row],[N° FACTURA]],INGRESOS!F:F,INGRESOS!A:A),"-")</f>
        <v>-</v>
      </c>
      <c r="N1119" s="2">
        <v>66</v>
      </c>
      <c r="O1119"/>
    </row>
    <row r="1120" spans="1:15" ht="14.75" customHeight="1">
      <c r="A1120" s="320" t="s">
        <v>362</v>
      </c>
      <c r="B1120" t="str">
        <f>+_xlfn.XLOOKUP(Tabla6[[#This Row],[ID CLIENTE]],'RESUMEN CLIENTES'!D:D,'RESUMEN CLIENTES'!A:A)</f>
        <v>Jessica Ayelén Culla Alvarez</v>
      </c>
      <c r="C1120" t="str">
        <f>+_xlfn.XLOOKUP(Tabla6[[#This Row],[ID CLIENTE]],'RESUMEN CLIENTES'!D:D,'RESUMEN CLIENTES'!C:C)</f>
        <v>Argentina</v>
      </c>
      <c r="D1120" s="44" t="str">
        <f>+_xlfn.XLOOKUP(Tabla6[[#This Row],[ID CLIENTE]],'RESUMEN CLIENTES'!D:D,'RESUMEN CLIENTES'!M:M)</f>
        <v>OK</v>
      </c>
      <c r="E1120" s="72">
        <f>+_xlfn.XLOOKUP(Tabla6[[#This Row],[NOMBRE]],'RESUMEN CLIENTES'!A:A,'RESUMEN CLIENTES'!X:X)</f>
        <v>-2.1538461538461537</v>
      </c>
      <c r="F1120" s="72">
        <f>+_xlfn.XLOOKUP(Tabla6[[#This Row],[ID CLIENTE]],'RESUMEN CLIENTES'!D:D,'RESUMEN CLIENTES'!W:W)</f>
        <v>1</v>
      </c>
      <c r="G1120" s="17">
        <v>46096</v>
      </c>
      <c r="H1120" s="44" t="s">
        <v>81</v>
      </c>
      <c r="I1120" s="2">
        <v>1000</v>
      </c>
      <c r="J1120"/>
      <c r="K1120"/>
      <c r="L1120" s="44" t="str" cm="1">
        <f t="array" ref="L1120">+_xlfn.IFS(COUNTIF(INGRESOS!E:E,Tabla6[[#This Row],[ID FACTURA]])=1,"PAGADA",Tabla6[[#This Row],[ID FACTURA]]&lt;&gt;0,"EMITIDA",Tabla6[[#This Row],[ID FACTURA]]=0,"POR EMITIR")</f>
        <v>POR EMITIR</v>
      </c>
      <c r="M1120" s="55" t="str">
        <f>+IF(Tabla6[[#This Row],[ESTADO FACTURA]]="PAGADA",Tabla6[[#This Row],[FECHA]]-_xlfn.XLOOKUP(Tabla6[[#This Row],[N° FACTURA]],INGRESOS!F:F,INGRESOS!A:A),"-")</f>
        <v>-</v>
      </c>
      <c r="N1120" s="2"/>
      <c r="O1120"/>
    </row>
    <row r="1121" spans="1:15" ht="14.75" customHeight="1">
      <c r="A1121" s="321" t="s">
        <v>1875</v>
      </c>
      <c r="B1121" t="str">
        <f>+_xlfn.XLOOKUP(Tabla6[[#This Row],[ID CLIENTE]],'RESUMEN CLIENTES'!D:D,'RESUMEN CLIENTES'!A:A)</f>
        <v>Laura Giraldo</v>
      </c>
      <c r="C1121" t="str">
        <f>+_xlfn.XLOOKUP(Tabla6[[#This Row],[ID CLIENTE]],'RESUMEN CLIENTES'!D:D,'RESUMEN CLIENTES'!C:C)</f>
        <v>Colombia</v>
      </c>
      <c r="D1121" s="169" t="str">
        <f>+_xlfn.XLOOKUP(Tabla6[[#This Row],[ID CLIENTE]],'RESUMEN CLIENTES'!D:D,'RESUMEN CLIENTES'!M:M)</f>
        <v>OK</v>
      </c>
      <c r="E1121" s="71">
        <f>+_xlfn.XLOOKUP(Tabla6[[#This Row],[NOMBRE]],'RESUMEN CLIENTES'!A:A,'RESUMEN CLIENTES'!X:X)</f>
        <v>-3.25</v>
      </c>
      <c r="F1121" s="71">
        <f>+_xlfn.XLOOKUP(Tabla6[[#This Row],[ID CLIENTE]],'RESUMEN CLIENTES'!D:D,'RESUMEN CLIENTES'!W:W)</f>
        <v>1</v>
      </c>
      <c r="G1121" s="17">
        <v>46096</v>
      </c>
      <c r="H1121" s="169" t="s">
        <v>1876</v>
      </c>
      <c r="I1121" s="2">
        <v>500</v>
      </c>
      <c r="J1121"/>
      <c r="K1121"/>
      <c r="L1121" s="44" t="str" cm="1">
        <f t="array" ref="L1121">+_xlfn.IFS(COUNTIF(INGRESOS!E:E,Tabla6[[#This Row],[ID FACTURA]])=1,"PAGADA",Tabla6[[#This Row],[ID FACTURA]]&lt;&gt;0,"EMITIDA",Tabla6[[#This Row],[ID FACTURA]]=0,"POR EMITIR")</f>
        <v>POR EMITIR</v>
      </c>
      <c r="M1121" s="54" t="str">
        <f>+IF(Tabla6[[#This Row],[ESTADO FACTURA]]="PAGADA",Tabla6[[#This Row],[FECHA]]-_xlfn.XLOOKUP(Tabla6[[#This Row],[N° FACTURA]],INGRESOS!F:F,INGRESOS!A:A),"-")</f>
        <v>-</v>
      </c>
      <c r="O1121"/>
    </row>
    <row r="1122" spans="1:15" ht="14.75" customHeight="1">
      <c r="A1122" s="320" t="s">
        <v>762</v>
      </c>
      <c r="B1122" t="str">
        <f>+_xlfn.XLOOKUP(Tabla6[[#This Row],[ID CLIENTE]],'RESUMEN CLIENTES'!D:D,'RESUMEN CLIENTES'!A:A)</f>
        <v>María Stefania Gelvez Olaya</v>
      </c>
      <c r="C1122" t="str">
        <f>+_xlfn.XLOOKUP(Tabla6[[#This Row],[ID CLIENTE]],'RESUMEN CLIENTES'!D:D,'RESUMEN CLIENTES'!C:C)</f>
        <v>Colombia</v>
      </c>
      <c r="D1122" s="44" t="str">
        <f>+_xlfn.XLOOKUP(Tabla6[[#This Row],[ID CLIENTE]],'RESUMEN CLIENTES'!D:D,'RESUMEN CLIENTES'!M:M)</f>
        <v>OK</v>
      </c>
      <c r="E1122" s="72">
        <f>+_xlfn.XLOOKUP(Tabla6[[#This Row],[NOMBRE]],'RESUMEN CLIENTES'!A:A,'RESUMEN CLIENTES'!X:X)</f>
        <v>-0.14285714285714285</v>
      </c>
      <c r="F1122" s="72">
        <f>+_xlfn.XLOOKUP(Tabla6[[#This Row],[ID CLIENTE]],'RESUMEN CLIENTES'!D:D,'RESUMEN CLIENTES'!W:W)</f>
        <v>1</v>
      </c>
      <c r="G1122" s="17">
        <v>46096</v>
      </c>
      <c r="H1122" s="44" t="s">
        <v>81</v>
      </c>
      <c r="I1122" s="2">
        <v>1000</v>
      </c>
      <c r="J1122"/>
      <c r="K1122"/>
      <c r="L1122" s="44" t="str" cm="1">
        <f t="array" ref="L1122">+_xlfn.IFS(COUNTIF(INGRESOS!E:E,Tabla6[[#This Row],[ID FACTURA]])=1,"PAGADA",Tabla6[[#This Row],[ID FACTURA]]&lt;&gt;0,"EMITIDA",Tabla6[[#This Row],[ID FACTURA]]=0,"POR EMITIR")</f>
        <v>POR EMITIR</v>
      </c>
      <c r="M1122" s="55" t="str">
        <f>+IF(Tabla6[[#This Row],[ESTADO FACTURA]]="PAGADA",Tabla6[[#This Row],[FECHA]]-_xlfn.XLOOKUP(Tabla6[[#This Row],[N° FACTURA]],INGRESOS!F:F,INGRESOS!A:A),"-")</f>
        <v>-</v>
      </c>
      <c r="N1122" s="2"/>
      <c r="O1122"/>
    </row>
    <row r="1123" spans="1:15" ht="14.75" customHeight="1">
      <c r="A1123" s="320" t="s">
        <v>242</v>
      </c>
      <c r="B1123" t="str">
        <f>+_xlfn.XLOOKUP(Tabla6[[#This Row],[ID CLIENTE]],'RESUMEN CLIENTES'!D:D,'RESUMEN CLIENTES'!A:A)</f>
        <v>Rodrigo Ignacio Rodriguez Frutos</v>
      </c>
      <c r="C1123" t="str">
        <f>+_xlfn.XLOOKUP(Tabla6[[#This Row],[ID CLIENTE]],'RESUMEN CLIENTES'!D:D,'RESUMEN CLIENTES'!C:C)</f>
        <v>México</v>
      </c>
      <c r="D1123" s="44" t="str">
        <f>+_xlfn.XLOOKUP(Tabla6[[#This Row],[ID CLIENTE]],'RESUMEN CLIENTES'!D:D,'RESUMEN CLIENTES'!M:M)</f>
        <v>OK</v>
      </c>
      <c r="E1123" s="72">
        <f>+_xlfn.XLOOKUP(Tabla6[[#This Row],[NOMBRE]],'RESUMEN CLIENTES'!A:A,'RESUMEN CLIENTES'!X:X)</f>
        <v>-1.4285714285714286</v>
      </c>
      <c r="F1123" s="72">
        <f>+_xlfn.XLOOKUP(Tabla6[[#This Row],[ID CLIENTE]],'RESUMEN CLIENTES'!D:D,'RESUMEN CLIENTES'!W:W)</f>
        <v>1</v>
      </c>
      <c r="G1123" s="17">
        <v>46096</v>
      </c>
      <c r="H1123" s="44" t="s">
        <v>81</v>
      </c>
      <c r="I1123" s="2">
        <v>630</v>
      </c>
      <c r="J1123"/>
      <c r="K1123"/>
      <c r="L1123" s="44" t="str" cm="1">
        <f t="array" ref="L1123">+_xlfn.IFS(COUNTIF(INGRESOS!E:E,Tabla6[[#This Row],[ID FACTURA]])=1,"PAGADA",Tabla6[[#This Row],[ID FACTURA]]&lt;&gt;0,"EMITIDA",Tabla6[[#This Row],[ID FACTURA]]=0,"POR EMITIR")</f>
        <v>POR EMITIR</v>
      </c>
      <c r="M1123" s="55" t="str">
        <f>+IF(Tabla6[[#This Row],[ESTADO FACTURA]]="PAGADA",Tabla6[[#This Row],[FECHA]]-_xlfn.XLOOKUP(Tabla6[[#This Row],[N° FACTURA]],INGRESOS!F:F,INGRESOS!A:A),"-")</f>
        <v>-</v>
      </c>
      <c r="N1123" s="2"/>
      <c r="O1123"/>
    </row>
    <row r="1124" spans="1:15" ht="14.75" customHeight="1">
      <c r="A1124" s="321" t="s">
        <v>1756</v>
      </c>
      <c r="B1124" t="str">
        <f>+_xlfn.XLOOKUP(Tabla6[[#This Row],[ID CLIENTE]],'RESUMEN CLIENTES'!D:D,'RESUMEN CLIENTES'!A:A)</f>
        <v>Aylin Micaela Ortiz Chiriboga</v>
      </c>
      <c r="C1124" t="str">
        <f>+_xlfn.XLOOKUP(Tabla6[[#This Row],[ID CLIENTE]],'RESUMEN CLIENTES'!D:D,'RESUMEN CLIENTES'!C:C)</f>
        <v>Ecuador</v>
      </c>
      <c r="D1124" s="169" t="str">
        <f>+_xlfn.XLOOKUP(Tabla6[[#This Row],[ID CLIENTE]],'RESUMEN CLIENTES'!D:D,'RESUMEN CLIENTES'!M:M)</f>
        <v>¡REGULARIZAR!</v>
      </c>
      <c r="E1124" s="71">
        <f>+_xlfn.XLOOKUP(Tabla6[[#This Row],[NOMBRE]],'RESUMEN CLIENTES'!A:A,'RESUMEN CLIENTES'!X:X)</f>
        <v>0</v>
      </c>
      <c r="F1124" s="71">
        <f>+_xlfn.XLOOKUP(Tabla6[[#This Row],[ID CLIENTE]],'RESUMEN CLIENTES'!D:D,'RESUMEN CLIENTES'!W:W)</f>
        <v>1</v>
      </c>
      <c r="G1124" s="170">
        <v>46097</v>
      </c>
      <c r="H1124" s="169" t="s">
        <v>81</v>
      </c>
      <c r="I1124" s="2">
        <v>650</v>
      </c>
      <c r="J1124"/>
      <c r="K1124"/>
      <c r="L1124" s="44" t="str" cm="1">
        <f t="array" ref="L1124">+_xlfn.IFS(COUNTIF(INGRESOS!E:E,Tabla6[[#This Row],[ID FACTURA]])=1,"PAGADA",Tabla6[[#This Row],[ID FACTURA]]&lt;&gt;0,"EMITIDA",Tabla6[[#This Row],[ID FACTURA]]=0,"POR EMITIR")</f>
        <v>POR EMITIR</v>
      </c>
      <c r="M1124" s="54" t="str">
        <f>+IF(Tabla6[[#This Row],[ESTADO FACTURA]]="PAGADA",Tabla6[[#This Row],[FECHA]]-_xlfn.XLOOKUP(Tabla6[[#This Row],[N° FACTURA]],INGRESOS!F:F,INGRESOS!A:A),"-")</f>
        <v>-</v>
      </c>
      <c r="O1124"/>
    </row>
    <row r="1125" spans="1:15" ht="14.75" customHeight="1">
      <c r="A1125" s="320" t="s">
        <v>1996</v>
      </c>
      <c r="B1125" t="str">
        <f>+_xlfn.XLOOKUP(Tabla6[[#This Row],[ID CLIENTE]],'RESUMEN CLIENTES'!D:D,'RESUMEN CLIENTES'!A:A)</f>
        <v>Ivan Gonzales Graus</v>
      </c>
      <c r="C1125" t="str">
        <f>+_xlfn.XLOOKUP(Tabla6[[#This Row],[ID CLIENTE]],'RESUMEN CLIENTES'!D:D,'RESUMEN CLIENTES'!C:C)</f>
        <v>Perú</v>
      </c>
      <c r="D1125" s="169" t="str">
        <f>+_xlfn.XLOOKUP(Tabla6[[#This Row],[ID CLIENTE]],'RESUMEN CLIENTES'!D:D,'RESUMEN CLIENTES'!M:M)</f>
        <v>OK</v>
      </c>
      <c r="E1125" s="71">
        <f>+_xlfn.XLOOKUP(Tabla6[[#This Row],[NOMBRE]],'RESUMEN CLIENTES'!A:A,'RESUMEN CLIENTES'!X:X)</f>
        <v>-2</v>
      </c>
      <c r="F1125" s="71">
        <f>+_xlfn.XLOOKUP(Tabla6[[#This Row],[ID CLIENTE]],'RESUMEN CLIENTES'!D:D,'RESUMEN CLIENTES'!W:W)</f>
        <v>1</v>
      </c>
      <c r="G1125" s="17">
        <v>46097</v>
      </c>
      <c r="H1125" s="169" t="s">
        <v>81</v>
      </c>
      <c r="I1125" s="2">
        <v>650</v>
      </c>
      <c r="J1125"/>
      <c r="K1125"/>
      <c r="L1125" s="44" t="str" cm="1">
        <f t="array" ref="L1125">+_xlfn.IFS(COUNTIF(INGRESOS!E:E,Tabla6[[#This Row],[ID FACTURA]])=1,"PAGADA",Tabla6[[#This Row],[ID FACTURA]]&lt;&gt;0,"EMITIDA",Tabla6[[#This Row],[ID FACTURA]]=0,"POR EMITIR")</f>
        <v>POR EMITIR</v>
      </c>
      <c r="M1125" s="54" t="str">
        <f>+IF(Tabla6[[#This Row],[ESTADO FACTURA]]="PAGADA",Tabla6[[#This Row],[FECHA]]-_xlfn.XLOOKUP(Tabla6[[#This Row],[N° FACTURA]],INGRESOS!F:F,INGRESOS!A:A),"-")</f>
        <v>-</v>
      </c>
      <c r="O1125"/>
    </row>
    <row r="1126" spans="1:15" ht="14.75" customHeight="1">
      <c r="A1126" s="320" t="s">
        <v>2046</v>
      </c>
      <c r="B1126" t="str">
        <f>+_xlfn.XLOOKUP(Tabla6[[#This Row],[ID CLIENTE]],'RESUMEN CLIENTES'!D:D,'RESUMEN CLIENTES'!A:A)</f>
        <v>Jesica Daniela Paredes Mendoza</v>
      </c>
      <c r="C1126" t="str">
        <f>+_xlfn.XLOOKUP(Tabla6[[#This Row],[ID CLIENTE]],'RESUMEN CLIENTES'!D:D,'RESUMEN CLIENTES'!C:C)</f>
        <v>México</v>
      </c>
      <c r="D1126" s="169" t="str">
        <f>+_xlfn.XLOOKUP(Tabla6[[#This Row],[ID CLIENTE]],'RESUMEN CLIENTES'!D:D,'RESUMEN CLIENTES'!M:M)</f>
        <v>OK</v>
      </c>
      <c r="E1126" s="71">
        <f>+_xlfn.XLOOKUP(Tabla6[[#This Row],[NOMBRE]],'RESUMEN CLIENTES'!A:A,'RESUMEN CLIENTES'!X:X)</f>
        <v>-2.75</v>
      </c>
      <c r="F1126" s="71">
        <f>+_xlfn.XLOOKUP(Tabla6[[#This Row],[ID CLIENTE]],'RESUMEN CLIENTES'!D:D,'RESUMEN CLIENTES'!W:W)</f>
        <v>1</v>
      </c>
      <c r="G1126" s="17">
        <v>46097</v>
      </c>
      <c r="H1126" s="169" t="s">
        <v>81</v>
      </c>
      <c r="I1126" s="2">
        <v>500</v>
      </c>
      <c r="J1126"/>
      <c r="K1126"/>
      <c r="L1126" s="44" t="str" cm="1">
        <f t="array" ref="L1126">+_xlfn.IFS(COUNTIF(INGRESOS!E:E,Tabla6[[#This Row],[ID FACTURA]])=1,"PAGADA",Tabla6[[#This Row],[ID FACTURA]]&lt;&gt;0,"EMITIDA",Tabla6[[#This Row],[ID FACTURA]]=0,"POR EMITIR")</f>
        <v>POR EMITIR</v>
      </c>
      <c r="M1126" s="54" t="str">
        <f>+IF(Tabla6[[#This Row],[ESTADO FACTURA]]="PAGADA",Tabla6[[#This Row],[FECHA]]-_xlfn.XLOOKUP(Tabla6[[#This Row],[N° FACTURA]],INGRESOS!F:F,INGRESOS!A:A),"-")</f>
        <v>-</v>
      </c>
      <c r="O1126"/>
    </row>
    <row r="1127" spans="1:15" ht="14.75" customHeight="1">
      <c r="A1127" s="320" t="s">
        <v>247</v>
      </c>
      <c r="B1127" t="str">
        <f>+_xlfn.XLOOKUP(Tabla6[[#This Row],[ID CLIENTE]],'RESUMEN CLIENTES'!D:D,'RESUMEN CLIENTES'!A:A)</f>
        <v>Nancy Gisselle Molinari Cheme</v>
      </c>
      <c r="C1127" t="str">
        <f>+_xlfn.XLOOKUP(Tabla6[[#This Row],[ID CLIENTE]],'RESUMEN CLIENTES'!D:D,'RESUMEN CLIENTES'!C:C)</f>
        <v>Perú</v>
      </c>
      <c r="D1127" s="44" t="str">
        <f>+_xlfn.XLOOKUP(Tabla6[[#This Row],[ID CLIENTE]],'RESUMEN CLIENTES'!D:D,'RESUMEN CLIENTES'!M:M)</f>
        <v>OK</v>
      </c>
      <c r="E1127" s="72">
        <f>+_xlfn.XLOOKUP(Tabla6[[#This Row],[NOMBRE]],'RESUMEN CLIENTES'!A:A,'RESUMEN CLIENTES'!X:X)</f>
        <v>0.9</v>
      </c>
      <c r="F1127" s="72">
        <f>+_xlfn.XLOOKUP(Tabla6[[#This Row],[ID CLIENTE]],'RESUMEN CLIENTES'!D:D,'RESUMEN CLIENTES'!W:W)</f>
        <v>1</v>
      </c>
      <c r="G1127" s="17">
        <v>46099</v>
      </c>
      <c r="H1127" s="44" t="s">
        <v>81</v>
      </c>
      <c r="I1127" s="2">
        <v>1000</v>
      </c>
      <c r="J1127"/>
      <c r="K1127"/>
      <c r="L1127" s="44" t="str" cm="1">
        <f t="array" ref="L1127">+_xlfn.IFS(COUNTIF(INGRESOS!E:E,Tabla6[[#This Row],[ID FACTURA]])=1,"PAGADA",Tabla6[[#This Row],[ID FACTURA]]&lt;&gt;0,"EMITIDA",Tabla6[[#This Row],[ID FACTURA]]=0,"POR EMITIR")</f>
        <v>POR EMITIR</v>
      </c>
      <c r="M1127" s="55" t="str">
        <f>+IF(Tabla6[[#This Row],[ESTADO FACTURA]]="PAGADA",Tabla6[[#This Row],[FECHA]]-_xlfn.XLOOKUP(Tabla6[[#This Row],[N° FACTURA]],INGRESOS!F:F,INGRESOS!A:A),"-")</f>
        <v>-</v>
      </c>
      <c r="N1127" s="2"/>
      <c r="O1127"/>
    </row>
    <row r="1128" spans="1:15" ht="14.75" customHeight="1">
      <c r="A1128" s="320" t="s">
        <v>1001</v>
      </c>
      <c r="B1128" t="str">
        <f>+_xlfn.XLOOKUP(Tabla6[[#This Row],[ID CLIENTE]],'RESUMEN CLIENTES'!D:D,'RESUMEN CLIENTES'!A:A)</f>
        <v>Karenn Yadira Tavera Lara</v>
      </c>
      <c r="C1128" t="str">
        <f>+_xlfn.XLOOKUP(Tabla6[[#This Row],[ID CLIENTE]],'RESUMEN CLIENTES'!D:D,'RESUMEN CLIENTES'!C:C)</f>
        <v>México</v>
      </c>
      <c r="D1128" s="44" t="str">
        <f>+_xlfn.XLOOKUP(Tabla6[[#This Row],[ID CLIENTE]],'RESUMEN CLIENTES'!D:D,'RESUMEN CLIENTES'!M:M)</f>
        <v>OK</v>
      </c>
      <c r="E1128" s="72">
        <f>+_xlfn.XLOOKUP(Tabla6[[#This Row],[NOMBRE]],'RESUMEN CLIENTES'!A:A,'RESUMEN CLIENTES'!X:X)</f>
        <v>1.5</v>
      </c>
      <c r="F1128" s="72">
        <f>+_xlfn.XLOOKUP(Tabla6[[#This Row],[ID CLIENTE]],'RESUMEN CLIENTES'!D:D,'RESUMEN CLIENTES'!W:W)</f>
        <v>1</v>
      </c>
      <c r="G1128" s="17">
        <v>46100</v>
      </c>
      <c r="H1128" s="44" t="s">
        <v>81</v>
      </c>
      <c r="I1128" s="2">
        <v>1000</v>
      </c>
      <c r="J1128"/>
      <c r="K1128"/>
      <c r="L1128" s="44" t="str" cm="1">
        <f t="array" ref="L1128">+_xlfn.IFS(COUNTIF(INGRESOS!E:E,Tabla6[[#This Row],[ID FACTURA]])=1,"PAGADA",Tabla6[[#This Row],[ID FACTURA]]&lt;&gt;0,"EMITIDA",Tabla6[[#This Row],[ID FACTURA]]=0,"POR EMITIR")</f>
        <v>POR EMITIR</v>
      </c>
      <c r="M1128" s="55" t="str">
        <f>+IF(Tabla6[[#This Row],[ESTADO FACTURA]]="PAGADA",Tabla6[[#This Row],[FECHA]]-_xlfn.XLOOKUP(Tabla6[[#This Row],[N° FACTURA]],INGRESOS!F:F,INGRESOS!A:A),"-")</f>
        <v>-</v>
      </c>
      <c r="N1128" s="2"/>
      <c r="O1128"/>
    </row>
    <row r="1129" spans="1:15" ht="14.75" customHeight="1">
      <c r="A1129" s="320" t="s">
        <v>574</v>
      </c>
      <c r="B1129" t="str">
        <f>+_xlfn.XLOOKUP(Tabla6[[#This Row],[ID CLIENTE]],'RESUMEN CLIENTES'!D:D,'RESUMEN CLIENTES'!A:A)</f>
        <v>Astrid Mariam Enamorado Ortega</v>
      </c>
      <c r="C1129" t="str">
        <f>+_xlfn.XLOOKUP(Tabla6[[#This Row],[ID CLIENTE]],'RESUMEN CLIENTES'!D:D,'RESUMEN CLIENTES'!C:C)</f>
        <v>Honduras</v>
      </c>
      <c r="D1129" s="44" t="str">
        <f>+_xlfn.XLOOKUP(Tabla6[[#This Row],[ID CLIENTE]],'RESUMEN CLIENTES'!D:D,'RESUMEN CLIENTES'!M:M)</f>
        <v>OK</v>
      </c>
      <c r="E1129" s="72">
        <f>+_xlfn.XLOOKUP(Tabla6[[#This Row],[NOMBRE]],'RESUMEN CLIENTES'!A:A,'RESUMEN CLIENTES'!X:X)</f>
        <v>-1.75</v>
      </c>
      <c r="F1129" s="72">
        <f>+_xlfn.XLOOKUP(Tabla6[[#This Row],[ID CLIENTE]],'RESUMEN CLIENTES'!D:D,'RESUMEN CLIENTES'!W:W)</f>
        <v>0</v>
      </c>
      <c r="G1129" s="17">
        <v>46101</v>
      </c>
      <c r="H1129" s="44" t="s">
        <v>81</v>
      </c>
      <c r="I1129" s="2">
        <v>1060</v>
      </c>
      <c r="J1129"/>
      <c r="K1129"/>
      <c r="L1129" s="44" t="str" cm="1">
        <f t="array" ref="L1129">+_xlfn.IFS(COUNTIF(INGRESOS!E:E,Tabla6[[#This Row],[ID FACTURA]])=1,"PAGADA",Tabla6[[#This Row],[ID FACTURA]]&lt;&gt;0,"EMITIDA",Tabla6[[#This Row],[ID FACTURA]]=0,"POR EMITIR")</f>
        <v>POR EMITIR</v>
      </c>
      <c r="M1129" s="55" t="str">
        <f>+IF(Tabla6[[#This Row],[ESTADO FACTURA]]="PAGADA",Tabla6[[#This Row],[FECHA]]-_xlfn.XLOOKUP(Tabla6[[#This Row],[N° FACTURA]],INGRESOS!F:F,INGRESOS!A:A),"-")</f>
        <v>-</v>
      </c>
      <c r="N1129" s="2"/>
      <c r="O1129"/>
    </row>
    <row r="1130" spans="1:15" ht="14.75" customHeight="1">
      <c r="A1130" s="320" t="s">
        <v>4660</v>
      </c>
      <c r="B1130" t="str">
        <f>+_xlfn.XLOOKUP(Tabla6[[#This Row],[ID CLIENTE]],'RESUMEN CLIENTES'!D:D,'RESUMEN CLIENTES'!A:A)</f>
        <v>Edipris Flores</v>
      </c>
      <c r="C1130" s="15" t="str">
        <f>+_xlfn.XLOOKUP(Tabla6[[#This Row],[ID CLIENTE]],'RESUMEN CLIENTES'!D:D,'RESUMEN CLIENTES'!C:C)</f>
        <v>Chile</v>
      </c>
      <c r="D1130" s="169" t="str">
        <f>+_xlfn.XLOOKUP(Tabla6[[#This Row],[ID CLIENTE]],'RESUMEN CLIENTES'!D:D,'RESUMEN CLIENTES'!M:M)</f>
        <v>OK</v>
      </c>
      <c r="E1130" s="71">
        <f>+_xlfn.XLOOKUP(Tabla6[[#This Row],[NOMBRE]],'RESUMEN CLIENTES'!A:A,'RESUMEN CLIENTES'!X:X)</f>
        <v>-4</v>
      </c>
      <c r="F1130" s="71">
        <f>+_xlfn.XLOOKUP(Tabla6[[#This Row],[ID CLIENTE]],'RESUMEN CLIENTES'!D:D,'RESUMEN CLIENTES'!W:W)</f>
        <v>0</v>
      </c>
      <c r="G1130" s="17">
        <v>46101</v>
      </c>
      <c r="H1130" s="169" t="s">
        <v>81</v>
      </c>
      <c r="I1130" s="2">
        <v>850</v>
      </c>
      <c r="J1130"/>
      <c r="K1130"/>
      <c r="L1130" s="44" t="str" cm="1">
        <f t="array" ref="L1130">+_xlfn.IFS(COUNTIF(INGRESOS!E:E,Tabla6[[#This Row],[ID FACTURA]])=1,"PAGADA",Tabla6[[#This Row],[ID FACTURA]]&lt;&gt;0,"EMITIDA",Tabla6[[#This Row],[ID FACTURA]]=0,"POR EMITIR")</f>
        <v>POR EMITIR</v>
      </c>
      <c r="M1130" s="54" t="str">
        <f>+IF(Tabla6[[#This Row],[ESTADO FACTURA]]="PAGADA",Tabla6[[#This Row],[FECHA]]-_xlfn.XLOOKUP(Tabla6[[#This Row],[N° FACTURA]],INGRESOS!F:F,INGRESOS!A:A),"-")</f>
        <v>-</v>
      </c>
      <c r="O1130"/>
    </row>
    <row r="1131" spans="1:15" ht="14.75" customHeight="1">
      <c r="A1131" s="320" t="s">
        <v>1936</v>
      </c>
      <c r="B1131" t="str">
        <f>+_xlfn.XLOOKUP(Tabla6[[#This Row],[ID CLIENTE]],'RESUMEN CLIENTES'!D:D,'RESUMEN CLIENTES'!A:A)</f>
        <v>Jaime Kevin Mendez Arias</v>
      </c>
      <c r="C1131" t="str">
        <f>+_xlfn.XLOOKUP(Tabla6[[#This Row],[ID CLIENTE]],'RESUMEN CLIENTES'!D:D,'RESUMEN CLIENTES'!C:C)</f>
        <v>México</v>
      </c>
      <c r="D1131" s="169" t="str">
        <f>+_xlfn.XLOOKUP(Tabla6[[#This Row],[ID CLIENTE]],'RESUMEN CLIENTES'!D:D,'RESUMEN CLIENTES'!M:M)</f>
        <v>OK</v>
      </c>
      <c r="E1131" s="71">
        <f>+_xlfn.XLOOKUP(Tabla6[[#This Row],[NOMBRE]],'RESUMEN CLIENTES'!A:A,'RESUMEN CLIENTES'!X:X)</f>
        <v>1.6666666666666667</v>
      </c>
      <c r="F1131" s="71">
        <f>+_xlfn.XLOOKUP(Tabla6[[#This Row],[ID CLIENTE]],'RESUMEN CLIENTES'!D:D,'RESUMEN CLIENTES'!W:W)</f>
        <v>0</v>
      </c>
      <c r="G1131" s="17">
        <v>46101</v>
      </c>
      <c r="H1131" s="169" t="s">
        <v>81</v>
      </c>
      <c r="I1131" s="2">
        <v>1000</v>
      </c>
      <c r="J1131"/>
      <c r="K1131"/>
      <c r="L1131" s="44" t="str" cm="1">
        <f t="array" ref="L1131">+_xlfn.IFS(COUNTIF(INGRESOS!E:E,Tabla6[[#This Row],[ID FACTURA]])=1,"PAGADA",Tabla6[[#This Row],[ID FACTURA]]&lt;&gt;0,"EMITIDA",Tabla6[[#This Row],[ID FACTURA]]=0,"POR EMITIR")</f>
        <v>POR EMITIR</v>
      </c>
      <c r="M1131" s="54" t="str">
        <f>+IF(Tabla6[[#This Row],[ESTADO FACTURA]]="PAGADA",Tabla6[[#This Row],[FECHA]]-_xlfn.XLOOKUP(Tabla6[[#This Row],[N° FACTURA]],INGRESOS!F:F,INGRESOS!A:A),"-")</f>
        <v>-</v>
      </c>
      <c r="O1131"/>
    </row>
    <row r="1132" spans="1:15" ht="14.75" customHeight="1">
      <c r="A1132" s="320" t="s">
        <v>587</v>
      </c>
      <c r="B1132" t="str">
        <f>+_xlfn.XLOOKUP(Tabla6[[#This Row],[ID CLIENTE]],'RESUMEN CLIENTES'!D:D,'RESUMEN CLIENTES'!A:A)</f>
        <v>Keidwin Perez</v>
      </c>
      <c r="C1132" t="str">
        <f>+_xlfn.XLOOKUP(Tabla6[[#This Row],[ID CLIENTE]],'RESUMEN CLIENTES'!D:D,'RESUMEN CLIENTES'!C:C)</f>
        <v>Colombia</v>
      </c>
      <c r="D1132" s="44" t="str">
        <f>+_xlfn.XLOOKUP(Tabla6[[#This Row],[ID CLIENTE]],'RESUMEN CLIENTES'!D:D,'RESUMEN CLIENTES'!M:M)</f>
        <v>OK</v>
      </c>
      <c r="E1132" s="72">
        <f>+_xlfn.XLOOKUP(Tabla6[[#This Row],[NOMBRE]],'RESUMEN CLIENTES'!A:A,'RESUMEN CLIENTES'!X:X)</f>
        <v>-4.25</v>
      </c>
      <c r="F1132" s="72">
        <f>+_xlfn.XLOOKUP(Tabla6[[#This Row],[ID CLIENTE]],'RESUMEN CLIENTES'!D:D,'RESUMEN CLIENTES'!W:W)</f>
        <v>1</v>
      </c>
      <c r="G1132" s="17">
        <v>46101</v>
      </c>
      <c r="H1132" s="44" t="s">
        <v>81</v>
      </c>
      <c r="I1132" s="2">
        <v>750</v>
      </c>
      <c r="J1132"/>
      <c r="K1132"/>
      <c r="L1132" s="44" t="str" cm="1">
        <f t="array" ref="L1132">+_xlfn.IFS(COUNTIF(INGRESOS!E:E,Tabla6[[#This Row],[ID FACTURA]])=1,"PAGADA",Tabla6[[#This Row],[ID FACTURA]]&lt;&gt;0,"EMITIDA",Tabla6[[#This Row],[ID FACTURA]]=0,"POR EMITIR")</f>
        <v>POR EMITIR</v>
      </c>
      <c r="M1132" s="55" t="str">
        <f>+IF(Tabla6[[#This Row],[ESTADO FACTURA]]="PAGADA",Tabla6[[#This Row],[FECHA]]-_xlfn.XLOOKUP(Tabla6[[#This Row],[N° FACTURA]],INGRESOS!F:F,INGRESOS!A:A),"-")</f>
        <v>-</v>
      </c>
      <c r="N1132" s="2"/>
      <c r="O1132"/>
    </row>
    <row r="1133" spans="1:15" ht="14.75" customHeight="1">
      <c r="A1133" s="320" t="s">
        <v>200</v>
      </c>
      <c r="B1133" t="str">
        <f>+_xlfn.XLOOKUP(Tabla6[[#This Row],[ID CLIENTE]],'RESUMEN CLIENTES'!D:D,'RESUMEN CLIENTES'!A:A)</f>
        <v>Mateo Gabriel Martinez Dávila</v>
      </c>
      <c r="C1133" t="str">
        <f>+_xlfn.XLOOKUP(Tabla6[[#This Row],[ID CLIENTE]],'RESUMEN CLIENTES'!D:D,'RESUMEN CLIENTES'!C:C)</f>
        <v>Bolivia</v>
      </c>
      <c r="D1133" s="169" t="str">
        <f>+_xlfn.XLOOKUP(Tabla6[[#This Row],[ID CLIENTE]],'RESUMEN CLIENTES'!D:D,'RESUMEN CLIENTES'!M:M)</f>
        <v>OK</v>
      </c>
      <c r="E1133" s="71">
        <f>+_xlfn.XLOOKUP(Tabla6[[#This Row],[NOMBRE]],'RESUMEN CLIENTES'!A:A,'RESUMEN CLIENTES'!X:X)</f>
        <v>-0.5</v>
      </c>
      <c r="F1133" s="71">
        <f>+_xlfn.XLOOKUP(Tabla6[[#This Row],[ID CLIENTE]],'RESUMEN CLIENTES'!D:D,'RESUMEN CLIENTES'!W:W)</f>
        <v>0</v>
      </c>
      <c r="G1133" s="17">
        <v>46101</v>
      </c>
      <c r="H1133" s="169" t="s">
        <v>81</v>
      </c>
      <c r="I1133" s="2">
        <v>500</v>
      </c>
      <c r="J1133"/>
      <c r="K1133"/>
      <c r="L1133" s="44" t="str" cm="1">
        <f t="array" ref="L1133">+_xlfn.IFS(COUNTIF(INGRESOS!E:E,Tabla6[[#This Row],[ID FACTURA]])=1,"PAGADA",Tabla6[[#This Row],[ID FACTURA]]&lt;&gt;0,"EMITIDA",Tabla6[[#This Row],[ID FACTURA]]=0,"POR EMITIR")</f>
        <v>POR EMITIR</v>
      </c>
      <c r="M1133" s="54" t="str">
        <f>+IF(Tabla6[[#This Row],[ESTADO FACTURA]]="PAGADA",Tabla6[[#This Row],[FECHA]]-_xlfn.XLOOKUP(Tabla6[[#This Row],[N° FACTURA]],INGRESOS!F:F,INGRESOS!A:A),"-")</f>
        <v>-</v>
      </c>
      <c r="O1133"/>
    </row>
    <row r="1134" spans="1:15" ht="14.75" customHeight="1">
      <c r="A1134" s="320" t="s">
        <v>250</v>
      </c>
      <c r="B1134" t="str">
        <f>+_xlfn.XLOOKUP(Tabla6[[#This Row],[ID CLIENTE]],'RESUMEN CLIENTES'!D:D,'RESUMEN CLIENTES'!A:A)</f>
        <v>Fernanda Castro</v>
      </c>
      <c r="C1134" t="str">
        <f>+_xlfn.XLOOKUP(Tabla6[[#This Row],[ID CLIENTE]],'RESUMEN CLIENTES'!D:D,'RESUMEN CLIENTES'!C:C)</f>
        <v>Ecuador</v>
      </c>
      <c r="D1134" s="44" t="str">
        <f>+_xlfn.XLOOKUP(Tabla6[[#This Row],[ID CLIENTE]],'RESUMEN CLIENTES'!D:D,'RESUMEN CLIENTES'!M:M)</f>
        <v>OK</v>
      </c>
      <c r="E1134" s="72">
        <f>+_xlfn.XLOOKUP(Tabla6[[#This Row],[NOMBRE]],'RESUMEN CLIENTES'!A:A,'RESUMEN CLIENTES'!X:X)</f>
        <v>0</v>
      </c>
      <c r="F1134" s="72">
        <f>+_xlfn.XLOOKUP(Tabla6[[#This Row],[ID CLIENTE]],'RESUMEN CLIENTES'!D:D,'RESUMEN CLIENTES'!W:W)</f>
        <v>1</v>
      </c>
      <c r="G1134" s="17">
        <v>46104</v>
      </c>
      <c r="H1134" s="44" t="s">
        <v>81</v>
      </c>
      <c r="I1134" s="2">
        <v>1000</v>
      </c>
      <c r="J1134"/>
      <c r="K1134"/>
      <c r="L1134" s="44" t="str" cm="1">
        <f t="array" ref="L1134">+_xlfn.IFS(COUNTIF(INGRESOS!E:E,Tabla6[[#This Row],[ID FACTURA]])=1,"PAGADA",Tabla6[[#This Row],[ID FACTURA]]&lt;&gt;0,"EMITIDA",Tabla6[[#This Row],[ID FACTURA]]=0,"POR EMITIR")</f>
        <v>POR EMITIR</v>
      </c>
      <c r="M1134" s="55" t="str">
        <f>+IF(Tabla6[[#This Row],[ESTADO FACTURA]]="PAGADA",Tabla6[[#This Row],[FECHA]]-_xlfn.XLOOKUP(Tabla6[[#This Row],[N° FACTURA]],INGRESOS!F:F,INGRESOS!A:A),"-")</f>
        <v>-</v>
      </c>
      <c r="N1134" s="2"/>
      <c r="O1134"/>
    </row>
    <row r="1135" spans="1:15" ht="14.75" customHeight="1">
      <c r="A1135" s="320" t="s">
        <v>1931</v>
      </c>
      <c r="B1135" t="str">
        <f>+_xlfn.XLOOKUP(Tabla6[[#This Row],[ID CLIENTE]],'RESUMEN CLIENTES'!D:D,'RESUMEN CLIENTES'!A:A)</f>
        <v>Josué Bernardo Reyes Flores</v>
      </c>
      <c r="C1135" t="str">
        <f>+_xlfn.XLOOKUP(Tabla6[[#This Row],[ID CLIENTE]],'RESUMEN CLIENTES'!D:D,'RESUMEN CLIENTES'!C:C)</f>
        <v>México</v>
      </c>
      <c r="D1135" s="169" t="str">
        <f>+_xlfn.XLOOKUP(Tabla6[[#This Row],[ID CLIENTE]],'RESUMEN CLIENTES'!D:D,'RESUMEN CLIENTES'!M:M)</f>
        <v>OK</v>
      </c>
      <c r="E1135" s="71">
        <f>+_xlfn.XLOOKUP(Tabla6[[#This Row],[NOMBRE]],'RESUMEN CLIENTES'!A:A,'RESUMEN CLIENTES'!X:X)</f>
        <v>0</v>
      </c>
      <c r="F1135" s="71">
        <f>+_xlfn.XLOOKUP(Tabla6[[#This Row],[ID CLIENTE]],'RESUMEN CLIENTES'!D:D,'RESUMEN CLIENTES'!W:W)</f>
        <v>1</v>
      </c>
      <c r="G1135" s="17">
        <v>46104</v>
      </c>
      <c r="H1135" s="169" t="s">
        <v>81</v>
      </c>
      <c r="I1135" s="2">
        <v>1000</v>
      </c>
      <c r="J1135"/>
      <c r="K1135"/>
      <c r="L1135" s="44" t="str" cm="1">
        <f t="array" ref="L1135">+_xlfn.IFS(COUNTIF(INGRESOS!E:E,Tabla6[[#This Row],[ID FACTURA]])=1,"PAGADA",Tabla6[[#This Row],[ID FACTURA]]&lt;&gt;0,"EMITIDA",Tabla6[[#This Row],[ID FACTURA]]=0,"POR EMITIR")</f>
        <v>POR EMITIR</v>
      </c>
      <c r="M1135" s="54" t="str">
        <f>+IF(Tabla6[[#This Row],[ESTADO FACTURA]]="PAGADA",Tabla6[[#This Row],[FECHA]]-_xlfn.XLOOKUP(Tabla6[[#This Row],[N° FACTURA]],INGRESOS!F:F,INGRESOS!A:A),"-")</f>
        <v>-</v>
      </c>
      <c r="O1135"/>
    </row>
    <row r="1136" spans="1:15" ht="14.75" customHeight="1">
      <c r="A1136" s="320" t="s">
        <v>994</v>
      </c>
      <c r="B1136" t="str">
        <f>+_xlfn.XLOOKUP(Tabla6[[#This Row],[ID CLIENTE]],'RESUMEN CLIENTES'!D:D,'RESUMEN CLIENTES'!A:A)</f>
        <v>Raúl Ernesto Martínez Orantes</v>
      </c>
      <c r="C1136" t="str">
        <f>+_xlfn.XLOOKUP(Tabla6[[#This Row],[ID CLIENTE]],'RESUMEN CLIENTES'!D:D,'RESUMEN CLIENTES'!C:C)</f>
        <v>El Salvador</v>
      </c>
      <c r="D1136" s="44" t="str">
        <f>+_xlfn.XLOOKUP(Tabla6[[#This Row],[ID CLIENTE]],'RESUMEN CLIENTES'!D:D,'RESUMEN CLIENTES'!M:M)</f>
        <v>OK</v>
      </c>
      <c r="E1136" s="72">
        <f>+_xlfn.XLOOKUP(Tabla6[[#This Row],[NOMBRE]],'RESUMEN CLIENTES'!A:A,'RESUMEN CLIENTES'!X:X)</f>
        <v>1.1428571428571428</v>
      </c>
      <c r="F1136" s="72">
        <f>+_xlfn.XLOOKUP(Tabla6[[#This Row],[ID CLIENTE]],'RESUMEN CLIENTES'!D:D,'RESUMEN CLIENTES'!W:W)</f>
        <v>1</v>
      </c>
      <c r="G1136" s="17">
        <v>46104</v>
      </c>
      <c r="H1136" s="44" t="s">
        <v>81</v>
      </c>
      <c r="I1136" s="2">
        <v>850</v>
      </c>
      <c r="J1136"/>
      <c r="K1136"/>
      <c r="L1136" s="44" t="str" cm="1">
        <f t="array" ref="L1136">+_xlfn.IFS(COUNTIF(INGRESOS!E:E,Tabla6[[#This Row],[ID FACTURA]])=1,"PAGADA",Tabla6[[#This Row],[ID FACTURA]]&lt;&gt;0,"EMITIDA",Tabla6[[#This Row],[ID FACTURA]]=0,"POR EMITIR")</f>
        <v>POR EMITIR</v>
      </c>
      <c r="M1136" s="55" t="str">
        <f>+IF(Tabla6[[#This Row],[ESTADO FACTURA]]="PAGADA",Tabla6[[#This Row],[FECHA]]-_xlfn.XLOOKUP(Tabla6[[#This Row],[N° FACTURA]],INGRESOS!F:F,INGRESOS!A:A),"-")</f>
        <v>-</v>
      </c>
      <c r="N1136" s="2"/>
      <c r="O1136"/>
    </row>
    <row r="1137" spans="1:15" ht="14.75" customHeight="1">
      <c r="A1137" s="320" t="s">
        <v>261</v>
      </c>
      <c r="B1137" t="str">
        <f>+_xlfn.XLOOKUP(Tabla6[[#This Row],[ID CLIENTE]],'RESUMEN CLIENTES'!D:D,'RESUMEN CLIENTES'!A:A)</f>
        <v>Maryori Elizabeth Ramos Tapia</v>
      </c>
      <c r="C1137" t="str">
        <f>+_xlfn.XLOOKUP(Tabla6[[#This Row],[ID CLIENTE]],'RESUMEN CLIENTES'!D:D,'RESUMEN CLIENTES'!C:C)</f>
        <v>Perú</v>
      </c>
      <c r="D1137" s="44" t="str">
        <f>+_xlfn.XLOOKUP(Tabla6[[#This Row],[ID CLIENTE]],'RESUMEN CLIENTES'!D:D,'RESUMEN CLIENTES'!M:M)</f>
        <v>OK</v>
      </c>
      <c r="E1137" s="72">
        <f>+_xlfn.XLOOKUP(Tabla6[[#This Row],[NOMBRE]],'RESUMEN CLIENTES'!A:A,'RESUMEN CLIENTES'!X:X)</f>
        <v>-0.88425925925952875</v>
      </c>
      <c r="F1137" s="72">
        <f>+_xlfn.XLOOKUP(Tabla6[[#This Row],[ID CLIENTE]],'RESUMEN CLIENTES'!D:D,'RESUMEN CLIENTES'!W:W)</f>
        <v>1</v>
      </c>
      <c r="G1137" s="17">
        <v>46105</v>
      </c>
      <c r="H1137" s="44" t="s">
        <v>81</v>
      </c>
      <c r="I1137" s="2">
        <v>2000</v>
      </c>
      <c r="J1137"/>
      <c r="K1137"/>
      <c r="L1137" s="44" t="str" cm="1">
        <f t="array" ref="L1137">+_xlfn.IFS(COUNTIF(INGRESOS!E:E,Tabla6[[#This Row],[ID FACTURA]])=1,"PAGADA",Tabla6[[#This Row],[ID FACTURA]]&lt;&gt;0,"EMITIDA",Tabla6[[#This Row],[ID FACTURA]]=0,"POR EMITIR")</f>
        <v>POR EMITIR</v>
      </c>
      <c r="M1137" s="55" t="str">
        <f>+IF(Tabla6[[#This Row],[ESTADO FACTURA]]="PAGADA",Tabla6[[#This Row],[FECHA]]-_xlfn.XLOOKUP(Tabla6[[#This Row],[N° FACTURA]],INGRESOS!F:F,INGRESOS!A:A),"-")</f>
        <v>-</v>
      </c>
      <c r="N1137" s="2"/>
      <c r="O1137"/>
    </row>
    <row r="1138" spans="1:15" ht="14.75" customHeight="1">
      <c r="A1138" s="320" t="s">
        <v>162</v>
      </c>
      <c r="B1138" t="str">
        <f>+_xlfn.XLOOKUP(Tabla6[[#This Row],[ID CLIENTE]],'RESUMEN CLIENTES'!D:D,'RESUMEN CLIENTES'!A:A)</f>
        <v>Bastian Sofjer Peralta</v>
      </c>
      <c r="C1138" t="str">
        <f>+_xlfn.XLOOKUP(Tabla6[[#This Row],[ID CLIENTE]],'RESUMEN CLIENTES'!D:D,'RESUMEN CLIENTES'!C:C)</f>
        <v>Chile</v>
      </c>
      <c r="D1138" s="44" t="str">
        <f>+_xlfn.XLOOKUP(Tabla6[[#This Row],[ID CLIENTE]],'RESUMEN CLIENTES'!D:D,'RESUMEN CLIENTES'!M:M)</f>
        <v>OK</v>
      </c>
      <c r="E1138" s="72">
        <f>+_xlfn.XLOOKUP(Tabla6[[#This Row],[NOMBRE]],'RESUMEN CLIENTES'!A:A,'RESUMEN CLIENTES'!X:X)</f>
        <v>4.125</v>
      </c>
      <c r="F1138" s="72">
        <f>+_xlfn.XLOOKUP(Tabla6[[#This Row],[ID CLIENTE]],'RESUMEN CLIENTES'!D:D,'RESUMEN CLIENTES'!W:W)</f>
        <v>1</v>
      </c>
      <c r="G1138" s="17">
        <v>46106</v>
      </c>
      <c r="H1138" s="44" t="s">
        <v>81</v>
      </c>
      <c r="I1138" s="2">
        <v>900</v>
      </c>
      <c r="J1138"/>
      <c r="K1138"/>
      <c r="L1138" s="44" t="str" cm="1">
        <f t="array" ref="L1138">+_xlfn.IFS(COUNTIF(INGRESOS!E:E,Tabla6[[#This Row],[ID FACTURA]])=1,"PAGADA",Tabla6[[#This Row],[ID FACTURA]]&lt;&gt;0,"EMITIDA",Tabla6[[#This Row],[ID FACTURA]]=0,"POR EMITIR")</f>
        <v>POR EMITIR</v>
      </c>
      <c r="M1138" s="55" t="str">
        <f>+IF(Tabla6[[#This Row],[ESTADO FACTURA]]="PAGADA",Tabla6[[#This Row],[FECHA]]-_xlfn.XLOOKUP(Tabla6[[#This Row],[N° FACTURA]],INGRESOS!F:F,INGRESOS!A:A),"-")</f>
        <v>-</v>
      </c>
      <c r="N1138" s="2"/>
      <c r="O1138"/>
    </row>
    <row r="1139" spans="1:15" ht="14.75" customHeight="1">
      <c r="A1139" s="320" t="s">
        <v>191</v>
      </c>
      <c r="B1139" t="str">
        <f>+_xlfn.XLOOKUP(Tabla6[[#This Row],[ID CLIENTE]],'RESUMEN CLIENTES'!D:D,'RESUMEN CLIENTES'!A:A)</f>
        <v>Christian Rivera Hernandez</v>
      </c>
      <c r="C1139" t="str">
        <f>+_xlfn.XLOOKUP(Tabla6[[#This Row],[ID CLIENTE]],'RESUMEN CLIENTES'!D:D,'RESUMEN CLIENTES'!C:C)</f>
        <v>Colombia</v>
      </c>
      <c r="D1139" s="169" t="str">
        <f>+_xlfn.XLOOKUP(Tabla6[[#This Row],[ID CLIENTE]],'RESUMEN CLIENTES'!D:D,'RESUMEN CLIENTES'!M:M)</f>
        <v>OK</v>
      </c>
      <c r="E1139" s="71">
        <f>+_xlfn.XLOOKUP(Tabla6[[#This Row],[NOMBRE]],'RESUMEN CLIENTES'!A:A,'RESUMEN CLIENTES'!X:X)</f>
        <v>0.75</v>
      </c>
      <c r="F1139" s="71">
        <f>+_xlfn.XLOOKUP(Tabla6[[#This Row],[ID CLIENTE]],'RESUMEN CLIENTES'!D:D,'RESUMEN CLIENTES'!W:W)</f>
        <v>1</v>
      </c>
      <c r="G1139" s="17">
        <v>46106</v>
      </c>
      <c r="H1139" s="169" t="s">
        <v>81</v>
      </c>
      <c r="I1139" s="2">
        <v>600</v>
      </c>
      <c r="J1139"/>
      <c r="K1139"/>
      <c r="L1139" s="44" t="str" cm="1">
        <f t="array" ref="L1139">+_xlfn.IFS(COUNTIF(INGRESOS!E:E,Tabla6[[#This Row],[ID FACTURA]])=1,"PAGADA",Tabla6[[#This Row],[ID FACTURA]]&lt;&gt;0,"EMITIDA",Tabla6[[#This Row],[ID FACTURA]]=0,"POR EMITIR")</f>
        <v>POR EMITIR</v>
      </c>
      <c r="M1139" s="55" t="str">
        <f>+IF(Tabla6[[#This Row],[ESTADO FACTURA]]="PAGADA",Tabla6[[#This Row],[FECHA]]-_xlfn.XLOOKUP(Tabla6[[#This Row],[N° FACTURA]],INGRESOS!F:F,INGRESOS!A:A),"-")</f>
        <v>-</v>
      </c>
      <c r="N1139" s="2"/>
      <c r="O1139"/>
    </row>
    <row r="1140" spans="1:15" ht="14.75" customHeight="1">
      <c r="A1140" s="320" t="s">
        <v>595</v>
      </c>
      <c r="B1140" t="str">
        <f>+_xlfn.XLOOKUP(Tabla6[[#This Row],[ID CLIENTE]],'RESUMEN CLIENTES'!D:D,'RESUMEN CLIENTES'!A:A)</f>
        <v>Erick Leonardo Chiriboga Valdiviezo</v>
      </c>
      <c r="C1140" t="str">
        <f>+_xlfn.XLOOKUP(Tabla6[[#This Row],[ID CLIENTE]],'RESUMEN CLIENTES'!D:D,'RESUMEN CLIENTES'!C:C)</f>
        <v>Ecuador</v>
      </c>
      <c r="D1140" s="44" t="str">
        <f>+_xlfn.XLOOKUP(Tabla6[[#This Row],[ID CLIENTE]],'RESUMEN CLIENTES'!D:D,'RESUMEN CLIENTES'!M:M)</f>
        <v>OK</v>
      </c>
      <c r="E1140" s="72">
        <f>+_xlfn.XLOOKUP(Tabla6[[#This Row],[NOMBRE]],'RESUMEN CLIENTES'!A:A,'RESUMEN CLIENTES'!X:X)</f>
        <v>-0.33333333333333331</v>
      </c>
      <c r="F1140" s="72">
        <f>+_xlfn.XLOOKUP(Tabla6[[#This Row],[ID CLIENTE]],'RESUMEN CLIENTES'!D:D,'RESUMEN CLIENTES'!W:W)</f>
        <v>0</v>
      </c>
      <c r="G1140" s="17">
        <v>46106</v>
      </c>
      <c r="H1140" s="44" t="s">
        <v>81</v>
      </c>
      <c r="I1140" s="2">
        <v>1000</v>
      </c>
      <c r="J1140"/>
      <c r="K1140"/>
      <c r="L1140" s="44" t="str" cm="1">
        <f t="array" ref="L1140">+_xlfn.IFS(COUNTIF(INGRESOS!E:E,Tabla6[[#This Row],[ID FACTURA]])=1,"PAGADA",Tabla6[[#This Row],[ID FACTURA]]&lt;&gt;0,"EMITIDA",Tabla6[[#This Row],[ID FACTURA]]=0,"POR EMITIR")</f>
        <v>POR EMITIR</v>
      </c>
      <c r="M1140" s="55" t="str">
        <f>+IF(Tabla6[[#This Row],[ESTADO FACTURA]]="PAGADA",Tabla6[[#This Row],[FECHA]]-_xlfn.XLOOKUP(Tabla6[[#This Row],[N° FACTURA]],INGRESOS!F:F,INGRESOS!A:A),"-")</f>
        <v>-</v>
      </c>
      <c r="N1140" s="2"/>
      <c r="O1140" s="8" t="s">
        <v>4852</v>
      </c>
    </row>
    <row r="1141" spans="1:15" ht="14.75" customHeight="1">
      <c r="A1141" s="320" t="s">
        <v>1437</v>
      </c>
      <c r="B1141" t="str">
        <f>+_xlfn.XLOOKUP(Tabla6[[#This Row],[ID CLIENTE]],'RESUMEN CLIENTES'!D:D,'RESUMEN CLIENTES'!A:A)</f>
        <v>Jorge Andres Galgani Muñoz</v>
      </c>
      <c r="C1141" t="str">
        <f>+_xlfn.XLOOKUP(Tabla6[[#This Row],[ID CLIENTE]],'RESUMEN CLIENTES'!D:D,'RESUMEN CLIENTES'!C:C)</f>
        <v>Chile</v>
      </c>
      <c r="D1141" s="44" t="str">
        <f>+_xlfn.XLOOKUP(Tabla6[[#This Row],[ID CLIENTE]],'RESUMEN CLIENTES'!D:D,'RESUMEN CLIENTES'!M:M)</f>
        <v>OK</v>
      </c>
      <c r="E1141" s="71">
        <f>+_xlfn.XLOOKUP(Tabla6[[#This Row],[NOMBRE]],'RESUMEN CLIENTES'!A:A,'RESUMEN CLIENTES'!X:X)</f>
        <v>-1.1428571428571428</v>
      </c>
      <c r="F1141" s="71">
        <f>+_xlfn.XLOOKUP(Tabla6[[#This Row],[ID CLIENTE]],'RESUMEN CLIENTES'!D:D,'RESUMEN CLIENTES'!W:W)</f>
        <v>1</v>
      </c>
      <c r="G1141" s="17">
        <v>46106</v>
      </c>
      <c r="H1141" s="169" t="s">
        <v>81</v>
      </c>
      <c r="I1141" s="2">
        <v>850</v>
      </c>
      <c r="J1141"/>
      <c r="K1141"/>
      <c r="L1141" s="44" t="str" cm="1">
        <f t="array" ref="L1141">+_xlfn.IFS(COUNTIF(INGRESOS!E:E,Tabla6[[#This Row],[ID FACTURA]])=1,"PAGADA",Tabla6[[#This Row],[ID FACTURA]]&lt;&gt;0,"EMITIDA",Tabla6[[#This Row],[ID FACTURA]]=0,"POR EMITIR")</f>
        <v>POR EMITIR</v>
      </c>
      <c r="M1141" s="55" t="str">
        <f>+IF(Tabla6[[#This Row],[ESTADO FACTURA]]="PAGADA",Tabla6[[#This Row],[FECHA]]-_xlfn.XLOOKUP(Tabla6[[#This Row],[N° FACTURA]],INGRESOS!F:F,INGRESOS!A:A),"-")</f>
        <v>-</v>
      </c>
      <c r="N1141" s="2"/>
      <c r="O1141"/>
    </row>
    <row r="1142" spans="1:15" ht="14.75" customHeight="1">
      <c r="A1142" s="320" t="s">
        <v>87</v>
      </c>
      <c r="B1142" t="str">
        <f>+_xlfn.XLOOKUP(Tabla6[[#This Row],[ID CLIENTE]],'RESUMEN CLIENTES'!D:D,'RESUMEN CLIENTES'!A:A)</f>
        <v>Jose Marcelo Marroquín Guzmán</v>
      </c>
      <c r="C1142" t="str">
        <f>+_xlfn.XLOOKUP(Tabla6[[#This Row],[ID CLIENTE]],'RESUMEN CLIENTES'!D:D,'RESUMEN CLIENTES'!C:C)</f>
        <v>El Salvador</v>
      </c>
      <c r="D1142" s="44" t="str">
        <f>+_xlfn.XLOOKUP(Tabla6[[#This Row],[ID CLIENTE]],'RESUMEN CLIENTES'!D:D,'RESUMEN CLIENTES'!M:M)</f>
        <v>OK</v>
      </c>
      <c r="E1142" s="72">
        <f>+_xlfn.XLOOKUP(Tabla6[[#This Row],[NOMBRE]],'RESUMEN CLIENTES'!A:A,'RESUMEN CLIENTES'!X:X)</f>
        <v>-1.5833333333333333</v>
      </c>
      <c r="F1142" s="72">
        <f>+_xlfn.XLOOKUP(Tabla6[[#This Row],[ID CLIENTE]],'RESUMEN CLIENTES'!D:D,'RESUMEN CLIENTES'!W:W)</f>
        <v>1</v>
      </c>
      <c r="G1142" s="17">
        <v>46106</v>
      </c>
      <c r="H1142" s="44" t="s">
        <v>81</v>
      </c>
      <c r="I1142" s="2">
        <f>400-Tabla6[[#This Row],[DCTO DOC]]</f>
        <v>272</v>
      </c>
      <c r="J1142"/>
      <c r="K1142"/>
      <c r="L1142" s="44" t="str" cm="1">
        <f t="array" ref="L1142">+_xlfn.IFS(COUNTIF(INGRESOS!E:E,Tabla6[[#This Row],[ID FACTURA]])=1,"PAGADA",Tabla6[[#This Row],[ID FACTURA]]&lt;&gt;0,"EMITIDA",Tabla6[[#This Row],[ID FACTURA]]=0,"POR EMITIR")</f>
        <v>POR EMITIR</v>
      </c>
      <c r="M1142" s="55" t="str">
        <f>+IF(Tabla6[[#This Row],[ESTADO FACTURA]]="PAGADA",Tabla6[[#This Row],[FECHA]]-_xlfn.XLOOKUP(Tabla6[[#This Row],[N° FACTURA]],INGRESOS!F:F,INGRESOS!A:A),"-")</f>
        <v>-</v>
      </c>
      <c r="N1142" s="2">
        <v>128</v>
      </c>
      <c r="O1142"/>
    </row>
    <row r="1143" spans="1:15" ht="14.75" customHeight="1">
      <c r="A1143" s="320" t="s">
        <v>1658</v>
      </c>
      <c r="B1143" t="str">
        <f>+_xlfn.XLOOKUP(Tabla6[[#This Row],[ID CLIENTE]],'RESUMEN CLIENTES'!D:D,'RESUMEN CLIENTES'!A:A)</f>
        <v>Nadya Sofía García Carrasco</v>
      </c>
      <c r="C1143" t="str">
        <f>+_xlfn.XLOOKUP(Tabla6[[#This Row],[ID CLIENTE]],'RESUMEN CLIENTES'!D:D,'RESUMEN CLIENTES'!C:C)</f>
        <v>Ecuador</v>
      </c>
      <c r="D1143" s="169" t="str">
        <f>+_xlfn.XLOOKUP(Tabla6[[#This Row],[ID CLIENTE]],'RESUMEN CLIENTES'!D:D,'RESUMEN CLIENTES'!M:M)</f>
        <v>OK</v>
      </c>
      <c r="E1143" s="71">
        <f>+_xlfn.XLOOKUP(Tabla6[[#This Row],[NOMBRE]],'RESUMEN CLIENTES'!A:A,'RESUMEN CLIENTES'!X:X)</f>
        <v>0</v>
      </c>
      <c r="F1143" s="71">
        <f>+_xlfn.XLOOKUP(Tabla6[[#This Row],[ID CLIENTE]],'RESUMEN CLIENTES'!D:D,'RESUMEN CLIENTES'!W:W)</f>
        <v>1</v>
      </c>
      <c r="G1143" s="17">
        <v>46106</v>
      </c>
      <c r="H1143" s="169" t="s">
        <v>81</v>
      </c>
      <c r="I1143" s="2">
        <v>1000</v>
      </c>
      <c r="J1143"/>
      <c r="K1143"/>
      <c r="L1143" s="44" t="str" cm="1">
        <f t="array" ref="L1143">+_xlfn.IFS(COUNTIF(INGRESOS!E:E,Tabla6[[#This Row],[ID FACTURA]])=1,"PAGADA",Tabla6[[#This Row],[ID FACTURA]]&lt;&gt;0,"EMITIDA",Tabla6[[#This Row],[ID FACTURA]]=0,"POR EMITIR")</f>
        <v>POR EMITIR</v>
      </c>
      <c r="M1143" s="55" t="str">
        <f>+IF(Tabla6[[#This Row],[ESTADO FACTURA]]="PAGADA",Tabla6[[#This Row],[FECHA]]-_xlfn.XLOOKUP(Tabla6[[#This Row],[N° FACTURA]],INGRESOS!F:F,INGRESOS!A:A),"-")</f>
        <v>-</v>
      </c>
      <c r="O1143"/>
    </row>
    <row r="1144" spans="1:15" ht="14.75" customHeight="1">
      <c r="A1144" s="320" t="s">
        <v>716</v>
      </c>
      <c r="B1144" t="str">
        <f>+_xlfn.XLOOKUP(Tabla6[[#This Row],[ID CLIENTE]],'RESUMEN CLIENTES'!D:D,'RESUMEN CLIENTES'!A:A)</f>
        <v>Sofia Martínez Restrepo</v>
      </c>
      <c r="C1144" t="str">
        <f>+_xlfn.XLOOKUP(Tabla6[[#This Row],[ID CLIENTE]],'RESUMEN CLIENTES'!D:D,'RESUMEN CLIENTES'!C:C)</f>
        <v>Colombia</v>
      </c>
      <c r="D1144" s="44" t="str">
        <f>+_xlfn.XLOOKUP(Tabla6[[#This Row],[ID CLIENTE]],'RESUMEN CLIENTES'!D:D,'RESUMEN CLIENTES'!M:M)</f>
        <v>OK</v>
      </c>
      <c r="E1144" s="72">
        <f>+_xlfn.XLOOKUP(Tabla6[[#This Row],[NOMBRE]],'RESUMEN CLIENTES'!A:A,'RESUMEN CLIENTES'!X:X)</f>
        <v>-0.33333333333333331</v>
      </c>
      <c r="F1144" s="72">
        <f>+_xlfn.XLOOKUP(Tabla6[[#This Row],[ID CLIENTE]],'RESUMEN CLIENTES'!D:D,'RESUMEN CLIENTES'!W:W)</f>
        <v>1</v>
      </c>
      <c r="G1144" s="17">
        <v>46106</v>
      </c>
      <c r="H1144" s="44" t="s">
        <v>81</v>
      </c>
      <c r="I1144" s="2">
        <v>1000</v>
      </c>
      <c r="J1144"/>
      <c r="K1144"/>
      <c r="L1144" s="44" t="str" cm="1">
        <f t="array" ref="L1144">+_xlfn.IFS(COUNTIF(INGRESOS!E:E,Tabla6[[#This Row],[ID FACTURA]])=1,"PAGADA",Tabla6[[#This Row],[ID FACTURA]]&lt;&gt;0,"EMITIDA",Tabla6[[#This Row],[ID FACTURA]]=0,"POR EMITIR")</f>
        <v>POR EMITIR</v>
      </c>
      <c r="M1144" s="55" t="str">
        <f>+IF(Tabla6[[#This Row],[ESTADO FACTURA]]="PAGADA",Tabla6[[#This Row],[FECHA]]-_xlfn.XLOOKUP(Tabla6[[#This Row],[N° FACTURA]],INGRESOS!F:F,INGRESOS!A:A),"-")</f>
        <v>-</v>
      </c>
      <c r="N1144" s="2"/>
      <c r="O1144"/>
    </row>
    <row r="1145" spans="1:15" ht="14.75" customHeight="1">
      <c r="A1145" s="320" t="s">
        <v>1743</v>
      </c>
      <c r="B1145" t="str">
        <f>+_xlfn.XLOOKUP(Tabla6[[#This Row],[ID CLIENTE]],'RESUMEN CLIENTES'!D:D,'RESUMEN CLIENTES'!A:A)</f>
        <v>Fernando Alberto Lagos Belmar</v>
      </c>
      <c r="C1145" t="str">
        <f>+_xlfn.XLOOKUP(Tabla6[[#This Row],[ID CLIENTE]],'RESUMEN CLIENTES'!D:D,'RESUMEN CLIENTES'!C:C)</f>
        <v>Chile</v>
      </c>
      <c r="D1145" s="169" t="str">
        <f>+_xlfn.XLOOKUP(Tabla6[[#This Row],[ID CLIENTE]],'RESUMEN CLIENTES'!D:D,'RESUMEN CLIENTES'!M:M)</f>
        <v>OK</v>
      </c>
      <c r="E1145" s="71">
        <f>+_xlfn.XLOOKUP(Tabla6[[#This Row],[NOMBRE]],'RESUMEN CLIENTES'!A:A,'RESUMEN CLIENTES'!X:X)</f>
        <v>0.25</v>
      </c>
      <c r="F1145" s="71">
        <f>+_xlfn.XLOOKUP(Tabla6[[#This Row],[ID CLIENTE]],'RESUMEN CLIENTES'!D:D,'RESUMEN CLIENTES'!W:W)</f>
        <v>1</v>
      </c>
      <c r="G1145" s="17">
        <v>46107</v>
      </c>
      <c r="H1145" s="169" t="s">
        <v>81</v>
      </c>
      <c r="I1145" s="2">
        <v>1000</v>
      </c>
      <c r="J1145"/>
      <c r="K1145"/>
      <c r="L1145" s="44" t="str" cm="1">
        <f t="array" ref="L1145">+_xlfn.IFS(COUNTIF(INGRESOS!E:E,Tabla6[[#This Row],[ID FACTURA]])=1,"PAGADA",Tabla6[[#This Row],[ID FACTURA]]&lt;&gt;0,"EMITIDA",Tabla6[[#This Row],[ID FACTURA]]=0,"POR EMITIR")</f>
        <v>POR EMITIR</v>
      </c>
      <c r="M1145" s="55" t="str">
        <f>+IF(Tabla6[[#This Row],[ESTADO FACTURA]]="PAGADA",Tabla6[[#This Row],[FECHA]]-_xlfn.XLOOKUP(Tabla6[[#This Row],[N° FACTURA]],INGRESOS!F:F,INGRESOS!A:A),"-")</f>
        <v>-</v>
      </c>
      <c r="O1145"/>
    </row>
    <row r="1146" spans="1:15" ht="14.75" customHeight="1">
      <c r="A1146" s="320" t="s">
        <v>706</v>
      </c>
      <c r="B1146" t="str">
        <f>+_xlfn.XLOOKUP(Tabla6[[#This Row],[ID CLIENTE]],'RESUMEN CLIENTES'!D:D,'RESUMEN CLIENTES'!A:A)</f>
        <v>Virna Nathaly Montenegro Samaniego</v>
      </c>
      <c r="C1146" t="str">
        <f>+_xlfn.XLOOKUP(Tabla6[[#This Row],[ID CLIENTE]],'RESUMEN CLIENTES'!D:D,'RESUMEN CLIENTES'!C:C)</f>
        <v>Ecuador</v>
      </c>
      <c r="D1146" s="44" t="str">
        <f>+_xlfn.XLOOKUP(Tabla6[[#This Row],[ID CLIENTE]],'RESUMEN CLIENTES'!D:D,'RESUMEN CLIENTES'!M:M)</f>
        <v>OK</v>
      </c>
      <c r="E1146" s="72">
        <f>+_xlfn.XLOOKUP(Tabla6[[#This Row],[NOMBRE]],'RESUMEN CLIENTES'!A:A,'RESUMEN CLIENTES'!X:X)</f>
        <v>7.375</v>
      </c>
      <c r="F1146" s="72">
        <f>+_xlfn.XLOOKUP(Tabla6[[#This Row],[ID CLIENTE]],'RESUMEN CLIENTES'!D:D,'RESUMEN CLIENTES'!W:W)</f>
        <v>0</v>
      </c>
      <c r="G1146" s="17">
        <v>46107</v>
      </c>
      <c r="H1146" s="44" t="s">
        <v>81</v>
      </c>
      <c r="I1146" s="2">
        <v>1000</v>
      </c>
      <c r="J1146"/>
      <c r="K1146"/>
      <c r="L1146" s="44" t="str" cm="1">
        <f t="array" ref="L1146">+_xlfn.IFS(COUNTIF(INGRESOS!E:E,Tabla6[[#This Row],[ID FACTURA]])=1,"PAGADA",Tabla6[[#This Row],[ID FACTURA]]&lt;&gt;0,"EMITIDA",Tabla6[[#This Row],[ID FACTURA]]=0,"POR EMITIR")</f>
        <v>POR EMITIR</v>
      </c>
      <c r="M1146" s="55" t="str">
        <f>+IF(Tabla6[[#This Row],[ESTADO FACTURA]]="PAGADA",Tabla6[[#This Row],[FECHA]]-_xlfn.XLOOKUP(Tabla6[[#This Row],[N° FACTURA]],INGRESOS!F:F,INGRESOS!A:A),"-")</f>
        <v>-</v>
      </c>
      <c r="N1146" s="2"/>
      <c r="O1146"/>
    </row>
    <row r="1147" spans="1:15" ht="14.75" customHeight="1">
      <c r="A1147" s="321" t="s">
        <v>519</v>
      </c>
      <c r="B1147" t="str">
        <f>+_xlfn.XLOOKUP(Tabla6[[#This Row],[ID CLIENTE]],'RESUMEN CLIENTES'!D:D,'RESUMEN CLIENTES'!A:A)</f>
        <v>Elaine Acosta Cabrera</v>
      </c>
      <c r="C1147" t="str">
        <f>+_xlfn.XLOOKUP(Tabla6[[#This Row],[ID CLIENTE]],'RESUMEN CLIENTES'!D:D,'RESUMEN CLIENTES'!C:C)</f>
        <v>República Dominicana</v>
      </c>
      <c r="D1147" s="169" t="str">
        <f>+_xlfn.XLOOKUP(Tabla6[[#This Row],[ID CLIENTE]],'RESUMEN CLIENTES'!D:D,'RESUMEN CLIENTES'!M:M)</f>
        <v>OK</v>
      </c>
      <c r="E1147" s="71">
        <f>+_xlfn.XLOOKUP(Tabla6[[#This Row],[NOMBRE]],'RESUMEN CLIENTES'!A:A,'RESUMEN CLIENTES'!X:X)</f>
        <v>0</v>
      </c>
      <c r="F1147" s="71">
        <f>+_xlfn.XLOOKUP(Tabla6[[#This Row],[ID CLIENTE]],'RESUMEN CLIENTES'!D:D,'RESUMEN CLIENTES'!W:W)</f>
        <v>1</v>
      </c>
      <c r="G1147" s="17">
        <v>46108</v>
      </c>
      <c r="H1147" s="169" t="s">
        <v>81</v>
      </c>
      <c r="I1147" s="2">
        <v>1000</v>
      </c>
      <c r="J1147"/>
      <c r="K1147"/>
      <c r="L1147" s="44" t="str" cm="1">
        <f t="array" ref="L1147">+_xlfn.IFS(COUNTIF(INGRESOS!E:E,Tabla6[[#This Row],[ID FACTURA]])=1,"PAGADA",Tabla6[[#This Row],[ID FACTURA]]&lt;&gt;0,"EMITIDA",Tabla6[[#This Row],[ID FACTURA]]=0,"POR EMITIR")</f>
        <v>POR EMITIR</v>
      </c>
      <c r="M1147" s="54" t="str">
        <f>+IF(Tabla6[[#This Row],[ESTADO FACTURA]]="PAGADA",Tabla6[[#This Row],[FECHA]]-_xlfn.XLOOKUP(Tabla6[[#This Row],[N° FACTURA]],INGRESOS!F:F,INGRESOS!A:A),"-")</f>
        <v>-</v>
      </c>
      <c r="O1147"/>
    </row>
    <row r="1148" spans="1:15" ht="14.75" customHeight="1">
      <c r="A1148" s="320" t="s">
        <v>711</v>
      </c>
      <c r="B1148" t="str">
        <f>+_xlfn.XLOOKUP(Tabla6[[#This Row],[ID CLIENTE]],'RESUMEN CLIENTES'!D:D,'RESUMEN CLIENTES'!A:A)</f>
        <v>Julian David Gutierrez Rodriguez</v>
      </c>
      <c r="C1148" t="str">
        <f>+_xlfn.XLOOKUP(Tabla6[[#This Row],[ID CLIENTE]],'RESUMEN CLIENTES'!D:D,'RESUMEN CLIENTES'!C:C)</f>
        <v>Colombia</v>
      </c>
      <c r="D1148" s="44" t="str">
        <f>+_xlfn.XLOOKUP(Tabla6[[#This Row],[ID CLIENTE]],'RESUMEN CLIENTES'!D:D,'RESUMEN CLIENTES'!M:M)</f>
        <v>OK</v>
      </c>
      <c r="E1148" s="72">
        <f>+_xlfn.XLOOKUP(Tabla6[[#This Row],[NOMBRE]],'RESUMEN CLIENTES'!A:A,'RESUMEN CLIENTES'!X:X)</f>
        <v>0.7142857142857143</v>
      </c>
      <c r="F1148" s="72">
        <f>+_xlfn.XLOOKUP(Tabla6[[#This Row],[ID CLIENTE]],'RESUMEN CLIENTES'!D:D,'RESUMEN CLIENTES'!W:W)</f>
        <v>1</v>
      </c>
      <c r="G1148" s="17">
        <v>46108</v>
      </c>
      <c r="H1148" s="44" t="s">
        <v>81</v>
      </c>
      <c r="I1148" s="2">
        <v>500</v>
      </c>
      <c r="J1148"/>
      <c r="K1148"/>
      <c r="L1148" s="44" t="str" cm="1">
        <f t="array" ref="L1148">+_xlfn.IFS(COUNTIF(INGRESOS!E:E,Tabla6[[#This Row],[ID FACTURA]])=1,"PAGADA",Tabla6[[#This Row],[ID FACTURA]]&lt;&gt;0,"EMITIDA",Tabla6[[#This Row],[ID FACTURA]]=0,"POR EMITIR")</f>
        <v>POR EMITIR</v>
      </c>
      <c r="M1148" s="55" t="str">
        <f>+IF(Tabla6[[#This Row],[ESTADO FACTURA]]="PAGADA",Tabla6[[#This Row],[FECHA]]-_xlfn.XLOOKUP(Tabla6[[#This Row],[N° FACTURA]],INGRESOS!F:F,INGRESOS!A:A),"-")</f>
        <v>-</v>
      </c>
      <c r="N1148" s="2"/>
      <c r="O1148"/>
    </row>
    <row r="1149" spans="1:15" ht="14.75" customHeight="1">
      <c r="A1149" s="320" t="s">
        <v>372</v>
      </c>
      <c r="B1149" t="str">
        <f>+_xlfn.XLOOKUP(Tabla6[[#This Row],[ID CLIENTE]],'RESUMEN CLIENTES'!D:D,'RESUMEN CLIENTES'!A:A)</f>
        <v>Julio Nelson Adaros Moraga</v>
      </c>
      <c r="C1149" t="str">
        <f>+_xlfn.XLOOKUP(Tabla6[[#This Row],[ID CLIENTE]],'RESUMEN CLIENTES'!D:D,'RESUMEN CLIENTES'!C:C)</f>
        <v>Chile</v>
      </c>
      <c r="D1149" s="44" t="str">
        <f>+_xlfn.XLOOKUP(Tabla6[[#This Row],[ID CLIENTE]],'RESUMEN CLIENTES'!D:D,'RESUMEN CLIENTES'!M:M)</f>
        <v>OK</v>
      </c>
      <c r="E1149" s="72">
        <f>+_xlfn.XLOOKUP(Tabla6[[#This Row],[NOMBRE]],'RESUMEN CLIENTES'!A:A,'RESUMEN CLIENTES'!X:X)</f>
        <v>1</v>
      </c>
      <c r="F1149" s="72">
        <f>+_xlfn.XLOOKUP(Tabla6[[#This Row],[ID CLIENTE]],'RESUMEN CLIENTES'!D:D,'RESUMEN CLIENTES'!W:W)</f>
        <v>1</v>
      </c>
      <c r="G1149" s="17">
        <v>46108</v>
      </c>
      <c r="H1149" s="44" t="s">
        <v>81</v>
      </c>
      <c r="I1149" s="2">
        <f>1000-Tabla6[[#This Row],[DCTO DOC]]</f>
        <v>856</v>
      </c>
      <c r="J1149"/>
      <c r="K1149"/>
      <c r="L1149" s="44" t="str" cm="1">
        <f t="array" ref="L1149">+_xlfn.IFS(COUNTIF(INGRESOS!E:E,Tabla6[[#This Row],[ID FACTURA]])=1,"PAGADA",Tabla6[[#This Row],[ID FACTURA]]&lt;&gt;0,"EMITIDA",Tabla6[[#This Row],[ID FACTURA]]=0,"POR EMITIR")</f>
        <v>POR EMITIR</v>
      </c>
      <c r="M1149" s="55" t="str">
        <f>+IF(Tabla6[[#This Row],[ESTADO FACTURA]]="PAGADA",Tabla6[[#This Row],[FECHA]]-_xlfn.XLOOKUP(Tabla6[[#This Row],[N° FACTURA]],INGRESOS!F:F,INGRESOS!A:A),"-")</f>
        <v>-</v>
      </c>
      <c r="N1149" s="2">
        <v>144</v>
      </c>
      <c r="O1149"/>
    </row>
    <row r="1150" spans="1:15" ht="14.75" customHeight="1">
      <c r="A1150" s="321" t="s">
        <v>1870</v>
      </c>
      <c r="B1150" t="str">
        <f>+_xlfn.XLOOKUP(Tabla6[[#This Row],[ID CLIENTE]],'RESUMEN CLIENTES'!D:D,'RESUMEN CLIENTES'!A:A)</f>
        <v>Berenisse Shadia Yarango Garay</v>
      </c>
      <c r="C1150" t="str">
        <f>+_xlfn.XLOOKUP(Tabla6[[#This Row],[ID CLIENTE]],'RESUMEN CLIENTES'!D:D,'RESUMEN CLIENTES'!C:C)</f>
        <v>Perú</v>
      </c>
      <c r="D1150" s="169" t="str">
        <f>+_xlfn.XLOOKUP(Tabla6[[#This Row],[ID CLIENTE]],'RESUMEN CLIENTES'!D:D,'RESUMEN CLIENTES'!M:M)</f>
        <v>OK</v>
      </c>
      <c r="E1150" s="71">
        <f>+_xlfn.XLOOKUP(Tabla6[[#This Row],[NOMBRE]],'RESUMEN CLIENTES'!A:A,'RESUMEN CLIENTES'!X:X)</f>
        <v>-0.33333333333333331</v>
      </c>
      <c r="F1150" s="71">
        <f>+_xlfn.XLOOKUP(Tabla6[[#This Row],[ID CLIENTE]],'RESUMEN CLIENTES'!D:D,'RESUMEN CLIENTES'!W:W)</f>
        <v>0</v>
      </c>
      <c r="G1150" s="17">
        <v>46109</v>
      </c>
      <c r="H1150" s="169" t="s">
        <v>81</v>
      </c>
      <c r="I1150" s="2">
        <v>850</v>
      </c>
      <c r="J1150"/>
      <c r="K1150"/>
      <c r="L1150" s="44" t="str" cm="1">
        <f t="array" ref="L1150">+_xlfn.IFS(COUNTIF(INGRESOS!E:E,Tabla6[[#This Row],[ID FACTURA]])=1,"PAGADA",Tabla6[[#This Row],[ID FACTURA]]&lt;&gt;0,"EMITIDA",Tabla6[[#This Row],[ID FACTURA]]=0,"POR EMITIR")</f>
        <v>POR EMITIR</v>
      </c>
      <c r="M1150" s="54" t="str">
        <f>+IF(Tabla6[[#This Row],[ESTADO FACTURA]]="PAGADA",Tabla6[[#This Row],[FECHA]]-_xlfn.XLOOKUP(Tabla6[[#This Row],[N° FACTURA]],INGRESOS!F:F,INGRESOS!A:A),"-")</f>
        <v>-</v>
      </c>
      <c r="O1150"/>
    </row>
    <row r="1151" spans="1:15" ht="14.75" customHeight="1">
      <c r="A1151" s="320" t="s">
        <v>1461</v>
      </c>
      <c r="B1151" t="str">
        <f>+_xlfn.XLOOKUP(Tabla6[[#This Row],[ID CLIENTE]],'RESUMEN CLIENTES'!D:D,'RESUMEN CLIENTES'!A:A)</f>
        <v>Katerine Marianela Verastegui Mendoza</v>
      </c>
      <c r="C1151" t="str">
        <f>+_xlfn.XLOOKUP(Tabla6[[#This Row],[ID CLIENTE]],'RESUMEN CLIENTES'!D:D,'RESUMEN CLIENTES'!C:C)</f>
        <v>Perú</v>
      </c>
      <c r="D1151" s="44" t="str">
        <f>+_xlfn.XLOOKUP(Tabla6[[#This Row],[ID CLIENTE]],'RESUMEN CLIENTES'!D:D,'RESUMEN CLIENTES'!M:M)</f>
        <v>OK</v>
      </c>
      <c r="E1151" s="71">
        <f>+_xlfn.XLOOKUP(Tabla6[[#This Row],[NOMBRE]],'RESUMEN CLIENTES'!A:A,'RESUMEN CLIENTES'!X:X)</f>
        <v>-2</v>
      </c>
      <c r="F1151" s="71">
        <f>+_xlfn.XLOOKUP(Tabla6[[#This Row],[ID CLIENTE]],'RESUMEN CLIENTES'!D:D,'RESUMEN CLIENTES'!W:W)</f>
        <v>0</v>
      </c>
      <c r="G1151" s="17">
        <v>46109</v>
      </c>
      <c r="H1151" s="169" t="s">
        <v>81</v>
      </c>
      <c r="I1151" s="2">
        <v>1000</v>
      </c>
      <c r="J1151"/>
      <c r="K1151"/>
      <c r="L1151" s="44" t="str" cm="1">
        <f t="array" ref="L1151">+_xlfn.IFS(COUNTIF(INGRESOS!E:E,Tabla6[[#This Row],[ID FACTURA]])=1,"PAGADA",Tabla6[[#This Row],[ID FACTURA]]&lt;&gt;0,"EMITIDA",Tabla6[[#This Row],[ID FACTURA]]=0,"POR EMITIR")</f>
        <v>POR EMITIR</v>
      </c>
      <c r="M1151" s="55" t="str">
        <f>+IF(Tabla6[[#This Row],[ESTADO FACTURA]]="PAGADA",Tabla6[[#This Row],[FECHA]]-_xlfn.XLOOKUP(Tabla6[[#This Row],[N° FACTURA]],INGRESOS!F:F,INGRESOS!A:A),"-")</f>
        <v>-</v>
      </c>
      <c r="N1151" s="2"/>
      <c r="O1151"/>
    </row>
    <row r="1152" spans="1:15" ht="14.75" customHeight="1">
      <c r="A1152" s="320" t="s">
        <v>450</v>
      </c>
      <c r="B1152" t="str">
        <f>+_xlfn.XLOOKUP(Tabla6[[#This Row],[ID CLIENTE]],'RESUMEN CLIENTES'!D:D,'RESUMEN CLIENTES'!A:A)</f>
        <v>Alexandra Carolina Ordoñez Cuotto</v>
      </c>
      <c r="C1152" t="str">
        <f>+_xlfn.XLOOKUP(Tabla6[[#This Row],[ID CLIENTE]],'RESUMEN CLIENTES'!D:D,'RESUMEN CLIENTES'!C:C)</f>
        <v>Venezuela</v>
      </c>
      <c r="D1152" s="44" t="str">
        <f>+_xlfn.XLOOKUP(Tabla6[[#This Row],[ID CLIENTE]],'RESUMEN CLIENTES'!D:D,'RESUMEN CLIENTES'!M:M)</f>
        <v>¡REGULARIZAR!</v>
      </c>
      <c r="E1152" s="72">
        <f>+_xlfn.XLOOKUP(Tabla6[[#This Row],[NOMBRE]],'RESUMEN CLIENTES'!A:A,'RESUMEN CLIENTES'!X:X)</f>
        <v>-2</v>
      </c>
      <c r="F1152" s="72">
        <f>+_xlfn.XLOOKUP(Tabla6[[#This Row],[ID CLIENTE]],'RESUMEN CLIENTES'!D:D,'RESUMEN CLIENTES'!W:W)</f>
        <v>0</v>
      </c>
      <c r="G1152" s="17">
        <v>46110</v>
      </c>
      <c r="H1152" s="44" t="s">
        <v>81</v>
      </c>
      <c r="I1152" s="2">
        <v>1000</v>
      </c>
      <c r="J1152"/>
      <c r="K1152"/>
      <c r="L1152" s="44" t="str" cm="1">
        <f t="array" ref="L1152">+_xlfn.IFS(COUNTIF(INGRESOS!E:E,Tabla6[[#This Row],[ID FACTURA]])=1,"PAGADA",Tabla6[[#This Row],[ID FACTURA]]&lt;&gt;0,"EMITIDA",Tabla6[[#This Row],[ID FACTURA]]=0,"POR EMITIR")</f>
        <v>POR EMITIR</v>
      </c>
      <c r="M1152" s="55" t="str">
        <f>+IF(Tabla6[[#This Row],[ESTADO FACTURA]]="PAGADA",Tabla6[[#This Row],[FECHA]]-_xlfn.XLOOKUP(Tabla6[[#This Row],[N° FACTURA]],INGRESOS!F:F,INGRESOS!A:A),"-")</f>
        <v>-</v>
      </c>
      <c r="N1152" s="2"/>
      <c r="O1152"/>
    </row>
    <row r="1153" spans="1:15" ht="14.75" customHeight="1">
      <c r="A1153" s="320" t="s">
        <v>541</v>
      </c>
      <c r="B1153" t="str">
        <f>+_xlfn.XLOOKUP(Tabla6[[#This Row],[ID CLIENTE]],'RESUMEN CLIENTES'!D:D,'RESUMEN CLIENTES'!A:A)</f>
        <v>Alejandra Goretti Figueroa Romo</v>
      </c>
      <c r="C1153" t="str">
        <f>+_xlfn.XLOOKUP(Tabla6[[#This Row],[ID CLIENTE]],'RESUMEN CLIENTES'!D:D,'RESUMEN CLIENTES'!C:C)</f>
        <v>México</v>
      </c>
      <c r="D1153" s="44" t="str">
        <f>+_xlfn.XLOOKUP(Tabla6[[#This Row],[ID CLIENTE]],'RESUMEN CLIENTES'!D:D,'RESUMEN CLIENTES'!M:M)</f>
        <v>OK</v>
      </c>
      <c r="E1153" s="72">
        <f>+_xlfn.XLOOKUP(Tabla6[[#This Row],[NOMBRE]],'RESUMEN CLIENTES'!A:A,'RESUMEN CLIENTES'!X:X)</f>
        <v>0.75</v>
      </c>
      <c r="F1153" s="72">
        <f>+_xlfn.XLOOKUP(Tabla6[[#This Row],[ID CLIENTE]],'RESUMEN CLIENTES'!D:D,'RESUMEN CLIENTES'!W:W)</f>
        <v>0</v>
      </c>
      <c r="G1153" s="17">
        <v>46111</v>
      </c>
      <c r="H1153" s="44" t="s">
        <v>81</v>
      </c>
      <c r="I1153" s="2">
        <v>1000</v>
      </c>
      <c r="J1153"/>
      <c r="K1153"/>
      <c r="L1153" s="44" t="str" cm="1">
        <f t="array" ref="L1153">+_xlfn.IFS(COUNTIF(INGRESOS!E:E,Tabla6[[#This Row],[ID FACTURA]])=1,"PAGADA",Tabla6[[#This Row],[ID FACTURA]]&lt;&gt;0,"EMITIDA",Tabla6[[#This Row],[ID FACTURA]]=0,"POR EMITIR")</f>
        <v>POR EMITIR</v>
      </c>
      <c r="M1153" s="55" t="str">
        <f>+IF(Tabla6[[#This Row],[ESTADO FACTURA]]="PAGADA",Tabla6[[#This Row],[FECHA]]-_xlfn.XLOOKUP(Tabla6[[#This Row],[N° FACTURA]],INGRESOS!F:F,INGRESOS!A:A),"-")</f>
        <v>-</v>
      </c>
      <c r="N1153" s="2"/>
      <c r="O1153"/>
    </row>
    <row r="1154" spans="1:15" ht="14.75" customHeight="1">
      <c r="A1154" s="320" t="s">
        <v>84</v>
      </c>
      <c r="B1154" t="str">
        <f>+_xlfn.XLOOKUP(Tabla6[[#This Row],[ID CLIENTE]],'RESUMEN CLIENTES'!D:D,'RESUMEN CLIENTES'!A:A)</f>
        <v>Andrea Corpeño López</v>
      </c>
      <c r="C1154" t="str">
        <f>+_xlfn.XLOOKUP(Tabla6[[#This Row],[ID CLIENTE]],'RESUMEN CLIENTES'!D:D,'RESUMEN CLIENTES'!C:C)</f>
        <v>El Salvador</v>
      </c>
      <c r="D1154" s="44" t="str">
        <f>+_xlfn.XLOOKUP(Tabla6[[#This Row],[ID CLIENTE]],'RESUMEN CLIENTES'!D:D,'RESUMEN CLIENTES'!M:M)</f>
        <v>OK</v>
      </c>
      <c r="E1154" s="72">
        <f>+_xlfn.XLOOKUP(Tabla6[[#This Row],[NOMBRE]],'RESUMEN CLIENTES'!A:A,'RESUMEN CLIENTES'!X:X)</f>
        <v>-0.81818181818181823</v>
      </c>
      <c r="F1154" s="72">
        <f>+_xlfn.XLOOKUP(Tabla6[[#This Row],[ID CLIENTE]],'RESUMEN CLIENTES'!D:D,'RESUMEN CLIENTES'!W:W)</f>
        <v>0</v>
      </c>
      <c r="G1154" s="17">
        <v>46111</v>
      </c>
      <c r="H1154" s="44" t="s">
        <v>81</v>
      </c>
      <c r="I1154" s="2">
        <v>400</v>
      </c>
      <c r="J1154"/>
      <c r="K1154"/>
      <c r="L1154" s="44" t="str" cm="1">
        <f t="array" ref="L1154">+_xlfn.IFS(COUNTIF(INGRESOS!E:E,Tabla6[[#This Row],[ID FACTURA]])=1,"PAGADA",Tabla6[[#This Row],[ID FACTURA]]&lt;&gt;0,"EMITIDA",Tabla6[[#This Row],[ID FACTURA]]=0,"POR EMITIR")</f>
        <v>POR EMITIR</v>
      </c>
      <c r="M1154" s="55" t="str">
        <f>+IF(Tabla6[[#This Row],[ESTADO FACTURA]]="PAGADA",Tabla6[[#This Row],[FECHA]]-_xlfn.XLOOKUP(Tabla6[[#This Row],[N° FACTURA]],INGRESOS!F:F,INGRESOS!A:A),"-")</f>
        <v>-</v>
      </c>
      <c r="N1154" s="2"/>
      <c r="O1154"/>
    </row>
    <row r="1155" spans="1:15" ht="14.75" customHeight="1">
      <c r="A1155" s="320" t="s">
        <v>226</v>
      </c>
      <c r="B1155" t="str">
        <f>+_xlfn.XLOOKUP(Tabla6[[#This Row],[ID CLIENTE]],'RESUMEN CLIENTES'!D:D,'RESUMEN CLIENTES'!A:A)</f>
        <v>Carlos Josue Escobar Morán</v>
      </c>
      <c r="C1155" t="str">
        <f>+_xlfn.XLOOKUP(Tabla6[[#This Row],[ID CLIENTE]],'RESUMEN CLIENTES'!D:D,'RESUMEN CLIENTES'!C:C)</f>
        <v>El Salvador</v>
      </c>
      <c r="D1155" s="44" t="str">
        <f>+_xlfn.XLOOKUP(Tabla6[[#This Row],[ID CLIENTE]],'RESUMEN CLIENTES'!D:D,'RESUMEN CLIENTES'!M:M)</f>
        <v>OK</v>
      </c>
      <c r="E1155" s="72">
        <f>+_xlfn.XLOOKUP(Tabla6[[#This Row],[NOMBRE]],'RESUMEN CLIENTES'!A:A,'RESUMEN CLIENTES'!X:X)</f>
        <v>0.8</v>
      </c>
      <c r="F1155" s="72">
        <f>+_xlfn.XLOOKUP(Tabla6[[#This Row],[ID CLIENTE]],'RESUMEN CLIENTES'!D:D,'RESUMEN CLIENTES'!W:W)</f>
        <v>0</v>
      </c>
      <c r="G1155" s="17">
        <v>46111</v>
      </c>
      <c r="H1155" s="44" t="s">
        <v>81</v>
      </c>
      <c r="I1155" s="2">
        <v>500</v>
      </c>
      <c r="J1155"/>
      <c r="K1155"/>
      <c r="L1155" s="44" t="str" cm="1">
        <f t="array" ref="L1155">+_xlfn.IFS(COUNTIF(INGRESOS!E:E,Tabla6[[#This Row],[ID FACTURA]])=1,"PAGADA",Tabla6[[#This Row],[ID FACTURA]]&lt;&gt;0,"EMITIDA",Tabla6[[#This Row],[ID FACTURA]]=0,"POR EMITIR")</f>
        <v>POR EMITIR</v>
      </c>
      <c r="M1155" s="55" t="str">
        <f>+IF(Tabla6[[#This Row],[ESTADO FACTURA]]="PAGADA",Tabla6[[#This Row],[FECHA]]-_xlfn.XLOOKUP(Tabla6[[#This Row],[N° FACTURA]],INGRESOS!F:F,INGRESOS!A:A),"-")</f>
        <v>-</v>
      </c>
      <c r="N1155" s="2"/>
      <c r="O1155"/>
    </row>
    <row r="1156" spans="1:15" ht="14.75" customHeight="1">
      <c r="A1156" s="320" t="s">
        <v>479</v>
      </c>
      <c r="B1156" t="str">
        <f>+_xlfn.XLOOKUP(Tabla6[[#This Row],[ID CLIENTE]],'RESUMEN CLIENTES'!D:D,'RESUMEN CLIENTES'!A:A)</f>
        <v>Carlos Mersaim Olivares Sandoval</v>
      </c>
      <c r="C1156" t="str">
        <f>+_xlfn.XLOOKUP(Tabla6[[#This Row],[ID CLIENTE]],'RESUMEN CLIENTES'!D:D,'RESUMEN CLIENTES'!C:C)</f>
        <v>México</v>
      </c>
      <c r="D1156" s="44" t="str">
        <f>+_xlfn.XLOOKUP(Tabla6[[#This Row],[ID CLIENTE]],'RESUMEN CLIENTES'!D:D,'RESUMEN CLIENTES'!M:M)</f>
        <v>OK</v>
      </c>
      <c r="E1156" s="72">
        <f>+_xlfn.XLOOKUP(Tabla6[[#This Row],[NOMBRE]],'RESUMEN CLIENTES'!A:A,'RESUMEN CLIENTES'!X:X)</f>
        <v>1.4444444444444444</v>
      </c>
      <c r="F1156" s="72">
        <f>+_xlfn.XLOOKUP(Tabla6[[#This Row],[ID CLIENTE]],'RESUMEN CLIENTES'!D:D,'RESUMEN CLIENTES'!W:W)</f>
        <v>0</v>
      </c>
      <c r="G1156" s="17">
        <v>46111</v>
      </c>
      <c r="H1156" s="44" t="s">
        <v>81</v>
      </c>
      <c r="I1156" s="2">
        <v>1000</v>
      </c>
      <c r="J1156"/>
      <c r="K1156"/>
      <c r="L1156" s="44" t="str" cm="1">
        <f t="array" ref="L1156">+_xlfn.IFS(COUNTIF(INGRESOS!E:E,Tabla6[[#This Row],[ID FACTURA]])=1,"PAGADA",Tabla6[[#This Row],[ID FACTURA]]&lt;&gt;0,"EMITIDA",Tabla6[[#This Row],[ID FACTURA]]=0,"POR EMITIR")</f>
        <v>POR EMITIR</v>
      </c>
      <c r="M1156" s="55" t="str">
        <f>+IF(Tabla6[[#This Row],[ESTADO FACTURA]]="PAGADA",Tabla6[[#This Row],[FECHA]]-_xlfn.XLOOKUP(Tabla6[[#This Row],[N° FACTURA]],INGRESOS!F:F,INGRESOS!A:A),"-")</f>
        <v>-</v>
      </c>
      <c r="N1156" s="2"/>
      <c r="O1156"/>
    </row>
    <row r="1157" spans="1:15" ht="14.75" customHeight="1">
      <c r="A1157" s="320" t="s">
        <v>385</v>
      </c>
      <c r="B1157" t="str">
        <f>+_xlfn.XLOOKUP(Tabla6[[#This Row],[ID CLIENTE]],'RESUMEN CLIENTES'!D:D,'RESUMEN CLIENTES'!A:A)</f>
        <v>Ellen Cristina Gerónimo Bonilla</v>
      </c>
      <c r="C1157" t="str">
        <f>+_xlfn.XLOOKUP(Tabla6[[#This Row],[ID CLIENTE]],'RESUMEN CLIENTES'!D:D,'RESUMEN CLIENTES'!C:C)</f>
        <v>República Dominicana</v>
      </c>
      <c r="D1157" s="44" t="str">
        <f>+_xlfn.XLOOKUP(Tabla6[[#This Row],[ID CLIENTE]],'RESUMEN CLIENTES'!D:D,'RESUMEN CLIENTES'!M:M)</f>
        <v>OK</v>
      </c>
      <c r="E1157" s="72">
        <f>+_xlfn.XLOOKUP(Tabla6[[#This Row],[NOMBRE]],'RESUMEN CLIENTES'!A:A,'RESUMEN CLIENTES'!X:X)</f>
        <v>1.5555555555555556</v>
      </c>
      <c r="F1157" s="72">
        <f>+_xlfn.XLOOKUP(Tabla6[[#This Row],[ID CLIENTE]],'RESUMEN CLIENTES'!D:D,'RESUMEN CLIENTES'!W:W)</f>
        <v>1</v>
      </c>
      <c r="G1157" s="17">
        <v>46111</v>
      </c>
      <c r="H1157" s="44" t="s">
        <v>81</v>
      </c>
      <c r="I1157" s="2">
        <v>600</v>
      </c>
      <c r="J1157"/>
      <c r="K1157"/>
      <c r="L1157" s="44" t="str" cm="1">
        <f t="array" ref="L1157">+_xlfn.IFS(COUNTIF(INGRESOS!E:E,Tabla6[[#This Row],[ID FACTURA]])=1,"PAGADA",Tabla6[[#This Row],[ID FACTURA]]&lt;&gt;0,"EMITIDA",Tabla6[[#This Row],[ID FACTURA]]=0,"POR EMITIR")</f>
        <v>POR EMITIR</v>
      </c>
      <c r="M1157" s="55" t="str">
        <f>+IF(Tabla6[[#This Row],[ESTADO FACTURA]]="PAGADA",Tabla6[[#This Row],[FECHA]]-_xlfn.XLOOKUP(Tabla6[[#This Row],[N° FACTURA]],INGRESOS!F:F,INGRESOS!A:A),"-")</f>
        <v>-</v>
      </c>
      <c r="N1157" s="2"/>
      <c r="O1157"/>
    </row>
    <row r="1158" spans="1:15" ht="14.75" customHeight="1">
      <c r="A1158" s="320" t="s">
        <v>1761</v>
      </c>
      <c r="B1158" t="str">
        <f>+_xlfn.XLOOKUP(Tabla6[[#This Row],[ID CLIENTE]],'RESUMEN CLIENTES'!D:D,'RESUMEN CLIENTES'!A:A)</f>
        <v>Francisco Salas Barrera</v>
      </c>
      <c r="C1158" t="str">
        <f>+_xlfn.XLOOKUP(Tabla6[[#This Row],[ID CLIENTE]],'RESUMEN CLIENTES'!D:D,'RESUMEN CLIENTES'!C:C)</f>
        <v>México</v>
      </c>
      <c r="D1158" s="169" t="str">
        <f>+_xlfn.XLOOKUP(Tabla6[[#This Row],[ID CLIENTE]],'RESUMEN CLIENTES'!D:D,'RESUMEN CLIENTES'!M:M)</f>
        <v>OK</v>
      </c>
      <c r="E1158" s="71">
        <f>+_xlfn.XLOOKUP(Tabla6[[#This Row],[NOMBRE]],'RESUMEN CLIENTES'!A:A,'RESUMEN CLIENTES'!X:X)</f>
        <v>-0.75</v>
      </c>
      <c r="F1158" s="71">
        <f>+_xlfn.XLOOKUP(Tabla6[[#This Row],[ID CLIENTE]],'RESUMEN CLIENTES'!D:D,'RESUMEN CLIENTES'!W:W)</f>
        <v>0</v>
      </c>
      <c r="G1158" s="17">
        <v>46111</v>
      </c>
      <c r="H1158" s="169" t="s">
        <v>81</v>
      </c>
      <c r="I1158" s="2">
        <v>1000</v>
      </c>
      <c r="J1158"/>
      <c r="K1158"/>
      <c r="L1158" s="44" t="str" cm="1">
        <f t="array" ref="L1158">+_xlfn.IFS(COUNTIF(INGRESOS!E:E,Tabla6[[#This Row],[ID FACTURA]])=1,"PAGADA",Tabla6[[#This Row],[ID FACTURA]]&lt;&gt;0,"EMITIDA",Tabla6[[#This Row],[ID FACTURA]]=0,"POR EMITIR")</f>
        <v>POR EMITIR</v>
      </c>
      <c r="M1158" s="55" t="str">
        <f>+IF(Tabla6[[#This Row],[ESTADO FACTURA]]="PAGADA",Tabla6[[#This Row],[FECHA]]-_xlfn.XLOOKUP(Tabla6[[#This Row],[N° FACTURA]],INGRESOS!F:F,INGRESOS!A:A),"-")</f>
        <v>-</v>
      </c>
      <c r="O1158"/>
    </row>
    <row r="1159" spans="1:15" ht="14.75" customHeight="1">
      <c r="A1159" s="320" t="s">
        <v>739</v>
      </c>
      <c r="B1159" t="str">
        <f>+_xlfn.XLOOKUP(Tabla6[[#This Row],[ID CLIENTE]],'RESUMEN CLIENTES'!D:D,'RESUMEN CLIENTES'!A:A)</f>
        <v>Gilberto Martiñon Torres</v>
      </c>
      <c r="C1159" t="str">
        <f>+_xlfn.XLOOKUP(Tabla6[[#This Row],[ID CLIENTE]],'RESUMEN CLIENTES'!D:D,'RESUMEN CLIENTES'!C:C)</f>
        <v>México</v>
      </c>
      <c r="D1159" s="44" t="str">
        <f>+_xlfn.XLOOKUP(Tabla6[[#This Row],[ID CLIENTE]],'RESUMEN CLIENTES'!D:D,'RESUMEN CLIENTES'!M:M)</f>
        <v>OK</v>
      </c>
      <c r="E1159" s="72">
        <f>+_xlfn.XLOOKUP(Tabla6[[#This Row],[NOMBRE]],'RESUMEN CLIENTES'!A:A,'RESUMEN CLIENTES'!X:X)</f>
        <v>-0.625</v>
      </c>
      <c r="F1159" s="72">
        <f>+_xlfn.XLOOKUP(Tabla6[[#This Row],[ID CLIENTE]],'RESUMEN CLIENTES'!D:D,'RESUMEN CLIENTES'!W:W)</f>
        <v>0</v>
      </c>
      <c r="G1159" s="17">
        <v>46111</v>
      </c>
      <c r="H1159" s="44" t="s">
        <v>81</v>
      </c>
      <c r="I1159" s="2">
        <v>700</v>
      </c>
      <c r="J1159"/>
      <c r="K1159"/>
      <c r="L1159" s="44" t="str" cm="1">
        <f t="array" ref="L1159">+_xlfn.IFS(COUNTIF(INGRESOS!E:E,Tabla6[[#This Row],[ID FACTURA]])=1,"PAGADA",Tabla6[[#This Row],[ID FACTURA]]&lt;&gt;0,"EMITIDA",Tabla6[[#This Row],[ID FACTURA]]=0,"POR EMITIR")</f>
        <v>POR EMITIR</v>
      </c>
      <c r="M1159" s="55" t="str">
        <f>+IF(Tabla6[[#This Row],[ESTADO FACTURA]]="PAGADA",Tabla6[[#This Row],[FECHA]]-_xlfn.XLOOKUP(Tabla6[[#This Row],[N° FACTURA]],INGRESOS!F:F,INGRESOS!A:A),"-")</f>
        <v>-</v>
      </c>
      <c r="N1159" s="2"/>
      <c r="O1159"/>
    </row>
    <row r="1160" spans="1:15" ht="14.75" customHeight="1">
      <c r="A1160" s="320" t="s">
        <v>106</v>
      </c>
      <c r="B1160" t="str">
        <f>+_xlfn.XLOOKUP(Tabla6[[#This Row],[ID CLIENTE]],'RESUMEN CLIENTES'!D:D,'RESUMEN CLIENTES'!A:A)</f>
        <v>Hector Armando Daza Mejia</v>
      </c>
      <c r="C1160" t="str">
        <f>+_xlfn.XLOOKUP(Tabla6[[#This Row],[ID CLIENTE]],'RESUMEN CLIENTES'!D:D,'RESUMEN CLIENTES'!C:C)</f>
        <v>Colombia</v>
      </c>
      <c r="D1160" s="44" t="str">
        <f>+_xlfn.XLOOKUP(Tabla6[[#This Row],[ID CLIENTE]],'RESUMEN CLIENTES'!D:D,'RESUMEN CLIENTES'!M:M)</f>
        <v>OK</v>
      </c>
      <c r="E1160" s="72">
        <f>+_xlfn.XLOOKUP(Tabla6[[#This Row],[NOMBRE]],'RESUMEN CLIENTES'!A:A,'RESUMEN CLIENTES'!X:X)</f>
        <v>1.1111111111111112</v>
      </c>
      <c r="F1160" s="72">
        <f>+_xlfn.XLOOKUP(Tabla6[[#This Row],[ID CLIENTE]],'RESUMEN CLIENTES'!D:D,'RESUMEN CLIENTES'!W:W)</f>
        <v>0</v>
      </c>
      <c r="G1160" s="17">
        <v>46111</v>
      </c>
      <c r="H1160" s="44" t="s">
        <v>81</v>
      </c>
      <c r="I1160" s="2">
        <v>1500</v>
      </c>
      <c r="J1160"/>
      <c r="K1160"/>
      <c r="L1160" s="44" t="str" cm="1">
        <f t="array" ref="L1160">+_xlfn.IFS(COUNTIF(INGRESOS!E:E,Tabla6[[#This Row],[ID FACTURA]])=1,"PAGADA",Tabla6[[#This Row],[ID FACTURA]]&lt;&gt;0,"EMITIDA",Tabla6[[#This Row],[ID FACTURA]]=0,"POR EMITIR")</f>
        <v>POR EMITIR</v>
      </c>
      <c r="M1160" s="55" t="str">
        <f>+IF(Tabla6[[#This Row],[ESTADO FACTURA]]="PAGADA",Tabla6[[#This Row],[FECHA]]-_xlfn.XLOOKUP(Tabla6[[#This Row],[N° FACTURA]],INGRESOS!F:F,INGRESOS!A:A),"-")</f>
        <v>-</v>
      </c>
      <c r="N1160" s="2"/>
      <c r="O1160"/>
    </row>
    <row r="1161" spans="1:15" ht="14.75" customHeight="1">
      <c r="A1161" s="320" t="s">
        <v>139</v>
      </c>
      <c r="B1161" t="str">
        <f>+_xlfn.XLOOKUP(Tabla6[[#This Row],[ID CLIENTE]],'RESUMEN CLIENTES'!D:D,'RESUMEN CLIENTES'!A:A)</f>
        <v>Hugo Nicolás Trávez Morales</v>
      </c>
      <c r="C1161" t="str">
        <f>+_xlfn.XLOOKUP(Tabla6[[#This Row],[ID CLIENTE]],'RESUMEN CLIENTES'!D:D,'RESUMEN CLIENTES'!C:C)</f>
        <v>Ecuador</v>
      </c>
      <c r="D1161" s="169" t="str">
        <f>+_xlfn.XLOOKUP(Tabla6[[#This Row],[ID CLIENTE]],'RESUMEN CLIENTES'!D:D,'RESUMEN CLIENTES'!M:M)</f>
        <v>OK</v>
      </c>
      <c r="E1161" s="71">
        <f>+_xlfn.XLOOKUP(Tabla6[[#This Row],[NOMBRE]],'RESUMEN CLIENTES'!A:A,'RESUMEN CLIENTES'!X:X)</f>
        <v>0</v>
      </c>
      <c r="F1161" s="71">
        <f>+_xlfn.XLOOKUP(Tabla6[[#This Row],[ID CLIENTE]],'RESUMEN CLIENTES'!D:D,'RESUMEN CLIENTES'!W:W)</f>
        <v>0</v>
      </c>
      <c r="G1161" s="17">
        <v>46111</v>
      </c>
      <c r="H1161" s="44" t="s">
        <v>81</v>
      </c>
      <c r="I1161" s="2">
        <v>500</v>
      </c>
      <c r="J1161"/>
      <c r="K1161"/>
      <c r="L1161" s="44" t="str" cm="1">
        <f t="array" ref="L1161">+_xlfn.IFS(COUNTIF(INGRESOS!E:E,Tabla6[[#This Row],[ID FACTURA]])=1,"PAGADA",Tabla6[[#This Row],[ID FACTURA]]&lt;&gt;0,"EMITIDA",Tabla6[[#This Row],[ID FACTURA]]=0,"POR EMITIR")</f>
        <v>POR EMITIR</v>
      </c>
      <c r="M1161" s="54" t="str">
        <f>+IF(Tabla6[[#This Row],[ESTADO FACTURA]]="PAGADA",Tabla6[[#This Row],[FECHA]]-_xlfn.XLOOKUP(Tabla6[[#This Row],[N° FACTURA]],INGRESOS!F:F,INGRESOS!A:A),"-")</f>
        <v>-</v>
      </c>
      <c r="O1161"/>
    </row>
    <row r="1162" spans="1:15" ht="14.75" customHeight="1">
      <c r="A1162" s="320" t="s">
        <v>266</v>
      </c>
      <c r="B1162" t="str">
        <f>+_xlfn.XLOOKUP(Tabla6[[#This Row],[ID CLIENTE]],'RESUMEN CLIENTES'!D:D,'RESUMEN CLIENTES'!A:A)</f>
        <v>Juan Camilo Sanchez Ramirez</v>
      </c>
      <c r="C1162" t="str">
        <f>+_xlfn.XLOOKUP(Tabla6[[#This Row],[ID CLIENTE]],'RESUMEN CLIENTES'!D:D,'RESUMEN CLIENTES'!C:C)</f>
        <v>Colombia</v>
      </c>
      <c r="D1162" s="44" t="str">
        <f>+_xlfn.XLOOKUP(Tabla6[[#This Row],[ID CLIENTE]],'RESUMEN CLIENTES'!D:D,'RESUMEN CLIENTES'!M:M)</f>
        <v>OK</v>
      </c>
      <c r="E1162" s="72">
        <f>+_xlfn.XLOOKUP(Tabla6[[#This Row],[NOMBRE]],'RESUMEN CLIENTES'!A:A,'RESUMEN CLIENTES'!X:X)</f>
        <v>0.2</v>
      </c>
      <c r="F1162" s="72">
        <f>+_xlfn.XLOOKUP(Tabla6[[#This Row],[ID CLIENTE]],'RESUMEN CLIENTES'!D:D,'RESUMEN CLIENTES'!W:W)</f>
        <v>0</v>
      </c>
      <c r="G1162" s="17">
        <v>46111</v>
      </c>
      <c r="H1162" s="44" t="s">
        <v>81</v>
      </c>
      <c r="I1162" s="2">
        <v>1000</v>
      </c>
      <c r="J1162"/>
      <c r="K1162"/>
      <c r="L1162" s="44" t="str" cm="1">
        <f t="array" ref="L1162">+_xlfn.IFS(COUNTIF(INGRESOS!E:E,Tabla6[[#This Row],[ID FACTURA]])=1,"PAGADA",Tabla6[[#This Row],[ID FACTURA]]&lt;&gt;0,"EMITIDA",Tabla6[[#This Row],[ID FACTURA]]=0,"POR EMITIR")</f>
        <v>POR EMITIR</v>
      </c>
      <c r="M1162" s="55" t="str">
        <f>+IF(Tabla6[[#This Row],[ESTADO FACTURA]]="PAGADA",Tabla6[[#This Row],[FECHA]]-_xlfn.XLOOKUP(Tabla6[[#This Row],[N° FACTURA]],INGRESOS!F:F,INGRESOS!A:A),"-")</f>
        <v>-</v>
      </c>
      <c r="N1162" s="2"/>
      <c r="O1162"/>
    </row>
    <row r="1163" spans="1:15" ht="14.75" customHeight="1">
      <c r="A1163" s="320" t="s">
        <v>441</v>
      </c>
      <c r="B1163" t="str">
        <f>+_xlfn.XLOOKUP(Tabla6[[#This Row],[ID CLIENTE]],'RESUMEN CLIENTES'!D:D,'RESUMEN CLIENTES'!A:A)</f>
        <v>Luis Manuel Villanueva Contreras</v>
      </c>
      <c r="C1163" t="str">
        <f>+_xlfn.XLOOKUP(Tabla6[[#This Row],[ID CLIENTE]],'RESUMEN CLIENTES'!D:D,'RESUMEN CLIENTES'!C:C)</f>
        <v>México</v>
      </c>
      <c r="D1163" s="44" t="str">
        <f>+_xlfn.XLOOKUP(Tabla6[[#This Row],[ID CLIENTE]],'RESUMEN CLIENTES'!D:D,'RESUMEN CLIENTES'!M:M)</f>
        <v>OK</v>
      </c>
      <c r="E1163" s="72">
        <f>+_xlfn.XLOOKUP(Tabla6[[#This Row],[NOMBRE]],'RESUMEN CLIENTES'!A:A,'RESUMEN CLIENTES'!X:X)</f>
        <v>0.55555555555555558</v>
      </c>
      <c r="F1163" s="72">
        <f>+_xlfn.XLOOKUP(Tabla6[[#This Row],[ID CLIENTE]],'RESUMEN CLIENTES'!D:D,'RESUMEN CLIENTES'!W:W)</f>
        <v>0</v>
      </c>
      <c r="G1163" s="17">
        <v>46111</v>
      </c>
      <c r="H1163" s="44" t="s">
        <v>81</v>
      </c>
      <c r="I1163" s="2">
        <v>1000</v>
      </c>
      <c r="J1163"/>
      <c r="K1163"/>
      <c r="L1163" s="44" t="str" cm="1">
        <f t="array" ref="L1163">+_xlfn.IFS(COUNTIF(INGRESOS!E:E,Tabla6[[#This Row],[ID FACTURA]])=1,"PAGADA",Tabla6[[#This Row],[ID FACTURA]]&lt;&gt;0,"EMITIDA",Tabla6[[#This Row],[ID FACTURA]]=0,"POR EMITIR")</f>
        <v>POR EMITIR</v>
      </c>
      <c r="M1163" s="55" t="str">
        <f>+IF(Tabla6[[#This Row],[ESTADO FACTURA]]="PAGADA",Tabla6[[#This Row],[FECHA]]-_xlfn.XLOOKUP(Tabla6[[#This Row],[N° FACTURA]],INGRESOS!F:F,INGRESOS!A:A),"-")</f>
        <v>-</v>
      </c>
      <c r="N1163" s="2"/>
      <c r="O1163"/>
    </row>
    <row r="1164" spans="1:15" ht="14.75" customHeight="1">
      <c r="A1164" s="320" t="s">
        <v>590</v>
      </c>
      <c r="B1164" t="str">
        <f>+_xlfn.XLOOKUP(Tabla6[[#This Row],[ID CLIENTE]],'RESUMEN CLIENTES'!D:D,'RESUMEN CLIENTES'!A:A)</f>
        <v>María Lucero de Jesús Barrios Sazo</v>
      </c>
      <c r="C1164" t="str">
        <f>+_xlfn.XLOOKUP(Tabla6[[#This Row],[ID CLIENTE]],'RESUMEN CLIENTES'!D:D,'RESUMEN CLIENTES'!C:C)</f>
        <v>Guatemala</v>
      </c>
      <c r="D1164" s="44" t="str">
        <f>+_xlfn.XLOOKUP(Tabla6[[#This Row],[ID CLIENTE]],'RESUMEN CLIENTES'!D:D,'RESUMEN CLIENTES'!M:M)</f>
        <v>OK</v>
      </c>
      <c r="E1164" s="72">
        <f>+_xlfn.XLOOKUP(Tabla6[[#This Row],[NOMBRE]],'RESUMEN CLIENTES'!A:A,'RESUMEN CLIENTES'!X:X)</f>
        <v>1.25</v>
      </c>
      <c r="F1164" s="72">
        <f>+_xlfn.XLOOKUP(Tabla6[[#This Row],[ID CLIENTE]],'RESUMEN CLIENTES'!D:D,'RESUMEN CLIENTES'!W:W)</f>
        <v>0</v>
      </c>
      <c r="G1164" s="17">
        <v>46111</v>
      </c>
      <c r="H1164" s="44" t="s">
        <v>81</v>
      </c>
      <c r="I1164" s="2">
        <v>700</v>
      </c>
      <c r="J1164"/>
      <c r="K1164"/>
      <c r="L1164" s="44" t="str" cm="1">
        <f t="array" ref="L1164">+_xlfn.IFS(COUNTIF(INGRESOS!E:E,Tabla6[[#This Row],[ID FACTURA]])=1,"PAGADA",Tabla6[[#This Row],[ID FACTURA]]&lt;&gt;0,"EMITIDA",Tabla6[[#This Row],[ID FACTURA]]=0,"POR EMITIR")</f>
        <v>POR EMITIR</v>
      </c>
      <c r="M1164" s="55" t="str">
        <f>+IF(Tabla6[[#This Row],[ESTADO FACTURA]]="PAGADA",Tabla6[[#This Row],[FECHA]]-_xlfn.XLOOKUP(Tabla6[[#This Row],[N° FACTURA]],INGRESOS!F:F,INGRESOS!A:A),"-")</f>
        <v>-</v>
      </c>
      <c r="N1164" s="2"/>
      <c r="O1164"/>
    </row>
    <row r="1165" spans="1:15" ht="14.75" customHeight="1">
      <c r="A1165" s="320" t="s">
        <v>1201</v>
      </c>
      <c r="B1165" t="str">
        <f>+_xlfn.XLOOKUP(Tabla6[[#This Row],[ID CLIENTE]],'RESUMEN CLIENTES'!D:D,'RESUMEN CLIENTES'!A:A)</f>
        <v>María Soledad Tituana Asanza</v>
      </c>
      <c r="C1165" t="str">
        <f>+_xlfn.XLOOKUP(Tabla6[[#This Row],[ID CLIENTE]],'RESUMEN CLIENTES'!D:D,'RESUMEN CLIENTES'!C:C)</f>
        <v>Ecuador</v>
      </c>
      <c r="D1165" s="44" t="str">
        <f>+_xlfn.XLOOKUP(Tabla6[[#This Row],[ID CLIENTE]],'RESUMEN CLIENTES'!D:D,'RESUMEN CLIENTES'!M:M)</f>
        <v>OK</v>
      </c>
      <c r="E1165" s="72">
        <f>+_xlfn.XLOOKUP(Tabla6[[#This Row],[NOMBRE]],'RESUMEN CLIENTES'!A:A,'RESUMEN CLIENTES'!X:X)</f>
        <v>-0.16666666666666666</v>
      </c>
      <c r="F1165" s="72">
        <f>+_xlfn.XLOOKUP(Tabla6[[#This Row],[ID CLIENTE]],'RESUMEN CLIENTES'!D:D,'RESUMEN CLIENTES'!W:W)</f>
        <v>0</v>
      </c>
      <c r="G1165" s="17">
        <v>46111</v>
      </c>
      <c r="H1165" s="44" t="s">
        <v>81</v>
      </c>
      <c r="I1165" s="2">
        <v>1000</v>
      </c>
      <c r="J1165"/>
      <c r="K1165"/>
      <c r="L1165" s="44" t="str" cm="1">
        <f t="array" ref="L1165">+_xlfn.IFS(COUNTIF(INGRESOS!E:E,Tabla6[[#This Row],[ID FACTURA]])=1,"PAGADA",Tabla6[[#This Row],[ID FACTURA]]&lt;&gt;0,"EMITIDA",Tabla6[[#This Row],[ID FACTURA]]=0,"POR EMITIR")</f>
        <v>POR EMITIR</v>
      </c>
      <c r="M1165" s="55" t="str">
        <f>+IF(Tabla6[[#This Row],[ESTADO FACTURA]]="PAGADA",Tabla6[[#This Row],[FECHA]]-_xlfn.XLOOKUP(Tabla6[[#This Row],[N° FACTURA]],INGRESOS!F:F,INGRESOS!A:A),"-")</f>
        <v>-</v>
      </c>
      <c r="N1165" s="2"/>
      <c r="O1165"/>
    </row>
    <row r="1166" spans="1:15" ht="14.75" customHeight="1">
      <c r="A1166" s="320" t="s">
        <v>314</v>
      </c>
      <c r="B1166" t="str">
        <f>+_xlfn.XLOOKUP(Tabla6[[#This Row],[ID CLIENTE]],'RESUMEN CLIENTES'!D:D,'RESUMEN CLIENTES'!A:A)</f>
        <v>Miguel Angel Sisalima Shiña</v>
      </c>
      <c r="C1166" t="str">
        <f>+_xlfn.XLOOKUP(Tabla6[[#This Row],[ID CLIENTE]],'RESUMEN CLIENTES'!D:D,'RESUMEN CLIENTES'!C:C)</f>
        <v>Ecuador</v>
      </c>
      <c r="D1166" s="44" t="str">
        <f>+_xlfn.XLOOKUP(Tabla6[[#This Row],[ID CLIENTE]],'RESUMEN CLIENTES'!D:D,'RESUMEN CLIENTES'!M:M)</f>
        <v>OK</v>
      </c>
      <c r="E1166" s="72">
        <f>+_xlfn.XLOOKUP(Tabla6[[#This Row],[NOMBRE]],'RESUMEN CLIENTES'!A:A,'RESUMEN CLIENTES'!X:X)</f>
        <v>0.6</v>
      </c>
      <c r="F1166" s="72">
        <f>+_xlfn.XLOOKUP(Tabla6[[#This Row],[ID CLIENTE]],'RESUMEN CLIENTES'!D:D,'RESUMEN CLIENTES'!W:W)</f>
        <v>0</v>
      </c>
      <c r="G1166" s="17">
        <v>46111</v>
      </c>
      <c r="H1166" s="44" t="s">
        <v>81</v>
      </c>
      <c r="I1166" s="2">
        <v>1000</v>
      </c>
      <c r="J1166"/>
      <c r="K1166"/>
      <c r="L1166" s="44" t="str" cm="1">
        <f t="array" ref="L1166">+_xlfn.IFS(COUNTIF(INGRESOS!E:E,Tabla6[[#This Row],[ID FACTURA]])=1,"PAGADA",Tabla6[[#This Row],[ID FACTURA]]&lt;&gt;0,"EMITIDA",Tabla6[[#This Row],[ID FACTURA]]=0,"POR EMITIR")</f>
        <v>POR EMITIR</v>
      </c>
      <c r="M1166" s="55" t="str">
        <f>+IF(Tabla6[[#This Row],[ESTADO FACTURA]]="PAGADA",Tabla6[[#This Row],[FECHA]]-_xlfn.XLOOKUP(Tabla6[[#This Row],[N° FACTURA]],INGRESOS!F:F,INGRESOS!A:A),"-")</f>
        <v>-</v>
      </c>
      <c r="N1166" s="2"/>
      <c r="O1166"/>
    </row>
    <row r="1167" spans="1:15" ht="14.75" customHeight="1">
      <c r="A1167" s="320" t="s">
        <v>229</v>
      </c>
      <c r="B1167" t="str">
        <f>+_xlfn.XLOOKUP(Tabla6[[#This Row],[ID CLIENTE]],'RESUMEN CLIENTES'!D:D,'RESUMEN CLIENTES'!A:A)</f>
        <v>Nathaly Gabriela Henríquez Masín</v>
      </c>
      <c r="C1167" t="str">
        <f>+_xlfn.XLOOKUP(Tabla6[[#This Row],[ID CLIENTE]],'RESUMEN CLIENTES'!D:D,'RESUMEN CLIENTES'!C:C)</f>
        <v>El Salvador</v>
      </c>
      <c r="D1167" s="44" t="str">
        <f>+_xlfn.XLOOKUP(Tabla6[[#This Row],[ID CLIENTE]],'RESUMEN CLIENTES'!D:D,'RESUMEN CLIENTES'!M:M)</f>
        <v>OK</v>
      </c>
      <c r="E1167" s="72">
        <f>+_xlfn.XLOOKUP(Tabla6[[#This Row],[NOMBRE]],'RESUMEN CLIENTES'!A:A,'RESUMEN CLIENTES'!X:X)</f>
        <v>0.7</v>
      </c>
      <c r="F1167" s="72">
        <f>+_xlfn.XLOOKUP(Tabla6[[#This Row],[ID CLIENTE]],'RESUMEN CLIENTES'!D:D,'RESUMEN CLIENTES'!W:W)</f>
        <v>0</v>
      </c>
      <c r="G1167" s="17">
        <v>46111</v>
      </c>
      <c r="H1167" s="44" t="s">
        <v>81</v>
      </c>
      <c r="I1167" s="2">
        <v>500</v>
      </c>
      <c r="J1167"/>
      <c r="K1167"/>
      <c r="L1167" s="44" t="str" cm="1">
        <f t="array" ref="L1167">+_xlfn.IFS(COUNTIF(INGRESOS!E:E,Tabla6[[#This Row],[ID FACTURA]])=1,"PAGADA",Tabla6[[#This Row],[ID FACTURA]]&lt;&gt;0,"EMITIDA",Tabla6[[#This Row],[ID FACTURA]]=0,"POR EMITIR")</f>
        <v>POR EMITIR</v>
      </c>
      <c r="M1167" s="55" t="str">
        <f>+IF(Tabla6[[#This Row],[ESTADO FACTURA]]="PAGADA",Tabla6[[#This Row],[FECHA]]-_xlfn.XLOOKUP(Tabla6[[#This Row],[N° FACTURA]],INGRESOS!F:F,INGRESOS!A:A),"-")</f>
        <v>-</v>
      </c>
      <c r="N1167" s="2"/>
      <c r="O1167"/>
    </row>
    <row r="1168" spans="1:15" ht="14.75" customHeight="1">
      <c r="A1168" s="320" t="s">
        <v>350</v>
      </c>
      <c r="B1168" t="str">
        <f>+_xlfn.XLOOKUP(Tabla6[[#This Row],[ID CLIENTE]],'RESUMEN CLIENTES'!D:D,'RESUMEN CLIENTES'!A:A)</f>
        <v>Rainier Guerrero</v>
      </c>
      <c r="C1168" t="str">
        <f>+_xlfn.XLOOKUP(Tabla6[[#This Row],[ID CLIENTE]],'RESUMEN CLIENTES'!D:D,'RESUMEN CLIENTES'!C:C)</f>
        <v>México</v>
      </c>
      <c r="D1168" s="44" t="str">
        <f>+_xlfn.XLOOKUP(Tabla6[[#This Row],[ID CLIENTE]],'RESUMEN CLIENTES'!D:D,'RESUMEN CLIENTES'!M:M)</f>
        <v>OK</v>
      </c>
      <c r="E1168" s="72">
        <f>+_xlfn.XLOOKUP(Tabla6[[#This Row],[NOMBRE]],'RESUMEN CLIENTES'!A:A,'RESUMEN CLIENTES'!X:X)</f>
        <v>-0.3</v>
      </c>
      <c r="F1168" s="72">
        <f>+_xlfn.XLOOKUP(Tabla6[[#This Row],[ID CLIENTE]],'RESUMEN CLIENTES'!D:D,'RESUMEN CLIENTES'!W:W)</f>
        <v>1</v>
      </c>
      <c r="G1168" s="17">
        <v>46111</v>
      </c>
      <c r="H1168" s="44" t="s">
        <v>81</v>
      </c>
      <c r="I1168" s="2">
        <v>1000</v>
      </c>
      <c r="J1168"/>
      <c r="K1168"/>
      <c r="L1168" s="44" t="str" cm="1">
        <f t="array" ref="L1168">+_xlfn.IFS(COUNTIF(INGRESOS!E:E,Tabla6[[#This Row],[ID FACTURA]])=1,"PAGADA",Tabla6[[#This Row],[ID FACTURA]]&lt;&gt;0,"EMITIDA",Tabla6[[#This Row],[ID FACTURA]]=0,"POR EMITIR")</f>
        <v>POR EMITIR</v>
      </c>
      <c r="M1168" s="55" t="str">
        <f>+IF(Tabla6[[#This Row],[ESTADO FACTURA]]="PAGADA",Tabla6[[#This Row],[FECHA]]-_xlfn.XLOOKUP(Tabla6[[#This Row],[N° FACTURA]],INGRESOS!F:F,INGRESOS!A:A),"-")</f>
        <v>-</v>
      </c>
      <c r="N1168" s="2"/>
      <c r="O1168"/>
    </row>
    <row r="1169" spans="1:15" ht="14.75" customHeight="1">
      <c r="A1169" s="320" t="s">
        <v>527</v>
      </c>
      <c r="B1169" t="str">
        <f>+_xlfn.XLOOKUP(Tabla6[[#This Row],[ID CLIENTE]],'RESUMEN CLIENTES'!D:D,'RESUMEN CLIENTES'!A:A)</f>
        <v>Angie Pérez Cáceres</v>
      </c>
      <c r="C1169" t="str">
        <f>+_xlfn.XLOOKUP(Tabla6[[#This Row],[ID CLIENTE]],'RESUMEN CLIENTES'!D:D,'RESUMEN CLIENTES'!C:C)</f>
        <v>Perú</v>
      </c>
      <c r="D1169" s="44" t="str">
        <f>+_xlfn.XLOOKUP(Tabla6[[#This Row],[ID CLIENTE]],'RESUMEN CLIENTES'!D:D,'RESUMEN CLIENTES'!M:M)</f>
        <v>OK</v>
      </c>
      <c r="E1169" s="72">
        <f>+_xlfn.XLOOKUP(Tabla6[[#This Row],[NOMBRE]],'RESUMEN CLIENTES'!A:A,'RESUMEN CLIENTES'!X:X)</f>
        <v>1.625</v>
      </c>
      <c r="F1169" s="72">
        <f>+_xlfn.XLOOKUP(Tabla6[[#This Row],[ID CLIENTE]],'RESUMEN CLIENTES'!D:D,'RESUMEN CLIENTES'!W:W)</f>
        <v>0</v>
      </c>
      <c r="G1169" s="17">
        <v>46112</v>
      </c>
      <c r="H1169" s="44" t="s">
        <v>81</v>
      </c>
      <c r="I1169" s="2">
        <v>1000</v>
      </c>
      <c r="J1169"/>
      <c r="K1169"/>
      <c r="L1169" s="44" t="str" cm="1">
        <f t="array" ref="L1169">+_xlfn.IFS(COUNTIF(INGRESOS!E:E,Tabla6[[#This Row],[ID FACTURA]])=1,"PAGADA",Tabla6[[#This Row],[ID FACTURA]]&lt;&gt;0,"EMITIDA",Tabla6[[#This Row],[ID FACTURA]]=0,"POR EMITIR")</f>
        <v>POR EMITIR</v>
      </c>
      <c r="M1169" s="55" t="str">
        <f>+IF(Tabla6[[#This Row],[ESTADO FACTURA]]="PAGADA",Tabla6[[#This Row],[FECHA]]-_xlfn.XLOOKUP(Tabla6[[#This Row],[N° FACTURA]],INGRESOS!F:F,INGRESOS!A:A),"-")</f>
        <v>-</v>
      </c>
      <c r="N1169" s="2"/>
      <c r="O1169"/>
    </row>
    <row r="1170" spans="1:15" ht="14.75" customHeight="1">
      <c r="A1170" s="320" t="s">
        <v>1245</v>
      </c>
      <c r="B1170" t="str">
        <f>+_xlfn.XLOOKUP(Tabla6[[#This Row],[ID CLIENTE]],'RESUMEN CLIENTES'!D:D,'RESUMEN CLIENTES'!A:A)</f>
        <v>Constanza Andrea Águila Vergara</v>
      </c>
      <c r="C1170" t="str">
        <f>+_xlfn.XLOOKUP(Tabla6[[#This Row],[ID CLIENTE]],'RESUMEN CLIENTES'!D:D,'RESUMEN CLIENTES'!C:C)</f>
        <v>Chile</v>
      </c>
      <c r="D1170" s="44" t="str">
        <f>+_xlfn.XLOOKUP(Tabla6[[#This Row],[ID CLIENTE]],'RESUMEN CLIENTES'!D:D,'RESUMEN CLIENTES'!M:M)</f>
        <v>OK</v>
      </c>
      <c r="E1170" s="71">
        <f>+_xlfn.XLOOKUP(Tabla6[[#This Row],[NOMBRE]],'RESUMEN CLIENTES'!A:A,'RESUMEN CLIENTES'!X:X)</f>
        <v>-0.2</v>
      </c>
      <c r="F1170" s="71">
        <f>+_xlfn.XLOOKUP(Tabla6[[#This Row],[ID CLIENTE]],'RESUMEN CLIENTES'!D:D,'RESUMEN CLIENTES'!W:W)</f>
        <v>1</v>
      </c>
      <c r="G1170" s="17">
        <v>46113</v>
      </c>
      <c r="H1170" s="44" t="s">
        <v>81</v>
      </c>
      <c r="I1170" s="2">
        <v>1000</v>
      </c>
      <c r="J1170"/>
      <c r="K1170"/>
      <c r="L1170" s="44" t="str" cm="1">
        <f t="array" ref="L1170">+_xlfn.IFS(COUNTIF(INGRESOS!E:E,Tabla6[[#This Row],[ID FACTURA]])=1,"PAGADA",Tabla6[[#This Row],[ID FACTURA]]&lt;&gt;0,"EMITIDA",Tabla6[[#This Row],[ID FACTURA]]=0,"POR EMITIR")</f>
        <v>POR EMITIR</v>
      </c>
      <c r="M1170" s="55" t="str">
        <f>+IF(Tabla6[[#This Row],[ESTADO FACTURA]]="PAGADA",Tabla6[[#This Row],[FECHA]]-_xlfn.XLOOKUP(Tabla6[[#This Row],[N° FACTURA]],INGRESOS!F:F,INGRESOS!A:A),"-")</f>
        <v>-</v>
      </c>
      <c r="N1170" s="2"/>
      <c r="O1170"/>
    </row>
    <row r="1171" spans="1:15" ht="14.75" customHeight="1">
      <c r="A1171" s="320" t="s">
        <v>1178</v>
      </c>
      <c r="B1171" t="str">
        <f>+_xlfn.XLOOKUP(Tabla6[[#This Row],[ID CLIENTE]],'RESUMEN CLIENTES'!D:D,'RESUMEN CLIENTES'!A:A)</f>
        <v>Daniel Flores</v>
      </c>
      <c r="C1171" t="str">
        <f>+_xlfn.XLOOKUP(Tabla6[[#This Row],[ID CLIENTE]],'RESUMEN CLIENTES'!D:D,'RESUMEN CLIENTES'!C:C)</f>
        <v>Ecuador</v>
      </c>
      <c r="D1171" s="44" t="str">
        <f>+_xlfn.XLOOKUP(Tabla6[[#This Row],[ID CLIENTE]],'RESUMEN CLIENTES'!D:D,'RESUMEN CLIENTES'!M:M)</f>
        <v>OK</v>
      </c>
      <c r="E1171" s="72">
        <f>+_xlfn.XLOOKUP(Tabla6[[#This Row],[NOMBRE]],'RESUMEN CLIENTES'!A:A,'RESUMEN CLIENTES'!X:X)</f>
        <v>3.8333333333333335</v>
      </c>
      <c r="F1171" s="72">
        <f>+_xlfn.XLOOKUP(Tabla6[[#This Row],[ID CLIENTE]],'RESUMEN CLIENTES'!D:D,'RESUMEN CLIENTES'!W:W)</f>
        <v>1</v>
      </c>
      <c r="G1171" s="17">
        <v>46113</v>
      </c>
      <c r="H1171" s="44" t="s">
        <v>81</v>
      </c>
      <c r="I1171" s="2">
        <v>850</v>
      </c>
      <c r="J1171"/>
      <c r="K1171"/>
      <c r="L1171" s="44" t="str" cm="1">
        <f t="array" ref="L1171">+_xlfn.IFS(COUNTIF(INGRESOS!E:E,Tabla6[[#This Row],[ID FACTURA]])=1,"PAGADA",Tabla6[[#This Row],[ID FACTURA]]&lt;&gt;0,"EMITIDA",Tabla6[[#This Row],[ID FACTURA]]=0,"POR EMITIR")</f>
        <v>POR EMITIR</v>
      </c>
      <c r="M1171" s="55" t="str">
        <f>+IF(Tabla6[[#This Row],[ESTADO FACTURA]]="PAGADA",Tabla6[[#This Row],[FECHA]]-_xlfn.XLOOKUP(Tabla6[[#This Row],[N° FACTURA]],INGRESOS!F:F,INGRESOS!A:A),"-")</f>
        <v>-</v>
      </c>
      <c r="N1171" s="2"/>
      <c r="O1171"/>
    </row>
    <row r="1172" spans="1:15" ht="14.75" customHeight="1">
      <c r="A1172" s="321" t="s">
        <v>1899</v>
      </c>
      <c r="B1172" t="str">
        <f>+_xlfn.XLOOKUP(Tabla6[[#This Row],[ID CLIENTE]],'RESUMEN CLIENTES'!D:D,'RESUMEN CLIENTES'!A:A)</f>
        <v>Johan Martínez</v>
      </c>
      <c r="C1172" t="str">
        <f>+_xlfn.XLOOKUP(Tabla6[[#This Row],[ID CLIENTE]],'RESUMEN CLIENTES'!D:D,'RESUMEN CLIENTES'!C:C)</f>
        <v>Colombia</v>
      </c>
      <c r="D1172" s="169" t="str">
        <f>+_xlfn.XLOOKUP(Tabla6[[#This Row],[ID CLIENTE]],'RESUMEN CLIENTES'!D:D,'RESUMEN CLIENTES'!M:M)</f>
        <v>OK</v>
      </c>
      <c r="E1172" s="71">
        <f>+_xlfn.XLOOKUP(Tabla6[[#This Row],[NOMBRE]],'RESUMEN CLIENTES'!A:A,'RESUMEN CLIENTES'!X:X)</f>
        <v>-0.66666666666666663</v>
      </c>
      <c r="F1172" s="71">
        <f>+_xlfn.XLOOKUP(Tabla6[[#This Row],[ID CLIENTE]],'RESUMEN CLIENTES'!D:D,'RESUMEN CLIENTES'!W:W)</f>
        <v>0</v>
      </c>
      <c r="G1172" s="17">
        <v>46113</v>
      </c>
      <c r="H1172" s="169" t="s">
        <v>81</v>
      </c>
      <c r="I1172" s="2">
        <v>1000</v>
      </c>
      <c r="J1172"/>
      <c r="K1172"/>
      <c r="L1172" s="44" t="str" cm="1">
        <f t="array" ref="L1172">+_xlfn.IFS(COUNTIF(INGRESOS!E:E,Tabla6[[#This Row],[ID FACTURA]])=1,"PAGADA",Tabla6[[#This Row],[ID FACTURA]]&lt;&gt;0,"EMITIDA",Tabla6[[#This Row],[ID FACTURA]]=0,"POR EMITIR")</f>
        <v>POR EMITIR</v>
      </c>
      <c r="M1172" s="54" t="str">
        <f>+IF(Tabla6[[#This Row],[ESTADO FACTURA]]="PAGADA",Tabla6[[#This Row],[FECHA]]-_xlfn.XLOOKUP(Tabla6[[#This Row],[N° FACTURA]],INGRESOS!F:F,INGRESOS!A:A),"-")</f>
        <v>-</v>
      </c>
      <c r="O1172"/>
    </row>
    <row r="1173" spans="1:15" ht="14.75" customHeight="1">
      <c r="A1173" s="320" t="s">
        <v>6035</v>
      </c>
      <c r="B1173" t="str">
        <f>+_xlfn.XLOOKUP(Tabla6[[#This Row],[ID CLIENTE]],'RESUMEN CLIENTES'!D:D,'RESUMEN CLIENTES'!A:A)</f>
        <v>Ari Sifuentes Becerra</v>
      </c>
      <c r="C1173" s="15" t="str">
        <f>+_xlfn.XLOOKUP(Tabla6[[#This Row],[ID CLIENTE]],'RESUMEN CLIENTES'!D:D,'RESUMEN CLIENTES'!C:C)</f>
        <v>México</v>
      </c>
      <c r="D1173" s="169" t="str">
        <f>+_xlfn.XLOOKUP(Tabla6[[#This Row],[ID CLIENTE]],'RESUMEN CLIENTES'!D:D,'RESUMEN CLIENTES'!M:M)</f>
        <v>OK</v>
      </c>
      <c r="E1173" s="71">
        <f>+_xlfn.XLOOKUP(Tabla6[[#This Row],[NOMBRE]],'RESUMEN CLIENTES'!A:A,'RESUMEN CLIENTES'!X:X)</f>
        <v>-1</v>
      </c>
      <c r="F1173" s="71">
        <f>+_xlfn.XLOOKUP(Tabla6[[#This Row],[ID CLIENTE]],'RESUMEN CLIENTES'!D:D,'RESUMEN CLIENTES'!W:W)</f>
        <v>0</v>
      </c>
      <c r="G1173" s="17">
        <v>46114</v>
      </c>
      <c r="H1173" s="169" t="s">
        <v>81</v>
      </c>
      <c r="I1173" s="2">
        <v>1000</v>
      </c>
      <c r="J1173"/>
      <c r="K1173"/>
      <c r="L1173" s="44" t="str" cm="1">
        <f t="array" ref="L1173">+_xlfn.IFS(COUNTIF(INGRESOS!E:E,Tabla6[[#This Row],[ID FACTURA]])=1,"PAGADA",Tabla6[[#This Row],[ID FACTURA]]&lt;&gt;0,"EMITIDA",Tabla6[[#This Row],[ID FACTURA]]=0,"POR EMITIR")</f>
        <v>POR EMITIR</v>
      </c>
      <c r="M1173" s="54" t="str">
        <f>+IF(Tabla6[[#This Row],[ESTADO FACTURA]]="PAGADA",Tabla6[[#This Row],[FECHA]]-_xlfn.XLOOKUP(Tabla6[[#This Row],[N° FACTURA]],INGRESOS!F:F,INGRESOS!A:A),"-")</f>
        <v>-</v>
      </c>
      <c r="O1173"/>
    </row>
    <row r="1174" spans="1:15" ht="14.75" customHeight="1">
      <c r="A1174" s="320" t="s">
        <v>695</v>
      </c>
      <c r="B1174" t="str">
        <f>+_xlfn.XLOOKUP(Tabla6[[#This Row],[ID CLIENTE]],'RESUMEN CLIENTES'!D:D,'RESUMEN CLIENTES'!A:A)</f>
        <v>Olguer Ariel Pruna Herrera</v>
      </c>
      <c r="C1174" t="str">
        <f>+_xlfn.XLOOKUP(Tabla6[[#This Row],[ID CLIENTE]],'RESUMEN CLIENTES'!D:D,'RESUMEN CLIENTES'!C:C)</f>
        <v>Ecuador</v>
      </c>
      <c r="D1174" s="44" t="str">
        <f>+_xlfn.XLOOKUP(Tabla6[[#This Row],[ID CLIENTE]],'RESUMEN CLIENTES'!D:D,'RESUMEN CLIENTES'!M:M)</f>
        <v>OK</v>
      </c>
      <c r="E1174" s="72">
        <f>+_xlfn.XLOOKUP(Tabla6[[#This Row],[NOMBRE]],'RESUMEN CLIENTES'!A:A,'RESUMEN CLIENTES'!X:X)</f>
        <v>0.25</v>
      </c>
      <c r="F1174" s="72">
        <f>+_xlfn.XLOOKUP(Tabla6[[#This Row],[ID CLIENTE]],'RESUMEN CLIENTES'!D:D,'RESUMEN CLIENTES'!W:W)</f>
        <v>1</v>
      </c>
      <c r="G1174" s="17">
        <v>46114</v>
      </c>
      <c r="H1174" s="44" t="s">
        <v>81</v>
      </c>
      <c r="I1174" s="2">
        <v>1000</v>
      </c>
      <c r="J1174"/>
      <c r="K1174"/>
      <c r="L1174" s="44" t="str" cm="1">
        <f t="array" ref="L1174">+_xlfn.IFS(COUNTIF(INGRESOS!E:E,Tabla6[[#This Row],[ID FACTURA]])=1,"PAGADA",Tabla6[[#This Row],[ID FACTURA]]&lt;&gt;0,"EMITIDA",Tabla6[[#This Row],[ID FACTURA]]=0,"POR EMITIR")</f>
        <v>POR EMITIR</v>
      </c>
      <c r="M1174" s="55" t="str">
        <f>+IF(Tabla6[[#This Row],[ESTADO FACTURA]]="PAGADA",Tabla6[[#This Row],[FECHA]]-_xlfn.XLOOKUP(Tabla6[[#This Row],[N° FACTURA]],INGRESOS!F:F,INGRESOS!A:A),"-")</f>
        <v>-</v>
      </c>
      <c r="N1174" s="2"/>
      <c r="O1174"/>
    </row>
    <row r="1175" spans="1:15" ht="14.75" customHeight="1">
      <c r="A1175" s="320" t="s">
        <v>221</v>
      </c>
      <c r="B1175" t="str">
        <f>+_xlfn.XLOOKUP(Tabla6[[#This Row],[ID CLIENTE]],'RESUMEN CLIENTES'!D:D,'RESUMEN CLIENTES'!A:A)</f>
        <v>Angel Martin Alarcon Macias</v>
      </c>
      <c r="C1175" t="str">
        <f>+_xlfn.XLOOKUP(Tabla6[[#This Row],[ID CLIENTE]],'RESUMEN CLIENTES'!D:D,'RESUMEN CLIENTES'!C:C)</f>
        <v>Ecuador</v>
      </c>
      <c r="D1175" s="44" t="str">
        <f>+_xlfn.XLOOKUP(Tabla6[[#This Row],[ID CLIENTE]],'RESUMEN CLIENTES'!D:D,'RESUMEN CLIENTES'!M:M)</f>
        <v>¡REGULARIZAR!</v>
      </c>
      <c r="E1175" s="72">
        <f>+_xlfn.XLOOKUP(Tabla6[[#This Row],[NOMBRE]],'RESUMEN CLIENTES'!A:A,'RESUMEN CLIENTES'!X:X)</f>
        <v>-0.5</v>
      </c>
      <c r="F1175" s="72">
        <f>+_xlfn.XLOOKUP(Tabla6[[#This Row],[ID CLIENTE]],'RESUMEN CLIENTES'!D:D,'RESUMEN CLIENTES'!W:W)</f>
        <v>0</v>
      </c>
      <c r="G1175" s="17">
        <v>46115</v>
      </c>
      <c r="H1175" s="44" t="s">
        <v>81</v>
      </c>
      <c r="I1175" s="2">
        <v>625</v>
      </c>
      <c r="J1175"/>
      <c r="K1175"/>
      <c r="L1175" s="44" t="str" cm="1">
        <f t="array" ref="L1175">+_xlfn.IFS(COUNTIF(INGRESOS!E:E,Tabla6[[#This Row],[ID FACTURA]])=1,"PAGADA",Tabla6[[#This Row],[ID FACTURA]]&lt;&gt;0,"EMITIDA",Tabla6[[#This Row],[ID FACTURA]]=0,"POR EMITIR")</f>
        <v>POR EMITIR</v>
      </c>
      <c r="M1175" s="55" t="str">
        <f>+IF(Tabla6[[#This Row],[ESTADO FACTURA]]="PAGADA",Tabla6[[#This Row],[FECHA]]-_xlfn.XLOOKUP(Tabla6[[#This Row],[N° FACTURA]],INGRESOS!F:F,INGRESOS!A:A),"-")</f>
        <v>-</v>
      </c>
      <c r="N1175" s="2"/>
      <c r="O1175"/>
    </row>
    <row r="1176" spans="1:15" ht="14.75" customHeight="1">
      <c r="A1176" s="320" t="s">
        <v>1248</v>
      </c>
      <c r="B1176" t="str">
        <f>+_xlfn.XLOOKUP(Tabla6[[#This Row],[ID CLIENTE]],'RESUMEN CLIENTES'!D:D,'RESUMEN CLIENTES'!A:A)</f>
        <v>Emily Vanessa Tapia Villalobos</v>
      </c>
      <c r="C1176" t="str">
        <f>+_xlfn.XLOOKUP(Tabla6[[#This Row],[ID CLIENTE]],'RESUMEN CLIENTES'!D:D,'RESUMEN CLIENTES'!C:C)</f>
        <v>Chile</v>
      </c>
      <c r="D1176" s="44" t="str">
        <f>+_xlfn.XLOOKUP(Tabla6[[#This Row],[ID CLIENTE]],'RESUMEN CLIENTES'!D:D,'RESUMEN CLIENTES'!M:M)</f>
        <v>OK</v>
      </c>
      <c r="E1176" s="71">
        <f>+_xlfn.XLOOKUP(Tabla6[[#This Row],[NOMBRE]],'RESUMEN CLIENTES'!A:A,'RESUMEN CLIENTES'!X:X)</f>
        <v>0.33333333333333331</v>
      </c>
      <c r="F1176" s="71">
        <f>+_xlfn.XLOOKUP(Tabla6[[#This Row],[ID CLIENTE]],'RESUMEN CLIENTES'!D:D,'RESUMEN CLIENTES'!W:W)</f>
        <v>0</v>
      </c>
      <c r="G1176" s="17">
        <v>46115</v>
      </c>
      <c r="H1176" s="44" t="s">
        <v>81</v>
      </c>
      <c r="I1176" s="2">
        <v>1000</v>
      </c>
      <c r="J1176"/>
      <c r="K1176"/>
      <c r="L1176" s="44" t="str" cm="1">
        <f t="array" ref="L1176">+_xlfn.IFS(COUNTIF(INGRESOS!E:E,Tabla6[[#This Row],[ID FACTURA]])=1,"PAGADA",Tabla6[[#This Row],[ID FACTURA]]&lt;&gt;0,"EMITIDA",Tabla6[[#This Row],[ID FACTURA]]=0,"POR EMITIR")</f>
        <v>POR EMITIR</v>
      </c>
      <c r="M1176" s="55" t="str">
        <f>+IF(Tabla6[[#This Row],[ESTADO FACTURA]]="PAGADA",Tabla6[[#This Row],[FECHA]]-_xlfn.XLOOKUP(Tabla6[[#This Row],[N° FACTURA]],INGRESOS!F:F,INGRESOS!A:A),"-")</f>
        <v>-</v>
      </c>
      <c r="N1176" s="2"/>
      <c r="O1176"/>
    </row>
    <row r="1177" spans="1:15" ht="14.75" customHeight="1">
      <c r="A1177" s="320" t="s">
        <v>1251</v>
      </c>
      <c r="B1177" t="str">
        <f>+_xlfn.XLOOKUP(Tabla6[[#This Row],[ID CLIENTE]],'RESUMEN CLIENTES'!D:D,'RESUMEN CLIENTES'!A:A)</f>
        <v>Erick Ernesto Angulo Campos</v>
      </c>
      <c r="C1177" t="str">
        <f>+_xlfn.XLOOKUP(Tabla6[[#This Row],[ID CLIENTE]],'RESUMEN CLIENTES'!D:D,'RESUMEN CLIENTES'!C:C)</f>
        <v>Chile</v>
      </c>
      <c r="D1177" s="44" t="str">
        <f>+_xlfn.XLOOKUP(Tabla6[[#This Row],[ID CLIENTE]],'RESUMEN CLIENTES'!D:D,'RESUMEN CLIENTES'!M:M)</f>
        <v>OK</v>
      </c>
      <c r="E1177" s="71">
        <f>+_xlfn.XLOOKUP(Tabla6[[#This Row],[NOMBRE]],'RESUMEN CLIENTES'!A:A,'RESUMEN CLIENTES'!X:X)</f>
        <v>-0.66666666666666663</v>
      </c>
      <c r="F1177" s="71">
        <f>+_xlfn.XLOOKUP(Tabla6[[#This Row],[ID CLIENTE]],'RESUMEN CLIENTES'!D:D,'RESUMEN CLIENTES'!W:W)</f>
        <v>0</v>
      </c>
      <c r="G1177" s="17">
        <v>46115</v>
      </c>
      <c r="H1177" s="44" t="s">
        <v>81</v>
      </c>
      <c r="I1177" s="2">
        <v>1000</v>
      </c>
      <c r="J1177"/>
      <c r="K1177"/>
      <c r="L1177" s="44" t="str" cm="1">
        <f t="array" ref="L1177">+_xlfn.IFS(COUNTIF(INGRESOS!E:E,Tabla6[[#This Row],[ID FACTURA]])=1,"PAGADA",Tabla6[[#This Row],[ID FACTURA]]&lt;&gt;0,"EMITIDA",Tabla6[[#This Row],[ID FACTURA]]=0,"POR EMITIR")</f>
        <v>POR EMITIR</v>
      </c>
      <c r="M1177" s="55" t="str">
        <f>+IF(Tabla6[[#This Row],[ESTADO FACTURA]]="PAGADA",Tabla6[[#This Row],[FECHA]]-_xlfn.XLOOKUP(Tabla6[[#This Row],[N° FACTURA]],INGRESOS!F:F,INGRESOS!A:A),"-")</f>
        <v>-</v>
      </c>
      <c r="N1177" s="2"/>
      <c r="O1177"/>
    </row>
    <row r="1178" spans="1:15" ht="14.75" customHeight="1">
      <c r="A1178" s="320" t="s">
        <v>258</v>
      </c>
      <c r="B1178" t="str">
        <f>+_xlfn.XLOOKUP(Tabla6[[#This Row],[ID CLIENTE]],'RESUMEN CLIENTES'!D:D,'RESUMEN CLIENTES'!A:A)</f>
        <v>Maria Laura Rios Pino</v>
      </c>
      <c r="C1178" t="str">
        <f>+_xlfn.XLOOKUP(Tabla6[[#This Row],[ID CLIENTE]],'RESUMEN CLIENTES'!D:D,'RESUMEN CLIENTES'!C:C)</f>
        <v>Perú</v>
      </c>
      <c r="D1178" s="44" t="str">
        <f>+_xlfn.XLOOKUP(Tabla6[[#This Row],[ID CLIENTE]],'RESUMEN CLIENTES'!D:D,'RESUMEN CLIENTES'!M:M)</f>
        <v>OK</v>
      </c>
      <c r="E1178" s="72">
        <f>+_xlfn.XLOOKUP(Tabla6[[#This Row],[NOMBRE]],'RESUMEN CLIENTES'!A:A,'RESUMEN CLIENTES'!X:X)</f>
        <v>1.4545454545454546</v>
      </c>
      <c r="F1178" s="72">
        <f>+_xlfn.XLOOKUP(Tabla6[[#This Row],[ID CLIENTE]],'RESUMEN CLIENTES'!D:D,'RESUMEN CLIENTES'!W:W)</f>
        <v>0</v>
      </c>
      <c r="G1178" s="17">
        <v>46115</v>
      </c>
      <c r="H1178" s="44" t="s">
        <v>81</v>
      </c>
      <c r="I1178" s="19">
        <v>750</v>
      </c>
      <c r="J1178"/>
      <c r="K1178"/>
      <c r="L1178" s="44" t="str" cm="1">
        <f t="array" ref="L1178">+_xlfn.IFS(COUNTIF(INGRESOS!E:E,Tabla6[[#This Row],[ID FACTURA]])=1,"PAGADA",Tabla6[[#This Row],[ID FACTURA]]&lt;&gt;0,"EMITIDA",Tabla6[[#This Row],[ID FACTURA]]=0,"POR EMITIR")</f>
        <v>POR EMITIR</v>
      </c>
      <c r="M1178" s="55" t="str">
        <f>+IF(Tabla6[[#This Row],[ESTADO FACTURA]]="PAGADA",Tabla6[[#This Row],[FECHA]]-_xlfn.XLOOKUP(Tabla6[[#This Row],[N° FACTURA]],INGRESOS!F:F,INGRESOS!A:A),"-")</f>
        <v>-</v>
      </c>
      <c r="N1178" s="19"/>
      <c r="O1178"/>
    </row>
    <row r="1179" spans="1:15" ht="14.75" customHeight="1">
      <c r="A1179" s="320" t="s">
        <v>912</v>
      </c>
      <c r="B1179" t="str">
        <f>+_xlfn.XLOOKUP(Tabla6[[#This Row],[ID CLIENTE]],'RESUMEN CLIENTES'!D:D,'RESUMEN CLIENTES'!A:A)</f>
        <v>Vanessa Villarreal Villareal</v>
      </c>
      <c r="C1179" t="str">
        <f>+_xlfn.XLOOKUP(Tabla6[[#This Row],[ID CLIENTE]],'RESUMEN CLIENTES'!D:D,'RESUMEN CLIENTES'!C:C)</f>
        <v>Ecuador</v>
      </c>
      <c r="D1179" s="44" t="str">
        <f>+_xlfn.XLOOKUP(Tabla6[[#This Row],[ID CLIENTE]],'RESUMEN CLIENTES'!D:D,'RESUMEN CLIENTES'!M:M)</f>
        <v>OK</v>
      </c>
      <c r="E1179" s="72">
        <f>+_xlfn.XLOOKUP(Tabla6[[#This Row],[NOMBRE]],'RESUMEN CLIENTES'!A:A,'RESUMEN CLIENTES'!X:X)</f>
        <v>-9.1428571428571423</v>
      </c>
      <c r="F1179" s="72">
        <f>+_xlfn.XLOOKUP(Tabla6[[#This Row],[ID CLIENTE]],'RESUMEN CLIENTES'!D:D,'RESUMEN CLIENTES'!W:W)</f>
        <v>1</v>
      </c>
      <c r="G1179" s="17">
        <v>46115</v>
      </c>
      <c r="H1179" s="44" t="s">
        <v>81</v>
      </c>
      <c r="I1179" s="2">
        <f>1639-1000</f>
        <v>639</v>
      </c>
      <c r="J1179"/>
      <c r="K1179"/>
      <c r="L1179" s="44" t="str" cm="1">
        <f t="array" ref="L1179">+_xlfn.IFS(COUNTIF(INGRESOS!E:E,Tabla6[[#This Row],[ID FACTURA]])=1,"PAGADA",Tabla6[[#This Row],[ID FACTURA]]&lt;&gt;0,"EMITIDA",Tabla6[[#This Row],[ID FACTURA]]=0,"POR EMITIR")</f>
        <v>POR EMITIR</v>
      </c>
      <c r="M1179" s="55" t="str">
        <f>+IF(Tabla6[[#This Row],[ESTADO FACTURA]]="PAGADA",Tabla6[[#This Row],[FECHA]]-_xlfn.XLOOKUP(Tabla6[[#This Row],[N° FACTURA]],INGRESOS!F:F,INGRESOS!A:A),"-")</f>
        <v>-</v>
      </c>
      <c r="N1179" s="2"/>
      <c r="O1179"/>
    </row>
    <row r="1180" spans="1:15" ht="14.75" customHeight="1">
      <c r="A1180" s="320" t="s">
        <v>912</v>
      </c>
      <c r="B1180" t="str">
        <f>+_xlfn.XLOOKUP(Tabla6[[#This Row],[ID CLIENTE]],'RESUMEN CLIENTES'!D:D,'RESUMEN CLIENTES'!A:A)</f>
        <v>Vanessa Villarreal Villareal</v>
      </c>
      <c r="C1180" t="str">
        <f>+_xlfn.XLOOKUP(Tabla6[[#This Row],[ID CLIENTE]],'RESUMEN CLIENTES'!D:D,'RESUMEN CLIENTES'!C:C)</f>
        <v>Ecuador</v>
      </c>
      <c r="D1180" s="44" t="str">
        <f>+_xlfn.XLOOKUP(Tabla6[[#This Row],[ID CLIENTE]],'RESUMEN CLIENTES'!D:D,'RESUMEN CLIENTES'!M:M)</f>
        <v>OK</v>
      </c>
      <c r="E1180" s="72">
        <f>+_xlfn.XLOOKUP(Tabla6[[#This Row],[NOMBRE]],'RESUMEN CLIENTES'!A:A,'RESUMEN CLIENTES'!X:X)</f>
        <v>-9.1428571428571423</v>
      </c>
      <c r="F1180" s="72">
        <f>+_xlfn.XLOOKUP(Tabla6[[#This Row],[ID CLIENTE]],'RESUMEN CLIENTES'!D:D,'RESUMEN CLIENTES'!W:W)</f>
        <v>1</v>
      </c>
      <c r="G1180" s="17">
        <v>46115</v>
      </c>
      <c r="H1180" s="44" t="s">
        <v>81</v>
      </c>
      <c r="I1180" s="2">
        <v>1500</v>
      </c>
      <c r="J1180"/>
      <c r="K1180"/>
      <c r="L1180" s="44" t="str" cm="1">
        <f t="array" ref="L1180">+_xlfn.IFS(COUNTIF(INGRESOS!E:E,Tabla6[[#This Row],[ID FACTURA]])=1,"PAGADA",Tabla6[[#This Row],[ID FACTURA]]&lt;&gt;0,"EMITIDA",Tabla6[[#This Row],[ID FACTURA]]=0,"POR EMITIR")</f>
        <v>POR EMITIR</v>
      </c>
      <c r="M1180" s="55" t="str">
        <f>+IF(Tabla6[[#This Row],[ESTADO FACTURA]]="PAGADA",Tabla6[[#This Row],[FECHA]]-_xlfn.XLOOKUP(Tabla6[[#This Row],[N° FACTURA]],INGRESOS!F:F,INGRESOS!A:A),"-")</f>
        <v>-</v>
      </c>
      <c r="N1180" s="2"/>
      <c r="O1180"/>
    </row>
    <row r="1181" spans="1:15" ht="14.75" customHeight="1">
      <c r="A1181" s="320" t="s">
        <v>1556</v>
      </c>
      <c r="B1181" t="str">
        <f>+_xlfn.XLOOKUP(Tabla6[[#This Row],[ID CLIENTE]],'RESUMEN CLIENTES'!D:D,'RESUMEN CLIENTES'!A:A)</f>
        <v>Claudia Nivon Chacón</v>
      </c>
      <c r="C1181" t="str">
        <f>+_xlfn.XLOOKUP(Tabla6[[#This Row],[ID CLIENTE]],'RESUMEN CLIENTES'!D:D,'RESUMEN CLIENTES'!C:C)</f>
        <v>México</v>
      </c>
      <c r="D1181" s="44" t="str">
        <f>+_xlfn.XLOOKUP(Tabla6[[#This Row],[ID CLIENTE]],'RESUMEN CLIENTES'!D:D,'RESUMEN CLIENTES'!M:M)</f>
        <v>OK</v>
      </c>
      <c r="E1181" s="71">
        <f>+_xlfn.XLOOKUP(Tabla6[[#This Row],[NOMBRE]],'RESUMEN CLIENTES'!A:A,'RESUMEN CLIENTES'!X:X)</f>
        <v>0.4</v>
      </c>
      <c r="F1181" s="71">
        <f>+_xlfn.XLOOKUP(Tabla6[[#This Row],[ID CLIENTE]],'RESUMEN CLIENTES'!D:D,'RESUMEN CLIENTES'!W:W)</f>
        <v>0</v>
      </c>
      <c r="G1181" s="17">
        <v>46116</v>
      </c>
      <c r="H1181" s="169" t="s">
        <v>81</v>
      </c>
      <c r="I1181" s="2">
        <v>1136.6300000000001</v>
      </c>
      <c r="J1181"/>
      <c r="K1181"/>
      <c r="L1181" s="44" t="str" cm="1">
        <f t="array" ref="L1181">+_xlfn.IFS(COUNTIF(INGRESOS!E:E,Tabla6[[#This Row],[ID FACTURA]])=1,"PAGADA",Tabla6[[#This Row],[ID FACTURA]]&lt;&gt;0,"EMITIDA",Tabla6[[#This Row],[ID FACTURA]]=0,"POR EMITIR")</f>
        <v>POR EMITIR</v>
      </c>
      <c r="M1181" s="55" t="str">
        <f>+IF(Tabla6[[#This Row],[ESTADO FACTURA]]="PAGADA",Tabla6[[#This Row],[FECHA]]-_xlfn.XLOOKUP(Tabla6[[#This Row],[N° FACTURA]],INGRESOS!F:F,INGRESOS!A:A),"-")</f>
        <v>-</v>
      </c>
      <c r="N1181" s="2"/>
      <c r="O1181"/>
    </row>
    <row r="1182" spans="1:15" ht="14.75" customHeight="1">
      <c r="A1182" s="320" t="s">
        <v>407</v>
      </c>
      <c r="B1182" t="str">
        <f>+_xlfn.XLOOKUP(Tabla6[[#This Row],[ID CLIENTE]],'RESUMEN CLIENTES'!D:D,'RESUMEN CLIENTES'!A:A)</f>
        <v>Mayra Leonor Rivera Paico</v>
      </c>
      <c r="C1182" t="str">
        <f>+_xlfn.XLOOKUP(Tabla6[[#This Row],[ID CLIENTE]],'RESUMEN CLIENTES'!D:D,'RESUMEN CLIENTES'!C:C)</f>
        <v>Perú</v>
      </c>
      <c r="D1182" s="44" t="str">
        <f>+_xlfn.XLOOKUP(Tabla6[[#This Row],[ID CLIENTE]],'RESUMEN CLIENTES'!D:D,'RESUMEN CLIENTES'!M:M)</f>
        <v>OK</v>
      </c>
      <c r="E1182" s="72">
        <f>+_xlfn.XLOOKUP(Tabla6[[#This Row],[NOMBRE]],'RESUMEN CLIENTES'!A:A,'RESUMEN CLIENTES'!X:X)</f>
        <v>-0.22222222222222221</v>
      </c>
      <c r="F1182" s="72">
        <f>+_xlfn.XLOOKUP(Tabla6[[#This Row],[ID CLIENTE]],'RESUMEN CLIENTES'!D:D,'RESUMEN CLIENTES'!W:W)</f>
        <v>0</v>
      </c>
      <c r="G1182" s="17">
        <v>46116</v>
      </c>
      <c r="H1182" s="44" t="s">
        <v>81</v>
      </c>
      <c r="I1182" s="2">
        <v>1000</v>
      </c>
      <c r="J1182"/>
      <c r="K1182"/>
      <c r="L1182" s="44" t="str" cm="1">
        <f t="array" ref="L1182">+_xlfn.IFS(COUNTIF(INGRESOS!E:E,Tabla6[[#This Row],[ID FACTURA]])=1,"PAGADA",Tabla6[[#This Row],[ID FACTURA]]&lt;&gt;0,"EMITIDA",Tabla6[[#This Row],[ID FACTURA]]=0,"POR EMITIR")</f>
        <v>POR EMITIR</v>
      </c>
      <c r="M1182" s="55" t="str">
        <f>+IF(Tabla6[[#This Row],[ESTADO FACTURA]]="PAGADA",Tabla6[[#This Row],[FECHA]]-_xlfn.XLOOKUP(Tabla6[[#This Row],[N° FACTURA]],INGRESOS!F:F,INGRESOS!A:A),"-")</f>
        <v>-</v>
      </c>
      <c r="N1182" s="2"/>
      <c r="O1182"/>
    </row>
    <row r="1183" spans="1:15" ht="14.75" customHeight="1">
      <c r="A1183" s="320" t="s">
        <v>447</v>
      </c>
      <c r="B1183" t="str">
        <f>+_xlfn.XLOOKUP(Tabla6[[#This Row],[ID CLIENTE]],'RESUMEN CLIENTES'!D:D,'RESUMEN CLIENTES'!A:A)</f>
        <v>Yefry Onil Santana Marte</v>
      </c>
      <c r="C1183" t="str">
        <f>+_xlfn.XLOOKUP(Tabla6[[#This Row],[ID CLIENTE]],'RESUMEN CLIENTES'!D:D,'RESUMEN CLIENTES'!C:C)</f>
        <v>República Dominicana</v>
      </c>
      <c r="D1183" s="44" t="str">
        <f>+_xlfn.XLOOKUP(Tabla6[[#This Row],[ID CLIENTE]],'RESUMEN CLIENTES'!D:D,'RESUMEN CLIENTES'!M:M)</f>
        <v>OK</v>
      </c>
      <c r="E1183" s="72">
        <f>+_xlfn.XLOOKUP(Tabla6[[#This Row],[NOMBRE]],'RESUMEN CLIENTES'!A:A,'RESUMEN CLIENTES'!X:X)</f>
        <v>-0.90909090909090906</v>
      </c>
      <c r="F1183" s="72">
        <f>+_xlfn.XLOOKUP(Tabla6[[#This Row],[ID CLIENTE]],'RESUMEN CLIENTES'!D:D,'RESUMEN CLIENTES'!W:W)</f>
        <v>0</v>
      </c>
      <c r="G1183" s="17">
        <v>46116</v>
      </c>
      <c r="H1183" s="44" t="s">
        <v>81</v>
      </c>
      <c r="I1183" s="2">
        <v>875</v>
      </c>
      <c r="J1183"/>
      <c r="K1183"/>
      <c r="L1183" s="44" t="str" cm="1">
        <f t="array" ref="L1183">+_xlfn.IFS(COUNTIF(INGRESOS!E:E,Tabla6[[#This Row],[ID FACTURA]])=1,"PAGADA",Tabla6[[#This Row],[ID FACTURA]]&lt;&gt;0,"EMITIDA",Tabla6[[#This Row],[ID FACTURA]]=0,"POR EMITIR")</f>
        <v>POR EMITIR</v>
      </c>
      <c r="M1183" s="55" t="str">
        <f>+IF(Tabla6[[#This Row],[ESTADO FACTURA]]="PAGADA",Tabla6[[#This Row],[FECHA]]-_xlfn.XLOOKUP(Tabla6[[#This Row],[N° FACTURA]],INGRESOS!F:F,INGRESOS!A:A),"-")</f>
        <v>-</v>
      </c>
      <c r="N1183" s="2"/>
      <c r="O1183"/>
    </row>
    <row r="1184" spans="1:15" ht="14.75" customHeight="1">
      <c r="A1184" s="320" t="s">
        <v>165</v>
      </c>
      <c r="B1184" t="str">
        <f>+_xlfn.XLOOKUP(Tabla6[[#This Row],[ID CLIENTE]],'RESUMEN CLIENTES'!D:D,'RESUMEN CLIENTES'!A:A)</f>
        <v>Alejandra Leva Vallejo</v>
      </c>
      <c r="C1184" t="str">
        <f>+_xlfn.XLOOKUP(Tabla6[[#This Row],[ID CLIENTE]],'RESUMEN CLIENTES'!D:D,'RESUMEN CLIENTES'!C:C)</f>
        <v>México</v>
      </c>
      <c r="D1184" s="44" t="str">
        <f>+_xlfn.XLOOKUP(Tabla6[[#This Row],[ID CLIENTE]],'RESUMEN CLIENTES'!D:D,'RESUMEN CLIENTES'!M:M)</f>
        <v>OK</v>
      </c>
      <c r="E1184" s="72">
        <f>+_xlfn.XLOOKUP(Tabla6[[#This Row],[NOMBRE]],'RESUMEN CLIENTES'!A:A,'RESUMEN CLIENTES'!X:X)</f>
        <v>0</v>
      </c>
      <c r="F1184" s="72">
        <f>+_xlfn.XLOOKUP(Tabla6[[#This Row],[ID CLIENTE]],'RESUMEN CLIENTES'!D:D,'RESUMEN CLIENTES'!W:W)</f>
        <v>1</v>
      </c>
      <c r="G1184" s="17">
        <v>46117</v>
      </c>
      <c r="H1184" s="44" t="s">
        <v>81</v>
      </c>
      <c r="I1184" s="2">
        <v>1000</v>
      </c>
      <c r="J1184"/>
      <c r="K1184"/>
      <c r="L1184" s="44" t="str" cm="1">
        <f t="array" ref="L1184">+_xlfn.IFS(COUNTIF(INGRESOS!E:E,Tabla6[[#This Row],[ID FACTURA]])=1,"PAGADA",Tabla6[[#This Row],[ID FACTURA]]&lt;&gt;0,"EMITIDA",Tabla6[[#This Row],[ID FACTURA]]=0,"POR EMITIR")</f>
        <v>POR EMITIR</v>
      </c>
      <c r="M1184" s="55" t="str">
        <f>+IF(Tabla6[[#This Row],[ESTADO FACTURA]]="PAGADA",Tabla6[[#This Row],[FECHA]]-_xlfn.XLOOKUP(Tabla6[[#This Row],[N° FACTURA]],INGRESOS!F:F,INGRESOS!A:A),"-")</f>
        <v>-</v>
      </c>
      <c r="N1184" s="2"/>
      <c r="O1184"/>
    </row>
    <row r="1185" spans="1:15" ht="14.75" customHeight="1">
      <c r="A1185" s="320" t="s">
        <v>2011</v>
      </c>
      <c r="B1185" t="str">
        <f>+_xlfn.XLOOKUP(Tabla6[[#This Row],[ID CLIENTE]],'RESUMEN CLIENTES'!D:D,'RESUMEN CLIENTES'!A:A)</f>
        <v>Bárbara Fuentes</v>
      </c>
      <c r="C1185" t="str">
        <f>+_xlfn.XLOOKUP(Tabla6[[#This Row],[ID CLIENTE]],'RESUMEN CLIENTES'!D:D,'RESUMEN CLIENTES'!C:C)</f>
        <v>Chile</v>
      </c>
      <c r="D1185" s="169" t="str">
        <f>+_xlfn.XLOOKUP(Tabla6[[#This Row],[ID CLIENTE]],'RESUMEN CLIENTES'!D:D,'RESUMEN CLIENTES'!M:M)</f>
        <v>OK</v>
      </c>
      <c r="E1185" s="71">
        <f>+_xlfn.XLOOKUP(Tabla6[[#This Row],[NOMBRE]],'RESUMEN CLIENTES'!A:A,'RESUMEN CLIENTES'!X:X)</f>
        <v>-0.33333333333333331</v>
      </c>
      <c r="F1185" s="71">
        <f>+_xlfn.XLOOKUP(Tabla6[[#This Row],[ID CLIENTE]],'RESUMEN CLIENTES'!D:D,'RESUMEN CLIENTES'!W:W)</f>
        <v>0</v>
      </c>
      <c r="G1185" s="17">
        <v>46117</v>
      </c>
      <c r="H1185" s="169" t="s">
        <v>81</v>
      </c>
      <c r="I1185" s="2">
        <v>1000</v>
      </c>
      <c r="J1185"/>
      <c r="K1185"/>
      <c r="L1185" s="44" t="str" cm="1">
        <f t="array" ref="L1185">+_xlfn.IFS(COUNTIF(INGRESOS!E:E,Tabla6[[#This Row],[ID FACTURA]])=1,"PAGADA",Tabla6[[#This Row],[ID FACTURA]]&lt;&gt;0,"EMITIDA",Tabla6[[#This Row],[ID FACTURA]]=0,"POR EMITIR")</f>
        <v>POR EMITIR</v>
      </c>
      <c r="M1185" s="54" t="str">
        <f>+IF(Tabla6[[#This Row],[ESTADO FACTURA]]="PAGADA",Tabla6[[#This Row],[FECHA]]-_xlfn.XLOOKUP(Tabla6[[#This Row],[N° FACTURA]],INGRESOS!F:F,INGRESOS!A:A),"-")</f>
        <v>-</v>
      </c>
      <c r="O1185"/>
    </row>
    <row r="1186" spans="1:15" ht="14.75" customHeight="1">
      <c r="A1186" s="320" t="s">
        <v>203</v>
      </c>
      <c r="B1186" t="str">
        <f>+_xlfn.XLOOKUP(Tabla6[[#This Row],[ID CLIENTE]],'RESUMEN CLIENTES'!D:D,'RESUMEN CLIENTES'!A:A)</f>
        <v>Bernardita Lobo Zegers</v>
      </c>
      <c r="C1186" t="str">
        <f>+_xlfn.XLOOKUP(Tabla6[[#This Row],[ID CLIENTE]],'RESUMEN CLIENTES'!D:D,'RESUMEN CLIENTES'!C:C)</f>
        <v>México</v>
      </c>
      <c r="D1186" s="44" t="str">
        <f>+_xlfn.XLOOKUP(Tabla6[[#This Row],[ID CLIENTE]],'RESUMEN CLIENTES'!D:D,'RESUMEN CLIENTES'!M:M)</f>
        <v>OK</v>
      </c>
      <c r="E1186" s="72">
        <f>+_xlfn.XLOOKUP(Tabla6[[#This Row],[NOMBRE]],'RESUMEN CLIENTES'!A:A,'RESUMEN CLIENTES'!X:X)</f>
        <v>-0.8</v>
      </c>
      <c r="F1186" s="72">
        <f>+_xlfn.XLOOKUP(Tabla6[[#This Row],[ID CLIENTE]],'RESUMEN CLIENTES'!D:D,'RESUMEN CLIENTES'!W:W)</f>
        <v>1</v>
      </c>
      <c r="G1186" s="17">
        <v>46117</v>
      </c>
      <c r="H1186" s="44" t="s">
        <v>81</v>
      </c>
      <c r="I1186" s="2">
        <v>800</v>
      </c>
      <c r="J1186"/>
      <c r="K1186"/>
      <c r="L1186" s="44" t="str" cm="1">
        <f t="array" ref="L1186">+_xlfn.IFS(COUNTIF(INGRESOS!E:E,Tabla6[[#This Row],[ID FACTURA]])=1,"PAGADA",Tabla6[[#This Row],[ID FACTURA]]&lt;&gt;0,"EMITIDA",Tabla6[[#This Row],[ID FACTURA]]=0,"POR EMITIR")</f>
        <v>POR EMITIR</v>
      </c>
      <c r="M1186" s="55" t="str">
        <f>+IF(Tabla6[[#This Row],[ESTADO FACTURA]]="PAGADA",Tabla6[[#This Row],[FECHA]]-_xlfn.XLOOKUP(Tabla6[[#This Row],[N° FACTURA]],INGRESOS!F:F,INGRESOS!A:A),"-")</f>
        <v>-</v>
      </c>
      <c r="N1186" s="2"/>
      <c r="O1186"/>
    </row>
    <row r="1187" spans="1:15" ht="14.75" customHeight="1">
      <c r="A1187" s="320" t="s">
        <v>184</v>
      </c>
      <c r="B1187" t="str">
        <f>+_xlfn.XLOOKUP(Tabla6[[#This Row],[ID CLIENTE]],'RESUMEN CLIENTES'!D:D,'RESUMEN CLIENTES'!A:A)</f>
        <v>Boris Andrés Silva Véliz</v>
      </c>
      <c r="C1187" t="str">
        <f>+_xlfn.XLOOKUP(Tabla6[[#This Row],[ID CLIENTE]],'RESUMEN CLIENTES'!D:D,'RESUMEN CLIENTES'!C:C)</f>
        <v>Chile</v>
      </c>
      <c r="D1187" s="44" t="str">
        <f>+_xlfn.XLOOKUP(Tabla6[[#This Row],[ID CLIENTE]],'RESUMEN CLIENTES'!D:D,'RESUMEN CLIENTES'!M:M)</f>
        <v>OK</v>
      </c>
      <c r="E1187" s="72">
        <f>+_xlfn.XLOOKUP(Tabla6[[#This Row],[NOMBRE]],'RESUMEN CLIENTES'!A:A,'RESUMEN CLIENTES'!X:X)</f>
        <v>2.1111111111111112</v>
      </c>
      <c r="F1187" s="72">
        <f>+_xlfn.XLOOKUP(Tabla6[[#This Row],[ID CLIENTE]],'RESUMEN CLIENTES'!D:D,'RESUMEN CLIENTES'!W:W)</f>
        <v>0</v>
      </c>
      <c r="G1187" s="17">
        <v>46117</v>
      </c>
      <c r="H1187" s="44" t="s">
        <v>81</v>
      </c>
      <c r="I1187" s="2">
        <v>695</v>
      </c>
      <c r="J1187"/>
      <c r="K1187"/>
      <c r="L1187" s="44" t="str" cm="1">
        <f t="array" ref="L1187">+_xlfn.IFS(COUNTIF(INGRESOS!E:E,Tabla6[[#This Row],[ID FACTURA]])=1,"PAGADA",Tabla6[[#This Row],[ID FACTURA]]&lt;&gt;0,"EMITIDA",Tabla6[[#This Row],[ID FACTURA]]=0,"POR EMITIR")</f>
        <v>POR EMITIR</v>
      </c>
      <c r="M1187" s="55" t="str">
        <f>+IF(Tabla6[[#This Row],[ESTADO FACTURA]]="PAGADA",Tabla6[[#This Row],[FECHA]]-_xlfn.XLOOKUP(Tabla6[[#This Row],[N° FACTURA]],INGRESOS!F:F,INGRESOS!A:A),"-")</f>
        <v>-</v>
      </c>
      <c r="N1187" s="2"/>
      <c r="O1187"/>
    </row>
    <row r="1188" spans="1:15" ht="14.75" customHeight="1">
      <c r="A1188" s="320" t="s">
        <v>1206</v>
      </c>
      <c r="B1188" t="str">
        <f>+_xlfn.XLOOKUP(Tabla6[[#This Row],[ID CLIENTE]],'RESUMEN CLIENTES'!D:D,'RESUMEN CLIENTES'!A:A)</f>
        <v>Bryan Israel Jiménez Puente</v>
      </c>
      <c r="C1188" t="str">
        <f>+_xlfn.XLOOKUP(Tabla6[[#This Row],[ID CLIENTE]],'RESUMEN CLIENTES'!D:D,'RESUMEN CLIENTES'!C:C)</f>
        <v>Ecuador</v>
      </c>
      <c r="D1188" s="44" t="str">
        <f>+_xlfn.XLOOKUP(Tabla6[[#This Row],[ID CLIENTE]],'RESUMEN CLIENTES'!D:D,'RESUMEN CLIENTES'!M:M)</f>
        <v>OK</v>
      </c>
      <c r="E1188" s="72">
        <f>+_xlfn.XLOOKUP(Tabla6[[#This Row],[NOMBRE]],'RESUMEN CLIENTES'!A:A,'RESUMEN CLIENTES'!X:X)</f>
        <v>1</v>
      </c>
      <c r="F1188" s="72">
        <f>+_xlfn.XLOOKUP(Tabla6[[#This Row],[ID CLIENTE]],'RESUMEN CLIENTES'!D:D,'RESUMEN CLIENTES'!W:W)</f>
        <v>0</v>
      </c>
      <c r="G1188" s="17">
        <v>46117</v>
      </c>
      <c r="H1188" s="44" t="s">
        <v>81</v>
      </c>
      <c r="I1188" s="2">
        <v>1000</v>
      </c>
      <c r="J1188"/>
      <c r="K1188"/>
      <c r="L1188" s="44" t="str" cm="1">
        <f t="array" ref="L1188">+_xlfn.IFS(COUNTIF(INGRESOS!E:E,Tabla6[[#This Row],[ID FACTURA]])=1,"PAGADA",Tabla6[[#This Row],[ID FACTURA]]&lt;&gt;0,"EMITIDA",Tabla6[[#This Row],[ID FACTURA]]=0,"POR EMITIR")</f>
        <v>POR EMITIR</v>
      </c>
      <c r="M1188" s="55" t="str">
        <f>+IF(Tabla6[[#This Row],[ESTADO FACTURA]]="PAGADA",Tabla6[[#This Row],[FECHA]]-_xlfn.XLOOKUP(Tabla6[[#This Row],[N° FACTURA]],INGRESOS!F:F,INGRESOS!A:A),"-")</f>
        <v>-</v>
      </c>
      <c r="N1188" s="2"/>
      <c r="O1188"/>
    </row>
    <row r="1189" spans="1:15" ht="14.75" customHeight="1">
      <c r="A1189" s="320" t="s">
        <v>168</v>
      </c>
      <c r="B1189" t="str">
        <f>+_xlfn.XLOOKUP(Tabla6[[#This Row],[ID CLIENTE]],'RESUMEN CLIENTES'!D:D,'RESUMEN CLIENTES'!A:A)</f>
        <v xml:space="preserve">Catalina Ochoa Urrutia
</v>
      </c>
      <c r="C1189" t="str">
        <f>+_xlfn.XLOOKUP(Tabla6[[#This Row],[ID CLIENTE]],'RESUMEN CLIENTES'!D:D,'RESUMEN CLIENTES'!C:C)</f>
        <v>Chile</v>
      </c>
      <c r="D1189" s="44" t="str">
        <f>+_xlfn.XLOOKUP(Tabla6[[#This Row],[ID CLIENTE]],'RESUMEN CLIENTES'!D:D,'RESUMEN CLIENTES'!M:M)</f>
        <v>OK</v>
      </c>
      <c r="E1189" s="72">
        <f>+_xlfn.XLOOKUP(Tabla6[[#This Row],[NOMBRE]],'RESUMEN CLIENTES'!A:A,'RESUMEN CLIENTES'!X:X)</f>
        <v>0.75</v>
      </c>
      <c r="F1189" s="72">
        <f>+_xlfn.XLOOKUP(Tabla6[[#This Row],[ID CLIENTE]],'RESUMEN CLIENTES'!D:D,'RESUMEN CLIENTES'!W:W)</f>
        <v>1</v>
      </c>
      <c r="G1189" s="17">
        <v>46117</v>
      </c>
      <c r="H1189" s="44" t="s">
        <v>81</v>
      </c>
      <c r="I1189" s="2">
        <v>800</v>
      </c>
      <c r="J1189"/>
      <c r="K1189"/>
      <c r="L1189" s="44" t="str" cm="1">
        <f t="array" ref="L1189">+_xlfn.IFS(COUNTIF(INGRESOS!E:E,Tabla6[[#This Row],[ID FACTURA]])=1,"PAGADA",Tabla6[[#This Row],[ID FACTURA]]&lt;&gt;0,"EMITIDA",Tabla6[[#This Row],[ID FACTURA]]=0,"POR EMITIR")</f>
        <v>POR EMITIR</v>
      </c>
      <c r="M1189" s="55" t="str">
        <f>+IF(Tabla6[[#This Row],[ESTADO FACTURA]]="PAGADA",Tabla6[[#This Row],[FECHA]]-_xlfn.XLOOKUP(Tabla6[[#This Row],[N° FACTURA]],INGRESOS!F:F,INGRESOS!A:A),"-")</f>
        <v>-</v>
      </c>
      <c r="N1189" s="2"/>
      <c r="O1189"/>
    </row>
    <row r="1190" spans="1:15" ht="14.75" customHeight="1">
      <c r="A1190" s="320" t="s">
        <v>1674</v>
      </c>
      <c r="B1190" t="str">
        <f>+_xlfn.XLOOKUP(Tabla6[[#This Row],[ID CLIENTE]],'RESUMEN CLIENTES'!D:D,'RESUMEN CLIENTES'!A:A)</f>
        <v>Diego Alberto Ruiz Cifuentes</v>
      </c>
      <c r="C1190" t="str">
        <f>+_xlfn.XLOOKUP(Tabla6[[#This Row],[ID CLIENTE]],'RESUMEN CLIENTES'!D:D,'RESUMEN CLIENTES'!C:C)</f>
        <v>Chile</v>
      </c>
      <c r="D1190" s="169" t="str">
        <f>+_xlfn.XLOOKUP(Tabla6[[#This Row],[ID CLIENTE]],'RESUMEN CLIENTES'!D:D,'RESUMEN CLIENTES'!M:M)</f>
        <v>OK</v>
      </c>
      <c r="E1190" s="71">
        <f>+_xlfn.XLOOKUP(Tabla6[[#This Row],[NOMBRE]],'RESUMEN CLIENTES'!A:A,'RESUMEN CLIENTES'!X:X)</f>
        <v>5.75</v>
      </c>
      <c r="F1190" s="71">
        <f>+_xlfn.XLOOKUP(Tabla6[[#This Row],[ID CLIENTE]],'RESUMEN CLIENTES'!D:D,'RESUMEN CLIENTES'!W:W)</f>
        <v>0</v>
      </c>
      <c r="G1190" s="17">
        <v>46117</v>
      </c>
      <c r="H1190" s="169" t="s">
        <v>81</v>
      </c>
      <c r="I1190" s="2">
        <v>1000</v>
      </c>
      <c r="J1190"/>
      <c r="K1190"/>
      <c r="L1190" s="44" t="str" cm="1">
        <f t="array" ref="L1190">+_xlfn.IFS(COUNTIF(INGRESOS!E:E,Tabla6[[#This Row],[ID FACTURA]])=1,"PAGADA",Tabla6[[#This Row],[ID FACTURA]]&lt;&gt;0,"EMITIDA",Tabla6[[#This Row],[ID FACTURA]]=0,"POR EMITIR")</f>
        <v>POR EMITIR</v>
      </c>
      <c r="M1190" s="55" t="str">
        <f>+IF(Tabla6[[#This Row],[ESTADO FACTURA]]="PAGADA",Tabla6[[#This Row],[FECHA]]-_xlfn.XLOOKUP(Tabla6[[#This Row],[N° FACTURA]],INGRESOS!F:F,INGRESOS!A:A),"-")</f>
        <v>-</v>
      </c>
      <c r="N1190" s="2"/>
      <c r="O1190"/>
    </row>
    <row r="1191" spans="1:15" ht="14.75" customHeight="1">
      <c r="A1191" s="320" t="s">
        <v>2521</v>
      </c>
      <c r="B1191" t="str">
        <f>+_xlfn.XLOOKUP(Tabla6[[#This Row],[ID CLIENTE]],'RESUMEN CLIENTES'!D:D,'RESUMEN CLIENTES'!A:A)</f>
        <v>Fabián Andrés Sarmiento Auli</v>
      </c>
      <c r="C1191" t="str">
        <f>+_xlfn.XLOOKUP(Tabla6[[#This Row],[ID CLIENTE]],'RESUMEN CLIENTES'!D:D,'RESUMEN CLIENTES'!C:C)</f>
        <v>Colombia</v>
      </c>
      <c r="D1191" s="169" t="str">
        <f>+_xlfn.XLOOKUP(Tabla6[[#This Row],[ID CLIENTE]],'RESUMEN CLIENTES'!D:D,'RESUMEN CLIENTES'!M:M)</f>
        <v>OK</v>
      </c>
      <c r="E1191" s="71">
        <f>+_xlfn.XLOOKUP(Tabla6[[#This Row],[NOMBRE]],'RESUMEN CLIENTES'!A:A,'RESUMEN CLIENTES'!X:X)</f>
        <v>0</v>
      </c>
      <c r="F1191" s="71">
        <f>+_xlfn.XLOOKUP(Tabla6[[#This Row],[ID CLIENTE]],'RESUMEN CLIENTES'!D:D,'RESUMEN CLIENTES'!W:W)</f>
        <v>0</v>
      </c>
      <c r="G1191" s="17">
        <v>46117</v>
      </c>
      <c r="H1191" s="169" t="s">
        <v>81</v>
      </c>
      <c r="I1191" s="2">
        <v>784</v>
      </c>
      <c r="J1191"/>
      <c r="K1191"/>
      <c r="L1191" s="44" t="str" cm="1">
        <f t="array" ref="L1191">+_xlfn.IFS(COUNTIF(INGRESOS!E:E,Tabla6[[#This Row],[ID FACTURA]])=1,"PAGADA",Tabla6[[#This Row],[ID FACTURA]]&lt;&gt;0,"EMITIDA",Tabla6[[#This Row],[ID FACTURA]]=0,"POR EMITIR")</f>
        <v>POR EMITIR</v>
      </c>
      <c r="M1191" s="54" t="str">
        <f>+IF(Tabla6[[#This Row],[ESTADO FACTURA]]="PAGADA",Tabla6[[#This Row],[FECHA]]-_xlfn.XLOOKUP(Tabla6[[#This Row],[N° FACTURA]],INGRESOS!F:F,INGRESOS!A:A),"-")</f>
        <v>-</v>
      </c>
      <c r="O1191" t="s">
        <v>5976</v>
      </c>
    </row>
    <row r="1192" spans="1:15" ht="14.75" customHeight="1">
      <c r="A1192" s="320" t="s">
        <v>787</v>
      </c>
      <c r="B1192" t="str">
        <f>+_xlfn.XLOOKUP(Tabla6[[#This Row],[ID CLIENTE]],'RESUMEN CLIENTES'!D:D,'RESUMEN CLIENTES'!A:A)</f>
        <v>Florencia Luján Sapia</v>
      </c>
      <c r="C1192" t="str">
        <f>+_xlfn.XLOOKUP(Tabla6[[#This Row],[ID CLIENTE]],'RESUMEN CLIENTES'!D:D,'RESUMEN CLIENTES'!C:C)</f>
        <v>Argentina</v>
      </c>
      <c r="D1192" s="44" t="str">
        <f>+_xlfn.XLOOKUP(Tabla6[[#This Row],[ID CLIENTE]],'RESUMEN CLIENTES'!D:D,'RESUMEN CLIENTES'!M:M)</f>
        <v>OK</v>
      </c>
      <c r="E1192" s="72">
        <f>+_xlfn.XLOOKUP(Tabla6[[#This Row],[NOMBRE]],'RESUMEN CLIENTES'!A:A,'RESUMEN CLIENTES'!X:X)</f>
        <v>-0.77777777777777779</v>
      </c>
      <c r="F1192" s="72">
        <f>+_xlfn.XLOOKUP(Tabla6[[#This Row],[ID CLIENTE]],'RESUMEN CLIENTES'!D:D,'RESUMEN CLIENTES'!W:W)</f>
        <v>1</v>
      </c>
      <c r="G1192" s="17">
        <v>46117</v>
      </c>
      <c r="H1192" s="44" t="s">
        <v>81</v>
      </c>
      <c r="I1192" s="2">
        <v>600</v>
      </c>
      <c r="J1192"/>
      <c r="K1192"/>
      <c r="L1192" s="44" t="str" cm="1">
        <f t="array" ref="L1192">+_xlfn.IFS(COUNTIF(INGRESOS!E:E,Tabla6[[#This Row],[ID FACTURA]])=1,"PAGADA",Tabla6[[#This Row],[ID FACTURA]]&lt;&gt;0,"EMITIDA",Tabla6[[#This Row],[ID FACTURA]]=0,"POR EMITIR")</f>
        <v>POR EMITIR</v>
      </c>
      <c r="M1192" s="55" t="str">
        <f>+IF(Tabla6[[#This Row],[ESTADO FACTURA]]="PAGADA",Tabla6[[#This Row],[FECHA]]-_xlfn.XLOOKUP(Tabla6[[#This Row],[N° FACTURA]],INGRESOS!F:F,INGRESOS!A:A),"-")</f>
        <v>-</v>
      </c>
      <c r="N1192" s="2"/>
      <c r="O1192"/>
    </row>
    <row r="1193" spans="1:15" ht="14.75" customHeight="1">
      <c r="A1193" s="320" t="s">
        <v>95</v>
      </c>
      <c r="B1193" t="str">
        <f>+_xlfn.XLOOKUP(Tabla6[[#This Row],[ID CLIENTE]],'RESUMEN CLIENTES'!D:D,'RESUMEN CLIENTES'!A:A)</f>
        <v>Gabriel Alejandro Ortega Moreno</v>
      </c>
      <c r="C1193" t="str">
        <f>+_xlfn.XLOOKUP(Tabla6[[#This Row],[ID CLIENTE]],'RESUMEN CLIENTES'!D:D,'RESUMEN CLIENTES'!C:C)</f>
        <v>Ecuador</v>
      </c>
      <c r="D1193" s="44" t="str">
        <f>+_xlfn.XLOOKUP(Tabla6[[#This Row],[ID CLIENTE]],'RESUMEN CLIENTES'!D:D,'RESUMEN CLIENTES'!M:M)</f>
        <v>OK</v>
      </c>
      <c r="E1193" s="72">
        <f>+_xlfn.XLOOKUP(Tabla6[[#This Row],[NOMBRE]],'RESUMEN CLIENTES'!A:A,'RESUMEN CLIENTES'!X:X)</f>
        <v>-0.1111111111111111</v>
      </c>
      <c r="F1193" s="72">
        <f>+_xlfn.XLOOKUP(Tabla6[[#This Row],[ID CLIENTE]],'RESUMEN CLIENTES'!D:D,'RESUMEN CLIENTES'!W:W)</f>
        <v>0</v>
      </c>
      <c r="G1193" s="17">
        <v>46117</v>
      </c>
      <c r="H1193" s="44" t="s">
        <v>81</v>
      </c>
      <c r="I1193" s="2">
        <v>5140</v>
      </c>
      <c r="J1193"/>
      <c r="K1193"/>
      <c r="L1193" s="44" t="str" cm="1">
        <f t="array" ref="L1193">+_xlfn.IFS(COUNTIF(INGRESOS!E:E,Tabla6[[#This Row],[ID FACTURA]])=1,"PAGADA",Tabla6[[#This Row],[ID FACTURA]]&lt;&gt;0,"EMITIDA",Tabla6[[#This Row],[ID FACTURA]]=0,"POR EMITIR")</f>
        <v>POR EMITIR</v>
      </c>
      <c r="M1193" s="55" t="str">
        <f>+IF(Tabla6[[#This Row],[ESTADO FACTURA]]="PAGADA",Tabla6[[#This Row],[FECHA]]-_xlfn.XLOOKUP(Tabla6[[#This Row],[N° FACTURA]],INGRESOS!F:F,INGRESOS!A:A),"-")</f>
        <v>-</v>
      </c>
      <c r="N1193" s="2"/>
      <c r="O1193"/>
    </row>
    <row r="1194" spans="1:15" ht="14.75" customHeight="1">
      <c r="A1194" s="320" t="s">
        <v>98</v>
      </c>
      <c r="B1194" t="str">
        <f>+_xlfn.XLOOKUP(Tabla6[[#This Row],[ID CLIENTE]],'RESUMEN CLIENTES'!D:D,'RESUMEN CLIENTES'!A:A)</f>
        <v>Gabriela Kimberlyn Moran Caiza</v>
      </c>
      <c r="C1194" t="str">
        <f>+_xlfn.XLOOKUP(Tabla6[[#This Row],[ID CLIENTE]],'RESUMEN CLIENTES'!D:D,'RESUMEN CLIENTES'!C:C)</f>
        <v>Ecuador</v>
      </c>
      <c r="D1194" s="44" t="str">
        <f>+_xlfn.XLOOKUP(Tabla6[[#This Row],[ID CLIENTE]],'RESUMEN CLIENTES'!D:D,'RESUMEN CLIENTES'!M:M)</f>
        <v>OK</v>
      </c>
      <c r="E1194" s="72">
        <f>+_xlfn.XLOOKUP(Tabla6[[#This Row],[NOMBRE]],'RESUMEN CLIENTES'!A:A,'RESUMEN CLIENTES'!X:X)</f>
        <v>-1.25</v>
      </c>
      <c r="F1194" s="72">
        <f>+_xlfn.XLOOKUP(Tabla6[[#This Row],[ID CLIENTE]],'RESUMEN CLIENTES'!D:D,'RESUMEN CLIENTES'!W:W)</f>
        <v>0</v>
      </c>
      <c r="G1194" s="17">
        <v>46117</v>
      </c>
      <c r="H1194" s="44" t="s">
        <v>81</v>
      </c>
      <c r="I1194" s="2">
        <v>2900</v>
      </c>
      <c r="J1194"/>
      <c r="K1194"/>
      <c r="L1194" s="44" t="str" cm="1">
        <f t="array" ref="L1194">+_xlfn.IFS(COUNTIF(INGRESOS!E:E,Tabla6[[#This Row],[ID FACTURA]])=1,"PAGADA",Tabla6[[#This Row],[ID FACTURA]]&lt;&gt;0,"EMITIDA",Tabla6[[#This Row],[ID FACTURA]]=0,"POR EMITIR")</f>
        <v>POR EMITIR</v>
      </c>
      <c r="M1194" s="55" t="str">
        <f>+IF(Tabla6[[#This Row],[ESTADO FACTURA]]="PAGADA",Tabla6[[#This Row],[FECHA]]-_xlfn.XLOOKUP(Tabla6[[#This Row],[N° FACTURA]],INGRESOS!F:F,INGRESOS!A:A),"-")</f>
        <v>-</v>
      </c>
      <c r="N1194" s="2"/>
      <c r="O1194"/>
    </row>
    <row r="1195" spans="1:15" ht="14.75" customHeight="1">
      <c r="A1195" s="320" t="s">
        <v>171</v>
      </c>
      <c r="B1195" t="str">
        <f>+_xlfn.XLOOKUP(Tabla6[[#This Row],[ID CLIENTE]],'RESUMEN CLIENTES'!D:D,'RESUMEN CLIENTES'!A:A)</f>
        <v>Guillermo Alfonso Garvalena Gaxiola</v>
      </c>
      <c r="C1195" t="str">
        <f>+_xlfn.XLOOKUP(Tabla6[[#This Row],[ID CLIENTE]],'RESUMEN CLIENTES'!D:D,'RESUMEN CLIENTES'!C:C)</f>
        <v>México</v>
      </c>
      <c r="D1195" s="44" t="str">
        <f>+_xlfn.XLOOKUP(Tabla6[[#This Row],[ID CLIENTE]],'RESUMEN CLIENTES'!D:D,'RESUMEN CLIENTES'!M:M)</f>
        <v>OK</v>
      </c>
      <c r="E1195" s="72">
        <f>+_xlfn.XLOOKUP(Tabla6[[#This Row],[NOMBRE]],'RESUMEN CLIENTES'!A:A,'RESUMEN CLIENTES'!X:X)</f>
        <v>1.173913043478261</v>
      </c>
      <c r="F1195" s="72">
        <f>+_xlfn.XLOOKUP(Tabla6[[#This Row],[ID CLIENTE]],'RESUMEN CLIENTES'!D:D,'RESUMEN CLIENTES'!W:W)</f>
        <v>1</v>
      </c>
      <c r="G1195" s="17">
        <v>46117</v>
      </c>
      <c r="H1195" s="44" t="s">
        <v>81</v>
      </c>
      <c r="I1195" s="2">
        <v>700</v>
      </c>
      <c r="J1195"/>
      <c r="K1195"/>
      <c r="L1195" s="44" t="str" cm="1">
        <f t="array" ref="L1195">+_xlfn.IFS(COUNTIF(INGRESOS!E:E,Tabla6[[#This Row],[ID FACTURA]])=1,"PAGADA",Tabla6[[#This Row],[ID FACTURA]]&lt;&gt;0,"EMITIDA",Tabla6[[#This Row],[ID FACTURA]]=0,"POR EMITIR")</f>
        <v>POR EMITIR</v>
      </c>
      <c r="M1195" s="55" t="str">
        <f>+IF(Tabla6[[#This Row],[ESTADO FACTURA]]="PAGADA",Tabla6[[#This Row],[FECHA]]-_xlfn.XLOOKUP(Tabla6[[#This Row],[N° FACTURA]],INGRESOS!F:F,INGRESOS!A:A),"-")</f>
        <v>-</v>
      </c>
      <c r="N1195" s="2"/>
      <c r="O1195"/>
    </row>
    <row r="1196" spans="1:15" ht="14.75" customHeight="1">
      <c r="A1196" s="320" t="s">
        <v>109</v>
      </c>
      <c r="B1196" t="str">
        <f>+_xlfn.XLOOKUP(Tabla6[[#This Row],[ID CLIENTE]],'RESUMEN CLIENTES'!D:D,'RESUMEN CLIENTES'!A:A)</f>
        <v>Ian Job Lino Durán</v>
      </c>
      <c r="C1196" t="str">
        <f>+_xlfn.XLOOKUP(Tabla6[[#This Row],[ID CLIENTE]],'RESUMEN CLIENTES'!D:D,'RESUMEN CLIENTES'!C:C)</f>
        <v>México</v>
      </c>
      <c r="D1196" s="44" t="str">
        <f>+_xlfn.XLOOKUP(Tabla6[[#This Row],[ID CLIENTE]],'RESUMEN CLIENTES'!D:D,'RESUMEN CLIENTES'!M:M)</f>
        <v>OK</v>
      </c>
      <c r="E1196" s="72">
        <f>+_xlfn.XLOOKUP(Tabla6[[#This Row],[NOMBRE]],'RESUMEN CLIENTES'!A:A,'RESUMEN CLIENTES'!X:X)</f>
        <v>0.1</v>
      </c>
      <c r="F1196" s="72">
        <f>+_xlfn.XLOOKUP(Tabla6[[#This Row],[ID CLIENTE]],'RESUMEN CLIENTES'!D:D,'RESUMEN CLIENTES'!W:W)</f>
        <v>1</v>
      </c>
      <c r="G1196" s="17">
        <v>46117</v>
      </c>
      <c r="H1196" s="44" t="s">
        <v>81</v>
      </c>
      <c r="I1196" s="2">
        <v>1500</v>
      </c>
      <c r="J1196"/>
      <c r="K1196"/>
      <c r="L1196" s="44" t="str" cm="1">
        <f t="array" ref="L1196">+_xlfn.IFS(COUNTIF(INGRESOS!E:E,Tabla6[[#This Row],[ID FACTURA]])=1,"PAGADA",Tabla6[[#This Row],[ID FACTURA]]&lt;&gt;0,"EMITIDA",Tabla6[[#This Row],[ID FACTURA]]=0,"POR EMITIR")</f>
        <v>POR EMITIR</v>
      </c>
      <c r="M1196" s="55" t="str">
        <f>+IF(Tabla6[[#This Row],[ESTADO FACTURA]]="PAGADA",Tabla6[[#This Row],[FECHA]]-_xlfn.XLOOKUP(Tabla6[[#This Row],[N° FACTURA]],INGRESOS!F:F,INGRESOS!A:A),"-")</f>
        <v>-</v>
      </c>
      <c r="N1196" s="2"/>
      <c r="O1196" t="s">
        <v>2082</v>
      </c>
    </row>
    <row r="1197" spans="1:15" ht="14.75" customHeight="1">
      <c r="A1197" s="320" t="s">
        <v>142</v>
      </c>
      <c r="B1197" t="str">
        <f>+_xlfn.XLOOKUP(Tabla6[[#This Row],[ID CLIENTE]],'RESUMEN CLIENTES'!D:D,'RESUMEN CLIENTES'!A:A)</f>
        <v>Jordan Eliecer Toledo Bravo</v>
      </c>
      <c r="C1197" t="str">
        <f>+_xlfn.XLOOKUP(Tabla6[[#This Row],[ID CLIENTE]],'RESUMEN CLIENTES'!D:D,'RESUMEN CLIENTES'!C:C)</f>
        <v>Chile</v>
      </c>
      <c r="D1197" s="169" t="str">
        <f>+_xlfn.XLOOKUP(Tabla6[[#This Row],[ID CLIENTE]],'RESUMEN CLIENTES'!D:D,'RESUMEN CLIENTES'!M:M)</f>
        <v>OK</v>
      </c>
      <c r="E1197" s="71">
        <f>+_xlfn.XLOOKUP(Tabla6[[#This Row],[NOMBRE]],'RESUMEN CLIENTES'!A:A,'RESUMEN CLIENTES'!X:X)</f>
        <v>-1.6153846153846154</v>
      </c>
      <c r="F1197" s="71">
        <f>+_xlfn.XLOOKUP(Tabla6[[#This Row],[ID CLIENTE]],'RESUMEN CLIENTES'!D:D,'RESUMEN CLIENTES'!W:W)</f>
        <v>0</v>
      </c>
      <c r="G1197" s="17">
        <v>46117</v>
      </c>
      <c r="H1197" s="169" t="s">
        <v>81</v>
      </c>
      <c r="I1197" s="2">
        <v>500</v>
      </c>
      <c r="J1197"/>
      <c r="K1197"/>
      <c r="L1197" s="44" t="str" cm="1">
        <f t="array" ref="L1197">+_xlfn.IFS(COUNTIF(INGRESOS!E:E,Tabla6[[#This Row],[ID FACTURA]])=1,"PAGADA",Tabla6[[#This Row],[ID FACTURA]]&lt;&gt;0,"EMITIDA",Tabla6[[#This Row],[ID FACTURA]]=0,"POR EMITIR")</f>
        <v>POR EMITIR</v>
      </c>
      <c r="M1197" s="54" t="str">
        <f>+IF(Tabla6[[#This Row],[ESTADO FACTURA]]="PAGADA",Tabla6[[#This Row],[FECHA]]-_xlfn.XLOOKUP(Tabla6[[#This Row],[N° FACTURA]],INGRESOS!F:F,INGRESOS!A:A),"-")</f>
        <v>-</v>
      </c>
      <c r="O1197"/>
    </row>
    <row r="1198" spans="1:15" ht="14.75" customHeight="1">
      <c r="A1198" s="320" t="s">
        <v>4454</v>
      </c>
      <c r="B1198" t="str">
        <f>+_xlfn.XLOOKUP(Tabla6[[#This Row],[ID CLIENTE]],'RESUMEN CLIENTES'!D:D,'RESUMEN CLIENTES'!A:A)</f>
        <v>Jose Luis Avilez Casas</v>
      </c>
      <c r="C1198" t="str">
        <f>+_xlfn.XLOOKUP(Tabla6[[#This Row],[ID CLIENTE]],'RESUMEN CLIENTES'!D:D,'RESUMEN CLIENTES'!C:C)</f>
        <v>México</v>
      </c>
      <c r="D1198" s="169" t="str">
        <f>+_xlfn.XLOOKUP(Tabla6[[#This Row],[ID CLIENTE]],'RESUMEN CLIENTES'!D:D,'RESUMEN CLIENTES'!M:M)</f>
        <v>OK</v>
      </c>
      <c r="E1198" s="71">
        <f>+_xlfn.XLOOKUP(Tabla6[[#This Row],[NOMBRE]],'RESUMEN CLIENTES'!A:A,'RESUMEN CLIENTES'!X:X)</f>
        <v>0.33333333333333331</v>
      </c>
      <c r="F1198" s="71">
        <f>+_xlfn.XLOOKUP(Tabla6[[#This Row],[ID CLIENTE]],'RESUMEN CLIENTES'!D:D,'RESUMEN CLIENTES'!W:W)</f>
        <v>0</v>
      </c>
      <c r="G1198" s="17">
        <v>46117</v>
      </c>
      <c r="H1198" s="169" t="s">
        <v>81</v>
      </c>
      <c r="I1198" s="2">
        <v>1000</v>
      </c>
      <c r="J1198"/>
      <c r="K1198"/>
      <c r="L1198" s="44" t="str" cm="1">
        <f t="array" ref="L1198">+_xlfn.IFS(COUNTIF(INGRESOS!E:E,Tabla6[[#This Row],[ID FACTURA]])=1,"PAGADA",Tabla6[[#This Row],[ID FACTURA]]&lt;&gt;0,"EMITIDA",Tabla6[[#This Row],[ID FACTURA]]=0,"POR EMITIR")</f>
        <v>POR EMITIR</v>
      </c>
      <c r="M1198" s="54" t="str">
        <f>+IF(Tabla6[[#This Row],[ESTADO FACTURA]]="PAGADA",Tabla6[[#This Row],[FECHA]]-_xlfn.XLOOKUP(Tabla6[[#This Row],[N° FACTURA]],INGRESOS!F:F,INGRESOS!A:A),"-")</f>
        <v>-</v>
      </c>
      <c r="O1198"/>
    </row>
    <row r="1199" spans="1:15" ht="14.75" customHeight="1">
      <c r="A1199" s="320" t="s">
        <v>798</v>
      </c>
      <c r="B1199" t="str">
        <f>+_xlfn.XLOOKUP(Tabla6[[#This Row],[ID CLIENTE]],'RESUMEN CLIENTES'!D:D,'RESUMEN CLIENTES'!A:A)</f>
        <v>Juan Manuel Paranzino</v>
      </c>
      <c r="C1199" t="str">
        <f>+_xlfn.XLOOKUP(Tabla6[[#This Row],[ID CLIENTE]],'RESUMEN CLIENTES'!D:D,'RESUMEN CLIENTES'!C:C)</f>
        <v>Argentina</v>
      </c>
      <c r="D1199" s="44" t="str">
        <f>+_xlfn.XLOOKUP(Tabla6[[#This Row],[ID CLIENTE]],'RESUMEN CLIENTES'!D:D,'RESUMEN CLIENTES'!M:M)</f>
        <v>OK</v>
      </c>
      <c r="E1199" s="72">
        <f>+_xlfn.XLOOKUP(Tabla6[[#This Row],[NOMBRE]],'RESUMEN CLIENTES'!A:A,'RESUMEN CLIENTES'!X:X)</f>
        <v>-1</v>
      </c>
      <c r="F1199" s="72">
        <f>+_xlfn.XLOOKUP(Tabla6[[#This Row],[ID CLIENTE]],'RESUMEN CLIENTES'!D:D,'RESUMEN CLIENTES'!W:W)</f>
        <v>0</v>
      </c>
      <c r="G1199" s="17">
        <v>46117</v>
      </c>
      <c r="H1199" s="44" t="s">
        <v>81</v>
      </c>
      <c r="I1199" s="2">
        <v>600</v>
      </c>
      <c r="J1199"/>
      <c r="K1199"/>
      <c r="L1199" s="44" t="str" cm="1">
        <f t="array" ref="L1199">+_xlfn.IFS(COUNTIF(INGRESOS!E:E,Tabla6[[#This Row],[ID FACTURA]])=1,"PAGADA",Tabla6[[#This Row],[ID FACTURA]]&lt;&gt;0,"EMITIDA",Tabla6[[#This Row],[ID FACTURA]]=0,"POR EMITIR")</f>
        <v>POR EMITIR</v>
      </c>
      <c r="M1199" s="55" t="str">
        <f>+IF(Tabla6[[#This Row],[ESTADO FACTURA]]="PAGADA",Tabla6[[#This Row],[FECHA]]-_xlfn.XLOOKUP(Tabla6[[#This Row],[N° FACTURA]],INGRESOS!F:F,INGRESOS!A:A),"-")</f>
        <v>-</v>
      </c>
      <c r="N1199" s="2"/>
      <c r="O1199"/>
    </row>
    <row r="1200" spans="1:15" ht="14.75" customHeight="1">
      <c r="A1200" s="320" t="s">
        <v>955</v>
      </c>
      <c r="B1200" t="str">
        <f>+_xlfn.XLOOKUP(Tabla6[[#This Row],[ID CLIENTE]],'RESUMEN CLIENTES'!D:D,'RESUMEN CLIENTES'!A:A)</f>
        <v>Judith Elizabeth Lopez Sanchez</v>
      </c>
      <c r="C1200" t="str">
        <f>+_xlfn.XLOOKUP(Tabla6[[#This Row],[ID CLIENTE]],'RESUMEN CLIENTES'!D:D,'RESUMEN CLIENTES'!C:C)</f>
        <v>Perú</v>
      </c>
      <c r="D1200" s="44" t="str">
        <f>+_xlfn.XLOOKUP(Tabla6[[#This Row],[ID CLIENTE]],'RESUMEN CLIENTES'!D:D,'RESUMEN CLIENTES'!M:M)</f>
        <v>OK</v>
      </c>
      <c r="E1200" s="72">
        <f>+_xlfn.XLOOKUP(Tabla6[[#This Row],[NOMBRE]],'RESUMEN CLIENTES'!A:A,'RESUMEN CLIENTES'!X:X)</f>
        <v>0.2857142857142857</v>
      </c>
      <c r="F1200" s="72">
        <f>+_xlfn.XLOOKUP(Tabla6[[#This Row],[ID CLIENTE]],'RESUMEN CLIENTES'!D:D,'RESUMEN CLIENTES'!W:W)</f>
        <v>1</v>
      </c>
      <c r="G1200" s="17">
        <v>46117</v>
      </c>
      <c r="H1200" s="44" t="s">
        <v>81</v>
      </c>
      <c r="I1200" s="2">
        <v>1000</v>
      </c>
      <c r="J1200"/>
      <c r="K1200"/>
      <c r="L1200" s="44" t="str" cm="1">
        <f t="array" ref="L1200">+_xlfn.IFS(COUNTIF(INGRESOS!E:E,Tabla6[[#This Row],[ID FACTURA]])=1,"PAGADA",Tabla6[[#This Row],[ID FACTURA]]&lt;&gt;0,"EMITIDA",Tabla6[[#This Row],[ID FACTURA]]=0,"POR EMITIR")</f>
        <v>POR EMITIR</v>
      </c>
      <c r="M1200" s="55" t="str">
        <f>+IF(Tabla6[[#This Row],[ESTADO FACTURA]]="PAGADA",Tabla6[[#This Row],[FECHA]]-_xlfn.XLOOKUP(Tabla6[[#This Row],[N° FACTURA]],INGRESOS!F:F,INGRESOS!A:A),"-")</f>
        <v>-</v>
      </c>
      <c r="N1200" s="2"/>
      <c r="O1200"/>
    </row>
    <row r="1201" spans="1:15" ht="14.75" customHeight="1">
      <c r="A1201" s="320" t="s">
        <v>1416</v>
      </c>
      <c r="B1201" t="str">
        <f>+_xlfn.XLOOKUP(Tabla6[[#This Row],[ID CLIENTE]],'RESUMEN CLIENTES'!D:D,'RESUMEN CLIENTES'!A:A)</f>
        <v>Luis Armando Calderon Manzanera</v>
      </c>
      <c r="C1201" t="str">
        <f>+_xlfn.XLOOKUP(Tabla6[[#This Row],[ID CLIENTE]],'RESUMEN CLIENTES'!D:D,'RESUMEN CLIENTES'!C:C)</f>
        <v>México</v>
      </c>
      <c r="D1201" s="44" t="str">
        <f>+_xlfn.XLOOKUP(Tabla6[[#This Row],[ID CLIENTE]],'RESUMEN CLIENTES'!D:D,'RESUMEN CLIENTES'!M:M)</f>
        <v>OK</v>
      </c>
      <c r="E1201" s="71">
        <f>+_xlfn.XLOOKUP(Tabla6[[#This Row],[NOMBRE]],'RESUMEN CLIENTES'!A:A,'RESUMEN CLIENTES'!X:X)</f>
        <v>2</v>
      </c>
      <c r="F1201" s="71">
        <f>+_xlfn.XLOOKUP(Tabla6[[#This Row],[ID CLIENTE]],'RESUMEN CLIENTES'!D:D,'RESUMEN CLIENTES'!W:W)</f>
        <v>1</v>
      </c>
      <c r="G1201" s="17">
        <v>46117</v>
      </c>
      <c r="H1201" s="44" t="s">
        <v>81</v>
      </c>
      <c r="I1201" s="2">
        <v>650</v>
      </c>
      <c r="J1201"/>
      <c r="K1201"/>
      <c r="L1201" s="44" t="str" cm="1">
        <f t="array" ref="L1201">+_xlfn.IFS(COUNTIF(INGRESOS!E:E,Tabla6[[#This Row],[ID FACTURA]])=1,"PAGADA",Tabla6[[#This Row],[ID FACTURA]]&lt;&gt;0,"EMITIDA",Tabla6[[#This Row],[ID FACTURA]]=0,"POR EMITIR")</f>
        <v>POR EMITIR</v>
      </c>
      <c r="M1201" s="55" t="str">
        <f>+IF(Tabla6[[#This Row],[ESTADO FACTURA]]="PAGADA",Tabla6[[#This Row],[FECHA]]-_xlfn.XLOOKUP(Tabla6[[#This Row],[N° FACTURA]],INGRESOS!F:F,INGRESOS!A:A),"-")</f>
        <v>-</v>
      </c>
      <c r="N1201" s="2"/>
      <c r="O1201"/>
    </row>
    <row r="1202" spans="1:15" ht="14.75" customHeight="1">
      <c r="A1202" s="320" t="s">
        <v>703</v>
      </c>
      <c r="B1202" t="str">
        <f>+_xlfn.XLOOKUP(Tabla6[[#This Row],[ID CLIENTE]],'RESUMEN CLIENTES'!D:D,'RESUMEN CLIENTES'!A:A)</f>
        <v>Maira Paz Navas Sánchez</v>
      </c>
      <c r="C1202" t="str">
        <f>+_xlfn.XLOOKUP(Tabla6[[#This Row],[ID CLIENTE]],'RESUMEN CLIENTES'!D:D,'RESUMEN CLIENTES'!C:C)</f>
        <v>Chile</v>
      </c>
      <c r="D1202" s="44" t="str">
        <f>+_xlfn.XLOOKUP(Tabla6[[#This Row],[ID CLIENTE]],'RESUMEN CLIENTES'!D:D,'RESUMEN CLIENTES'!M:M)</f>
        <v>OK</v>
      </c>
      <c r="E1202" s="72">
        <f>+_xlfn.XLOOKUP(Tabla6[[#This Row],[NOMBRE]],'RESUMEN CLIENTES'!A:A,'RESUMEN CLIENTES'!X:X)</f>
        <v>-1.75</v>
      </c>
      <c r="F1202" s="72">
        <f>+_xlfn.XLOOKUP(Tabla6[[#This Row],[ID CLIENTE]],'RESUMEN CLIENTES'!D:D,'RESUMEN CLIENTES'!W:W)</f>
        <v>1</v>
      </c>
      <c r="G1202" s="17">
        <v>46117</v>
      </c>
      <c r="H1202" s="44" t="s">
        <v>81</v>
      </c>
      <c r="I1202" s="2">
        <v>700</v>
      </c>
      <c r="J1202"/>
      <c r="K1202"/>
      <c r="L1202" s="44" t="str" cm="1">
        <f t="array" ref="L1202">+_xlfn.IFS(COUNTIF(INGRESOS!E:E,Tabla6[[#This Row],[ID FACTURA]])=1,"PAGADA",Tabla6[[#This Row],[ID FACTURA]]&lt;&gt;0,"EMITIDA",Tabla6[[#This Row],[ID FACTURA]]=0,"POR EMITIR")</f>
        <v>POR EMITIR</v>
      </c>
      <c r="M1202" s="55" t="str">
        <f>+IF(Tabla6[[#This Row],[ESTADO FACTURA]]="PAGADA",Tabla6[[#This Row],[FECHA]]-_xlfn.XLOOKUP(Tabla6[[#This Row],[N° FACTURA]],INGRESOS!F:F,INGRESOS!A:A),"-")</f>
        <v>-</v>
      </c>
      <c r="N1202" s="2"/>
      <c r="O1202"/>
    </row>
    <row r="1203" spans="1:15" ht="14.75" customHeight="1">
      <c r="A1203" s="320" t="s">
        <v>80</v>
      </c>
      <c r="B1203" t="str">
        <f>+_xlfn.XLOOKUP(Tabla6[[#This Row],[ID CLIENTE]],'RESUMEN CLIENTES'!D:D,'RESUMEN CLIENTES'!A:A)</f>
        <v>María Fernanda Alvar Sepúlveda</v>
      </c>
      <c r="C1203" t="str">
        <f>+_xlfn.XLOOKUP(Tabla6[[#This Row],[ID CLIENTE]],'RESUMEN CLIENTES'!D:D,'RESUMEN CLIENTES'!C:C)</f>
        <v>Chile</v>
      </c>
      <c r="D1203" s="44" t="str">
        <f>+_xlfn.XLOOKUP(Tabla6[[#This Row],[ID CLIENTE]],'RESUMEN CLIENTES'!D:D,'RESUMEN CLIENTES'!M:M)</f>
        <v>OK</v>
      </c>
      <c r="E1203" s="72">
        <f>+_xlfn.XLOOKUP(Tabla6[[#This Row],[NOMBRE]],'RESUMEN CLIENTES'!A:A,'RESUMEN CLIENTES'!X:X)</f>
        <v>5</v>
      </c>
      <c r="F1203" s="72">
        <f>+_xlfn.XLOOKUP(Tabla6[[#This Row],[ID CLIENTE]],'RESUMEN CLIENTES'!D:D,'RESUMEN CLIENTES'!W:W)</f>
        <v>1</v>
      </c>
      <c r="G1203" s="17">
        <v>46117</v>
      </c>
      <c r="H1203" s="44" t="s">
        <v>81</v>
      </c>
      <c r="I1203" s="2">
        <v>800</v>
      </c>
      <c r="J1203"/>
      <c r="K1203"/>
      <c r="L1203" s="44" t="str" cm="1">
        <f t="array" ref="L1203">+_xlfn.IFS(COUNTIF(INGRESOS!E:E,Tabla6[[#This Row],[ID FACTURA]])=1,"PAGADA",Tabla6[[#This Row],[ID FACTURA]]&lt;&gt;0,"EMITIDA",Tabla6[[#This Row],[ID FACTURA]]=0,"POR EMITIR")</f>
        <v>POR EMITIR</v>
      </c>
      <c r="M1203" s="55" t="str">
        <f>+IF(Tabla6[[#This Row],[ESTADO FACTURA]]="PAGADA",Tabla6[[#This Row],[FECHA]]-_xlfn.XLOOKUP(Tabla6[[#This Row],[N° FACTURA]],INGRESOS!F:F,INGRESOS!A:A),"-")</f>
        <v>-</v>
      </c>
      <c r="N1203" s="2"/>
      <c r="O1203"/>
    </row>
    <row r="1204" spans="1:15" ht="14.75" customHeight="1">
      <c r="A1204" s="320" t="s">
        <v>1551</v>
      </c>
      <c r="B1204" t="str">
        <f>+_xlfn.XLOOKUP(Tabla6[[#This Row],[ID CLIENTE]],'RESUMEN CLIENTES'!D:D,'RESUMEN CLIENTES'!A:A)</f>
        <v>María Fernanda Cid Ramírez</v>
      </c>
      <c r="C1204" t="str">
        <f>+_xlfn.XLOOKUP(Tabla6[[#This Row],[ID CLIENTE]],'RESUMEN CLIENTES'!D:D,'RESUMEN CLIENTES'!C:C)</f>
        <v>México</v>
      </c>
      <c r="D1204" s="44" t="str">
        <f>+_xlfn.XLOOKUP(Tabla6[[#This Row],[ID CLIENTE]],'RESUMEN CLIENTES'!D:D,'RESUMEN CLIENTES'!M:M)</f>
        <v>OK</v>
      </c>
      <c r="E1204" s="71">
        <f>+_xlfn.XLOOKUP(Tabla6[[#This Row],[NOMBRE]],'RESUMEN CLIENTES'!A:A,'RESUMEN CLIENTES'!X:X)</f>
        <v>-0.8571428571428571</v>
      </c>
      <c r="F1204" s="71">
        <f>+_xlfn.XLOOKUP(Tabla6[[#This Row],[ID CLIENTE]],'RESUMEN CLIENTES'!D:D,'RESUMEN CLIENTES'!W:W)</f>
        <v>0</v>
      </c>
      <c r="G1204" s="17">
        <v>46117</v>
      </c>
      <c r="H1204" s="169" t="s">
        <v>81</v>
      </c>
      <c r="I1204" s="2">
        <v>850</v>
      </c>
      <c r="J1204"/>
      <c r="K1204"/>
      <c r="L1204" s="44" t="str" cm="1">
        <f t="array" ref="L1204">+_xlfn.IFS(COUNTIF(INGRESOS!E:E,Tabla6[[#This Row],[ID FACTURA]])=1,"PAGADA",Tabla6[[#This Row],[ID FACTURA]]&lt;&gt;0,"EMITIDA",Tabla6[[#This Row],[ID FACTURA]]=0,"POR EMITIR")</f>
        <v>POR EMITIR</v>
      </c>
      <c r="M1204" s="55" t="str">
        <f>+IF(Tabla6[[#This Row],[ESTADO FACTURA]]="PAGADA",Tabla6[[#This Row],[FECHA]]-_xlfn.XLOOKUP(Tabla6[[#This Row],[N° FACTURA]],INGRESOS!F:F,INGRESOS!A:A),"-")</f>
        <v>-</v>
      </c>
      <c r="N1204" s="2"/>
      <c r="O1204"/>
    </row>
    <row r="1205" spans="1:15" ht="14.75" customHeight="1">
      <c r="A1205" s="320" t="s">
        <v>1155</v>
      </c>
      <c r="B1205" t="str">
        <f>+_xlfn.XLOOKUP(Tabla6[[#This Row],[ID CLIENTE]],'RESUMEN CLIENTES'!D:D,'RESUMEN CLIENTES'!A:A)</f>
        <v>Mario Arciga Casián</v>
      </c>
      <c r="C1205" t="str">
        <f>+_xlfn.XLOOKUP(Tabla6[[#This Row],[ID CLIENTE]],'RESUMEN CLIENTES'!D:D,'RESUMEN CLIENTES'!C:C)</f>
        <v>México</v>
      </c>
      <c r="D1205" s="44" t="str">
        <f>+_xlfn.XLOOKUP(Tabla6[[#This Row],[ID CLIENTE]],'RESUMEN CLIENTES'!D:D,'RESUMEN CLIENTES'!M:M)</f>
        <v>OK</v>
      </c>
      <c r="E1205" s="72">
        <f>+_xlfn.XLOOKUP(Tabla6[[#This Row],[NOMBRE]],'RESUMEN CLIENTES'!A:A,'RESUMEN CLIENTES'!X:X)</f>
        <v>-0.66666666666666663</v>
      </c>
      <c r="F1205" s="72">
        <f>+_xlfn.XLOOKUP(Tabla6[[#This Row],[ID CLIENTE]],'RESUMEN CLIENTES'!D:D,'RESUMEN CLIENTES'!W:W)</f>
        <v>1</v>
      </c>
      <c r="G1205" s="17">
        <v>46117</v>
      </c>
      <c r="H1205" s="44" t="s">
        <v>81</v>
      </c>
      <c r="I1205" s="2">
        <v>1000</v>
      </c>
      <c r="J1205"/>
      <c r="K1205"/>
      <c r="L1205" s="44" t="str" cm="1">
        <f t="array" ref="L1205">+_xlfn.IFS(COUNTIF(INGRESOS!E:E,Tabla6[[#This Row],[ID FACTURA]])=1,"PAGADA",Tabla6[[#This Row],[ID FACTURA]]&lt;&gt;0,"EMITIDA",Tabla6[[#This Row],[ID FACTURA]]=0,"POR EMITIR")</f>
        <v>POR EMITIR</v>
      </c>
      <c r="M1205" s="55" t="str">
        <f>+IF(Tabla6[[#This Row],[ESTADO FACTURA]]="PAGADA",Tabla6[[#This Row],[FECHA]]-_xlfn.XLOOKUP(Tabla6[[#This Row],[N° FACTURA]],INGRESOS!F:F,INGRESOS!A:A),"-")</f>
        <v>-</v>
      </c>
      <c r="N1205" s="2"/>
      <c r="O1205"/>
    </row>
    <row r="1206" spans="1:15" ht="14.75" customHeight="1">
      <c r="A1206" s="320" t="s">
        <v>4509</v>
      </c>
      <c r="B1206" t="str">
        <f>+_xlfn.XLOOKUP(Tabla6[[#This Row],[ID CLIENTE]],'RESUMEN CLIENTES'!D:D,'RESUMEN CLIENTES'!A:A)</f>
        <v>Marisol Madeleine Ibáñez Paredes</v>
      </c>
      <c r="C1206" t="str">
        <f>+_xlfn.XLOOKUP(Tabla6[[#This Row],[ID CLIENTE]],'RESUMEN CLIENTES'!D:D,'RESUMEN CLIENTES'!C:C)</f>
        <v>Ecuador</v>
      </c>
      <c r="D1206" s="169" t="str">
        <f>+_xlfn.XLOOKUP(Tabla6[[#This Row],[ID CLIENTE]],'RESUMEN CLIENTES'!D:D,'RESUMEN CLIENTES'!M:M)</f>
        <v>OK</v>
      </c>
      <c r="E1206" s="71">
        <f>+_xlfn.XLOOKUP(Tabla6[[#This Row],[NOMBRE]],'RESUMEN CLIENTES'!A:A,'RESUMEN CLIENTES'!X:X)</f>
        <v>-3</v>
      </c>
      <c r="F1206" s="71">
        <f>+_xlfn.XLOOKUP(Tabla6[[#This Row],[ID CLIENTE]],'RESUMEN CLIENTES'!D:D,'RESUMEN CLIENTES'!W:W)</f>
        <v>0</v>
      </c>
      <c r="G1206" s="17">
        <v>46117</v>
      </c>
      <c r="H1206" s="169" t="s">
        <v>81</v>
      </c>
      <c r="I1206" s="2">
        <v>1000</v>
      </c>
      <c r="J1206"/>
      <c r="K1206"/>
      <c r="L1206" s="44" t="str" cm="1">
        <f t="array" ref="L1206">+_xlfn.IFS(COUNTIF(INGRESOS!E:E,Tabla6[[#This Row],[ID FACTURA]])=1,"PAGADA",Tabla6[[#This Row],[ID FACTURA]]&lt;&gt;0,"EMITIDA",Tabla6[[#This Row],[ID FACTURA]]=0,"POR EMITIR")</f>
        <v>POR EMITIR</v>
      </c>
      <c r="M1206" s="54" t="str">
        <f>+IF(Tabla6[[#This Row],[ESTADO FACTURA]]="PAGADA",Tabla6[[#This Row],[FECHA]]-_xlfn.XLOOKUP(Tabla6[[#This Row],[N° FACTURA]],INGRESOS!F:F,INGRESOS!A:A),"-")</f>
        <v>-</v>
      </c>
      <c r="O1206"/>
    </row>
    <row r="1207" spans="1:15" ht="14.75" customHeight="1">
      <c r="A1207" s="320" t="s">
        <v>129</v>
      </c>
      <c r="B1207" t="str">
        <f>+_xlfn.XLOOKUP(Tabla6[[#This Row],[ID CLIENTE]],'RESUMEN CLIENTES'!D:D,'RESUMEN CLIENTES'!A:A)</f>
        <v>Moira Millaray Schneider Rivera</v>
      </c>
      <c r="C1207" t="str">
        <f>+_xlfn.XLOOKUP(Tabla6[[#This Row],[ID CLIENTE]],'RESUMEN CLIENTES'!D:D,'RESUMEN CLIENTES'!C:C)</f>
        <v>Chile</v>
      </c>
      <c r="D1207" s="44" t="str">
        <f>+_xlfn.XLOOKUP(Tabla6[[#This Row],[ID CLIENTE]],'RESUMEN CLIENTES'!D:D,'RESUMEN CLIENTES'!M:M)</f>
        <v>OK</v>
      </c>
      <c r="E1207" s="72">
        <f>+_xlfn.XLOOKUP(Tabla6[[#This Row],[NOMBRE]],'RESUMEN CLIENTES'!A:A,'RESUMEN CLIENTES'!X:X)</f>
        <v>0</v>
      </c>
      <c r="F1207" s="72">
        <f>+_xlfn.XLOOKUP(Tabla6[[#This Row],[ID CLIENTE]],'RESUMEN CLIENTES'!D:D,'RESUMEN CLIENTES'!W:W)</f>
        <v>1</v>
      </c>
      <c r="G1207" s="17">
        <v>46117</v>
      </c>
      <c r="H1207" s="44" t="s">
        <v>81</v>
      </c>
      <c r="I1207" s="2">
        <v>800</v>
      </c>
      <c r="J1207"/>
      <c r="K1207"/>
      <c r="L1207" s="44" t="str" cm="1">
        <f t="array" ref="L1207">+_xlfn.IFS(COUNTIF(INGRESOS!E:E,Tabla6[[#This Row],[ID FACTURA]])=1,"PAGADA",Tabla6[[#This Row],[ID FACTURA]]&lt;&gt;0,"EMITIDA",Tabla6[[#This Row],[ID FACTURA]]=0,"POR EMITIR")</f>
        <v>POR EMITIR</v>
      </c>
      <c r="M1207" s="55" t="str">
        <f>+IF(Tabla6[[#This Row],[ESTADO FACTURA]]="PAGADA",Tabla6[[#This Row],[FECHA]]-_xlfn.XLOOKUP(Tabla6[[#This Row],[N° FACTURA]],INGRESOS!F:F,INGRESOS!A:A),"-")</f>
        <v>-</v>
      </c>
      <c r="N1207" s="2"/>
      <c r="O1207"/>
    </row>
    <row r="1208" spans="1:15" ht="14.75" customHeight="1">
      <c r="A1208" s="320" t="s">
        <v>159</v>
      </c>
      <c r="B1208" t="str">
        <f>+_xlfn.XLOOKUP(Tabla6[[#This Row],[ID CLIENTE]],'RESUMEN CLIENTES'!D:D,'RESUMEN CLIENTES'!A:A)</f>
        <v>Rodrigo Rivera Ruiz</v>
      </c>
      <c r="C1208" t="str">
        <f>+_xlfn.XLOOKUP(Tabla6[[#This Row],[ID CLIENTE]],'RESUMEN CLIENTES'!D:D,'RESUMEN CLIENTES'!C:C)</f>
        <v>Chile</v>
      </c>
      <c r="D1208" s="44" t="str">
        <f>+_xlfn.XLOOKUP(Tabla6[[#This Row],[ID CLIENTE]],'RESUMEN CLIENTES'!D:D,'RESUMEN CLIENTES'!M:M)</f>
        <v>OK</v>
      </c>
      <c r="E1208" s="72">
        <f>+_xlfn.XLOOKUP(Tabla6[[#This Row],[NOMBRE]],'RESUMEN CLIENTES'!A:A,'RESUMEN CLIENTES'!X:X)</f>
        <v>0.8</v>
      </c>
      <c r="F1208" s="72">
        <f>+_xlfn.XLOOKUP(Tabla6[[#This Row],[ID CLIENTE]],'RESUMEN CLIENTES'!D:D,'RESUMEN CLIENTES'!W:W)</f>
        <v>1</v>
      </c>
      <c r="G1208" s="17">
        <v>46117</v>
      </c>
      <c r="H1208" s="44" t="s">
        <v>81</v>
      </c>
      <c r="I1208" s="2">
        <v>800</v>
      </c>
      <c r="J1208"/>
      <c r="K1208"/>
      <c r="L1208" s="44" t="str" cm="1">
        <f t="array" ref="L1208">+_xlfn.IFS(COUNTIF(INGRESOS!E:E,Tabla6[[#This Row],[ID FACTURA]])=1,"PAGADA",Tabla6[[#This Row],[ID FACTURA]]&lt;&gt;0,"EMITIDA",Tabla6[[#This Row],[ID FACTURA]]=0,"POR EMITIR")</f>
        <v>POR EMITIR</v>
      </c>
      <c r="M1208" s="55" t="str">
        <f>+IF(Tabla6[[#This Row],[ESTADO FACTURA]]="PAGADA",Tabla6[[#This Row],[FECHA]]-_xlfn.XLOOKUP(Tabla6[[#This Row],[N° FACTURA]],INGRESOS!F:F,INGRESOS!A:A),"-")</f>
        <v>-</v>
      </c>
      <c r="N1208" s="2"/>
      <c r="O1208"/>
    </row>
    <row r="1209" spans="1:15" ht="14.75" customHeight="1">
      <c r="A1209" s="320" t="s">
        <v>281</v>
      </c>
      <c r="B1209" t="str">
        <f>+_xlfn.XLOOKUP(Tabla6[[#This Row],[ID CLIENTE]],'RESUMEN CLIENTES'!D:D,'RESUMEN CLIENTES'!A:A)</f>
        <v>Sergio Francisco Garcia Sandoval</v>
      </c>
      <c r="C1209" t="str">
        <f>+_xlfn.XLOOKUP(Tabla6[[#This Row],[ID CLIENTE]],'RESUMEN CLIENTES'!D:D,'RESUMEN CLIENTES'!C:C)</f>
        <v>Perú</v>
      </c>
      <c r="D1209" s="44" t="str">
        <f>+_xlfn.XLOOKUP(Tabla6[[#This Row],[ID CLIENTE]],'RESUMEN CLIENTES'!D:D,'RESUMEN CLIENTES'!M:M)</f>
        <v>OK</v>
      </c>
      <c r="E1209" s="72">
        <f>+_xlfn.XLOOKUP(Tabla6[[#This Row],[NOMBRE]],'RESUMEN CLIENTES'!A:A,'RESUMEN CLIENTES'!X:X)</f>
        <v>0.88888888888888884</v>
      </c>
      <c r="F1209" s="72">
        <f>+_xlfn.XLOOKUP(Tabla6[[#This Row],[ID CLIENTE]],'RESUMEN CLIENTES'!D:D,'RESUMEN CLIENTES'!W:W)</f>
        <v>1</v>
      </c>
      <c r="G1209" s="17">
        <v>46117</v>
      </c>
      <c r="H1209" s="44" t="s">
        <v>81</v>
      </c>
      <c r="I1209" s="2">
        <v>350</v>
      </c>
      <c r="J1209"/>
      <c r="K1209"/>
      <c r="L1209" s="44" t="str" cm="1">
        <f t="array" ref="L1209">+_xlfn.IFS(COUNTIF(INGRESOS!E:E,Tabla6[[#This Row],[ID FACTURA]])=1,"PAGADA",Tabla6[[#This Row],[ID FACTURA]]&lt;&gt;0,"EMITIDA",Tabla6[[#This Row],[ID FACTURA]]=0,"POR EMITIR")</f>
        <v>POR EMITIR</v>
      </c>
      <c r="M1209" s="55" t="str">
        <f>+IF(Tabla6[[#This Row],[ESTADO FACTURA]]="PAGADA",Tabla6[[#This Row],[FECHA]]-_xlfn.XLOOKUP(Tabla6[[#This Row],[N° FACTURA]],INGRESOS!F:F,INGRESOS!A:A),"-")</f>
        <v>-</v>
      </c>
      <c r="N1209" s="2"/>
      <c r="O1209"/>
    </row>
    <row r="1210" spans="1:15" ht="14.75" customHeight="1">
      <c r="A1210" s="320" t="s">
        <v>112</v>
      </c>
      <c r="B1210" t="str">
        <f>+_xlfn.XLOOKUP(Tabla6[[#This Row],[ID CLIENTE]],'RESUMEN CLIENTES'!D:D,'RESUMEN CLIENTES'!A:A)</f>
        <v>Victor Emanuel Hernández Ruíz</v>
      </c>
      <c r="C1210" t="str">
        <f>+_xlfn.XLOOKUP(Tabla6[[#This Row],[ID CLIENTE]],'RESUMEN CLIENTES'!D:D,'RESUMEN CLIENTES'!C:C)</f>
        <v>México</v>
      </c>
      <c r="D1210" s="44" t="str">
        <f>+_xlfn.XLOOKUP(Tabla6[[#This Row],[ID CLIENTE]],'RESUMEN CLIENTES'!D:D,'RESUMEN CLIENTES'!M:M)</f>
        <v>OK</v>
      </c>
      <c r="E1210" s="72">
        <f>+_xlfn.XLOOKUP(Tabla6[[#This Row],[NOMBRE]],'RESUMEN CLIENTES'!A:A,'RESUMEN CLIENTES'!X:X)</f>
        <v>-1.2727272727272727</v>
      </c>
      <c r="F1210" s="72">
        <f>+_xlfn.XLOOKUP(Tabla6[[#This Row],[ID CLIENTE]],'RESUMEN CLIENTES'!D:D,'RESUMEN CLIENTES'!W:W)</f>
        <v>1</v>
      </c>
      <c r="G1210" s="17">
        <v>46117</v>
      </c>
      <c r="H1210" s="44" t="s">
        <v>81</v>
      </c>
      <c r="I1210" s="2">
        <v>800</v>
      </c>
      <c r="J1210"/>
      <c r="K1210"/>
      <c r="L1210" s="44" t="str" cm="1">
        <f t="array" ref="L1210">+_xlfn.IFS(COUNTIF(INGRESOS!E:E,Tabla6[[#This Row],[ID FACTURA]])=1,"PAGADA",Tabla6[[#This Row],[ID FACTURA]]&lt;&gt;0,"EMITIDA",Tabla6[[#This Row],[ID FACTURA]]=0,"POR EMITIR")</f>
        <v>POR EMITIR</v>
      </c>
      <c r="M1210" s="55" t="str">
        <f>+IF(Tabla6[[#This Row],[ESTADO FACTURA]]="PAGADA",Tabla6[[#This Row],[FECHA]]-_xlfn.XLOOKUP(Tabla6[[#This Row],[N° FACTURA]],INGRESOS!F:F,INGRESOS!A:A),"-")</f>
        <v>-</v>
      </c>
      <c r="N1210" s="2"/>
      <c r="O1210"/>
    </row>
    <row r="1211" spans="1:15" ht="14.75" customHeight="1">
      <c r="A1211" s="320" t="s">
        <v>907</v>
      </c>
      <c r="B1211" t="str">
        <f>+_xlfn.XLOOKUP(Tabla6[[#This Row],[ID CLIENTE]],'RESUMEN CLIENTES'!D:D,'RESUMEN CLIENTES'!A:A)</f>
        <v>Luis Carlos Villa Cortés</v>
      </c>
      <c r="C1211" t="str">
        <f>+_xlfn.XLOOKUP(Tabla6[[#This Row],[ID CLIENTE]],'RESUMEN CLIENTES'!D:D,'RESUMEN CLIENTES'!C:C)</f>
        <v>México</v>
      </c>
      <c r="D1211" s="44" t="str">
        <f>+_xlfn.XLOOKUP(Tabla6[[#This Row],[ID CLIENTE]],'RESUMEN CLIENTES'!D:D,'RESUMEN CLIENTES'!M:M)</f>
        <v>OK</v>
      </c>
      <c r="E1211" s="72">
        <f>+_xlfn.XLOOKUP(Tabla6[[#This Row],[NOMBRE]],'RESUMEN CLIENTES'!A:A,'RESUMEN CLIENTES'!X:X)</f>
        <v>0</v>
      </c>
      <c r="F1211" s="72">
        <f>+_xlfn.XLOOKUP(Tabla6[[#This Row],[ID CLIENTE]],'RESUMEN CLIENTES'!D:D,'RESUMEN CLIENTES'!W:W)</f>
        <v>1</v>
      </c>
      <c r="G1211" s="17">
        <v>46118</v>
      </c>
      <c r="H1211" s="44" t="s">
        <v>81</v>
      </c>
      <c r="I1211" s="2">
        <v>1000</v>
      </c>
      <c r="J1211"/>
      <c r="K1211"/>
      <c r="L1211" s="44" t="str" cm="1">
        <f t="array" ref="L1211">+_xlfn.IFS(COUNTIF(INGRESOS!E:E,Tabla6[[#This Row],[ID FACTURA]])=1,"PAGADA",Tabla6[[#This Row],[ID FACTURA]]&lt;&gt;0,"EMITIDA",Tabla6[[#This Row],[ID FACTURA]]=0,"POR EMITIR")</f>
        <v>POR EMITIR</v>
      </c>
      <c r="M1211" s="55" t="str">
        <f>+IF(Tabla6[[#This Row],[ESTADO FACTURA]]="PAGADA",Tabla6[[#This Row],[FECHA]]-_xlfn.XLOOKUP(Tabla6[[#This Row],[N° FACTURA]],INGRESOS!F:F,INGRESOS!A:A),"-")</f>
        <v>-</v>
      </c>
      <c r="N1211" s="2"/>
      <c r="O1211"/>
    </row>
    <row r="1212" spans="1:15" ht="14.75" customHeight="1">
      <c r="A1212" s="320" t="s">
        <v>1152</v>
      </c>
      <c r="B1212" t="str">
        <f>+_xlfn.XLOOKUP(Tabla6[[#This Row],[ID CLIENTE]],'RESUMEN CLIENTES'!D:D,'RESUMEN CLIENTES'!A:A)</f>
        <v>Ricardo Ernesto Miño Valencia</v>
      </c>
      <c r="C1212" t="str">
        <f>+_xlfn.XLOOKUP(Tabla6[[#This Row],[ID CLIENTE]],'RESUMEN CLIENTES'!D:D,'RESUMEN CLIENTES'!C:C)</f>
        <v>Ecuador</v>
      </c>
      <c r="D1212" s="44" t="str">
        <f>+_xlfn.XLOOKUP(Tabla6[[#This Row],[ID CLIENTE]],'RESUMEN CLIENTES'!D:D,'RESUMEN CLIENTES'!M:M)</f>
        <v>OK</v>
      </c>
      <c r="E1212" s="72">
        <f>+_xlfn.XLOOKUP(Tabla6[[#This Row],[NOMBRE]],'RESUMEN CLIENTES'!A:A,'RESUMEN CLIENTES'!X:X)</f>
        <v>-3.2</v>
      </c>
      <c r="F1212" s="72">
        <f>+_xlfn.XLOOKUP(Tabla6[[#This Row],[ID CLIENTE]],'RESUMEN CLIENTES'!D:D,'RESUMEN CLIENTES'!W:W)</f>
        <v>1</v>
      </c>
      <c r="G1212" s="17">
        <v>46118</v>
      </c>
      <c r="H1212" s="44" t="s">
        <v>81</v>
      </c>
      <c r="I1212" s="2">
        <v>700</v>
      </c>
      <c r="J1212"/>
      <c r="K1212"/>
      <c r="L1212" s="44" t="str" cm="1">
        <f t="array" ref="L1212">+_xlfn.IFS(COUNTIF(INGRESOS!E:E,Tabla6[[#This Row],[ID FACTURA]])=1,"PAGADA",Tabla6[[#This Row],[ID FACTURA]]&lt;&gt;0,"EMITIDA",Tabla6[[#This Row],[ID FACTURA]]=0,"POR EMITIR")</f>
        <v>POR EMITIR</v>
      </c>
      <c r="M1212" s="55" t="str">
        <f>+IF(Tabla6[[#This Row],[ESTADO FACTURA]]="PAGADA",Tabla6[[#This Row],[FECHA]]-_xlfn.XLOOKUP(Tabla6[[#This Row],[N° FACTURA]],INGRESOS!F:F,INGRESOS!A:A),"-")</f>
        <v>-</v>
      </c>
      <c r="N1212" s="2"/>
      <c r="O1212"/>
    </row>
    <row r="1213" spans="1:15" ht="14.75" customHeight="1">
      <c r="A1213" s="320" t="s">
        <v>253</v>
      </c>
      <c r="B1213" t="str">
        <f>+_xlfn.XLOOKUP(Tabla6[[#This Row],[ID CLIENTE]],'RESUMEN CLIENTES'!D:D,'RESUMEN CLIENTES'!A:A)</f>
        <v>Diego Alonso Salazar Palacios</v>
      </c>
      <c r="C1213" t="str">
        <f>+_xlfn.XLOOKUP(Tabla6[[#This Row],[ID CLIENTE]],'RESUMEN CLIENTES'!D:D,'RESUMEN CLIENTES'!C:C)</f>
        <v>Perú</v>
      </c>
      <c r="D1213" s="44" t="str">
        <f>+_xlfn.XLOOKUP(Tabla6[[#This Row],[ID CLIENTE]],'RESUMEN CLIENTES'!D:D,'RESUMEN CLIENTES'!M:M)</f>
        <v>OK</v>
      </c>
      <c r="E1213" s="72">
        <f>+_xlfn.XLOOKUP(Tabla6[[#This Row],[NOMBRE]],'RESUMEN CLIENTES'!A:A,'RESUMEN CLIENTES'!X:X)</f>
        <v>0.18560606059988707</v>
      </c>
      <c r="F1213" s="72">
        <f>+_xlfn.XLOOKUP(Tabla6[[#This Row],[ID CLIENTE]],'RESUMEN CLIENTES'!D:D,'RESUMEN CLIENTES'!W:W)</f>
        <v>1</v>
      </c>
      <c r="G1213" s="17">
        <v>46120</v>
      </c>
      <c r="H1213" s="44" t="s">
        <v>81</v>
      </c>
      <c r="I1213" s="2">
        <v>2600</v>
      </c>
      <c r="J1213"/>
      <c r="K1213"/>
      <c r="L1213" s="44" t="str" cm="1">
        <f t="array" ref="L1213">+_xlfn.IFS(COUNTIF(INGRESOS!E:E,Tabla6[[#This Row],[ID FACTURA]])=1,"PAGADA",Tabla6[[#This Row],[ID FACTURA]]&lt;&gt;0,"EMITIDA",Tabla6[[#This Row],[ID FACTURA]]=0,"POR EMITIR")</f>
        <v>POR EMITIR</v>
      </c>
      <c r="M1213" s="55" t="str">
        <f>+IF(Tabla6[[#This Row],[ESTADO FACTURA]]="PAGADA",Tabla6[[#This Row],[FECHA]]-_xlfn.XLOOKUP(Tabla6[[#This Row],[N° FACTURA]],INGRESOS!F:F,INGRESOS!A:A),"-")</f>
        <v>-</v>
      </c>
      <c r="N1213" s="2"/>
      <c r="O1213"/>
    </row>
    <row r="1214" spans="1:15" ht="14.75" customHeight="1">
      <c r="A1214" s="320" t="s">
        <v>1645</v>
      </c>
      <c r="B1214" t="str">
        <f>+_xlfn.XLOOKUP(Tabla6[[#This Row],[ID CLIENTE]],'RESUMEN CLIENTES'!D:D,'RESUMEN CLIENTES'!A:A)</f>
        <v>Gerardo Abel Palacios Preciado</v>
      </c>
      <c r="C1214" t="str">
        <f>+_xlfn.XLOOKUP(Tabla6[[#This Row],[ID CLIENTE]],'RESUMEN CLIENTES'!D:D,'RESUMEN CLIENTES'!C:C)</f>
        <v>México</v>
      </c>
      <c r="D1214" s="169" t="str">
        <f>+_xlfn.XLOOKUP(Tabla6[[#This Row],[ID CLIENTE]],'RESUMEN CLIENTES'!D:D,'RESUMEN CLIENTES'!M:M)</f>
        <v>OK</v>
      </c>
      <c r="E1214" s="71">
        <f>+_xlfn.XLOOKUP(Tabla6[[#This Row],[NOMBRE]],'RESUMEN CLIENTES'!A:A,'RESUMEN CLIENTES'!X:X)</f>
        <v>-1.3333333333333333</v>
      </c>
      <c r="F1214" s="71">
        <f>+_xlfn.XLOOKUP(Tabla6[[#This Row],[ID CLIENTE]],'RESUMEN CLIENTES'!D:D,'RESUMEN CLIENTES'!W:W)</f>
        <v>1</v>
      </c>
      <c r="G1214" s="17">
        <v>46121</v>
      </c>
      <c r="H1214" s="169" t="s">
        <v>81</v>
      </c>
      <c r="I1214" s="2">
        <v>650</v>
      </c>
      <c r="J1214"/>
      <c r="K1214"/>
      <c r="L1214" s="44" t="str" cm="1">
        <f t="array" ref="L1214">+_xlfn.IFS(COUNTIF(INGRESOS!E:E,Tabla6[[#This Row],[ID FACTURA]])=1,"PAGADA",Tabla6[[#This Row],[ID FACTURA]]&lt;&gt;0,"EMITIDA",Tabla6[[#This Row],[ID FACTURA]]=0,"POR EMITIR")</f>
        <v>POR EMITIR</v>
      </c>
      <c r="M1214" s="55" t="str">
        <f>+IF(Tabla6[[#This Row],[ESTADO FACTURA]]="PAGADA",Tabla6[[#This Row],[FECHA]]-_xlfn.XLOOKUP(Tabla6[[#This Row],[N° FACTURA]],INGRESOS!F:F,INGRESOS!A:A),"-")</f>
        <v>-</v>
      </c>
      <c r="N1214" s="2"/>
      <c r="O1214"/>
    </row>
    <row r="1215" spans="1:15" ht="14.75" customHeight="1">
      <c r="A1215" s="321" t="s">
        <v>367</v>
      </c>
      <c r="B1215" t="str">
        <f>+_xlfn.XLOOKUP(Tabla6[[#This Row],[ID CLIENTE]],'RESUMEN CLIENTES'!D:D,'RESUMEN CLIENTES'!A:A)</f>
        <v>José Miguel Undurraga Saavedra</v>
      </c>
      <c r="C1215" t="str">
        <f>+_xlfn.XLOOKUP(Tabla6[[#This Row],[ID CLIENTE]],'RESUMEN CLIENTES'!D:D,'RESUMEN CLIENTES'!C:C)</f>
        <v>Chile</v>
      </c>
      <c r="D1215" s="169" t="str">
        <f>+_xlfn.XLOOKUP(Tabla6[[#This Row],[ID CLIENTE]],'RESUMEN CLIENTES'!D:D,'RESUMEN CLIENTES'!M:M)</f>
        <v>OK</v>
      </c>
      <c r="E1215" s="71">
        <f>+_xlfn.XLOOKUP(Tabla6[[#This Row],[NOMBRE]],'RESUMEN CLIENTES'!A:A,'RESUMEN CLIENTES'!X:X)</f>
        <v>-11.5</v>
      </c>
      <c r="F1215" s="71">
        <f>+_xlfn.XLOOKUP(Tabla6[[#This Row],[ID CLIENTE]],'RESUMEN CLIENTES'!D:D,'RESUMEN CLIENTES'!W:W)</f>
        <v>0</v>
      </c>
      <c r="G1215" s="17">
        <v>46122</v>
      </c>
      <c r="H1215" s="169" t="s">
        <v>81</v>
      </c>
      <c r="I1215" s="2">
        <v>100</v>
      </c>
      <c r="J1215"/>
      <c r="K1215"/>
      <c r="L1215" s="44" t="str" cm="1">
        <f t="array" ref="L1215">+_xlfn.IFS(COUNTIF(INGRESOS!E:E,Tabla6[[#This Row],[ID FACTURA]])=1,"PAGADA",Tabla6[[#This Row],[ID FACTURA]]&lt;&gt;0,"EMITIDA",Tabla6[[#This Row],[ID FACTURA]]=0,"POR EMITIR")</f>
        <v>POR EMITIR</v>
      </c>
      <c r="M1215" s="54" t="str">
        <f>+IF(Tabla6[[#This Row],[ESTADO FACTURA]]="PAGADA",Tabla6[[#This Row],[FECHA]]-_xlfn.XLOOKUP(Tabla6[[#This Row],[N° FACTURA]],INGRESOS!F:F,INGRESOS!A:A),"-")</f>
        <v>-</v>
      </c>
      <c r="O1215"/>
    </row>
    <row r="1216" spans="1:15" ht="14.75" customHeight="1">
      <c r="A1216" s="320" t="s">
        <v>455</v>
      </c>
      <c r="B1216" t="str">
        <f>+_xlfn.XLOOKUP(Tabla6[[#This Row],[ID CLIENTE]],'RESUMEN CLIENTES'!D:D,'RESUMEN CLIENTES'!A:A)</f>
        <v>Paola Hitos</v>
      </c>
      <c r="C1216" t="str">
        <f>+_xlfn.XLOOKUP(Tabla6[[#This Row],[ID CLIENTE]],'RESUMEN CLIENTES'!D:D,'RESUMEN CLIENTES'!C:C)</f>
        <v>México</v>
      </c>
      <c r="D1216" s="44" t="str">
        <f>+_xlfn.XLOOKUP(Tabla6[[#This Row],[ID CLIENTE]],'RESUMEN CLIENTES'!D:D,'RESUMEN CLIENTES'!M:M)</f>
        <v>OK</v>
      </c>
      <c r="E1216" s="72">
        <f>+_xlfn.XLOOKUP(Tabla6[[#This Row],[NOMBRE]],'RESUMEN CLIENTES'!A:A,'RESUMEN CLIENTES'!X:X)</f>
        <v>-0.55555555555555558</v>
      </c>
      <c r="F1216" s="72">
        <f>+_xlfn.XLOOKUP(Tabla6[[#This Row],[ID CLIENTE]],'RESUMEN CLIENTES'!D:D,'RESUMEN CLIENTES'!W:W)</f>
        <v>1</v>
      </c>
      <c r="G1216" s="17">
        <v>46122</v>
      </c>
      <c r="H1216" s="44" t="s">
        <v>81</v>
      </c>
      <c r="I1216" s="2">
        <v>1000</v>
      </c>
      <c r="J1216"/>
      <c r="K1216"/>
      <c r="L1216" s="44" t="str" cm="1">
        <f t="array" ref="L1216">+_xlfn.IFS(COUNTIF(INGRESOS!E:E,Tabla6[[#This Row],[ID FACTURA]])=1,"PAGADA",Tabla6[[#This Row],[ID FACTURA]]&lt;&gt;0,"EMITIDA",Tabla6[[#This Row],[ID FACTURA]]=0,"POR EMITIR")</f>
        <v>POR EMITIR</v>
      </c>
      <c r="M1216" s="55" t="str">
        <f>+IF(Tabla6[[#This Row],[ESTADO FACTURA]]="PAGADA",Tabla6[[#This Row],[FECHA]]-_xlfn.XLOOKUP(Tabla6[[#This Row],[N° FACTURA]],INGRESOS!F:F,INGRESOS!A:A),"-")</f>
        <v>-</v>
      </c>
      <c r="N1216" s="2"/>
      <c r="O1216"/>
    </row>
    <row r="1217" spans="1:15" ht="14.75" customHeight="1">
      <c r="A1217" s="320" t="s">
        <v>501</v>
      </c>
      <c r="B1217" t="str">
        <f>+_xlfn.XLOOKUP(Tabla6[[#This Row],[ID CLIENTE]],'RESUMEN CLIENTES'!D:D,'RESUMEN CLIENTES'!A:A)</f>
        <v>Kimberly Chantelle Frey Arteaga</v>
      </c>
      <c r="C1217" t="str">
        <f>+_xlfn.XLOOKUP(Tabla6[[#This Row],[ID CLIENTE]],'RESUMEN CLIENTES'!D:D,'RESUMEN CLIENTES'!C:C)</f>
        <v>México</v>
      </c>
      <c r="D1217" s="44" t="str">
        <f>+_xlfn.XLOOKUP(Tabla6[[#This Row],[ID CLIENTE]],'RESUMEN CLIENTES'!D:D,'RESUMEN CLIENTES'!M:M)</f>
        <v>OK</v>
      </c>
      <c r="E1217" s="72">
        <f>+_xlfn.XLOOKUP(Tabla6[[#This Row],[NOMBRE]],'RESUMEN CLIENTES'!A:A,'RESUMEN CLIENTES'!X:X)</f>
        <v>0</v>
      </c>
      <c r="F1217" s="72">
        <f>+_xlfn.XLOOKUP(Tabla6[[#This Row],[ID CLIENTE]],'RESUMEN CLIENTES'!D:D,'RESUMEN CLIENTES'!W:W)</f>
        <v>1</v>
      </c>
      <c r="G1217" s="17">
        <v>46124</v>
      </c>
      <c r="H1217" s="44" t="s">
        <v>81</v>
      </c>
      <c r="I1217" s="2">
        <v>1000</v>
      </c>
      <c r="J1217"/>
      <c r="K1217"/>
      <c r="L1217" s="44" t="str" cm="1">
        <f t="array" ref="L1217">+_xlfn.IFS(COUNTIF(INGRESOS!E:E,Tabla6[[#This Row],[ID FACTURA]])=1,"PAGADA",Tabla6[[#This Row],[ID FACTURA]]&lt;&gt;0,"EMITIDA",Tabla6[[#This Row],[ID FACTURA]]=0,"POR EMITIR")</f>
        <v>POR EMITIR</v>
      </c>
      <c r="M1217" s="55" t="str">
        <f>+IF(Tabla6[[#This Row],[ESTADO FACTURA]]="PAGADA",Tabla6[[#This Row],[FECHA]]-_xlfn.XLOOKUP(Tabla6[[#This Row],[N° FACTURA]],INGRESOS!F:F,INGRESOS!A:A),"-")</f>
        <v>-</v>
      </c>
      <c r="N1217" s="2"/>
      <c r="O1217"/>
    </row>
    <row r="1218" spans="1:15" ht="14.75" customHeight="1">
      <c r="A1218" s="320" t="s">
        <v>187</v>
      </c>
      <c r="B1218" t="str">
        <f>+_xlfn.XLOOKUP(Tabla6[[#This Row],[ID CLIENTE]],'RESUMEN CLIENTES'!D:D,'RESUMEN CLIENTES'!A:A)</f>
        <v>Alina Maria Cervantes Real</v>
      </c>
      <c r="C1218" t="str">
        <f>+_xlfn.XLOOKUP(Tabla6[[#This Row],[ID CLIENTE]],'RESUMEN CLIENTES'!D:D,'RESUMEN CLIENTES'!C:C)</f>
        <v>México</v>
      </c>
      <c r="D1218" s="44" t="str">
        <f>+_xlfn.XLOOKUP(Tabla6[[#This Row],[ID CLIENTE]],'RESUMEN CLIENTES'!D:D,'RESUMEN CLIENTES'!M:M)</f>
        <v>OK</v>
      </c>
      <c r="E1218" s="72">
        <f>+_xlfn.XLOOKUP(Tabla6[[#This Row],[NOMBRE]],'RESUMEN CLIENTES'!A:A,'RESUMEN CLIENTES'!X:X)</f>
        <v>21.583333333333332</v>
      </c>
      <c r="F1218" s="72">
        <f>+_xlfn.XLOOKUP(Tabla6[[#This Row],[ID CLIENTE]],'RESUMEN CLIENTES'!D:D,'RESUMEN CLIENTES'!W:W)</f>
        <v>1</v>
      </c>
      <c r="G1218" s="17">
        <v>46127</v>
      </c>
      <c r="H1218" s="44" t="s">
        <v>81</v>
      </c>
      <c r="I1218" s="2">
        <v>850</v>
      </c>
      <c r="J1218"/>
      <c r="K1218"/>
      <c r="L1218" s="44" t="str" cm="1">
        <f t="array" ref="L1218">+_xlfn.IFS(COUNTIF(INGRESOS!E:E,Tabla6[[#This Row],[ID FACTURA]])=1,"PAGADA",Tabla6[[#This Row],[ID FACTURA]]&lt;&gt;0,"EMITIDA",Tabla6[[#This Row],[ID FACTURA]]=0,"POR EMITIR")</f>
        <v>POR EMITIR</v>
      </c>
      <c r="M1218" s="55" t="str">
        <f>+IF(Tabla6[[#This Row],[ESTADO FACTURA]]="PAGADA",Tabla6[[#This Row],[FECHA]]-_xlfn.XLOOKUP(Tabla6[[#This Row],[N° FACTURA]],INGRESOS!F:F,INGRESOS!A:A),"-")</f>
        <v>-</v>
      </c>
      <c r="N1218" s="2"/>
      <c r="O1218"/>
    </row>
    <row r="1219" spans="1:15" ht="14.75" customHeight="1">
      <c r="A1219" s="320" t="s">
        <v>325</v>
      </c>
      <c r="B1219" t="str">
        <f>+_xlfn.XLOOKUP(Tabla6[[#This Row],[ID CLIENTE]],'RESUMEN CLIENTES'!D:D,'RESUMEN CLIENTES'!A:A)</f>
        <v>Andrea Cristina Estrada Morocho</v>
      </c>
      <c r="C1219" t="str">
        <f>+_xlfn.XLOOKUP(Tabla6[[#This Row],[ID CLIENTE]],'RESUMEN CLIENTES'!D:D,'RESUMEN CLIENTES'!C:C)</f>
        <v>Ecuador</v>
      </c>
      <c r="D1219" s="44" t="str">
        <f>+_xlfn.XLOOKUP(Tabla6[[#This Row],[ID CLIENTE]],'RESUMEN CLIENTES'!D:D,'RESUMEN CLIENTES'!M:M)</f>
        <v>OK</v>
      </c>
      <c r="E1219" s="72">
        <f>+_xlfn.XLOOKUP(Tabla6[[#This Row],[NOMBRE]],'RESUMEN CLIENTES'!A:A,'RESUMEN CLIENTES'!X:X)</f>
        <v>-3.6666666666666665</v>
      </c>
      <c r="F1219" s="72">
        <f>+_xlfn.XLOOKUP(Tabla6[[#This Row],[ID CLIENTE]],'RESUMEN CLIENTES'!D:D,'RESUMEN CLIENTES'!W:W)</f>
        <v>1</v>
      </c>
      <c r="G1219" s="17">
        <v>46127</v>
      </c>
      <c r="H1219" s="44" t="s">
        <v>81</v>
      </c>
      <c r="I1219" s="2">
        <v>500</v>
      </c>
      <c r="J1219"/>
      <c r="K1219"/>
      <c r="L1219" s="44" t="str" cm="1">
        <f t="array" ref="L1219">+_xlfn.IFS(COUNTIF(INGRESOS!E:E,Tabla6[[#This Row],[ID FACTURA]])=1,"PAGADA",Tabla6[[#This Row],[ID FACTURA]]&lt;&gt;0,"EMITIDA",Tabla6[[#This Row],[ID FACTURA]]=0,"POR EMITIR")</f>
        <v>POR EMITIR</v>
      </c>
      <c r="M1219" s="55" t="str">
        <f>+IF(Tabla6[[#This Row],[ESTADO FACTURA]]="PAGADA",Tabla6[[#This Row],[FECHA]]-_xlfn.XLOOKUP(Tabla6[[#This Row],[N° FACTURA]],INGRESOS!F:F,INGRESOS!A:A),"-")</f>
        <v>-</v>
      </c>
      <c r="N1219" s="2"/>
      <c r="O1219"/>
    </row>
    <row r="1220" spans="1:15" ht="14.75" customHeight="1">
      <c r="A1220" s="320" t="s">
        <v>4768</v>
      </c>
      <c r="B1220" t="str">
        <f>+_xlfn.XLOOKUP(Tabla6[[#This Row],[ID CLIENTE]],'RESUMEN CLIENTES'!D:D,'RESUMEN CLIENTES'!A:A)</f>
        <v>Carla Elena Patínez Rondón</v>
      </c>
      <c r="C1220" s="15" t="str">
        <f>+_xlfn.XLOOKUP(Tabla6[[#This Row],[ID CLIENTE]],'RESUMEN CLIENTES'!D:D,'RESUMEN CLIENTES'!C:C)</f>
        <v>Venezuela</v>
      </c>
      <c r="D1220" s="169" t="str">
        <f>+_xlfn.XLOOKUP(Tabla6[[#This Row],[ID CLIENTE]],'RESUMEN CLIENTES'!D:D,'RESUMEN CLIENTES'!M:M)</f>
        <v>OK</v>
      </c>
      <c r="E1220" s="71">
        <f>+_xlfn.XLOOKUP(Tabla6[[#This Row],[NOMBRE]],'RESUMEN CLIENTES'!A:A,'RESUMEN CLIENTES'!X:X)</f>
        <v>-9</v>
      </c>
      <c r="F1220" s="71">
        <f>+_xlfn.XLOOKUP(Tabla6[[#This Row],[ID CLIENTE]],'RESUMEN CLIENTES'!D:D,'RESUMEN CLIENTES'!W:W)</f>
        <v>0</v>
      </c>
      <c r="G1220" s="17">
        <v>46127</v>
      </c>
      <c r="H1220" s="169" t="s">
        <v>81</v>
      </c>
      <c r="I1220" s="2">
        <v>1000</v>
      </c>
      <c r="J1220"/>
      <c r="K1220"/>
      <c r="L1220" s="44" t="str" cm="1">
        <f t="array" ref="L1220">+_xlfn.IFS(COUNTIF(INGRESOS!E:E,Tabla6[[#This Row],[ID FACTURA]])=1,"PAGADA",Tabla6[[#This Row],[ID FACTURA]]&lt;&gt;0,"EMITIDA",Tabla6[[#This Row],[ID FACTURA]]=0,"POR EMITIR")</f>
        <v>POR EMITIR</v>
      </c>
      <c r="M1220" s="54" t="str">
        <f>+IF(Tabla6[[#This Row],[ESTADO FACTURA]]="PAGADA",Tabla6[[#This Row],[FECHA]]-_xlfn.XLOOKUP(Tabla6[[#This Row],[N° FACTURA]],INGRESOS!F:F,INGRESOS!A:A),"-")</f>
        <v>-</v>
      </c>
      <c r="O1220"/>
    </row>
    <row r="1221" spans="1:15" ht="14.75" customHeight="1">
      <c r="A1221" s="320" t="s">
        <v>751</v>
      </c>
      <c r="B1221" t="str">
        <f>+_xlfn.XLOOKUP(Tabla6[[#This Row],[ID CLIENTE]],'RESUMEN CLIENTES'!D:D,'RESUMEN CLIENTES'!A:A)</f>
        <v>Carlos Alberto Suarez Hernandez</v>
      </c>
      <c r="C1221" t="str">
        <f>+_xlfn.XLOOKUP(Tabla6[[#This Row],[ID CLIENTE]],'RESUMEN CLIENTES'!D:D,'RESUMEN CLIENTES'!C:C)</f>
        <v>Colombia</v>
      </c>
      <c r="D1221" s="44" t="str">
        <f>+_xlfn.XLOOKUP(Tabla6[[#This Row],[ID CLIENTE]],'RESUMEN CLIENTES'!D:D,'RESUMEN CLIENTES'!M:M)</f>
        <v>OK</v>
      </c>
      <c r="E1221" s="72">
        <f>+_xlfn.XLOOKUP(Tabla6[[#This Row],[NOMBRE]],'RESUMEN CLIENTES'!A:A,'RESUMEN CLIENTES'!X:X)</f>
        <v>0</v>
      </c>
      <c r="F1221" s="72">
        <f>+_xlfn.XLOOKUP(Tabla6[[#This Row],[ID CLIENTE]],'RESUMEN CLIENTES'!D:D,'RESUMEN CLIENTES'!W:W)</f>
        <v>1</v>
      </c>
      <c r="G1221" s="17">
        <v>46127</v>
      </c>
      <c r="H1221" s="44" t="s">
        <v>81</v>
      </c>
      <c r="I1221" s="2">
        <v>1000</v>
      </c>
      <c r="J1221"/>
      <c r="K1221"/>
      <c r="L1221" s="44" t="str" cm="1">
        <f t="array" ref="L1221">+_xlfn.IFS(COUNTIF(INGRESOS!E:E,Tabla6[[#This Row],[ID FACTURA]])=1,"PAGADA",Tabla6[[#This Row],[ID FACTURA]]&lt;&gt;0,"EMITIDA",Tabla6[[#This Row],[ID FACTURA]]=0,"POR EMITIR")</f>
        <v>POR EMITIR</v>
      </c>
      <c r="M1221" s="55" t="str">
        <f>+IF(Tabla6[[#This Row],[ESTADO FACTURA]]="PAGADA",Tabla6[[#This Row],[FECHA]]-_xlfn.XLOOKUP(Tabla6[[#This Row],[N° FACTURA]],INGRESOS!F:F,INGRESOS!A:A),"-")</f>
        <v>-</v>
      </c>
      <c r="N1221" s="2"/>
      <c r="O1221"/>
    </row>
    <row r="1222" spans="1:15" ht="14.75" customHeight="1">
      <c r="A1222" s="320" t="s">
        <v>156</v>
      </c>
      <c r="B1222" t="str">
        <f>+_xlfn.XLOOKUP(Tabla6[[#This Row],[ID CLIENTE]],'RESUMEN CLIENTES'!D:D,'RESUMEN CLIENTES'!A:A)</f>
        <v>Catalina Andrea Videla Muñoz</v>
      </c>
      <c r="C1222" t="str">
        <f>+_xlfn.XLOOKUP(Tabla6[[#This Row],[ID CLIENTE]],'RESUMEN CLIENTES'!D:D,'RESUMEN CLIENTES'!C:C)</f>
        <v>Chile</v>
      </c>
      <c r="D1222" s="44" t="str">
        <f>+_xlfn.XLOOKUP(Tabla6[[#This Row],[ID CLIENTE]],'RESUMEN CLIENTES'!D:D,'RESUMEN CLIENTES'!M:M)</f>
        <v>OK</v>
      </c>
      <c r="E1222" s="72">
        <f>+_xlfn.XLOOKUP(Tabla6[[#This Row],[NOMBRE]],'RESUMEN CLIENTES'!A:A,'RESUMEN CLIENTES'!X:X)</f>
        <v>1.5454545454545454</v>
      </c>
      <c r="F1222" s="72">
        <f>+_xlfn.XLOOKUP(Tabla6[[#This Row],[ID CLIENTE]],'RESUMEN CLIENTES'!D:D,'RESUMEN CLIENTES'!W:W)</f>
        <v>1</v>
      </c>
      <c r="G1222" s="17">
        <v>46127</v>
      </c>
      <c r="H1222" s="44" t="s">
        <v>81</v>
      </c>
      <c r="I1222" s="2">
        <v>800</v>
      </c>
      <c r="J1222"/>
      <c r="K1222"/>
      <c r="L1222" s="44" t="str" cm="1">
        <f t="array" ref="L1222">+_xlfn.IFS(COUNTIF(INGRESOS!E:E,Tabla6[[#This Row],[ID FACTURA]])=1,"PAGADA",Tabla6[[#This Row],[ID FACTURA]]&lt;&gt;0,"EMITIDA",Tabla6[[#This Row],[ID FACTURA]]=0,"POR EMITIR")</f>
        <v>POR EMITIR</v>
      </c>
      <c r="M1222" s="55" t="str">
        <f>+IF(Tabla6[[#This Row],[ESTADO FACTURA]]="PAGADA",Tabla6[[#This Row],[FECHA]]-_xlfn.XLOOKUP(Tabla6[[#This Row],[N° FACTURA]],INGRESOS!F:F,INGRESOS!A:A),"-")</f>
        <v>-</v>
      </c>
      <c r="N1222" s="2"/>
      <c r="O1222"/>
    </row>
    <row r="1223" spans="1:15" ht="14.75" customHeight="1">
      <c r="A1223" s="320" t="s">
        <v>90</v>
      </c>
      <c r="B1223" t="str">
        <f>+_xlfn.XLOOKUP(Tabla6[[#This Row],[ID CLIENTE]],'RESUMEN CLIENTES'!D:D,'RESUMEN CLIENTES'!A:A)</f>
        <v>David Enrique Díaz Mejía</v>
      </c>
      <c r="C1223" t="str">
        <f>+_xlfn.XLOOKUP(Tabla6[[#This Row],[ID CLIENTE]],'RESUMEN CLIENTES'!D:D,'RESUMEN CLIENTES'!C:C)</f>
        <v>Honduras</v>
      </c>
      <c r="D1223" s="44" t="str">
        <f>+_xlfn.XLOOKUP(Tabla6[[#This Row],[ID CLIENTE]],'RESUMEN CLIENTES'!D:D,'RESUMEN CLIENTES'!M:M)</f>
        <v>OK</v>
      </c>
      <c r="E1223" s="72">
        <f>+_xlfn.XLOOKUP(Tabla6[[#This Row],[NOMBRE]],'RESUMEN CLIENTES'!A:A,'RESUMEN CLIENTES'!X:X)</f>
        <v>-15.217592592592862</v>
      </c>
      <c r="F1223" s="72">
        <f>+_xlfn.XLOOKUP(Tabla6[[#This Row],[ID CLIENTE]],'RESUMEN CLIENTES'!D:D,'RESUMEN CLIENTES'!W:W)</f>
        <v>1</v>
      </c>
      <c r="G1223" s="17">
        <v>46127</v>
      </c>
      <c r="H1223" s="44" t="s">
        <v>81</v>
      </c>
      <c r="I1223" s="2">
        <v>500</v>
      </c>
      <c r="J1223"/>
      <c r="K1223"/>
      <c r="L1223" s="44" t="str" cm="1">
        <f t="array" ref="L1223">+_xlfn.IFS(COUNTIF(INGRESOS!E:E,Tabla6[[#This Row],[ID FACTURA]])=1,"PAGADA",Tabla6[[#This Row],[ID FACTURA]]&lt;&gt;0,"EMITIDA",Tabla6[[#This Row],[ID FACTURA]]=0,"POR EMITIR")</f>
        <v>POR EMITIR</v>
      </c>
      <c r="M1223" s="55" t="str">
        <f>+IF(Tabla6[[#This Row],[ESTADO FACTURA]]="PAGADA",Tabla6[[#This Row],[FECHA]]-_xlfn.XLOOKUP(Tabla6[[#This Row],[N° FACTURA]],INGRESOS!F:F,INGRESOS!A:A),"-")</f>
        <v>-</v>
      </c>
      <c r="N1223" s="2"/>
      <c r="O1223"/>
    </row>
    <row r="1224" spans="1:15" ht="14.75" customHeight="1">
      <c r="A1224" s="320" t="s">
        <v>1945</v>
      </c>
      <c r="B1224" t="str">
        <f>+_xlfn.XLOOKUP(Tabla6[[#This Row],[ID CLIENTE]],'RESUMEN CLIENTES'!D:D,'RESUMEN CLIENTES'!A:A)</f>
        <v>Fernanda Constanza Kompai Antu Arellano Guzmán</v>
      </c>
      <c r="C1224" t="str">
        <f>+_xlfn.XLOOKUP(Tabla6[[#This Row],[ID CLIENTE]],'RESUMEN CLIENTES'!D:D,'RESUMEN CLIENTES'!C:C)</f>
        <v>Chile</v>
      </c>
      <c r="D1224" s="169" t="str">
        <f>+_xlfn.XLOOKUP(Tabla6[[#This Row],[ID CLIENTE]],'RESUMEN CLIENTES'!D:D,'RESUMEN CLIENTES'!M:M)</f>
        <v>OK</v>
      </c>
      <c r="E1224" s="71">
        <f>+_xlfn.XLOOKUP(Tabla6[[#This Row],[NOMBRE]],'RESUMEN CLIENTES'!A:A,'RESUMEN CLIENTES'!X:X)</f>
        <v>0</v>
      </c>
      <c r="F1224" s="71">
        <f>+_xlfn.XLOOKUP(Tabla6[[#This Row],[ID CLIENTE]],'RESUMEN CLIENTES'!D:D,'RESUMEN CLIENTES'!W:W)</f>
        <v>0</v>
      </c>
      <c r="G1224" s="170">
        <v>46127</v>
      </c>
      <c r="H1224" s="170" t="s">
        <v>81</v>
      </c>
      <c r="I1224" s="2">
        <v>650</v>
      </c>
      <c r="J1224"/>
      <c r="K1224"/>
      <c r="L1224" s="44" t="str" cm="1">
        <f t="array" ref="L1224">+_xlfn.IFS(COUNTIF(INGRESOS!E:E,Tabla6[[#This Row],[ID FACTURA]])=1,"PAGADA",Tabla6[[#This Row],[ID FACTURA]]&lt;&gt;0,"EMITIDA",Tabla6[[#This Row],[ID FACTURA]]=0,"POR EMITIR")</f>
        <v>POR EMITIR</v>
      </c>
      <c r="M1224" s="54" t="str">
        <f>+IF(Tabla6[[#This Row],[ESTADO FACTURA]]="PAGADA",Tabla6[[#This Row],[FECHA]]-_xlfn.XLOOKUP(Tabla6[[#This Row],[N° FACTURA]],INGRESOS!F:F,INGRESOS!A:A),"-")</f>
        <v>-</v>
      </c>
      <c r="O1224"/>
    </row>
    <row r="1225" spans="1:15" ht="14.75" customHeight="1">
      <c r="A1225" s="320" t="s">
        <v>95</v>
      </c>
      <c r="B1225" t="str">
        <f>+_xlfn.XLOOKUP(Tabla6[[#This Row],[ID CLIENTE]],'RESUMEN CLIENTES'!D:D,'RESUMEN CLIENTES'!A:A)</f>
        <v>Gabriel Alejandro Ortega Moreno</v>
      </c>
      <c r="C1225" t="str">
        <f>+_xlfn.XLOOKUP(Tabla6[[#This Row],[ID CLIENTE]],'RESUMEN CLIENTES'!D:D,'RESUMEN CLIENTES'!C:C)</f>
        <v>Ecuador</v>
      </c>
      <c r="D1225" s="44" t="str">
        <f>+_xlfn.XLOOKUP(Tabla6[[#This Row],[ID CLIENTE]],'RESUMEN CLIENTES'!D:D,'RESUMEN CLIENTES'!M:M)</f>
        <v>OK</v>
      </c>
      <c r="E1225" s="72">
        <f>+_xlfn.XLOOKUP(Tabla6[[#This Row],[NOMBRE]],'RESUMEN CLIENTES'!A:A,'RESUMEN CLIENTES'!X:X)</f>
        <v>-0.1111111111111111</v>
      </c>
      <c r="F1225" s="72">
        <f>+_xlfn.XLOOKUP(Tabla6[[#This Row],[ID CLIENTE]],'RESUMEN CLIENTES'!D:D,'RESUMEN CLIENTES'!W:W)</f>
        <v>0</v>
      </c>
      <c r="G1225" s="17">
        <v>46127</v>
      </c>
      <c r="H1225" s="44" t="s">
        <v>81</v>
      </c>
      <c r="I1225" s="2">
        <v>600</v>
      </c>
      <c r="J1225"/>
      <c r="K1225"/>
      <c r="L1225" s="44" t="str" cm="1">
        <f t="array" ref="L1225">+_xlfn.IFS(COUNTIF(INGRESOS!E:E,Tabla6[[#This Row],[ID FACTURA]])=1,"PAGADA",Tabla6[[#This Row],[ID FACTURA]]&lt;&gt;0,"EMITIDA",Tabla6[[#This Row],[ID FACTURA]]=0,"POR EMITIR")</f>
        <v>POR EMITIR</v>
      </c>
      <c r="M1225" s="55" t="str">
        <f>+IF(Tabla6[[#This Row],[ESTADO FACTURA]]="PAGADA",Tabla6[[#This Row],[FECHA]]-_xlfn.XLOOKUP(Tabla6[[#This Row],[N° FACTURA]],INGRESOS!F:F,INGRESOS!A:A),"-")</f>
        <v>-</v>
      </c>
      <c r="N1225" s="2"/>
      <c r="O1225" t="s">
        <v>2083</v>
      </c>
    </row>
    <row r="1226" spans="1:15" ht="14.75" customHeight="1">
      <c r="A1226" s="320" t="s">
        <v>98</v>
      </c>
      <c r="B1226" t="str">
        <f>+_xlfn.XLOOKUP(Tabla6[[#This Row],[ID CLIENTE]],'RESUMEN CLIENTES'!D:D,'RESUMEN CLIENTES'!A:A)</f>
        <v>Gabriela Kimberlyn Moran Caiza</v>
      </c>
      <c r="C1226" t="str">
        <f>+_xlfn.XLOOKUP(Tabla6[[#This Row],[ID CLIENTE]],'RESUMEN CLIENTES'!D:D,'RESUMEN CLIENTES'!C:C)</f>
        <v>Ecuador</v>
      </c>
      <c r="D1226" s="44" t="str">
        <f>+_xlfn.XLOOKUP(Tabla6[[#This Row],[ID CLIENTE]],'RESUMEN CLIENTES'!D:D,'RESUMEN CLIENTES'!M:M)</f>
        <v>OK</v>
      </c>
      <c r="E1226" s="72">
        <f>+_xlfn.XLOOKUP(Tabla6[[#This Row],[NOMBRE]],'RESUMEN CLIENTES'!A:A,'RESUMEN CLIENTES'!X:X)</f>
        <v>-1.25</v>
      </c>
      <c r="F1226" s="72">
        <f>+_xlfn.XLOOKUP(Tabla6[[#This Row],[ID CLIENTE]],'RESUMEN CLIENTES'!D:D,'RESUMEN CLIENTES'!W:W)</f>
        <v>0</v>
      </c>
      <c r="G1226" s="17">
        <v>46127</v>
      </c>
      <c r="H1226" s="44" t="s">
        <v>81</v>
      </c>
      <c r="I1226" s="2">
        <v>300</v>
      </c>
      <c r="J1226"/>
      <c r="K1226"/>
      <c r="L1226" s="44" t="str" cm="1">
        <f t="array" ref="L1226">+_xlfn.IFS(COUNTIF(INGRESOS!E:E,Tabla6[[#This Row],[ID FACTURA]])=1,"PAGADA",Tabla6[[#This Row],[ID FACTURA]]&lt;&gt;0,"EMITIDA",Tabla6[[#This Row],[ID FACTURA]]=0,"POR EMITIR")</f>
        <v>POR EMITIR</v>
      </c>
      <c r="M1226" s="55" t="str">
        <f>+IF(Tabla6[[#This Row],[ESTADO FACTURA]]="PAGADA",Tabla6[[#This Row],[FECHA]]-_xlfn.XLOOKUP(Tabla6[[#This Row],[N° FACTURA]],INGRESOS!F:F,INGRESOS!A:A),"-")</f>
        <v>-</v>
      </c>
      <c r="N1226" s="2"/>
      <c r="O1226"/>
    </row>
    <row r="1227" spans="1:15" ht="14.75" customHeight="1">
      <c r="A1227" s="320" t="s">
        <v>103</v>
      </c>
      <c r="B1227" t="str">
        <f>+_xlfn.XLOOKUP(Tabla6[[#This Row],[ID CLIENTE]],'RESUMEN CLIENTES'!D:D,'RESUMEN CLIENTES'!A:A)</f>
        <v>Isaac Ricardo Jimenez Campos</v>
      </c>
      <c r="C1227" t="str">
        <f>+_xlfn.XLOOKUP(Tabla6[[#This Row],[ID CLIENTE]],'RESUMEN CLIENTES'!D:D,'RESUMEN CLIENTES'!C:C)</f>
        <v>México</v>
      </c>
      <c r="D1227" s="44" t="str">
        <f>+_xlfn.XLOOKUP(Tabla6[[#This Row],[ID CLIENTE]],'RESUMEN CLIENTES'!D:D,'RESUMEN CLIENTES'!M:M)</f>
        <v>OK</v>
      </c>
      <c r="E1227" s="72">
        <f>+_xlfn.XLOOKUP(Tabla6[[#This Row],[NOMBRE]],'RESUMEN CLIENTES'!A:A,'RESUMEN CLIENTES'!X:X)</f>
        <v>0.5</v>
      </c>
      <c r="F1227" s="72">
        <f>+_xlfn.XLOOKUP(Tabla6[[#This Row],[ID CLIENTE]],'RESUMEN CLIENTES'!D:D,'RESUMEN CLIENTES'!W:W)</f>
        <v>1</v>
      </c>
      <c r="G1227" s="17">
        <v>46127</v>
      </c>
      <c r="H1227" s="44" t="s">
        <v>81</v>
      </c>
      <c r="I1227" s="2">
        <v>654</v>
      </c>
      <c r="J1227"/>
      <c r="K1227"/>
      <c r="L1227" s="44" t="str" cm="1">
        <f t="array" ref="L1227">+_xlfn.IFS(COUNTIF(INGRESOS!E:E,Tabla6[[#This Row],[ID FACTURA]])=1,"PAGADA",Tabla6[[#This Row],[ID FACTURA]]&lt;&gt;0,"EMITIDA",Tabla6[[#This Row],[ID FACTURA]]=0,"POR EMITIR")</f>
        <v>POR EMITIR</v>
      </c>
      <c r="M1227" s="55" t="str">
        <f>+IF(Tabla6[[#This Row],[ESTADO FACTURA]]="PAGADA",Tabla6[[#This Row],[FECHA]]-_xlfn.XLOOKUP(Tabla6[[#This Row],[N° FACTURA]],INGRESOS!F:F,INGRESOS!A:A),"-")</f>
        <v>-</v>
      </c>
      <c r="N1227" s="2"/>
      <c r="O1227"/>
    </row>
    <row r="1228" spans="1:15" ht="14.75" customHeight="1">
      <c r="A1228" s="320" t="s">
        <v>362</v>
      </c>
      <c r="B1228" t="str">
        <f>+_xlfn.XLOOKUP(Tabla6[[#This Row],[ID CLIENTE]],'RESUMEN CLIENTES'!D:D,'RESUMEN CLIENTES'!A:A)</f>
        <v>Jessica Ayelén Culla Alvarez</v>
      </c>
      <c r="C1228" t="str">
        <f>+_xlfn.XLOOKUP(Tabla6[[#This Row],[ID CLIENTE]],'RESUMEN CLIENTES'!D:D,'RESUMEN CLIENTES'!C:C)</f>
        <v>Argentina</v>
      </c>
      <c r="D1228" s="44" t="str">
        <f>+_xlfn.XLOOKUP(Tabla6[[#This Row],[ID CLIENTE]],'RESUMEN CLIENTES'!D:D,'RESUMEN CLIENTES'!M:M)</f>
        <v>OK</v>
      </c>
      <c r="E1228" s="72">
        <f>+_xlfn.XLOOKUP(Tabla6[[#This Row],[NOMBRE]],'RESUMEN CLIENTES'!A:A,'RESUMEN CLIENTES'!X:X)</f>
        <v>-2.1538461538461537</v>
      </c>
      <c r="F1228" s="72">
        <f>+_xlfn.XLOOKUP(Tabla6[[#This Row],[ID CLIENTE]],'RESUMEN CLIENTES'!D:D,'RESUMEN CLIENTES'!W:W)</f>
        <v>1</v>
      </c>
      <c r="G1228" s="17">
        <v>46127</v>
      </c>
      <c r="H1228" s="44" t="s">
        <v>81</v>
      </c>
      <c r="I1228" s="2">
        <v>1000</v>
      </c>
      <c r="J1228"/>
      <c r="K1228"/>
      <c r="L1228" s="44" t="str" cm="1">
        <f t="array" ref="L1228">+_xlfn.IFS(COUNTIF(INGRESOS!E:E,Tabla6[[#This Row],[ID FACTURA]])=1,"PAGADA",Tabla6[[#This Row],[ID FACTURA]]&lt;&gt;0,"EMITIDA",Tabla6[[#This Row],[ID FACTURA]]=0,"POR EMITIR")</f>
        <v>POR EMITIR</v>
      </c>
      <c r="M1228" s="55" t="str">
        <f>+IF(Tabla6[[#This Row],[ESTADO FACTURA]]="PAGADA",Tabla6[[#This Row],[FECHA]]-_xlfn.XLOOKUP(Tabla6[[#This Row],[N° FACTURA]],INGRESOS!F:F,INGRESOS!A:A),"-")</f>
        <v>-</v>
      </c>
      <c r="N1228" s="2"/>
      <c r="O1228"/>
    </row>
    <row r="1229" spans="1:15" ht="14.75" customHeight="1">
      <c r="A1229" s="321" t="s">
        <v>1875</v>
      </c>
      <c r="B1229" t="str">
        <f>+_xlfn.XLOOKUP(Tabla6[[#This Row],[ID CLIENTE]],'RESUMEN CLIENTES'!D:D,'RESUMEN CLIENTES'!A:A)</f>
        <v>Laura Giraldo</v>
      </c>
      <c r="C1229" t="str">
        <f>+_xlfn.XLOOKUP(Tabla6[[#This Row],[ID CLIENTE]],'RESUMEN CLIENTES'!D:D,'RESUMEN CLIENTES'!C:C)</f>
        <v>Colombia</v>
      </c>
      <c r="D1229" s="169" t="str">
        <f>+_xlfn.XLOOKUP(Tabla6[[#This Row],[ID CLIENTE]],'RESUMEN CLIENTES'!D:D,'RESUMEN CLIENTES'!M:M)</f>
        <v>OK</v>
      </c>
      <c r="E1229" s="71">
        <f>+_xlfn.XLOOKUP(Tabla6[[#This Row],[NOMBRE]],'RESUMEN CLIENTES'!A:A,'RESUMEN CLIENTES'!X:X)</f>
        <v>-3.25</v>
      </c>
      <c r="F1229" s="71">
        <f>+_xlfn.XLOOKUP(Tabla6[[#This Row],[ID CLIENTE]],'RESUMEN CLIENTES'!D:D,'RESUMEN CLIENTES'!W:W)</f>
        <v>1</v>
      </c>
      <c r="G1229" s="17">
        <v>46127</v>
      </c>
      <c r="H1229" s="169" t="s">
        <v>1876</v>
      </c>
      <c r="I1229" s="2">
        <v>500</v>
      </c>
      <c r="J1229"/>
      <c r="K1229"/>
      <c r="L1229" s="44" t="str" cm="1">
        <f t="array" ref="L1229">+_xlfn.IFS(COUNTIF(INGRESOS!E:E,Tabla6[[#This Row],[ID FACTURA]])=1,"PAGADA",Tabla6[[#This Row],[ID FACTURA]]&lt;&gt;0,"EMITIDA",Tabla6[[#This Row],[ID FACTURA]]=0,"POR EMITIR")</f>
        <v>POR EMITIR</v>
      </c>
      <c r="M1229" s="54" t="str">
        <f>+IF(Tabla6[[#This Row],[ESTADO FACTURA]]="PAGADA",Tabla6[[#This Row],[FECHA]]-_xlfn.XLOOKUP(Tabla6[[#This Row],[N° FACTURA]],INGRESOS!F:F,INGRESOS!A:A),"-")</f>
        <v>-</v>
      </c>
      <c r="O1229"/>
    </row>
    <row r="1230" spans="1:15" ht="14.75" customHeight="1">
      <c r="A1230" s="320" t="s">
        <v>762</v>
      </c>
      <c r="B1230" t="str">
        <f>+_xlfn.XLOOKUP(Tabla6[[#This Row],[ID CLIENTE]],'RESUMEN CLIENTES'!D:D,'RESUMEN CLIENTES'!A:A)</f>
        <v>María Stefania Gelvez Olaya</v>
      </c>
      <c r="C1230" t="str">
        <f>+_xlfn.XLOOKUP(Tabla6[[#This Row],[ID CLIENTE]],'RESUMEN CLIENTES'!D:D,'RESUMEN CLIENTES'!C:C)</f>
        <v>Colombia</v>
      </c>
      <c r="D1230" s="44" t="str">
        <f>+_xlfn.XLOOKUP(Tabla6[[#This Row],[ID CLIENTE]],'RESUMEN CLIENTES'!D:D,'RESUMEN CLIENTES'!M:M)</f>
        <v>OK</v>
      </c>
      <c r="E1230" s="72">
        <f>+_xlfn.XLOOKUP(Tabla6[[#This Row],[NOMBRE]],'RESUMEN CLIENTES'!A:A,'RESUMEN CLIENTES'!X:X)</f>
        <v>-0.14285714285714285</v>
      </c>
      <c r="F1230" s="72">
        <f>+_xlfn.XLOOKUP(Tabla6[[#This Row],[ID CLIENTE]],'RESUMEN CLIENTES'!D:D,'RESUMEN CLIENTES'!W:W)</f>
        <v>1</v>
      </c>
      <c r="G1230" s="17">
        <v>46127</v>
      </c>
      <c r="H1230" s="44" t="s">
        <v>81</v>
      </c>
      <c r="I1230" s="2">
        <v>1000</v>
      </c>
      <c r="J1230"/>
      <c r="K1230"/>
      <c r="L1230" s="44" t="str" cm="1">
        <f t="array" ref="L1230">+_xlfn.IFS(COUNTIF(INGRESOS!E:E,Tabla6[[#This Row],[ID FACTURA]])=1,"PAGADA",Tabla6[[#This Row],[ID FACTURA]]&lt;&gt;0,"EMITIDA",Tabla6[[#This Row],[ID FACTURA]]=0,"POR EMITIR")</f>
        <v>POR EMITIR</v>
      </c>
      <c r="M1230" s="55" t="str">
        <f>+IF(Tabla6[[#This Row],[ESTADO FACTURA]]="PAGADA",Tabla6[[#This Row],[FECHA]]-_xlfn.XLOOKUP(Tabla6[[#This Row],[N° FACTURA]],INGRESOS!F:F,INGRESOS!A:A),"-")</f>
        <v>-</v>
      </c>
      <c r="N1230" s="2"/>
      <c r="O1230"/>
    </row>
    <row r="1231" spans="1:15" ht="14.75" customHeight="1">
      <c r="A1231" s="320" t="s">
        <v>242</v>
      </c>
      <c r="B1231" t="str">
        <f>+_xlfn.XLOOKUP(Tabla6[[#This Row],[ID CLIENTE]],'RESUMEN CLIENTES'!D:D,'RESUMEN CLIENTES'!A:A)</f>
        <v>Rodrigo Ignacio Rodriguez Frutos</v>
      </c>
      <c r="C1231" t="str">
        <f>+_xlfn.XLOOKUP(Tabla6[[#This Row],[ID CLIENTE]],'RESUMEN CLIENTES'!D:D,'RESUMEN CLIENTES'!C:C)</f>
        <v>México</v>
      </c>
      <c r="D1231" s="44" t="str">
        <f>+_xlfn.XLOOKUP(Tabla6[[#This Row],[ID CLIENTE]],'RESUMEN CLIENTES'!D:D,'RESUMEN CLIENTES'!M:M)</f>
        <v>OK</v>
      </c>
      <c r="E1231" s="72">
        <f>+_xlfn.XLOOKUP(Tabla6[[#This Row],[NOMBRE]],'RESUMEN CLIENTES'!A:A,'RESUMEN CLIENTES'!X:X)</f>
        <v>-1.4285714285714286</v>
      </c>
      <c r="F1231" s="72">
        <f>+_xlfn.XLOOKUP(Tabla6[[#This Row],[ID CLIENTE]],'RESUMEN CLIENTES'!D:D,'RESUMEN CLIENTES'!W:W)</f>
        <v>1</v>
      </c>
      <c r="G1231" s="17">
        <v>46127</v>
      </c>
      <c r="H1231" s="44" t="s">
        <v>81</v>
      </c>
      <c r="I1231" s="2">
        <v>630</v>
      </c>
      <c r="J1231"/>
      <c r="K1231"/>
      <c r="L1231" s="44" t="str" cm="1">
        <f t="array" ref="L1231">+_xlfn.IFS(COUNTIF(INGRESOS!E:E,Tabla6[[#This Row],[ID FACTURA]])=1,"PAGADA",Tabla6[[#This Row],[ID FACTURA]]&lt;&gt;0,"EMITIDA",Tabla6[[#This Row],[ID FACTURA]]=0,"POR EMITIR")</f>
        <v>POR EMITIR</v>
      </c>
      <c r="M1231" s="55" t="str">
        <f>+IF(Tabla6[[#This Row],[ESTADO FACTURA]]="PAGADA",Tabla6[[#This Row],[FECHA]]-_xlfn.XLOOKUP(Tabla6[[#This Row],[N° FACTURA]],INGRESOS!F:F,INGRESOS!A:A),"-")</f>
        <v>-</v>
      </c>
      <c r="N1231" s="2"/>
      <c r="O1231"/>
    </row>
    <row r="1232" spans="1:15" ht="14.75" customHeight="1">
      <c r="A1232" s="321" t="s">
        <v>1756</v>
      </c>
      <c r="B1232" t="str">
        <f>+_xlfn.XLOOKUP(Tabla6[[#This Row],[ID CLIENTE]],'RESUMEN CLIENTES'!D:D,'RESUMEN CLIENTES'!A:A)</f>
        <v>Aylin Micaela Ortiz Chiriboga</v>
      </c>
      <c r="C1232" t="str">
        <f>+_xlfn.XLOOKUP(Tabla6[[#This Row],[ID CLIENTE]],'RESUMEN CLIENTES'!D:D,'RESUMEN CLIENTES'!C:C)</f>
        <v>Ecuador</v>
      </c>
      <c r="D1232" s="169" t="str">
        <f>+_xlfn.XLOOKUP(Tabla6[[#This Row],[ID CLIENTE]],'RESUMEN CLIENTES'!D:D,'RESUMEN CLIENTES'!M:M)</f>
        <v>¡REGULARIZAR!</v>
      </c>
      <c r="E1232" s="71">
        <f>+_xlfn.XLOOKUP(Tabla6[[#This Row],[NOMBRE]],'RESUMEN CLIENTES'!A:A,'RESUMEN CLIENTES'!X:X)</f>
        <v>0</v>
      </c>
      <c r="F1232" s="71">
        <f>+_xlfn.XLOOKUP(Tabla6[[#This Row],[ID CLIENTE]],'RESUMEN CLIENTES'!D:D,'RESUMEN CLIENTES'!W:W)</f>
        <v>1</v>
      </c>
      <c r="G1232" s="170">
        <v>46128</v>
      </c>
      <c r="H1232" s="169" t="s">
        <v>81</v>
      </c>
      <c r="I1232" s="2">
        <v>650</v>
      </c>
      <c r="J1232"/>
      <c r="K1232"/>
      <c r="L1232" s="44" t="str" cm="1">
        <f t="array" ref="L1232">+_xlfn.IFS(COUNTIF(INGRESOS!E:E,Tabla6[[#This Row],[ID FACTURA]])=1,"PAGADA",Tabla6[[#This Row],[ID FACTURA]]&lt;&gt;0,"EMITIDA",Tabla6[[#This Row],[ID FACTURA]]=0,"POR EMITIR")</f>
        <v>POR EMITIR</v>
      </c>
      <c r="M1232" s="54" t="str">
        <f>+IF(Tabla6[[#This Row],[ESTADO FACTURA]]="PAGADA",Tabla6[[#This Row],[FECHA]]-_xlfn.XLOOKUP(Tabla6[[#This Row],[N° FACTURA]],INGRESOS!F:F,INGRESOS!A:A),"-")</f>
        <v>-</v>
      </c>
      <c r="O1232"/>
    </row>
    <row r="1233" spans="1:15" ht="14.75" customHeight="1">
      <c r="A1233" s="320" t="s">
        <v>1996</v>
      </c>
      <c r="B1233" t="str">
        <f>+_xlfn.XLOOKUP(Tabla6[[#This Row],[ID CLIENTE]],'RESUMEN CLIENTES'!D:D,'RESUMEN CLIENTES'!A:A)</f>
        <v>Ivan Gonzales Graus</v>
      </c>
      <c r="C1233" t="str">
        <f>+_xlfn.XLOOKUP(Tabla6[[#This Row],[ID CLIENTE]],'RESUMEN CLIENTES'!D:D,'RESUMEN CLIENTES'!C:C)</f>
        <v>Perú</v>
      </c>
      <c r="D1233" s="169" t="str">
        <f>+_xlfn.XLOOKUP(Tabla6[[#This Row],[ID CLIENTE]],'RESUMEN CLIENTES'!D:D,'RESUMEN CLIENTES'!M:M)</f>
        <v>OK</v>
      </c>
      <c r="E1233" s="71">
        <f>+_xlfn.XLOOKUP(Tabla6[[#This Row],[NOMBRE]],'RESUMEN CLIENTES'!A:A,'RESUMEN CLIENTES'!X:X)</f>
        <v>-2</v>
      </c>
      <c r="F1233" s="71">
        <f>+_xlfn.XLOOKUP(Tabla6[[#This Row],[ID CLIENTE]],'RESUMEN CLIENTES'!D:D,'RESUMEN CLIENTES'!W:W)</f>
        <v>1</v>
      </c>
      <c r="G1233" s="17">
        <v>46128</v>
      </c>
      <c r="H1233" s="169" t="s">
        <v>81</v>
      </c>
      <c r="I1233" s="2">
        <v>650</v>
      </c>
      <c r="J1233"/>
      <c r="K1233"/>
      <c r="L1233" s="44" t="str" cm="1">
        <f t="array" ref="L1233">+_xlfn.IFS(COUNTIF(INGRESOS!E:E,Tabla6[[#This Row],[ID FACTURA]])=1,"PAGADA",Tabla6[[#This Row],[ID FACTURA]]&lt;&gt;0,"EMITIDA",Tabla6[[#This Row],[ID FACTURA]]=0,"POR EMITIR")</f>
        <v>POR EMITIR</v>
      </c>
      <c r="M1233" s="54" t="str">
        <f>+IF(Tabla6[[#This Row],[ESTADO FACTURA]]="PAGADA",Tabla6[[#This Row],[FECHA]]-_xlfn.XLOOKUP(Tabla6[[#This Row],[N° FACTURA]],INGRESOS!F:F,INGRESOS!A:A),"-")</f>
        <v>-</v>
      </c>
      <c r="O1233"/>
    </row>
    <row r="1234" spans="1:15" ht="14.75" customHeight="1">
      <c r="A1234" s="320" t="s">
        <v>2046</v>
      </c>
      <c r="B1234" t="str">
        <f>+_xlfn.XLOOKUP(Tabla6[[#This Row],[ID CLIENTE]],'RESUMEN CLIENTES'!D:D,'RESUMEN CLIENTES'!A:A)</f>
        <v>Jesica Daniela Paredes Mendoza</v>
      </c>
      <c r="C1234" t="str">
        <f>+_xlfn.XLOOKUP(Tabla6[[#This Row],[ID CLIENTE]],'RESUMEN CLIENTES'!D:D,'RESUMEN CLIENTES'!C:C)</f>
        <v>México</v>
      </c>
      <c r="D1234" s="169" t="str">
        <f>+_xlfn.XLOOKUP(Tabla6[[#This Row],[ID CLIENTE]],'RESUMEN CLIENTES'!D:D,'RESUMEN CLIENTES'!M:M)</f>
        <v>OK</v>
      </c>
      <c r="E1234" s="71">
        <f>+_xlfn.XLOOKUP(Tabla6[[#This Row],[NOMBRE]],'RESUMEN CLIENTES'!A:A,'RESUMEN CLIENTES'!X:X)</f>
        <v>-2.75</v>
      </c>
      <c r="F1234" s="71">
        <f>+_xlfn.XLOOKUP(Tabla6[[#This Row],[ID CLIENTE]],'RESUMEN CLIENTES'!D:D,'RESUMEN CLIENTES'!W:W)</f>
        <v>1</v>
      </c>
      <c r="G1234" s="17">
        <v>46128</v>
      </c>
      <c r="H1234" s="169" t="s">
        <v>81</v>
      </c>
      <c r="I1234" s="2">
        <v>500</v>
      </c>
      <c r="J1234"/>
      <c r="K1234"/>
      <c r="L1234" s="44" t="str" cm="1">
        <f t="array" ref="L1234">+_xlfn.IFS(COUNTIF(INGRESOS!E:E,Tabla6[[#This Row],[ID FACTURA]])=1,"PAGADA",Tabla6[[#This Row],[ID FACTURA]]&lt;&gt;0,"EMITIDA",Tabla6[[#This Row],[ID FACTURA]]=0,"POR EMITIR")</f>
        <v>POR EMITIR</v>
      </c>
      <c r="M1234" s="54" t="str">
        <f>+IF(Tabla6[[#This Row],[ESTADO FACTURA]]="PAGADA",Tabla6[[#This Row],[FECHA]]-_xlfn.XLOOKUP(Tabla6[[#This Row],[N° FACTURA]],INGRESOS!F:F,INGRESOS!A:A),"-")</f>
        <v>-</v>
      </c>
      <c r="O1234"/>
    </row>
    <row r="1235" spans="1:15" ht="14.75" customHeight="1">
      <c r="A1235" s="320" t="s">
        <v>247</v>
      </c>
      <c r="B1235" t="str">
        <f>+_xlfn.XLOOKUP(Tabla6[[#This Row],[ID CLIENTE]],'RESUMEN CLIENTES'!D:D,'RESUMEN CLIENTES'!A:A)</f>
        <v>Nancy Gisselle Molinari Cheme</v>
      </c>
      <c r="C1235" t="str">
        <f>+_xlfn.XLOOKUP(Tabla6[[#This Row],[ID CLIENTE]],'RESUMEN CLIENTES'!D:D,'RESUMEN CLIENTES'!C:C)</f>
        <v>Perú</v>
      </c>
      <c r="D1235" s="44" t="str">
        <f>+_xlfn.XLOOKUP(Tabla6[[#This Row],[ID CLIENTE]],'RESUMEN CLIENTES'!D:D,'RESUMEN CLIENTES'!M:M)</f>
        <v>OK</v>
      </c>
      <c r="E1235" s="72">
        <f>+_xlfn.XLOOKUP(Tabla6[[#This Row],[NOMBRE]],'RESUMEN CLIENTES'!A:A,'RESUMEN CLIENTES'!X:X)</f>
        <v>0.9</v>
      </c>
      <c r="F1235" s="72">
        <f>+_xlfn.XLOOKUP(Tabla6[[#This Row],[ID CLIENTE]],'RESUMEN CLIENTES'!D:D,'RESUMEN CLIENTES'!W:W)</f>
        <v>1</v>
      </c>
      <c r="G1235" s="17">
        <v>46130</v>
      </c>
      <c r="H1235" s="44" t="s">
        <v>81</v>
      </c>
      <c r="I1235" s="2">
        <v>1000</v>
      </c>
      <c r="J1235"/>
      <c r="K1235"/>
      <c r="L1235" s="44" t="str" cm="1">
        <f t="array" ref="L1235">+_xlfn.IFS(COUNTIF(INGRESOS!E:E,Tabla6[[#This Row],[ID FACTURA]])=1,"PAGADA",Tabla6[[#This Row],[ID FACTURA]]&lt;&gt;0,"EMITIDA",Tabla6[[#This Row],[ID FACTURA]]=0,"POR EMITIR")</f>
        <v>POR EMITIR</v>
      </c>
      <c r="M1235" s="55" t="str">
        <f>+IF(Tabla6[[#This Row],[ESTADO FACTURA]]="PAGADA",Tabla6[[#This Row],[FECHA]]-_xlfn.XLOOKUP(Tabla6[[#This Row],[N° FACTURA]],INGRESOS!F:F,INGRESOS!A:A),"-")</f>
        <v>-</v>
      </c>
      <c r="N1235" s="2"/>
      <c r="O1235"/>
    </row>
    <row r="1236" spans="1:15" ht="14.75" customHeight="1">
      <c r="A1236" s="320" t="s">
        <v>1001</v>
      </c>
      <c r="B1236" t="str">
        <f>+_xlfn.XLOOKUP(Tabla6[[#This Row],[ID CLIENTE]],'RESUMEN CLIENTES'!D:D,'RESUMEN CLIENTES'!A:A)</f>
        <v>Karenn Yadira Tavera Lara</v>
      </c>
      <c r="C1236" t="str">
        <f>+_xlfn.XLOOKUP(Tabla6[[#This Row],[ID CLIENTE]],'RESUMEN CLIENTES'!D:D,'RESUMEN CLIENTES'!C:C)</f>
        <v>México</v>
      </c>
      <c r="D1236" s="44" t="str">
        <f>+_xlfn.XLOOKUP(Tabla6[[#This Row],[ID CLIENTE]],'RESUMEN CLIENTES'!D:D,'RESUMEN CLIENTES'!M:M)</f>
        <v>OK</v>
      </c>
      <c r="E1236" s="72">
        <f>+_xlfn.XLOOKUP(Tabla6[[#This Row],[NOMBRE]],'RESUMEN CLIENTES'!A:A,'RESUMEN CLIENTES'!X:X)</f>
        <v>1.5</v>
      </c>
      <c r="F1236" s="72">
        <f>+_xlfn.XLOOKUP(Tabla6[[#This Row],[ID CLIENTE]],'RESUMEN CLIENTES'!D:D,'RESUMEN CLIENTES'!W:W)</f>
        <v>1</v>
      </c>
      <c r="G1236" s="17">
        <v>46131</v>
      </c>
      <c r="H1236" s="44" t="s">
        <v>81</v>
      </c>
      <c r="I1236" s="2">
        <v>1000</v>
      </c>
      <c r="J1236"/>
      <c r="K1236"/>
      <c r="L1236" s="44" t="str" cm="1">
        <f t="array" ref="L1236">+_xlfn.IFS(COUNTIF(INGRESOS!E:E,Tabla6[[#This Row],[ID FACTURA]])=1,"PAGADA",Tabla6[[#This Row],[ID FACTURA]]&lt;&gt;0,"EMITIDA",Tabla6[[#This Row],[ID FACTURA]]=0,"POR EMITIR")</f>
        <v>POR EMITIR</v>
      </c>
      <c r="M1236" s="55" t="str">
        <f>+IF(Tabla6[[#This Row],[ESTADO FACTURA]]="PAGADA",Tabla6[[#This Row],[FECHA]]-_xlfn.XLOOKUP(Tabla6[[#This Row],[N° FACTURA]],INGRESOS!F:F,INGRESOS!A:A),"-")</f>
        <v>-</v>
      </c>
      <c r="N1236" s="2"/>
      <c r="O1236"/>
    </row>
    <row r="1237" spans="1:15" ht="14.75" customHeight="1">
      <c r="A1237" s="320" t="s">
        <v>574</v>
      </c>
      <c r="B1237" t="str">
        <f>+_xlfn.XLOOKUP(Tabla6[[#This Row],[ID CLIENTE]],'RESUMEN CLIENTES'!D:D,'RESUMEN CLIENTES'!A:A)</f>
        <v>Astrid Mariam Enamorado Ortega</v>
      </c>
      <c r="C1237" t="str">
        <f>+_xlfn.XLOOKUP(Tabla6[[#This Row],[ID CLIENTE]],'RESUMEN CLIENTES'!D:D,'RESUMEN CLIENTES'!C:C)</f>
        <v>Honduras</v>
      </c>
      <c r="D1237" s="44" t="str">
        <f>+_xlfn.XLOOKUP(Tabla6[[#This Row],[ID CLIENTE]],'RESUMEN CLIENTES'!D:D,'RESUMEN CLIENTES'!M:M)</f>
        <v>OK</v>
      </c>
      <c r="E1237" s="72">
        <f>+_xlfn.XLOOKUP(Tabla6[[#This Row],[NOMBRE]],'RESUMEN CLIENTES'!A:A,'RESUMEN CLIENTES'!X:X)</f>
        <v>-1.75</v>
      </c>
      <c r="F1237" s="72">
        <f>+_xlfn.XLOOKUP(Tabla6[[#This Row],[ID CLIENTE]],'RESUMEN CLIENTES'!D:D,'RESUMEN CLIENTES'!W:W)</f>
        <v>0</v>
      </c>
      <c r="G1237" s="17">
        <v>46132</v>
      </c>
      <c r="H1237" s="44" t="s">
        <v>81</v>
      </c>
      <c r="I1237" s="2">
        <v>1060</v>
      </c>
      <c r="J1237"/>
      <c r="K1237"/>
      <c r="L1237" s="44" t="str" cm="1">
        <f t="array" ref="L1237">+_xlfn.IFS(COUNTIF(INGRESOS!E:E,Tabla6[[#This Row],[ID FACTURA]])=1,"PAGADA",Tabla6[[#This Row],[ID FACTURA]]&lt;&gt;0,"EMITIDA",Tabla6[[#This Row],[ID FACTURA]]=0,"POR EMITIR")</f>
        <v>POR EMITIR</v>
      </c>
      <c r="M1237" s="55" t="str">
        <f>+IF(Tabla6[[#This Row],[ESTADO FACTURA]]="PAGADA",Tabla6[[#This Row],[FECHA]]-_xlfn.XLOOKUP(Tabla6[[#This Row],[N° FACTURA]],INGRESOS!F:F,INGRESOS!A:A),"-")</f>
        <v>-</v>
      </c>
      <c r="N1237" s="2"/>
      <c r="O1237"/>
    </row>
    <row r="1238" spans="1:15" ht="14.75" customHeight="1">
      <c r="A1238" s="320" t="s">
        <v>4660</v>
      </c>
      <c r="B1238" t="str">
        <f>+_xlfn.XLOOKUP(Tabla6[[#This Row],[ID CLIENTE]],'RESUMEN CLIENTES'!D:D,'RESUMEN CLIENTES'!A:A)</f>
        <v>Edipris Flores</v>
      </c>
      <c r="C1238" s="15" t="str">
        <f>+_xlfn.XLOOKUP(Tabla6[[#This Row],[ID CLIENTE]],'RESUMEN CLIENTES'!D:D,'RESUMEN CLIENTES'!C:C)</f>
        <v>Chile</v>
      </c>
      <c r="D1238" s="169" t="str">
        <f>+_xlfn.XLOOKUP(Tabla6[[#This Row],[ID CLIENTE]],'RESUMEN CLIENTES'!D:D,'RESUMEN CLIENTES'!M:M)</f>
        <v>OK</v>
      </c>
      <c r="E1238" s="71">
        <f>+_xlfn.XLOOKUP(Tabla6[[#This Row],[NOMBRE]],'RESUMEN CLIENTES'!A:A,'RESUMEN CLIENTES'!X:X)</f>
        <v>-4</v>
      </c>
      <c r="F1238" s="71">
        <f>+_xlfn.XLOOKUP(Tabla6[[#This Row],[ID CLIENTE]],'RESUMEN CLIENTES'!D:D,'RESUMEN CLIENTES'!W:W)</f>
        <v>0</v>
      </c>
      <c r="G1238" s="17">
        <v>46132</v>
      </c>
      <c r="H1238" s="169" t="s">
        <v>81</v>
      </c>
      <c r="I1238" s="2">
        <v>850</v>
      </c>
      <c r="J1238"/>
      <c r="K1238"/>
      <c r="L1238" s="44" t="str" cm="1">
        <f t="array" ref="L1238">+_xlfn.IFS(COUNTIF(INGRESOS!E:E,Tabla6[[#This Row],[ID FACTURA]])=1,"PAGADA",Tabla6[[#This Row],[ID FACTURA]]&lt;&gt;0,"EMITIDA",Tabla6[[#This Row],[ID FACTURA]]=0,"POR EMITIR")</f>
        <v>POR EMITIR</v>
      </c>
      <c r="M1238" s="54" t="str">
        <f>+IF(Tabla6[[#This Row],[ESTADO FACTURA]]="PAGADA",Tabla6[[#This Row],[FECHA]]-_xlfn.XLOOKUP(Tabla6[[#This Row],[N° FACTURA]],INGRESOS!F:F,INGRESOS!A:A),"-")</f>
        <v>-</v>
      </c>
      <c r="O1238"/>
    </row>
    <row r="1239" spans="1:15" ht="14.75" customHeight="1">
      <c r="A1239" s="320" t="s">
        <v>1936</v>
      </c>
      <c r="B1239" t="str">
        <f>+_xlfn.XLOOKUP(Tabla6[[#This Row],[ID CLIENTE]],'RESUMEN CLIENTES'!D:D,'RESUMEN CLIENTES'!A:A)</f>
        <v>Jaime Kevin Mendez Arias</v>
      </c>
      <c r="C1239" t="str">
        <f>+_xlfn.XLOOKUP(Tabla6[[#This Row],[ID CLIENTE]],'RESUMEN CLIENTES'!D:D,'RESUMEN CLIENTES'!C:C)</f>
        <v>México</v>
      </c>
      <c r="D1239" s="169" t="str">
        <f>+_xlfn.XLOOKUP(Tabla6[[#This Row],[ID CLIENTE]],'RESUMEN CLIENTES'!D:D,'RESUMEN CLIENTES'!M:M)</f>
        <v>OK</v>
      </c>
      <c r="E1239" s="71">
        <f>+_xlfn.XLOOKUP(Tabla6[[#This Row],[NOMBRE]],'RESUMEN CLIENTES'!A:A,'RESUMEN CLIENTES'!X:X)</f>
        <v>1.6666666666666667</v>
      </c>
      <c r="F1239" s="71">
        <f>+_xlfn.XLOOKUP(Tabla6[[#This Row],[ID CLIENTE]],'RESUMEN CLIENTES'!D:D,'RESUMEN CLIENTES'!W:W)</f>
        <v>0</v>
      </c>
      <c r="G1239" s="17">
        <v>46132</v>
      </c>
      <c r="H1239" s="169" t="s">
        <v>81</v>
      </c>
      <c r="I1239" s="2">
        <v>1000</v>
      </c>
      <c r="J1239"/>
      <c r="K1239"/>
      <c r="L1239" s="44" t="str" cm="1">
        <f t="array" ref="L1239">+_xlfn.IFS(COUNTIF(INGRESOS!E:E,Tabla6[[#This Row],[ID FACTURA]])=1,"PAGADA",Tabla6[[#This Row],[ID FACTURA]]&lt;&gt;0,"EMITIDA",Tabla6[[#This Row],[ID FACTURA]]=0,"POR EMITIR")</f>
        <v>POR EMITIR</v>
      </c>
      <c r="M1239" s="54" t="str">
        <f>+IF(Tabla6[[#This Row],[ESTADO FACTURA]]="PAGADA",Tabla6[[#This Row],[FECHA]]-_xlfn.XLOOKUP(Tabla6[[#This Row],[N° FACTURA]],INGRESOS!F:F,INGRESOS!A:A),"-")</f>
        <v>-</v>
      </c>
      <c r="O1239"/>
    </row>
    <row r="1240" spans="1:15" ht="14.75" customHeight="1">
      <c r="A1240" s="320" t="s">
        <v>587</v>
      </c>
      <c r="B1240" t="str">
        <f>+_xlfn.XLOOKUP(Tabla6[[#This Row],[ID CLIENTE]],'RESUMEN CLIENTES'!D:D,'RESUMEN CLIENTES'!A:A)</f>
        <v>Keidwin Perez</v>
      </c>
      <c r="C1240" t="str">
        <f>+_xlfn.XLOOKUP(Tabla6[[#This Row],[ID CLIENTE]],'RESUMEN CLIENTES'!D:D,'RESUMEN CLIENTES'!C:C)</f>
        <v>Colombia</v>
      </c>
      <c r="D1240" s="44" t="str">
        <f>+_xlfn.XLOOKUP(Tabla6[[#This Row],[ID CLIENTE]],'RESUMEN CLIENTES'!D:D,'RESUMEN CLIENTES'!M:M)</f>
        <v>OK</v>
      </c>
      <c r="E1240" s="72">
        <f>+_xlfn.XLOOKUP(Tabla6[[#This Row],[NOMBRE]],'RESUMEN CLIENTES'!A:A,'RESUMEN CLIENTES'!X:X)</f>
        <v>-4.25</v>
      </c>
      <c r="F1240" s="72">
        <f>+_xlfn.XLOOKUP(Tabla6[[#This Row],[ID CLIENTE]],'RESUMEN CLIENTES'!D:D,'RESUMEN CLIENTES'!W:W)</f>
        <v>1</v>
      </c>
      <c r="G1240" s="17">
        <v>46132</v>
      </c>
      <c r="H1240" s="44" t="s">
        <v>81</v>
      </c>
      <c r="I1240" s="2">
        <v>750</v>
      </c>
      <c r="J1240"/>
      <c r="K1240"/>
      <c r="L1240" s="44" t="str" cm="1">
        <f t="array" ref="L1240">+_xlfn.IFS(COUNTIF(INGRESOS!E:E,Tabla6[[#This Row],[ID FACTURA]])=1,"PAGADA",Tabla6[[#This Row],[ID FACTURA]]&lt;&gt;0,"EMITIDA",Tabla6[[#This Row],[ID FACTURA]]=0,"POR EMITIR")</f>
        <v>POR EMITIR</v>
      </c>
      <c r="M1240" s="55" t="str">
        <f>+IF(Tabla6[[#This Row],[ESTADO FACTURA]]="PAGADA",Tabla6[[#This Row],[FECHA]]-_xlfn.XLOOKUP(Tabla6[[#This Row],[N° FACTURA]],INGRESOS!F:F,INGRESOS!A:A),"-")</f>
        <v>-</v>
      </c>
      <c r="N1240" s="2"/>
      <c r="O1240"/>
    </row>
    <row r="1241" spans="1:15" ht="14.75" customHeight="1">
      <c r="A1241" s="320" t="s">
        <v>200</v>
      </c>
      <c r="B1241" t="str">
        <f>+_xlfn.XLOOKUP(Tabla6[[#This Row],[ID CLIENTE]],'RESUMEN CLIENTES'!D:D,'RESUMEN CLIENTES'!A:A)</f>
        <v>Mateo Gabriel Martinez Dávila</v>
      </c>
      <c r="C1241" t="str">
        <f>+_xlfn.XLOOKUP(Tabla6[[#This Row],[ID CLIENTE]],'RESUMEN CLIENTES'!D:D,'RESUMEN CLIENTES'!C:C)</f>
        <v>Bolivia</v>
      </c>
      <c r="D1241" s="169" t="str">
        <f>+_xlfn.XLOOKUP(Tabla6[[#This Row],[ID CLIENTE]],'RESUMEN CLIENTES'!D:D,'RESUMEN CLIENTES'!M:M)</f>
        <v>OK</v>
      </c>
      <c r="E1241" s="71">
        <f>+_xlfn.XLOOKUP(Tabla6[[#This Row],[NOMBRE]],'RESUMEN CLIENTES'!A:A,'RESUMEN CLIENTES'!X:X)</f>
        <v>-0.5</v>
      </c>
      <c r="F1241" s="71">
        <f>+_xlfn.XLOOKUP(Tabla6[[#This Row],[ID CLIENTE]],'RESUMEN CLIENTES'!D:D,'RESUMEN CLIENTES'!W:W)</f>
        <v>0</v>
      </c>
      <c r="G1241" s="17">
        <v>46132</v>
      </c>
      <c r="H1241" s="169" t="s">
        <v>81</v>
      </c>
      <c r="I1241" s="2">
        <v>500</v>
      </c>
      <c r="J1241"/>
      <c r="K1241"/>
      <c r="L1241" s="44" t="str" cm="1">
        <f t="array" ref="L1241">+_xlfn.IFS(COUNTIF(INGRESOS!E:E,Tabla6[[#This Row],[ID FACTURA]])=1,"PAGADA",Tabla6[[#This Row],[ID FACTURA]]&lt;&gt;0,"EMITIDA",Tabla6[[#This Row],[ID FACTURA]]=0,"POR EMITIR")</f>
        <v>POR EMITIR</v>
      </c>
      <c r="M1241" s="54" t="str">
        <f>+IF(Tabla6[[#This Row],[ESTADO FACTURA]]="PAGADA",Tabla6[[#This Row],[FECHA]]-_xlfn.XLOOKUP(Tabla6[[#This Row],[N° FACTURA]],INGRESOS!F:F,INGRESOS!A:A),"-")</f>
        <v>-</v>
      </c>
      <c r="O1241"/>
    </row>
    <row r="1242" spans="1:15" ht="14.75" customHeight="1">
      <c r="A1242" s="320" t="s">
        <v>250</v>
      </c>
      <c r="B1242" t="str">
        <f>+_xlfn.XLOOKUP(Tabla6[[#This Row],[ID CLIENTE]],'RESUMEN CLIENTES'!D:D,'RESUMEN CLIENTES'!A:A)</f>
        <v>Fernanda Castro</v>
      </c>
      <c r="C1242" t="str">
        <f>+_xlfn.XLOOKUP(Tabla6[[#This Row],[ID CLIENTE]],'RESUMEN CLIENTES'!D:D,'RESUMEN CLIENTES'!C:C)</f>
        <v>Ecuador</v>
      </c>
      <c r="D1242" s="44" t="str">
        <f>+_xlfn.XLOOKUP(Tabla6[[#This Row],[ID CLIENTE]],'RESUMEN CLIENTES'!D:D,'RESUMEN CLIENTES'!M:M)</f>
        <v>OK</v>
      </c>
      <c r="E1242" s="72">
        <f>+_xlfn.XLOOKUP(Tabla6[[#This Row],[NOMBRE]],'RESUMEN CLIENTES'!A:A,'RESUMEN CLIENTES'!X:X)</f>
        <v>0</v>
      </c>
      <c r="F1242" s="72">
        <f>+_xlfn.XLOOKUP(Tabla6[[#This Row],[ID CLIENTE]],'RESUMEN CLIENTES'!D:D,'RESUMEN CLIENTES'!W:W)</f>
        <v>1</v>
      </c>
      <c r="G1242" s="17">
        <v>46135</v>
      </c>
      <c r="H1242" s="44" t="s">
        <v>81</v>
      </c>
      <c r="I1242" s="2">
        <v>1000</v>
      </c>
      <c r="J1242"/>
      <c r="K1242"/>
      <c r="L1242" s="44" t="str" cm="1">
        <f t="array" ref="L1242">+_xlfn.IFS(COUNTIF(INGRESOS!E:E,Tabla6[[#This Row],[ID FACTURA]])=1,"PAGADA",Tabla6[[#This Row],[ID FACTURA]]&lt;&gt;0,"EMITIDA",Tabla6[[#This Row],[ID FACTURA]]=0,"POR EMITIR")</f>
        <v>POR EMITIR</v>
      </c>
      <c r="M1242" s="55" t="str">
        <f>+IF(Tabla6[[#This Row],[ESTADO FACTURA]]="PAGADA",Tabla6[[#This Row],[FECHA]]-_xlfn.XLOOKUP(Tabla6[[#This Row],[N° FACTURA]],INGRESOS!F:F,INGRESOS!A:A),"-")</f>
        <v>-</v>
      </c>
      <c r="N1242" s="2"/>
      <c r="O1242"/>
    </row>
    <row r="1243" spans="1:15" ht="14.75" customHeight="1">
      <c r="A1243" s="320" t="s">
        <v>1931</v>
      </c>
      <c r="B1243" t="str">
        <f>+_xlfn.XLOOKUP(Tabla6[[#This Row],[ID CLIENTE]],'RESUMEN CLIENTES'!D:D,'RESUMEN CLIENTES'!A:A)</f>
        <v>Josué Bernardo Reyes Flores</v>
      </c>
      <c r="C1243" t="str">
        <f>+_xlfn.XLOOKUP(Tabla6[[#This Row],[ID CLIENTE]],'RESUMEN CLIENTES'!D:D,'RESUMEN CLIENTES'!C:C)</f>
        <v>México</v>
      </c>
      <c r="D1243" s="169" t="str">
        <f>+_xlfn.XLOOKUP(Tabla6[[#This Row],[ID CLIENTE]],'RESUMEN CLIENTES'!D:D,'RESUMEN CLIENTES'!M:M)</f>
        <v>OK</v>
      </c>
      <c r="E1243" s="71">
        <f>+_xlfn.XLOOKUP(Tabla6[[#This Row],[NOMBRE]],'RESUMEN CLIENTES'!A:A,'RESUMEN CLIENTES'!X:X)</f>
        <v>0</v>
      </c>
      <c r="F1243" s="71">
        <f>+_xlfn.XLOOKUP(Tabla6[[#This Row],[ID CLIENTE]],'RESUMEN CLIENTES'!D:D,'RESUMEN CLIENTES'!W:W)</f>
        <v>1</v>
      </c>
      <c r="G1243" s="17">
        <v>46135</v>
      </c>
      <c r="H1243" s="169" t="s">
        <v>81</v>
      </c>
      <c r="I1243" s="2">
        <v>1000</v>
      </c>
      <c r="J1243"/>
      <c r="K1243"/>
      <c r="L1243" s="44" t="str" cm="1">
        <f t="array" ref="L1243">+_xlfn.IFS(COUNTIF(INGRESOS!E:E,Tabla6[[#This Row],[ID FACTURA]])=1,"PAGADA",Tabla6[[#This Row],[ID FACTURA]]&lt;&gt;0,"EMITIDA",Tabla6[[#This Row],[ID FACTURA]]=0,"POR EMITIR")</f>
        <v>POR EMITIR</v>
      </c>
      <c r="M1243" s="54" t="str">
        <f>+IF(Tabla6[[#This Row],[ESTADO FACTURA]]="PAGADA",Tabla6[[#This Row],[FECHA]]-_xlfn.XLOOKUP(Tabla6[[#This Row],[N° FACTURA]],INGRESOS!F:F,INGRESOS!A:A),"-")</f>
        <v>-</v>
      </c>
      <c r="O1243"/>
    </row>
    <row r="1244" spans="1:15" ht="14.75" customHeight="1">
      <c r="A1244" s="320" t="s">
        <v>994</v>
      </c>
      <c r="B1244" t="str">
        <f>+_xlfn.XLOOKUP(Tabla6[[#This Row],[ID CLIENTE]],'RESUMEN CLIENTES'!D:D,'RESUMEN CLIENTES'!A:A)</f>
        <v>Raúl Ernesto Martínez Orantes</v>
      </c>
      <c r="C1244" t="str">
        <f>+_xlfn.XLOOKUP(Tabla6[[#This Row],[ID CLIENTE]],'RESUMEN CLIENTES'!D:D,'RESUMEN CLIENTES'!C:C)</f>
        <v>El Salvador</v>
      </c>
      <c r="D1244" s="44" t="str">
        <f>+_xlfn.XLOOKUP(Tabla6[[#This Row],[ID CLIENTE]],'RESUMEN CLIENTES'!D:D,'RESUMEN CLIENTES'!M:M)</f>
        <v>OK</v>
      </c>
      <c r="E1244" s="72">
        <f>+_xlfn.XLOOKUP(Tabla6[[#This Row],[NOMBRE]],'RESUMEN CLIENTES'!A:A,'RESUMEN CLIENTES'!X:X)</f>
        <v>1.1428571428571428</v>
      </c>
      <c r="F1244" s="72">
        <f>+_xlfn.XLOOKUP(Tabla6[[#This Row],[ID CLIENTE]],'RESUMEN CLIENTES'!D:D,'RESUMEN CLIENTES'!W:W)</f>
        <v>1</v>
      </c>
      <c r="G1244" s="17">
        <v>46135</v>
      </c>
      <c r="H1244" s="44" t="s">
        <v>81</v>
      </c>
      <c r="I1244" s="2">
        <v>850</v>
      </c>
      <c r="J1244"/>
      <c r="K1244"/>
      <c r="L1244" s="44" t="str" cm="1">
        <f t="array" ref="L1244">+_xlfn.IFS(COUNTIF(INGRESOS!E:E,Tabla6[[#This Row],[ID FACTURA]])=1,"PAGADA",Tabla6[[#This Row],[ID FACTURA]]&lt;&gt;0,"EMITIDA",Tabla6[[#This Row],[ID FACTURA]]=0,"POR EMITIR")</f>
        <v>POR EMITIR</v>
      </c>
      <c r="M1244" s="55" t="str">
        <f>+IF(Tabla6[[#This Row],[ESTADO FACTURA]]="PAGADA",Tabla6[[#This Row],[FECHA]]-_xlfn.XLOOKUP(Tabla6[[#This Row],[N° FACTURA]],INGRESOS!F:F,INGRESOS!A:A),"-")</f>
        <v>-</v>
      </c>
      <c r="N1244" s="2"/>
      <c r="O1244"/>
    </row>
    <row r="1245" spans="1:15" ht="14.75" customHeight="1">
      <c r="A1245" s="320" t="s">
        <v>261</v>
      </c>
      <c r="B1245" t="str">
        <f>+_xlfn.XLOOKUP(Tabla6[[#This Row],[ID CLIENTE]],'RESUMEN CLIENTES'!D:D,'RESUMEN CLIENTES'!A:A)</f>
        <v>Maryori Elizabeth Ramos Tapia</v>
      </c>
      <c r="C1245" t="str">
        <f>+_xlfn.XLOOKUP(Tabla6[[#This Row],[ID CLIENTE]],'RESUMEN CLIENTES'!D:D,'RESUMEN CLIENTES'!C:C)</f>
        <v>Perú</v>
      </c>
      <c r="D1245" s="44" t="str">
        <f>+_xlfn.XLOOKUP(Tabla6[[#This Row],[ID CLIENTE]],'RESUMEN CLIENTES'!D:D,'RESUMEN CLIENTES'!M:M)</f>
        <v>OK</v>
      </c>
      <c r="E1245" s="72">
        <f>+_xlfn.XLOOKUP(Tabla6[[#This Row],[NOMBRE]],'RESUMEN CLIENTES'!A:A,'RESUMEN CLIENTES'!X:X)</f>
        <v>-0.88425925925952875</v>
      </c>
      <c r="F1245" s="72">
        <f>+_xlfn.XLOOKUP(Tabla6[[#This Row],[ID CLIENTE]],'RESUMEN CLIENTES'!D:D,'RESUMEN CLIENTES'!W:W)</f>
        <v>1</v>
      </c>
      <c r="G1245" s="17">
        <v>46136</v>
      </c>
      <c r="H1245" s="44" t="s">
        <v>81</v>
      </c>
      <c r="I1245" s="2">
        <v>1000</v>
      </c>
      <c r="J1245"/>
      <c r="K1245"/>
      <c r="L1245" s="44" t="str" cm="1">
        <f t="array" ref="L1245">+_xlfn.IFS(COUNTIF(INGRESOS!E:E,Tabla6[[#This Row],[ID FACTURA]])=1,"PAGADA",Tabla6[[#This Row],[ID FACTURA]]&lt;&gt;0,"EMITIDA",Tabla6[[#This Row],[ID FACTURA]]=0,"POR EMITIR")</f>
        <v>POR EMITIR</v>
      </c>
      <c r="M1245" s="55" t="str">
        <f>+IF(Tabla6[[#This Row],[ESTADO FACTURA]]="PAGADA",Tabla6[[#This Row],[FECHA]]-_xlfn.XLOOKUP(Tabla6[[#This Row],[N° FACTURA]],INGRESOS!F:F,INGRESOS!A:A),"-")</f>
        <v>-</v>
      </c>
      <c r="N1245" s="2"/>
      <c r="O1245"/>
    </row>
    <row r="1246" spans="1:15" ht="14.75" customHeight="1">
      <c r="A1246" s="320" t="s">
        <v>162</v>
      </c>
      <c r="B1246" t="str">
        <f>+_xlfn.XLOOKUP(Tabla6[[#This Row],[ID CLIENTE]],'RESUMEN CLIENTES'!D:D,'RESUMEN CLIENTES'!A:A)</f>
        <v>Bastian Sofjer Peralta</v>
      </c>
      <c r="C1246" t="str">
        <f>+_xlfn.XLOOKUP(Tabla6[[#This Row],[ID CLIENTE]],'RESUMEN CLIENTES'!D:D,'RESUMEN CLIENTES'!C:C)</f>
        <v>Chile</v>
      </c>
      <c r="D1246" s="44" t="str">
        <f>+_xlfn.XLOOKUP(Tabla6[[#This Row],[ID CLIENTE]],'RESUMEN CLIENTES'!D:D,'RESUMEN CLIENTES'!M:M)</f>
        <v>OK</v>
      </c>
      <c r="E1246" s="72">
        <f>+_xlfn.XLOOKUP(Tabla6[[#This Row],[NOMBRE]],'RESUMEN CLIENTES'!A:A,'RESUMEN CLIENTES'!X:X)</f>
        <v>4.125</v>
      </c>
      <c r="F1246" s="72">
        <f>+_xlfn.XLOOKUP(Tabla6[[#This Row],[ID CLIENTE]],'RESUMEN CLIENTES'!D:D,'RESUMEN CLIENTES'!W:W)</f>
        <v>1</v>
      </c>
      <c r="G1246" s="17">
        <v>46137</v>
      </c>
      <c r="H1246" s="44" t="s">
        <v>81</v>
      </c>
      <c r="I1246" s="2">
        <v>900</v>
      </c>
      <c r="J1246"/>
      <c r="K1246"/>
      <c r="L1246" s="44" t="str" cm="1">
        <f t="array" ref="L1246">+_xlfn.IFS(COUNTIF(INGRESOS!E:E,Tabla6[[#This Row],[ID FACTURA]])=1,"PAGADA",Tabla6[[#This Row],[ID FACTURA]]&lt;&gt;0,"EMITIDA",Tabla6[[#This Row],[ID FACTURA]]=0,"POR EMITIR")</f>
        <v>POR EMITIR</v>
      </c>
      <c r="M1246" s="55" t="str">
        <f>+IF(Tabla6[[#This Row],[ESTADO FACTURA]]="PAGADA",Tabla6[[#This Row],[FECHA]]-_xlfn.XLOOKUP(Tabla6[[#This Row],[N° FACTURA]],INGRESOS!F:F,INGRESOS!A:A),"-")</f>
        <v>-</v>
      </c>
      <c r="N1246" s="2"/>
      <c r="O1246"/>
    </row>
    <row r="1247" spans="1:15" ht="14.75" customHeight="1">
      <c r="A1247" s="320" t="s">
        <v>191</v>
      </c>
      <c r="B1247" t="str">
        <f>+_xlfn.XLOOKUP(Tabla6[[#This Row],[ID CLIENTE]],'RESUMEN CLIENTES'!D:D,'RESUMEN CLIENTES'!A:A)</f>
        <v>Christian Rivera Hernandez</v>
      </c>
      <c r="C1247" t="str">
        <f>+_xlfn.XLOOKUP(Tabla6[[#This Row],[ID CLIENTE]],'RESUMEN CLIENTES'!D:D,'RESUMEN CLIENTES'!C:C)</f>
        <v>Colombia</v>
      </c>
      <c r="D1247" s="169" t="str">
        <f>+_xlfn.XLOOKUP(Tabla6[[#This Row],[ID CLIENTE]],'RESUMEN CLIENTES'!D:D,'RESUMEN CLIENTES'!M:M)</f>
        <v>OK</v>
      </c>
      <c r="E1247" s="71">
        <f>+_xlfn.XLOOKUP(Tabla6[[#This Row],[NOMBRE]],'RESUMEN CLIENTES'!A:A,'RESUMEN CLIENTES'!X:X)</f>
        <v>0.75</v>
      </c>
      <c r="F1247" s="71">
        <f>+_xlfn.XLOOKUP(Tabla6[[#This Row],[ID CLIENTE]],'RESUMEN CLIENTES'!D:D,'RESUMEN CLIENTES'!W:W)</f>
        <v>1</v>
      </c>
      <c r="G1247" s="17">
        <v>46137</v>
      </c>
      <c r="H1247" s="169" t="s">
        <v>81</v>
      </c>
      <c r="I1247" s="2">
        <v>600</v>
      </c>
      <c r="J1247"/>
      <c r="K1247"/>
      <c r="L1247" s="44" t="str" cm="1">
        <f t="array" ref="L1247">+_xlfn.IFS(COUNTIF(INGRESOS!E:E,Tabla6[[#This Row],[ID FACTURA]])=1,"PAGADA",Tabla6[[#This Row],[ID FACTURA]]&lt;&gt;0,"EMITIDA",Tabla6[[#This Row],[ID FACTURA]]=0,"POR EMITIR")</f>
        <v>POR EMITIR</v>
      </c>
      <c r="M1247" s="55" t="str">
        <f>+IF(Tabla6[[#This Row],[ESTADO FACTURA]]="PAGADA",Tabla6[[#This Row],[FECHA]]-_xlfn.XLOOKUP(Tabla6[[#This Row],[N° FACTURA]],INGRESOS!F:F,INGRESOS!A:A),"-")</f>
        <v>-</v>
      </c>
      <c r="N1247" s="2"/>
      <c r="O1247"/>
    </row>
    <row r="1248" spans="1:15" ht="14.75" customHeight="1">
      <c r="A1248" s="320" t="s">
        <v>595</v>
      </c>
      <c r="B1248" t="str">
        <f>+_xlfn.XLOOKUP(Tabla6[[#This Row],[ID CLIENTE]],'RESUMEN CLIENTES'!D:D,'RESUMEN CLIENTES'!A:A)</f>
        <v>Erick Leonardo Chiriboga Valdiviezo</v>
      </c>
      <c r="C1248" t="str">
        <f>+_xlfn.XLOOKUP(Tabla6[[#This Row],[ID CLIENTE]],'RESUMEN CLIENTES'!D:D,'RESUMEN CLIENTES'!C:C)</f>
        <v>Ecuador</v>
      </c>
      <c r="D1248" s="44" t="str">
        <f>+_xlfn.XLOOKUP(Tabla6[[#This Row],[ID CLIENTE]],'RESUMEN CLIENTES'!D:D,'RESUMEN CLIENTES'!M:M)</f>
        <v>OK</v>
      </c>
      <c r="E1248" s="72">
        <f>+_xlfn.XLOOKUP(Tabla6[[#This Row],[NOMBRE]],'RESUMEN CLIENTES'!A:A,'RESUMEN CLIENTES'!X:X)</f>
        <v>-0.33333333333333331</v>
      </c>
      <c r="F1248" s="71">
        <f>+_xlfn.XLOOKUP(Tabla6[[#This Row],[ID CLIENTE]],'RESUMEN CLIENTES'!D:D,'RESUMEN CLIENTES'!W:W)</f>
        <v>0</v>
      </c>
      <c r="G1248" s="17">
        <v>46137</v>
      </c>
      <c r="H1248" s="44" t="s">
        <v>81</v>
      </c>
      <c r="I1248" s="2">
        <v>1000</v>
      </c>
      <c r="J1248"/>
      <c r="K1248"/>
      <c r="L1248" s="44" t="str" cm="1">
        <f t="array" ref="L1248">+_xlfn.IFS(COUNTIF(INGRESOS!E:E,Tabla6[[#This Row],[ID FACTURA]])=1,"PAGADA",Tabla6[[#This Row],[ID FACTURA]]&lt;&gt;0,"EMITIDA",Tabla6[[#This Row],[ID FACTURA]]=0,"POR EMITIR")</f>
        <v>POR EMITIR</v>
      </c>
      <c r="M1248" s="55" t="str">
        <f>+IF(Tabla6[[#This Row],[ESTADO FACTURA]]="PAGADA",Tabla6[[#This Row],[FECHA]]-_xlfn.XLOOKUP(Tabla6[[#This Row],[N° FACTURA]],INGRESOS!F:F,INGRESOS!A:A),"-")</f>
        <v>-</v>
      </c>
      <c r="N1248" s="214"/>
      <c r="O1248"/>
    </row>
    <row r="1249" spans="1:15" ht="14.75" customHeight="1">
      <c r="A1249" s="320" t="s">
        <v>1437</v>
      </c>
      <c r="B1249" t="str">
        <f>+_xlfn.XLOOKUP(Tabla6[[#This Row],[ID CLIENTE]],'RESUMEN CLIENTES'!D:D,'RESUMEN CLIENTES'!A:A)</f>
        <v>Jorge Andres Galgani Muñoz</v>
      </c>
      <c r="C1249" t="str">
        <f>+_xlfn.XLOOKUP(Tabla6[[#This Row],[ID CLIENTE]],'RESUMEN CLIENTES'!D:D,'RESUMEN CLIENTES'!C:C)</f>
        <v>Chile</v>
      </c>
      <c r="D1249" s="44" t="str">
        <f>+_xlfn.XLOOKUP(Tabla6[[#This Row],[ID CLIENTE]],'RESUMEN CLIENTES'!D:D,'RESUMEN CLIENTES'!M:M)</f>
        <v>OK</v>
      </c>
      <c r="E1249" s="71">
        <f>+_xlfn.XLOOKUP(Tabla6[[#This Row],[NOMBRE]],'RESUMEN CLIENTES'!A:A,'RESUMEN CLIENTES'!X:X)</f>
        <v>-1.1428571428571428</v>
      </c>
      <c r="F1249" s="71">
        <f>+_xlfn.XLOOKUP(Tabla6[[#This Row],[ID CLIENTE]],'RESUMEN CLIENTES'!D:D,'RESUMEN CLIENTES'!W:W)</f>
        <v>1</v>
      </c>
      <c r="G1249" s="17">
        <v>46137</v>
      </c>
      <c r="H1249" s="169" t="s">
        <v>81</v>
      </c>
      <c r="I1249" s="2">
        <v>850</v>
      </c>
      <c r="J1249"/>
      <c r="K1249"/>
      <c r="L1249" s="44" t="str" cm="1">
        <f t="array" ref="L1249">+_xlfn.IFS(COUNTIF(INGRESOS!E:E,Tabla6[[#This Row],[ID FACTURA]])=1,"PAGADA",Tabla6[[#This Row],[ID FACTURA]]&lt;&gt;0,"EMITIDA",Tabla6[[#This Row],[ID FACTURA]]=0,"POR EMITIR")</f>
        <v>POR EMITIR</v>
      </c>
      <c r="M1249" s="55" t="str">
        <f>+IF(Tabla6[[#This Row],[ESTADO FACTURA]]="PAGADA",Tabla6[[#This Row],[FECHA]]-_xlfn.XLOOKUP(Tabla6[[#This Row],[N° FACTURA]],INGRESOS!F:F,INGRESOS!A:A),"-")</f>
        <v>-</v>
      </c>
      <c r="N1249" s="2"/>
      <c r="O1249"/>
    </row>
    <row r="1250" spans="1:15" ht="14.75" customHeight="1">
      <c r="A1250" s="320" t="s">
        <v>87</v>
      </c>
      <c r="B1250" t="str">
        <f>+_xlfn.XLOOKUP(Tabla6[[#This Row],[ID CLIENTE]],'RESUMEN CLIENTES'!D:D,'RESUMEN CLIENTES'!A:A)</f>
        <v>Jose Marcelo Marroquín Guzmán</v>
      </c>
      <c r="C1250" t="str">
        <f>+_xlfn.XLOOKUP(Tabla6[[#This Row],[ID CLIENTE]],'RESUMEN CLIENTES'!D:D,'RESUMEN CLIENTES'!C:C)</f>
        <v>El Salvador</v>
      </c>
      <c r="D1250" s="44" t="str">
        <f>+_xlfn.XLOOKUP(Tabla6[[#This Row],[ID CLIENTE]],'RESUMEN CLIENTES'!D:D,'RESUMEN CLIENTES'!M:M)</f>
        <v>OK</v>
      </c>
      <c r="E1250" s="72">
        <f>+_xlfn.XLOOKUP(Tabla6[[#This Row],[NOMBRE]],'RESUMEN CLIENTES'!A:A,'RESUMEN CLIENTES'!X:X)</f>
        <v>-1.5833333333333333</v>
      </c>
      <c r="F1250" s="72">
        <f>+_xlfn.XLOOKUP(Tabla6[[#This Row],[ID CLIENTE]],'RESUMEN CLIENTES'!D:D,'RESUMEN CLIENTES'!W:W)</f>
        <v>1</v>
      </c>
      <c r="G1250" s="17">
        <v>46137</v>
      </c>
      <c r="H1250" s="44" t="s">
        <v>81</v>
      </c>
      <c r="I1250" s="2">
        <v>3000</v>
      </c>
      <c r="J1250"/>
      <c r="K1250"/>
      <c r="L1250" s="44" t="str" cm="1">
        <f t="array" ref="L1250">+_xlfn.IFS(COUNTIF(INGRESOS!E:E,Tabla6[[#This Row],[ID FACTURA]])=1,"PAGADA",Tabla6[[#This Row],[ID FACTURA]]&lt;&gt;0,"EMITIDA",Tabla6[[#This Row],[ID FACTURA]]=0,"POR EMITIR")</f>
        <v>POR EMITIR</v>
      </c>
      <c r="M1250" s="55" t="str">
        <f>+IF(Tabla6[[#This Row],[ESTADO FACTURA]]="PAGADA",Tabla6[[#This Row],[FECHA]]-_xlfn.XLOOKUP(Tabla6[[#This Row],[N° FACTURA]],INGRESOS!F:F,INGRESOS!A:A),"-")</f>
        <v>-</v>
      </c>
      <c r="N1250" s="2"/>
      <c r="O1250"/>
    </row>
    <row r="1251" spans="1:15" ht="14.75" customHeight="1">
      <c r="A1251" s="320" t="s">
        <v>1658</v>
      </c>
      <c r="B1251" t="str">
        <f>+_xlfn.XLOOKUP(Tabla6[[#This Row],[ID CLIENTE]],'RESUMEN CLIENTES'!D:D,'RESUMEN CLIENTES'!A:A)</f>
        <v>Nadya Sofía García Carrasco</v>
      </c>
      <c r="C1251" t="str">
        <f>+_xlfn.XLOOKUP(Tabla6[[#This Row],[ID CLIENTE]],'RESUMEN CLIENTES'!D:D,'RESUMEN CLIENTES'!C:C)</f>
        <v>Ecuador</v>
      </c>
      <c r="D1251" s="169" t="str">
        <f>+_xlfn.XLOOKUP(Tabla6[[#This Row],[ID CLIENTE]],'RESUMEN CLIENTES'!D:D,'RESUMEN CLIENTES'!M:M)</f>
        <v>OK</v>
      </c>
      <c r="E1251" s="71">
        <f>+_xlfn.XLOOKUP(Tabla6[[#This Row],[NOMBRE]],'RESUMEN CLIENTES'!A:A,'RESUMEN CLIENTES'!X:X)</f>
        <v>0</v>
      </c>
      <c r="F1251" s="71">
        <f>+_xlfn.XLOOKUP(Tabla6[[#This Row],[ID CLIENTE]],'RESUMEN CLIENTES'!D:D,'RESUMEN CLIENTES'!W:W)</f>
        <v>1</v>
      </c>
      <c r="G1251" s="17">
        <v>46137</v>
      </c>
      <c r="H1251" s="169" t="s">
        <v>81</v>
      </c>
      <c r="I1251" s="2">
        <v>1000</v>
      </c>
      <c r="J1251"/>
      <c r="K1251"/>
      <c r="L1251" s="44" t="str" cm="1">
        <f t="array" ref="L1251">+_xlfn.IFS(COUNTIF(INGRESOS!E:E,Tabla6[[#This Row],[ID FACTURA]])=1,"PAGADA",Tabla6[[#This Row],[ID FACTURA]]&lt;&gt;0,"EMITIDA",Tabla6[[#This Row],[ID FACTURA]]=0,"POR EMITIR")</f>
        <v>POR EMITIR</v>
      </c>
      <c r="M1251" s="55" t="str">
        <f>+IF(Tabla6[[#This Row],[ESTADO FACTURA]]="PAGADA",Tabla6[[#This Row],[FECHA]]-_xlfn.XLOOKUP(Tabla6[[#This Row],[N° FACTURA]],INGRESOS!F:F,INGRESOS!A:A),"-")</f>
        <v>-</v>
      </c>
      <c r="O1251"/>
    </row>
    <row r="1252" spans="1:15" ht="14.75" customHeight="1">
      <c r="A1252" s="320" t="s">
        <v>716</v>
      </c>
      <c r="B1252" t="str">
        <f>+_xlfn.XLOOKUP(Tabla6[[#This Row],[ID CLIENTE]],'RESUMEN CLIENTES'!D:D,'RESUMEN CLIENTES'!A:A)</f>
        <v>Sofia Martínez Restrepo</v>
      </c>
      <c r="C1252" t="str">
        <f>+_xlfn.XLOOKUP(Tabla6[[#This Row],[ID CLIENTE]],'RESUMEN CLIENTES'!D:D,'RESUMEN CLIENTES'!C:C)</f>
        <v>Colombia</v>
      </c>
      <c r="D1252" s="44" t="str">
        <f>+_xlfn.XLOOKUP(Tabla6[[#This Row],[ID CLIENTE]],'RESUMEN CLIENTES'!D:D,'RESUMEN CLIENTES'!M:M)</f>
        <v>OK</v>
      </c>
      <c r="E1252" s="72">
        <f>+_xlfn.XLOOKUP(Tabla6[[#This Row],[NOMBRE]],'RESUMEN CLIENTES'!A:A,'RESUMEN CLIENTES'!X:X)</f>
        <v>-0.33333333333333331</v>
      </c>
      <c r="F1252" s="72">
        <f>+_xlfn.XLOOKUP(Tabla6[[#This Row],[ID CLIENTE]],'RESUMEN CLIENTES'!D:D,'RESUMEN CLIENTES'!W:W)</f>
        <v>1</v>
      </c>
      <c r="G1252" s="17">
        <v>46137</v>
      </c>
      <c r="H1252" s="44" t="s">
        <v>81</v>
      </c>
      <c r="I1252" s="2">
        <v>1000</v>
      </c>
      <c r="J1252"/>
      <c r="K1252"/>
      <c r="L1252" s="44" t="str" cm="1">
        <f t="array" ref="L1252">+_xlfn.IFS(COUNTIF(INGRESOS!E:E,Tabla6[[#This Row],[ID FACTURA]])=1,"PAGADA",Tabla6[[#This Row],[ID FACTURA]]&lt;&gt;0,"EMITIDA",Tabla6[[#This Row],[ID FACTURA]]=0,"POR EMITIR")</f>
        <v>POR EMITIR</v>
      </c>
      <c r="M1252" s="55" t="str">
        <f>+IF(Tabla6[[#This Row],[ESTADO FACTURA]]="PAGADA",Tabla6[[#This Row],[FECHA]]-_xlfn.XLOOKUP(Tabla6[[#This Row],[N° FACTURA]],INGRESOS!F:F,INGRESOS!A:A),"-")</f>
        <v>-</v>
      </c>
      <c r="N1252" s="2"/>
      <c r="O1252"/>
    </row>
    <row r="1253" spans="1:15" ht="14.75" customHeight="1">
      <c r="A1253" s="320" t="s">
        <v>1743</v>
      </c>
      <c r="B1253" t="str">
        <f>+_xlfn.XLOOKUP(Tabla6[[#This Row],[ID CLIENTE]],'RESUMEN CLIENTES'!D:D,'RESUMEN CLIENTES'!A:A)</f>
        <v>Fernando Alberto Lagos Belmar</v>
      </c>
      <c r="C1253" t="str">
        <f>+_xlfn.XLOOKUP(Tabla6[[#This Row],[ID CLIENTE]],'RESUMEN CLIENTES'!D:D,'RESUMEN CLIENTES'!C:C)</f>
        <v>Chile</v>
      </c>
      <c r="D1253" s="169" t="str">
        <f>+_xlfn.XLOOKUP(Tabla6[[#This Row],[ID CLIENTE]],'RESUMEN CLIENTES'!D:D,'RESUMEN CLIENTES'!M:M)</f>
        <v>OK</v>
      </c>
      <c r="E1253" s="71">
        <f>+_xlfn.XLOOKUP(Tabla6[[#This Row],[NOMBRE]],'RESUMEN CLIENTES'!A:A,'RESUMEN CLIENTES'!X:X)</f>
        <v>0.25</v>
      </c>
      <c r="F1253" s="71">
        <f>+_xlfn.XLOOKUP(Tabla6[[#This Row],[ID CLIENTE]],'RESUMEN CLIENTES'!D:D,'RESUMEN CLIENTES'!W:W)</f>
        <v>1</v>
      </c>
      <c r="G1253" s="17">
        <v>46138</v>
      </c>
      <c r="H1253" s="169" t="s">
        <v>81</v>
      </c>
      <c r="I1253" s="2">
        <v>1000</v>
      </c>
      <c r="J1253"/>
      <c r="K1253"/>
      <c r="L1253" s="44" t="str" cm="1">
        <f t="array" ref="L1253">+_xlfn.IFS(COUNTIF(INGRESOS!E:E,Tabla6[[#This Row],[ID FACTURA]])=1,"PAGADA",Tabla6[[#This Row],[ID FACTURA]]&lt;&gt;0,"EMITIDA",Tabla6[[#This Row],[ID FACTURA]]=0,"POR EMITIR")</f>
        <v>POR EMITIR</v>
      </c>
      <c r="M1253" s="55" t="str">
        <f>+IF(Tabla6[[#This Row],[ESTADO FACTURA]]="PAGADA",Tabla6[[#This Row],[FECHA]]-_xlfn.XLOOKUP(Tabla6[[#This Row],[N° FACTURA]],INGRESOS!F:F,INGRESOS!A:A),"-")</f>
        <v>-</v>
      </c>
      <c r="O1253"/>
    </row>
    <row r="1254" spans="1:15" ht="14.75" customHeight="1">
      <c r="A1254" s="320" t="s">
        <v>706</v>
      </c>
      <c r="B1254" t="str">
        <f>+_xlfn.XLOOKUP(Tabla6[[#This Row],[ID CLIENTE]],'RESUMEN CLIENTES'!D:D,'RESUMEN CLIENTES'!A:A)</f>
        <v>Virna Nathaly Montenegro Samaniego</v>
      </c>
      <c r="C1254" t="str">
        <f>+_xlfn.XLOOKUP(Tabla6[[#This Row],[ID CLIENTE]],'RESUMEN CLIENTES'!D:D,'RESUMEN CLIENTES'!C:C)</f>
        <v>Ecuador</v>
      </c>
      <c r="D1254" s="44" t="str">
        <f>+_xlfn.XLOOKUP(Tabla6[[#This Row],[ID CLIENTE]],'RESUMEN CLIENTES'!D:D,'RESUMEN CLIENTES'!M:M)</f>
        <v>OK</v>
      </c>
      <c r="E1254" s="72">
        <f>+_xlfn.XLOOKUP(Tabla6[[#This Row],[NOMBRE]],'RESUMEN CLIENTES'!A:A,'RESUMEN CLIENTES'!X:X)</f>
        <v>7.375</v>
      </c>
      <c r="F1254" s="72">
        <f>+_xlfn.XLOOKUP(Tabla6[[#This Row],[ID CLIENTE]],'RESUMEN CLIENTES'!D:D,'RESUMEN CLIENTES'!W:W)</f>
        <v>0</v>
      </c>
      <c r="G1254" s="17">
        <v>46138</v>
      </c>
      <c r="H1254" s="44" t="s">
        <v>81</v>
      </c>
      <c r="I1254" s="2">
        <v>1000</v>
      </c>
      <c r="J1254"/>
      <c r="K1254"/>
      <c r="L1254" s="44" t="str" cm="1">
        <f t="array" ref="L1254">+_xlfn.IFS(COUNTIF(INGRESOS!E:E,Tabla6[[#This Row],[ID FACTURA]])=1,"PAGADA",Tabla6[[#This Row],[ID FACTURA]]&lt;&gt;0,"EMITIDA",Tabla6[[#This Row],[ID FACTURA]]=0,"POR EMITIR")</f>
        <v>POR EMITIR</v>
      </c>
      <c r="M1254" s="55" t="str">
        <f>+IF(Tabla6[[#This Row],[ESTADO FACTURA]]="PAGADA",Tabla6[[#This Row],[FECHA]]-_xlfn.XLOOKUP(Tabla6[[#This Row],[N° FACTURA]],INGRESOS!F:F,INGRESOS!A:A),"-")</f>
        <v>-</v>
      </c>
      <c r="N1254" s="2"/>
      <c r="O1254"/>
    </row>
    <row r="1255" spans="1:15" ht="14.75" customHeight="1">
      <c r="A1255" s="321" t="s">
        <v>519</v>
      </c>
      <c r="B1255" t="str">
        <f>+_xlfn.XLOOKUP(Tabla6[[#This Row],[ID CLIENTE]],'RESUMEN CLIENTES'!D:D,'RESUMEN CLIENTES'!A:A)</f>
        <v>Elaine Acosta Cabrera</v>
      </c>
      <c r="C1255" t="str">
        <f>+_xlfn.XLOOKUP(Tabla6[[#This Row],[ID CLIENTE]],'RESUMEN CLIENTES'!D:D,'RESUMEN CLIENTES'!C:C)</f>
        <v>República Dominicana</v>
      </c>
      <c r="D1255" s="169" t="str">
        <f>+_xlfn.XLOOKUP(Tabla6[[#This Row],[ID CLIENTE]],'RESUMEN CLIENTES'!D:D,'RESUMEN CLIENTES'!M:M)</f>
        <v>OK</v>
      </c>
      <c r="E1255" s="71">
        <f>+_xlfn.XLOOKUP(Tabla6[[#This Row],[NOMBRE]],'RESUMEN CLIENTES'!A:A,'RESUMEN CLIENTES'!X:X)</f>
        <v>0</v>
      </c>
      <c r="F1255" s="71">
        <f>+_xlfn.XLOOKUP(Tabla6[[#This Row],[ID CLIENTE]],'RESUMEN CLIENTES'!D:D,'RESUMEN CLIENTES'!W:W)</f>
        <v>1</v>
      </c>
      <c r="G1255" s="17">
        <v>46139</v>
      </c>
      <c r="H1255" s="169" t="s">
        <v>81</v>
      </c>
      <c r="I1255" s="2">
        <v>1000</v>
      </c>
      <c r="J1255"/>
      <c r="K1255"/>
      <c r="L1255" s="44" t="str" cm="1">
        <f t="array" ref="L1255">+_xlfn.IFS(COUNTIF(INGRESOS!E:E,Tabla6[[#This Row],[ID FACTURA]])=1,"PAGADA",Tabla6[[#This Row],[ID FACTURA]]&lt;&gt;0,"EMITIDA",Tabla6[[#This Row],[ID FACTURA]]=0,"POR EMITIR")</f>
        <v>POR EMITIR</v>
      </c>
      <c r="M1255" s="54" t="str">
        <f>+IF(Tabla6[[#This Row],[ESTADO FACTURA]]="PAGADA",Tabla6[[#This Row],[FECHA]]-_xlfn.XLOOKUP(Tabla6[[#This Row],[N° FACTURA]],INGRESOS!F:F,INGRESOS!A:A),"-")</f>
        <v>-</v>
      </c>
      <c r="O1255"/>
    </row>
    <row r="1256" spans="1:15" ht="14.75" customHeight="1">
      <c r="A1256" s="320" t="s">
        <v>711</v>
      </c>
      <c r="B1256" t="str">
        <f>+_xlfn.XLOOKUP(Tabla6[[#This Row],[ID CLIENTE]],'RESUMEN CLIENTES'!D:D,'RESUMEN CLIENTES'!A:A)</f>
        <v>Julian David Gutierrez Rodriguez</v>
      </c>
      <c r="C1256" t="str">
        <f>+_xlfn.XLOOKUP(Tabla6[[#This Row],[ID CLIENTE]],'RESUMEN CLIENTES'!D:D,'RESUMEN CLIENTES'!C:C)</f>
        <v>Colombia</v>
      </c>
      <c r="D1256" s="44" t="str">
        <f>+_xlfn.XLOOKUP(Tabla6[[#This Row],[ID CLIENTE]],'RESUMEN CLIENTES'!D:D,'RESUMEN CLIENTES'!M:M)</f>
        <v>OK</v>
      </c>
      <c r="E1256" s="72">
        <f>+_xlfn.XLOOKUP(Tabla6[[#This Row],[NOMBRE]],'RESUMEN CLIENTES'!A:A,'RESUMEN CLIENTES'!X:X)</f>
        <v>0.7142857142857143</v>
      </c>
      <c r="F1256" s="72">
        <f>+_xlfn.XLOOKUP(Tabla6[[#This Row],[ID CLIENTE]],'RESUMEN CLIENTES'!D:D,'RESUMEN CLIENTES'!W:W)</f>
        <v>1</v>
      </c>
      <c r="G1256" s="17">
        <v>46139</v>
      </c>
      <c r="H1256" s="44" t="s">
        <v>81</v>
      </c>
      <c r="I1256" s="2">
        <v>6500</v>
      </c>
      <c r="J1256"/>
      <c r="K1256"/>
      <c r="L1256" s="44" t="str" cm="1">
        <f t="array" ref="L1256">+_xlfn.IFS(COUNTIF(INGRESOS!E:E,Tabla6[[#This Row],[ID FACTURA]])=1,"PAGADA",Tabla6[[#This Row],[ID FACTURA]]&lt;&gt;0,"EMITIDA",Tabla6[[#This Row],[ID FACTURA]]=0,"POR EMITIR")</f>
        <v>POR EMITIR</v>
      </c>
      <c r="M1256" s="55" t="str">
        <f>+IF(Tabla6[[#This Row],[ESTADO FACTURA]]="PAGADA",Tabla6[[#This Row],[FECHA]]-_xlfn.XLOOKUP(Tabla6[[#This Row],[N° FACTURA]],INGRESOS!F:F,INGRESOS!A:A),"-")</f>
        <v>-</v>
      </c>
      <c r="N1256" s="2"/>
      <c r="O1256"/>
    </row>
    <row r="1257" spans="1:15" ht="14.75" customHeight="1">
      <c r="A1257" s="320" t="s">
        <v>372</v>
      </c>
      <c r="B1257" t="str">
        <f>+_xlfn.XLOOKUP(Tabla6[[#This Row],[ID CLIENTE]],'RESUMEN CLIENTES'!D:D,'RESUMEN CLIENTES'!A:A)</f>
        <v>Julio Nelson Adaros Moraga</v>
      </c>
      <c r="C1257" t="str">
        <f>+_xlfn.XLOOKUP(Tabla6[[#This Row],[ID CLIENTE]],'RESUMEN CLIENTES'!D:D,'RESUMEN CLIENTES'!C:C)</f>
        <v>Chile</v>
      </c>
      <c r="D1257" s="44" t="str">
        <f>+_xlfn.XLOOKUP(Tabla6[[#This Row],[ID CLIENTE]],'RESUMEN CLIENTES'!D:D,'RESUMEN CLIENTES'!M:M)</f>
        <v>OK</v>
      </c>
      <c r="E1257" s="72">
        <f>+_xlfn.XLOOKUP(Tabla6[[#This Row],[NOMBRE]],'RESUMEN CLIENTES'!A:A,'RESUMEN CLIENTES'!X:X)</f>
        <v>1</v>
      </c>
      <c r="F1257" s="72">
        <f>+_xlfn.XLOOKUP(Tabla6[[#This Row],[ID CLIENTE]],'RESUMEN CLIENTES'!D:D,'RESUMEN CLIENTES'!W:W)</f>
        <v>1</v>
      </c>
      <c r="G1257" s="17">
        <v>46139</v>
      </c>
      <c r="H1257" s="44" t="s">
        <v>81</v>
      </c>
      <c r="I1257" s="2">
        <v>1000</v>
      </c>
      <c r="J1257"/>
      <c r="K1257"/>
      <c r="L1257" s="44" t="str" cm="1">
        <f t="array" ref="L1257">+_xlfn.IFS(COUNTIF(INGRESOS!E:E,Tabla6[[#This Row],[ID FACTURA]])=1,"PAGADA",Tabla6[[#This Row],[ID FACTURA]]&lt;&gt;0,"EMITIDA",Tabla6[[#This Row],[ID FACTURA]]=0,"POR EMITIR")</f>
        <v>POR EMITIR</v>
      </c>
      <c r="M1257" s="55" t="str">
        <f>+IF(Tabla6[[#This Row],[ESTADO FACTURA]]="PAGADA",Tabla6[[#This Row],[FECHA]]-_xlfn.XLOOKUP(Tabla6[[#This Row],[N° FACTURA]],INGRESOS!F:F,INGRESOS!A:A),"-")</f>
        <v>-</v>
      </c>
      <c r="N1257" s="2"/>
      <c r="O1257"/>
    </row>
    <row r="1258" spans="1:15" ht="14.75" customHeight="1">
      <c r="A1258" s="321" t="s">
        <v>1870</v>
      </c>
      <c r="B1258" t="str">
        <f>+_xlfn.XLOOKUP(Tabla6[[#This Row],[ID CLIENTE]],'RESUMEN CLIENTES'!D:D,'RESUMEN CLIENTES'!A:A)</f>
        <v>Berenisse Shadia Yarango Garay</v>
      </c>
      <c r="C1258" t="str">
        <f>+_xlfn.XLOOKUP(Tabla6[[#This Row],[ID CLIENTE]],'RESUMEN CLIENTES'!D:D,'RESUMEN CLIENTES'!C:C)</f>
        <v>Perú</v>
      </c>
      <c r="D1258" s="169" t="str">
        <f>+_xlfn.XLOOKUP(Tabla6[[#This Row],[ID CLIENTE]],'RESUMEN CLIENTES'!D:D,'RESUMEN CLIENTES'!M:M)</f>
        <v>OK</v>
      </c>
      <c r="E1258" s="71">
        <f>+_xlfn.XLOOKUP(Tabla6[[#This Row],[NOMBRE]],'RESUMEN CLIENTES'!A:A,'RESUMEN CLIENTES'!X:X)</f>
        <v>-0.33333333333333331</v>
      </c>
      <c r="F1258" s="71">
        <f>+_xlfn.XLOOKUP(Tabla6[[#This Row],[ID CLIENTE]],'RESUMEN CLIENTES'!D:D,'RESUMEN CLIENTES'!W:W)</f>
        <v>0</v>
      </c>
      <c r="G1258" s="17">
        <v>46140</v>
      </c>
      <c r="H1258" s="169" t="s">
        <v>81</v>
      </c>
      <c r="I1258" s="2">
        <v>850</v>
      </c>
      <c r="J1258"/>
      <c r="K1258"/>
      <c r="L1258" s="44" t="str" cm="1">
        <f t="array" ref="L1258">+_xlfn.IFS(COUNTIF(INGRESOS!E:E,Tabla6[[#This Row],[ID FACTURA]])=1,"PAGADA",Tabla6[[#This Row],[ID FACTURA]]&lt;&gt;0,"EMITIDA",Tabla6[[#This Row],[ID FACTURA]]=0,"POR EMITIR")</f>
        <v>POR EMITIR</v>
      </c>
      <c r="M1258" s="54" t="str">
        <f>+IF(Tabla6[[#This Row],[ESTADO FACTURA]]="PAGADA",Tabla6[[#This Row],[FECHA]]-_xlfn.XLOOKUP(Tabla6[[#This Row],[N° FACTURA]],INGRESOS!F:F,INGRESOS!A:A),"-")</f>
        <v>-</v>
      </c>
      <c r="O1258"/>
    </row>
    <row r="1259" spans="1:15" ht="14.75" customHeight="1">
      <c r="A1259" s="320" t="s">
        <v>1461</v>
      </c>
      <c r="B1259" t="str">
        <f>+_xlfn.XLOOKUP(Tabla6[[#This Row],[ID CLIENTE]],'RESUMEN CLIENTES'!D:D,'RESUMEN CLIENTES'!A:A)</f>
        <v>Katerine Marianela Verastegui Mendoza</v>
      </c>
      <c r="C1259" t="str">
        <f>+_xlfn.XLOOKUP(Tabla6[[#This Row],[ID CLIENTE]],'RESUMEN CLIENTES'!D:D,'RESUMEN CLIENTES'!C:C)</f>
        <v>Perú</v>
      </c>
      <c r="D1259" s="44" t="str">
        <f>+_xlfn.XLOOKUP(Tabla6[[#This Row],[ID CLIENTE]],'RESUMEN CLIENTES'!D:D,'RESUMEN CLIENTES'!M:M)</f>
        <v>OK</v>
      </c>
      <c r="E1259" s="71">
        <f>+_xlfn.XLOOKUP(Tabla6[[#This Row],[NOMBRE]],'RESUMEN CLIENTES'!A:A,'RESUMEN CLIENTES'!X:X)</f>
        <v>-2</v>
      </c>
      <c r="F1259" s="71">
        <f>+_xlfn.XLOOKUP(Tabla6[[#This Row],[ID CLIENTE]],'RESUMEN CLIENTES'!D:D,'RESUMEN CLIENTES'!W:W)</f>
        <v>0</v>
      </c>
      <c r="G1259" s="17">
        <v>46140</v>
      </c>
      <c r="H1259" s="169" t="s">
        <v>81</v>
      </c>
      <c r="I1259" s="2">
        <v>1000</v>
      </c>
      <c r="J1259"/>
      <c r="K1259"/>
      <c r="L1259" s="44" t="str" cm="1">
        <f t="array" ref="L1259">+_xlfn.IFS(COUNTIF(INGRESOS!E:E,Tabla6[[#This Row],[ID FACTURA]])=1,"PAGADA",Tabla6[[#This Row],[ID FACTURA]]&lt;&gt;0,"EMITIDA",Tabla6[[#This Row],[ID FACTURA]]=0,"POR EMITIR")</f>
        <v>POR EMITIR</v>
      </c>
      <c r="M1259" s="55" t="str">
        <f>+IF(Tabla6[[#This Row],[ESTADO FACTURA]]="PAGADA",Tabla6[[#This Row],[FECHA]]-_xlfn.XLOOKUP(Tabla6[[#This Row],[N° FACTURA]],INGRESOS!F:F,INGRESOS!A:A),"-")</f>
        <v>-</v>
      </c>
      <c r="N1259" s="2"/>
      <c r="O1259"/>
    </row>
    <row r="1260" spans="1:15" ht="14.75" customHeight="1">
      <c r="A1260" s="320" t="s">
        <v>1482</v>
      </c>
      <c r="B1260" t="str">
        <f>+_xlfn.XLOOKUP(Tabla6[[#This Row],[ID CLIENTE]],'RESUMEN CLIENTES'!D:D,'RESUMEN CLIENTES'!A:A)</f>
        <v>Laxmi Davi Patel Flores</v>
      </c>
      <c r="C1260" t="str">
        <f>+_xlfn.XLOOKUP(Tabla6[[#This Row],[ID CLIENTE]],'RESUMEN CLIENTES'!D:D,'RESUMEN CLIENTES'!C:C)</f>
        <v>Ecuador</v>
      </c>
      <c r="D1260" s="44" t="str">
        <f>+_xlfn.XLOOKUP(Tabla6[[#This Row],[ID CLIENTE]],'RESUMEN CLIENTES'!D:D,'RESUMEN CLIENTES'!M:M)</f>
        <v>OK</v>
      </c>
      <c r="E1260" s="71">
        <f>+_xlfn.XLOOKUP(Tabla6[[#This Row],[NOMBRE]],'RESUMEN CLIENTES'!A:A,'RESUMEN CLIENTES'!X:X)</f>
        <v>-1.5714285714285714</v>
      </c>
      <c r="F1260" s="71">
        <f>+_xlfn.XLOOKUP(Tabla6[[#This Row],[ID CLIENTE]],'RESUMEN CLIENTES'!D:D,'RESUMEN CLIENTES'!W:W)</f>
        <v>0</v>
      </c>
      <c r="G1260" s="17">
        <v>46140</v>
      </c>
      <c r="H1260" s="169" t="s">
        <v>81</v>
      </c>
      <c r="I1260" s="2">
        <v>2750</v>
      </c>
      <c r="J1260"/>
      <c r="K1260"/>
      <c r="L1260" s="44" t="str" cm="1">
        <f t="array" ref="L1260">+_xlfn.IFS(COUNTIF(INGRESOS!E:E,Tabla6[[#This Row],[ID FACTURA]])=1,"PAGADA",Tabla6[[#This Row],[ID FACTURA]]&lt;&gt;0,"EMITIDA",Tabla6[[#This Row],[ID FACTURA]]=0,"POR EMITIR")</f>
        <v>POR EMITIR</v>
      </c>
      <c r="M1260" s="55" t="str">
        <f>+IF(Tabla6[[#This Row],[ESTADO FACTURA]]="PAGADA",Tabla6[[#This Row],[FECHA]]-_xlfn.XLOOKUP(Tabla6[[#This Row],[N° FACTURA]],INGRESOS!F:F,INGRESOS!A:A),"-")</f>
        <v>-</v>
      </c>
      <c r="N1260" s="2"/>
      <c r="O1260"/>
    </row>
    <row r="1261" spans="1:15" ht="14.75" customHeight="1">
      <c r="A1261" s="320" t="s">
        <v>1374</v>
      </c>
      <c r="B1261" t="str">
        <f>+_xlfn.XLOOKUP(Tabla6[[#This Row],[ID CLIENTE]],'RESUMEN CLIENTES'!D:D,'RESUMEN CLIENTES'!A:A)</f>
        <v>Samuel Sebastián Marmolejo Saldarriaga</v>
      </c>
      <c r="C1261" t="str">
        <f>+_xlfn.XLOOKUP(Tabla6[[#This Row],[ID CLIENTE]],'RESUMEN CLIENTES'!D:D,'RESUMEN CLIENTES'!C:C)</f>
        <v>Perú</v>
      </c>
      <c r="D1261" s="44" t="str">
        <f>+_xlfn.XLOOKUP(Tabla6[[#This Row],[ID CLIENTE]],'RESUMEN CLIENTES'!D:D,'RESUMEN CLIENTES'!M:M)</f>
        <v>OK</v>
      </c>
      <c r="E1261" s="71">
        <f>+_xlfn.XLOOKUP(Tabla6[[#This Row],[NOMBRE]],'RESUMEN CLIENTES'!A:A,'RESUMEN CLIENTES'!X:X)</f>
        <v>-0.5</v>
      </c>
      <c r="F1261" s="71">
        <f>+_xlfn.XLOOKUP(Tabla6[[#This Row],[ID CLIENTE]],'RESUMEN CLIENTES'!D:D,'RESUMEN CLIENTES'!W:W)</f>
        <v>0</v>
      </c>
      <c r="G1261" s="17">
        <v>46140</v>
      </c>
      <c r="H1261" s="44" t="s">
        <v>81</v>
      </c>
      <c r="I1261" s="2">
        <v>1000</v>
      </c>
      <c r="J1261"/>
      <c r="K1261"/>
      <c r="L1261" s="44" t="str" cm="1">
        <f t="array" ref="L1261">+_xlfn.IFS(COUNTIF(INGRESOS!E:E,Tabla6[[#This Row],[ID FACTURA]])=1,"PAGADA",Tabla6[[#This Row],[ID FACTURA]]&lt;&gt;0,"EMITIDA",Tabla6[[#This Row],[ID FACTURA]]=0,"POR EMITIR")</f>
        <v>POR EMITIR</v>
      </c>
      <c r="M1261" s="55" t="str">
        <f>+IF(Tabla6[[#This Row],[ESTADO FACTURA]]="PAGADA",Tabla6[[#This Row],[FECHA]]-_xlfn.XLOOKUP(Tabla6[[#This Row],[N° FACTURA]],INGRESOS!F:F,INGRESOS!A:A),"-")</f>
        <v>-</v>
      </c>
      <c r="N1261" s="2"/>
      <c r="O1261"/>
    </row>
    <row r="1262" spans="1:15" ht="14.75" customHeight="1">
      <c r="A1262" s="320" t="s">
        <v>450</v>
      </c>
      <c r="B1262" t="str">
        <f>+_xlfn.XLOOKUP(Tabla6[[#This Row],[ID CLIENTE]],'RESUMEN CLIENTES'!D:D,'RESUMEN CLIENTES'!A:A)</f>
        <v>Alexandra Carolina Ordoñez Cuotto</v>
      </c>
      <c r="C1262" t="str">
        <f>+_xlfn.XLOOKUP(Tabla6[[#This Row],[ID CLIENTE]],'RESUMEN CLIENTES'!D:D,'RESUMEN CLIENTES'!C:C)</f>
        <v>Venezuela</v>
      </c>
      <c r="D1262" s="44" t="str">
        <f>+_xlfn.XLOOKUP(Tabla6[[#This Row],[ID CLIENTE]],'RESUMEN CLIENTES'!D:D,'RESUMEN CLIENTES'!M:M)</f>
        <v>¡REGULARIZAR!</v>
      </c>
      <c r="E1262" s="72">
        <f>+_xlfn.XLOOKUP(Tabla6[[#This Row],[NOMBRE]],'RESUMEN CLIENTES'!A:A,'RESUMEN CLIENTES'!X:X)</f>
        <v>-2</v>
      </c>
      <c r="F1262" s="72">
        <f>+_xlfn.XLOOKUP(Tabla6[[#This Row],[ID CLIENTE]],'RESUMEN CLIENTES'!D:D,'RESUMEN CLIENTES'!W:W)</f>
        <v>0</v>
      </c>
      <c r="G1262" s="17">
        <v>46141</v>
      </c>
      <c r="H1262" s="44" t="s">
        <v>81</v>
      </c>
      <c r="I1262" s="2">
        <v>1000</v>
      </c>
      <c r="J1262"/>
      <c r="K1262"/>
      <c r="L1262" s="44" t="str" cm="1">
        <f t="array" ref="L1262">+_xlfn.IFS(COUNTIF(INGRESOS!E:E,Tabla6[[#This Row],[ID FACTURA]])=1,"PAGADA",Tabla6[[#This Row],[ID FACTURA]]&lt;&gt;0,"EMITIDA",Tabla6[[#This Row],[ID FACTURA]]=0,"POR EMITIR")</f>
        <v>POR EMITIR</v>
      </c>
      <c r="M1262" s="55" t="str">
        <f>+IF(Tabla6[[#This Row],[ESTADO FACTURA]]="PAGADA",Tabla6[[#This Row],[FECHA]]-_xlfn.XLOOKUP(Tabla6[[#This Row],[N° FACTURA]],INGRESOS!F:F,INGRESOS!A:A),"-")</f>
        <v>-</v>
      </c>
      <c r="N1262" s="2"/>
      <c r="O1262"/>
    </row>
    <row r="1263" spans="1:15" ht="14.75" customHeight="1">
      <c r="A1263" s="320" t="s">
        <v>541</v>
      </c>
      <c r="B1263" t="str">
        <f>+_xlfn.XLOOKUP(Tabla6[[#This Row],[ID CLIENTE]],'RESUMEN CLIENTES'!D:D,'RESUMEN CLIENTES'!A:A)</f>
        <v>Alejandra Goretti Figueroa Romo</v>
      </c>
      <c r="C1263" t="str">
        <f>+_xlfn.XLOOKUP(Tabla6[[#This Row],[ID CLIENTE]],'RESUMEN CLIENTES'!D:D,'RESUMEN CLIENTES'!C:C)</f>
        <v>México</v>
      </c>
      <c r="D1263" s="44" t="str">
        <f>+_xlfn.XLOOKUP(Tabla6[[#This Row],[ID CLIENTE]],'RESUMEN CLIENTES'!D:D,'RESUMEN CLIENTES'!M:M)</f>
        <v>OK</v>
      </c>
      <c r="E1263" s="72">
        <f>+_xlfn.XLOOKUP(Tabla6[[#This Row],[NOMBRE]],'RESUMEN CLIENTES'!A:A,'RESUMEN CLIENTES'!X:X)</f>
        <v>0.75</v>
      </c>
      <c r="F1263" s="72">
        <f>+_xlfn.XLOOKUP(Tabla6[[#This Row],[ID CLIENTE]],'RESUMEN CLIENTES'!D:D,'RESUMEN CLIENTES'!W:W)</f>
        <v>0</v>
      </c>
      <c r="G1263" s="17">
        <v>46142</v>
      </c>
      <c r="H1263" s="44" t="s">
        <v>81</v>
      </c>
      <c r="I1263" s="2">
        <v>1000</v>
      </c>
      <c r="J1263"/>
      <c r="K1263"/>
      <c r="L1263" s="44" t="str" cm="1">
        <f t="array" ref="L1263">+_xlfn.IFS(COUNTIF(INGRESOS!E:E,Tabla6[[#This Row],[ID FACTURA]])=1,"PAGADA",Tabla6[[#This Row],[ID FACTURA]]&lt;&gt;0,"EMITIDA",Tabla6[[#This Row],[ID FACTURA]]=0,"POR EMITIR")</f>
        <v>POR EMITIR</v>
      </c>
      <c r="M1263" s="55" t="str">
        <f>+IF(Tabla6[[#This Row],[ESTADO FACTURA]]="PAGADA",Tabla6[[#This Row],[FECHA]]-_xlfn.XLOOKUP(Tabla6[[#This Row],[N° FACTURA]],INGRESOS!F:F,INGRESOS!A:A),"-")</f>
        <v>-</v>
      </c>
      <c r="N1263" s="2"/>
      <c r="O1263"/>
    </row>
    <row r="1264" spans="1:15" ht="14.75" customHeight="1">
      <c r="A1264" s="320" t="s">
        <v>84</v>
      </c>
      <c r="B1264" t="str">
        <f>+_xlfn.XLOOKUP(Tabla6[[#This Row],[ID CLIENTE]],'RESUMEN CLIENTES'!D:D,'RESUMEN CLIENTES'!A:A)</f>
        <v>Andrea Corpeño López</v>
      </c>
      <c r="C1264" t="str">
        <f>+_xlfn.XLOOKUP(Tabla6[[#This Row],[ID CLIENTE]],'RESUMEN CLIENTES'!D:D,'RESUMEN CLIENTES'!C:C)</f>
        <v>El Salvador</v>
      </c>
      <c r="D1264" s="44" t="str">
        <f>+_xlfn.XLOOKUP(Tabla6[[#This Row],[ID CLIENTE]],'RESUMEN CLIENTES'!D:D,'RESUMEN CLIENTES'!M:M)</f>
        <v>OK</v>
      </c>
      <c r="E1264" s="72">
        <f>+_xlfn.XLOOKUP(Tabla6[[#This Row],[NOMBRE]],'RESUMEN CLIENTES'!A:A,'RESUMEN CLIENTES'!X:X)</f>
        <v>-0.81818181818181823</v>
      </c>
      <c r="F1264" s="72">
        <f>+_xlfn.XLOOKUP(Tabla6[[#This Row],[ID CLIENTE]],'RESUMEN CLIENTES'!D:D,'RESUMEN CLIENTES'!W:W)</f>
        <v>0</v>
      </c>
      <c r="G1264" s="17">
        <v>46142</v>
      </c>
      <c r="H1264" s="44" t="s">
        <v>81</v>
      </c>
      <c r="I1264" s="2">
        <v>3000</v>
      </c>
      <c r="J1264"/>
      <c r="K1264"/>
      <c r="L1264" s="44" t="str" cm="1">
        <f t="array" ref="L1264">+_xlfn.IFS(COUNTIF(INGRESOS!E:E,Tabla6[[#This Row],[ID FACTURA]])=1,"PAGADA",Tabla6[[#This Row],[ID FACTURA]]&lt;&gt;0,"EMITIDA",Tabla6[[#This Row],[ID FACTURA]]=0,"POR EMITIR")</f>
        <v>POR EMITIR</v>
      </c>
      <c r="M1264" s="55" t="str">
        <f>+IF(Tabla6[[#This Row],[ESTADO FACTURA]]="PAGADA",Tabla6[[#This Row],[FECHA]]-_xlfn.XLOOKUP(Tabla6[[#This Row],[N° FACTURA]],INGRESOS!F:F,INGRESOS!A:A),"-")</f>
        <v>-</v>
      </c>
      <c r="N1264" s="2"/>
      <c r="O1264"/>
    </row>
    <row r="1265" spans="1:15" ht="14.75" customHeight="1">
      <c r="A1265" s="320" t="s">
        <v>527</v>
      </c>
      <c r="B1265" t="str">
        <f>+_xlfn.XLOOKUP(Tabla6[[#This Row],[ID CLIENTE]],'RESUMEN CLIENTES'!D:D,'RESUMEN CLIENTES'!A:A)</f>
        <v>Angie Pérez Cáceres</v>
      </c>
      <c r="C1265" t="str">
        <f>+_xlfn.XLOOKUP(Tabla6[[#This Row],[ID CLIENTE]],'RESUMEN CLIENTES'!D:D,'RESUMEN CLIENTES'!C:C)</f>
        <v>Perú</v>
      </c>
      <c r="D1265" s="44" t="str">
        <f>+_xlfn.XLOOKUP(Tabla6[[#This Row],[ID CLIENTE]],'RESUMEN CLIENTES'!D:D,'RESUMEN CLIENTES'!M:M)</f>
        <v>OK</v>
      </c>
      <c r="E1265" s="72">
        <f>+_xlfn.XLOOKUP(Tabla6[[#This Row],[NOMBRE]],'RESUMEN CLIENTES'!A:A,'RESUMEN CLIENTES'!X:X)</f>
        <v>1.625</v>
      </c>
      <c r="F1265" s="72">
        <f>+_xlfn.XLOOKUP(Tabla6[[#This Row],[ID CLIENTE]],'RESUMEN CLIENTES'!D:D,'RESUMEN CLIENTES'!W:W)</f>
        <v>0</v>
      </c>
      <c r="G1265" s="17">
        <v>46142</v>
      </c>
      <c r="H1265" s="44" t="s">
        <v>81</v>
      </c>
      <c r="I1265" s="2">
        <v>1000</v>
      </c>
      <c r="J1265"/>
      <c r="K1265"/>
      <c r="L1265" s="44" t="str" cm="1">
        <f t="array" ref="L1265">+_xlfn.IFS(COUNTIF(INGRESOS!E:E,Tabla6[[#This Row],[ID FACTURA]])=1,"PAGADA",Tabla6[[#This Row],[ID FACTURA]]&lt;&gt;0,"EMITIDA",Tabla6[[#This Row],[ID FACTURA]]=0,"POR EMITIR")</f>
        <v>POR EMITIR</v>
      </c>
      <c r="M1265" s="55" t="str">
        <f>+IF(Tabla6[[#This Row],[ESTADO FACTURA]]="PAGADA",Tabla6[[#This Row],[FECHA]]-_xlfn.XLOOKUP(Tabla6[[#This Row],[N° FACTURA]],INGRESOS!F:F,INGRESOS!A:A),"-")</f>
        <v>-</v>
      </c>
      <c r="N1265" s="2"/>
      <c r="O1265"/>
    </row>
    <row r="1266" spans="1:15" ht="14.75" customHeight="1">
      <c r="A1266" s="320" t="s">
        <v>226</v>
      </c>
      <c r="B1266" t="str">
        <f>+_xlfn.XLOOKUP(Tabla6[[#This Row],[ID CLIENTE]],'RESUMEN CLIENTES'!D:D,'RESUMEN CLIENTES'!A:A)</f>
        <v>Carlos Josue Escobar Morán</v>
      </c>
      <c r="C1266" t="str">
        <f>+_xlfn.XLOOKUP(Tabla6[[#This Row],[ID CLIENTE]],'RESUMEN CLIENTES'!D:D,'RESUMEN CLIENTES'!C:C)</f>
        <v>El Salvador</v>
      </c>
      <c r="D1266" s="44" t="str">
        <f>+_xlfn.XLOOKUP(Tabla6[[#This Row],[ID CLIENTE]],'RESUMEN CLIENTES'!D:D,'RESUMEN CLIENTES'!M:M)</f>
        <v>OK</v>
      </c>
      <c r="E1266" s="72">
        <f>+_xlfn.XLOOKUP(Tabla6[[#This Row],[NOMBRE]],'RESUMEN CLIENTES'!A:A,'RESUMEN CLIENTES'!X:X)</f>
        <v>0.8</v>
      </c>
      <c r="F1266" s="72">
        <f>+_xlfn.XLOOKUP(Tabla6[[#This Row],[ID CLIENTE]],'RESUMEN CLIENTES'!D:D,'RESUMEN CLIENTES'!W:W)</f>
        <v>0</v>
      </c>
      <c r="G1266" s="17">
        <v>46142</v>
      </c>
      <c r="H1266" s="44" t="s">
        <v>81</v>
      </c>
      <c r="I1266" s="2">
        <v>500</v>
      </c>
      <c r="J1266"/>
      <c r="K1266"/>
      <c r="L1266" s="44" t="str" cm="1">
        <f t="array" ref="L1266">+_xlfn.IFS(COUNTIF(INGRESOS!E:E,Tabla6[[#This Row],[ID FACTURA]])=1,"PAGADA",Tabla6[[#This Row],[ID FACTURA]]&lt;&gt;0,"EMITIDA",Tabla6[[#This Row],[ID FACTURA]]=0,"POR EMITIR")</f>
        <v>POR EMITIR</v>
      </c>
      <c r="M1266" s="55" t="str">
        <f>+IF(Tabla6[[#This Row],[ESTADO FACTURA]]="PAGADA",Tabla6[[#This Row],[FECHA]]-_xlfn.XLOOKUP(Tabla6[[#This Row],[N° FACTURA]],INGRESOS!F:F,INGRESOS!A:A),"-")</f>
        <v>-</v>
      </c>
      <c r="N1266" s="2"/>
      <c r="O1266"/>
    </row>
    <row r="1267" spans="1:15" ht="14.75" customHeight="1">
      <c r="A1267" s="320" t="s">
        <v>479</v>
      </c>
      <c r="B1267" t="str">
        <f>+_xlfn.XLOOKUP(Tabla6[[#This Row],[ID CLIENTE]],'RESUMEN CLIENTES'!D:D,'RESUMEN CLIENTES'!A:A)</f>
        <v>Carlos Mersaim Olivares Sandoval</v>
      </c>
      <c r="C1267" t="str">
        <f>+_xlfn.XLOOKUP(Tabla6[[#This Row],[ID CLIENTE]],'RESUMEN CLIENTES'!D:D,'RESUMEN CLIENTES'!C:C)</f>
        <v>México</v>
      </c>
      <c r="D1267" s="44" t="str">
        <f>+_xlfn.XLOOKUP(Tabla6[[#This Row],[ID CLIENTE]],'RESUMEN CLIENTES'!D:D,'RESUMEN CLIENTES'!M:M)</f>
        <v>OK</v>
      </c>
      <c r="E1267" s="72">
        <f>+_xlfn.XLOOKUP(Tabla6[[#This Row],[NOMBRE]],'RESUMEN CLIENTES'!A:A,'RESUMEN CLIENTES'!X:X)</f>
        <v>1.4444444444444444</v>
      </c>
      <c r="F1267" s="72">
        <f>+_xlfn.XLOOKUP(Tabla6[[#This Row],[ID CLIENTE]],'RESUMEN CLIENTES'!D:D,'RESUMEN CLIENTES'!W:W)</f>
        <v>0</v>
      </c>
      <c r="G1267" s="17">
        <v>46142</v>
      </c>
      <c r="H1267" s="44" t="s">
        <v>81</v>
      </c>
      <c r="I1267" s="2">
        <v>1000</v>
      </c>
      <c r="J1267"/>
      <c r="K1267"/>
      <c r="L1267" s="44" t="str" cm="1">
        <f t="array" ref="L1267">+_xlfn.IFS(COUNTIF(INGRESOS!E:E,Tabla6[[#This Row],[ID FACTURA]])=1,"PAGADA",Tabla6[[#This Row],[ID FACTURA]]&lt;&gt;0,"EMITIDA",Tabla6[[#This Row],[ID FACTURA]]=0,"POR EMITIR")</f>
        <v>POR EMITIR</v>
      </c>
      <c r="M1267" s="55" t="str">
        <f>+IF(Tabla6[[#This Row],[ESTADO FACTURA]]="PAGADA",Tabla6[[#This Row],[FECHA]]-_xlfn.XLOOKUP(Tabla6[[#This Row],[N° FACTURA]],INGRESOS!F:F,INGRESOS!A:A),"-")</f>
        <v>-</v>
      </c>
      <c r="N1267" s="2"/>
      <c r="O1267"/>
    </row>
    <row r="1268" spans="1:15" ht="14.75" customHeight="1">
      <c r="A1268" s="320" t="s">
        <v>385</v>
      </c>
      <c r="B1268" t="str">
        <f>+_xlfn.XLOOKUP(Tabla6[[#This Row],[ID CLIENTE]],'RESUMEN CLIENTES'!D:D,'RESUMEN CLIENTES'!A:A)</f>
        <v>Ellen Cristina Gerónimo Bonilla</v>
      </c>
      <c r="C1268" t="str">
        <f>+_xlfn.XLOOKUP(Tabla6[[#This Row],[ID CLIENTE]],'RESUMEN CLIENTES'!D:D,'RESUMEN CLIENTES'!C:C)</f>
        <v>República Dominicana</v>
      </c>
      <c r="D1268" s="44" t="str">
        <f>+_xlfn.XLOOKUP(Tabla6[[#This Row],[ID CLIENTE]],'RESUMEN CLIENTES'!D:D,'RESUMEN CLIENTES'!M:M)</f>
        <v>OK</v>
      </c>
      <c r="E1268" s="72">
        <f>+_xlfn.XLOOKUP(Tabla6[[#This Row],[NOMBRE]],'RESUMEN CLIENTES'!A:A,'RESUMEN CLIENTES'!X:X)</f>
        <v>1.5555555555555556</v>
      </c>
      <c r="F1268" s="72">
        <f>+_xlfn.XLOOKUP(Tabla6[[#This Row],[ID CLIENTE]],'RESUMEN CLIENTES'!D:D,'RESUMEN CLIENTES'!W:W)</f>
        <v>1</v>
      </c>
      <c r="G1268" s="17">
        <v>46142</v>
      </c>
      <c r="H1268" s="44" t="s">
        <v>81</v>
      </c>
      <c r="I1268" s="2">
        <v>600</v>
      </c>
      <c r="J1268"/>
      <c r="K1268"/>
      <c r="L1268" s="44" t="str" cm="1">
        <f t="array" ref="L1268">+_xlfn.IFS(COUNTIF(INGRESOS!E:E,Tabla6[[#This Row],[ID FACTURA]])=1,"PAGADA",Tabla6[[#This Row],[ID FACTURA]]&lt;&gt;0,"EMITIDA",Tabla6[[#This Row],[ID FACTURA]]=0,"POR EMITIR")</f>
        <v>POR EMITIR</v>
      </c>
      <c r="M1268" s="55" t="str">
        <f>+IF(Tabla6[[#This Row],[ESTADO FACTURA]]="PAGADA",Tabla6[[#This Row],[FECHA]]-_xlfn.XLOOKUP(Tabla6[[#This Row],[N° FACTURA]],INGRESOS!F:F,INGRESOS!A:A),"-")</f>
        <v>-</v>
      </c>
      <c r="N1268" s="2"/>
      <c r="O1268"/>
    </row>
    <row r="1269" spans="1:15" ht="14.75" customHeight="1">
      <c r="A1269" s="320" t="s">
        <v>1761</v>
      </c>
      <c r="B1269" t="str">
        <f>+_xlfn.XLOOKUP(Tabla6[[#This Row],[ID CLIENTE]],'RESUMEN CLIENTES'!D:D,'RESUMEN CLIENTES'!A:A)</f>
        <v>Francisco Salas Barrera</v>
      </c>
      <c r="C1269" t="str">
        <f>+_xlfn.XLOOKUP(Tabla6[[#This Row],[ID CLIENTE]],'RESUMEN CLIENTES'!D:D,'RESUMEN CLIENTES'!C:C)</f>
        <v>México</v>
      </c>
      <c r="D1269" s="169" t="str">
        <f>+_xlfn.XLOOKUP(Tabla6[[#This Row],[ID CLIENTE]],'RESUMEN CLIENTES'!D:D,'RESUMEN CLIENTES'!M:M)</f>
        <v>OK</v>
      </c>
      <c r="E1269" s="71">
        <f>+_xlfn.XLOOKUP(Tabla6[[#This Row],[NOMBRE]],'RESUMEN CLIENTES'!A:A,'RESUMEN CLIENTES'!X:X)</f>
        <v>-0.75</v>
      </c>
      <c r="F1269" s="71">
        <f>+_xlfn.XLOOKUP(Tabla6[[#This Row],[ID CLIENTE]],'RESUMEN CLIENTES'!D:D,'RESUMEN CLIENTES'!W:W)</f>
        <v>0</v>
      </c>
      <c r="G1269" s="17">
        <v>46142</v>
      </c>
      <c r="H1269" s="169" t="s">
        <v>81</v>
      </c>
      <c r="I1269" s="2">
        <v>1000</v>
      </c>
      <c r="J1269"/>
      <c r="K1269"/>
      <c r="L1269" s="44" t="str" cm="1">
        <f t="array" ref="L1269">+_xlfn.IFS(COUNTIF(INGRESOS!E:E,Tabla6[[#This Row],[ID FACTURA]])=1,"PAGADA",Tabla6[[#This Row],[ID FACTURA]]&lt;&gt;0,"EMITIDA",Tabla6[[#This Row],[ID FACTURA]]=0,"POR EMITIR")</f>
        <v>POR EMITIR</v>
      </c>
      <c r="M1269" s="55" t="str">
        <f>+IF(Tabla6[[#This Row],[ESTADO FACTURA]]="PAGADA",Tabla6[[#This Row],[FECHA]]-_xlfn.XLOOKUP(Tabla6[[#This Row],[N° FACTURA]],INGRESOS!F:F,INGRESOS!A:A),"-")</f>
        <v>-</v>
      </c>
      <c r="O1269"/>
    </row>
    <row r="1270" spans="1:15" ht="14.75" customHeight="1">
      <c r="A1270" s="320" t="s">
        <v>739</v>
      </c>
      <c r="B1270" t="str">
        <f>+_xlfn.XLOOKUP(Tabla6[[#This Row],[ID CLIENTE]],'RESUMEN CLIENTES'!D:D,'RESUMEN CLIENTES'!A:A)</f>
        <v>Gilberto Martiñon Torres</v>
      </c>
      <c r="C1270" t="str">
        <f>+_xlfn.XLOOKUP(Tabla6[[#This Row],[ID CLIENTE]],'RESUMEN CLIENTES'!D:D,'RESUMEN CLIENTES'!C:C)</f>
        <v>México</v>
      </c>
      <c r="D1270" s="44" t="str">
        <f>+_xlfn.XLOOKUP(Tabla6[[#This Row],[ID CLIENTE]],'RESUMEN CLIENTES'!D:D,'RESUMEN CLIENTES'!M:M)</f>
        <v>OK</v>
      </c>
      <c r="E1270" s="72">
        <f>+_xlfn.XLOOKUP(Tabla6[[#This Row],[NOMBRE]],'RESUMEN CLIENTES'!A:A,'RESUMEN CLIENTES'!X:X)</f>
        <v>-0.625</v>
      </c>
      <c r="F1270" s="72">
        <f>+_xlfn.XLOOKUP(Tabla6[[#This Row],[ID CLIENTE]],'RESUMEN CLIENTES'!D:D,'RESUMEN CLIENTES'!W:W)</f>
        <v>0</v>
      </c>
      <c r="G1270" s="17">
        <v>46142</v>
      </c>
      <c r="H1270" s="44" t="s">
        <v>81</v>
      </c>
      <c r="I1270" s="2">
        <v>700</v>
      </c>
      <c r="J1270"/>
      <c r="K1270"/>
      <c r="L1270" s="44" t="str" cm="1">
        <f t="array" ref="L1270">+_xlfn.IFS(COUNTIF(INGRESOS!E:E,Tabla6[[#This Row],[ID FACTURA]])=1,"PAGADA",Tabla6[[#This Row],[ID FACTURA]]&lt;&gt;0,"EMITIDA",Tabla6[[#This Row],[ID FACTURA]]=0,"POR EMITIR")</f>
        <v>POR EMITIR</v>
      </c>
      <c r="M1270" s="55" t="str">
        <f>+IF(Tabla6[[#This Row],[ESTADO FACTURA]]="PAGADA",Tabla6[[#This Row],[FECHA]]-_xlfn.XLOOKUP(Tabla6[[#This Row],[N° FACTURA]],INGRESOS!F:F,INGRESOS!A:A),"-")</f>
        <v>-</v>
      </c>
      <c r="N1270" s="2"/>
      <c r="O1270"/>
    </row>
    <row r="1271" spans="1:15" ht="14.75" customHeight="1">
      <c r="A1271" s="320" t="s">
        <v>139</v>
      </c>
      <c r="B1271" t="str">
        <f>+_xlfn.XLOOKUP(Tabla6[[#This Row],[ID CLIENTE]],'RESUMEN CLIENTES'!D:D,'RESUMEN CLIENTES'!A:A)</f>
        <v>Hugo Nicolás Trávez Morales</v>
      </c>
      <c r="C1271" t="str">
        <f>+_xlfn.XLOOKUP(Tabla6[[#This Row],[ID CLIENTE]],'RESUMEN CLIENTES'!D:D,'RESUMEN CLIENTES'!C:C)</f>
        <v>Ecuador</v>
      </c>
      <c r="D1271" s="169" t="str">
        <f>+_xlfn.XLOOKUP(Tabla6[[#This Row],[ID CLIENTE]],'RESUMEN CLIENTES'!D:D,'RESUMEN CLIENTES'!M:M)</f>
        <v>OK</v>
      </c>
      <c r="E1271" s="71">
        <f>+_xlfn.XLOOKUP(Tabla6[[#This Row],[NOMBRE]],'RESUMEN CLIENTES'!A:A,'RESUMEN CLIENTES'!X:X)</f>
        <v>0</v>
      </c>
      <c r="F1271" s="71">
        <f>+_xlfn.XLOOKUP(Tabla6[[#This Row],[ID CLIENTE]],'RESUMEN CLIENTES'!D:D,'RESUMEN CLIENTES'!W:W)</f>
        <v>0</v>
      </c>
      <c r="G1271" s="17">
        <v>46142</v>
      </c>
      <c r="H1271" s="44" t="s">
        <v>81</v>
      </c>
      <c r="I1271" s="2">
        <v>500</v>
      </c>
      <c r="J1271"/>
      <c r="K1271"/>
      <c r="L1271" s="44" t="str" cm="1">
        <f t="array" ref="L1271">+_xlfn.IFS(COUNTIF(INGRESOS!E:E,Tabla6[[#This Row],[ID FACTURA]])=1,"PAGADA",Tabla6[[#This Row],[ID FACTURA]]&lt;&gt;0,"EMITIDA",Tabla6[[#This Row],[ID FACTURA]]=0,"POR EMITIR")</f>
        <v>POR EMITIR</v>
      </c>
      <c r="M1271" s="54" t="str">
        <f>+IF(Tabla6[[#This Row],[ESTADO FACTURA]]="PAGADA",Tabla6[[#This Row],[FECHA]]-_xlfn.XLOOKUP(Tabla6[[#This Row],[N° FACTURA]],INGRESOS!F:F,INGRESOS!A:A),"-")</f>
        <v>-</v>
      </c>
      <c r="O1271"/>
    </row>
    <row r="1272" spans="1:15" ht="14.75" customHeight="1">
      <c r="A1272" s="320" t="s">
        <v>266</v>
      </c>
      <c r="B1272" t="str">
        <f>+_xlfn.XLOOKUP(Tabla6[[#This Row],[ID CLIENTE]],'RESUMEN CLIENTES'!D:D,'RESUMEN CLIENTES'!A:A)</f>
        <v>Juan Camilo Sanchez Ramirez</v>
      </c>
      <c r="C1272" t="str">
        <f>+_xlfn.XLOOKUP(Tabla6[[#This Row],[ID CLIENTE]],'RESUMEN CLIENTES'!D:D,'RESUMEN CLIENTES'!C:C)</f>
        <v>Colombia</v>
      </c>
      <c r="D1272" s="44" t="str">
        <f>+_xlfn.XLOOKUP(Tabla6[[#This Row],[ID CLIENTE]],'RESUMEN CLIENTES'!D:D,'RESUMEN CLIENTES'!M:M)</f>
        <v>OK</v>
      </c>
      <c r="E1272" s="72">
        <f>+_xlfn.XLOOKUP(Tabla6[[#This Row],[NOMBRE]],'RESUMEN CLIENTES'!A:A,'RESUMEN CLIENTES'!X:X)</f>
        <v>0.2</v>
      </c>
      <c r="F1272" s="72">
        <f>+_xlfn.XLOOKUP(Tabla6[[#This Row],[ID CLIENTE]],'RESUMEN CLIENTES'!D:D,'RESUMEN CLIENTES'!W:W)</f>
        <v>0</v>
      </c>
      <c r="G1272" s="17">
        <v>46142</v>
      </c>
      <c r="H1272" s="44" t="s">
        <v>81</v>
      </c>
      <c r="I1272" s="2">
        <v>1000</v>
      </c>
      <c r="J1272"/>
      <c r="K1272"/>
      <c r="L1272" s="44" t="str" cm="1">
        <f t="array" ref="L1272">+_xlfn.IFS(COUNTIF(INGRESOS!E:E,Tabla6[[#This Row],[ID FACTURA]])=1,"PAGADA",Tabla6[[#This Row],[ID FACTURA]]&lt;&gt;0,"EMITIDA",Tabla6[[#This Row],[ID FACTURA]]=0,"POR EMITIR")</f>
        <v>POR EMITIR</v>
      </c>
      <c r="M1272" s="55" t="str">
        <f>+IF(Tabla6[[#This Row],[ESTADO FACTURA]]="PAGADA",Tabla6[[#This Row],[FECHA]]-_xlfn.XLOOKUP(Tabla6[[#This Row],[N° FACTURA]],INGRESOS!F:F,INGRESOS!A:A),"-")</f>
        <v>-</v>
      </c>
      <c r="N1272" s="2"/>
      <c r="O1272"/>
    </row>
    <row r="1273" spans="1:15" ht="14.75" customHeight="1">
      <c r="A1273" s="320" t="s">
        <v>468</v>
      </c>
      <c r="B1273" t="str">
        <f>+_xlfn.XLOOKUP(Tabla6[[#This Row],[ID CLIENTE]],'RESUMEN CLIENTES'!D:D,'RESUMEN CLIENTES'!A:A)</f>
        <v>Julian Medina</v>
      </c>
      <c r="C1273" t="str">
        <f>+_xlfn.XLOOKUP(Tabla6[[#This Row],[ID CLIENTE]],'RESUMEN CLIENTES'!D:D,'RESUMEN CLIENTES'!C:C)</f>
        <v>Ecuador</v>
      </c>
      <c r="D1273" s="44" t="str">
        <f>+_xlfn.XLOOKUP(Tabla6[[#This Row],[ID CLIENTE]],'RESUMEN CLIENTES'!D:D,'RESUMEN CLIENTES'!M:M)</f>
        <v>OK</v>
      </c>
      <c r="E1273" s="72">
        <f>+_xlfn.XLOOKUP(Tabla6[[#This Row],[NOMBRE]],'RESUMEN CLIENTES'!A:A,'RESUMEN CLIENTES'!X:X)</f>
        <v>-0.5</v>
      </c>
      <c r="F1273" s="72">
        <f>+_xlfn.XLOOKUP(Tabla6[[#This Row],[ID CLIENTE]],'RESUMEN CLIENTES'!D:D,'RESUMEN CLIENTES'!W:W)</f>
        <v>0</v>
      </c>
      <c r="G1273" s="17">
        <v>46142</v>
      </c>
      <c r="H1273" s="44" t="s">
        <v>81</v>
      </c>
      <c r="I1273" s="2">
        <v>3750</v>
      </c>
      <c r="J1273"/>
      <c r="K1273"/>
      <c r="L1273" s="44" t="str" cm="1">
        <f t="array" ref="L1273">+_xlfn.IFS(COUNTIF(INGRESOS!E:E,Tabla6[[#This Row],[ID FACTURA]])=1,"PAGADA",Tabla6[[#This Row],[ID FACTURA]]&lt;&gt;0,"EMITIDA",Tabla6[[#This Row],[ID FACTURA]]=0,"POR EMITIR")</f>
        <v>POR EMITIR</v>
      </c>
      <c r="M1273" s="55" t="str">
        <f>+IF(Tabla6[[#This Row],[ESTADO FACTURA]]="PAGADA",Tabla6[[#This Row],[FECHA]]-_xlfn.XLOOKUP(Tabla6[[#This Row],[N° FACTURA]],INGRESOS!F:F,INGRESOS!A:A),"-")</f>
        <v>-</v>
      </c>
      <c r="N1273" s="2"/>
      <c r="O1273"/>
    </row>
    <row r="1274" spans="1:15" ht="14.75" customHeight="1">
      <c r="A1274" s="320" t="s">
        <v>197</v>
      </c>
      <c r="B1274" t="str">
        <f>+_xlfn.XLOOKUP(Tabla6[[#This Row],[ID CLIENTE]],'RESUMEN CLIENTES'!D:D,'RESUMEN CLIENTES'!A:A)</f>
        <v>Lina Estrada</v>
      </c>
      <c r="C1274" t="str">
        <f>+_xlfn.XLOOKUP(Tabla6[[#This Row],[ID CLIENTE]],'RESUMEN CLIENTES'!D:D,'RESUMEN CLIENTES'!C:C)</f>
        <v>Colombia</v>
      </c>
      <c r="D1274" s="44" t="str">
        <f>+_xlfn.XLOOKUP(Tabla6[[#This Row],[ID CLIENTE]],'RESUMEN CLIENTES'!D:D,'RESUMEN CLIENTES'!M:M)</f>
        <v>¡REGULARIZAR!</v>
      </c>
      <c r="E1274" s="71">
        <f>+_xlfn.XLOOKUP(Tabla6[[#This Row],[NOMBRE]],'RESUMEN CLIENTES'!A:A,'RESUMEN CLIENTES'!X:X)</f>
        <v>0.5</v>
      </c>
      <c r="F1274" s="71">
        <f>+_xlfn.XLOOKUP(Tabla6[[#This Row],[ID CLIENTE]],'RESUMEN CLIENTES'!D:D,'RESUMEN CLIENTES'!W:W)</f>
        <v>0</v>
      </c>
      <c r="G1274" s="17">
        <v>46142</v>
      </c>
      <c r="H1274" s="169" t="s">
        <v>1669</v>
      </c>
      <c r="I1274" s="2">
        <v>800</v>
      </c>
      <c r="J1274"/>
      <c r="K1274"/>
      <c r="L1274" s="44" t="str" cm="1">
        <f t="array" ref="L1274">+_xlfn.IFS(COUNTIF(INGRESOS!E:E,Tabla6[[#This Row],[ID FACTURA]])=1,"PAGADA",Tabla6[[#This Row],[ID FACTURA]]&lt;&gt;0,"EMITIDA",Tabla6[[#This Row],[ID FACTURA]]=0,"POR EMITIR")</f>
        <v>POR EMITIR</v>
      </c>
      <c r="M1274" s="55" t="str">
        <f>+IF(Tabla6[[#This Row],[ESTADO FACTURA]]="PAGADA",Tabla6[[#This Row],[FECHA]]-_xlfn.XLOOKUP(Tabla6[[#This Row],[N° FACTURA]],INGRESOS!F:F,INGRESOS!A:A),"-")</f>
        <v>-</v>
      </c>
      <c r="N1274" s="2"/>
      <c r="O1274" s="8"/>
    </row>
    <row r="1275" spans="1:15" ht="14.75" customHeight="1">
      <c r="A1275" s="320" t="s">
        <v>441</v>
      </c>
      <c r="B1275" t="str">
        <f>+_xlfn.XLOOKUP(Tabla6[[#This Row],[ID CLIENTE]],'RESUMEN CLIENTES'!D:D,'RESUMEN CLIENTES'!A:A)</f>
        <v>Luis Manuel Villanueva Contreras</v>
      </c>
      <c r="C1275" t="str">
        <f>+_xlfn.XLOOKUP(Tabla6[[#This Row],[ID CLIENTE]],'RESUMEN CLIENTES'!D:D,'RESUMEN CLIENTES'!C:C)</f>
        <v>México</v>
      </c>
      <c r="D1275" s="44" t="str">
        <f>+_xlfn.XLOOKUP(Tabla6[[#This Row],[ID CLIENTE]],'RESUMEN CLIENTES'!D:D,'RESUMEN CLIENTES'!M:M)</f>
        <v>OK</v>
      </c>
      <c r="E1275" s="72">
        <f>+_xlfn.XLOOKUP(Tabla6[[#This Row],[NOMBRE]],'RESUMEN CLIENTES'!A:A,'RESUMEN CLIENTES'!X:X)</f>
        <v>0.55555555555555558</v>
      </c>
      <c r="F1275" s="72">
        <f>+_xlfn.XLOOKUP(Tabla6[[#This Row],[ID CLIENTE]],'RESUMEN CLIENTES'!D:D,'RESUMEN CLIENTES'!W:W)</f>
        <v>0</v>
      </c>
      <c r="G1275" s="17">
        <v>46142</v>
      </c>
      <c r="H1275" s="44" t="s">
        <v>81</v>
      </c>
      <c r="I1275" s="2">
        <v>1000</v>
      </c>
      <c r="J1275"/>
      <c r="K1275"/>
      <c r="L1275" s="44" t="str" cm="1">
        <f t="array" ref="L1275">+_xlfn.IFS(COUNTIF(INGRESOS!E:E,Tabla6[[#This Row],[ID FACTURA]])=1,"PAGADA",Tabla6[[#This Row],[ID FACTURA]]&lt;&gt;0,"EMITIDA",Tabla6[[#This Row],[ID FACTURA]]=0,"POR EMITIR")</f>
        <v>POR EMITIR</v>
      </c>
      <c r="M1275" s="55" t="str">
        <f>+IF(Tabla6[[#This Row],[ESTADO FACTURA]]="PAGADA",Tabla6[[#This Row],[FECHA]]-_xlfn.XLOOKUP(Tabla6[[#This Row],[N° FACTURA]],INGRESOS!F:F,INGRESOS!A:A),"-")</f>
        <v>-</v>
      </c>
      <c r="N1275" s="2"/>
      <c r="O1275"/>
    </row>
    <row r="1276" spans="1:15" ht="14.75" customHeight="1">
      <c r="A1276" s="320" t="s">
        <v>590</v>
      </c>
      <c r="B1276" t="str">
        <f>+_xlfn.XLOOKUP(Tabla6[[#This Row],[ID CLIENTE]],'RESUMEN CLIENTES'!D:D,'RESUMEN CLIENTES'!A:A)</f>
        <v>María Lucero de Jesús Barrios Sazo</v>
      </c>
      <c r="C1276" t="str">
        <f>+_xlfn.XLOOKUP(Tabla6[[#This Row],[ID CLIENTE]],'RESUMEN CLIENTES'!D:D,'RESUMEN CLIENTES'!C:C)</f>
        <v>Guatemala</v>
      </c>
      <c r="D1276" s="44" t="str">
        <f>+_xlfn.XLOOKUP(Tabla6[[#This Row],[ID CLIENTE]],'RESUMEN CLIENTES'!D:D,'RESUMEN CLIENTES'!M:M)</f>
        <v>OK</v>
      </c>
      <c r="E1276" s="72">
        <f>+_xlfn.XLOOKUP(Tabla6[[#This Row],[NOMBRE]],'RESUMEN CLIENTES'!A:A,'RESUMEN CLIENTES'!X:X)</f>
        <v>1.25</v>
      </c>
      <c r="F1276" s="72">
        <f>+_xlfn.XLOOKUP(Tabla6[[#This Row],[ID CLIENTE]],'RESUMEN CLIENTES'!D:D,'RESUMEN CLIENTES'!W:W)</f>
        <v>0</v>
      </c>
      <c r="G1276" s="17">
        <v>46142</v>
      </c>
      <c r="H1276" s="44" t="s">
        <v>81</v>
      </c>
      <c r="I1276" s="2">
        <v>700</v>
      </c>
      <c r="J1276"/>
      <c r="K1276"/>
      <c r="L1276" s="44" t="str" cm="1">
        <f t="array" ref="L1276">+_xlfn.IFS(COUNTIF(INGRESOS!E:E,Tabla6[[#This Row],[ID FACTURA]])=1,"PAGADA",Tabla6[[#This Row],[ID FACTURA]]&lt;&gt;0,"EMITIDA",Tabla6[[#This Row],[ID FACTURA]]=0,"POR EMITIR")</f>
        <v>POR EMITIR</v>
      </c>
      <c r="M1276" s="55" t="str">
        <f>+IF(Tabla6[[#This Row],[ESTADO FACTURA]]="PAGADA",Tabla6[[#This Row],[FECHA]]-_xlfn.XLOOKUP(Tabla6[[#This Row],[N° FACTURA]],INGRESOS!F:F,INGRESOS!A:A),"-")</f>
        <v>-</v>
      </c>
      <c r="N1276" s="2"/>
      <c r="O1276"/>
    </row>
    <row r="1277" spans="1:15" ht="14.75" customHeight="1">
      <c r="A1277" s="320" t="s">
        <v>1201</v>
      </c>
      <c r="B1277" t="str">
        <f>+_xlfn.XLOOKUP(Tabla6[[#This Row],[ID CLIENTE]],'RESUMEN CLIENTES'!D:D,'RESUMEN CLIENTES'!A:A)</f>
        <v>María Soledad Tituana Asanza</v>
      </c>
      <c r="C1277" t="str">
        <f>+_xlfn.XLOOKUP(Tabla6[[#This Row],[ID CLIENTE]],'RESUMEN CLIENTES'!D:D,'RESUMEN CLIENTES'!C:C)</f>
        <v>Ecuador</v>
      </c>
      <c r="D1277" s="44" t="str">
        <f>+_xlfn.XLOOKUP(Tabla6[[#This Row],[ID CLIENTE]],'RESUMEN CLIENTES'!D:D,'RESUMEN CLIENTES'!M:M)</f>
        <v>OK</v>
      </c>
      <c r="E1277" s="72">
        <f>+_xlfn.XLOOKUP(Tabla6[[#This Row],[NOMBRE]],'RESUMEN CLIENTES'!A:A,'RESUMEN CLIENTES'!X:X)</f>
        <v>-0.16666666666666666</v>
      </c>
      <c r="F1277" s="72">
        <f>+_xlfn.XLOOKUP(Tabla6[[#This Row],[ID CLIENTE]],'RESUMEN CLIENTES'!D:D,'RESUMEN CLIENTES'!W:W)</f>
        <v>0</v>
      </c>
      <c r="G1277" s="17">
        <v>46142</v>
      </c>
      <c r="H1277" s="44" t="s">
        <v>81</v>
      </c>
      <c r="I1277" s="2">
        <v>1000</v>
      </c>
      <c r="J1277"/>
      <c r="K1277"/>
      <c r="L1277" s="44" t="str" cm="1">
        <f t="array" ref="L1277">+_xlfn.IFS(COUNTIF(INGRESOS!E:E,Tabla6[[#This Row],[ID FACTURA]])=1,"PAGADA",Tabla6[[#This Row],[ID FACTURA]]&lt;&gt;0,"EMITIDA",Tabla6[[#This Row],[ID FACTURA]]=0,"POR EMITIR")</f>
        <v>POR EMITIR</v>
      </c>
      <c r="M1277" s="55" t="str">
        <f>+IF(Tabla6[[#This Row],[ESTADO FACTURA]]="PAGADA",Tabla6[[#This Row],[FECHA]]-_xlfn.XLOOKUP(Tabla6[[#This Row],[N° FACTURA]],INGRESOS!F:F,INGRESOS!A:A),"-")</f>
        <v>-</v>
      </c>
      <c r="N1277" s="2"/>
      <c r="O1277"/>
    </row>
    <row r="1278" spans="1:15" ht="14.75" customHeight="1">
      <c r="A1278" s="320" t="s">
        <v>314</v>
      </c>
      <c r="B1278" t="str">
        <f>+_xlfn.XLOOKUP(Tabla6[[#This Row],[ID CLIENTE]],'RESUMEN CLIENTES'!D:D,'RESUMEN CLIENTES'!A:A)</f>
        <v>Miguel Angel Sisalima Shiña</v>
      </c>
      <c r="C1278" t="str">
        <f>+_xlfn.XLOOKUP(Tabla6[[#This Row],[ID CLIENTE]],'RESUMEN CLIENTES'!D:D,'RESUMEN CLIENTES'!C:C)</f>
        <v>Ecuador</v>
      </c>
      <c r="D1278" s="44" t="str">
        <f>+_xlfn.XLOOKUP(Tabla6[[#This Row],[ID CLIENTE]],'RESUMEN CLIENTES'!D:D,'RESUMEN CLIENTES'!M:M)</f>
        <v>OK</v>
      </c>
      <c r="E1278" s="72">
        <f>+_xlfn.XLOOKUP(Tabla6[[#This Row],[NOMBRE]],'RESUMEN CLIENTES'!A:A,'RESUMEN CLIENTES'!X:X)</f>
        <v>0.6</v>
      </c>
      <c r="F1278" s="72">
        <f>+_xlfn.XLOOKUP(Tabla6[[#This Row],[ID CLIENTE]],'RESUMEN CLIENTES'!D:D,'RESUMEN CLIENTES'!W:W)</f>
        <v>0</v>
      </c>
      <c r="G1278" s="17">
        <v>46142</v>
      </c>
      <c r="H1278" s="44" t="s">
        <v>81</v>
      </c>
      <c r="I1278" s="2">
        <v>1000</v>
      </c>
      <c r="J1278"/>
      <c r="K1278"/>
      <c r="L1278" s="44" t="str" cm="1">
        <f t="array" ref="L1278">+_xlfn.IFS(COUNTIF(INGRESOS!E:E,Tabla6[[#This Row],[ID FACTURA]])=1,"PAGADA",Tabla6[[#This Row],[ID FACTURA]]&lt;&gt;0,"EMITIDA",Tabla6[[#This Row],[ID FACTURA]]=0,"POR EMITIR")</f>
        <v>POR EMITIR</v>
      </c>
      <c r="M1278" s="55" t="str">
        <f>+IF(Tabla6[[#This Row],[ESTADO FACTURA]]="PAGADA",Tabla6[[#This Row],[FECHA]]-_xlfn.XLOOKUP(Tabla6[[#This Row],[N° FACTURA]],INGRESOS!F:F,INGRESOS!A:A),"-")</f>
        <v>-</v>
      </c>
      <c r="N1278" s="2"/>
      <c r="O1278"/>
    </row>
    <row r="1279" spans="1:15" ht="14.75" customHeight="1">
      <c r="A1279" s="320" t="s">
        <v>229</v>
      </c>
      <c r="B1279" t="str">
        <f>+_xlfn.XLOOKUP(Tabla6[[#This Row],[ID CLIENTE]],'RESUMEN CLIENTES'!D:D,'RESUMEN CLIENTES'!A:A)</f>
        <v>Nathaly Gabriela Henríquez Masín</v>
      </c>
      <c r="C1279" t="str">
        <f>+_xlfn.XLOOKUP(Tabla6[[#This Row],[ID CLIENTE]],'RESUMEN CLIENTES'!D:D,'RESUMEN CLIENTES'!C:C)</f>
        <v>El Salvador</v>
      </c>
      <c r="D1279" s="44" t="str">
        <f>+_xlfn.XLOOKUP(Tabla6[[#This Row],[ID CLIENTE]],'RESUMEN CLIENTES'!D:D,'RESUMEN CLIENTES'!M:M)</f>
        <v>OK</v>
      </c>
      <c r="E1279" s="72">
        <f>+_xlfn.XLOOKUP(Tabla6[[#This Row],[NOMBRE]],'RESUMEN CLIENTES'!A:A,'RESUMEN CLIENTES'!X:X)</f>
        <v>0.7</v>
      </c>
      <c r="F1279" s="72">
        <f>+_xlfn.XLOOKUP(Tabla6[[#This Row],[ID CLIENTE]],'RESUMEN CLIENTES'!D:D,'RESUMEN CLIENTES'!W:W)</f>
        <v>0</v>
      </c>
      <c r="G1279" s="17">
        <v>46142</v>
      </c>
      <c r="H1279" s="44" t="s">
        <v>81</v>
      </c>
      <c r="I1279" s="2">
        <v>500</v>
      </c>
      <c r="J1279"/>
      <c r="K1279"/>
      <c r="L1279" s="44" t="str" cm="1">
        <f t="array" ref="L1279">+_xlfn.IFS(COUNTIF(INGRESOS!E:E,Tabla6[[#This Row],[ID FACTURA]])=1,"PAGADA",Tabla6[[#This Row],[ID FACTURA]]&lt;&gt;0,"EMITIDA",Tabla6[[#This Row],[ID FACTURA]]=0,"POR EMITIR")</f>
        <v>POR EMITIR</v>
      </c>
      <c r="M1279" s="55" t="str">
        <f>+IF(Tabla6[[#This Row],[ESTADO FACTURA]]="PAGADA",Tabla6[[#This Row],[FECHA]]-_xlfn.XLOOKUP(Tabla6[[#This Row],[N° FACTURA]],INGRESOS!F:F,INGRESOS!A:A),"-")</f>
        <v>-</v>
      </c>
      <c r="N1279" s="2"/>
      <c r="O1279"/>
    </row>
    <row r="1280" spans="1:15" ht="14.75" customHeight="1">
      <c r="A1280" s="320" t="s">
        <v>350</v>
      </c>
      <c r="B1280" t="str">
        <f>+_xlfn.XLOOKUP(Tabla6[[#This Row],[ID CLIENTE]],'RESUMEN CLIENTES'!D:D,'RESUMEN CLIENTES'!A:A)</f>
        <v>Rainier Guerrero</v>
      </c>
      <c r="C1280" t="str">
        <f>+_xlfn.XLOOKUP(Tabla6[[#This Row],[ID CLIENTE]],'RESUMEN CLIENTES'!D:D,'RESUMEN CLIENTES'!C:C)</f>
        <v>México</v>
      </c>
      <c r="D1280" s="44" t="str">
        <f>+_xlfn.XLOOKUP(Tabla6[[#This Row],[ID CLIENTE]],'RESUMEN CLIENTES'!D:D,'RESUMEN CLIENTES'!M:M)</f>
        <v>OK</v>
      </c>
      <c r="E1280" s="72">
        <f>+_xlfn.XLOOKUP(Tabla6[[#This Row],[NOMBRE]],'RESUMEN CLIENTES'!A:A,'RESUMEN CLIENTES'!X:X)</f>
        <v>-0.3</v>
      </c>
      <c r="F1280" s="72">
        <f>+_xlfn.XLOOKUP(Tabla6[[#This Row],[ID CLIENTE]],'RESUMEN CLIENTES'!D:D,'RESUMEN CLIENTES'!W:W)</f>
        <v>1</v>
      </c>
      <c r="G1280" s="17">
        <v>46142</v>
      </c>
      <c r="H1280" s="44" t="s">
        <v>81</v>
      </c>
      <c r="I1280" s="2">
        <v>1000</v>
      </c>
      <c r="J1280"/>
      <c r="K1280"/>
      <c r="L1280" s="44" t="str" cm="1">
        <f t="array" ref="L1280">+_xlfn.IFS(COUNTIF(INGRESOS!E:E,Tabla6[[#This Row],[ID FACTURA]])=1,"PAGADA",Tabla6[[#This Row],[ID FACTURA]]&lt;&gt;0,"EMITIDA",Tabla6[[#This Row],[ID FACTURA]]=0,"POR EMITIR")</f>
        <v>POR EMITIR</v>
      </c>
      <c r="M1280" s="55" t="str">
        <f>+IF(Tabla6[[#This Row],[ESTADO FACTURA]]="PAGADA",Tabla6[[#This Row],[FECHA]]-_xlfn.XLOOKUP(Tabla6[[#This Row],[N° FACTURA]],INGRESOS!F:F,INGRESOS!A:A),"-")</f>
        <v>-</v>
      </c>
      <c r="N1280" s="2"/>
      <c r="O1280"/>
    </row>
    <row r="1281" spans="1:15" ht="14.75" customHeight="1">
      <c r="A1281" s="320" t="s">
        <v>1245</v>
      </c>
      <c r="B1281" t="str">
        <f>+_xlfn.XLOOKUP(Tabla6[[#This Row],[ID CLIENTE]],'RESUMEN CLIENTES'!D:D,'RESUMEN CLIENTES'!A:A)</f>
        <v>Constanza Andrea Águila Vergara</v>
      </c>
      <c r="C1281" t="str">
        <f>+_xlfn.XLOOKUP(Tabla6[[#This Row],[ID CLIENTE]],'RESUMEN CLIENTES'!D:D,'RESUMEN CLIENTES'!C:C)</f>
        <v>Chile</v>
      </c>
      <c r="D1281" s="44" t="str">
        <f>+_xlfn.XLOOKUP(Tabla6[[#This Row],[ID CLIENTE]],'RESUMEN CLIENTES'!D:D,'RESUMEN CLIENTES'!M:M)</f>
        <v>OK</v>
      </c>
      <c r="E1281" s="71">
        <f>+_xlfn.XLOOKUP(Tabla6[[#This Row],[NOMBRE]],'RESUMEN CLIENTES'!A:A,'RESUMEN CLIENTES'!X:X)</f>
        <v>-0.2</v>
      </c>
      <c r="F1281" s="71">
        <f>+_xlfn.XLOOKUP(Tabla6[[#This Row],[ID CLIENTE]],'RESUMEN CLIENTES'!D:D,'RESUMEN CLIENTES'!W:W)</f>
        <v>1</v>
      </c>
      <c r="G1281" s="17">
        <v>46143</v>
      </c>
      <c r="H1281" s="44" t="s">
        <v>81</v>
      </c>
      <c r="I1281" s="2">
        <v>1000</v>
      </c>
      <c r="J1281"/>
      <c r="K1281"/>
      <c r="L1281" s="44" t="str" cm="1">
        <f t="array" ref="L1281">+_xlfn.IFS(COUNTIF(INGRESOS!E:E,Tabla6[[#This Row],[ID FACTURA]])=1,"PAGADA",Tabla6[[#This Row],[ID FACTURA]]&lt;&gt;0,"EMITIDA",Tabla6[[#This Row],[ID FACTURA]]=0,"POR EMITIR")</f>
        <v>POR EMITIR</v>
      </c>
      <c r="M1281" s="55" t="str">
        <f>+IF(Tabla6[[#This Row],[ESTADO FACTURA]]="PAGADA",Tabla6[[#This Row],[FECHA]]-_xlfn.XLOOKUP(Tabla6[[#This Row],[N° FACTURA]],INGRESOS!F:F,INGRESOS!A:A),"-")</f>
        <v>-</v>
      </c>
      <c r="N1281" s="2"/>
      <c r="O1281"/>
    </row>
    <row r="1282" spans="1:15" ht="14.75" customHeight="1">
      <c r="A1282" s="320" t="s">
        <v>1178</v>
      </c>
      <c r="B1282" t="str">
        <f>+_xlfn.XLOOKUP(Tabla6[[#This Row],[ID CLIENTE]],'RESUMEN CLIENTES'!D:D,'RESUMEN CLIENTES'!A:A)</f>
        <v>Daniel Flores</v>
      </c>
      <c r="C1282" t="str">
        <f>+_xlfn.XLOOKUP(Tabla6[[#This Row],[ID CLIENTE]],'RESUMEN CLIENTES'!D:D,'RESUMEN CLIENTES'!C:C)</f>
        <v>Ecuador</v>
      </c>
      <c r="D1282" s="44" t="str">
        <f>+_xlfn.XLOOKUP(Tabla6[[#This Row],[ID CLIENTE]],'RESUMEN CLIENTES'!D:D,'RESUMEN CLIENTES'!M:M)</f>
        <v>OK</v>
      </c>
      <c r="E1282" s="72">
        <f>+_xlfn.XLOOKUP(Tabla6[[#This Row],[NOMBRE]],'RESUMEN CLIENTES'!A:A,'RESUMEN CLIENTES'!X:X)</f>
        <v>3.8333333333333335</v>
      </c>
      <c r="F1282" s="72">
        <f>+_xlfn.XLOOKUP(Tabla6[[#This Row],[ID CLIENTE]],'RESUMEN CLIENTES'!D:D,'RESUMEN CLIENTES'!W:W)</f>
        <v>1</v>
      </c>
      <c r="G1282" s="17">
        <v>46143</v>
      </c>
      <c r="H1282" s="44" t="s">
        <v>81</v>
      </c>
      <c r="I1282" s="2">
        <v>850</v>
      </c>
      <c r="J1282"/>
      <c r="K1282"/>
      <c r="L1282" s="44" t="str" cm="1">
        <f t="array" ref="L1282">+_xlfn.IFS(COUNTIF(INGRESOS!E:E,Tabla6[[#This Row],[ID FACTURA]])=1,"PAGADA",Tabla6[[#This Row],[ID FACTURA]]&lt;&gt;0,"EMITIDA",Tabla6[[#This Row],[ID FACTURA]]=0,"POR EMITIR")</f>
        <v>POR EMITIR</v>
      </c>
      <c r="M1282" s="55" t="str">
        <f>+IF(Tabla6[[#This Row],[ESTADO FACTURA]]="PAGADA",Tabla6[[#This Row],[FECHA]]-_xlfn.XLOOKUP(Tabla6[[#This Row],[N° FACTURA]],INGRESOS!F:F,INGRESOS!A:A),"-")</f>
        <v>-</v>
      </c>
      <c r="N1282" s="2"/>
      <c r="O1282"/>
    </row>
    <row r="1283" spans="1:15" ht="14.75" customHeight="1">
      <c r="A1283" s="321" t="s">
        <v>1899</v>
      </c>
      <c r="B1283" t="str">
        <f>+_xlfn.XLOOKUP(Tabla6[[#This Row],[ID CLIENTE]],'RESUMEN CLIENTES'!D:D,'RESUMEN CLIENTES'!A:A)</f>
        <v>Johan Martínez</v>
      </c>
      <c r="C1283" t="str">
        <f>+_xlfn.XLOOKUP(Tabla6[[#This Row],[ID CLIENTE]],'RESUMEN CLIENTES'!D:D,'RESUMEN CLIENTES'!C:C)</f>
        <v>Colombia</v>
      </c>
      <c r="D1283" s="169" t="str">
        <f>+_xlfn.XLOOKUP(Tabla6[[#This Row],[ID CLIENTE]],'RESUMEN CLIENTES'!D:D,'RESUMEN CLIENTES'!M:M)</f>
        <v>OK</v>
      </c>
      <c r="E1283" s="71">
        <f>+_xlfn.XLOOKUP(Tabla6[[#This Row],[NOMBRE]],'RESUMEN CLIENTES'!A:A,'RESUMEN CLIENTES'!X:X)</f>
        <v>-0.66666666666666663</v>
      </c>
      <c r="F1283" s="71">
        <f>+_xlfn.XLOOKUP(Tabla6[[#This Row],[ID CLIENTE]],'RESUMEN CLIENTES'!D:D,'RESUMEN CLIENTES'!W:W)</f>
        <v>0</v>
      </c>
      <c r="G1283" s="17">
        <v>46143</v>
      </c>
      <c r="H1283" s="169" t="s">
        <v>81</v>
      </c>
      <c r="I1283" s="2">
        <v>1000</v>
      </c>
      <c r="J1283"/>
      <c r="K1283"/>
      <c r="L1283" s="44" t="str" cm="1">
        <f t="array" ref="L1283">+_xlfn.IFS(COUNTIF(INGRESOS!E:E,Tabla6[[#This Row],[ID FACTURA]])=1,"PAGADA",Tabla6[[#This Row],[ID FACTURA]]&lt;&gt;0,"EMITIDA",Tabla6[[#This Row],[ID FACTURA]]=0,"POR EMITIR")</f>
        <v>POR EMITIR</v>
      </c>
      <c r="M1283" s="54" t="str">
        <f>+IF(Tabla6[[#This Row],[ESTADO FACTURA]]="PAGADA",Tabla6[[#This Row],[FECHA]]-_xlfn.XLOOKUP(Tabla6[[#This Row],[N° FACTURA]],INGRESOS!F:F,INGRESOS!A:A),"-")</f>
        <v>-</v>
      </c>
      <c r="O1283"/>
    </row>
    <row r="1284" spans="1:15" ht="14.75" customHeight="1">
      <c r="A1284" s="320" t="s">
        <v>6035</v>
      </c>
      <c r="B1284" t="str">
        <f>+_xlfn.XLOOKUP(Tabla6[[#This Row],[ID CLIENTE]],'RESUMEN CLIENTES'!D:D,'RESUMEN CLIENTES'!A:A)</f>
        <v>Ari Sifuentes Becerra</v>
      </c>
      <c r="C1284" s="15" t="str">
        <f>+_xlfn.XLOOKUP(Tabla6[[#This Row],[ID CLIENTE]],'RESUMEN CLIENTES'!D:D,'RESUMEN CLIENTES'!C:C)</f>
        <v>México</v>
      </c>
      <c r="D1284" s="169" t="str">
        <f>+_xlfn.XLOOKUP(Tabla6[[#This Row],[ID CLIENTE]],'RESUMEN CLIENTES'!D:D,'RESUMEN CLIENTES'!M:M)</f>
        <v>OK</v>
      </c>
      <c r="E1284" s="71">
        <f>+_xlfn.XLOOKUP(Tabla6[[#This Row],[NOMBRE]],'RESUMEN CLIENTES'!A:A,'RESUMEN CLIENTES'!X:X)</f>
        <v>-1</v>
      </c>
      <c r="F1284" s="71">
        <f>+_xlfn.XLOOKUP(Tabla6[[#This Row],[ID CLIENTE]],'RESUMEN CLIENTES'!D:D,'RESUMEN CLIENTES'!W:W)</f>
        <v>0</v>
      </c>
      <c r="G1284" s="17">
        <v>46144</v>
      </c>
      <c r="H1284" s="169" t="s">
        <v>81</v>
      </c>
      <c r="I1284" s="2">
        <v>1000</v>
      </c>
      <c r="J1284"/>
      <c r="K1284"/>
      <c r="L1284" s="44" t="str" cm="1">
        <f t="array" ref="L1284">+_xlfn.IFS(COUNTIF(INGRESOS!E:E,Tabla6[[#This Row],[ID FACTURA]])=1,"PAGADA",Tabla6[[#This Row],[ID FACTURA]]&lt;&gt;0,"EMITIDA",Tabla6[[#This Row],[ID FACTURA]]=0,"POR EMITIR")</f>
        <v>POR EMITIR</v>
      </c>
      <c r="M1284" s="54" t="str">
        <f>+IF(Tabla6[[#This Row],[ESTADO FACTURA]]="PAGADA",Tabla6[[#This Row],[FECHA]]-_xlfn.XLOOKUP(Tabla6[[#This Row],[N° FACTURA]],INGRESOS!F:F,INGRESOS!A:A),"-")</f>
        <v>-</v>
      </c>
      <c r="O1284"/>
    </row>
    <row r="1285" spans="1:15" ht="14.75" customHeight="1">
      <c r="A1285" s="320" t="s">
        <v>695</v>
      </c>
      <c r="B1285" t="str">
        <f>+_xlfn.XLOOKUP(Tabla6[[#This Row],[ID CLIENTE]],'RESUMEN CLIENTES'!D:D,'RESUMEN CLIENTES'!A:A)</f>
        <v>Olguer Ariel Pruna Herrera</v>
      </c>
      <c r="C1285" t="str">
        <f>+_xlfn.XLOOKUP(Tabla6[[#This Row],[ID CLIENTE]],'RESUMEN CLIENTES'!D:D,'RESUMEN CLIENTES'!C:C)</f>
        <v>Ecuador</v>
      </c>
      <c r="D1285" s="44" t="str">
        <f>+_xlfn.XLOOKUP(Tabla6[[#This Row],[ID CLIENTE]],'RESUMEN CLIENTES'!D:D,'RESUMEN CLIENTES'!M:M)</f>
        <v>OK</v>
      </c>
      <c r="E1285" s="72">
        <f>+_xlfn.XLOOKUP(Tabla6[[#This Row],[NOMBRE]],'RESUMEN CLIENTES'!A:A,'RESUMEN CLIENTES'!X:X)</f>
        <v>0.25</v>
      </c>
      <c r="F1285" s="72">
        <f>+_xlfn.XLOOKUP(Tabla6[[#This Row],[ID CLIENTE]],'RESUMEN CLIENTES'!D:D,'RESUMEN CLIENTES'!W:W)</f>
        <v>1</v>
      </c>
      <c r="G1285" s="17">
        <v>46144</v>
      </c>
      <c r="H1285" s="44" t="s">
        <v>81</v>
      </c>
      <c r="I1285" s="2">
        <v>1000</v>
      </c>
      <c r="J1285"/>
      <c r="K1285"/>
      <c r="L1285" s="44" t="str" cm="1">
        <f t="array" ref="L1285">+_xlfn.IFS(COUNTIF(INGRESOS!E:E,Tabla6[[#This Row],[ID FACTURA]])=1,"PAGADA",Tabla6[[#This Row],[ID FACTURA]]&lt;&gt;0,"EMITIDA",Tabla6[[#This Row],[ID FACTURA]]=0,"POR EMITIR")</f>
        <v>POR EMITIR</v>
      </c>
      <c r="M1285" s="55" t="str">
        <f>+IF(Tabla6[[#This Row],[ESTADO FACTURA]]="PAGADA",Tabla6[[#This Row],[FECHA]]-_xlfn.XLOOKUP(Tabla6[[#This Row],[N° FACTURA]],INGRESOS!F:F,INGRESOS!A:A),"-")</f>
        <v>-</v>
      </c>
      <c r="N1285" s="2"/>
      <c r="O1285"/>
    </row>
    <row r="1286" spans="1:15" ht="14.75" customHeight="1">
      <c r="A1286" s="320" t="s">
        <v>221</v>
      </c>
      <c r="B1286" t="str">
        <f>+_xlfn.XLOOKUP(Tabla6[[#This Row],[ID CLIENTE]],'RESUMEN CLIENTES'!D:D,'RESUMEN CLIENTES'!A:A)</f>
        <v>Angel Martin Alarcon Macias</v>
      </c>
      <c r="C1286" t="str">
        <f>+_xlfn.XLOOKUP(Tabla6[[#This Row],[ID CLIENTE]],'RESUMEN CLIENTES'!D:D,'RESUMEN CLIENTES'!C:C)</f>
        <v>Ecuador</v>
      </c>
      <c r="D1286" s="44" t="str">
        <f>+_xlfn.XLOOKUP(Tabla6[[#This Row],[ID CLIENTE]],'RESUMEN CLIENTES'!D:D,'RESUMEN CLIENTES'!M:M)</f>
        <v>¡REGULARIZAR!</v>
      </c>
      <c r="E1286" s="72">
        <f>+_xlfn.XLOOKUP(Tabla6[[#This Row],[NOMBRE]],'RESUMEN CLIENTES'!A:A,'RESUMEN CLIENTES'!X:X)</f>
        <v>-0.5</v>
      </c>
      <c r="F1286" s="72">
        <f>+_xlfn.XLOOKUP(Tabla6[[#This Row],[ID CLIENTE]],'RESUMEN CLIENTES'!D:D,'RESUMEN CLIENTES'!W:W)</f>
        <v>0</v>
      </c>
      <c r="G1286" s="17">
        <v>46145</v>
      </c>
      <c r="H1286" s="44" t="s">
        <v>81</v>
      </c>
      <c r="I1286" s="2">
        <v>625</v>
      </c>
      <c r="J1286"/>
      <c r="K1286"/>
      <c r="L1286" s="44" t="str" cm="1">
        <f t="array" ref="L1286">+_xlfn.IFS(COUNTIF(INGRESOS!E:E,Tabla6[[#This Row],[ID FACTURA]])=1,"PAGADA",Tabla6[[#This Row],[ID FACTURA]]&lt;&gt;0,"EMITIDA",Tabla6[[#This Row],[ID FACTURA]]=0,"POR EMITIR")</f>
        <v>POR EMITIR</v>
      </c>
      <c r="M1286" s="55" t="str">
        <f>+IF(Tabla6[[#This Row],[ESTADO FACTURA]]="PAGADA",Tabla6[[#This Row],[FECHA]]-_xlfn.XLOOKUP(Tabla6[[#This Row],[N° FACTURA]],INGRESOS!F:F,INGRESOS!A:A),"-")</f>
        <v>-</v>
      </c>
      <c r="N1286" s="2"/>
      <c r="O1286"/>
    </row>
    <row r="1287" spans="1:15" ht="14.75" customHeight="1">
      <c r="A1287" s="320" t="s">
        <v>1248</v>
      </c>
      <c r="B1287" t="str">
        <f>+_xlfn.XLOOKUP(Tabla6[[#This Row],[ID CLIENTE]],'RESUMEN CLIENTES'!D:D,'RESUMEN CLIENTES'!A:A)</f>
        <v>Emily Vanessa Tapia Villalobos</v>
      </c>
      <c r="C1287" t="str">
        <f>+_xlfn.XLOOKUP(Tabla6[[#This Row],[ID CLIENTE]],'RESUMEN CLIENTES'!D:D,'RESUMEN CLIENTES'!C:C)</f>
        <v>Chile</v>
      </c>
      <c r="D1287" s="44" t="str">
        <f>+_xlfn.XLOOKUP(Tabla6[[#This Row],[ID CLIENTE]],'RESUMEN CLIENTES'!D:D,'RESUMEN CLIENTES'!M:M)</f>
        <v>OK</v>
      </c>
      <c r="E1287" s="71">
        <f>+_xlfn.XLOOKUP(Tabla6[[#This Row],[NOMBRE]],'RESUMEN CLIENTES'!A:A,'RESUMEN CLIENTES'!X:X)</f>
        <v>0.33333333333333331</v>
      </c>
      <c r="F1287" s="71">
        <f>+_xlfn.XLOOKUP(Tabla6[[#This Row],[ID CLIENTE]],'RESUMEN CLIENTES'!D:D,'RESUMEN CLIENTES'!W:W)</f>
        <v>0</v>
      </c>
      <c r="G1287" s="17">
        <v>46145</v>
      </c>
      <c r="H1287" s="44" t="s">
        <v>81</v>
      </c>
      <c r="I1287" s="2">
        <v>1000</v>
      </c>
      <c r="J1287"/>
      <c r="K1287"/>
      <c r="L1287" s="44" t="str" cm="1">
        <f t="array" ref="L1287">+_xlfn.IFS(COUNTIF(INGRESOS!E:E,Tabla6[[#This Row],[ID FACTURA]])=1,"PAGADA",Tabla6[[#This Row],[ID FACTURA]]&lt;&gt;0,"EMITIDA",Tabla6[[#This Row],[ID FACTURA]]=0,"POR EMITIR")</f>
        <v>POR EMITIR</v>
      </c>
      <c r="M1287" s="55" t="str">
        <f>+IF(Tabla6[[#This Row],[ESTADO FACTURA]]="PAGADA",Tabla6[[#This Row],[FECHA]]-_xlfn.XLOOKUP(Tabla6[[#This Row],[N° FACTURA]],INGRESOS!F:F,INGRESOS!A:A),"-")</f>
        <v>-</v>
      </c>
      <c r="N1287" s="2"/>
      <c r="O1287"/>
    </row>
    <row r="1288" spans="1:15" ht="14.75" customHeight="1">
      <c r="A1288" s="320" t="s">
        <v>1251</v>
      </c>
      <c r="B1288" t="str">
        <f>+_xlfn.XLOOKUP(Tabla6[[#This Row],[ID CLIENTE]],'RESUMEN CLIENTES'!D:D,'RESUMEN CLIENTES'!A:A)</f>
        <v>Erick Ernesto Angulo Campos</v>
      </c>
      <c r="C1288" t="str">
        <f>+_xlfn.XLOOKUP(Tabla6[[#This Row],[ID CLIENTE]],'RESUMEN CLIENTES'!D:D,'RESUMEN CLIENTES'!C:C)</f>
        <v>Chile</v>
      </c>
      <c r="D1288" s="44" t="str">
        <f>+_xlfn.XLOOKUP(Tabla6[[#This Row],[ID CLIENTE]],'RESUMEN CLIENTES'!D:D,'RESUMEN CLIENTES'!M:M)</f>
        <v>OK</v>
      </c>
      <c r="E1288" s="71">
        <f>+_xlfn.XLOOKUP(Tabla6[[#This Row],[NOMBRE]],'RESUMEN CLIENTES'!A:A,'RESUMEN CLIENTES'!X:X)</f>
        <v>-0.66666666666666663</v>
      </c>
      <c r="F1288" s="71">
        <f>+_xlfn.XLOOKUP(Tabla6[[#This Row],[ID CLIENTE]],'RESUMEN CLIENTES'!D:D,'RESUMEN CLIENTES'!W:W)</f>
        <v>0</v>
      </c>
      <c r="G1288" s="17">
        <v>46145</v>
      </c>
      <c r="H1288" s="44" t="s">
        <v>81</v>
      </c>
      <c r="I1288" s="2">
        <v>1000</v>
      </c>
      <c r="J1288"/>
      <c r="K1288"/>
      <c r="L1288" s="44" t="str" cm="1">
        <f t="array" ref="L1288">+_xlfn.IFS(COUNTIF(INGRESOS!E:E,Tabla6[[#This Row],[ID FACTURA]])=1,"PAGADA",Tabla6[[#This Row],[ID FACTURA]]&lt;&gt;0,"EMITIDA",Tabla6[[#This Row],[ID FACTURA]]=0,"POR EMITIR")</f>
        <v>POR EMITIR</v>
      </c>
      <c r="M1288" s="55" t="str">
        <f>+IF(Tabla6[[#This Row],[ESTADO FACTURA]]="PAGADA",Tabla6[[#This Row],[FECHA]]-_xlfn.XLOOKUP(Tabla6[[#This Row],[N° FACTURA]],INGRESOS!F:F,INGRESOS!A:A),"-")</f>
        <v>-</v>
      </c>
      <c r="N1288" s="2"/>
      <c r="O1288"/>
    </row>
    <row r="1289" spans="1:15" ht="14.75" customHeight="1">
      <c r="A1289" s="320" t="s">
        <v>258</v>
      </c>
      <c r="B1289" t="str">
        <f>+_xlfn.XLOOKUP(Tabla6[[#This Row],[ID CLIENTE]],'RESUMEN CLIENTES'!D:D,'RESUMEN CLIENTES'!A:A)</f>
        <v>Maria Laura Rios Pino</v>
      </c>
      <c r="C1289" t="str">
        <f>+_xlfn.XLOOKUP(Tabla6[[#This Row],[ID CLIENTE]],'RESUMEN CLIENTES'!D:D,'RESUMEN CLIENTES'!C:C)</f>
        <v>Perú</v>
      </c>
      <c r="D1289" s="44" t="str">
        <f>+_xlfn.XLOOKUP(Tabla6[[#This Row],[ID CLIENTE]],'RESUMEN CLIENTES'!D:D,'RESUMEN CLIENTES'!M:M)</f>
        <v>OK</v>
      </c>
      <c r="E1289" s="72">
        <f>+_xlfn.XLOOKUP(Tabla6[[#This Row],[NOMBRE]],'RESUMEN CLIENTES'!A:A,'RESUMEN CLIENTES'!X:X)</f>
        <v>1.4545454545454546</v>
      </c>
      <c r="F1289" s="72">
        <f>+_xlfn.XLOOKUP(Tabla6[[#This Row],[ID CLIENTE]],'RESUMEN CLIENTES'!D:D,'RESUMEN CLIENTES'!W:W)</f>
        <v>0</v>
      </c>
      <c r="G1289" s="17">
        <v>46145</v>
      </c>
      <c r="H1289" s="44" t="s">
        <v>81</v>
      </c>
      <c r="I1289" s="19">
        <v>750</v>
      </c>
      <c r="J1289"/>
      <c r="K1289"/>
      <c r="L1289" s="44" t="str" cm="1">
        <f t="array" ref="L1289">+_xlfn.IFS(COUNTIF(INGRESOS!E:E,Tabla6[[#This Row],[ID FACTURA]])=1,"PAGADA",Tabla6[[#This Row],[ID FACTURA]]&lt;&gt;0,"EMITIDA",Tabla6[[#This Row],[ID FACTURA]]=0,"POR EMITIR")</f>
        <v>POR EMITIR</v>
      </c>
      <c r="M1289" s="55" t="str">
        <f>+IF(Tabla6[[#This Row],[ESTADO FACTURA]]="PAGADA",Tabla6[[#This Row],[FECHA]]-_xlfn.XLOOKUP(Tabla6[[#This Row],[N° FACTURA]],INGRESOS!F:F,INGRESOS!A:A),"-")</f>
        <v>-</v>
      </c>
      <c r="N1289" s="19"/>
      <c r="O1289"/>
    </row>
    <row r="1290" spans="1:15" ht="14.75" customHeight="1">
      <c r="A1290" s="320" t="s">
        <v>912</v>
      </c>
      <c r="B1290" t="str">
        <f>+_xlfn.XLOOKUP(Tabla6[[#This Row],[ID CLIENTE]],'RESUMEN CLIENTES'!D:D,'RESUMEN CLIENTES'!A:A)</f>
        <v>Vanessa Villarreal Villareal</v>
      </c>
      <c r="C1290" t="str">
        <f>+_xlfn.XLOOKUP(Tabla6[[#This Row],[ID CLIENTE]],'RESUMEN CLIENTES'!D:D,'RESUMEN CLIENTES'!C:C)</f>
        <v>Ecuador</v>
      </c>
      <c r="D1290" s="44" t="str">
        <f>+_xlfn.XLOOKUP(Tabla6[[#This Row],[ID CLIENTE]],'RESUMEN CLIENTES'!D:D,'RESUMEN CLIENTES'!M:M)</f>
        <v>OK</v>
      </c>
      <c r="E1290" s="72">
        <f>+_xlfn.XLOOKUP(Tabla6[[#This Row],[NOMBRE]],'RESUMEN CLIENTES'!A:A,'RESUMEN CLIENTES'!X:X)</f>
        <v>-9.1428571428571423</v>
      </c>
      <c r="F1290" s="72">
        <f>+_xlfn.XLOOKUP(Tabla6[[#This Row],[ID CLIENTE]],'RESUMEN CLIENTES'!D:D,'RESUMEN CLIENTES'!W:W)</f>
        <v>1</v>
      </c>
      <c r="G1290" s="17">
        <v>46145</v>
      </c>
      <c r="H1290" s="44" t="s">
        <v>81</v>
      </c>
      <c r="I1290" s="2">
        <v>1500</v>
      </c>
      <c r="J1290"/>
      <c r="K1290"/>
      <c r="L1290" s="44" t="str" cm="1">
        <f t="array" ref="L1290">+_xlfn.IFS(COUNTIF(INGRESOS!E:E,Tabla6[[#This Row],[ID FACTURA]])=1,"PAGADA",Tabla6[[#This Row],[ID FACTURA]]&lt;&gt;0,"EMITIDA",Tabla6[[#This Row],[ID FACTURA]]=0,"POR EMITIR")</f>
        <v>POR EMITIR</v>
      </c>
      <c r="M1290" s="55" t="str">
        <f>+IF(Tabla6[[#This Row],[ESTADO FACTURA]]="PAGADA",Tabla6[[#This Row],[FECHA]]-_xlfn.XLOOKUP(Tabla6[[#This Row],[N° FACTURA]],INGRESOS!F:F,INGRESOS!A:A),"-")</f>
        <v>-</v>
      </c>
      <c r="N1290" s="2"/>
      <c r="O1290"/>
    </row>
    <row r="1291" spans="1:15" ht="14.75" customHeight="1">
      <c r="A1291" s="320" t="s">
        <v>6696</v>
      </c>
      <c r="B1291" t="str">
        <f>+_xlfn.XLOOKUP(Tabla6[[#This Row],[ID CLIENTE]],'RESUMEN CLIENTES'!D:D,'RESUMEN CLIENTES'!A:A)</f>
        <v>Stiben Lopez Vargas</v>
      </c>
      <c r="C1291" s="15" t="str">
        <f>+_xlfn.XLOOKUP(Tabla6[[#This Row],[ID CLIENTE]],'RESUMEN CLIENTES'!D:D,'RESUMEN CLIENTES'!C:C)</f>
        <v>Colombia</v>
      </c>
      <c r="D1291" s="169" t="str">
        <f>+_xlfn.XLOOKUP(Tabla6[[#This Row],[ID CLIENTE]],'RESUMEN CLIENTES'!D:D,'RESUMEN CLIENTES'!M:M)</f>
        <v xml:space="preserve">TRASPASAR </v>
      </c>
      <c r="E1291" s="71">
        <f>+_xlfn.XLOOKUP(Tabla6[[#This Row],[NOMBRE]],'RESUMEN CLIENTES'!A:A,'RESUMEN CLIENTES'!X:X)</f>
        <v>58</v>
      </c>
      <c r="F1291" s="71">
        <f>+_xlfn.XLOOKUP(Tabla6[[#This Row],[ID CLIENTE]],'RESUMEN CLIENTES'!D:D,'RESUMEN CLIENTES'!W:W)</f>
        <v>0</v>
      </c>
      <c r="G1291" s="17">
        <v>46145</v>
      </c>
      <c r="H1291" s="169" t="s">
        <v>81</v>
      </c>
      <c r="I1291" s="2">
        <v>250</v>
      </c>
      <c r="J1291" t="s">
        <v>6697</v>
      </c>
      <c r="K1291" t="s">
        <v>6698</v>
      </c>
      <c r="L1291" s="44" t="str" cm="1">
        <f t="array" ref="L1291">+_xlfn.IFS(COUNTIF(INGRESOS!E:E,Tabla6[[#This Row],[ID FACTURA]])=1,"PAGADA",Tabla6[[#This Row],[ID FACTURA]]&lt;&gt;0,"EMITIDA",Tabla6[[#This Row],[ID FACTURA]]=0,"POR EMITIR")</f>
        <v>PAGADA</v>
      </c>
      <c r="M1291" s="54">
        <f>+IF(Tabla6[[#This Row],[ESTADO FACTURA]]="PAGADA",Tabla6[[#This Row],[FECHA]]-_xlfn.XLOOKUP(Tabla6[[#This Row],[N° FACTURA]],INGRESOS!F:F,INGRESOS!A:A),"-")</f>
        <v>58</v>
      </c>
      <c r="O1291"/>
    </row>
    <row r="1292" spans="1:15" ht="14.75" customHeight="1">
      <c r="A1292" s="320" t="s">
        <v>6696</v>
      </c>
      <c r="B1292" t="str">
        <f>+_xlfn.XLOOKUP(Tabla6[[#This Row],[ID CLIENTE]],'RESUMEN CLIENTES'!D:D,'RESUMEN CLIENTES'!A:A)</f>
        <v>Stiben Lopez Vargas</v>
      </c>
      <c r="C1292" s="15" t="str">
        <f>+_xlfn.XLOOKUP(Tabla6[[#This Row],[ID CLIENTE]],'RESUMEN CLIENTES'!D:D,'RESUMEN CLIENTES'!C:C)</f>
        <v>Colombia</v>
      </c>
      <c r="D1292" s="169" t="str">
        <f>+_xlfn.XLOOKUP(Tabla6[[#This Row],[ID CLIENTE]],'RESUMEN CLIENTES'!D:D,'RESUMEN CLIENTES'!M:M)</f>
        <v xml:space="preserve">TRASPASAR </v>
      </c>
      <c r="E1292" s="71">
        <f>+_xlfn.XLOOKUP(Tabla6[[#This Row],[NOMBRE]],'RESUMEN CLIENTES'!A:A,'RESUMEN CLIENTES'!X:X)</f>
        <v>58</v>
      </c>
      <c r="F1292" s="71">
        <f>+_xlfn.XLOOKUP(Tabla6[[#This Row],[ID CLIENTE]],'RESUMEN CLIENTES'!D:D,'RESUMEN CLIENTES'!W:W)</f>
        <v>0</v>
      </c>
      <c r="G1292" s="17">
        <v>46145</v>
      </c>
      <c r="H1292" s="169" t="s">
        <v>81</v>
      </c>
      <c r="I1292" s="2">
        <v>1750</v>
      </c>
      <c r="J1292" t="s">
        <v>6712</v>
      </c>
      <c r="K1292" t="s">
        <v>6713</v>
      </c>
      <c r="L1292" s="44" t="str" cm="1">
        <f t="array" ref="L1292">+_xlfn.IFS(COUNTIF(INGRESOS!E:E,Tabla6[[#This Row],[ID FACTURA]])=1,"PAGADA",Tabla6[[#This Row],[ID FACTURA]]&lt;&gt;0,"EMITIDA",Tabla6[[#This Row],[ID FACTURA]]=0,"POR EMITIR")</f>
        <v>EMITIDA</v>
      </c>
      <c r="M1292" s="54" t="str">
        <f>+IF(Tabla6[[#This Row],[ESTADO FACTURA]]="PAGADA",Tabla6[[#This Row],[FECHA]]-_xlfn.XLOOKUP(Tabla6[[#This Row],[N° FACTURA]],INGRESOS!F:F,INGRESOS!A:A),"-")</f>
        <v>-</v>
      </c>
      <c r="O1292" t="s">
        <v>6714</v>
      </c>
    </row>
    <row r="1293" spans="1:15" ht="14.75" customHeight="1">
      <c r="A1293" s="320" t="s">
        <v>1556</v>
      </c>
      <c r="B1293" t="str">
        <f>+_xlfn.XLOOKUP(Tabla6[[#This Row],[ID CLIENTE]],'RESUMEN CLIENTES'!D:D,'RESUMEN CLIENTES'!A:A)</f>
        <v>Claudia Nivon Chacón</v>
      </c>
      <c r="C1293" t="str">
        <f>+_xlfn.XLOOKUP(Tabla6[[#This Row],[ID CLIENTE]],'RESUMEN CLIENTES'!D:D,'RESUMEN CLIENTES'!C:C)</f>
        <v>México</v>
      </c>
      <c r="D1293" s="44" t="str">
        <f>+_xlfn.XLOOKUP(Tabla6[[#This Row],[ID CLIENTE]],'RESUMEN CLIENTES'!D:D,'RESUMEN CLIENTES'!M:M)</f>
        <v>OK</v>
      </c>
      <c r="E1293" s="71">
        <f>+_xlfn.XLOOKUP(Tabla6[[#This Row],[NOMBRE]],'RESUMEN CLIENTES'!A:A,'RESUMEN CLIENTES'!X:X)</f>
        <v>0.4</v>
      </c>
      <c r="F1293" s="71">
        <f>+_xlfn.XLOOKUP(Tabla6[[#This Row],[ID CLIENTE]],'RESUMEN CLIENTES'!D:D,'RESUMEN CLIENTES'!W:W)</f>
        <v>0</v>
      </c>
      <c r="G1293" s="17">
        <v>46146</v>
      </c>
      <c r="H1293" s="169" t="s">
        <v>81</v>
      </c>
      <c r="I1293" s="2">
        <v>1136.6300000000001</v>
      </c>
      <c r="J1293"/>
      <c r="K1293"/>
      <c r="L1293" s="44" t="str" cm="1">
        <f t="array" ref="L1293">+_xlfn.IFS(COUNTIF(INGRESOS!E:E,Tabla6[[#This Row],[ID FACTURA]])=1,"PAGADA",Tabla6[[#This Row],[ID FACTURA]]&lt;&gt;0,"EMITIDA",Tabla6[[#This Row],[ID FACTURA]]=0,"POR EMITIR")</f>
        <v>POR EMITIR</v>
      </c>
      <c r="M1293" s="55" t="str">
        <f>+IF(Tabla6[[#This Row],[ESTADO FACTURA]]="PAGADA",Tabla6[[#This Row],[FECHA]]-_xlfn.XLOOKUP(Tabla6[[#This Row],[N° FACTURA]],INGRESOS!F:F,INGRESOS!A:A),"-")</f>
        <v>-</v>
      </c>
      <c r="N1293" s="2"/>
      <c r="O1293"/>
    </row>
    <row r="1294" spans="1:15" ht="14.75" customHeight="1">
      <c r="A1294" s="320" t="s">
        <v>407</v>
      </c>
      <c r="B1294" t="str">
        <f>+_xlfn.XLOOKUP(Tabla6[[#This Row],[ID CLIENTE]],'RESUMEN CLIENTES'!D:D,'RESUMEN CLIENTES'!A:A)</f>
        <v>Mayra Leonor Rivera Paico</v>
      </c>
      <c r="C1294" t="str">
        <f>+_xlfn.XLOOKUP(Tabla6[[#This Row],[ID CLIENTE]],'RESUMEN CLIENTES'!D:D,'RESUMEN CLIENTES'!C:C)</f>
        <v>Perú</v>
      </c>
      <c r="D1294" s="44" t="str">
        <f>+_xlfn.XLOOKUP(Tabla6[[#This Row],[ID CLIENTE]],'RESUMEN CLIENTES'!D:D,'RESUMEN CLIENTES'!M:M)</f>
        <v>OK</v>
      </c>
      <c r="E1294" s="72">
        <f>+_xlfn.XLOOKUP(Tabla6[[#This Row],[NOMBRE]],'RESUMEN CLIENTES'!A:A,'RESUMEN CLIENTES'!X:X)</f>
        <v>-0.22222222222222221</v>
      </c>
      <c r="F1294" s="72">
        <f>+_xlfn.XLOOKUP(Tabla6[[#This Row],[ID CLIENTE]],'RESUMEN CLIENTES'!D:D,'RESUMEN CLIENTES'!W:W)</f>
        <v>0</v>
      </c>
      <c r="G1294" s="17">
        <v>46146</v>
      </c>
      <c r="H1294" s="44" t="s">
        <v>81</v>
      </c>
      <c r="I1294" s="2">
        <v>1000</v>
      </c>
      <c r="J1294"/>
      <c r="K1294"/>
      <c r="L1294" s="44" t="str" cm="1">
        <f t="array" ref="L1294">+_xlfn.IFS(COUNTIF(INGRESOS!E:E,Tabla6[[#This Row],[ID FACTURA]])=1,"PAGADA",Tabla6[[#This Row],[ID FACTURA]]&lt;&gt;0,"EMITIDA",Tabla6[[#This Row],[ID FACTURA]]=0,"POR EMITIR")</f>
        <v>POR EMITIR</v>
      </c>
      <c r="M1294" s="55" t="str">
        <f>+IF(Tabla6[[#This Row],[ESTADO FACTURA]]="PAGADA",Tabla6[[#This Row],[FECHA]]-_xlfn.XLOOKUP(Tabla6[[#This Row],[N° FACTURA]],INGRESOS!F:F,INGRESOS!A:A),"-")</f>
        <v>-</v>
      </c>
      <c r="N1294" s="2"/>
      <c r="O1294"/>
    </row>
    <row r="1295" spans="1:15" ht="14.75" customHeight="1">
      <c r="A1295" s="320" t="s">
        <v>447</v>
      </c>
      <c r="B1295" t="str">
        <f>+_xlfn.XLOOKUP(Tabla6[[#This Row],[ID CLIENTE]],'RESUMEN CLIENTES'!D:D,'RESUMEN CLIENTES'!A:A)</f>
        <v>Yefry Onil Santana Marte</v>
      </c>
      <c r="C1295" t="str">
        <f>+_xlfn.XLOOKUP(Tabla6[[#This Row],[ID CLIENTE]],'RESUMEN CLIENTES'!D:D,'RESUMEN CLIENTES'!C:C)</f>
        <v>República Dominicana</v>
      </c>
      <c r="D1295" s="44" t="str">
        <f>+_xlfn.XLOOKUP(Tabla6[[#This Row],[ID CLIENTE]],'RESUMEN CLIENTES'!D:D,'RESUMEN CLIENTES'!M:M)</f>
        <v>OK</v>
      </c>
      <c r="E1295" s="72">
        <f>+_xlfn.XLOOKUP(Tabla6[[#This Row],[NOMBRE]],'RESUMEN CLIENTES'!A:A,'RESUMEN CLIENTES'!X:X)</f>
        <v>-0.90909090909090906</v>
      </c>
      <c r="F1295" s="71">
        <f>+_xlfn.XLOOKUP(Tabla6[[#This Row],[ID CLIENTE]],'RESUMEN CLIENTES'!D:D,'RESUMEN CLIENTES'!W:W)</f>
        <v>0</v>
      </c>
      <c r="G1295" s="17">
        <v>46146</v>
      </c>
      <c r="H1295" s="44" t="s">
        <v>81</v>
      </c>
      <c r="I1295" s="2">
        <v>1000</v>
      </c>
      <c r="J1295"/>
      <c r="K1295"/>
      <c r="L1295" s="44" t="str" cm="1">
        <f t="array" ref="L1295">+_xlfn.IFS(COUNTIF(INGRESOS!E:E,Tabla6[[#This Row],[ID FACTURA]])=1,"PAGADA",Tabla6[[#This Row],[ID FACTURA]]&lt;&gt;0,"EMITIDA",Tabla6[[#This Row],[ID FACTURA]]=0,"POR EMITIR")</f>
        <v>POR EMITIR</v>
      </c>
      <c r="M1295" s="55" t="str">
        <f>+IF(Tabla6[[#This Row],[ESTADO FACTURA]]="PAGADA",Tabla6[[#This Row],[FECHA]]-_xlfn.XLOOKUP(Tabla6[[#This Row],[N° FACTURA]],INGRESOS!F:F,INGRESOS!A:A),"-")</f>
        <v>-</v>
      </c>
      <c r="N1295" s="214"/>
      <c r="O1295"/>
    </row>
    <row r="1296" spans="1:15" ht="14.75" customHeight="1">
      <c r="A1296" s="320" t="s">
        <v>6696</v>
      </c>
      <c r="B1296" t="str">
        <f>+_xlfn.XLOOKUP(Tabla6[[#This Row],[ID CLIENTE]],'RESUMEN CLIENTES'!D:D,'RESUMEN CLIENTES'!A:A)</f>
        <v>Stiben Lopez Vargas</v>
      </c>
      <c r="C1296" s="15" t="str">
        <f>+_xlfn.XLOOKUP(Tabla6[[#This Row],[ID CLIENTE]],'RESUMEN CLIENTES'!D:D,'RESUMEN CLIENTES'!C:C)</f>
        <v>Colombia</v>
      </c>
      <c r="D1296" s="169" t="str">
        <f>+_xlfn.XLOOKUP(Tabla6[[#This Row],[ID CLIENTE]],'RESUMEN CLIENTES'!D:D,'RESUMEN CLIENTES'!M:M)</f>
        <v xml:space="preserve">TRASPASAR </v>
      </c>
      <c r="E1296" s="71">
        <f>+_xlfn.XLOOKUP(Tabla6[[#This Row],[NOMBRE]],'RESUMEN CLIENTES'!A:A,'RESUMEN CLIENTES'!X:X)</f>
        <v>58</v>
      </c>
      <c r="F1296" s="71">
        <f>+_xlfn.XLOOKUP(Tabla6[[#This Row],[ID CLIENTE]],'RESUMEN CLIENTES'!D:D,'RESUMEN CLIENTES'!W:W)</f>
        <v>0</v>
      </c>
      <c r="G1296" s="17">
        <v>46146</v>
      </c>
      <c r="H1296" s="169" t="s">
        <v>81</v>
      </c>
      <c r="I1296" s="2">
        <v>1714</v>
      </c>
      <c r="J1296"/>
      <c r="K1296"/>
      <c r="L1296" s="44" t="str" cm="1">
        <f t="array" ref="L1296">+_xlfn.IFS(COUNTIF(INGRESOS!E:E,Tabla6[[#This Row],[ID FACTURA]])=1,"PAGADA",Tabla6[[#This Row],[ID FACTURA]]&lt;&gt;0,"EMITIDA",Tabla6[[#This Row],[ID FACTURA]]=0,"POR EMITIR")</f>
        <v>POR EMITIR</v>
      </c>
      <c r="M1296" s="54" t="str">
        <f>+IF(Tabla6[[#This Row],[ESTADO FACTURA]]="PAGADA",Tabla6[[#This Row],[FECHA]]-_xlfn.XLOOKUP(Tabla6[[#This Row],[N° FACTURA]],INGRESOS!F:F,INGRESOS!A:A),"-")</f>
        <v>-</v>
      </c>
      <c r="O1296"/>
    </row>
    <row r="1297" spans="1:15" ht="14.75" customHeight="1">
      <c r="A1297" s="320" t="s">
        <v>165</v>
      </c>
      <c r="B1297" t="str">
        <f>+_xlfn.XLOOKUP(Tabla6[[#This Row],[ID CLIENTE]],'RESUMEN CLIENTES'!D:D,'RESUMEN CLIENTES'!A:A)</f>
        <v>Alejandra Leva Vallejo</v>
      </c>
      <c r="C1297" t="str">
        <f>+_xlfn.XLOOKUP(Tabla6[[#This Row],[ID CLIENTE]],'RESUMEN CLIENTES'!D:D,'RESUMEN CLIENTES'!C:C)</f>
        <v>México</v>
      </c>
      <c r="D1297" s="44" t="str">
        <f>+_xlfn.XLOOKUP(Tabla6[[#This Row],[ID CLIENTE]],'RESUMEN CLIENTES'!D:D,'RESUMEN CLIENTES'!M:M)</f>
        <v>OK</v>
      </c>
      <c r="E1297" s="72">
        <f>+_xlfn.XLOOKUP(Tabla6[[#This Row],[NOMBRE]],'RESUMEN CLIENTES'!A:A,'RESUMEN CLIENTES'!X:X)</f>
        <v>0</v>
      </c>
      <c r="F1297" s="72">
        <f>+_xlfn.XLOOKUP(Tabla6[[#This Row],[ID CLIENTE]],'RESUMEN CLIENTES'!D:D,'RESUMEN CLIENTES'!W:W)</f>
        <v>1</v>
      </c>
      <c r="G1297" s="17">
        <v>46147</v>
      </c>
      <c r="H1297" s="44" t="s">
        <v>81</v>
      </c>
      <c r="I1297" s="2">
        <v>1000</v>
      </c>
      <c r="J1297"/>
      <c r="K1297"/>
      <c r="L1297" s="44" t="str" cm="1">
        <f t="array" ref="L1297">+_xlfn.IFS(COUNTIF(INGRESOS!E:E,Tabla6[[#This Row],[ID FACTURA]])=1,"PAGADA",Tabla6[[#This Row],[ID FACTURA]]&lt;&gt;0,"EMITIDA",Tabla6[[#This Row],[ID FACTURA]]=0,"POR EMITIR")</f>
        <v>POR EMITIR</v>
      </c>
      <c r="M1297" s="55" t="str">
        <f>+IF(Tabla6[[#This Row],[ESTADO FACTURA]]="PAGADA",Tabla6[[#This Row],[FECHA]]-_xlfn.XLOOKUP(Tabla6[[#This Row],[N° FACTURA]],INGRESOS!F:F,INGRESOS!A:A),"-")</f>
        <v>-</v>
      </c>
      <c r="N1297" s="2"/>
      <c r="O1297"/>
    </row>
    <row r="1298" spans="1:15" ht="14.75" customHeight="1">
      <c r="A1298" s="320" t="s">
        <v>2011</v>
      </c>
      <c r="B1298" t="str">
        <f>+_xlfn.XLOOKUP(Tabla6[[#This Row],[ID CLIENTE]],'RESUMEN CLIENTES'!D:D,'RESUMEN CLIENTES'!A:A)</f>
        <v>Bárbara Fuentes</v>
      </c>
      <c r="C1298" t="str">
        <f>+_xlfn.XLOOKUP(Tabla6[[#This Row],[ID CLIENTE]],'RESUMEN CLIENTES'!D:D,'RESUMEN CLIENTES'!C:C)</f>
        <v>Chile</v>
      </c>
      <c r="D1298" s="169" t="str">
        <f>+_xlfn.XLOOKUP(Tabla6[[#This Row],[ID CLIENTE]],'RESUMEN CLIENTES'!D:D,'RESUMEN CLIENTES'!M:M)</f>
        <v>OK</v>
      </c>
      <c r="E1298" s="71">
        <f>+_xlfn.XLOOKUP(Tabla6[[#This Row],[NOMBRE]],'RESUMEN CLIENTES'!A:A,'RESUMEN CLIENTES'!X:X)</f>
        <v>-0.33333333333333331</v>
      </c>
      <c r="F1298" s="71">
        <f>+_xlfn.XLOOKUP(Tabla6[[#This Row],[ID CLIENTE]],'RESUMEN CLIENTES'!D:D,'RESUMEN CLIENTES'!W:W)</f>
        <v>0</v>
      </c>
      <c r="G1298" s="17">
        <v>46147</v>
      </c>
      <c r="H1298" s="169" t="s">
        <v>81</v>
      </c>
      <c r="I1298" s="2">
        <v>1000</v>
      </c>
      <c r="J1298"/>
      <c r="K1298"/>
      <c r="L1298" s="44" t="str" cm="1">
        <f t="array" ref="L1298">+_xlfn.IFS(COUNTIF(INGRESOS!E:E,Tabla6[[#This Row],[ID FACTURA]])=1,"PAGADA",Tabla6[[#This Row],[ID FACTURA]]&lt;&gt;0,"EMITIDA",Tabla6[[#This Row],[ID FACTURA]]=0,"POR EMITIR")</f>
        <v>POR EMITIR</v>
      </c>
      <c r="M1298" s="54" t="str">
        <f>+IF(Tabla6[[#This Row],[ESTADO FACTURA]]="PAGADA",Tabla6[[#This Row],[FECHA]]-_xlfn.XLOOKUP(Tabla6[[#This Row],[N° FACTURA]],INGRESOS!F:F,INGRESOS!A:A),"-")</f>
        <v>-</v>
      </c>
      <c r="O1298"/>
    </row>
    <row r="1299" spans="1:15" ht="14.75" customHeight="1">
      <c r="A1299" s="320" t="s">
        <v>203</v>
      </c>
      <c r="B1299" t="str">
        <f>+_xlfn.XLOOKUP(Tabla6[[#This Row],[ID CLIENTE]],'RESUMEN CLIENTES'!D:D,'RESUMEN CLIENTES'!A:A)</f>
        <v>Bernardita Lobo Zegers</v>
      </c>
      <c r="C1299" t="str">
        <f>+_xlfn.XLOOKUP(Tabla6[[#This Row],[ID CLIENTE]],'RESUMEN CLIENTES'!D:D,'RESUMEN CLIENTES'!C:C)</f>
        <v>México</v>
      </c>
      <c r="D1299" s="44" t="str">
        <f>+_xlfn.XLOOKUP(Tabla6[[#This Row],[ID CLIENTE]],'RESUMEN CLIENTES'!D:D,'RESUMEN CLIENTES'!M:M)</f>
        <v>OK</v>
      </c>
      <c r="E1299" s="72">
        <f>+_xlfn.XLOOKUP(Tabla6[[#This Row],[NOMBRE]],'RESUMEN CLIENTES'!A:A,'RESUMEN CLIENTES'!X:X)</f>
        <v>-0.8</v>
      </c>
      <c r="F1299" s="72">
        <f>+_xlfn.XLOOKUP(Tabla6[[#This Row],[ID CLIENTE]],'RESUMEN CLIENTES'!D:D,'RESUMEN CLIENTES'!W:W)</f>
        <v>1</v>
      </c>
      <c r="G1299" s="17">
        <v>46147</v>
      </c>
      <c r="H1299" s="44" t="s">
        <v>81</v>
      </c>
      <c r="I1299" s="2">
        <v>800</v>
      </c>
      <c r="J1299"/>
      <c r="K1299"/>
      <c r="L1299" s="44" t="str" cm="1">
        <f t="array" ref="L1299">+_xlfn.IFS(COUNTIF(INGRESOS!E:E,Tabla6[[#This Row],[ID FACTURA]])=1,"PAGADA",Tabla6[[#This Row],[ID FACTURA]]&lt;&gt;0,"EMITIDA",Tabla6[[#This Row],[ID FACTURA]]=0,"POR EMITIR")</f>
        <v>POR EMITIR</v>
      </c>
      <c r="M1299" s="55" t="str">
        <f>+IF(Tabla6[[#This Row],[ESTADO FACTURA]]="PAGADA",Tabla6[[#This Row],[FECHA]]-_xlfn.XLOOKUP(Tabla6[[#This Row],[N° FACTURA]],INGRESOS!F:F,INGRESOS!A:A),"-")</f>
        <v>-</v>
      </c>
      <c r="N1299" s="2"/>
      <c r="O1299"/>
    </row>
    <row r="1300" spans="1:15" ht="14.75" customHeight="1">
      <c r="A1300" s="320" t="s">
        <v>1206</v>
      </c>
      <c r="B1300" t="str">
        <f>+_xlfn.XLOOKUP(Tabla6[[#This Row],[ID CLIENTE]],'RESUMEN CLIENTES'!D:D,'RESUMEN CLIENTES'!A:A)</f>
        <v>Bryan Israel Jiménez Puente</v>
      </c>
      <c r="C1300" t="str">
        <f>+_xlfn.XLOOKUP(Tabla6[[#This Row],[ID CLIENTE]],'RESUMEN CLIENTES'!D:D,'RESUMEN CLIENTES'!C:C)</f>
        <v>Ecuador</v>
      </c>
      <c r="D1300" s="44" t="str">
        <f>+_xlfn.XLOOKUP(Tabla6[[#This Row],[ID CLIENTE]],'RESUMEN CLIENTES'!D:D,'RESUMEN CLIENTES'!M:M)</f>
        <v>OK</v>
      </c>
      <c r="E1300" s="72">
        <f>+_xlfn.XLOOKUP(Tabla6[[#This Row],[NOMBRE]],'RESUMEN CLIENTES'!A:A,'RESUMEN CLIENTES'!X:X)</f>
        <v>1</v>
      </c>
      <c r="F1300" s="72">
        <f>+_xlfn.XLOOKUP(Tabla6[[#This Row],[ID CLIENTE]],'RESUMEN CLIENTES'!D:D,'RESUMEN CLIENTES'!W:W)</f>
        <v>0</v>
      </c>
      <c r="G1300" s="17">
        <v>46147</v>
      </c>
      <c r="H1300" s="44" t="s">
        <v>81</v>
      </c>
      <c r="I1300" s="2">
        <v>1000</v>
      </c>
      <c r="J1300"/>
      <c r="K1300"/>
      <c r="L1300" s="44" t="str" cm="1">
        <f t="array" ref="L1300">+_xlfn.IFS(COUNTIF(INGRESOS!E:E,Tabla6[[#This Row],[ID FACTURA]])=1,"PAGADA",Tabla6[[#This Row],[ID FACTURA]]&lt;&gt;0,"EMITIDA",Tabla6[[#This Row],[ID FACTURA]]=0,"POR EMITIR")</f>
        <v>POR EMITIR</v>
      </c>
      <c r="M1300" s="55" t="str">
        <f>+IF(Tabla6[[#This Row],[ESTADO FACTURA]]="PAGADA",Tabla6[[#This Row],[FECHA]]-_xlfn.XLOOKUP(Tabla6[[#This Row],[N° FACTURA]],INGRESOS!F:F,INGRESOS!A:A),"-")</f>
        <v>-</v>
      </c>
      <c r="N1300" s="2"/>
      <c r="O1300"/>
    </row>
    <row r="1301" spans="1:15" ht="14.75" customHeight="1">
      <c r="A1301" s="320" t="s">
        <v>168</v>
      </c>
      <c r="B1301" t="str">
        <f>+_xlfn.XLOOKUP(Tabla6[[#This Row],[ID CLIENTE]],'RESUMEN CLIENTES'!D:D,'RESUMEN CLIENTES'!A:A)</f>
        <v xml:space="preserve">Catalina Ochoa Urrutia
</v>
      </c>
      <c r="C1301" t="str">
        <f>+_xlfn.XLOOKUP(Tabla6[[#This Row],[ID CLIENTE]],'RESUMEN CLIENTES'!D:D,'RESUMEN CLIENTES'!C:C)</f>
        <v>Chile</v>
      </c>
      <c r="D1301" s="44" t="str">
        <f>+_xlfn.XLOOKUP(Tabla6[[#This Row],[ID CLIENTE]],'RESUMEN CLIENTES'!D:D,'RESUMEN CLIENTES'!M:M)</f>
        <v>OK</v>
      </c>
      <c r="E1301" s="72">
        <f>+_xlfn.XLOOKUP(Tabla6[[#This Row],[NOMBRE]],'RESUMEN CLIENTES'!A:A,'RESUMEN CLIENTES'!X:X)</f>
        <v>0.75</v>
      </c>
      <c r="F1301" s="72">
        <f>+_xlfn.XLOOKUP(Tabla6[[#This Row],[ID CLIENTE]],'RESUMEN CLIENTES'!D:D,'RESUMEN CLIENTES'!W:W)</f>
        <v>1</v>
      </c>
      <c r="G1301" s="17">
        <v>46147</v>
      </c>
      <c r="H1301" s="44" t="s">
        <v>81</v>
      </c>
      <c r="I1301" s="2">
        <v>800</v>
      </c>
      <c r="J1301"/>
      <c r="K1301"/>
      <c r="L1301" s="44" t="str" cm="1">
        <f t="array" ref="L1301">+_xlfn.IFS(COUNTIF(INGRESOS!E:E,Tabla6[[#This Row],[ID FACTURA]])=1,"PAGADA",Tabla6[[#This Row],[ID FACTURA]]&lt;&gt;0,"EMITIDA",Tabla6[[#This Row],[ID FACTURA]]=0,"POR EMITIR")</f>
        <v>POR EMITIR</v>
      </c>
      <c r="M1301" s="55" t="str">
        <f>+IF(Tabla6[[#This Row],[ESTADO FACTURA]]="PAGADA",Tabla6[[#This Row],[FECHA]]-_xlfn.XLOOKUP(Tabla6[[#This Row],[N° FACTURA]],INGRESOS!F:F,INGRESOS!A:A),"-")</f>
        <v>-</v>
      </c>
      <c r="N1301" s="2"/>
      <c r="O1301"/>
    </row>
    <row r="1302" spans="1:15" ht="14.75" customHeight="1">
      <c r="A1302" s="320" t="s">
        <v>1674</v>
      </c>
      <c r="B1302" t="str">
        <f>+_xlfn.XLOOKUP(Tabla6[[#This Row],[ID CLIENTE]],'RESUMEN CLIENTES'!D:D,'RESUMEN CLIENTES'!A:A)</f>
        <v>Diego Alberto Ruiz Cifuentes</v>
      </c>
      <c r="C1302" t="str">
        <f>+_xlfn.XLOOKUP(Tabla6[[#This Row],[ID CLIENTE]],'RESUMEN CLIENTES'!D:D,'RESUMEN CLIENTES'!C:C)</f>
        <v>Chile</v>
      </c>
      <c r="D1302" s="169" t="str">
        <f>+_xlfn.XLOOKUP(Tabla6[[#This Row],[ID CLIENTE]],'RESUMEN CLIENTES'!D:D,'RESUMEN CLIENTES'!M:M)</f>
        <v>OK</v>
      </c>
      <c r="E1302" s="71">
        <f>+_xlfn.XLOOKUP(Tabla6[[#This Row],[NOMBRE]],'RESUMEN CLIENTES'!A:A,'RESUMEN CLIENTES'!X:X)</f>
        <v>5.75</v>
      </c>
      <c r="F1302" s="71">
        <f>+_xlfn.XLOOKUP(Tabla6[[#This Row],[ID CLIENTE]],'RESUMEN CLIENTES'!D:D,'RESUMEN CLIENTES'!W:W)</f>
        <v>0</v>
      </c>
      <c r="G1302" s="17">
        <v>46147</v>
      </c>
      <c r="H1302" s="169" t="s">
        <v>81</v>
      </c>
      <c r="I1302" s="2">
        <v>1000</v>
      </c>
      <c r="J1302"/>
      <c r="K1302"/>
      <c r="L1302" s="44" t="str" cm="1">
        <f t="array" ref="L1302">+_xlfn.IFS(COUNTIF(INGRESOS!E:E,Tabla6[[#This Row],[ID FACTURA]])=1,"PAGADA",Tabla6[[#This Row],[ID FACTURA]]&lt;&gt;0,"EMITIDA",Tabla6[[#This Row],[ID FACTURA]]=0,"POR EMITIR")</f>
        <v>POR EMITIR</v>
      </c>
      <c r="M1302" s="55" t="str">
        <f>+IF(Tabla6[[#This Row],[ESTADO FACTURA]]="PAGADA",Tabla6[[#This Row],[FECHA]]-_xlfn.XLOOKUP(Tabla6[[#This Row],[N° FACTURA]],INGRESOS!F:F,INGRESOS!A:A),"-")</f>
        <v>-</v>
      </c>
      <c r="N1302" s="2"/>
      <c r="O1302"/>
    </row>
    <row r="1303" spans="1:15" ht="14.75" customHeight="1">
      <c r="A1303" s="320" t="s">
        <v>2521</v>
      </c>
      <c r="B1303" t="str">
        <f>+_xlfn.XLOOKUP(Tabla6[[#This Row],[ID CLIENTE]],'RESUMEN CLIENTES'!D:D,'RESUMEN CLIENTES'!A:A)</f>
        <v>Fabián Andrés Sarmiento Auli</v>
      </c>
      <c r="C1303" t="str">
        <f>+_xlfn.XLOOKUP(Tabla6[[#This Row],[ID CLIENTE]],'RESUMEN CLIENTES'!D:D,'RESUMEN CLIENTES'!C:C)</f>
        <v>Colombia</v>
      </c>
      <c r="D1303" s="169" t="str">
        <f>+_xlfn.XLOOKUP(Tabla6[[#This Row],[ID CLIENTE]],'RESUMEN CLIENTES'!D:D,'RESUMEN CLIENTES'!M:M)</f>
        <v>OK</v>
      </c>
      <c r="E1303" s="71">
        <f>+_xlfn.XLOOKUP(Tabla6[[#This Row],[NOMBRE]],'RESUMEN CLIENTES'!A:A,'RESUMEN CLIENTES'!X:X)</f>
        <v>0</v>
      </c>
      <c r="F1303" s="71">
        <f>+_xlfn.XLOOKUP(Tabla6[[#This Row],[ID CLIENTE]],'RESUMEN CLIENTES'!D:D,'RESUMEN CLIENTES'!W:W)</f>
        <v>0</v>
      </c>
      <c r="G1303" s="17">
        <v>46147</v>
      </c>
      <c r="H1303" s="169" t="s">
        <v>81</v>
      </c>
      <c r="I1303" s="2">
        <v>911</v>
      </c>
      <c r="J1303"/>
      <c r="K1303"/>
      <c r="L1303" s="44" t="str" cm="1">
        <f t="array" ref="L1303">+_xlfn.IFS(COUNTIF(INGRESOS!E:E,Tabla6[[#This Row],[ID FACTURA]])=1,"PAGADA",Tabla6[[#This Row],[ID FACTURA]]&lt;&gt;0,"EMITIDA",Tabla6[[#This Row],[ID FACTURA]]=0,"POR EMITIR")</f>
        <v>POR EMITIR</v>
      </c>
      <c r="M1303" s="54" t="str">
        <f>+IF(Tabla6[[#This Row],[ESTADO FACTURA]]="PAGADA",Tabla6[[#This Row],[FECHA]]-_xlfn.XLOOKUP(Tabla6[[#This Row],[N° FACTURA]],INGRESOS!F:F,INGRESOS!A:A),"-")</f>
        <v>-</v>
      </c>
      <c r="O1303"/>
    </row>
    <row r="1304" spans="1:15" ht="14.75" customHeight="1">
      <c r="A1304" s="320" t="s">
        <v>787</v>
      </c>
      <c r="B1304" t="str">
        <f>+_xlfn.XLOOKUP(Tabla6[[#This Row],[ID CLIENTE]],'RESUMEN CLIENTES'!D:D,'RESUMEN CLIENTES'!A:A)</f>
        <v>Florencia Luján Sapia</v>
      </c>
      <c r="C1304" t="str">
        <f>+_xlfn.XLOOKUP(Tabla6[[#This Row],[ID CLIENTE]],'RESUMEN CLIENTES'!D:D,'RESUMEN CLIENTES'!C:C)</f>
        <v>Argentina</v>
      </c>
      <c r="D1304" s="44" t="str">
        <f>+_xlfn.XLOOKUP(Tabla6[[#This Row],[ID CLIENTE]],'RESUMEN CLIENTES'!D:D,'RESUMEN CLIENTES'!M:M)</f>
        <v>OK</v>
      </c>
      <c r="E1304" s="72">
        <f>+_xlfn.XLOOKUP(Tabla6[[#This Row],[NOMBRE]],'RESUMEN CLIENTES'!A:A,'RESUMEN CLIENTES'!X:X)</f>
        <v>-0.77777777777777779</v>
      </c>
      <c r="F1304" s="72">
        <f>+_xlfn.XLOOKUP(Tabla6[[#This Row],[ID CLIENTE]],'RESUMEN CLIENTES'!D:D,'RESUMEN CLIENTES'!W:W)</f>
        <v>1</v>
      </c>
      <c r="G1304" s="17">
        <v>46147</v>
      </c>
      <c r="H1304" s="44" t="s">
        <v>81</v>
      </c>
      <c r="I1304" s="2">
        <v>600</v>
      </c>
      <c r="J1304"/>
      <c r="K1304"/>
      <c r="L1304" s="44" t="str" cm="1">
        <f t="array" ref="L1304">+_xlfn.IFS(COUNTIF(INGRESOS!E:E,Tabla6[[#This Row],[ID FACTURA]])=1,"PAGADA",Tabla6[[#This Row],[ID FACTURA]]&lt;&gt;0,"EMITIDA",Tabla6[[#This Row],[ID FACTURA]]=0,"POR EMITIR")</f>
        <v>POR EMITIR</v>
      </c>
      <c r="M1304" s="55" t="str">
        <f>+IF(Tabla6[[#This Row],[ESTADO FACTURA]]="PAGADA",Tabla6[[#This Row],[FECHA]]-_xlfn.XLOOKUP(Tabla6[[#This Row],[N° FACTURA]],INGRESOS!F:F,INGRESOS!A:A),"-")</f>
        <v>-</v>
      </c>
      <c r="N1304" s="2"/>
      <c r="O1304"/>
    </row>
    <row r="1305" spans="1:15" ht="14.75" customHeight="1">
      <c r="A1305" s="320" t="s">
        <v>171</v>
      </c>
      <c r="B1305" t="str">
        <f>+_xlfn.XLOOKUP(Tabla6[[#This Row],[ID CLIENTE]],'RESUMEN CLIENTES'!D:D,'RESUMEN CLIENTES'!A:A)</f>
        <v>Guillermo Alfonso Garvalena Gaxiola</v>
      </c>
      <c r="C1305" t="str">
        <f>+_xlfn.XLOOKUP(Tabla6[[#This Row],[ID CLIENTE]],'RESUMEN CLIENTES'!D:D,'RESUMEN CLIENTES'!C:C)</f>
        <v>México</v>
      </c>
      <c r="D1305" s="44" t="str">
        <f>+_xlfn.XLOOKUP(Tabla6[[#This Row],[ID CLIENTE]],'RESUMEN CLIENTES'!D:D,'RESUMEN CLIENTES'!M:M)</f>
        <v>OK</v>
      </c>
      <c r="E1305" s="72">
        <f>+_xlfn.XLOOKUP(Tabla6[[#This Row],[NOMBRE]],'RESUMEN CLIENTES'!A:A,'RESUMEN CLIENTES'!X:X)</f>
        <v>1.173913043478261</v>
      </c>
      <c r="F1305" s="72">
        <f>+_xlfn.XLOOKUP(Tabla6[[#This Row],[ID CLIENTE]],'RESUMEN CLIENTES'!D:D,'RESUMEN CLIENTES'!W:W)</f>
        <v>1</v>
      </c>
      <c r="G1305" s="17">
        <v>46147</v>
      </c>
      <c r="H1305" s="44" t="s">
        <v>81</v>
      </c>
      <c r="I1305" s="2">
        <v>700</v>
      </c>
      <c r="J1305"/>
      <c r="K1305"/>
      <c r="L1305" s="44" t="str" cm="1">
        <f t="array" ref="L1305">+_xlfn.IFS(COUNTIF(INGRESOS!E:E,Tabla6[[#This Row],[ID FACTURA]])=1,"PAGADA",Tabla6[[#This Row],[ID FACTURA]]&lt;&gt;0,"EMITIDA",Tabla6[[#This Row],[ID FACTURA]]=0,"POR EMITIR")</f>
        <v>POR EMITIR</v>
      </c>
      <c r="M1305" s="55" t="str">
        <f>+IF(Tabla6[[#This Row],[ESTADO FACTURA]]="PAGADA",Tabla6[[#This Row],[FECHA]]-_xlfn.XLOOKUP(Tabla6[[#This Row],[N° FACTURA]],INGRESOS!F:F,INGRESOS!A:A),"-")</f>
        <v>-</v>
      </c>
      <c r="N1305" s="2"/>
      <c r="O1305"/>
    </row>
    <row r="1306" spans="1:15" ht="14.75" customHeight="1">
      <c r="A1306" s="320" t="s">
        <v>109</v>
      </c>
      <c r="B1306" t="str">
        <f>+_xlfn.XLOOKUP(Tabla6[[#This Row],[ID CLIENTE]],'RESUMEN CLIENTES'!D:D,'RESUMEN CLIENTES'!A:A)</f>
        <v>Ian Job Lino Durán</v>
      </c>
      <c r="C1306" t="str">
        <f>+_xlfn.XLOOKUP(Tabla6[[#This Row],[ID CLIENTE]],'RESUMEN CLIENTES'!D:D,'RESUMEN CLIENTES'!C:C)</f>
        <v>México</v>
      </c>
      <c r="D1306" s="44" t="str">
        <f>+_xlfn.XLOOKUP(Tabla6[[#This Row],[ID CLIENTE]],'RESUMEN CLIENTES'!D:D,'RESUMEN CLIENTES'!M:M)</f>
        <v>OK</v>
      </c>
      <c r="E1306" s="72">
        <f>+_xlfn.XLOOKUP(Tabla6[[#This Row],[NOMBRE]],'RESUMEN CLIENTES'!A:A,'RESUMEN CLIENTES'!X:X)</f>
        <v>0.1</v>
      </c>
      <c r="F1306" s="72">
        <f>+_xlfn.XLOOKUP(Tabla6[[#This Row],[ID CLIENTE]],'RESUMEN CLIENTES'!D:D,'RESUMEN CLIENTES'!W:W)</f>
        <v>1</v>
      </c>
      <c r="G1306" s="17">
        <v>46147</v>
      </c>
      <c r="H1306" s="44" t="s">
        <v>81</v>
      </c>
      <c r="I1306" s="2">
        <v>800</v>
      </c>
      <c r="J1306"/>
      <c r="K1306"/>
      <c r="L1306" s="44" t="str" cm="1">
        <f t="array" ref="L1306">+_xlfn.IFS(COUNTIF(INGRESOS!E:E,Tabla6[[#This Row],[ID FACTURA]])=1,"PAGADA",Tabla6[[#This Row],[ID FACTURA]]&lt;&gt;0,"EMITIDA",Tabla6[[#This Row],[ID FACTURA]]=0,"POR EMITIR")</f>
        <v>POR EMITIR</v>
      </c>
      <c r="M1306" s="55" t="str">
        <f>+IF(Tabla6[[#This Row],[ESTADO FACTURA]]="PAGADA",Tabla6[[#This Row],[FECHA]]-_xlfn.XLOOKUP(Tabla6[[#This Row],[N° FACTURA]],INGRESOS!F:F,INGRESOS!A:A),"-")</f>
        <v>-</v>
      </c>
      <c r="N1306" s="2"/>
      <c r="O1306"/>
    </row>
    <row r="1307" spans="1:15" ht="14.75" customHeight="1">
      <c r="A1307" s="320" t="s">
        <v>142</v>
      </c>
      <c r="B1307" t="str">
        <f>+_xlfn.XLOOKUP(Tabla6[[#This Row],[ID CLIENTE]],'RESUMEN CLIENTES'!D:D,'RESUMEN CLIENTES'!A:A)</f>
        <v>Jordan Eliecer Toledo Bravo</v>
      </c>
      <c r="C1307" t="str">
        <f>+_xlfn.XLOOKUP(Tabla6[[#This Row],[ID CLIENTE]],'RESUMEN CLIENTES'!D:D,'RESUMEN CLIENTES'!C:C)</f>
        <v>Chile</v>
      </c>
      <c r="D1307" s="169" t="str">
        <f>+_xlfn.XLOOKUP(Tabla6[[#This Row],[ID CLIENTE]],'RESUMEN CLIENTES'!D:D,'RESUMEN CLIENTES'!M:M)</f>
        <v>OK</v>
      </c>
      <c r="E1307" s="71">
        <f>+_xlfn.XLOOKUP(Tabla6[[#This Row],[NOMBRE]],'RESUMEN CLIENTES'!A:A,'RESUMEN CLIENTES'!X:X)</f>
        <v>-1.6153846153846154</v>
      </c>
      <c r="F1307" s="71">
        <f>+_xlfn.XLOOKUP(Tabla6[[#This Row],[ID CLIENTE]],'RESUMEN CLIENTES'!D:D,'RESUMEN CLIENTES'!W:W)</f>
        <v>0</v>
      </c>
      <c r="G1307" s="17">
        <v>46147</v>
      </c>
      <c r="H1307" s="169" t="s">
        <v>81</v>
      </c>
      <c r="I1307" s="2">
        <v>500</v>
      </c>
      <c r="J1307"/>
      <c r="K1307"/>
      <c r="L1307" s="44" t="str" cm="1">
        <f t="array" ref="L1307">+_xlfn.IFS(COUNTIF(INGRESOS!E:E,Tabla6[[#This Row],[ID FACTURA]])=1,"PAGADA",Tabla6[[#This Row],[ID FACTURA]]&lt;&gt;0,"EMITIDA",Tabla6[[#This Row],[ID FACTURA]]=0,"POR EMITIR")</f>
        <v>POR EMITIR</v>
      </c>
      <c r="M1307" s="54" t="str">
        <f>+IF(Tabla6[[#This Row],[ESTADO FACTURA]]="PAGADA",Tabla6[[#This Row],[FECHA]]-_xlfn.XLOOKUP(Tabla6[[#This Row],[N° FACTURA]],INGRESOS!F:F,INGRESOS!A:A),"-")</f>
        <v>-</v>
      </c>
      <c r="O1307"/>
    </row>
    <row r="1308" spans="1:15" ht="14.75" customHeight="1">
      <c r="A1308" s="320" t="s">
        <v>4454</v>
      </c>
      <c r="B1308" t="str">
        <f>+_xlfn.XLOOKUP(Tabla6[[#This Row],[ID CLIENTE]],'RESUMEN CLIENTES'!D:D,'RESUMEN CLIENTES'!A:A)</f>
        <v>Jose Luis Avilez Casas</v>
      </c>
      <c r="C1308" t="str">
        <f>+_xlfn.XLOOKUP(Tabla6[[#This Row],[ID CLIENTE]],'RESUMEN CLIENTES'!D:D,'RESUMEN CLIENTES'!C:C)</f>
        <v>México</v>
      </c>
      <c r="D1308" s="169" t="str">
        <f>+_xlfn.XLOOKUP(Tabla6[[#This Row],[ID CLIENTE]],'RESUMEN CLIENTES'!D:D,'RESUMEN CLIENTES'!M:M)</f>
        <v>OK</v>
      </c>
      <c r="E1308" s="71">
        <f>+_xlfn.XLOOKUP(Tabla6[[#This Row],[NOMBRE]],'RESUMEN CLIENTES'!A:A,'RESUMEN CLIENTES'!X:X)</f>
        <v>0.33333333333333331</v>
      </c>
      <c r="F1308" s="71">
        <f>+_xlfn.XLOOKUP(Tabla6[[#This Row],[ID CLIENTE]],'RESUMEN CLIENTES'!D:D,'RESUMEN CLIENTES'!W:W)</f>
        <v>0</v>
      </c>
      <c r="G1308" s="17">
        <v>46147</v>
      </c>
      <c r="H1308" s="169" t="s">
        <v>81</v>
      </c>
      <c r="I1308" s="2">
        <v>1000</v>
      </c>
      <c r="J1308"/>
      <c r="K1308"/>
      <c r="L1308" s="44" t="str" cm="1">
        <f t="array" ref="L1308">+_xlfn.IFS(COUNTIF(INGRESOS!E:E,Tabla6[[#This Row],[ID FACTURA]])=1,"PAGADA",Tabla6[[#This Row],[ID FACTURA]]&lt;&gt;0,"EMITIDA",Tabla6[[#This Row],[ID FACTURA]]=0,"POR EMITIR")</f>
        <v>POR EMITIR</v>
      </c>
      <c r="M1308" s="54" t="str">
        <f>+IF(Tabla6[[#This Row],[ESTADO FACTURA]]="PAGADA",Tabla6[[#This Row],[FECHA]]-_xlfn.XLOOKUP(Tabla6[[#This Row],[N° FACTURA]],INGRESOS!F:F,INGRESOS!A:A),"-")</f>
        <v>-</v>
      </c>
      <c r="O1308"/>
    </row>
    <row r="1309" spans="1:15" ht="14.75" customHeight="1">
      <c r="A1309" s="320" t="s">
        <v>798</v>
      </c>
      <c r="B1309" t="str">
        <f>+_xlfn.XLOOKUP(Tabla6[[#This Row],[ID CLIENTE]],'RESUMEN CLIENTES'!D:D,'RESUMEN CLIENTES'!A:A)</f>
        <v>Juan Manuel Paranzino</v>
      </c>
      <c r="C1309" t="str">
        <f>+_xlfn.XLOOKUP(Tabla6[[#This Row],[ID CLIENTE]],'RESUMEN CLIENTES'!D:D,'RESUMEN CLIENTES'!C:C)</f>
        <v>Argentina</v>
      </c>
      <c r="D1309" s="44" t="str">
        <f>+_xlfn.XLOOKUP(Tabla6[[#This Row],[ID CLIENTE]],'RESUMEN CLIENTES'!D:D,'RESUMEN CLIENTES'!M:M)</f>
        <v>OK</v>
      </c>
      <c r="E1309" s="72">
        <f>+_xlfn.XLOOKUP(Tabla6[[#This Row],[NOMBRE]],'RESUMEN CLIENTES'!A:A,'RESUMEN CLIENTES'!X:X)</f>
        <v>-1</v>
      </c>
      <c r="F1309" s="72">
        <f>+_xlfn.XLOOKUP(Tabla6[[#This Row],[ID CLIENTE]],'RESUMEN CLIENTES'!D:D,'RESUMEN CLIENTES'!W:W)</f>
        <v>0</v>
      </c>
      <c r="G1309" s="17">
        <v>46147</v>
      </c>
      <c r="H1309" s="44" t="s">
        <v>81</v>
      </c>
      <c r="I1309" s="2">
        <v>600</v>
      </c>
      <c r="J1309"/>
      <c r="K1309"/>
      <c r="L1309" s="44" t="str" cm="1">
        <f t="array" ref="L1309">+_xlfn.IFS(COUNTIF(INGRESOS!E:E,Tabla6[[#This Row],[ID FACTURA]])=1,"PAGADA",Tabla6[[#This Row],[ID FACTURA]]&lt;&gt;0,"EMITIDA",Tabla6[[#This Row],[ID FACTURA]]=0,"POR EMITIR")</f>
        <v>POR EMITIR</v>
      </c>
      <c r="M1309" s="55" t="str">
        <f>+IF(Tabla6[[#This Row],[ESTADO FACTURA]]="PAGADA",Tabla6[[#This Row],[FECHA]]-_xlfn.XLOOKUP(Tabla6[[#This Row],[N° FACTURA]],INGRESOS!F:F,INGRESOS!A:A),"-")</f>
        <v>-</v>
      </c>
      <c r="N1309" s="2"/>
      <c r="O1309"/>
    </row>
    <row r="1310" spans="1:15" ht="14.75" customHeight="1">
      <c r="A1310" s="320" t="s">
        <v>955</v>
      </c>
      <c r="B1310" t="str">
        <f>+_xlfn.XLOOKUP(Tabla6[[#This Row],[ID CLIENTE]],'RESUMEN CLIENTES'!D:D,'RESUMEN CLIENTES'!A:A)</f>
        <v>Judith Elizabeth Lopez Sanchez</v>
      </c>
      <c r="C1310" t="str">
        <f>+_xlfn.XLOOKUP(Tabla6[[#This Row],[ID CLIENTE]],'RESUMEN CLIENTES'!D:D,'RESUMEN CLIENTES'!C:C)</f>
        <v>Perú</v>
      </c>
      <c r="D1310" s="44" t="str">
        <f>+_xlfn.XLOOKUP(Tabla6[[#This Row],[ID CLIENTE]],'RESUMEN CLIENTES'!D:D,'RESUMEN CLIENTES'!M:M)</f>
        <v>OK</v>
      </c>
      <c r="E1310" s="72">
        <f>+_xlfn.XLOOKUP(Tabla6[[#This Row],[NOMBRE]],'RESUMEN CLIENTES'!A:A,'RESUMEN CLIENTES'!X:X)</f>
        <v>0.2857142857142857</v>
      </c>
      <c r="F1310" s="72">
        <f>+_xlfn.XLOOKUP(Tabla6[[#This Row],[ID CLIENTE]],'RESUMEN CLIENTES'!D:D,'RESUMEN CLIENTES'!W:W)</f>
        <v>1</v>
      </c>
      <c r="G1310" s="17">
        <v>46147</v>
      </c>
      <c r="H1310" s="44" t="s">
        <v>81</v>
      </c>
      <c r="I1310" s="2">
        <v>1000</v>
      </c>
      <c r="J1310"/>
      <c r="K1310"/>
      <c r="L1310" s="44" t="str" cm="1">
        <f t="array" ref="L1310">+_xlfn.IFS(COUNTIF(INGRESOS!E:E,Tabla6[[#This Row],[ID FACTURA]])=1,"PAGADA",Tabla6[[#This Row],[ID FACTURA]]&lt;&gt;0,"EMITIDA",Tabla6[[#This Row],[ID FACTURA]]=0,"POR EMITIR")</f>
        <v>POR EMITIR</v>
      </c>
      <c r="M1310" s="55" t="str">
        <f>+IF(Tabla6[[#This Row],[ESTADO FACTURA]]="PAGADA",Tabla6[[#This Row],[FECHA]]-_xlfn.XLOOKUP(Tabla6[[#This Row],[N° FACTURA]],INGRESOS!F:F,INGRESOS!A:A),"-")</f>
        <v>-</v>
      </c>
      <c r="N1310" s="2"/>
      <c r="O1310"/>
    </row>
    <row r="1311" spans="1:15" ht="14.75" customHeight="1">
      <c r="A1311" s="320" t="s">
        <v>1416</v>
      </c>
      <c r="B1311" t="str">
        <f>+_xlfn.XLOOKUP(Tabla6[[#This Row],[ID CLIENTE]],'RESUMEN CLIENTES'!D:D,'RESUMEN CLIENTES'!A:A)</f>
        <v>Luis Armando Calderon Manzanera</v>
      </c>
      <c r="C1311" t="str">
        <f>+_xlfn.XLOOKUP(Tabla6[[#This Row],[ID CLIENTE]],'RESUMEN CLIENTES'!D:D,'RESUMEN CLIENTES'!C:C)</f>
        <v>México</v>
      </c>
      <c r="D1311" s="44" t="str">
        <f>+_xlfn.XLOOKUP(Tabla6[[#This Row],[ID CLIENTE]],'RESUMEN CLIENTES'!D:D,'RESUMEN CLIENTES'!M:M)</f>
        <v>OK</v>
      </c>
      <c r="E1311" s="71">
        <f>+_xlfn.XLOOKUP(Tabla6[[#This Row],[NOMBRE]],'RESUMEN CLIENTES'!A:A,'RESUMEN CLIENTES'!X:X)</f>
        <v>2</v>
      </c>
      <c r="F1311" s="71">
        <f>+_xlfn.XLOOKUP(Tabla6[[#This Row],[ID CLIENTE]],'RESUMEN CLIENTES'!D:D,'RESUMEN CLIENTES'!W:W)</f>
        <v>1</v>
      </c>
      <c r="G1311" s="17">
        <v>46147</v>
      </c>
      <c r="H1311" s="44" t="s">
        <v>81</v>
      </c>
      <c r="I1311" s="2">
        <v>650</v>
      </c>
      <c r="J1311"/>
      <c r="K1311"/>
      <c r="L1311" s="44" t="str" cm="1">
        <f t="array" ref="L1311">+_xlfn.IFS(COUNTIF(INGRESOS!E:E,Tabla6[[#This Row],[ID FACTURA]])=1,"PAGADA",Tabla6[[#This Row],[ID FACTURA]]&lt;&gt;0,"EMITIDA",Tabla6[[#This Row],[ID FACTURA]]=0,"POR EMITIR")</f>
        <v>POR EMITIR</v>
      </c>
      <c r="M1311" s="55" t="str">
        <f>+IF(Tabla6[[#This Row],[ESTADO FACTURA]]="PAGADA",Tabla6[[#This Row],[FECHA]]-_xlfn.XLOOKUP(Tabla6[[#This Row],[N° FACTURA]],INGRESOS!F:F,INGRESOS!A:A),"-")</f>
        <v>-</v>
      </c>
      <c r="N1311" s="2"/>
      <c r="O1311"/>
    </row>
    <row r="1312" spans="1:15" ht="14.75" customHeight="1">
      <c r="A1312" s="320" t="s">
        <v>703</v>
      </c>
      <c r="B1312" t="str">
        <f>+_xlfn.XLOOKUP(Tabla6[[#This Row],[ID CLIENTE]],'RESUMEN CLIENTES'!D:D,'RESUMEN CLIENTES'!A:A)</f>
        <v>Maira Paz Navas Sánchez</v>
      </c>
      <c r="C1312" t="str">
        <f>+_xlfn.XLOOKUP(Tabla6[[#This Row],[ID CLIENTE]],'RESUMEN CLIENTES'!D:D,'RESUMEN CLIENTES'!C:C)</f>
        <v>Chile</v>
      </c>
      <c r="D1312" s="44" t="str">
        <f>+_xlfn.XLOOKUP(Tabla6[[#This Row],[ID CLIENTE]],'RESUMEN CLIENTES'!D:D,'RESUMEN CLIENTES'!M:M)</f>
        <v>OK</v>
      </c>
      <c r="E1312" s="72">
        <f>+_xlfn.XLOOKUP(Tabla6[[#This Row],[NOMBRE]],'RESUMEN CLIENTES'!A:A,'RESUMEN CLIENTES'!X:X)</f>
        <v>-1.75</v>
      </c>
      <c r="F1312" s="72">
        <f>+_xlfn.XLOOKUP(Tabla6[[#This Row],[ID CLIENTE]],'RESUMEN CLIENTES'!D:D,'RESUMEN CLIENTES'!W:W)</f>
        <v>1</v>
      </c>
      <c r="G1312" s="17">
        <v>46147</v>
      </c>
      <c r="H1312" s="44" t="s">
        <v>81</v>
      </c>
      <c r="I1312" s="2">
        <v>700</v>
      </c>
      <c r="J1312"/>
      <c r="K1312"/>
      <c r="L1312" s="44" t="str" cm="1">
        <f t="array" ref="L1312">+_xlfn.IFS(COUNTIF(INGRESOS!E:E,Tabla6[[#This Row],[ID FACTURA]])=1,"PAGADA",Tabla6[[#This Row],[ID FACTURA]]&lt;&gt;0,"EMITIDA",Tabla6[[#This Row],[ID FACTURA]]=0,"POR EMITIR")</f>
        <v>POR EMITIR</v>
      </c>
      <c r="M1312" s="55" t="str">
        <f>+IF(Tabla6[[#This Row],[ESTADO FACTURA]]="PAGADA",Tabla6[[#This Row],[FECHA]]-_xlfn.XLOOKUP(Tabla6[[#This Row],[N° FACTURA]],INGRESOS!F:F,INGRESOS!A:A),"-")</f>
        <v>-</v>
      </c>
      <c r="N1312" s="2"/>
      <c r="O1312"/>
    </row>
    <row r="1313" spans="1:15" ht="14.75" customHeight="1">
      <c r="A1313" s="320" t="s">
        <v>80</v>
      </c>
      <c r="B1313" t="str">
        <f>+_xlfn.XLOOKUP(Tabla6[[#This Row],[ID CLIENTE]],'RESUMEN CLIENTES'!D:D,'RESUMEN CLIENTES'!A:A)</f>
        <v>María Fernanda Alvar Sepúlveda</v>
      </c>
      <c r="C1313" t="str">
        <f>+_xlfn.XLOOKUP(Tabla6[[#This Row],[ID CLIENTE]],'RESUMEN CLIENTES'!D:D,'RESUMEN CLIENTES'!C:C)</f>
        <v>Chile</v>
      </c>
      <c r="D1313" s="44" t="str">
        <f>+_xlfn.XLOOKUP(Tabla6[[#This Row],[ID CLIENTE]],'RESUMEN CLIENTES'!D:D,'RESUMEN CLIENTES'!M:M)</f>
        <v>OK</v>
      </c>
      <c r="E1313" s="72">
        <f>+_xlfn.XLOOKUP(Tabla6[[#This Row],[NOMBRE]],'RESUMEN CLIENTES'!A:A,'RESUMEN CLIENTES'!X:X)</f>
        <v>5</v>
      </c>
      <c r="F1313" s="72">
        <f>+_xlfn.XLOOKUP(Tabla6[[#This Row],[ID CLIENTE]],'RESUMEN CLIENTES'!D:D,'RESUMEN CLIENTES'!W:W)</f>
        <v>1</v>
      </c>
      <c r="G1313" s="17">
        <v>46147</v>
      </c>
      <c r="H1313" s="44" t="s">
        <v>81</v>
      </c>
      <c r="I1313" s="2">
        <v>800</v>
      </c>
      <c r="J1313"/>
      <c r="K1313"/>
      <c r="L1313" s="44" t="str" cm="1">
        <f t="array" ref="L1313">+_xlfn.IFS(COUNTIF(INGRESOS!E:E,Tabla6[[#This Row],[ID FACTURA]])=1,"PAGADA",Tabla6[[#This Row],[ID FACTURA]]&lt;&gt;0,"EMITIDA",Tabla6[[#This Row],[ID FACTURA]]=0,"POR EMITIR")</f>
        <v>POR EMITIR</v>
      </c>
      <c r="M1313" s="55" t="str">
        <f>+IF(Tabla6[[#This Row],[ESTADO FACTURA]]="PAGADA",Tabla6[[#This Row],[FECHA]]-_xlfn.XLOOKUP(Tabla6[[#This Row],[N° FACTURA]],INGRESOS!F:F,INGRESOS!A:A),"-")</f>
        <v>-</v>
      </c>
      <c r="N1313" s="2"/>
      <c r="O1313"/>
    </row>
    <row r="1314" spans="1:15" ht="14.75" customHeight="1">
      <c r="A1314" s="320" t="s">
        <v>1551</v>
      </c>
      <c r="B1314" t="str">
        <f>+_xlfn.XLOOKUP(Tabla6[[#This Row],[ID CLIENTE]],'RESUMEN CLIENTES'!D:D,'RESUMEN CLIENTES'!A:A)</f>
        <v>María Fernanda Cid Ramírez</v>
      </c>
      <c r="C1314" t="str">
        <f>+_xlfn.XLOOKUP(Tabla6[[#This Row],[ID CLIENTE]],'RESUMEN CLIENTES'!D:D,'RESUMEN CLIENTES'!C:C)</f>
        <v>México</v>
      </c>
      <c r="D1314" s="44" t="str">
        <f>+_xlfn.XLOOKUP(Tabla6[[#This Row],[ID CLIENTE]],'RESUMEN CLIENTES'!D:D,'RESUMEN CLIENTES'!M:M)</f>
        <v>OK</v>
      </c>
      <c r="E1314" s="71">
        <f>+_xlfn.XLOOKUP(Tabla6[[#This Row],[NOMBRE]],'RESUMEN CLIENTES'!A:A,'RESUMEN CLIENTES'!X:X)</f>
        <v>-0.8571428571428571</v>
      </c>
      <c r="F1314" s="71">
        <f>+_xlfn.XLOOKUP(Tabla6[[#This Row],[ID CLIENTE]],'RESUMEN CLIENTES'!D:D,'RESUMEN CLIENTES'!W:W)</f>
        <v>0</v>
      </c>
      <c r="G1314" s="17">
        <v>46147</v>
      </c>
      <c r="H1314" s="169" t="s">
        <v>81</v>
      </c>
      <c r="I1314" s="2">
        <v>850</v>
      </c>
      <c r="J1314"/>
      <c r="K1314"/>
      <c r="L1314" s="44" t="str" cm="1">
        <f t="array" ref="L1314">+_xlfn.IFS(COUNTIF(INGRESOS!E:E,Tabla6[[#This Row],[ID FACTURA]])=1,"PAGADA",Tabla6[[#This Row],[ID FACTURA]]&lt;&gt;0,"EMITIDA",Tabla6[[#This Row],[ID FACTURA]]=0,"POR EMITIR")</f>
        <v>POR EMITIR</v>
      </c>
      <c r="M1314" s="55" t="str">
        <f>+IF(Tabla6[[#This Row],[ESTADO FACTURA]]="PAGADA",Tabla6[[#This Row],[FECHA]]-_xlfn.XLOOKUP(Tabla6[[#This Row],[N° FACTURA]],INGRESOS!F:F,INGRESOS!A:A),"-")</f>
        <v>-</v>
      </c>
      <c r="N1314" s="2"/>
      <c r="O1314"/>
    </row>
    <row r="1315" spans="1:15" ht="14.75" customHeight="1">
      <c r="A1315" s="320" t="s">
        <v>1155</v>
      </c>
      <c r="B1315" t="str">
        <f>+_xlfn.XLOOKUP(Tabla6[[#This Row],[ID CLIENTE]],'RESUMEN CLIENTES'!D:D,'RESUMEN CLIENTES'!A:A)</f>
        <v>Mario Arciga Casián</v>
      </c>
      <c r="C1315" t="str">
        <f>+_xlfn.XLOOKUP(Tabla6[[#This Row],[ID CLIENTE]],'RESUMEN CLIENTES'!D:D,'RESUMEN CLIENTES'!C:C)</f>
        <v>México</v>
      </c>
      <c r="D1315" s="44" t="str">
        <f>+_xlfn.XLOOKUP(Tabla6[[#This Row],[ID CLIENTE]],'RESUMEN CLIENTES'!D:D,'RESUMEN CLIENTES'!M:M)</f>
        <v>OK</v>
      </c>
      <c r="E1315" s="72">
        <f>+_xlfn.XLOOKUP(Tabla6[[#This Row],[NOMBRE]],'RESUMEN CLIENTES'!A:A,'RESUMEN CLIENTES'!X:X)</f>
        <v>-0.66666666666666663</v>
      </c>
      <c r="F1315" s="72">
        <f>+_xlfn.XLOOKUP(Tabla6[[#This Row],[ID CLIENTE]],'RESUMEN CLIENTES'!D:D,'RESUMEN CLIENTES'!W:W)</f>
        <v>1</v>
      </c>
      <c r="G1315" s="17">
        <v>46147</v>
      </c>
      <c r="H1315" s="44" t="s">
        <v>81</v>
      </c>
      <c r="I1315" s="2">
        <v>1000</v>
      </c>
      <c r="J1315"/>
      <c r="K1315"/>
      <c r="L1315" s="44" t="str" cm="1">
        <f t="array" ref="L1315">+_xlfn.IFS(COUNTIF(INGRESOS!E:E,Tabla6[[#This Row],[ID FACTURA]])=1,"PAGADA",Tabla6[[#This Row],[ID FACTURA]]&lt;&gt;0,"EMITIDA",Tabla6[[#This Row],[ID FACTURA]]=0,"POR EMITIR")</f>
        <v>POR EMITIR</v>
      </c>
      <c r="M1315" s="55" t="str">
        <f>+IF(Tabla6[[#This Row],[ESTADO FACTURA]]="PAGADA",Tabla6[[#This Row],[FECHA]]-_xlfn.XLOOKUP(Tabla6[[#This Row],[N° FACTURA]],INGRESOS!F:F,INGRESOS!A:A),"-")</f>
        <v>-</v>
      </c>
      <c r="N1315" s="2"/>
      <c r="O1315"/>
    </row>
    <row r="1316" spans="1:15" ht="14.75" customHeight="1">
      <c r="A1316" s="320" t="s">
        <v>4509</v>
      </c>
      <c r="B1316" t="str">
        <f>+_xlfn.XLOOKUP(Tabla6[[#This Row],[ID CLIENTE]],'RESUMEN CLIENTES'!D:D,'RESUMEN CLIENTES'!A:A)</f>
        <v>Marisol Madeleine Ibáñez Paredes</v>
      </c>
      <c r="C1316" t="str">
        <f>+_xlfn.XLOOKUP(Tabla6[[#This Row],[ID CLIENTE]],'RESUMEN CLIENTES'!D:D,'RESUMEN CLIENTES'!C:C)</f>
        <v>Ecuador</v>
      </c>
      <c r="D1316" s="169" t="str">
        <f>+_xlfn.XLOOKUP(Tabla6[[#This Row],[ID CLIENTE]],'RESUMEN CLIENTES'!D:D,'RESUMEN CLIENTES'!M:M)</f>
        <v>OK</v>
      </c>
      <c r="E1316" s="71">
        <f>+_xlfn.XLOOKUP(Tabla6[[#This Row],[NOMBRE]],'RESUMEN CLIENTES'!A:A,'RESUMEN CLIENTES'!X:X)</f>
        <v>-3</v>
      </c>
      <c r="F1316" s="71">
        <f>+_xlfn.XLOOKUP(Tabla6[[#This Row],[ID CLIENTE]],'RESUMEN CLIENTES'!D:D,'RESUMEN CLIENTES'!W:W)</f>
        <v>0</v>
      </c>
      <c r="G1316" s="17">
        <v>46147</v>
      </c>
      <c r="H1316" s="169" t="s">
        <v>81</v>
      </c>
      <c r="I1316" s="2">
        <v>1000</v>
      </c>
      <c r="J1316"/>
      <c r="K1316"/>
      <c r="L1316" s="44" t="str" cm="1">
        <f t="array" ref="L1316">+_xlfn.IFS(COUNTIF(INGRESOS!E:E,Tabla6[[#This Row],[ID FACTURA]])=1,"PAGADA",Tabla6[[#This Row],[ID FACTURA]]&lt;&gt;0,"EMITIDA",Tabla6[[#This Row],[ID FACTURA]]=0,"POR EMITIR")</f>
        <v>POR EMITIR</v>
      </c>
      <c r="M1316" s="54" t="str">
        <f>+IF(Tabla6[[#This Row],[ESTADO FACTURA]]="PAGADA",Tabla6[[#This Row],[FECHA]]-_xlfn.XLOOKUP(Tabla6[[#This Row],[N° FACTURA]],INGRESOS!F:F,INGRESOS!A:A),"-")</f>
        <v>-</v>
      </c>
      <c r="O1316"/>
    </row>
    <row r="1317" spans="1:15" ht="14.75" customHeight="1">
      <c r="A1317" s="320" t="s">
        <v>129</v>
      </c>
      <c r="B1317" t="str">
        <f>+_xlfn.XLOOKUP(Tabla6[[#This Row],[ID CLIENTE]],'RESUMEN CLIENTES'!D:D,'RESUMEN CLIENTES'!A:A)</f>
        <v>Moira Millaray Schneider Rivera</v>
      </c>
      <c r="C1317" t="str">
        <f>+_xlfn.XLOOKUP(Tabla6[[#This Row],[ID CLIENTE]],'RESUMEN CLIENTES'!D:D,'RESUMEN CLIENTES'!C:C)</f>
        <v>Chile</v>
      </c>
      <c r="D1317" s="44" t="str">
        <f>+_xlfn.XLOOKUP(Tabla6[[#This Row],[ID CLIENTE]],'RESUMEN CLIENTES'!D:D,'RESUMEN CLIENTES'!M:M)</f>
        <v>OK</v>
      </c>
      <c r="E1317" s="72">
        <f>+_xlfn.XLOOKUP(Tabla6[[#This Row],[NOMBRE]],'RESUMEN CLIENTES'!A:A,'RESUMEN CLIENTES'!X:X)</f>
        <v>0</v>
      </c>
      <c r="F1317" s="72">
        <f>+_xlfn.XLOOKUP(Tabla6[[#This Row],[ID CLIENTE]],'RESUMEN CLIENTES'!D:D,'RESUMEN CLIENTES'!W:W)</f>
        <v>1</v>
      </c>
      <c r="G1317" s="17">
        <v>46147</v>
      </c>
      <c r="H1317" s="44" t="s">
        <v>81</v>
      </c>
      <c r="I1317" s="2">
        <v>800</v>
      </c>
      <c r="J1317"/>
      <c r="K1317"/>
      <c r="L1317" s="44" t="str" cm="1">
        <f t="array" ref="L1317">+_xlfn.IFS(COUNTIF(INGRESOS!E:E,Tabla6[[#This Row],[ID FACTURA]])=1,"PAGADA",Tabla6[[#This Row],[ID FACTURA]]&lt;&gt;0,"EMITIDA",Tabla6[[#This Row],[ID FACTURA]]=0,"POR EMITIR")</f>
        <v>POR EMITIR</v>
      </c>
      <c r="M1317" s="55" t="str">
        <f>+IF(Tabla6[[#This Row],[ESTADO FACTURA]]="PAGADA",Tabla6[[#This Row],[FECHA]]-_xlfn.XLOOKUP(Tabla6[[#This Row],[N° FACTURA]],INGRESOS!F:F,INGRESOS!A:A),"-")</f>
        <v>-</v>
      </c>
      <c r="N1317" s="2"/>
      <c r="O1317"/>
    </row>
    <row r="1318" spans="1:15" ht="14.75" customHeight="1">
      <c r="A1318" s="320" t="s">
        <v>159</v>
      </c>
      <c r="B1318" t="str">
        <f>+_xlfn.XLOOKUP(Tabla6[[#This Row],[ID CLIENTE]],'RESUMEN CLIENTES'!D:D,'RESUMEN CLIENTES'!A:A)</f>
        <v>Rodrigo Rivera Ruiz</v>
      </c>
      <c r="C1318" t="str">
        <f>+_xlfn.XLOOKUP(Tabla6[[#This Row],[ID CLIENTE]],'RESUMEN CLIENTES'!D:D,'RESUMEN CLIENTES'!C:C)</f>
        <v>Chile</v>
      </c>
      <c r="D1318" s="44" t="str">
        <f>+_xlfn.XLOOKUP(Tabla6[[#This Row],[ID CLIENTE]],'RESUMEN CLIENTES'!D:D,'RESUMEN CLIENTES'!M:M)</f>
        <v>OK</v>
      </c>
      <c r="E1318" s="72">
        <f>+_xlfn.XLOOKUP(Tabla6[[#This Row],[NOMBRE]],'RESUMEN CLIENTES'!A:A,'RESUMEN CLIENTES'!X:X)</f>
        <v>0.8</v>
      </c>
      <c r="F1318" s="72">
        <f>+_xlfn.XLOOKUP(Tabla6[[#This Row],[ID CLIENTE]],'RESUMEN CLIENTES'!D:D,'RESUMEN CLIENTES'!W:W)</f>
        <v>1</v>
      </c>
      <c r="G1318" s="17">
        <v>46147</v>
      </c>
      <c r="H1318" s="44" t="s">
        <v>81</v>
      </c>
      <c r="I1318" s="2">
        <v>800</v>
      </c>
      <c r="J1318"/>
      <c r="K1318"/>
      <c r="L1318" s="44" t="str" cm="1">
        <f t="array" ref="L1318">+_xlfn.IFS(COUNTIF(INGRESOS!E:E,Tabla6[[#This Row],[ID FACTURA]])=1,"PAGADA",Tabla6[[#This Row],[ID FACTURA]]&lt;&gt;0,"EMITIDA",Tabla6[[#This Row],[ID FACTURA]]=0,"POR EMITIR")</f>
        <v>POR EMITIR</v>
      </c>
      <c r="M1318" s="55" t="str">
        <f>+IF(Tabla6[[#This Row],[ESTADO FACTURA]]="PAGADA",Tabla6[[#This Row],[FECHA]]-_xlfn.XLOOKUP(Tabla6[[#This Row],[N° FACTURA]],INGRESOS!F:F,INGRESOS!A:A),"-")</f>
        <v>-</v>
      </c>
      <c r="N1318" s="2"/>
      <c r="O1318"/>
    </row>
    <row r="1319" spans="1:15" ht="14.75" customHeight="1">
      <c r="A1319" s="320" t="s">
        <v>281</v>
      </c>
      <c r="B1319" t="str">
        <f>+_xlfn.XLOOKUP(Tabla6[[#This Row],[ID CLIENTE]],'RESUMEN CLIENTES'!D:D,'RESUMEN CLIENTES'!A:A)</f>
        <v>Sergio Francisco Garcia Sandoval</v>
      </c>
      <c r="C1319" t="str">
        <f>+_xlfn.XLOOKUP(Tabla6[[#This Row],[ID CLIENTE]],'RESUMEN CLIENTES'!D:D,'RESUMEN CLIENTES'!C:C)</f>
        <v>Perú</v>
      </c>
      <c r="D1319" s="44" t="str">
        <f>+_xlfn.XLOOKUP(Tabla6[[#This Row],[ID CLIENTE]],'RESUMEN CLIENTES'!D:D,'RESUMEN CLIENTES'!M:M)</f>
        <v>OK</v>
      </c>
      <c r="E1319" s="72">
        <f>+_xlfn.XLOOKUP(Tabla6[[#This Row],[NOMBRE]],'RESUMEN CLIENTES'!A:A,'RESUMEN CLIENTES'!X:X)</f>
        <v>0.88888888888888884</v>
      </c>
      <c r="F1319" s="72">
        <f>+_xlfn.XLOOKUP(Tabla6[[#This Row],[ID CLIENTE]],'RESUMEN CLIENTES'!D:D,'RESUMEN CLIENTES'!W:W)</f>
        <v>1</v>
      </c>
      <c r="G1319" s="17">
        <v>46147</v>
      </c>
      <c r="H1319" s="44" t="s">
        <v>81</v>
      </c>
      <c r="I1319" s="2">
        <v>350</v>
      </c>
      <c r="J1319"/>
      <c r="K1319"/>
      <c r="L1319" s="44" t="str" cm="1">
        <f t="array" ref="L1319">+_xlfn.IFS(COUNTIF(INGRESOS!E:E,Tabla6[[#This Row],[ID FACTURA]])=1,"PAGADA",Tabla6[[#This Row],[ID FACTURA]]&lt;&gt;0,"EMITIDA",Tabla6[[#This Row],[ID FACTURA]]=0,"POR EMITIR")</f>
        <v>POR EMITIR</v>
      </c>
      <c r="M1319" s="55" t="str">
        <f>+IF(Tabla6[[#This Row],[ESTADO FACTURA]]="PAGADA",Tabla6[[#This Row],[FECHA]]-_xlfn.XLOOKUP(Tabla6[[#This Row],[N° FACTURA]],INGRESOS!F:F,INGRESOS!A:A),"-")</f>
        <v>-</v>
      </c>
      <c r="N1319" s="2"/>
      <c r="O1319"/>
    </row>
    <row r="1320" spans="1:15" ht="14.75" customHeight="1">
      <c r="A1320" s="320" t="s">
        <v>112</v>
      </c>
      <c r="B1320" t="str">
        <f>+_xlfn.XLOOKUP(Tabla6[[#This Row],[ID CLIENTE]],'RESUMEN CLIENTES'!D:D,'RESUMEN CLIENTES'!A:A)</f>
        <v>Victor Emanuel Hernández Ruíz</v>
      </c>
      <c r="C1320" t="str">
        <f>+_xlfn.XLOOKUP(Tabla6[[#This Row],[ID CLIENTE]],'RESUMEN CLIENTES'!D:D,'RESUMEN CLIENTES'!C:C)</f>
        <v>México</v>
      </c>
      <c r="D1320" s="44" t="str">
        <f>+_xlfn.XLOOKUP(Tabla6[[#This Row],[ID CLIENTE]],'RESUMEN CLIENTES'!D:D,'RESUMEN CLIENTES'!M:M)</f>
        <v>OK</v>
      </c>
      <c r="E1320" s="72">
        <f>+_xlfn.XLOOKUP(Tabla6[[#This Row],[NOMBRE]],'RESUMEN CLIENTES'!A:A,'RESUMEN CLIENTES'!X:X)</f>
        <v>-1.2727272727272727</v>
      </c>
      <c r="F1320" s="72">
        <f>+_xlfn.XLOOKUP(Tabla6[[#This Row],[ID CLIENTE]],'RESUMEN CLIENTES'!D:D,'RESUMEN CLIENTES'!W:W)</f>
        <v>1</v>
      </c>
      <c r="G1320" s="17">
        <v>46147</v>
      </c>
      <c r="H1320" s="44" t="s">
        <v>81</v>
      </c>
      <c r="I1320" s="2">
        <v>800</v>
      </c>
      <c r="J1320"/>
      <c r="K1320"/>
      <c r="L1320" s="44" t="str" cm="1">
        <f t="array" ref="L1320">+_xlfn.IFS(COUNTIF(INGRESOS!E:E,Tabla6[[#This Row],[ID FACTURA]])=1,"PAGADA",Tabla6[[#This Row],[ID FACTURA]]&lt;&gt;0,"EMITIDA",Tabla6[[#This Row],[ID FACTURA]]=0,"POR EMITIR")</f>
        <v>POR EMITIR</v>
      </c>
      <c r="M1320" s="55" t="str">
        <f>+IF(Tabla6[[#This Row],[ESTADO FACTURA]]="PAGADA",Tabla6[[#This Row],[FECHA]]-_xlfn.XLOOKUP(Tabla6[[#This Row],[N° FACTURA]],INGRESOS!F:F,INGRESOS!A:A),"-")</f>
        <v>-</v>
      </c>
      <c r="N1320" s="2"/>
      <c r="O1320"/>
    </row>
    <row r="1321" spans="1:15" ht="14.75" customHeight="1">
      <c r="A1321" s="320" t="s">
        <v>6696</v>
      </c>
      <c r="B1321" t="str">
        <f>+_xlfn.XLOOKUP(Tabla6[[#This Row],[ID CLIENTE]],'RESUMEN CLIENTES'!D:D,'RESUMEN CLIENTES'!A:A)</f>
        <v>Stiben Lopez Vargas</v>
      </c>
      <c r="C1321" s="15" t="str">
        <f>+_xlfn.XLOOKUP(Tabla6[[#This Row],[ID CLIENTE]],'RESUMEN CLIENTES'!D:D,'RESUMEN CLIENTES'!C:C)</f>
        <v>Colombia</v>
      </c>
      <c r="D1321" s="169" t="str">
        <f>+_xlfn.XLOOKUP(Tabla6[[#This Row],[ID CLIENTE]],'RESUMEN CLIENTES'!D:D,'RESUMEN CLIENTES'!M:M)</f>
        <v xml:space="preserve">TRASPASAR </v>
      </c>
      <c r="E1321" s="71">
        <f>+_xlfn.XLOOKUP(Tabla6[[#This Row],[NOMBRE]],'RESUMEN CLIENTES'!A:A,'RESUMEN CLIENTES'!X:X)</f>
        <v>58</v>
      </c>
      <c r="F1321" s="71">
        <f>+_xlfn.XLOOKUP(Tabla6[[#This Row],[ID CLIENTE]],'RESUMEN CLIENTES'!D:D,'RESUMEN CLIENTES'!W:W)</f>
        <v>0</v>
      </c>
      <c r="G1321" s="17">
        <v>46147</v>
      </c>
      <c r="H1321" s="169" t="s">
        <v>81</v>
      </c>
      <c r="I1321" s="2">
        <v>1714</v>
      </c>
      <c r="J1321"/>
      <c r="K1321"/>
      <c r="L1321" s="44" t="str" cm="1">
        <f t="array" ref="L1321">+_xlfn.IFS(COUNTIF(INGRESOS!E:E,Tabla6[[#This Row],[ID FACTURA]])=1,"PAGADA",Tabla6[[#This Row],[ID FACTURA]]&lt;&gt;0,"EMITIDA",Tabla6[[#This Row],[ID FACTURA]]=0,"POR EMITIR")</f>
        <v>POR EMITIR</v>
      </c>
      <c r="M1321" s="54" t="str">
        <f>+IF(Tabla6[[#This Row],[ESTADO FACTURA]]="PAGADA",Tabla6[[#This Row],[FECHA]]-_xlfn.XLOOKUP(Tabla6[[#This Row],[N° FACTURA]],INGRESOS!F:F,INGRESOS!A:A),"-")</f>
        <v>-</v>
      </c>
      <c r="O1321"/>
    </row>
    <row r="1322" spans="1:15" ht="14.75" customHeight="1">
      <c r="A1322" s="320" t="s">
        <v>907</v>
      </c>
      <c r="B1322" t="str">
        <f>+_xlfn.XLOOKUP(Tabla6[[#This Row],[ID CLIENTE]],'RESUMEN CLIENTES'!D:D,'RESUMEN CLIENTES'!A:A)</f>
        <v>Luis Carlos Villa Cortés</v>
      </c>
      <c r="C1322" t="str">
        <f>+_xlfn.XLOOKUP(Tabla6[[#This Row],[ID CLIENTE]],'RESUMEN CLIENTES'!D:D,'RESUMEN CLIENTES'!C:C)</f>
        <v>México</v>
      </c>
      <c r="D1322" s="44" t="str">
        <f>+_xlfn.XLOOKUP(Tabla6[[#This Row],[ID CLIENTE]],'RESUMEN CLIENTES'!D:D,'RESUMEN CLIENTES'!M:M)</f>
        <v>OK</v>
      </c>
      <c r="E1322" s="72">
        <f>+_xlfn.XLOOKUP(Tabla6[[#This Row],[NOMBRE]],'RESUMEN CLIENTES'!A:A,'RESUMEN CLIENTES'!X:X)</f>
        <v>0</v>
      </c>
      <c r="F1322" s="72">
        <f>+_xlfn.XLOOKUP(Tabla6[[#This Row],[ID CLIENTE]],'RESUMEN CLIENTES'!D:D,'RESUMEN CLIENTES'!W:W)</f>
        <v>1</v>
      </c>
      <c r="G1322" s="17">
        <v>46148</v>
      </c>
      <c r="H1322" s="44" t="s">
        <v>81</v>
      </c>
      <c r="I1322" s="2">
        <v>1000</v>
      </c>
      <c r="J1322"/>
      <c r="K1322"/>
      <c r="L1322" s="44" t="str" cm="1">
        <f t="array" ref="L1322">+_xlfn.IFS(COUNTIF(INGRESOS!E:E,Tabla6[[#This Row],[ID FACTURA]])=1,"PAGADA",Tabla6[[#This Row],[ID FACTURA]]&lt;&gt;0,"EMITIDA",Tabla6[[#This Row],[ID FACTURA]]=0,"POR EMITIR")</f>
        <v>POR EMITIR</v>
      </c>
      <c r="M1322" s="55" t="str">
        <f>+IF(Tabla6[[#This Row],[ESTADO FACTURA]]="PAGADA",Tabla6[[#This Row],[FECHA]]-_xlfn.XLOOKUP(Tabla6[[#This Row],[N° FACTURA]],INGRESOS!F:F,INGRESOS!A:A),"-")</f>
        <v>-</v>
      </c>
      <c r="N1322" s="2"/>
      <c r="O1322"/>
    </row>
    <row r="1323" spans="1:15" ht="14.75" customHeight="1">
      <c r="A1323" s="320" t="s">
        <v>1152</v>
      </c>
      <c r="B1323" t="str">
        <f>+_xlfn.XLOOKUP(Tabla6[[#This Row],[ID CLIENTE]],'RESUMEN CLIENTES'!D:D,'RESUMEN CLIENTES'!A:A)</f>
        <v>Ricardo Ernesto Miño Valencia</v>
      </c>
      <c r="C1323" t="str">
        <f>+_xlfn.XLOOKUP(Tabla6[[#This Row],[ID CLIENTE]],'RESUMEN CLIENTES'!D:D,'RESUMEN CLIENTES'!C:C)</f>
        <v>Ecuador</v>
      </c>
      <c r="D1323" s="44" t="str">
        <f>+_xlfn.XLOOKUP(Tabla6[[#This Row],[ID CLIENTE]],'RESUMEN CLIENTES'!D:D,'RESUMEN CLIENTES'!M:M)</f>
        <v>OK</v>
      </c>
      <c r="E1323" s="72">
        <f>+_xlfn.XLOOKUP(Tabla6[[#This Row],[NOMBRE]],'RESUMEN CLIENTES'!A:A,'RESUMEN CLIENTES'!X:X)</f>
        <v>-3.2</v>
      </c>
      <c r="F1323" s="72">
        <f>+_xlfn.XLOOKUP(Tabla6[[#This Row],[ID CLIENTE]],'RESUMEN CLIENTES'!D:D,'RESUMEN CLIENTES'!W:W)</f>
        <v>1</v>
      </c>
      <c r="G1323" s="17">
        <v>46148</v>
      </c>
      <c r="H1323" s="44" t="s">
        <v>81</v>
      </c>
      <c r="I1323" s="2">
        <v>700</v>
      </c>
      <c r="J1323"/>
      <c r="K1323"/>
      <c r="L1323" s="44" t="str" cm="1">
        <f t="array" ref="L1323">+_xlfn.IFS(COUNTIF(INGRESOS!E:E,Tabla6[[#This Row],[ID FACTURA]])=1,"PAGADA",Tabla6[[#This Row],[ID FACTURA]]&lt;&gt;0,"EMITIDA",Tabla6[[#This Row],[ID FACTURA]]=0,"POR EMITIR")</f>
        <v>POR EMITIR</v>
      </c>
      <c r="M1323" s="55" t="str">
        <f>+IF(Tabla6[[#This Row],[ESTADO FACTURA]]="PAGADA",Tabla6[[#This Row],[FECHA]]-_xlfn.XLOOKUP(Tabla6[[#This Row],[N° FACTURA]],INGRESOS!F:F,INGRESOS!A:A),"-")</f>
        <v>-</v>
      </c>
      <c r="N1323" s="2"/>
      <c r="O1323"/>
    </row>
    <row r="1324" spans="1:15" ht="14.75" customHeight="1">
      <c r="A1324" s="320" t="s">
        <v>6696</v>
      </c>
      <c r="B1324" t="str">
        <f>+_xlfn.XLOOKUP(Tabla6[[#This Row],[ID CLIENTE]],'RESUMEN CLIENTES'!D:D,'RESUMEN CLIENTES'!A:A)</f>
        <v>Stiben Lopez Vargas</v>
      </c>
      <c r="C1324" s="15" t="str">
        <f>+_xlfn.XLOOKUP(Tabla6[[#This Row],[ID CLIENTE]],'RESUMEN CLIENTES'!D:D,'RESUMEN CLIENTES'!C:C)</f>
        <v>Colombia</v>
      </c>
      <c r="D1324" s="169" t="str">
        <f>+_xlfn.XLOOKUP(Tabla6[[#This Row],[ID CLIENTE]],'RESUMEN CLIENTES'!D:D,'RESUMEN CLIENTES'!M:M)</f>
        <v xml:space="preserve">TRASPASAR </v>
      </c>
      <c r="E1324" s="71">
        <f>+_xlfn.XLOOKUP(Tabla6[[#This Row],[NOMBRE]],'RESUMEN CLIENTES'!A:A,'RESUMEN CLIENTES'!X:X)</f>
        <v>58</v>
      </c>
      <c r="F1324" s="71">
        <f>+_xlfn.XLOOKUP(Tabla6[[#This Row],[ID CLIENTE]],'RESUMEN CLIENTES'!D:D,'RESUMEN CLIENTES'!W:W)</f>
        <v>0</v>
      </c>
      <c r="G1324" s="17">
        <v>46148</v>
      </c>
      <c r="H1324" s="169" t="s">
        <v>81</v>
      </c>
      <c r="I1324" s="2">
        <v>1714</v>
      </c>
      <c r="J1324"/>
      <c r="K1324"/>
      <c r="L1324" s="44" t="str" cm="1">
        <f t="array" ref="L1324">+_xlfn.IFS(COUNTIF(INGRESOS!E:E,Tabla6[[#This Row],[ID FACTURA]])=1,"PAGADA",Tabla6[[#This Row],[ID FACTURA]]&lt;&gt;0,"EMITIDA",Tabla6[[#This Row],[ID FACTURA]]=0,"POR EMITIR")</f>
        <v>POR EMITIR</v>
      </c>
      <c r="M1324" s="54" t="str">
        <f>+IF(Tabla6[[#This Row],[ESTADO FACTURA]]="PAGADA",Tabla6[[#This Row],[FECHA]]-_xlfn.XLOOKUP(Tabla6[[#This Row],[N° FACTURA]],INGRESOS!F:F,INGRESOS!A:A),"-")</f>
        <v>-</v>
      </c>
      <c r="O1324"/>
    </row>
    <row r="1325" spans="1:15" ht="14.75" customHeight="1">
      <c r="A1325" s="320" t="s">
        <v>6696</v>
      </c>
      <c r="B1325" t="str">
        <f>+_xlfn.XLOOKUP(Tabla6[[#This Row],[ID CLIENTE]],'RESUMEN CLIENTES'!D:D,'RESUMEN CLIENTES'!A:A)</f>
        <v>Stiben Lopez Vargas</v>
      </c>
      <c r="C1325" s="15" t="str">
        <f>+_xlfn.XLOOKUP(Tabla6[[#This Row],[ID CLIENTE]],'RESUMEN CLIENTES'!D:D,'RESUMEN CLIENTES'!C:C)</f>
        <v>Colombia</v>
      </c>
      <c r="D1325" s="169" t="str">
        <f>+_xlfn.XLOOKUP(Tabla6[[#This Row],[ID CLIENTE]],'RESUMEN CLIENTES'!D:D,'RESUMEN CLIENTES'!M:M)</f>
        <v xml:space="preserve">TRASPASAR </v>
      </c>
      <c r="E1325" s="71">
        <f>+_xlfn.XLOOKUP(Tabla6[[#This Row],[NOMBRE]],'RESUMEN CLIENTES'!A:A,'RESUMEN CLIENTES'!X:X)</f>
        <v>58</v>
      </c>
      <c r="F1325" s="71">
        <f>+_xlfn.XLOOKUP(Tabla6[[#This Row],[ID CLIENTE]],'RESUMEN CLIENTES'!D:D,'RESUMEN CLIENTES'!W:W)</f>
        <v>0</v>
      </c>
      <c r="G1325" s="17">
        <v>46149</v>
      </c>
      <c r="H1325" s="169" t="s">
        <v>81</v>
      </c>
      <c r="I1325" s="2">
        <v>1714</v>
      </c>
      <c r="J1325"/>
      <c r="K1325"/>
      <c r="L1325" s="44" t="str" cm="1">
        <f t="array" ref="L1325">+_xlfn.IFS(COUNTIF(INGRESOS!E:E,Tabla6[[#This Row],[ID FACTURA]])=1,"PAGADA",Tabla6[[#This Row],[ID FACTURA]]&lt;&gt;0,"EMITIDA",Tabla6[[#This Row],[ID FACTURA]]=0,"POR EMITIR")</f>
        <v>POR EMITIR</v>
      </c>
      <c r="M1325" s="54" t="str">
        <f>+IF(Tabla6[[#This Row],[ESTADO FACTURA]]="PAGADA",Tabla6[[#This Row],[FECHA]]-_xlfn.XLOOKUP(Tabla6[[#This Row],[N° FACTURA]],INGRESOS!F:F,INGRESOS!A:A),"-")</f>
        <v>-</v>
      </c>
      <c r="O1325"/>
    </row>
    <row r="1326" spans="1:15" ht="14.75" customHeight="1">
      <c r="A1326" s="320" t="s">
        <v>6696</v>
      </c>
      <c r="B1326" t="str">
        <f>+_xlfn.XLOOKUP(Tabla6[[#This Row],[ID CLIENTE]],'RESUMEN CLIENTES'!D:D,'RESUMEN CLIENTES'!A:A)</f>
        <v>Stiben Lopez Vargas</v>
      </c>
      <c r="C1326" s="15" t="str">
        <f>+_xlfn.XLOOKUP(Tabla6[[#This Row],[ID CLIENTE]],'RESUMEN CLIENTES'!D:D,'RESUMEN CLIENTES'!C:C)</f>
        <v>Colombia</v>
      </c>
      <c r="D1326" s="169" t="str">
        <f>+_xlfn.XLOOKUP(Tabla6[[#This Row],[ID CLIENTE]],'RESUMEN CLIENTES'!D:D,'RESUMEN CLIENTES'!M:M)</f>
        <v xml:space="preserve">TRASPASAR </v>
      </c>
      <c r="E1326" s="71">
        <f>+_xlfn.XLOOKUP(Tabla6[[#This Row],[NOMBRE]],'RESUMEN CLIENTES'!A:A,'RESUMEN CLIENTES'!X:X)</f>
        <v>58</v>
      </c>
      <c r="F1326" s="71">
        <f>+_xlfn.XLOOKUP(Tabla6[[#This Row],[ID CLIENTE]],'RESUMEN CLIENTES'!D:D,'RESUMEN CLIENTES'!W:W)</f>
        <v>0</v>
      </c>
      <c r="G1326" s="17">
        <v>46150</v>
      </c>
      <c r="H1326" s="169" t="s">
        <v>81</v>
      </c>
      <c r="I1326" s="2">
        <v>1714</v>
      </c>
      <c r="J1326"/>
      <c r="K1326"/>
      <c r="L1326" s="44" t="str" cm="1">
        <f t="array" ref="L1326">+_xlfn.IFS(COUNTIF(INGRESOS!E:E,Tabla6[[#This Row],[ID FACTURA]])=1,"PAGADA",Tabla6[[#This Row],[ID FACTURA]]&lt;&gt;0,"EMITIDA",Tabla6[[#This Row],[ID FACTURA]]=0,"POR EMITIR")</f>
        <v>POR EMITIR</v>
      </c>
      <c r="M1326" s="54" t="str">
        <f>+IF(Tabla6[[#This Row],[ESTADO FACTURA]]="PAGADA",Tabla6[[#This Row],[FECHA]]-_xlfn.XLOOKUP(Tabla6[[#This Row],[N° FACTURA]],INGRESOS!F:F,INGRESOS!A:A),"-")</f>
        <v>-</v>
      </c>
      <c r="O1326"/>
    </row>
    <row r="1327" spans="1:15" ht="14.75" customHeight="1">
      <c r="A1327" s="320" t="s">
        <v>1645</v>
      </c>
      <c r="B1327" t="str">
        <f>+_xlfn.XLOOKUP(Tabla6[[#This Row],[ID CLIENTE]],'RESUMEN CLIENTES'!D:D,'RESUMEN CLIENTES'!A:A)</f>
        <v>Gerardo Abel Palacios Preciado</v>
      </c>
      <c r="C1327" t="str">
        <f>+_xlfn.XLOOKUP(Tabla6[[#This Row],[ID CLIENTE]],'RESUMEN CLIENTES'!D:D,'RESUMEN CLIENTES'!C:C)</f>
        <v>México</v>
      </c>
      <c r="D1327" s="169" t="str">
        <f>+_xlfn.XLOOKUP(Tabla6[[#This Row],[ID CLIENTE]],'RESUMEN CLIENTES'!D:D,'RESUMEN CLIENTES'!M:M)</f>
        <v>OK</v>
      </c>
      <c r="E1327" s="71">
        <f>+_xlfn.XLOOKUP(Tabla6[[#This Row],[NOMBRE]],'RESUMEN CLIENTES'!A:A,'RESUMEN CLIENTES'!X:X)</f>
        <v>-1.3333333333333333</v>
      </c>
      <c r="F1327" s="71">
        <f>+_xlfn.XLOOKUP(Tabla6[[#This Row],[ID CLIENTE]],'RESUMEN CLIENTES'!D:D,'RESUMEN CLIENTES'!W:W)</f>
        <v>1</v>
      </c>
      <c r="G1327" s="17">
        <v>46151</v>
      </c>
      <c r="H1327" s="169" t="s">
        <v>81</v>
      </c>
      <c r="I1327" s="2">
        <v>650</v>
      </c>
      <c r="J1327"/>
      <c r="K1327"/>
      <c r="L1327" s="44" t="str" cm="1">
        <f t="array" ref="L1327">+_xlfn.IFS(COUNTIF(INGRESOS!E:E,Tabla6[[#This Row],[ID FACTURA]])=1,"PAGADA",Tabla6[[#This Row],[ID FACTURA]]&lt;&gt;0,"EMITIDA",Tabla6[[#This Row],[ID FACTURA]]=0,"POR EMITIR")</f>
        <v>POR EMITIR</v>
      </c>
      <c r="M1327" s="55" t="str">
        <f>+IF(Tabla6[[#This Row],[ESTADO FACTURA]]="PAGADA",Tabla6[[#This Row],[FECHA]]-_xlfn.XLOOKUP(Tabla6[[#This Row],[N° FACTURA]],INGRESOS!F:F,INGRESOS!A:A),"-")</f>
        <v>-</v>
      </c>
      <c r="N1327" s="2"/>
      <c r="O1327"/>
    </row>
    <row r="1328" spans="1:15" ht="14.75" customHeight="1">
      <c r="A1328" s="320" t="s">
        <v>6696</v>
      </c>
      <c r="B1328" t="str">
        <f>+_xlfn.XLOOKUP(Tabla6[[#This Row],[ID CLIENTE]],'RESUMEN CLIENTES'!D:D,'RESUMEN CLIENTES'!A:A)</f>
        <v>Stiben Lopez Vargas</v>
      </c>
      <c r="C1328" s="15" t="str">
        <f>+_xlfn.XLOOKUP(Tabla6[[#This Row],[ID CLIENTE]],'RESUMEN CLIENTES'!D:D,'RESUMEN CLIENTES'!C:C)</f>
        <v>Colombia</v>
      </c>
      <c r="D1328" s="169" t="str">
        <f>+_xlfn.XLOOKUP(Tabla6[[#This Row],[ID CLIENTE]],'RESUMEN CLIENTES'!D:D,'RESUMEN CLIENTES'!M:M)</f>
        <v xml:space="preserve">TRASPASAR </v>
      </c>
      <c r="E1328" s="71">
        <f>+_xlfn.XLOOKUP(Tabla6[[#This Row],[NOMBRE]],'RESUMEN CLIENTES'!A:A,'RESUMEN CLIENTES'!X:X)</f>
        <v>58</v>
      </c>
      <c r="F1328" s="71">
        <f>+_xlfn.XLOOKUP(Tabla6[[#This Row],[ID CLIENTE]],'RESUMEN CLIENTES'!D:D,'RESUMEN CLIENTES'!W:W)</f>
        <v>0</v>
      </c>
      <c r="G1328" s="17">
        <v>46151</v>
      </c>
      <c r="H1328" s="169" t="s">
        <v>81</v>
      </c>
      <c r="I1328" s="2">
        <v>1714</v>
      </c>
      <c r="J1328"/>
      <c r="K1328"/>
      <c r="L1328" s="44" t="str" cm="1">
        <f t="array" ref="L1328">+_xlfn.IFS(COUNTIF(INGRESOS!E:E,Tabla6[[#This Row],[ID FACTURA]])=1,"PAGADA",Tabla6[[#This Row],[ID FACTURA]]&lt;&gt;0,"EMITIDA",Tabla6[[#This Row],[ID FACTURA]]=0,"POR EMITIR")</f>
        <v>POR EMITIR</v>
      </c>
      <c r="M1328" s="54" t="str">
        <f>+IF(Tabla6[[#This Row],[ESTADO FACTURA]]="PAGADA",Tabla6[[#This Row],[FECHA]]-_xlfn.XLOOKUP(Tabla6[[#This Row],[N° FACTURA]],INGRESOS!F:F,INGRESOS!A:A),"-")</f>
        <v>-</v>
      </c>
      <c r="O1328"/>
    </row>
    <row r="1329" spans="1:15" ht="14.75" customHeight="1">
      <c r="A1329" s="321" t="s">
        <v>367</v>
      </c>
      <c r="B1329" t="str">
        <f>+_xlfn.XLOOKUP(Tabla6[[#This Row],[ID CLIENTE]],'RESUMEN CLIENTES'!D:D,'RESUMEN CLIENTES'!A:A)</f>
        <v>José Miguel Undurraga Saavedra</v>
      </c>
      <c r="C1329" t="str">
        <f>+_xlfn.XLOOKUP(Tabla6[[#This Row],[ID CLIENTE]],'RESUMEN CLIENTES'!D:D,'RESUMEN CLIENTES'!C:C)</f>
        <v>Chile</v>
      </c>
      <c r="D1329" s="169" t="str">
        <f>+_xlfn.XLOOKUP(Tabla6[[#This Row],[ID CLIENTE]],'RESUMEN CLIENTES'!D:D,'RESUMEN CLIENTES'!M:M)</f>
        <v>OK</v>
      </c>
      <c r="E1329" s="71">
        <f>+_xlfn.XLOOKUP(Tabla6[[#This Row],[NOMBRE]],'RESUMEN CLIENTES'!A:A,'RESUMEN CLIENTES'!X:X)</f>
        <v>-11.5</v>
      </c>
      <c r="F1329" s="71">
        <f>+_xlfn.XLOOKUP(Tabla6[[#This Row],[ID CLIENTE]],'RESUMEN CLIENTES'!D:D,'RESUMEN CLIENTES'!W:W)</f>
        <v>0</v>
      </c>
      <c r="G1329" s="17">
        <v>46152</v>
      </c>
      <c r="H1329" s="169" t="s">
        <v>81</v>
      </c>
      <c r="I1329" s="2">
        <v>100</v>
      </c>
      <c r="J1329"/>
      <c r="K1329"/>
      <c r="L1329" s="44" t="str" cm="1">
        <f t="array" ref="L1329">+_xlfn.IFS(COUNTIF(INGRESOS!E:E,Tabla6[[#This Row],[ID FACTURA]])=1,"PAGADA",Tabla6[[#This Row],[ID FACTURA]]&lt;&gt;0,"EMITIDA",Tabla6[[#This Row],[ID FACTURA]]=0,"POR EMITIR")</f>
        <v>POR EMITIR</v>
      </c>
      <c r="M1329" s="54" t="str">
        <f>+IF(Tabla6[[#This Row],[ESTADO FACTURA]]="PAGADA",Tabla6[[#This Row],[FECHA]]-_xlfn.XLOOKUP(Tabla6[[#This Row],[N° FACTURA]],INGRESOS!F:F,INGRESOS!A:A),"-")</f>
        <v>-</v>
      </c>
      <c r="O1329"/>
    </row>
    <row r="1330" spans="1:15" ht="14.75" customHeight="1">
      <c r="A1330" s="320" t="s">
        <v>455</v>
      </c>
      <c r="B1330" t="str">
        <f>+_xlfn.XLOOKUP(Tabla6[[#This Row],[ID CLIENTE]],'RESUMEN CLIENTES'!D:D,'RESUMEN CLIENTES'!A:A)</f>
        <v>Paola Hitos</v>
      </c>
      <c r="C1330" t="str">
        <f>+_xlfn.XLOOKUP(Tabla6[[#This Row],[ID CLIENTE]],'RESUMEN CLIENTES'!D:D,'RESUMEN CLIENTES'!C:C)</f>
        <v>México</v>
      </c>
      <c r="D1330" s="44" t="str">
        <f>+_xlfn.XLOOKUP(Tabla6[[#This Row],[ID CLIENTE]],'RESUMEN CLIENTES'!D:D,'RESUMEN CLIENTES'!M:M)</f>
        <v>OK</v>
      </c>
      <c r="E1330" s="72">
        <f>+_xlfn.XLOOKUP(Tabla6[[#This Row],[NOMBRE]],'RESUMEN CLIENTES'!A:A,'RESUMEN CLIENTES'!X:X)</f>
        <v>-0.55555555555555558</v>
      </c>
      <c r="F1330" s="72">
        <f>+_xlfn.XLOOKUP(Tabla6[[#This Row],[ID CLIENTE]],'RESUMEN CLIENTES'!D:D,'RESUMEN CLIENTES'!W:W)</f>
        <v>1</v>
      </c>
      <c r="G1330" s="17">
        <v>46152</v>
      </c>
      <c r="H1330" s="44" t="s">
        <v>81</v>
      </c>
      <c r="I1330" s="2">
        <v>1000</v>
      </c>
      <c r="J1330"/>
      <c r="K1330"/>
      <c r="L1330" s="44" t="str" cm="1">
        <f t="array" ref="L1330">+_xlfn.IFS(COUNTIF(INGRESOS!E:E,Tabla6[[#This Row],[ID FACTURA]])=1,"PAGADA",Tabla6[[#This Row],[ID FACTURA]]&lt;&gt;0,"EMITIDA",Tabla6[[#This Row],[ID FACTURA]]=0,"POR EMITIR")</f>
        <v>POR EMITIR</v>
      </c>
      <c r="M1330" s="55" t="str">
        <f>+IF(Tabla6[[#This Row],[ESTADO FACTURA]]="PAGADA",Tabla6[[#This Row],[FECHA]]-_xlfn.XLOOKUP(Tabla6[[#This Row],[N° FACTURA]],INGRESOS!F:F,INGRESOS!A:A),"-")</f>
        <v>-</v>
      </c>
      <c r="N1330" s="2"/>
      <c r="O1330"/>
    </row>
    <row r="1331" spans="1:15" ht="14.75" customHeight="1">
      <c r="A1331" s="320" t="s">
        <v>6696</v>
      </c>
      <c r="B1331" t="str">
        <f>+_xlfn.XLOOKUP(Tabla6[[#This Row],[ID CLIENTE]],'RESUMEN CLIENTES'!D:D,'RESUMEN CLIENTES'!A:A)</f>
        <v>Stiben Lopez Vargas</v>
      </c>
      <c r="C1331" s="15" t="str">
        <f>+_xlfn.XLOOKUP(Tabla6[[#This Row],[ID CLIENTE]],'RESUMEN CLIENTES'!D:D,'RESUMEN CLIENTES'!C:C)</f>
        <v>Colombia</v>
      </c>
      <c r="D1331" s="169" t="str">
        <f>+_xlfn.XLOOKUP(Tabla6[[#This Row],[ID CLIENTE]],'RESUMEN CLIENTES'!D:D,'RESUMEN CLIENTES'!M:M)</f>
        <v xml:space="preserve">TRASPASAR </v>
      </c>
      <c r="E1331" s="71">
        <f>+_xlfn.XLOOKUP(Tabla6[[#This Row],[NOMBRE]],'RESUMEN CLIENTES'!A:A,'RESUMEN CLIENTES'!X:X)</f>
        <v>58</v>
      </c>
      <c r="F1331" s="71">
        <f>+_xlfn.XLOOKUP(Tabla6[[#This Row],[ID CLIENTE]],'RESUMEN CLIENTES'!D:D,'RESUMEN CLIENTES'!W:W)</f>
        <v>0</v>
      </c>
      <c r="G1331" s="17">
        <v>46152</v>
      </c>
      <c r="H1331" s="169" t="s">
        <v>81</v>
      </c>
      <c r="I1331" s="2">
        <v>1716</v>
      </c>
      <c r="J1331"/>
      <c r="K1331"/>
      <c r="L1331" s="44" t="str" cm="1">
        <f t="array" ref="L1331">+_xlfn.IFS(COUNTIF(INGRESOS!E:E,Tabla6[[#This Row],[ID FACTURA]])=1,"PAGADA",Tabla6[[#This Row],[ID FACTURA]]&lt;&gt;0,"EMITIDA",Tabla6[[#This Row],[ID FACTURA]]=0,"POR EMITIR")</f>
        <v>POR EMITIR</v>
      </c>
      <c r="M1331" s="54" t="str">
        <f>+IF(Tabla6[[#This Row],[ESTADO FACTURA]]="PAGADA",Tabla6[[#This Row],[FECHA]]-_xlfn.XLOOKUP(Tabla6[[#This Row],[N° FACTURA]],INGRESOS!F:F,INGRESOS!A:A),"-")</f>
        <v>-</v>
      </c>
      <c r="O1331"/>
    </row>
    <row r="1332" spans="1:15" ht="14.75" customHeight="1">
      <c r="A1332" s="320" t="s">
        <v>501</v>
      </c>
      <c r="B1332" t="str">
        <f>+_xlfn.XLOOKUP(Tabla6[[#This Row],[ID CLIENTE]],'RESUMEN CLIENTES'!D:D,'RESUMEN CLIENTES'!A:A)</f>
        <v>Kimberly Chantelle Frey Arteaga</v>
      </c>
      <c r="C1332" t="str">
        <f>+_xlfn.XLOOKUP(Tabla6[[#This Row],[ID CLIENTE]],'RESUMEN CLIENTES'!D:D,'RESUMEN CLIENTES'!C:C)</f>
        <v>México</v>
      </c>
      <c r="D1332" s="44" t="str">
        <f>+_xlfn.XLOOKUP(Tabla6[[#This Row],[ID CLIENTE]],'RESUMEN CLIENTES'!D:D,'RESUMEN CLIENTES'!M:M)</f>
        <v>OK</v>
      </c>
      <c r="E1332" s="72">
        <f>+_xlfn.XLOOKUP(Tabla6[[#This Row],[NOMBRE]],'RESUMEN CLIENTES'!A:A,'RESUMEN CLIENTES'!X:X)</f>
        <v>0</v>
      </c>
      <c r="F1332" s="72">
        <f>+_xlfn.XLOOKUP(Tabla6[[#This Row],[ID CLIENTE]],'RESUMEN CLIENTES'!D:D,'RESUMEN CLIENTES'!W:W)</f>
        <v>1</v>
      </c>
      <c r="G1332" s="17">
        <v>46154</v>
      </c>
      <c r="H1332" s="44" t="s">
        <v>81</v>
      </c>
      <c r="I1332" s="2">
        <v>1000</v>
      </c>
      <c r="J1332"/>
      <c r="K1332"/>
      <c r="L1332" s="44" t="str" cm="1">
        <f t="array" ref="L1332">+_xlfn.IFS(COUNTIF(INGRESOS!E:E,Tabla6[[#This Row],[ID FACTURA]])=1,"PAGADA",Tabla6[[#This Row],[ID FACTURA]]&lt;&gt;0,"EMITIDA",Tabla6[[#This Row],[ID FACTURA]]=0,"POR EMITIR")</f>
        <v>POR EMITIR</v>
      </c>
      <c r="M1332" s="55" t="str">
        <f>+IF(Tabla6[[#This Row],[ESTADO FACTURA]]="PAGADA",Tabla6[[#This Row],[FECHA]]-_xlfn.XLOOKUP(Tabla6[[#This Row],[N° FACTURA]],INGRESOS!F:F,INGRESOS!A:A),"-")</f>
        <v>-</v>
      </c>
      <c r="N1332" s="2"/>
      <c r="O1332"/>
    </row>
    <row r="1333" spans="1:15" ht="14.75" customHeight="1">
      <c r="A1333" s="320" t="s">
        <v>187</v>
      </c>
      <c r="B1333" t="str">
        <f>+_xlfn.XLOOKUP(Tabla6[[#This Row],[ID CLIENTE]],'RESUMEN CLIENTES'!D:D,'RESUMEN CLIENTES'!A:A)</f>
        <v>Alina Maria Cervantes Real</v>
      </c>
      <c r="C1333" t="str">
        <f>+_xlfn.XLOOKUP(Tabla6[[#This Row],[ID CLIENTE]],'RESUMEN CLIENTES'!D:D,'RESUMEN CLIENTES'!C:C)</f>
        <v>México</v>
      </c>
      <c r="D1333" s="44" t="str">
        <f>+_xlfn.XLOOKUP(Tabla6[[#This Row],[ID CLIENTE]],'RESUMEN CLIENTES'!D:D,'RESUMEN CLIENTES'!M:M)</f>
        <v>OK</v>
      </c>
      <c r="E1333" s="72">
        <f>+_xlfn.XLOOKUP(Tabla6[[#This Row],[NOMBRE]],'RESUMEN CLIENTES'!A:A,'RESUMEN CLIENTES'!X:X)</f>
        <v>21.583333333333332</v>
      </c>
      <c r="F1333" s="72">
        <f>+_xlfn.XLOOKUP(Tabla6[[#This Row],[ID CLIENTE]],'RESUMEN CLIENTES'!D:D,'RESUMEN CLIENTES'!W:W)</f>
        <v>1</v>
      </c>
      <c r="G1333" s="17">
        <v>46157</v>
      </c>
      <c r="H1333" s="44" t="s">
        <v>81</v>
      </c>
      <c r="I1333" s="2">
        <v>850</v>
      </c>
      <c r="J1333"/>
      <c r="K1333"/>
      <c r="L1333" s="44" t="str" cm="1">
        <f t="array" ref="L1333">+_xlfn.IFS(COUNTIF(INGRESOS!E:E,Tabla6[[#This Row],[ID FACTURA]])=1,"PAGADA",Tabla6[[#This Row],[ID FACTURA]]&lt;&gt;0,"EMITIDA",Tabla6[[#This Row],[ID FACTURA]]=0,"POR EMITIR")</f>
        <v>POR EMITIR</v>
      </c>
      <c r="M1333" s="55" t="str">
        <f>+IF(Tabla6[[#This Row],[ESTADO FACTURA]]="PAGADA",Tabla6[[#This Row],[FECHA]]-_xlfn.XLOOKUP(Tabla6[[#This Row],[N° FACTURA]],INGRESOS!F:F,INGRESOS!A:A),"-")</f>
        <v>-</v>
      </c>
      <c r="N1333" s="2"/>
      <c r="O1333"/>
    </row>
    <row r="1334" spans="1:15" ht="14.75" customHeight="1">
      <c r="A1334" s="320" t="s">
        <v>325</v>
      </c>
      <c r="B1334" t="str">
        <f>+_xlfn.XLOOKUP(Tabla6[[#This Row],[ID CLIENTE]],'RESUMEN CLIENTES'!D:D,'RESUMEN CLIENTES'!A:A)</f>
        <v>Andrea Cristina Estrada Morocho</v>
      </c>
      <c r="C1334" t="str">
        <f>+_xlfn.XLOOKUP(Tabla6[[#This Row],[ID CLIENTE]],'RESUMEN CLIENTES'!D:D,'RESUMEN CLIENTES'!C:C)</f>
        <v>Ecuador</v>
      </c>
      <c r="D1334" s="44" t="str">
        <f>+_xlfn.XLOOKUP(Tabla6[[#This Row],[ID CLIENTE]],'RESUMEN CLIENTES'!D:D,'RESUMEN CLIENTES'!M:M)</f>
        <v>OK</v>
      </c>
      <c r="E1334" s="72">
        <f>+_xlfn.XLOOKUP(Tabla6[[#This Row],[NOMBRE]],'RESUMEN CLIENTES'!A:A,'RESUMEN CLIENTES'!X:X)</f>
        <v>-3.6666666666666665</v>
      </c>
      <c r="F1334" s="72">
        <f>+_xlfn.XLOOKUP(Tabla6[[#This Row],[ID CLIENTE]],'RESUMEN CLIENTES'!D:D,'RESUMEN CLIENTES'!W:W)</f>
        <v>1</v>
      </c>
      <c r="G1334" s="17">
        <v>46157</v>
      </c>
      <c r="H1334" s="44" t="s">
        <v>81</v>
      </c>
      <c r="I1334" s="2">
        <v>500</v>
      </c>
      <c r="J1334"/>
      <c r="K1334"/>
      <c r="L1334" s="44" t="str" cm="1">
        <f t="array" ref="L1334">+_xlfn.IFS(COUNTIF(INGRESOS!E:E,Tabla6[[#This Row],[ID FACTURA]])=1,"PAGADA",Tabla6[[#This Row],[ID FACTURA]]&lt;&gt;0,"EMITIDA",Tabla6[[#This Row],[ID FACTURA]]=0,"POR EMITIR")</f>
        <v>POR EMITIR</v>
      </c>
      <c r="M1334" s="55" t="str">
        <f>+IF(Tabla6[[#This Row],[ESTADO FACTURA]]="PAGADA",Tabla6[[#This Row],[FECHA]]-_xlfn.XLOOKUP(Tabla6[[#This Row],[N° FACTURA]],INGRESOS!F:F,INGRESOS!A:A),"-")</f>
        <v>-</v>
      </c>
      <c r="N1334" s="2"/>
      <c r="O1334"/>
    </row>
    <row r="1335" spans="1:15" ht="14.75" customHeight="1">
      <c r="A1335" s="320" t="s">
        <v>4768</v>
      </c>
      <c r="B1335" t="str">
        <f>+_xlfn.XLOOKUP(Tabla6[[#This Row],[ID CLIENTE]],'RESUMEN CLIENTES'!D:D,'RESUMEN CLIENTES'!A:A)</f>
        <v>Carla Elena Patínez Rondón</v>
      </c>
      <c r="C1335" s="15" t="str">
        <f>+_xlfn.XLOOKUP(Tabla6[[#This Row],[ID CLIENTE]],'RESUMEN CLIENTES'!D:D,'RESUMEN CLIENTES'!C:C)</f>
        <v>Venezuela</v>
      </c>
      <c r="D1335" s="169" t="str">
        <f>+_xlfn.XLOOKUP(Tabla6[[#This Row],[ID CLIENTE]],'RESUMEN CLIENTES'!D:D,'RESUMEN CLIENTES'!M:M)</f>
        <v>OK</v>
      </c>
      <c r="E1335" s="71">
        <f>+_xlfn.XLOOKUP(Tabla6[[#This Row],[NOMBRE]],'RESUMEN CLIENTES'!A:A,'RESUMEN CLIENTES'!X:X)</f>
        <v>-9</v>
      </c>
      <c r="F1335" s="71">
        <f>+_xlfn.XLOOKUP(Tabla6[[#This Row],[ID CLIENTE]],'RESUMEN CLIENTES'!D:D,'RESUMEN CLIENTES'!W:W)</f>
        <v>0</v>
      </c>
      <c r="G1335" s="17">
        <v>46157</v>
      </c>
      <c r="H1335" s="169" t="s">
        <v>81</v>
      </c>
      <c r="I1335" s="2">
        <v>1000</v>
      </c>
      <c r="J1335"/>
      <c r="K1335"/>
      <c r="L1335" s="44" t="str" cm="1">
        <f t="array" ref="L1335">+_xlfn.IFS(COUNTIF(INGRESOS!E:E,Tabla6[[#This Row],[ID FACTURA]])=1,"PAGADA",Tabla6[[#This Row],[ID FACTURA]]&lt;&gt;0,"EMITIDA",Tabla6[[#This Row],[ID FACTURA]]=0,"POR EMITIR")</f>
        <v>POR EMITIR</v>
      </c>
      <c r="M1335" s="54" t="str">
        <f>+IF(Tabla6[[#This Row],[ESTADO FACTURA]]="PAGADA",Tabla6[[#This Row],[FECHA]]-_xlfn.XLOOKUP(Tabla6[[#This Row],[N° FACTURA]],INGRESOS!F:F,INGRESOS!A:A),"-")</f>
        <v>-</v>
      </c>
      <c r="O1335"/>
    </row>
    <row r="1336" spans="1:15" ht="14.75" customHeight="1">
      <c r="A1336" s="320" t="s">
        <v>751</v>
      </c>
      <c r="B1336" t="str">
        <f>+_xlfn.XLOOKUP(Tabla6[[#This Row],[ID CLIENTE]],'RESUMEN CLIENTES'!D:D,'RESUMEN CLIENTES'!A:A)</f>
        <v>Carlos Alberto Suarez Hernandez</v>
      </c>
      <c r="C1336" t="str">
        <f>+_xlfn.XLOOKUP(Tabla6[[#This Row],[ID CLIENTE]],'RESUMEN CLIENTES'!D:D,'RESUMEN CLIENTES'!C:C)</f>
        <v>Colombia</v>
      </c>
      <c r="D1336" s="44" t="str">
        <f>+_xlfn.XLOOKUP(Tabla6[[#This Row],[ID CLIENTE]],'RESUMEN CLIENTES'!D:D,'RESUMEN CLIENTES'!M:M)</f>
        <v>OK</v>
      </c>
      <c r="E1336" s="72">
        <f>+_xlfn.XLOOKUP(Tabla6[[#This Row],[NOMBRE]],'RESUMEN CLIENTES'!A:A,'RESUMEN CLIENTES'!X:X)</f>
        <v>0</v>
      </c>
      <c r="F1336" s="72">
        <f>+_xlfn.XLOOKUP(Tabla6[[#This Row],[ID CLIENTE]],'RESUMEN CLIENTES'!D:D,'RESUMEN CLIENTES'!W:W)</f>
        <v>1</v>
      </c>
      <c r="G1336" s="17">
        <v>46157</v>
      </c>
      <c r="H1336" s="44" t="s">
        <v>81</v>
      </c>
      <c r="I1336" s="2">
        <v>1000</v>
      </c>
      <c r="J1336"/>
      <c r="K1336"/>
      <c r="L1336" s="44" t="str" cm="1">
        <f t="array" ref="L1336">+_xlfn.IFS(COUNTIF(INGRESOS!E:E,Tabla6[[#This Row],[ID FACTURA]])=1,"PAGADA",Tabla6[[#This Row],[ID FACTURA]]&lt;&gt;0,"EMITIDA",Tabla6[[#This Row],[ID FACTURA]]=0,"POR EMITIR")</f>
        <v>POR EMITIR</v>
      </c>
      <c r="M1336" s="55" t="str">
        <f>+IF(Tabla6[[#This Row],[ESTADO FACTURA]]="PAGADA",Tabla6[[#This Row],[FECHA]]-_xlfn.XLOOKUP(Tabla6[[#This Row],[N° FACTURA]],INGRESOS!F:F,INGRESOS!A:A),"-")</f>
        <v>-</v>
      </c>
      <c r="N1336" s="2"/>
      <c r="O1336"/>
    </row>
    <row r="1337" spans="1:15" ht="14.75" customHeight="1">
      <c r="A1337" s="320" t="s">
        <v>90</v>
      </c>
      <c r="B1337" t="str">
        <f>+_xlfn.XLOOKUP(Tabla6[[#This Row],[ID CLIENTE]],'RESUMEN CLIENTES'!D:D,'RESUMEN CLIENTES'!A:A)</f>
        <v>David Enrique Díaz Mejía</v>
      </c>
      <c r="C1337" t="str">
        <f>+_xlfn.XLOOKUP(Tabla6[[#This Row],[ID CLIENTE]],'RESUMEN CLIENTES'!D:D,'RESUMEN CLIENTES'!C:C)</f>
        <v>Honduras</v>
      </c>
      <c r="D1337" s="44" t="str">
        <f>+_xlfn.XLOOKUP(Tabla6[[#This Row],[ID CLIENTE]],'RESUMEN CLIENTES'!D:D,'RESUMEN CLIENTES'!M:M)</f>
        <v>OK</v>
      </c>
      <c r="E1337" s="72">
        <f>+_xlfn.XLOOKUP(Tabla6[[#This Row],[NOMBRE]],'RESUMEN CLIENTES'!A:A,'RESUMEN CLIENTES'!X:X)</f>
        <v>-15.217592592592862</v>
      </c>
      <c r="F1337" s="72">
        <f>+_xlfn.XLOOKUP(Tabla6[[#This Row],[ID CLIENTE]],'RESUMEN CLIENTES'!D:D,'RESUMEN CLIENTES'!W:W)</f>
        <v>1</v>
      </c>
      <c r="G1337" s="17">
        <v>46157</v>
      </c>
      <c r="H1337" s="44" t="s">
        <v>81</v>
      </c>
      <c r="I1337" s="2">
        <v>500</v>
      </c>
      <c r="J1337"/>
      <c r="K1337"/>
      <c r="L1337" s="44" t="str" cm="1">
        <f t="array" ref="L1337">+_xlfn.IFS(COUNTIF(INGRESOS!E:E,Tabla6[[#This Row],[ID FACTURA]])=1,"PAGADA",Tabla6[[#This Row],[ID FACTURA]]&lt;&gt;0,"EMITIDA",Tabla6[[#This Row],[ID FACTURA]]=0,"POR EMITIR")</f>
        <v>POR EMITIR</v>
      </c>
      <c r="M1337" s="55" t="str">
        <f>+IF(Tabla6[[#This Row],[ESTADO FACTURA]]="PAGADA",Tabla6[[#This Row],[FECHA]]-_xlfn.XLOOKUP(Tabla6[[#This Row],[N° FACTURA]],INGRESOS!F:F,INGRESOS!A:A),"-")</f>
        <v>-</v>
      </c>
      <c r="N1337" s="2"/>
      <c r="O1337"/>
    </row>
    <row r="1338" spans="1:15" ht="14.75" customHeight="1">
      <c r="A1338" s="320" t="s">
        <v>1945</v>
      </c>
      <c r="B1338" t="str">
        <f>+_xlfn.XLOOKUP(Tabla6[[#This Row],[ID CLIENTE]],'RESUMEN CLIENTES'!D:D,'RESUMEN CLIENTES'!A:A)</f>
        <v>Fernanda Constanza Kompai Antu Arellano Guzmán</v>
      </c>
      <c r="C1338" t="str">
        <f>+_xlfn.XLOOKUP(Tabla6[[#This Row],[ID CLIENTE]],'RESUMEN CLIENTES'!D:D,'RESUMEN CLIENTES'!C:C)</f>
        <v>Chile</v>
      </c>
      <c r="D1338" s="169" t="str">
        <f>+_xlfn.XLOOKUP(Tabla6[[#This Row],[ID CLIENTE]],'RESUMEN CLIENTES'!D:D,'RESUMEN CLIENTES'!M:M)</f>
        <v>OK</v>
      </c>
      <c r="E1338" s="71">
        <f>+_xlfn.XLOOKUP(Tabla6[[#This Row],[NOMBRE]],'RESUMEN CLIENTES'!A:A,'RESUMEN CLIENTES'!X:X)</f>
        <v>0</v>
      </c>
      <c r="F1338" s="71">
        <f>+_xlfn.XLOOKUP(Tabla6[[#This Row],[ID CLIENTE]],'RESUMEN CLIENTES'!D:D,'RESUMEN CLIENTES'!W:W)</f>
        <v>0</v>
      </c>
      <c r="G1338" s="170">
        <v>46157</v>
      </c>
      <c r="H1338" s="170" t="s">
        <v>81</v>
      </c>
      <c r="I1338" s="2">
        <v>650</v>
      </c>
      <c r="J1338"/>
      <c r="K1338"/>
      <c r="L1338" s="44" t="str" cm="1">
        <f t="array" ref="L1338">+_xlfn.IFS(COUNTIF(INGRESOS!E:E,Tabla6[[#This Row],[ID FACTURA]])=1,"PAGADA",Tabla6[[#This Row],[ID FACTURA]]&lt;&gt;0,"EMITIDA",Tabla6[[#This Row],[ID FACTURA]]=0,"POR EMITIR")</f>
        <v>POR EMITIR</v>
      </c>
      <c r="M1338" s="54" t="str">
        <f>+IF(Tabla6[[#This Row],[ESTADO FACTURA]]="PAGADA",Tabla6[[#This Row],[FECHA]]-_xlfn.XLOOKUP(Tabla6[[#This Row],[N° FACTURA]],INGRESOS!F:F,INGRESOS!A:A),"-")</f>
        <v>-</v>
      </c>
      <c r="O1338"/>
    </row>
    <row r="1339" spans="1:15" ht="14.75" customHeight="1">
      <c r="A1339" s="320" t="s">
        <v>95</v>
      </c>
      <c r="B1339" t="str">
        <f>+_xlfn.XLOOKUP(Tabla6[[#This Row],[ID CLIENTE]],'RESUMEN CLIENTES'!D:D,'RESUMEN CLIENTES'!A:A)</f>
        <v>Gabriel Alejandro Ortega Moreno</v>
      </c>
      <c r="C1339" t="str">
        <f>+_xlfn.XLOOKUP(Tabla6[[#This Row],[ID CLIENTE]],'RESUMEN CLIENTES'!D:D,'RESUMEN CLIENTES'!C:C)</f>
        <v>Ecuador</v>
      </c>
      <c r="D1339" s="44" t="str">
        <f>+_xlfn.XLOOKUP(Tabla6[[#This Row],[ID CLIENTE]],'RESUMEN CLIENTES'!D:D,'RESUMEN CLIENTES'!M:M)</f>
        <v>OK</v>
      </c>
      <c r="E1339" s="72">
        <f>+_xlfn.XLOOKUP(Tabla6[[#This Row],[NOMBRE]],'RESUMEN CLIENTES'!A:A,'RESUMEN CLIENTES'!X:X)</f>
        <v>-0.1111111111111111</v>
      </c>
      <c r="F1339" s="72">
        <f>+_xlfn.XLOOKUP(Tabla6[[#This Row],[ID CLIENTE]],'RESUMEN CLIENTES'!D:D,'RESUMEN CLIENTES'!W:W)</f>
        <v>0</v>
      </c>
      <c r="G1339" s="17">
        <v>46157</v>
      </c>
      <c r="H1339" s="44" t="s">
        <v>81</v>
      </c>
      <c r="I1339" s="2">
        <v>600</v>
      </c>
      <c r="J1339"/>
      <c r="K1339"/>
      <c r="L1339" s="44" t="str" cm="1">
        <f t="array" ref="L1339">+_xlfn.IFS(COUNTIF(INGRESOS!E:E,Tabla6[[#This Row],[ID FACTURA]])=1,"PAGADA",Tabla6[[#This Row],[ID FACTURA]]&lt;&gt;0,"EMITIDA",Tabla6[[#This Row],[ID FACTURA]]=0,"POR EMITIR")</f>
        <v>POR EMITIR</v>
      </c>
      <c r="M1339" s="55" t="str">
        <f>+IF(Tabla6[[#This Row],[ESTADO FACTURA]]="PAGADA",Tabla6[[#This Row],[FECHA]]-_xlfn.XLOOKUP(Tabla6[[#This Row],[N° FACTURA]],INGRESOS!F:F,INGRESOS!A:A),"-")</f>
        <v>-</v>
      </c>
      <c r="N1339" s="2"/>
      <c r="O1339"/>
    </row>
    <row r="1340" spans="1:15" ht="14.75" customHeight="1">
      <c r="A1340" s="320" t="s">
        <v>98</v>
      </c>
      <c r="B1340" t="str">
        <f>+_xlfn.XLOOKUP(Tabla6[[#This Row],[ID CLIENTE]],'RESUMEN CLIENTES'!D:D,'RESUMEN CLIENTES'!A:A)</f>
        <v>Gabriela Kimberlyn Moran Caiza</v>
      </c>
      <c r="C1340" t="str">
        <f>+_xlfn.XLOOKUP(Tabla6[[#This Row],[ID CLIENTE]],'RESUMEN CLIENTES'!D:D,'RESUMEN CLIENTES'!C:C)</f>
        <v>Ecuador</v>
      </c>
      <c r="D1340" s="44" t="str">
        <f>+_xlfn.XLOOKUP(Tabla6[[#This Row],[ID CLIENTE]],'RESUMEN CLIENTES'!D:D,'RESUMEN CLIENTES'!M:M)</f>
        <v>OK</v>
      </c>
      <c r="E1340" s="72">
        <f>+_xlfn.XLOOKUP(Tabla6[[#This Row],[NOMBRE]],'RESUMEN CLIENTES'!A:A,'RESUMEN CLIENTES'!X:X)</f>
        <v>-1.25</v>
      </c>
      <c r="F1340" s="72">
        <f>+_xlfn.XLOOKUP(Tabla6[[#This Row],[ID CLIENTE]],'RESUMEN CLIENTES'!D:D,'RESUMEN CLIENTES'!W:W)</f>
        <v>0</v>
      </c>
      <c r="G1340" s="17">
        <v>46157</v>
      </c>
      <c r="H1340" s="44" t="s">
        <v>81</v>
      </c>
      <c r="I1340" s="2">
        <v>300</v>
      </c>
      <c r="J1340"/>
      <c r="K1340"/>
      <c r="L1340" s="44" t="str" cm="1">
        <f t="array" ref="L1340">+_xlfn.IFS(COUNTIF(INGRESOS!E:E,Tabla6[[#This Row],[ID FACTURA]])=1,"PAGADA",Tabla6[[#This Row],[ID FACTURA]]&lt;&gt;0,"EMITIDA",Tabla6[[#This Row],[ID FACTURA]]=0,"POR EMITIR")</f>
        <v>POR EMITIR</v>
      </c>
      <c r="M1340" s="55" t="str">
        <f>+IF(Tabla6[[#This Row],[ESTADO FACTURA]]="PAGADA",Tabla6[[#This Row],[FECHA]]-_xlfn.XLOOKUP(Tabla6[[#This Row],[N° FACTURA]],INGRESOS!F:F,INGRESOS!A:A),"-")</f>
        <v>-</v>
      </c>
      <c r="N1340" s="2"/>
      <c r="O1340"/>
    </row>
    <row r="1341" spans="1:15" ht="14.75" customHeight="1">
      <c r="A1341" s="320" t="s">
        <v>103</v>
      </c>
      <c r="B1341" t="str">
        <f>+_xlfn.XLOOKUP(Tabla6[[#This Row],[ID CLIENTE]],'RESUMEN CLIENTES'!D:D,'RESUMEN CLIENTES'!A:A)</f>
        <v>Isaac Ricardo Jimenez Campos</v>
      </c>
      <c r="C1341" t="str">
        <f>+_xlfn.XLOOKUP(Tabla6[[#This Row],[ID CLIENTE]],'RESUMEN CLIENTES'!D:D,'RESUMEN CLIENTES'!C:C)</f>
        <v>México</v>
      </c>
      <c r="D1341" s="44" t="str">
        <f>+_xlfn.XLOOKUP(Tabla6[[#This Row],[ID CLIENTE]],'RESUMEN CLIENTES'!D:D,'RESUMEN CLIENTES'!M:M)</f>
        <v>OK</v>
      </c>
      <c r="E1341" s="72">
        <f>+_xlfn.XLOOKUP(Tabla6[[#This Row],[NOMBRE]],'RESUMEN CLIENTES'!A:A,'RESUMEN CLIENTES'!X:X)</f>
        <v>0.5</v>
      </c>
      <c r="F1341" s="72">
        <f>+_xlfn.XLOOKUP(Tabla6[[#This Row],[ID CLIENTE]],'RESUMEN CLIENTES'!D:D,'RESUMEN CLIENTES'!W:W)</f>
        <v>1</v>
      </c>
      <c r="G1341" s="17">
        <v>46157</v>
      </c>
      <c r="H1341" s="44" t="s">
        <v>81</v>
      </c>
      <c r="I1341" s="2">
        <v>654</v>
      </c>
      <c r="J1341"/>
      <c r="K1341"/>
      <c r="L1341" s="44" t="str" cm="1">
        <f t="array" ref="L1341">+_xlfn.IFS(COUNTIF(INGRESOS!E:E,Tabla6[[#This Row],[ID FACTURA]])=1,"PAGADA",Tabla6[[#This Row],[ID FACTURA]]&lt;&gt;0,"EMITIDA",Tabla6[[#This Row],[ID FACTURA]]=0,"POR EMITIR")</f>
        <v>POR EMITIR</v>
      </c>
      <c r="M1341" s="55" t="str">
        <f>+IF(Tabla6[[#This Row],[ESTADO FACTURA]]="PAGADA",Tabla6[[#This Row],[FECHA]]-_xlfn.XLOOKUP(Tabla6[[#This Row],[N° FACTURA]],INGRESOS!F:F,INGRESOS!A:A),"-")</f>
        <v>-</v>
      </c>
      <c r="N1341" s="2"/>
      <c r="O1341"/>
    </row>
    <row r="1342" spans="1:15" ht="14.75" customHeight="1">
      <c r="A1342" s="320" t="s">
        <v>362</v>
      </c>
      <c r="B1342" t="str">
        <f>+_xlfn.XLOOKUP(Tabla6[[#This Row],[ID CLIENTE]],'RESUMEN CLIENTES'!D:D,'RESUMEN CLIENTES'!A:A)</f>
        <v>Jessica Ayelén Culla Alvarez</v>
      </c>
      <c r="C1342" t="str">
        <f>+_xlfn.XLOOKUP(Tabla6[[#This Row],[ID CLIENTE]],'RESUMEN CLIENTES'!D:D,'RESUMEN CLIENTES'!C:C)</f>
        <v>Argentina</v>
      </c>
      <c r="D1342" s="44" t="str">
        <f>+_xlfn.XLOOKUP(Tabla6[[#This Row],[ID CLIENTE]],'RESUMEN CLIENTES'!D:D,'RESUMEN CLIENTES'!M:M)</f>
        <v>OK</v>
      </c>
      <c r="E1342" s="72">
        <f>+_xlfn.XLOOKUP(Tabla6[[#This Row],[NOMBRE]],'RESUMEN CLIENTES'!A:A,'RESUMEN CLIENTES'!X:X)</f>
        <v>-2.1538461538461537</v>
      </c>
      <c r="F1342" s="72">
        <f>+_xlfn.XLOOKUP(Tabla6[[#This Row],[ID CLIENTE]],'RESUMEN CLIENTES'!D:D,'RESUMEN CLIENTES'!W:W)</f>
        <v>1</v>
      </c>
      <c r="G1342" s="17">
        <v>46157</v>
      </c>
      <c r="H1342" s="44" t="s">
        <v>81</v>
      </c>
      <c r="I1342" s="2">
        <v>1000</v>
      </c>
      <c r="J1342"/>
      <c r="K1342"/>
      <c r="L1342" s="44" t="str" cm="1">
        <f t="array" ref="L1342">+_xlfn.IFS(COUNTIF(INGRESOS!E:E,Tabla6[[#This Row],[ID FACTURA]])=1,"PAGADA",Tabla6[[#This Row],[ID FACTURA]]&lt;&gt;0,"EMITIDA",Tabla6[[#This Row],[ID FACTURA]]=0,"POR EMITIR")</f>
        <v>POR EMITIR</v>
      </c>
      <c r="M1342" s="55" t="str">
        <f>+IF(Tabla6[[#This Row],[ESTADO FACTURA]]="PAGADA",Tabla6[[#This Row],[FECHA]]-_xlfn.XLOOKUP(Tabla6[[#This Row],[N° FACTURA]],INGRESOS!F:F,INGRESOS!A:A),"-")</f>
        <v>-</v>
      </c>
      <c r="N1342" s="2"/>
      <c r="O1342"/>
    </row>
    <row r="1343" spans="1:15" ht="14.75" customHeight="1">
      <c r="A1343" s="321" t="s">
        <v>1875</v>
      </c>
      <c r="B1343" t="str">
        <f>+_xlfn.XLOOKUP(Tabla6[[#This Row],[ID CLIENTE]],'RESUMEN CLIENTES'!D:D,'RESUMEN CLIENTES'!A:A)</f>
        <v>Laura Giraldo</v>
      </c>
      <c r="C1343" t="str">
        <f>+_xlfn.XLOOKUP(Tabla6[[#This Row],[ID CLIENTE]],'RESUMEN CLIENTES'!D:D,'RESUMEN CLIENTES'!C:C)</f>
        <v>Colombia</v>
      </c>
      <c r="D1343" s="169" t="str">
        <f>+_xlfn.XLOOKUP(Tabla6[[#This Row],[ID CLIENTE]],'RESUMEN CLIENTES'!D:D,'RESUMEN CLIENTES'!M:M)</f>
        <v>OK</v>
      </c>
      <c r="E1343" s="71">
        <f>+_xlfn.XLOOKUP(Tabla6[[#This Row],[NOMBRE]],'RESUMEN CLIENTES'!A:A,'RESUMEN CLIENTES'!X:X)</f>
        <v>-3.25</v>
      </c>
      <c r="F1343" s="71">
        <f>+_xlfn.XLOOKUP(Tabla6[[#This Row],[ID CLIENTE]],'RESUMEN CLIENTES'!D:D,'RESUMEN CLIENTES'!W:W)</f>
        <v>1</v>
      </c>
      <c r="G1343" s="17">
        <v>46157</v>
      </c>
      <c r="H1343" s="169" t="s">
        <v>1876</v>
      </c>
      <c r="I1343" s="2">
        <v>500</v>
      </c>
      <c r="J1343"/>
      <c r="K1343"/>
      <c r="L1343" s="44" t="str" cm="1">
        <f t="array" ref="L1343">+_xlfn.IFS(COUNTIF(INGRESOS!E:E,Tabla6[[#This Row],[ID FACTURA]])=1,"PAGADA",Tabla6[[#This Row],[ID FACTURA]]&lt;&gt;0,"EMITIDA",Tabla6[[#This Row],[ID FACTURA]]=0,"POR EMITIR")</f>
        <v>POR EMITIR</v>
      </c>
      <c r="M1343" s="54" t="str">
        <f>+IF(Tabla6[[#This Row],[ESTADO FACTURA]]="PAGADA",Tabla6[[#This Row],[FECHA]]-_xlfn.XLOOKUP(Tabla6[[#This Row],[N° FACTURA]],INGRESOS!F:F,INGRESOS!A:A),"-")</f>
        <v>-</v>
      </c>
      <c r="O1343"/>
    </row>
    <row r="1344" spans="1:15" ht="14.75" customHeight="1">
      <c r="A1344" s="320" t="s">
        <v>762</v>
      </c>
      <c r="B1344" t="str">
        <f>+_xlfn.XLOOKUP(Tabla6[[#This Row],[ID CLIENTE]],'RESUMEN CLIENTES'!D:D,'RESUMEN CLIENTES'!A:A)</f>
        <v>María Stefania Gelvez Olaya</v>
      </c>
      <c r="C1344" t="str">
        <f>+_xlfn.XLOOKUP(Tabla6[[#This Row],[ID CLIENTE]],'RESUMEN CLIENTES'!D:D,'RESUMEN CLIENTES'!C:C)</f>
        <v>Colombia</v>
      </c>
      <c r="D1344" s="44" t="str">
        <f>+_xlfn.XLOOKUP(Tabla6[[#This Row],[ID CLIENTE]],'RESUMEN CLIENTES'!D:D,'RESUMEN CLIENTES'!M:M)</f>
        <v>OK</v>
      </c>
      <c r="E1344" s="72">
        <f>+_xlfn.XLOOKUP(Tabla6[[#This Row],[NOMBRE]],'RESUMEN CLIENTES'!A:A,'RESUMEN CLIENTES'!X:X)</f>
        <v>-0.14285714285714285</v>
      </c>
      <c r="F1344" s="72">
        <f>+_xlfn.XLOOKUP(Tabla6[[#This Row],[ID CLIENTE]],'RESUMEN CLIENTES'!D:D,'RESUMEN CLIENTES'!W:W)</f>
        <v>1</v>
      </c>
      <c r="G1344" s="17">
        <v>46157</v>
      </c>
      <c r="H1344" s="44" t="s">
        <v>81</v>
      </c>
      <c r="I1344" s="2">
        <v>1000</v>
      </c>
      <c r="J1344"/>
      <c r="K1344"/>
      <c r="L1344" s="44" t="str" cm="1">
        <f t="array" ref="L1344">+_xlfn.IFS(COUNTIF(INGRESOS!E:E,Tabla6[[#This Row],[ID FACTURA]])=1,"PAGADA",Tabla6[[#This Row],[ID FACTURA]]&lt;&gt;0,"EMITIDA",Tabla6[[#This Row],[ID FACTURA]]=0,"POR EMITIR")</f>
        <v>POR EMITIR</v>
      </c>
      <c r="M1344" s="55" t="str">
        <f>+IF(Tabla6[[#This Row],[ESTADO FACTURA]]="PAGADA",Tabla6[[#This Row],[FECHA]]-_xlfn.XLOOKUP(Tabla6[[#This Row],[N° FACTURA]],INGRESOS!F:F,INGRESOS!A:A),"-")</f>
        <v>-</v>
      </c>
      <c r="N1344" s="2"/>
      <c r="O1344"/>
    </row>
    <row r="1345" spans="1:15" ht="14.75" customHeight="1">
      <c r="A1345" s="320" t="s">
        <v>242</v>
      </c>
      <c r="B1345" t="str">
        <f>+_xlfn.XLOOKUP(Tabla6[[#This Row],[ID CLIENTE]],'RESUMEN CLIENTES'!D:D,'RESUMEN CLIENTES'!A:A)</f>
        <v>Rodrigo Ignacio Rodriguez Frutos</v>
      </c>
      <c r="C1345" t="str">
        <f>+_xlfn.XLOOKUP(Tabla6[[#This Row],[ID CLIENTE]],'RESUMEN CLIENTES'!D:D,'RESUMEN CLIENTES'!C:C)</f>
        <v>México</v>
      </c>
      <c r="D1345" s="44" t="str">
        <f>+_xlfn.XLOOKUP(Tabla6[[#This Row],[ID CLIENTE]],'RESUMEN CLIENTES'!D:D,'RESUMEN CLIENTES'!M:M)</f>
        <v>OK</v>
      </c>
      <c r="E1345" s="72">
        <f>+_xlfn.XLOOKUP(Tabla6[[#This Row],[NOMBRE]],'RESUMEN CLIENTES'!A:A,'RESUMEN CLIENTES'!X:X)</f>
        <v>-1.4285714285714286</v>
      </c>
      <c r="F1345" s="72">
        <f>+_xlfn.XLOOKUP(Tabla6[[#This Row],[ID CLIENTE]],'RESUMEN CLIENTES'!D:D,'RESUMEN CLIENTES'!W:W)</f>
        <v>1</v>
      </c>
      <c r="G1345" s="17">
        <v>46157</v>
      </c>
      <c r="H1345" s="44" t="s">
        <v>81</v>
      </c>
      <c r="I1345" s="2">
        <v>630</v>
      </c>
      <c r="J1345"/>
      <c r="K1345"/>
      <c r="L1345" s="44" t="str" cm="1">
        <f t="array" ref="L1345">+_xlfn.IFS(COUNTIF(INGRESOS!E:E,Tabla6[[#This Row],[ID FACTURA]])=1,"PAGADA",Tabla6[[#This Row],[ID FACTURA]]&lt;&gt;0,"EMITIDA",Tabla6[[#This Row],[ID FACTURA]]=0,"POR EMITIR")</f>
        <v>POR EMITIR</v>
      </c>
      <c r="M1345" s="55" t="str">
        <f>+IF(Tabla6[[#This Row],[ESTADO FACTURA]]="PAGADA",Tabla6[[#This Row],[FECHA]]-_xlfn.XLOOKUP(Tabla6[[#This Row],[N° FACTURA]],INGRESOS!F:F,INGRESOS!A:A),"-")</f>
        <v>-</v>
      </c>
      <c r="N1345" s="2"/>
      <c r="O1345"/>
    </row>
    <row r="1346" spans="1:15" ht="14.75" customHeight="1">
      <c r="A1346" s="321" t="s">
        <v>1756</v>
      </c>
      <c r="B1346" t="str">
        <f>+_xlfn.XLOOKUP(Tabla6[[#This Row],[ID CLIENTE]],'RESUMEN CLIENTES'!D:D,'RESUMEN CLIENTES'!A:A)</f>
        <v>Aylin Micaela Ortiz Chiriboga</v>
      </c>
      <c r="C1346" t="str">
        <f>+_xlfn.XLOOKUP(Tabla6[[#This Row],[ID CLIENTE]],'RESUMEN CLIENTES'!D:D,'RESUMEN CLIENTES'!C:C)</f>
        <v>Ecuador</v>
      </c>
      <c r="D1346" s="169" t="str">
        <f>+_xlfn.XLOOKUP(Tabla6[[#This Row],[ID CLIENTE]],'RESUMEN CLIENTES'!D:D,'RESUMEN CLIENTES'!M:M)</f>
        <v>¡REGULARIZAR!</v>
      </c>
      <c r="E1346" s="71">
        <f>+_xlfn.XLOOKUP(Tabla6[[#This Row],[NOMBRE]],'RESUMEN CLIENTES'!A:A,'RESUMEN CLIENTES'!X:X)</f>
        <v>0</v>
      </c>
      <c r="F1346" s="71">
        <f>+_xlfn.XLOOKUP(Tabla6[[#This Row],[ID CLIENTE]],'RESUMEN CLIENTES'!D:D,'RESUMEN CLIENTES'!W:W)</f>
        <v>1</v>
      </c>
      <c r="G1346" s="170">
        <v>46158</v>
      </c>
      <c r="H1346" s="169" t="s">
        <v>81</v>
      </c>
      <c r="I1346" s="2">
        <v>650</v>
      </c>
      <c r="J1346"/>
      <c r="K1346"/>
      <c r="L1346" s="44" t="str" cm="1">
        <f t="array" ref="L1346">+_xlfn.IFS(COUNTIF(INGRESOS!E:E,Tabla6[[#This Row],[ID FACTURA]])=1,"PAGADA",Tabla6[[#This Row],[ID FACTURA]]&lt;&gt;0,"EMITIDA",Tabla6[[#This Row],[ID FACTURA]]=0,"POR EMITIR")</f>
        <v>POR EMITIR</v>
      </c>
      <c r="M1346" s="54" t="str">
        <f>+IF(Tabla6[[#This Row],[ESTADO FACTURA]]="PAGADA",Tabla6[[#This Row],[FECHA]]-_xlfn.XLOOKUP(Tabla6[[#This Row],[N° FACTURA]],INGRESOS!F:F,INGRESOS!A:A),"-")</f>
        <v>-</v>
      </c>
      <c r="O1346"/>
    </row>
    <row r="1347" spans="1:15" ht="14.75" customHeight="1">
      <c r="A1347" s="320" t="s">
        <v>1996</v>
      </c>
      <c r="B1347" t="str">
        <f>+_xlfn.XLOOKUP(Tabla6[[#This Row],[ID CLIENTE]],'RESUMEN CLIENTES'!D:D,'RESUMEN CLIENTES'!A:A)</f>
        <v>Ivan Gonzales Graus</v>
      </c>
      <c r="C1347" t="str">
        <f>+_xlfn.XLOOKUP(Tabla6[[#This Row],[ID CLIENTE]],'RESUMEN CLIENTES'!D:D,'RESUMEN CLIENTES'!C:C)</f>
        <v>Perú</v>
      </c>
      <c r="D1347" s="169" t="str">
        <f>+_xlfn.XLOOKUP(Tabla6[[#This Row],[ID CLIENTE]],'RESUMEN CLIENTES'!D:D,'RESUMEN CLIENTES'!M:M)</f>
        <v>OK</v>
      </c>
      <c r="E1347" s="71">
        <f>+_xlfn.XLOOKUP(Tabla6[[#This Row],[NOMBRE]],'RESUMEN CLIENTES'!A:A,'RESUMEN CLIENTES'!X:X)</f>
        <v>-2</v>
      </c>
      <c r="F1347" s="71">
        <f>+_xlfn.XLOOKUP(Tabla6[[#This Row],[ID CLIENTE]],'RESUMEN CLIENTES'!D:D,'RESUMEN CLIENTES'!W:W)</f>
        <v>1</v>
      </c>
      <c r="G1347" s="17">
        <v>46158</v>
      </c>
      <c r="H1347" s="169" t="s">
        <v>81</v>
      </c>
      <c r="I1347" s="2">
        <v>650</v>
      </c>
      <c r="J1347"/>
      <c r="K1347"/>
      <c r="L1347" s="44" t="str" cm="1">
        <f t="array" ref="L1347">+_xlfn.IFS(COUNTIF(INGRESOS!E:E,Tabla6[[#This Row],[ID FACTURA]])=1,"PAGADA",Tabla6[[#This Row],[ID FACTURA]]&lt;&gt;0,"EMITIDA",Tabla6[[#This Row],[ID FACTURA]]=0,"POR EMITIR")</f>
        <v>POR EMITIR</v>
      </c>
      <c r="M1347" s="54" t="str">
        <f>+IF(Tabla6[[#This Row],[ESTADO FACTURA]]="PAGADA",Tabla6[[#This Row],[FECHA]]-_xlfn.XLOOKUP(Tabla6[[#This Row],[N° FACTURA]],INGRESOS!F:F,INGRESOS!A:A),"-")</f>
        <v>-</v>
      </c>
      <c r="O1347"/>
    </row>
    <row r="1348" spans="1:15" ht="14.75" customHeight="1">
      <c r="A1348" s="320" t="s">
        <v>2046</v>
      </c>
      <c r="B1348" t="str">
        <f>+_xlfn.XLOOKUP(Tabla6[[#This Row],[ID CLIENTE]],'RESUMEN CLIENTES'!D:D,'RESUMEN CLIENTES'!A:A)</f>
        <v>Jesica Daniela Paredes Mendoza</v>
      </c>
      <c r="C1348" t="str">
        <f>+_xlfn.XLOOKUP(Tabla6[[#This Row],[ID CLIENTE]],'RESUMEN CLIENTES'!D:D,'RESUMEN CLIENTES'!C:C)</f>
        <v>México</v>
      </c>
      <c r="D1348" s="169" t="str">
        <f>+_xlfn.XLOOKUP(Tabla6[[#This Row],[ID CLIENTE]],'RESUMEN CLIENTES'!D:D,'RESUMEN CLIENTES'!M:M)</f>
        <v>OK</v>
      </c>
      <c r="E1348" s="71">
        <f>+_xlfn.XLOOKUP(Tabla6[[#This Row],[NOMBRE]],'RESUMEN CLIENTES'!A:A,'RESUMEN CLIENTES'!X:X)</f>
        <v>-2.75</v>
      </c>
      <c r="F1348" s="71">
        <f>+_xlfn.XLOOKUP(Tabla6[[#This Row],[ID CLIENTE]],'RESUMEN CLIENTES'!D:D,'RESUMEN CLIENTES'!W:W)</f>
        <v>1</v>
      </c>
      <c r="G1348" s="17">
        <v>46158</v>
      </c>
      <c r="H1348" s="169" t="s">
        <v>81</v>
      </c>
      <c r="I1348" s="2">
        <v>500</v>
      </c>
      <c r="J1348"/>
      <c r="K1348"/>
      <c r="L1348" s="44" t="str" cm="1">
        <f t="array" ref="L1348">+_xlfn.IFS(COUNTIF(INGRESOS!E:E,Tabla6[[#This Row],[ID FACTURA]])=1,"PAGADA",Tabla6[[#This Row],[ID FACTURA]]&lt;&gt;0,"EMITIDA",Tabla6[[#This Row],[ID FACTURA]]=0,"POR EMITIR")</f>
        <v>POR EMITIR</v>
      </c>
      <c r="M1348" s="54" t="str">
        <f>+IF(Tabla6[[#This Row],[ESTADO FACTURA]]="PAGADA",Tabla6[[#This Row],[FECHA]]-_xlfn.XLOOKUP(Tabla6[[#This Row],[N° FACTURA]],INGRESOS!F:F,INGRESOS!A:A),"-")</f>
        <v>-</v>
      </c>
      <c r="O1348"/>
    </row>
    <row r="1349" spans="1:15" ht="14.75" customHeight="1">
      <c r="A1349" s="320" t="s">
        <v>247</v>
      </c>
      <c r="B1349" t="str">
        <f>+_xlfn.XLOOKUP(Tabla6[[#This Row],[ID CLIENTE]],'RESUMEN CLIENTES'!D:D,'RESUMEN CLIENTES'!A:A)</f>
        <v>Nancy Gisselle Molinari Cheme</v>
      </c>
      <c r="C1349" t="str">
        <f>+_xlfn.XLOOKUP(Tabla6[[#This Row],[ID CLIENTE]],'RESUMEN CLIENTES'!D:D,'RESUMEN CLIENTES'!C:C)</f>
        <v>Perú</v>
      </c>
      <c r="D1349" s="44" t="str">
        <f>+_xlfn.XLOOKUP(Tabla6[[#This Row],[ID CLIENTE]],'RESUMEN CLIENTES'!D:D,'RESUMEN CLIENTES'!M:M)</f>
        <v>OK</v>
      </c>
      <c r="E1349" s="72">
        <f>+_xlfn.XLOOKUP(Tabla6[[#This Row],[NOMBRE]],'RESUMEN CLIENTES'!A:A,'RESUMEN CLIENTES'!X:X)</f>
        <v>0.9</v>
      </c>
      <c r="F1349" s="72">
        <f>+_xlfn.XLOOKUP(Tabla6[[#This Row],[ID CLIENTE]],'RESUMEN CLIENTES'!D:D,'RESUMEN CLIENTES'!W:W)</f>
        <v>1</v>
      </c>
      <c r="G1349" s="17">
        <v>46160</v>
      </c>
      <c r="H1349" s="44" t="s">
        <v>81</v>
      </c>
      <c r="I1349" s="2">
        <v>4000</v>
      </c>
      <c r="J1349"/>
      <c r="K1349"/>
      <c r="L1349" s="44" t="str" cm="1">
        <f t="array" ref="L1349">+_xlfn.IFS(COUNTIF(INGRESOS!E:E,Tabla6[[#This Row],[ID FACTURA]])=1,"PAGADA",Tabla6[[#This Row],[ID FACTURA]]&lt;&gt;0,"EMITIDA",Tabla6[[#This Row],[ID FACTURA]]=0,"POR EMITIR")</f>
        <v>POR EMITIR</v>
      </c>
      <c r="M1349" s="55" t="str">
        <f>+IF(Tabla6[[#This Row],[ESTADO FACTURA]]="PAGADA",Tabla6[[#This Row],[FECHA]]-_xlfn.XLOOKUP(Tabla6[[#This Row],[N° FACTURA]],INGRESOS!F:F,INGRESOS!A:A),"-")</f>
        <v>-</v>
      </c>
      <c r="N1349" s="2"/>
      <c r="O1349"/>
    </row>
    <row r="1350" spans="1:15" ht="14.75" customHeight="1">
      <c r="A1350" s="320" t="s">
        <v>1001</v>
      </c>
      <c r="B1350" t="str">
        <f>+_xlfn.XLOOKUP(Tabla6[[#This Row],[ID CLIENTE]],'RESUMEN CLIENTES'!D:D,'RESUMEN CLIENTES'!A:A)</f>
        <v>Karenn Yadira Tavera Lara</v>
      </c>
      <c r="C1350" t="str">
        <f>+_xlfn.XLOOKUP(Tabla6[[#This Row],[ID CLIENTE]],'RESUMEN CLIENTES'!D:D,'RESUMEN CLIENTES'!C:C)</f>
        <v>México</v>
      </c>
      <c r="D1350" s="44" t="str">
        <f>+_xlfn.XLOOKUP(Tabla6[[#This Row],[ID CLIENTE]],'RESUMEN CLIENTES'!D:D,'RESUMEN CLIENTES'!M:M)</f>
        <v>OK</v>
      </c>
      <c r="E1350" s="72">
        <f>+_xlfn.XLOOKUP(Tabla6[[#This Row],[NOMBRE]],'RESUMEN CLIENTES'!A:A,'RESUMEN CLIENTES'!X:X)</f>
        <v>1.5</v>
      </c>
      <c r="F1350" s="72">
        <f>+_xlfn.XLOOKUP(Tabla6[[#This Row],[ID CLIENTE]],'RESUMEN CLIENTES'!D:D,'RESUMEN CLIENTES'!W:W)</f>
        <v>1</v>
      </c>
      <c r="G1350" s="17">
        <v>46161</v>
      </c>
      <c r="H1350" s="44" t="s">
        <v>81</v>
      </c>
      <c r="I1350" s="2">
        <v>1000</v>
      </c>
      <c r="J1350"/>
      <c r="K1350"/>
      <c r="L1350" s="44" t="str" cm="1">
        <f t="array" ref="L1350">+_xlfn.IFS(COUNTIF(INGRESOS!E:E,Tabla6[[#This Row],[ID FACTURA]])=1,"PAGADA",Tabla6[[#This Row],[ID FACTURA]]&lt;&gt;0,"EMITIDA",Tabla6[[#This Row],[ID FACTURA]]=0,"POR EMITIR")</f>
        <v>POR EMITIR</v>
      </c>
      <c r="M1350" s="55" t="str">
        <f>+IF(Tabla6[[#This Row],[ESTADO FACTURA]]="PAGADA",Tabla6[[#This Row],[FECHA]]-_xlfn.XLOOKUP(Tabla6[[#This Row],[N° FACTURA]],INGRESOS!F:F,INGRESOS!A:A),"-")</f>
        <v>-</v>
      </c>
      <c r="N1350" s="2"/>
      <c r="O1350"/>
    </row>
    <row r="1351" spans="1:15" ht="14.75" customHeight="1">
      <c r="A1351" s="320" t="s">
        <v>574</v>
      </c>
      <c r="B1351" t="str">
        <f>+_xlfn.XLOOKUP(Tabla6[[#This Row],[ID CLIENTE]],'RESUMEN CLIENTES'!D:D,'RESUMEN CLIENTES'!A:A)</f>
        <v>Astrid Mariam Enamorado Ortega</v>
      </c>
      <c r="C1351" t="str">
        <f>+_xlfn.XLOOKUP(Tabla6[[#This Row],[ID CLIENTE]],'RESUMEN CLIENTES'!D:D,'RESUMEN CLIENTES'!C:C)</f>
        <v>Honduras</v>
      </c>
      <c r="D1351" s="44" t="str">
        <f>+_xlfn.XLOOKUP(Tabla6[[#This Row],[ID CLIENTE]],'RESUMEN CLIENTES'!D:D,'RESUMEN CLIENTES'!M:M)</f>
        <v>OK</v>
      </c>
      <c r="E1351" s="71">
        <f>+_xlfn.XLOOKUP(Tabla6[[#This Row],[NOMBRE]],'RESUMEN CLIENTES'!A:A,'RESUMEN CLIENTES'!X:X)</f>
        <v>-1.75</v>
      </c>
      <c r="F1351" s="71">
        <f>+_xlfn.XLOOKUP(Tabla6[[#This Row],[ID CLIENTE]],'RESUMEN CLIENTES'!D:D,'RESUMEN CLIENTES'!W:W)</f>
        <v>0</v>
      </c>
      <c r="G1351" s="17">
        <v>46162</v>
      </c>
      <c r="H1351" s="44" t="s">
        <v>81</v>
      </c>
      <c r="I1351" s="2">
        <v>1070</v>
      </c>
      <c r="J1351"/>
      <c r="K1351"/>
      <c r="L1351" s="44" t="str" cm="1">
        <f t="array" ref="L1351">+_xlfn.IFS(COUNTIF(INGRESOS!E:E,Tabla6[[#This Row],[ID FACTURA]])=1,"PAGADA",Tabla6[[#This Row],[ID FACTURA]]&lt;&gt;0,"EMITIDA",Tabla6[[#This Row],[ID FACTURA]]=0,"POR EMITIR")</f>
        <v>POR EMITIR</v>
      </c>
      <c r="M1351" s="55" t="str">
        <f>+IF(Tabla6[[#This Row],[ESTADO FACTURA]]="PAGADA",Tabla6[[#This Row],[FECHA]]-_xlfn.XLOOKUP(Tabla6[[#This Row],[N° FACTURA]],INGRESOS!F:F,INGRESOS!A:A),"-")</f>
        <v>-</v>
      </c>
      <c r="N1351" s="214"/>
      <c r="O1351"/>
    </row>
    <row r="1352" spans="1:15" ht="14.75" customHeight="1">
      <c r="A1352" s="320" t="s">
        <v>4660</v>
      </c>
      <c r="B1352" t="str">
        <f>+_xlfn.XLOOKUP(Tabla6[[#This Row],[ID CLIENTE]],'RESUMEN CLIENTES'!D:D,'RESUMEN CLIENTES'!A:A)</f>
        <v>Edipris Flores</v>
      </c>
      <c r="C1352" s="15" t="str">
        <f>+_xlfn.XLOOKUP(Tabla6[[#This Row],[ID CLIENTE]],'RESUMEN CLIENTES'!D:D,'RESUMEN CLIENTES'!C:C)</f>
        <v>Chile</v>
      </c>
      <c r="D1352" s="169" t="str">
        <f>+_xlfn.XLOOKUP(Tabla6[[#This Row],[ID CLIENTE]],'RESUMEN CLIENTES'!D:D,'RESUMEN CLIENTES'!M:M)</f>
        <v>OK</v>
      </c>
      <c r="E1352" s="71">
        <f>+_xlfn.XLOOKUP(Tabla6[[#This Row],[NOMBRE]],'RESUMEN CLIENTES'!A:A,'RESUMEN CLIENTES'!X:X)</f>
        <v>-4</v>
      </c>
      <c r="F1352" s="71">
        <f>+_xlfn.XLOOKUP(Tabla6[[#This Row],[ID CLIENTE]],'RESUMEN CLIENTES'!D:D,'RESUMEN CLIENTES'!W:W)</f>
        <v>0</v>
      </c>
      <c r="G1352" s="17">
        <v>46162</v>
      </c>
      <c r="H1352" s="169" t="s">
        <v>81</v>
      </c>
      <c r="I1352" s="2">
        <v>850</v>
      </c>
      <c r="J1352"/>
      <c r="K1352"/>
      <c r="L1352" s="44" t="str" cm="1">
        <f t="array" ref="L1352">+_xlfn.IFS(COUNTIF(INGRESOS!E:E,Tabla6[[#This Row],[ID FACTURA]])=1,"PAGADA",Tabla6[[#This Row],[ID FACTURA]]&lt;&gt;0,"EMITIDA",Tabla6[[#This Row],[ID FACTURA]]=0,"POR EMITIR")</f>
        <v>POR EMITIR</v>
      </c>
      <c r="M1352" s="54" t="str">
        <f>+IF(Tabla6[[#This Row],[ESTADO FACTURA]]="PAGADA",Tabla6[[#This Row],[FECHA]]-_xlfn.XLOOKUP(Tabla6[[#This Row],[N° FACTURA]],INGRESOS!F:F,INGRESOS!A:A),"-")</f>
        <v>-</v>
      </c>
      <c r="O1352"/>
    </row>
    <row r="1353" spans="1:15" ht="14.75" customHeight="1">
      <c r="A1353" s="320" t="s">
        <v>1936</v>
      </c>
      <c r="B1353" t="str">
        <f>+_xlfn.XLOOKUP(Tabla6[[#This Row],[ID CLIENTE]],'RESUMEN CLIENTES'!D:D,'RESUMEN CLIENTES'!A:A)</f>
        <v>Jaime Kevin Mendez Arias</v>
      </c>
      <c r="C1353" t="str">
        <f>+_xlfn.XLOOKUP(Tabla6[[#This Row],[ID CLIENTE]],'RESUMEN CLIENTES'!D:D,'RESUMEN CLIENTES'!C:C)</f>
        <v>México</v>
      </c>
      <c r="D1353" s="169" t="str">
        <f>+_xlfn.XLOOKUP(Tabla6[[#This Row],[ID CLIENTE]],'RESUMEN CLIENTES'!D:D,'RESUMEN CLIENTES'!M:M)</f>
        <v>OK</v>
      </c>
      <c r="E1353" s="71">
        <f>+_xlfn.XLOOKUP(Tabla6[[#This Row],[NOMBRE]],'RESUMEN CLIENTES'!A:A,'RESUMEN CLIENTES'!X:X)</f>
        <v>1.6666666666666667</v>
      </c>
      <c r="F1353" s="71">
        <f>+_xlfn.XLOOKUP(Tabla6[[#This Row],[ID CLIENTE]],'RESUMEN CLIENTES'!D:D,'RESUMEN CLIENTES'!W:W)</f>
        <v>0</v>
      </c>
      <c r="G1353" s="17">
        <v>46162</v>
      </c>
      <c r="H1353" s="169" t="s">
        <v>81</v>
      </c>
      <c r="I1353" s="2">
        <v>1000</v>
      </c>
      <c r="J1353"/>
      <c r="K1353"/>
      <c r="L1353" s="44" t="str" cm="1">
        <f t="array" ref="L1353">+_xlfn.IFS(COUNTIF(INGRESOS!E:E,Tabla6[[#This Row],[ID FACTURA]])=1,"PAGADA",Tabla6[[#This Row],[ID FACTURA]]&lt;&gt;0,"EMITIDA",Tabla6[[#This Row],[ID FACTURA]]=0,"POR EMITIR")</f>
        <v>POR EMITIR</v>
      </c>
      <c r="M1353" s="54" t="str">
        <f>+IF(Tabla6[[#This Row],[ESTADO FACTURA]]="PAGADA",Tabla6[[#This Row],[FECHA]]-_xlfn.XLOOKUP(Tabla6[[#This Row],[N° FACTURA]],INGRESOS!F:F,INGRESOS!A:A),"-")</f>
        <v>-</v>
      </c>
      <c r="O1353"/>
    </row>
    <row r="1354" spans="1:15" ht="14.75" customHeight="1">
      <c r="A1354" s="320" t="s">
        <v>587</v>
      </c>
      <c r="B1354" t="str">
        <f>+_xlfn.XLOOKUP(Tabla6[[#This Row],[ID CLIENTE]],'RESUMEN CLIENTES'!D:D,'RESUMEN CLIENTES'!A:A)</f>
        <v>Keidwin Perez</v>
      </c>
      <c r="C1354" t="str">
        <f>+_xlfn.XLOOKUP(Tabla6[[#This Row],[ID CLIENTE]],'RESUMEN CLIENTES'!D:D,'RESUMEN CLIENTES'!C:C)</f>
        <v>Colombia</v>
      </c>
      <c r="D1354" s="44" t="str">
        <f>+_xlfn.XLOOKUP(Tabla6[[#This Row],[ID CLIENTE]],'RESUMEN CLIENTES'!D:D,'RESUMEN CLIENTES'!M:M)</f>
        <v>OK</v>
      </c>
      <c r="E1354" s="72">
        <f>+_xlfn.XLOOKUP(Tabla6[[#This Row],[NOMBRE]],'RESUMEN CLIENTES'!A:A,'RESUMEN CLIENTES'!X:X)</f>
        <v>-4.25</v>
      </c>
      <c r="F1354" s="72">
        <f>+_xlfn.XLOOKUP(Tabla6[[#This Row],[ID CLIENTE]],'RESUMEN CLIENTES'!D:D,'RESUMEN CLIENTES'!W:W)</f>
        <v>1</v>
      </c>
      <c r="G1354" s="17">
        <v>46162</v>
      </c>
      <c r="H1354" s="44" t="s">
        <v>81</v>
      </c>
      <c r="I1354" s="2">
        <v>750</v>
      </c>
      <c r="J1354"/>
      <c r="K1354"/>
      <c r="L1354" s="44" t="str" cm="1">
        <f t="array" ref="L1354">+_xlfn.IFS(COUNTIF(INGRESOS!E:E,Tabla6[[#This Row],[ID FACTURA]])=1,"PAGADA",Tabla6[[#This Row],[ID FACTURA]]&lt;&gt;0,"EMITIDA",Tabla6[[#This Row],[ID FACTURA]]=0,"POR EMITIR")</f>
        <v>POR EMITIR</v>
      </c>
      <c r="M1354" s="55" t="str">
        <f>+IF(Tabla6[[#This Row],[ESTADO FACTURA]]="PAGADA",Tabla6[[#This Row],[FECHA]]-_xlfn.XLOOKUP(Tabla6[[#This Row],[N° FACTURA]],INGRESOS!F:F,INGRESOS!A:A),"-")</f>
        <v>-</v>
      </c>
      <c r="N1354" s="2"/>
      <c r="O1354"/>
    </row>
    <row r="1355" spans="1:15" ht="14.75" customHeight="1">
      <c r="A1355" s="320" t="s">
        <v>200</v>
      </c>
      <c r="B1355" t="str">
        <f>+_xlfn.XLOOKUP(Tabla6[[#This Row],[ID CLIENTE]],'RESUMEN CLIENTES'!D:D,'RESUMEN CLIENTES'!A:A)</f>
        <v>Mateo Gabriel Martinez Dávila</v>
      </c>
      <c r="C1355" t="str">
        <f>+_xlfn.XLOOKUP(Tabla6[[#This Row],[ID CLIENTE]],'RESUMEN CLIENTES'!D:D,'RESUMEN CLIENTES'!C:C)</f>
        <v>Bolivia</v>
      </c>
      <c r="D1355" s="169" t="str">
        <f>+_xlfn.XLOOKUP(Tabla6[[#This Row],[ID CLIENTE]],'RESUMEN CLIENTES'!D:D,'RESUMEN CLIENTES'!M:M)</f>
        <v>OK</v>
      </c>
      <c r="E1355" s="71">
        <f>+_xlfn.XLOOKUP(Tabla6[[#This Row],[NOMBRE]],'RESUMEN CLIENTES'!A:A,'RESUMEN CLIENTES'!X:X)</f>
        <v>-0.5</v>
      </c>
      <c r="F1355" s="71">
        <f>+_xlfn.XLOOKUP(Tabla6[[#This Row],[ID CLIENTE]],'RESUMEN CLIENTES'!D:D,'RESUMEN CLIENTES'!W:W)</f>
        <v>0</v>
      </c>
      <c r="G1355" s="17">
        <v>46162</v>
      </c>
      <c r="H1355" s="169" t="s">
        <v>81</v>
      </c>
      <c r="I1355" s="2">
        <v>500</v>
      </c>
      <c r="J1355"/>
      <c r="K1355"/>
      <c r="L1355" s="44" t="str" cm="1">
        <f t="array" ref="L1355">+_xlfn.IFS(COUNTIF(INGRESOS!E:E,Tabla6[[#This Row],[ID FACTURA]])=1,"PAGADA",Tabla6[[#This Row],[ID FACTURA]]&lt;&gt;0,"EMITIDA",Tabla6[[#This Row],[ID FACTURA]]=0,"POR EMITIR")</f>
        <v>POR EMITIR</v>
      </c>
      <c r="M1355" s="54" t="str">
        <f>+IF(Tabla6[[#This Row],[ESTADO FACTURA]]="PAGADA",Tabla6[[#This Row],[FECHA]]-_xlfn.XLOOKUP(Tabla6[[#This Row],[N° FACTURA]],INGRESOS!F:F,INGRESOS!A:A),"-")</f>
        <v>-</v>
      </c>
      <c r="O1355"/>
    </row>
    <row r="1356" spans="1:15" ht="14.75" customHeight="1">
      <c r="A1356" s="320" t="s">
        <v>250</v>
      </c>
      <c r="B1356" t="str">
        <f>+_xlfn.XLOOKUP(Tabla6[[#This Row],[ID CLIENTE]],'RESUMEN CLIENTES'!D:D,'RESUMEN CLIENTES'!A:A)</f>
        <v>Fernanda Castro</v>
      </c>
      <c r="C1356" t="str">
        <f>+_xlfn.XLOOKUP(Tabla6[[#This Row],[ID CLIENTE]],'RESUMEN CLIENTES'!D:D,'RESUMEN CLIENTES'!C:C)</f>
        <v>Ecuador</v>
      </c>
      <c r="D1356" s="44" t="str">
        <f>+_xlfn.XLOOKUP(Tabla6[[#This Row],[ID CLIENTE]],'RESUMEN CLIENTES'!D:D,'RESUMEN CLIENTES'!M:M)</f>
        <v>OK</v>
      </c>
      <c r="E1356" s="72">
        <f>+_xlfn.XLOOKUP(Tabla6[[#This Row],[NOMBRE]],'RESUMEN CLIENTES'!A:A,'RESUMEN CLIENTES'!X:X)</f>
        <v>0</v>
      </c>
      <c r="F1356" s="72">
        <f>+_xlfn.XLOOKUP(Tabla6[[#This Row],[ID CLIENTE]],'RESUMEN CLIENTES'!D:D,'RESUMEN CLIENTES'!W:W)</f>
        <v>1</v>
      </c>
      <c r="G1356" s="17">
        <v>46165</v>
      </c>
      <c r="H1356" s="44" t="s">
        <v>81</v>
      </c>
      <c r="I1356" s="2">
        <v>1000</v>
      </c>
      <c r="J1356"/>
      <c r="K1356"/>
      <c r="L1356" s="44" t="str" cm="1">
        <f t="array" ref="L1356">+_xlfn.IFS(COUNTIF(INGRESOS!E:E,Tabla6[[#This Row],[ID FACTURA]])=1,"PAGADA",Tabla6[[#This Row],[ID FACTURA]]&lt;&gt;0,"EMITIDA",Tabla6[[#This Row],[ID FACTURA]]=0,"POR EMITIR")</f>
        <v>POR EMITIR</v>
      </c>
      <c r="M1356" s="55" t="str">
        <f>+IF(Tabla6[[#This Row],[ESTADO FACTURA]]="PAGADA",Tabla6[[#This Row],[FECHA]]-_xlfn.XLOOKUP(Tabla6[[#This Row],[N° FACTURA]],INGRESOS!F:F,INGRESOS!A:A),"-")</f>
        <v>-</v>
      </c>
      <c r="N1356" s="2"/>
      <c r="O1356"/>
    </row>
    <row r="1357" spans="1:15" ht="14.75" customHeight="1">
      <c r="A1357" s="320" t="s">
        <v>1931</v>
      </c>
      <c r="B1357" t="str">
        <f>+_xlfn.XLOOKUP(Tabla6[[#This Row],[ID CLIENTE]],'RESUMEN CLIENTES'!D:D,'RESUMEN CLIENTES'!A:A)</f>
        <v>Josué Bernardo Reyes Flores</v>
      </c>
      <c r="C1357" t="str">
        <f>+_xlfn.XLOOKUP(Tabla6[[#This Row],[ID CLIENTE]],'RESUMEN CLIENTES'!D:D,'RESUMEN CLIENTES'!C:C)</f>
        <v>México</v>
      </c>
      <c r="D1357" s="169" t="str">
        <f>+_xlfn.XLOOKUP(Tabla6[[#This Row],[ID CLIENTE]],'RESUMEN CLIENTES'!D:D,'RESUMEN CLIENTES'!M:M)</f>
        <v>OK</v>
      </c>
      <c r="E1357" s="71">
        <f>+_xlfn.XLOOKUP(Tabla6[[#This Row],[NOMBRE]],'RESUMEN CLIENTES'!A:A,'RESUMEN CLIENTES'!X:X)</f>
        <v>0</v>
      </c>
      <c r="F1357" s="71">
        <f>+_xlfn.XLOOKUP(Tabla6[[#This Row],[ID CLIENTE]],'RESUMEN CLIENTES'!D:D,'RESUMEN CLIENTES'!W:W)</f>
        <v>1</v>
      </c>
      <c r="G1357" s="17">
        <v>46165</v>
      </c>
      <c r="H1357" s="169" t="s">
        <v>81</v>
      </c>
      <c r="I1357" s="2">
        <v>1000</v>
      </c>
      <c r="J1357"/>
      <c r="K1357"/>
      <c r="L1357" s="44" t="str" cm="1">
        <f t="array" ref="L1357">+_xlfn.IFS(COUNTIF(INGRESOS!E:E,Tabla6[[#This Row],[ID FACTURA]])=1,"PAGADA",Tabla6[[#This Row],[ID FACTURA]]&lt;&gt;0,"EMITIDA",Tabla6[[#This Row],[ID FACTURA]]=0,"POR EMITIR")</f>
        <v>POR EMITIR</v>
      </c>
      <c r="M1357" s="54" t="str">
        <f>+IF(Tabla6[[#This Row],[ESTADO FACTURA]]="PAGADA",Tabla6[[#This Row],[FECHA]]-_xlfn.XLOOKUP(Tabla6[[#This Row],[N° FACTURA]],INGRESOS!F:F,INGRESOS!A:A),"-")</f>
        <v>-</v>
      </c>
      <c r="O1357"/>
    </row>
    <row r="1358" spans="1:15" ht="14.75" customHeight="1">
      <c r="A1358" s="320" t="s">
        <v>994</v>
      </c>
      <c r="B1358" t="str">
        <f>+_xlfn.XLOOKUP(Tabla6[[#This Row],[ID CLIENTE]],'RESUMEN CLIENTES'!D:D,'RESUMEN CLIENTES'!A:A)</f>
        <v>Raúl Ernesto Martínez Orantes</v>
      </c>
      <c r="C1358" t="str">
        <f>+_xlfn.XLOOKUP(Tabla6[[#This Row],[ID CLIENTE]],'RESUMEN CLIENTES'!D:D,'RESUMEN CLIENTES'!C:C)</f>
        <v>El Salvador</v>
      </c>
      <c r="D1358" s="44" t="str">
        <f>+_xlfn.XLOOKUP(Tabla6[[#This Row],[ID CLIENTE]],'RESUMEN CLIENTES'!D:D,'RESUMEN CLIENTES'!M:M)</f>
        <v>OK</v>
      </c>
      <c r="E1358" s="72">
        <f>+_xlfn.XLOOKUP(Tabla6[[#This Row],[NOMBRE]],'RESUMEN CLIENTES'!A:A,'RESUMEN CLIENTES'!X:X)</f>
        <v>1.1428571428571428</v>
      </c>
      <c r="F1358" s="72">
        <f>+_xlfn.XLOOKUP(Tabla6[[#This Row],[ID CLIENTE]],'RESUMEN CLIENTES'!D:D,'RESUMEN CLIENTES'!W:W)</f>
        <v>1</v>
      </c>
      <c r="G1358" s="17">
        <v>46165</v>
      </c>
      <c r="H1358" s="44" t="s">
        <v>81</v>
      </c>
      <c r="I1358" s="2">
        <v>850</v>
      </c>
      <c r="J1358"/>
      <c r="K1358"/>
      <c r="L1358" s="44" t="str" cm="1">
        <f t="array" ref="L1358">+_xlfn.IFS(COUNTIF(INGRESOS!E:E,Tabla6[[#This Row],[ID FACTURA]])=1,"PAGADA",Tabla6[[#This Row],[ID FACTURA]]&lt;&gt;0,"EMITIDA",Tabla6[[#This Row],[ID FACTURA]]=0,"POR EMITIR")</f>
        <v>POR EMITIR</v>
      </c>
      <c r="M1358" s="55" t="str">
        <f>+IF(Tabla6[[#This Row],[ESTADO FACTURA]]="PAGADA",Tabla6[[#This Row],[FECHA]]-_xlfn.XLOOKUP(Tabla6[[#This Row],[N° FACTURA]],INGRESOS!F:F,INGRESOS!A:A),"-")</f>
        <v>-</v>
      </c>
      <c r="N1358" s="2"/>
      <c r="O1358"/>
    </row>
    <row r="1359" spans="1:15" ht="14.75" customHeight="1">
      <c r="A1359" s="320" t="s">
        <v>261</v>
      </c>
      <c r="B1359" t="str">
        <f>+_xlfn.XLOOKUP(Tabla6[[#This Row],[ID CLIENTE]],'RESUMEN CLIENTES'!D:D,'RESUMEN CLIENTES'!A:A)</f>
        <v>Maryori Elizabeth Ramos Tapia</v>
      </c>
      <c r="C1359" t="str">
        <f>+_xlfn.XLOOKUP(Tabla6[[#This Row],[ID CLIENTE]],'RESUMEN CLIENTES'!D:D,'RESUMEN CLIENTES'!C:C)</f>
        <v>Perú</v>
      </c>
      <c r="D1359" s="44" t="str">
        <f>+_xlfn.XLOOKUP(Tabla6[[#This Row],[ID CLIENTE]],'RESUMEN CLIENTES'!D:D,'RESUMEN CLIENTES'!M:M)</f>
        <v>OK</v>
      </c>
      <c r="E1359" s="72">
        <f>+_xlfn.XLOOKUP(Tabla6[[#This Row],[NOMBRE]],'RESUMEN CLIENTES'!A:A,'RESUMEN CLIENTES'!X:X)</f>
        <v>-0.88425925925952875</v>
      </c>
      <c r="F1359" s="72">
        <f>+_xlfn.XLOOKUP(Tabla6[[#This Row],[ID CLIENTE]],'RESUMEN CLIENTES'!D:D,'RESUMEN CLIENTES'!W:W)</f>
        <v>1</v>
      </c>
      <c r="G1359" s="17">
        <v>46166</v>
      </c>
      <c r="H1359" s="44" t="s">
        <v>81</v>
      </c>
      <c r="I1359" s="2">
        <v>1000</v>
      </c>
      <c r="J1359"/>
      <c r="K1359"/>
      <c r="L1359" s="44" t="str" cm="1">
        <f t="array" ref="L1359">+_xlfn.IFS(COUNTIF(INGRESOS!E:E,Tabla6[[#This Row],[ID FACTURA]])=1,"PAGADA",Tabla6[[#This Row],[ID FACTURA]]&lt;&gt;0,"EMITIDA",Tabla6[[#This Row],[ID FACTURA]]=0,"POR EMITIR")</f>
        <v>POR EMITIR</v>
      </c>
      <c r="M1359" s="55" t="str">
        <f>+IF(Tabla6[[#This Row],[ESTADO FACTURA]]="PAGADA",Tabla6[[#This Row],[FECHA]]-_xlfn.XLOOKUP(Tabla6[[#This Row],[N° FACTURA]],INGRESOS!F:F,INGRESOS!A:A),"-")</f>
        <v>-</v>
      </c>
      <c r="N1359" s="2"/>
      <c r="O1359"/>
    </row>
    <row r="1360" spans="1:15" ht="14.75" customHeight="1">
      <c r="A1360" s="320" t="s">
        <v>162</v>
      </c>
      <c r="B1360" t="str">
        <f>+_xlfn.XLOOKUP(Tabla6[[#This Row],[ID CLIENTE]],'RESUMEN CLIENTES'!D:D,'RESUMEN CLIENTES'!A:A)</f>
        <v>Bastian Sofjer Peralta</v>
      </c>
      <c r="C1360" t="str">
        <f>+_xlfn.XLOOKUP(Tabla6[[#This Row],[ID CLIENTE]],'RESUMEN CLIENTES'!D:D,'RESUMEN CLIENTES'!C:C)</f>
        <v>Chile</v>
      </c>
      <c r="D1360" s="44" t="str">
        <f>+_xlfn.XLOOKUP(Tabla6[[#This Row],[ID CLIENTE]],'RESUMEN CLIENTES'!D:D,'RESUMEN CLIENTES'!M:M)</f>
        <v>OK</v>
      </c>
      <c r="E1360" s="72">
        <f>+_xlfn.XLOOKUP(Tabla6[[#This Row],[NOMBRE]],'RESUMEN CLIENTES'!A:A,'RESUMEN CLIENTES'!X:X)</f>
        <v>4.125</v>
      </c>
      <c r="F1360" s="72">
        <f>+_xlfn.XLOOKUP(Tabla6[[#This Row],[ID CLIENTE]],'RESUMEN CLIENTES'!D:D,'RESUMEN CLIENTES'!W:W)</f>
        <v>1</v>
      </c>
      <c r="G1360" s="17">
        <v>46167</v>
      </c>
      <c r="H1360" s="44" t="s">
        <v>81</v>
      </c>
      <c r="I1360" s="2">
        <v>900</v>
      </c>
      <c r="J1360"/>
      <c r="K1360"/>
      <c r="L1360" s="44" t="str" cm="1">
        <f t="array" ref="L1360">+_xlfn.IFS(COUNTIF(INGRESOS!E:E,Tabla6[[#This Row],[ID FACTURA]])=1,"PAGADA",Tabla6[[#This Row],[ID FACTURA]]&lt;&gt;0,"EMITIDA",Tabla6[[#This Row],[ID FACTURA]]=0,"POR EMITIR")</f>
        <v>POR EMITIR</v>
      </c>
      <c r="M1360" s="55" t="str">
        <f>+IF(Tabla6[[#This Row],[ESTADO FACTURA]]="PAGADA",Tabla6[[#This Row],[FECHA]]-_xlfn.XLOOKUP(Tabla6[[#This Row],[N° FACTURA]],INGRESOS!F:F,INGRESOS!A:A),"-")</f>
        <v>-</v>
      </c>
      <c r="N1360" s="2"/>
      <c r="O1360"/>
    </row>
    <row r="1361" spans="1:15" ht="14.75" customHeight="1">
      <c r="A1361" s="320" t="s">
        <v>191</v>
      </c>
      <c r="B1361" t="str">
        <f>+_xlfn.XLOOKUP(Tabla6[[#This Row],[ID CLIENTE]],'RESUMEN CLIENTES'!D:D,'RESUMEN CLIENTES'!A:A)</f>
        <v>Christian Rivera Hernandez</v>
      </c>
      <c r="C1361" t="str">
        <f>+_xlfn.XLOOKUP(Tabla6[[#This Row],[ID CLIENTE]],'RESUMEN CLIENTES'!D:D,'RESUMEN CLIENTES'!C:C)</f>
        <v>Colombia</v>
      </c>
      <c r="D1361" s="169" t="str">
        <f>+_xlfn.XLOOKUP(Tabla6[[#This Row],[ID CLIENTE]],'RESUMEN CLIENTES'!D:D,'RESUMEN CLIENTES'!M:M)</f>
        <v>OK</v>
      </c>
      <c r="E1361" s="71">
        <f>+_xlfn.XLOOKUP(Tabla6[[#This Row],[NOMBRE]],'RESUMEN CLIENTES'!A:A,'RESUMEN CLIENTES'!X:X)</f>
        <v>0.75</v>
      </c>
      <c r="F1361" s="71">
        <f>+_xlfn.XLOOKUP(Tabla6[[#This Row],[ID CLIENTE]],'RESUMEN CLIENTES'!D:D,'RESUMEN CLIENTES'!W:W)</f>
        <v>1</v>
      </c>
      <c r="G1361" s="17">
        <v>46167</v>
      </c>
      <c r="H1361" s="169" t="s">
        <v>81</v>
      </c>
      <c r="I1361" s="2">
        <v>600</v>
      </c>
      <c r="J1361"/>
      <c r="K1361"/>
      <c r="L1361" s="44" t="str" cm="1">
        <f t="array" ref="L1361">+_xlfn.IFS(COUNTIF(INGRESOS!E:E,Tabla6[[#This Row],[ID FACTURA]])=1,"PAGADA",Tabla6[[#This Row],[ID FACTURA]]&lt;&gt;0,"EMITIDA",Tabla6[[#This Row],[ID FACTURA]]=0,"POR EMITIR")</f>
        <v>POR EMITIR</v>
      </c>
      <c r="M1361" s="55" t="str">
        <f>+IF(Tabla6[[#This Row],[ESTADO FACTURA]]="PAGADA",Tabla6[[#This Row],[FECHA]]-_xlfn.XLOOKUP(Tabla6[[#This Row],[N° FACTURA]],INGRESOS!F:F,INGRESOS!A:A),"-")</f>
        <v>-</v>
      </c>
      <c r="N1361" s="2"/>
      <c r="O1361"/>
    </row>
    <row r="1362" spans="1:15" ht="14.75" customHeight="1">
      <c r="A1362" s="320" t="s">
        <v>595</v>
      </c>
      <c r="B1362" t="str">
        <f>+_xlfn.XLOOKUP(Tabla6[[#This Row],[ID CLIENTE]],'RESUMEN CLIENTES'!D:D,'RESUMEN CLIENTES'!A:A)</f>
        <v>Erick Leonardo Chiriboga Valdiviezo</v>
      </c>
      <c r="C1362" t="str">
        <f>+_xlfn.XLOOKUP(Tabla6[[#This Row],[ID CLIENTE]],'RESUMEN CLIENTES'!D:D,'RESUMEN CLIENTES'!C:C)</f>
        <v>Ecuador</v>
      </c>
      <c r="D1362" s="44" t="str">
        <f>+_xlfn.XLOOKUP(Tabla6[[#This Row],[ID CLIENTE]],'RESUMEN CLIENTES'!D:D,'RESUMEN CLIENTES'!M:M)</f>
        <v>OK</v>
      </c>
      <c r="E1362" s="72">
        <f>+_xlfn.XLOOKUP(Tabla6[[#This Row],[NOMBRE]],'RESUMEN CLIENTES'!A:A,'RESUMEN CLIENTES'!X:X)</f>
        <v>-0.33333333333333331</v>
      </c>
      <c r="F1362" s="71">
        <f>+_xlfn.XLOOKUP(Tabla6[[#This Row],[ID CLIENTE]],'RESUMEN CLIENTES'!D:D,'RESUMEN CLIENTES'!W:W)</f>
        <v>0</v>
      </c>
      <c r="G1362" s="17">
        <v>46167</v>
      </c>
      <c r="H1362" s="44" t="s">
        <v>81</v>
      </c>
      <c r="I1362" s="2">
        <v>1000</v>
      </c>
      <c r="J1362"/>
      <c r="K1362"/>
      <c r="L1362" s="44" t="str" cm="1">
        <f t="array" ref="L1362">+_xlfn.IFS(COUNTIF(INGRESOS!E:E,Tabla6[[#This Row],[ID FACTURA]])=1,"PAGADA",Tabla6[[#This Row],[ID FACTURA]]&lt;&gt;0,"EMITIDA",Tabla6[[#This Row],[ID FACTURA]]=0,"POR EMITIR")</f>
        <v>POR EMITIR</v>
      </c>
      <c r="M1362" s="55" t="str">
        <f>+IF(Tabla6[[#This Row],[ESTADO FACTURA]]="PAGADA",Tabla6[[#This Row],[FECHA]]-_xlfn.XLOOKUP(Tabla6[[#This Row],[N° FACTURA]],INGRESOS!F:F,INGRESOS!A:A),"-")</f>
        <v>-</v>
      </c>
      <c r="N1362" s="214"/>
      <c r="O1362"/>
    </row>
    <row r="1363" spans="1:15" ht="14.75" customHeight="1">
      <c r="A1363" s="320" t="s">
        <v>1437</v>
      </c>
      <c r="B1363" t="str">
        <f>+_xlfn.XLOOKUP(Tabla6[[#This Row],[ID CLIENTE]],'RESUMEN CLIENTES'!D:D,'RESUMEN CLIENTES'!A:A)</f>
        <v>Jorge Andres Galgani Muñoz</v>
      </c>
      <c r="C1363" t="str">
        <f>+_xlfn.XLOOKUP(Tabla6[[#This Row],[ID CLIENTE]],'RESUMEN CLIENTES'!D:D,'RESUMEN CLIENTES'!C:C)</f>
        <v>Chile</v>
      </c>
      <c r="D1363" s="44" t="str">
        <f>+_xlfn.XLOOKUP(Tabla6[[#This Row],[ID CLIENTE]],'RESUMEN CLIENTES'!D:D,'RESUMEN CLIENTES'!M:M)</f>
        <v>OK</v>
      </c>
      <c r="E1363" s="71">
        <f>+_xlfn.XLOOKUP(Tabla6[[#This Row],[NOMBRE]],'RESUMEN CLIENTES'!A:A,'RESUMEN CLIENTES'!X:X)</f>
        <v>-1.1428571428571428</v>
      </c>
      <c r="F1363" s="71">
        <f>+_xlfn.XLOOKUP(Tabla6[[#This Row],[ID CLIENTE]],'RESUMEN CLIENTES'!D:D,'RESUMEN CLIENTES'!W:W)</f>
        <v>1</v>
      </c>
      <c r="G1363" s="17">
        <v>46167</v>
      </c>
      <c r="H1363" s="169" t="s">
        <v>81</v>
      </c>
      <c r="I1363" s="2">
        <v>850</v>
      </c>
      <c r="J1363"/>
      <c r="K1363"/>
      <c r="L1363" s="44" t="str" cm="1">
        <f t="array" ref="L1363">+_xlfn.IFS(COUNTIF(INGRESOS!E:E,Tabla6[[#This Row],[ID FACTURA]])=1,"PAGADA",Tabla6[[#This Row],[ID FACTURA]]&lt;&gt;0,"EMITIDA",Tabla6[[#This Row],[ID FACTURA]]=0,"POR EMITIR")</f>
        <v>POR EMITIR</v>
      </c>
      <c r="M1363" s="55" t="str">
        <f>+IF(Tabla6[[#This Row],[ESTADO FACTURA]]="PAGADA",Tabla6[[#This Row],[FECHA]]-_xlfn.XLOOKUP(Tabla6[[#This Row],[N° FACTURA]],INGRESOS!F:F,INGRESOS!A:A),"-")</f>
        <v>-</v>
      </c>
      <c r="N1363" s="2"/>
      <c r="O1363"/>
    </row>
    <row r="1364" spans="1:15" ht="14.75" customHeight="1">
      <c r="A1364" s="320" t="s">
        <v>1658</v>
      </c>
      <c r="B1364" t="str">
        <f>+_xlfn.XLOOKUP(Tabla6[[#This Row],[ID CLIENTE]],'RESUMEN CLIENTES'!D:D,'RESUMEN CLIENTES'!A:A)</f>
        <v>Nadya Sofía García Carrasco</v>
      </c>
      <c r="C1364" t="str">
        <f>+_xlfn.XLOOKUP(Tabla6[[#This Row],[ID CLIENTE]],'RESUMEN CLIENTES'!D:D,'RESUMEN CLIENTES'!C:C)</f>
        <v>Ecuador</v>
      </c>
      <c r="D1364" s="169" t="str">
        <f>+_xlfn.XLOOKUP(Tabla6[[#This Row],[ID CLIENTE]],'RESUMEN CLIENTES'!D:D,'RESUMEN CLIENTES'!M:M)</f>
        <v>OK</v>
      </c>
      <c r="E1364" s="71">
        <f>+_xlfn.XLOOKUP(Tabla6[[#This Row],[NOMBRE]],'RESUMEN CLIENTES'!A:A,'RESUMEN CLIENTES'!X:X)</f>
        <v>0</v>
      </c>
      <c r="F1364" s="71">
        <f>+_xlfn.XLOOKUP(Tabla6[[#This Row],[ID CLIENTE]],'RESUMEN CLIENTES'!D:D,'RESUMEN CLIENTES'!W:W)</f>
        <v>1</v>
      </c>
      <c r="G1364" s="17">
        <v>46167</v>
      </c>
      <c r="H1364" s="169" t="s">
        <v>81</v>
      </c>
      <c r="I1364" s="2">
        <v>1000</v>
      </c>
      <c r="J1364"/>
      <c r="K1364"/>
      <c r="L1364" s="44" t="str" cm="1">
        <f t="array" ref="L1364">+_xlfn.IFS(COUNTIF(INGRESOS!E:E,Tabla6[[#This Row],[ID FACTURA]])=1,"PAGADA",Tabla6[[#This Row],[ID FACTURA]]&lt;&gt;0,"EMITIDA",Tabla6[[#This Row],[ID FACTURA]]=0,"POR EMITIR")</f>
        <v>POR EMITIR</v>
      </c>
      <c r="M1364" s="55" t="str">
        <f>+IF(Tabla6[[#This Row],[ESTADO FACTURA]]="PAGADA",Tabla6[[#This Row],[FECHA]]-_xlfn.XLOOKUP(Tabla6[[#This Row],[N° FACTURA]],INGRESOS!F:F,INGRESOS!A:A),"-")</f>
        <v>-</v>
      </c>
      <c r="O1364"/>
    </row>
    <row r="1365" spans="1:15" ht="14.75" customHeight="1">
      <c r="A1365" s="320" t="s">
        <v>716</v>
      </c>
      <c r="B1365" t="str">
        <f>+_xlfn.XLOOKUP(Tabla6[[#This Row],[ID CLIENTE]],'RESUMEN CLIENTES'!D:D,'RESUMEN CLIENTES'!A:A)</f>
        <v>Sofia Martínez Restrepo</v>
      </c>
      <c r="C1365" t="str">
        <f>+_xlfn.XLOOKUP(Tabla6[[#This Row],[ID CLIENTE]],'RESUMEN CLIENTES'!D:D,'RESUMEN CLIENTES'!C:C)</f>
        <v>Colombia</v>
      </c>
      <c r="D1365" s="44" t="str">
        <f>+_xlfn.XLOOKUP(Tabla6[[#This Row],[ID CLIENTE]],'RESUMEN CLIENTES'!D:D,'RESUMEN CLIENTES'!M:M)</f>
        <v>OK</v>
      </c>
      <c r="E1365" s="72">
        <f>+_xlfn.XLOOKUP(Tabla6[[#This Row],[NOMBRE]],'RESUMEN CLIENTES'!A:A,'RESUMEN CLIENTES'!X:X)</f>
        <v>-0.33333333333333331</v>
      </c>
      <c r="F1365" s="72">
        <f>+_xlfn.XLOOKUP(Tabla6[[#This Row],[ID CLIENTE]],'RESUMEN CLIENTES'!D:D,'RESUMEN CLIENTES'!W:W)</f>
        <v>1</v>
      </c>
      <c r="G1365" s="17">
        <v>46167</v>
      </c>
      <c r="H1365" s="44" t="s">
        <v>81</v>
      </c>
      <c r="I1365" s="2">
        <v>1000</v>
      </c>
      <c r="J1365"/>
      <c r="K1365"/>
      <c r="L1365" s="44" t="str" cm="1">
        <f t="array" ref="L1365">+_xlfn.IFS(COUNTIF(INGRESOS!E:E,Tabla6[[#This Row],[ID FACTURA]])=1,"PAGADA",Tabla6[[#This Row],[ID FACTURA]]&lt;&gt;0,"EMITIDA",Tabla6[[#This Row],[ID FACTURA]]=0,"POR EMITIR")</f>
        <v>POR EMITIR</v>
      </c>
      <c r="M1365" s="55" t="str">
        <f>+IF(Tabla6[[#This Row],[ESTADO FACTURA]]="PAGADA",Tabla6[[#This Row],[FECHA]]-_xlfn.XLOOKUP(Tabla6[[#This Row],[N° FACTURA]],INGRESOS!F:F,INGRESOS!A:A),"-")</f>
        <v>-</v>
      </c>
      <c r="N1365" s="2"/>
      <c r="O1365"/>
    </row>
    <row r="1366" spans="1:15" ht="14.75" customHeight="1">
      <c r="A1366" s="320" t="s">
        <v>1743</v>
      </c>
      <c r="B1366" t="str">
        <f>+_xlfn.XLOOKUP(Tabla6[[#This Row],[ID CLIENTE]],'RESUMEN CLIENTES'!D:D,'RESUMEN CLIENTES'!A:A)</f>
        <v>Fernando Alberto Lagos Belmar</v>
      </c>
      <c r="C1366" t="str">
        <f>+_xlfn.XLOOKUP(Tabla6[[#This Row],[ID CLIENTE]],'RESUMEN CLIENTES'!D:D,'RESUMEN CLIENTES'!C:C)</f>
        <v>Chile</v>
      </c>
      <c r="D1366" s="169" t="str">
        <f>+_xlfn.XLOOKUP(Tabla6[[#This Row],[ID CLIENTE]],'RESUMEN CLIENTES'!D:D,'RESUMEN CLIENTES'!M:M)</f>
        <v>OK</v>
      </c>
      <c r="E1366" s="71">
        <f>+_xlfn.XLOOKUP(Tabla6[[#This Row],[NOMBRE]],'RESUMEN CLIENTES'!A:A,'RESUMEN CLIENTES'!X:X)</f>
        <v>0.25</v>
      </c>
      <c r="F1366" s="71">
        <f>+_xlfn.XLOOKUP(Tabla6[[#This Row],[ID CLIENTE]],'RESUMEN CLIENTES'!D:D,'RESUMEN CLIENTES'!W:W)</f>
        <v>1</v>
      </c>
      <c r="G1366" s="17">
        <v>46168</v>
      </c>
      <c r="H1366" s="169" t="s">
        <v>81</v>
      </c>
      <c r="I1366" s="2">
        <v>1000</v>
      </c>
      <c r="J1366"/>
      <c r="K1366"/>
      <c r="L1366" s="44" t="str" cm="1">
        <f t="array" ref="L1366">+_xlfn.IFS(COUNTIF(INGRESOS!E:E,Tabla6[[#This Row],[ID FACTURA]])=1,"PAGADA",Tabla6[[#This Row],[ID FACTURA]]&lt;&gt;0,"EMITIDA",Tabla6[[#This Row],[ID FACTURA]]=0,"POR EMITIR")</f>
        <v>POR EMITIR</v>
      </c>
      <c r="M1366" s="55" t="str">
        <f>+IF(Tabla6[[#This Row],[ESTADO FACTURA]]="PAGADA",Tabla6[[#This Row],[FECHA]]-_xlfn.XLOOKUP(Tabla6[[#This Row],[N° FACTURA]],INGRESOS!F:F,INGRESOS!A:A),"-")</f>
        <v>-</v>
      </c>
      <c r="O1366"/>
    </row>
    <row r="1367" spans="1:15" ht="14.75" customHeight="1">
      <c r="A1367" s="320" t="s">
        <v>706</v>
      </c>
      <c r="B1367" t="str">
        <f>+_xlfn.XLOOKUP(Tabla6[[#This Row],[ID CLIENTE]],'RESUMEN CLIENTES'!D:D,'RESUMEN CLIENTES'!A:A)</f>
        <v>Virna Nathaly Montenegro Samaniego</v>
      </c>
      <c r="C1367" t="str">
        <f>+_xlfn.XLOOKUP(Tabla6[[#This Row],[ID CLIENTE]],'RESUMEN CLIENTES'!D:D,'RESUMEN CLIENTES'!C:C)</f>
        <v>Ecuador</v>
      </c>
      <c r="D1367" s="44" t="str">
        <f>+_xlfn.XLOOKUP(Tabla6[[#This Row],[ID CLIENTE]],'RESUMEN CLIENTES'!D:D,'RESUMEN CLIENTES'!M:M)</f>
        <v>OK</v>
      </c>
      <c r="E1367" s="72">
        <f>+_xlfn.XLOOKUP(Tabla6[[#This Row],[NOMBRE]],'RESUMEN CLIENTES'!A:A,'RESUMEN CLIENTES'!X:X)</f>
        <v>7.375</v>
      </c>
      <c r="F1367" s="72">
        <f>+_xlfn.XLOOKUP(Tabla6[[#This Row],[ID CLIENTE]],'RESUMEN CLIENTES'!D:D,'RESUMEN CLIENTES'!W:W)</f>
        <v>0</v>
      </c>
      <c r="G1367" s="17">
        <v>46168</v>
      </c>
      <c r="H1367" s="44" t="s">
        <v>81</v>
      </c>
      <c r="I1367" s="2">
        <v>1000</v>
      </c>
      <c r="J1367"/>
      <c r="K1367"/>
      <c r="L1367" s="44" t="str" cm="1">
        <f t="array" ref="L1367">+_xlfn.IFS(COUNTIF(INGRESOS!E:E,Tabla6[[#This Row],[ID FACTURA]])=1,"PAGADA",Tabla6[[#This Row],[ID FACTURA]]&lt;&gt;0,"EMITIDA",Tabla6[[#This Row],[ID FACTURA]]=0,"POR EMITIR")</f>
        <v>POR EMITIR</v>
      </c>
      <c r="M1367" s="55" t="str">
        <f>+IF(Tabla6[[#This Row],[ESTADO FACTURA]]="PAGADA",Tabla6[[#This Row],[FECHA]]-_xlfn.XLOOKUP(Tabla6[[#This Row],[N° FACTURA]],INGRESOS!F:F,INGRESOS!A:A),"-")</f>
        <v>-</v>
      </c>
      <c r="N1367" s="2"/>
      <c r="O1367"/>
    </row>
    <row r="1368" spans="1:15" ht="14.75" customHeight="1">
      <c r="A1368" s="321" t="s">
        <v>519</v>
      </c>
      <c r="B1368" t="str">
        <f>+_xlfn.XLOOKUP(Tabla6[[#This Row],[ID CLIENTE]],'RESUMEN CLIENTES'!D:D,'RESUMEN CLIENTES'!A:A)</f>
        <v>Elaine Acosta Cabrera</v>
      </c>
      <c r="C1368" t="str">
        <f>+_xlfn.XLOOKUP(Tabla6[[#This Row],[ID CLIENTE]],'RESUMEN CLIENTES'!D:D,'RESUMEN CLIENTES'!C:C)</f>
        <v>República Dominicana</v>
      </c>
      <c r="D1368" s="169" t="str">
        <f>+_xlfn.XLOOKUP(Tabla6[[#This Row],[ID CLIENTE]],'RESUMEN CLIENTES'!D:D,'RESUMEN CLIENTES'!M:M)</f>
        <v>OK</v>
      </c>
      <c r="E1368" s="71">
        <f>+_xlfn.XLOOKUP(Tabla6[[#This Row],[NOMBRE]],'RESUMEN CLIENTES'!A:A,'RESUMEN CLIENTES'!X:X)</f>
        <v>0</v>
      </c>
      <c r="F1368" s="71">
        <f>+_xlfn.XLOOKUP(Tabla6[[#This Row],[ID CLIENTE]],'RESUMEN CLIENTES'!D:D,'RESUMEN CLIENTES'!W:W)</f>
        <v>1</v>
      </c>
      <c r="G1368" s="17">
        <v>46169</v>
      </c>
      <c r="H1368" s="169" t="s">
        <v>81</v>
      </c>
      <c r="I1368" s="2">
        <v>1000</v>
      </c>
      <c r="J1368"/>
      <c r="K1368"/>
      <c r="L1368" s="44" t="str" cm="1">
        <f t="array" ref="L1368">+_xlfn.IFS(COUNTIF(INGRESOS!E:E,Tabla6[[#This Row],[ID FACTURA]])=1,"PAGADA",Tabla6[[#This Row],[ID FACTURA]]&lt;&gt;0,"EMITIDA",Tabla6[[#This Row],[ID FACTURA]]=0,"POR EMITIR")</f>
        <v>POR EMITIR</v>
      </c>
      <c r="M1368" s="54" t="str">
        <f>+IF(Tabla6[[#This Row],[ESTADO FACTURA]]="PAGADA",Tabla6[[#This Row],[FECHA]]-_xlfn.XLOOKUP(Tabla6[[#This Row],[N° FACTURA]],INGRESOS!F:F,INGRESOS!A:A),"-")</f>
        <v>-</v>
      </c>
      <c r="O1368"/>
    </row>
    <row r="1369" spans="1:15" ht="14.75" customHeight="1">
      <c r="A1369" s="320" t="s">
        <v>711</v>
      </c>
      <c r="B1369" t="str">
        <f>+_xlfn.XLOOKUP(Tabla6[[#This Row],[ID CLIENTE]],'RESUMEN CLIENTES'!D:D,'RESUMEN CLIENTES'!A:A)</f>
        <v>Julian David Gutierrez Rodriguez</v>
      </c>
      <c r="C1369" t="str">
        <f>+_xlfn.XLOOKUP(Tabla6[[#This Row],[ID CLIENTE]],'RESUMEN CLIENTES'!D:D,'RESUMEN CLIENTES'!C:C)</f>
        <v>Colombia</v>
      </c>
      <c r="D1369" s="44" t="str">
        <f>+_xlfn.XLOOKUP(Tabla6[[#This Row],[ID CLIENTE]],'RESUMEN CLIENTES'!D:D,'RESUMEN CLIENTES'!M:M)</f>
        <v>OK</v>
      </c>
      <c r="E1369" s="72">
        <f>+_xlfn.XLOOKUP(Tabla6[[#This Row],[NOMBRE]],'RESUMEN CLIENTES'!A:A,'RESUMEN CLIENTES'!X:X)</f>
        <v>0.7142857142857143</v>
      </c>
      <c r="F1369" s="72">
        <f>+_xlfn.XLOOKUP(Tabla6[[#This Row],[ID CLIENTE]],'RESUMEN CLIENTES'!D:D,'RESUMEN CLIENTES'!W:W)</f>
        <v>1</v>
      </c>
      <c r="G1369" s="17">
        <v>46169</v>
      </c>
      <c r="H1369" s="44" t="s">
        <v>81</v>
      </c>
      <c r="I1369" s="2">
        <v>500</v>
      </c>
      <c r="J1369"/>
      <c r="K1369"/>
      <c r="L1369" s="44" t="str" cm="1">
        <f t="array" ref="L1369">+_xlfn.IFS(COUNTIF(INGRESOS!E:E,Tabla6[[#This Row],[ID FACTURA]])=1,"PAGADA",Tabla6[[#This Row],[ID FACTURA]]&lt;&gt;0,"EMITIDA",Tabla6[[#This Row],[ID FACTURA]]=0,"POR EMITIR")</f>
        <v>POR EMITIR</v>
      </c>
      <c r="M1369" s="55" t="str">
        <f>+IF(Tabla6[[#This Row],[ESTADO FACTURA]]="PAGADA",Tabla6[[#This Row],[FECHA]]-_xlfn.XLOOKUP(Tabla6[[#This Row],[N° FACTURA]],INGRESOS!F:F,INGRESOS!A:A),"-")</f>
        <v>-</v>
      </c>
      <c r="N1369" s="2"/>
      <c r="O1369"/>
    </row>
    <row r="1370" spans="1:15" ht="14.75" customHeight="1">
      <c r="A1370" s="320" t="s">
        <v>372</v>
      </c>
      <c r="B1370" t="str">
        <f>+_xlfn.XLOOKUP(Tabla6[[#This Row],[ID CLIENTE]],'RESUMEN CLIENTES'!D:D,'RESUMEN CLIENTES'!A:A)</f>
        <v>Julio Nelson Adaros Moraga</v>
      </c>
      <c r="C1370" t="str">
        <f>+_xlfn.XLOOKUP(Tabla6[[#This Row],[ID CLIENTE]],'RESUMEN CLIENTES'!D:D,'RESUMEN CLIENTES'!C:C)</f>
        <v>Chile</v>
      </c>
      <c r="D1370" s="44" t="str">
        <f>+_xlfn.XLOOKUP(Tabla6[[#This Row],[ID CLIENTE]],'RESUMEN CLIENTES'!D:D,'RESUMEN CLIENTES'!M:M)</f>
        <v>OK</v>
      </c>
      <c r="E1370" s="72">
        <f>+_xlfn.XLOOKUP(Tabla6[[#This Row],[NOMBRE]],'RESUMEN CLIENTES'!A:A,'RESUMEN CLIENTES'!X:X)</f>
        <v>1</v>
      </c>
      <c r="F1370" s="72">
        <f>+_xlfn.XLOOKUP(Tabla6[[#This Row],[ID CLIENTE]],'RESUMEN CLIENTES'!D:D,'RESUMEN CLIENTES'!W:W)</f>
        <v>1</v>
      </c>
      <c r="G1370" s="17">
        <v>46169</v>
      </c>
      <c r="H1370" s="44" t="s">
        <v>81</v>
      </c>
      <c r="I1370" s="2">
        <v>1000</v>
      </c>
      <c r="J1370"/>
      <c r="K1370"/>
      <c r="L1370" s="44" t="str" cm="1">
        <f t="array" ref="L1370">+_xlfn.IFS(COUNTIF(INGRESOS!E:E,Tabla6[[#This Row],[ID FACTURA]])=1,"PAGADA",Tabla6[[#This Row],[ID FACTURA]]&lt;&gt;0,"EMITIDA",Tabla6[[#This Row],[ID FACTURA]]=0,"POR EMITIR")</f>
        <v>POR EMITIR</v>
      </c>
      <c r="M1370" s="55" t="str">
        <f>+IF(Tabla6[[#This Row],[ESTADO FACTURA]]="PAGADA",Tabla6[[#This Row],[FECHA]]-_xlfn.XLOOKUP(Tabla6[[#This Row],[N° FACTURA]],INGRESOS!F:F,INGRESOS!A:A),"-")</f>
        <v>-</v>
      </c>
      <c r="N1370" s="2"/>
      <c r="O1370"/>
    </row>
    <row r="1371" spans="1:15" ht="14.75" customHeight="1">
      <c r="A1371" s="321" t="s">
        <v>1870</v>
      </c>
      <c r="B1371" t="str">
        <f>+_xlfn.XLOOKUP(Tabla6[[#This Row],[ID CLIENTE]],'RESUMEN CLIENTES'!D:D,'RESUMEN CLIENTES'!A:A)</f>
        <v>Berenisse Shadia Yarango Garay</v>
      </c>
      <c r="C1371" t="str">
        <f>+_xlfn.XLOOKUP(Tabla6[[#This Row],[ID CLIENTE]],'RESUMEN CLIENTES'!D:D,'RESUMEN CLIENTES'!C:C)</f>
        <v>Perú</v>
      </c>
      <c r="D1371" s="169" t="str">
        <f>+_xlfn.XLOOKUP(Tabla6[[#This Row],[ID CLIENTE]],'RESUMEN CLIENTES'!D:D,'RESUMEN CLIENTES'!M:M)</f>
        <v>OK</v>
      </c>
      <c r="E1371" s="71">
        <f>+_xlfn.XLOOKUP(Tabla6[[#This Row],[NOMBRE]],'RESUMEN CLIENTES'!A:A,'RESUMEN CLIENTES'!X:X)</f>
        <v>-0.33333333333333331</v>
      </c>
      <c r="F1371" s="71">
        <f>+_xlfn.XLOOKUP(Tabla6[[#This Row],[ID CLIENTE]],'RESUMEN CLIENTES'!D:D,'RESUMEN CLIENTES'!W:W)</f>
        <v>0</v>
      </c>
      <c r="G1371" s="17">
        <v>46170</v>
      </c>
      <c r="H1371" s="169" t="s">
        <v>81</v>
      </c>
      <c r="I1371" s="2">
        <v>850</v>
      </c>
      <c r="J1371"/>
      <c r="K1371"/>
      <c r="L1371" s="44" t="str" cm="1">
        <f t="array" ref="L1371">+_xlfn.IFS(COUNTIF(INGRESOS!E:E,Tabla6[[#This Row],[ID FACTURA]])=1,"PAGADA",Tabla6[[#This Row],[ID FACTURA]]&lt;&gt;0,"EMITIDA",Tabla6[[#This Row],[ID FACTURA]]=0,"POR EMITIR")</f>
        <v>POR EMITIR</v>
      </c>
      <c r="M1371" s="54" t="str">
        <f>+IF(Tabla6[[#This Row],[ESTADO FACTURA]]="PAGADA",Tabla6[[#This Row],[FECHA]]-_xlfn.XLOOKUP(Tabla6[[#This Row],[N° FACTURA]],INGRESOS!F:F,INGRESOS!A:A),"-")</f>
        <v>-</v>
      </c>
      <c r="O1371"/>
    </row>
    <row r="1372" spans="1:15" ht="14.75" customHeight="1">
      <c r="A1372" s="320" t="s">
        <v>1461</v>
      </c>
      <c r="B1372" t="str">
        <f>+_xlfn.XLOOKUP(Tabla6[[#This Row],[ID CLIENTE]],'RESUMEN CLIENTES'!D:D,'RESUMEN CLIENTES'!A:A)</f>
        <v>Katerine Marianela Verastegui Mendoza</v>
      </c>
      <c r="C1372" t="str">
        <f>+_xlfn.XLOOKUP(Tabla6[[#This Row],[ID CLIENTE]],'RESUMEN CLIENTES'!D:D,'RESUMEN CLIENTES'!C:C)</f>
        <v>Perú</v>
      </c>
      <c r="D1372" s="44" t="str">
        <f>+_xlfn.XLOOKUP(Tabla6[[#This Row],[ID CLIENTE]],'RESUMEN CLIENTES'!D:D,'RESUMEN CLIENTES'!M:M)</f>
        <v>OK</v>
      </c>
      <c r="E1372" s="71">
        <f>+_xlfn.XLOOKUP(Tabla6[[#This Row],[NOMBRE]],'RESUMEN CLIENTES'!A:A,'RESUMEN CLIENTES'!X:X)</f>
        <v>-2</v>
      </c>
      <c r="F1372" s="71">
        <f>+_xlfn.XLOOKUP(Tabla6[[#This Row],[ID CLIENTE]],'RESUMEN CLIENTES'!D:D,'RESUMEN CLIENTES'!W:W)</f>
        <v>0</v>
      </c>
      <c r="G1372" s="17">
        <v>46170</v>
      </c>
      <c r="H1372" s="169" t="s">
        <v>81</v>
      </c>
      <c r="I1372" s="2">
        <v>1000</v>
      </c>
      <c r="J1372"/>
      <c r="K1372"/>
      <c r="L1372" s="44" t="str" cm="1">
        <f t="array" ref="L1372">+_xlfn.IFS(COUNTIF(INGRESOS!E:E,Tabla6[[#This Row],[ID FACTURA]])=1,"PAGADA",Tabla6[[#This Row],[ID FACTURA]]&lt;&gt;0,"EMITIDA",Tabla6[[#This Row],[ID FACTURA]]=0,"POR EMITIR")</f>
        <v>POR EMITIR</v>
      </c>
      <c r="M1372" s="55" t="str">
        <f>+IF(Tabla6[[#This Row],[ESTADO FACTURA]]="PAGADA",Tabla6[[#This Row],[FECHA]]-_xlfn.XLOOKUP(Tabla6[[#This Row],[N° FACTURA]],INGRESOS!F:F,INGRESOS!A:A),"-")</f>
        <v>-</v>
      </c>
      <c r="N1372" s="2"/>
      <c r="O1372"/>
    </row>
    <row r="1373" spans="1:15" ht="14.75" customHeight="1">
      <c r="A1373" s="320" t="s">
        <v>1374</v>
      </c>
      <c r="B1373" t="str">
        <f>+_xlfn.XLOOKUP(Tabla6[[#This Row],[ID CLIENTE]],'RESUMEN CLIENTES'!D:D,'RESUMEN CLIENTES'!A:A)</f>
        <v>Samuel Sebastián Marmolejo Saldarriaga</v>
      </c>
      <c r="C1373" t="str">
        <f>+_xlfn.XLOOKUP(Tabla6[[#This Row],[ID CLIENTE]],'RESUMEN CLIENTES'!D:D,'RESUMEN CLIENTES'!C:C)</f>
        <v>Perú</v>
      </c>
      <c r="D1373" s="44" t="str">
        <f>+_xlfn.XLOOKUP(Tabla6[[#This Row],[ID CLIENTE]],'RESUMEN CLIENTES'!D:D,'RESUMEN CLIENTES'!M:M)</f>
        <v>OK</v>
      </c>
      <c r="E1373" s="71">
        <f>+_xlfn.XLOOKUP(Tabla6[[#This Row],[NOMBRE]],'RESUMEN CLIENTES'!A:A,'RESUMEN CLIENTES'!X:X)</f>
        <v>-0.5</v>
      </c>
      <c r="F1373" s="71">
        <f>+_xlfn.XLOOKUP(Tabla6[[#This Row],[ID CLIENTE]],'RESUMEN CLIENTES'!D:D,'RESUMEN CLIENTES'!W:W)</f>
        <v>0</v>
      </c>
      <c r="G1373" s="17">
        <v>46170</v>
      </c>
      <c r="H1373" s="44" t="s">
        <v>81</v>
      </c>
      <c r="I1373" s="2">
        <v>1000</v>
      </c>
      <c r="J1373"/>
      <c r="K1373"/>
      <c r="L1373" s="44" t="str" cm="1">
        <f t="array" ref="L1373">+_xlfn.IFS(COUNTIF(INGRESOS!E:E,Tabla6[[#This Row],[ID FACTURA]])=1,"PAGADA",Tabla6[[#This Row],[ID FACTURA]]&lt;&gt;0,"EMITIDA",Tabla6[[#This Row],[ID FACTURA]]=0,"POR EMITIR")</f>
        <v>POR EMITIR</v>
      </c>
      <c r="M1373" s="55" t="str">
        <f>+IF(Tabla6[[#This Row],[ESTADO FACTURA]]="PAGADA",Tabla6[[#This Row],[FECHA]]-_xlfn.XLOOKUP(Tabla6[[#This Row],[N° FACTURA]],INGRESOS!F:F,INGRESOS!A:A),"-")</f>
        <v>-</v>
      </c>
      <c r="N1373" s="2"/>
      <c r="O1373"/>
    </row>
    <row r="1374" spans="1:15" ht="14.75" customHeight="1">
      <c r="A1374" s="320" t="s">
        <v>450</v>
      </c>
      <c r="B1374" t="str">
        <f>+_xlfn.XLOOKUP(Tabla6[[#This Row],[ID CLIENTE]],'RESUMEN CLIENTES'!D:D,'RESUMEN CLIENTES'!A:A)</f>
        <v>Alexandra Carolina Ordoñez Cuotto</v>
      </c>
      <c r="C1374" t="str">
        <f>+_xlfn.XLOOKUP(Tabla6[[#This Row],[ID CLIENTE]],'RESUMEN CLIENTES'!D:D,'RESUMEN CLIENTES'!C:C)</f>
        <v>Venezuela</v>
      </c>
      <c r="D1374" s="44" t="str">
        <f>+_xlfn.XLOOKUP(Tabla6[[#This Row],[ID CLIENTE]],'RESUMEN CLIENTES'!D:D,'RESUMEN CLIENTES'!M:M)</f>
        <v>¡REGULARIZAR!</v>
      </c>
      <c r="E1374" s="72">
        <f>+_xlfn.XLOOKUP(Tabla6[[#This Row],[NOMBRE]],'RESUMEN CLIENTES'!A:A,'RESUMEN CLIENTES'!X:X)</f>
        <v>-2</v>
      </c>
      <c r="F1374" s="72">
        <f>+_xlfn.XLOOKUP(Tabla6[[#This Row],[ID CLIENTE]],'RESUMEN CLIENTES'!D:D,'RESUMEN CLIENTES'!W:W)</f>
        <v>0</v>
      </c>
      <c r="G1374" s="17">
        <v>46171</v>
      </c>
      <c r="H1374" s="44" t="s">
        <v>81</v>
      </c>
      <c r="I1374" s="2">
        <v>1000</v>
      </c>
      <c r="J1374"/>
      <c r="K1374"/>
      <c r="L1374" s="44" t="str" cm="1">
        <f t="array" ref="L1374">+_xlfn.IFS(COUNTIF(INGRESOS!E:E,Tabla6[[#This Row],[ID FACTURA]])=1,"PAGADA",Tabla6[[#This Row],[ID FACTURA]]&lt;&gt;0,"EMITIDA",Tabla6[[#This Row],[ID FACTURA]]=0,"POR EMITIR")</f>
        <v>POR EMITIR</v>
      </c>
      <c r="M1374" s="55" t="str">
        <f>+IF(Tabla6[[#This Row],[ESTADO FACTURA]]="PAGADA",Tabla6[[#This Row],[FECHA]]-_xlfn.XLOOKUP(Tabla6[[#This Row],[N° FACTURA]],INGRESOS!F:F,INGRESOS!A:A),"-")</f>
        <v>-</v>
      </c>
      <c r="N1374" s="2"/>
      <c r="O1374"/>
    </row>
    <row r="1375" spans="1:15" ht="14.75" customHeight="1">
      <c r="A1375" s="320" t="s">
        <v>541</v>
      </c>
      <c r="B1375" t="str">
        <f>+_xlfn.XLOOKUP(Tabla6[[#This Row],[ID CLIENTE]],'RESUMEN CLIENTES'!D:D,'RESUMEN CLIENTES'!A:A)</f>
        <v>Alejandra Goretti Figueroa Romo</v>
      </c>
      <c r="C1375" t="str">
        <f>+_xlfn.XLOOKUP(Tabla6[[#This Row],[ID CLIENTE]],'RESUMEN CLIENTES'!D:D,'RESUMEN CLIENTES'!C:C)</f>
        <v>México</v>
      </c>
      <c r="D1375" s="44" t="str">
        <f>+_xlfn.XLOOKUP(Tabla6[[#This Row],[ID CLIENTE]],'RESUMEN CLIENTES'!D:D,'RESUMEN CLIENTES'!M:M)</f>
        <v>OK</v>
      </c>
      <c r="E1375" s="72">
        <f>+_xlfn.XLOOKUP(Tabla6[[#This Row],[NOMBRE]],'RESUMEN CLIENTES'!A:A,'RESUMEN CLIENTES'!X:X)</f>
        <v>0.75</v>
      </c>
      <c r="F1375" s="72">
        <f>+_xlfn.XLOOKUP(Tabla6[[#This Row],[ID CLIENTE]],'RESUMEN CLIENTES'!D:D,'RESUMEN CLIENTES'!W:W)</f>
        <v>0</v>
      </c>
      <c r="G1375" s="17">
        <v>46172</v>
      </c>
      <c r="H1375" s="44" t="s">
        <v>81</v>
      </c>
      <c r="I1375" s="2">
        <v>1000</v>
      </c>
      <c r="J1375"/>
      <c r="K1375"/>
      <c r="L1375" s="44" t="str" cm="1">
        <f t="array" ref="L1375">+_xlfn.IFS(COUNTIF(INGRESOS!E:E,Tabla6[[#This Row],[ID FACTURA]])=1,"PAGADA",Tabla6[[#This Row],[ID FACTURA]]&lt;&gt;0,"EMITIDA",Tabla6[[#This Row],[ID FACTURA]]=0,"POR EMITIR")</f>
        <v>POR EMITIR</v>
      </c>
      <c r="M1375" s="55" t="str">
        <f>+IF(Tabla6[[#This Row],[ESTADO FACTURA]]="PAGADA",Tabla6[[#This Row],[FECHA]]-_xlfn.XLOOKUP(Tabla6[[#This Row],[N° FACTURA]],INGRESOS!F:F,INGRESOS!A:A),"-")</f>
        <v>-</v>
      </c>
      <c r="N1375" s="2"/>
      <c r="O1375"/>
    </row>
    <row r="1376" spans="1:15" ht="14.75" customHeight="1">
      <c r="A1376" s="320" t="s">
        <v>226</v>
      </c>
      <c r="B1376" t="str">
        <f>+_xlfn.XLOOKUP(Tabla6[[#This Row],[ID CLIENTE]],'RESUMEN CLIENTES'!D:D,'RESUMEN CLIENTES'!A:A)</f>
        <v>Carlos Josue Escobar Morán</v>
      </c>
      <c r="C1376" t="str">
        <f>+_xlfn.XLOOKUP(Tabla6[[#This Row],[ID CLIENTE]],'RESUMEN CLIENTES'!D:D,'RESUMEN CLIENTES'!C:C)</f>
        <v>El Salvador</v>
      </c>
      <c r="D1376" s="44" t="str">
        <f>+_xlfn.XLOOKUP(Tabla6[[#This Row],[ID CLIENTE]],'RESUMEN CLIENTES'!D:D,'RESUMEN CLIENTES'!M:M)</f>
        <v>OK</v>
      </c>
      <c r="E1376" s="72">
        <f>+_xlfn.XLOOKUP(Tabla6[[#This Row],[NOMBRE]],'RESUMEN CLIENTES'!A:A,'RESUMEN CLIENTES'!X:X)</f>
        <v>0.8</v>
      </c>
      <c r="F1376" s="72">
        <f>+_xlfn.XLOOKUP(Tabla6[[#This Row],[ID CLIENTE]],'RESUMEN CLIENTES'!D:D,'RESUMEN CLIENTES'!W:W)</f>
        <v>0</v>
      </c>
      <c r="G1376" s="17">
        <v>46172</v>
      </c>
      <c r="H1376" s="44" t="s">
        <v>81</v>
      </c>
      <c r="I1376" s="2">
        <v>500</v>
      </c>
      <c r="J1376"/>
      <c r="K1376"/>
      <c r="L1376" s="44" t="str" cm="1">
        <f t="array" ref="L1376">+_xlfn.IFS(COUNTIF(INGRESOS!E:E,Tabla6[[#This Row],[ID FACTURA]])=1,"PAGADA",Tabla6[[#This Row],[ID FACTURA]]&lt;&gt;0,"EMITIDA",Tabla6[[#This Row],[ID FACTURA]]=0,"POR EMITIR")</f>
        <v>POR EMITIR</v>
      </c>
      <c r="M1376" s="55" t="str">
        <f>+IF(Tabla6[[#This Row],[ESTADO FACTURA]]="PAGADA",Tabla6[[#This Row],[FECHA]]-_xlfn.XLOOKUP(Tabla6[[#This Row],[N° FACTURA]],INGRESOS!F:F,INGRESOS!A:A),"-")</f>
        <v>-</v>
      </c>
      <c r="N1376" s="2"/>
      <c r="O1376"/>
    </row>
    <row r="1377" spans="1:15" ht="14.75" customHeight="1">
      <c r="A1377" s="320" t="s">
        <v>479</v>
      </c>
      <c r="B1377" t="str">
        <f>+_xlfn.XLOOKUP(Tabla6[[#This Row],[ID CLIENTE]],'RESUMEN CLIENTES'!D:D,'RESUMEN CLIENTES'!A:A)</f>
        <v>Carlos Mersaim Olivares Sandoval</v>
      </c>
      <c r="C1377" t="str">
        <f>+_xlfn.XLOOKUP(Tabla6[[#This Row],[ID CLIENTE]],'RESUMEN CLIENTES'!D:D,'RESUMEN CLIENTES'!C:C)</f>
        <v>México</v>
      </c>
      <c r="D1377" s="44" t="str">
        <f>+_xlfn.XLOOKUP(Tabla6[[#This Row],[ID CLIENTE]],'RESUMEN CLIENTES'!D:D,'RESUMEN CLIENTES'!M:M)</f>
        <v>OK</v>
      </c>
      <c r="E1377" s="72">
        <f>+_xlfn.XLOOKUP(Tabla6[[#This Row],[NOMBRE]],'RESUMEN CLIENTES'!A:A,'RESUMEN CLIENTES'!X:X)</f>
        <v>1.4444444444444444</v>
      </c>
      <c r="F1377" s="72">
        <f>+_xlfn.XLOOKUP(Tabla6[[#This Row],[ID CLIENTE]],'RESUMEN CLIENTES'!D:D,'RESUMEN CLIENTES'!W:W)</f>
        <v>0</v>
      </c>
      <c r="G1377" s="17">
        <v>46172</v>
      </c>
      <c r="H1377" s="44" t="s">
        <v>81</v>
      </c>
      <c r="I1377" s="2">
        <v>1000</v>
      </c>
      <c r="J1377"/>
      <c r="K1377"/>
      <c r="L1377" s="44" t="str" cm="1">
        <f t="array" ref="L1377">+_xlfn.IFS(COUNTIF(INGRESOS!E:E,Tabla6[[#This Row],[ID FACTURA]])=1,"PAGADA",Tabla6[[#This Row],[ID FACTURA]]&lt;&gt;0,"EMITIDA",Tabla6[[#This Row],[ID FACTURA]]=0,"POR EMITIR")</f>
        <v>POR EMITIR</v>
      </c>
      <c r="M1377" s="55" t="str">
        <f>+IF(Tabla6[[#This Row],[ESTADO FACTURA]]="PAGADA",Tabla6[[#This Row],[FECHA]]-_xlfn.XLOOKUP(Tabla6[[#This Row],[N° FACTURA]],INGRESOS!F:F,INGRESOS!A:A),"-")</f>
        <v>-</v>
      </c>
      <c r="N1377" s="2"/>
      <c r="O1377"/>
    </row>
    <row r="1378" spans="1:15" ht="14.75" customHeight="1">
      <c r="A1378" s="320" t="s">
        <v>385</v>
      </c>
      <c r="B1378" t="str">
        <f>+_xlfn.XLOOKUP(Tabla6[[#This Row],[ID CLIENTE]],'RESUMEN CLIENTES'!D:D,'RESUMEN CLIENTES'!A:A)</f>
        <v>Ellen Cristina Gerónimo Bonilla</v>
      </c>
      <c r="C1378" t="str">
        <f>+_xlfn.XLOOKUP(Tabla6[[#This Row],[ID CLIENTE]],'RESUMEN CLIENTES'!D:D,'RESUMEN CLIENTES'!C:C)</f>
        <v>República Dominicana</v>
      </c>
      <c r="D1378" s="44" t="str">
        <f>+_xlfn.XLOOKUP(Tabla6[[#This Row],[ID CLIENTE]],'RESUMEN CLIENTES'!D:D,'RESUMEN CLIENTES'!M:M)</f>
        <v>OK</v>
      </c>
      <c r="E1378" s="72">
        <f>+_xlfn.XLOOKUP(Tabla6[[#This Row],[NOMBRE]],'RESUMEN CLIENTES'!A:A,'RESUMEN CLIENTES'!X:X)</f>
        <v>1.5555555555555556</v>
      </c>
      <c r="F1378" s="72">
        <f>+_xlfn.XLOOKUP(Tabla6[[#This Row],[ID CLIENTE]],'RESUMEN CLIENTES'!D:D,'RESUMEN CLIENTES'!W:W)</f>
        <v>1</v>
      </c>
      <c r="G1378" s="17">
        <v>46172</v>
      </c>
      <c r="H1378" s="44" t="s">
        <v>81</v>
      </c>
      <c r="I1378" s="2">
        <v>600</v>
      </c>
      <c r="J1378"/>
      <c r="K1378"/>
      <c r="L1378" s="44" t="str" cm="1">
        <f t="array" ref="L1378">+_xlfn.IFS(COUNTIF(INGRESOS!E:E,Tabla6[[#This Row],[ID FACTURA]])=1,"PAGADA",Tabla6[[#This Row],[ID FACTURA]]&lt;&gt;0,"EMITIDA",Tabla6[[#This Row],[ID FACTURA]]=0,"POR EMITIR")</f>
        <v>POR EMITIR</v>
      </c>
      <c r="M1378" s="55" t="str">
        <f>+IF(Tabla6[[#This Row],[ESTADO FACTURA]]="PAGADA",Tabla6[[#This Row],[FECHA]]-_xlfn.XLOOKUP(Tabla6[[#This Row],[N° FACTURA]],INGRESOS!F:F,INGRESOS!A:A),"-")</f>
        <v>-</v>
      </c>
      <c r="N1378" s="2"/>
      <c r="O1378"/>
    </row>
    <row r="1379" spans="1:15" ht="14.75" customHeight="1">
      <c r="A1379" s="320" t="s">
        <v>1761</v>
      </c>
      <c r="B1379" t="str">
        <f>+_xlfn.XLOOKUP(Tabla6[[#This Row],[ID CLIENTE]],'RESUMEN CLIENTES'!D:D,'RESUMEN CLIENTES'!A:A)</f>
        <v>Francisco Salas Barrera</v>
      </c>
      <c r="C1379" t="str">
        <f>+_xlfn.XLOOKUP(Tabla6[[#This Row],[ID CLIENTE]],'RESUMEN CLIENTES'!D:D,'RESUMEN CLIENTES'!C:C)</f>
        <v>México</v>
      </c>
      <c r="D1379" s="169" t="str">
        <f>+_xlfn.XLOOKUP(Tabla6[[#This Row],[ID CLIENTE]],'RESUMEN CLIENTES'!D:D,'RESUMEN CLIENTES'!M:M)</f>
        <v>OK</v>
      </c>
      <c r="E1379" s="71">
        <f>+_xlfn.XLOOKUP(Tabla6[[#This Row],[NOMBRE]],'RESUMEN CLIENTES'!A:A,'RESUMEN CLIENTES'!X:X)</f>
        <v>-0.75</v>
      </c>
      <c r="F1379" s="71">
        <f>+_xlfn.XLOOKUP(Tabla6[[#This Row],[ID CLIENTE]],'RESUMEN CLIENTES'!D:D,'RESUMEN CLIENTES'!W:W)</f>
        <v>0</v>
      </c>
      <c r="G1379" s="17">
        <v>46172</v>
      </c>
      <c r="H1379" s="169" t="s">
        <v>81</v>
      </c>
      <c r="I1379" s="2">
        <v>1000</v>
      </c>
      <c r="J1379"/>
      <c r="K1379"/>
      <c r="L1379" s="44" t="str" cm="1">
        <f t="array" ref="L1379">+_xlfn.IFS(COUNTIF(INGRESOS!E:E,Tabla6[[#This Row],[ID FACTURA]])=1,"PAGADA",Tabla6[[#This Row],[ID FACTURA]]&lt;&gt;0,"EMITIDA",Tabla6[[#This Row],[ID FACTURA]]=0,"POR EMITIR")</f>
        <v>POR EMITIR</v>
      </c>
      <c r="M1379" s="55" t="str">
        <f>+IF(Tabla6[[#This Row],[ESTADO FACTURA]]="PAGADA",Tabla6[[#This Row],[FECHA]]-_xlfn.XLOOKUP(Tabla6[[#This Row],[N° FACTURA]],INGRESOS!F:F,INGRESOS!A:A),"-")</f>
        <v>-</v>
      </c>
      <c r="O1379"/>
    </row>
    <row r="1380" spans="1:15" ht="14.75" customHeight="1">
      <c r="A1380" s="320" t="s">
        <v>739</v>
      </c>
      <c r="B1380" t="str">
        <f>+_xlfn.XLOOKUP(Tabla6[[#This Row],[ID CLIENTE]],'RESUMEN CLIENTES'!D:D,'RESUMEN CLIENTES'!A:A)</f>
        <v>Gilberto Martiñon Torres</v>
      </c>
      <c r="C1380" t="str">
        <f>+_xlfn.XLOOKUP(Tabla6[[#This Row],[ID CLIENTE]],'RESUMEN CLIENTES'!D:D,'RESUMEN CLIENTES'!C:C)</f>
        <v>México</v>
      </c>
      <c r="D1380" s="44" t="str">
        <f>+_xlfn.XLOOKUP(Tabla6[[#This Row],[ID CLIENTE]],'RESUMEN CLIENTES'!D:D,'RESUMEN CLIENTES'!M:M)</f>
        <v>OK</v>
      </c>
      <c r="E1380" s="72">
        <f>+_xlfn.XLOOKUP(Tabla6[[#This Row],[NOMBRE]],'RESUMEN CLIENTES'!A:A,'RESUMEN CLIENTES'!X:X)</f>
        <v>-0.625</v>
      </c>
      <c r="F1380" s="72">
        <f>+_xlfn.XLOOKUP(Tabla6[[#This Row],[ID CLIENTE]],'RESUMEN CLIENTES'!D:D,'RESUMEN CLIENTES'!W:W)</f>
        <v>0</v>
      </c>
      <c r="G1380" s="17">
        <v>46172</v>
      </c>
      <c r="H1380" s="44" t="s">
        <v>81</v>
      </c>
      <c r="I1380" s="2">
        <v>700</v>
      </c>
      <c r="J1380"/>
      <c r="K1380"/>
      <c r="L1380" s="44" t="str" cm="1">
        <f t="array" ref="L1380">+_xlfn.IFS(COUNTIF(INGRESOS!E:E,Tabla6[[#This Row],[ID FACTURA]])=1,"PAGADA",Tabla6[[#This Row],[ID FACTURA]]&lt;&gt;0,"EMITIDA",Tabla6[[#This Row],[ID FACTURA]]=0,"POR EMITIR")</f>
        <v>POR EMITIR</v>
      </c>
      <c r="M1380" s="55" t="str">
        <f>+IF(Tabla6[[#This Row],[ESTADO FACTURA]]="PAGADA",Tabla6[[#This Row],[FECHA]]-_xlfn.XLOOKUP(Tabla6[[#This Row],[N° FACTURA]],INGRESOS!F:F,INGRESOS!A:A),"-")</f>
        <v>-</v>
      </c>
      <c r="N1380" s="2"/>
      <c r="O1380"/>
    </row>
    <row r="1381" spans="1:15" ht="14.75" customHeight="1">
      <c r="A1381" s="320" t="s">
        <v>139</v>
      </c>
      <c r="B1381" t="str">
        <f>+_xlfn.XLOOKUP(Tabla6[[#This Row],[ID CLIENTE]],'RESUMEN CLIENTES'!D:D,'RESUMEN CLIENTES'!A:A)</f>
        <v>Hugo Nicolás Trávez Morales</v>
      </c>
      <c r="C1381" t="str">
        <f>+_xlfn.XLOOKUP(Tabla6[[#This Row],[ID CLIENTE]],'RESUMEN CLIENTES'!D:D,'RESUMEN CLIENTES'!C:C)</f>
        <v>Ecuador</v>
      </c>
      <c r="D1381" s="169" t="str">
        <f>+_xlfn.XLOOKUP(Tabla6[[#This Row],[ID CLIENTE]],'RESUMEN CLIENTES'!D:D,'RESUMEN CLIENTES'!M:M)</f>
        <v>OK</v>
      </c>
      <c r="E1381" s="71">
        <f>+_xlfn.XLOOKUP(Tabla6[[#This Row],[NOMBRE]],'RESUMEN CLIENTES'!A:A,'RESUMEN CLIENTES'!X:X)</f>
        <v>0</v>
      </c>
      <c r="F1381" s="71">
        <f>+_xlfn.XLOOKUP(Tabla6[[#This Row],[ID CLIENTE]],'RESUMEN CLIENTES'!D:D,'RESUMEN CLIENTES'!W:W)</f>
        <v>0</v>
      </c>
      <c r="G1381" s="17">
        <v>46172</v>
      </c>
      <c r="H1381" s="44" t="s">
        <v>81</v>
      </c>
      <c r="I1381" s="2">
        <v>500</v>
      </c>
      <c r="J1381"/>
      <c r="K1381"/>
      <c r="L1381" s="44" t="str" cm="1">
        <f t="array" ref="L1381">+_xlfn.IFS(COUNTIF(INGRESOS!E:E,Tabla6[[#This Row],[ID FACTURA]])=1,"PAGADA",Tabla6[[#This Row],[ID FACTURA]]&lt;&gt;0,"EMITIDA",Tabla6[[#This Row],[ID FACTURA]]=0,"POR EMITIR")</f>
        <v>POR EMITIR</v>
      </c>
      <c r="M1381" s="54" t="str">
        <f>+IF(Tabla6[[#This Row],[ESTADO FACTURA]]="PAGADA",Tabla6[[#This Row],[FECHA]]-_xlfn.XLOOKUP(Tabla6[[#This Row],[N° FACTURA]],INGRESOS!F:F,INGRESOS!A:A),"-")</f>
        <v>-</v>
      </c>
      <c r="O1381"/>
    </row>
    <row r="1382" spans="1:15" ht="14.75" customHeight="1">
      <c r="A1382" s="320" t="s">
        <v>266</v>
      </c>
      <c r="B1382" t="str">
        <f>+_xlfn.XLOOKUP(Tabla6[[#This Row],[ID CLIENTE]],'RESUMEN CLIENTES'!D:D,'RESUMEN CLIENTES'!A:A)</f>
        <v>Juan Camilo Sanchez Ramirez</v>
      </c>
      <c r="C1382" t="str">
        <f>+_xlfn.XLOOKUP(Tabla6[[#This Row],[ID CLIENTE]],'RESUMEN CLIENTES'!D:D,'RESUMEN CLIENTES'!C:C)</f>
        <v>Colombia</v>
      </c>
      <c r="D1382" s="44" t="str">
        <f>+_xlfn.XLOOKUP(Tabla6[[#This Row],[ID CLIENTE]],'RESUMEN CLIENTES'!D:D,'RESUMEN CLIENTES'!M:M)</f>
        <v>OK</v>
      </c>
      <c r="E1382" s="72">
        <f>+_xlfn.XLOOKUP(Tabla6[[#This Row],[NOMBRE]],'RESUMEN CLIENTES'!A:A,'RESUMEN CLIENTES'!X:X)</f>
        <v>0.2</v>
      </c>
      <c r="F1382" s="72">
        <f>+_xlfn.XLOOKUP(Tabla6[[#This Row],[ID CLIENTE]],'RESUMEN CLIENTES'!D:D,'RESUMEN CLIENTES'!W:W)</f>
        <v>0</v>
      </c>
      <c r="G1382" s="17">
        <v>46172</v>
      </c>
      <c r="H1382" s="44" t="s">
        <v>81</v>
      </c>
      <c r="I1382" s="2">
        <v>1000</v>
      </c>
      <c r="J1382"/>
      <c r="K1382"/>
      <c r="L1382" s="44" t="str" cm="1">
        <f t="array" ref="L1382">+_xlfn.IFS(COUNTIF(INGRESOS!E:E,Tabla6[[#This Row],[ID FACTURA]])=1,"PAGADA",Tabla6[[#This Row],[ID FACTURA]]&lt;&gt;0,"EMITIDA",Tabla6[[#This Row],[ID FACTURA]]=0,"POR EMITIR")</f>
        <v>POR EMITIR</v>
      </c>
      <c r="M1382" s="55" t="str">
        <f>+IF(Tabla6[[#This Row],[ESTADO FACTURA]]="PAGADA",Tabla6[[#This Row],[FECHA]]-_xlfn.XLOOKUP(Tabla6[[#This Row],[N° FACTURA]],INGRESOS!F:F,INGRESOS!A:A),"-")</f>
        <v>-</v>
      </c>
      <c r="N1382" s="2"/>
      <c r="O1382"/>
    </row>
    <row r="1383" spans="1:15" ht="14.75" customHeight="1">
      <c r="A1383" s="320" t="s">
        <v>441</v>
      </c>
      <c r="B1383" t="str">
        <f>+_xlfn.XLOOKUP(Tabla6[[#This Row],[ID CLIENTE]],'RESUMEN CLIENTES'!D:D,'RESUMEN CLIENTES'!A:A)</f>
        <v>Luis Manuel Villanueva Contreras</v>
      </c>
      <c r="C1383" t="str">
        <f>+_xlfn.XLOOKUP(Tabla6[[#This Row],[ID CLIENTE]],'RESUMEN CLIENTES'!D:D,'RESUMEN CLIENTES'!C:C)</f>
        <v>México</v>
      </c>
      <c r="D1383" s="44" t="str">
        <f>+_xlfn.XLOOKUP(Tabla6[[#This Row],[ID CLIENTE]],'RESUMEN CLIENTES'!D:D,'RESUMEN CLIENTES'!M:M)</f>
        <v>OK</v>
      </c>
      <c r="E1383" s="72">
        <f>+_xlfn.XLOOKUP(Tabla6[[#This Row],[NOMBRE]],'RESUMEN CLIENTES'!A:A,'RESUMEN CLIENTES'!X:X)</f>
        <v>0.55555555555555558</v>
      </c>
      <c r="F1383" s="72">
        <f>+_xlfn.XLOOKUP(Tabla6[[#This Row],[ID CLIENTE]],'RESUMEN CLIENTES'!D:D,'RESUMEN CLIENTES'!W:W)</f>
        <v>0</v>
      </c>
      <c r="G1383" s="17">
        <v>46172</v>
      </c>
      <c r="H1383" s="44" t="s">
        <v>81</v>
      </c>
      <c r="I1383" s="2">
        <v>1000</v>
      </c>
      <c r="J1383"/>
      <c r="K1383"/>
      <c r="L1383" s="44" t="str" cm="1">
        <f t="array" ref="L1383">+_xlfn.IFS(COUNTIF(INGRESOS!E:E,Tabla6[[#This Row],[ID FACTURA]])=1,"PAGADA",Tabla6[[#This Row],[ID FACTURA]]&lt;&gt;0,"EMITIDA",Tabla6[[#This Row],[ID FACTURA]]=0,"POR EMITIR")</f>
        <v>POR EMITIR</v>
      </c>
      <c r="M1383" s="55" t="str">
        <f>+IF(Tabla6[[#This Row],[ESTADO FACTURA]]="PAGADA",Tabla6[[#This Row],[FECHA]]-_xlfn.XLOOKUP(Tabla6[[#This Row],[N° FACTURA]],INGRESOS!F:F,INGRESOS!A:A),"-")</f>
        <v>-</v>
      </c>
      <c r="N1383" s="2"/>
      <c r="O1383"/>
    </row>
    <row r="1384" spans="1:15" ht="14.75" customHeight="1">
      <c r="A1384" s="320" t="s">
        <v>590</v>
      </c>
      <c r="B1384" t="str">
        <f>+_xlfn.XLOOKUP(Tabla6[[#This Row],[ID CLIENTE]],'RESUMEN CLIENTES'!D:D,'RESUMEN CLIENTES'!A:A)</f>
        <v>María Lucero de Jesús Barrios Sazo</v>
      </c>
      <c r="C1384" t="str">
        <f>+_xlfn.XLOOKUP(Tabla6[[#This Row],[ID CLIENTE]],'RESUMEN CLIENTES'!D:D,'RESUMEN CLIENTES'!C:C)</f>
        <v>Guatemala</v>
      </c>
      <c r="D1384" s="44" t="str">
        <f>+_xlfn.XLOOKUP(Tabla6[[#This Row],[ID CLIENTE]],'RESUMEN CLIENTES'!D:D,'RESUMEN CLIENTES'!M:M)</f>
        <v>OK</v>
      </c>
      <c r="E1384" s="72">
        <f>+_xlfn.XLOOKUP(Tabla6[[#This Row],[NOMBRE]],'RESUMEN CLIENTES'!A:A,'RESUMEN CLIENTES'!X:X)</f>
        <v>1.25</v>
      </c>
      <c r="F1384" s="72">
        <f>+_xlfn.XLOOKUP(Tabla6[[#This Row],[ID CLIENTE]],'RESUMEN CLIENTES'!D:D,'RESUMEN CLIENTES'!W:W)</f>
        <v>0</v>
      </c>
      <c r="G1384" s="17">
        <v>46172</v>
      </c>
      <c r="H1384" s="44" t="s">
        <v>81</v>
      </c>
      <c r="I1384" s="2">
        <v>700</v>
      </c>
      <c r="J1384"/>
      <c r="K1384"/>
      <c r="L1384" s="44" t="str" cm="1">
        <f t="array" ref="L1384">+_xlfn.IFS(COUNTIF(INGRESOS!E:E,Tabla6[[#This Row],[ID FACTURA]])=1,"PAGADA",Tabla6[[#This Row],[ID FACTURA]]&lt;&gt;0,"EMITIDA",Tabla6[[#This Row],[ID FACTURA]]=0,"POR EMITIR")</f>
        <v>POR EMITIR</v>
      </c>
      <c r="M1384" s="55" t="str">
        <f>+IF(Tabla6[[#This Row],[ESTADO FACTURA]]="PAGADA",Tabla6[[#This Row],[FECHA]]-_xlfn.XLOOKUP(Tabla6[[#This Row],[N° FACTURA]],INGRESOS!F:F,INGRESOS!A:A),"-")</f>
        <v>-</v>
      </c>
      <c r="N1384" s="2"/>
      <c r="O1384"/>
    </row>
    <row r="1385" spans="1:15" ht="14.75" customHeight="1">
      <c r="A1385" s="320" t="s">
        <v>1201</v>
      </c>
      <c r="B1385" t="str">
        <f>+_xlfn.XLOOKUP(Tabla6[[#This Row],[ID CLIENTE]],'RESUMEN CLIENTES'!D:D,'RESUMEN CLIENTES'!A:A)</f>
        <v>María Soledad Tituana Asanza</v>
      </c>
      <c r="C1385" t="str">
        <f>+_xlfn.XLOOKUP(Tabla6[[#This Row],[ID CLIENTE]],'RESUMEN CLIENTES'!D:D,'RESUMEN CLIENTES'!C:C)</f>
        <v>Ecuador</v>
      </c>
      <c r="D1385" s="44" t="str">
        <f>+_xlfn.XLOOKUP(Tabla6[[#This Row],[ID CLIENTE]],'RESUMEN CLIENTES'!D:D,'RESUMEN CLIENTES'!M:M)</f>
        <v>OK</v>
      </c>
      <c r="E1385" s="72">
        <f>+_xlfn.XLOOKUP(Tabla6[[#This Row],[NOMBRE]],'RESUMEN CLIENTES'!A:A,'RESUMEN CLIENTES'!X:X)</f>
        <v>-0.16666666666666666</v>
      </c>
      <c r="F1385" s="72">
        <f>+_xlfn.XLOOKUP(Tabla6[[#This Row],[ID CLIENTE]],'RESUMEN CLIENTES'!D:D,'RESUMEN CLIENTES'!W:W)</f>
        <v>0</v>
      </c>
      <c r="G1385" s="17">
        <v>46172</v>
      </c>
      <c r="H1385" s="44" t="s">
        <v>81</v>
      </c>
      <c r="I1385" s="2">
        <v>1000</v>
      </c>
      <c r="J1385"/>
      <c r="K1385"/>
      <c r="L1385" s="44" t="str" cm="1">
        <f t="array" ref="L1385">+_xlfn.IFS(COUNTIF(INGRESOS!E:E,Tabla6[[#This Row],[ID FACTURA]])=1,"PAGADA",Tabla6[[#This Row],[ID FACTURA]]&lt;&gt;0,"EMITIDA",Tabla6[[#This Row],[ID FACTURA]]=0,"POR EMITIR")</f>
        <v>POR EMITIR</v>
      </c>
      <c r="M1385" s="55" t="str">
        <f>+IF(Tabla6[[#This Row],[ESTADO FACTURA]]="PAGADA",Tabla6[[#This Row],[FECHA]]-_xlfn.XLOOKUP(Tabla6[[#This Row],[N° FACTURA]],INGRESOS!F:F,INGRESOS!A:A),"-")</f>
        <v>-</v>
      </c>
      <c r="N1385" s="2"/>
      <c r="O1385"/>
    </row>
    <row r="1386" spans="1:15" ht="14.75" customHeight="1">
      <c r="A1386" s="320" t="s">
        <v>314</v>
      </c>
      <c r="B1386" t="str">
        <f>+_xlfn.XLOOKUP(Tabla6[[#This Row],[ID CLIENTE]],'RESUMEN CLIENTES'!D:D,'RESUMEN CLIENTES'!A:A)</f>
        <v>Miguel Angel Sisalima Shiña</v>
      </c>
      <c r="C1386" t="str">
        <f>+_xlfn.XLOOKUP(Tabla6[[#This Row],[ID CLIENTE]],'RESUMEN CLIENTES'!D:D,'RESUMEN CLIENTES'!C:C)</f>
        <v>Ecuador</v>
      </c>
      <c r="D1386" s="44" t="str">
        <f>+_xlfn.XLOOKUP(Tabla6[[#This Row],[ID CLIENTE]],'RESUMEN CLIENTES'!D:D,'RESUMEN CLIENTES'!M:M)</f>
        <v>OK</v>
      </c>
      <c r="E1386" s="72">
        <f>+_xlfn.XLOOKUP(Tabla6[[#This Row],[NOMBRE]],'RESUMEN CLIENTES'!A:A,'RESUMEN CLIENTES'!X:X)</f>
        <v>0.6</v>
      </c>
      <c r="F1386" s="72">
        <f>+_xlfn.XLOOKUP(Tabla6[[#This Row],[ID CLIENTE]],'RESUMEN CLIENTES'!D:D,'RESUMEN CLIENTES'!W:W)</f>
        <v>0</v>
      </c>
      <c r="G1386" s="17">
        <v>46172</v>
      </c>
      <c r="H1386" s="44" t="s">
        <v>81</v>
      </c>
      <c r="I1386" s="2">
        <v>1000</v>
      </c>
      <c r="J1386"/>
      <c r="K1386"/>
      <c r="L1386" s="44" t="str" cm="1">
        <f t="array" ref="L1386">+_xlfn.IFS(COUNTIF(INGRESOS!E:E,Tabla6[[#This Row],[ID FACTURA]])=1,"PAGADA",Tabla6[[#This Row],[ID FACTURA]]&lt;&gt;0,"EMITIDA",Tabla6[[#This Row],[ID FACTURA]]=0,"POR EMITIR")</f>
        <v>POR EMITIR</v>
      </c>
      <c r="M1386" s="55" t="str">
        <f>+IF(Tabla6[[#This Row],[ESTADO FACTURA]]="PAGADA",Tabla6[[#This Row],[FECHA]]-_xlfn.XLOOKUP(Tabla6[[#This Row],[N° FACTURA]],INGRESOS!F:F,INGRESOS!A:A),"-")</f>
        <v>-</v>
      </c>
      <c r="N1386" s="2"/>
      <c r="O1386"/>
    </row>
    <row r="1387" spans="1:15" ht="14.75" customHeight="1">
      <c r="A1387" s="320" t="s">
        <v>229</v>
      </c>
      <c r="B1387" t="str">
        <f>+_xlfn.XLOOKUP(Tabla6[[#This Row],[ID CLIENTE]],'RESUMEN CLIENTES'!D:D,'RESUMEN CLIENTES'!A:A)</f>
        <v>Nathaly Gabriela Henríquez Masín</v>
      </c>
      <c r="C1387" t="str">
        <f>+_xlfn.XLOOKUP(Tabla6[[#This Row],[ID CLIENTE]],'RESUMEN CLIENTES'!D:D,'RESUMEN CLIENTES'!C:C)</f>
        <v>El Salvador</v>
      </c>
      <c r="D1387" s="44" t="str">
        <f>+_xlfn.XLOOKUP(Tabla6[[#This Row],[ID CLIENTE]],'RESUMEN CLIENTES'!D:D,'RESUMEN CLIENTES'!M:M)</f>
        <v>OK</v>
      </c>
      <c r="E1387" s="72">
        <f>+_xlfn.XLOOKUP(Tabla6[[#This Row],[NOMBRE]],'RESUMEN CLIENTES'!A:A,'RESUMEN CLIENTES'!X:X)</f>
        <v>0.7</v>
      </c>
      <c r="F1387" s="72">
        <f>+_xlfn.XLOOKUP(Tabla6[[#This Row],[ID CLIENTE]],'RESUMEN CLIENTES'!D:D,'RESUMEN CLIENTES'!W:W)</f>
        <v>0</v>
      </c>
      <c r="G1387" s="17">
        <v>46172</v>
      </c>
      <c r="H1387" s="44" t="s">
        <v>81</v>
      </c>
      <c r="I1387" s="2">
        <v>500</v>
      </c>
      <c r="J1387"/>
      <c r="K1387"/>
      <c r="L1387" s="44" t="str" cm="1">
        <f t="array" ref="L1387">+_xlfn.IFS(COUNTIF(INGRESOS!E:E,Tabla6[[#This Row],[ID FACTURA]])=1,"PAGADA",Tabla6[[#This Row],[ID FACTURA]]&lt;&gt;0,"EMITIDA",Tabla6[[#This Row],[ID FACTURA]]=0,"POR EMITIR")</f>
        <v>POR EMITIR</v>
      </c>
      <c r="M1387" s="55" t="str">
        <f>+IF(Tabla6[[#This Row],[ESTADO FACTURA]]="PAGADA",Tabla6[[#This Row],[FECHA]]-_xlfn.XLOOKUP(Tabla6[[#This Row],[N° FACTURA]],INGRESOS!F:F,INGRESOS!A:A),"-")</f>
        <v>-</v>
      </c>
      <c r="N1387" s="2"/>
      <c r="O1387"/>
    </row>
    <row r="1388" spans="1:15" ht="14.75" customHeight="1">
      <c r="A1388" s="320" t="s">
        <v>350</v>
      </c>
      <c r="B1388" t="str">
        <f>+_xlfn.XLOOKUP(Tabla6[[#This Row],[ID CLIENTE]],'RESUMEN CLIENTES'!D:D,'RESUMEN CLIENTES'!A:A)</f>
        <v>Rainier Guerrero</v>
      </c>
      <c r="C1388" t="str">
        <f>+_xlfn.XLOOKUP(Tabla6[[#This Row],[ID CLIENTE]],'RESUMEN CLIENTES'!D:D,'RESUMEN CLIENTES'!C:C)</f>
        <v>México</v>
      </c>
      <c r="D1388" s="44" t="str">
        <f>+_xlfn.XLOOKUP(Tabla6[[#This Row],[ID CLIENTE]],'RESUMEN CLIENTES'!D:D,'RESUMEN CLIENTES'!M:M)</f>
        <v>OK</v>
      </c>
      <c r="E1388" s="72">
        <f>+_xlfn.XLOOKUP(Tabla6[[#This Row],[NOMBRE]],'RESUMEN CLIENTES'!A:A,'RESUMEN CLIENTES'!X:X)</f>
        <v>-0.3</v>
      </c>
      <c r="F1388" s="72">
        <f>+_xlfn.XLOOKUP(Tabla6[[#This Row],[ID CLIENTE]],'RESUMEN CLIENTES'!D:D,'RESUMEN CLIENTES'!W:W)</f>
        <v>1</v>
      </c>
      <c r="G1388" s="17">
        <v>46172</v>
      </c>
      <c r="H1388" s="44" t="s">
        <v>81</v>
      </c>
      <c r="I1388" s="2">
        <v>1000</v>
      </c>
      <c r="J1388"/>
      <c r="K1388"/>
      <c r="L1388" s="44" t="str" cm="1">
        <f t="array" ref="L1388">+_xlfn.IFS(COUNTIF(INGRESOS!E:E,Tabla6[[#This Row],[ID FACTURA]])=1,"PAGADA",Tabla6[[#This Row],[ID FACTURA]]&lt;&gt;0,"EMITIDA",Tabla6[[#This Row],[ID FACTURA]]=0,"POR EMITIR")</f>
        <v>POR EMITIR</v>
      </c>
      <c r="M1388" s="55" t="str">
        <f>+IF(Tabla6[[#This Row],[ESTADO FACTURA]]="PAGADA",Tabla6[[#This Row],[FECHA]]-_xlfn.XLOOKUP(Tabla6[[#This Row],[N° FACTURA]],INGRESOS!F:F,INGRESOS!A:A),"-")</f>
        <v>-</v>
      </c>
      <c r="N1388" s="2"/>
      <c r="O1388"/>
    </row>
    <row r="1389" spans="1:15" ht="14.75" customHeight="1">
      <c r="A1389" s="320" t="s">
        <v>527</v>
      </c>
      <c r="B1389" t="str">
        <f>+_xlfn.XLOOKUP(Tabla6[[#This Row],[ID CLIENTE]],'RESUMEN CLIENTES'!D:D,'RESUMEN CLIENTES'!A:A)</f>
        <v>Angie Pérez Cáceres</v>
      </c>
      <c r="C1389" t="str">
        <f>+_xlfn.XLOOKUP(Tabla6[[#This Row],[ID CLIENTE]],'RESUMEN CLIENTES'!D:D,'RESUMEN CLIENTES'!C:C)</f>
        <v>Perú</v>
      </c>
      <c r="D1389" s="44" t="str">
        <f>+_xlfn.XLOOKUP(Tabla6[[#This Row],[ID CLIENTE]],'RESUMEN CLIENTES'!D:D,'RESUMEN CLIENTES'!M:M)</f>
        <v>OK</v>
      </c>
      <c r="E1389" s="72">
        <f>+_xlfn.XLOOKUP(Tabla6[[#This Row],[NOMBRE]],'RESUMEN CLIENTES'!A:A,'RESUMEN CLIENTES'!X:X)</f>
        <v>1.625</v>
      </c>
      <c r="F1389" s="72">
        <f>+_xlfn.XLOOKUP(Tabla6[[#This Row],[ID CLIENTE]],'RESUMEN CLIENTES'!D:D,'RESUMEN CLIENTES'!W:W)</f>
        <v>0</v>
      </c>
      <c r="G1389" s="17">
        <v>46173</v>
      </c>
      <c r="H1389" s="44" t="s">
        <v>81</v>
      </c>
      <c r="I1389" s="2">
        <v>1000</v>
      </c>
      <c r="J1389"/>
      <c r="K1389"/>
      <c r="L1389" s="44" t="str" cm="1">
        <f t="array" ref="L1389">+_xlfn.IFS(COUNTIF(INGRESOS!E:E,Tabla6[[#This Row],[ID FACTURA]])=1,"PAGADA",Tabla6[[#This Row],[ID FACTURA]]&lt;&gt;0,"EMITIDA",Tabla6[[#This Row],[ID FACTURA]]=0,"POR EMITIR")</f>
        <v>POR EMITIR</v>
      </c>
      <c r="M1389" s="55" t="str">
        <f>+IF(Tabla6[[#This Row],[ESTADO FACTURA]]="PAGADA",Tabla6[[#This Row],[FECHA]]-_xlfn.XLOOKUP(Tabla6[[#This Row],[N° FACTURA]],INGRESOS!F:F,INGRESOS!A:A),"-")</f>
        <v>-</v>
      </c>
      <c r="N1389" s="2"/>
      <c r="O1389"/>
    </row>
    <row r="1390" spans="1:15" ht="14.75" customHeight="1">
      <c r="A1390" s="320" t="s">
        <v>197</v>
      </c>
      <c r="B1390" t="str">
        <f>+_xlfn.XLOOKUP(Tabla6[[#This Row],[ID CLIENTE]],'RESUMEN CLIENTES'!D:D,'RESUMEN CLIENTES'!A:A)</f>
        <v>Lina Estrada</v>
      </c>
      <c r="C1390" s="15" t="str">
        <f>+_xlfn.XLOOKUP(Tabla6[[#This Row],[ID CLIENTE]],'RESUMEN CLIENTES'!D:D,'RESUMEN CLIENTES'!C:C)</f>
        <v>Colombia</v>
      </c>
      <c r="D1390" s="169" t="str">
        <f>+_xlfn.XLOOKUP(Tabla6[[#This Row],[ID CLIENTE]],'RESUMEN CLIENTES'!D:D,'RESUMEN CLIENTES'!M:M)</f>
        <v>¡REGULARIZAR!</v>
      </c>
      <c r="E1390" s="71">
        <f>+_xlfn.XLOOKUP(Tabla6[[#This Row],[NOMBRE]],'RESUMEN CLIENTES'!A:A,'RESUMEN CLIENTES'!X:X)</f>
        <v>0.5</v>
      </c>
      <c r="F1390" s="71">
        <f>+_xlfn.XLOOKUP(Tabla6[[#This Row],[ID CLIENTE]],'RESUMEN CLIENTES'!D:D,'RESUMEN CLIENTES'!W:W)</f>
        <v>0</v>
      </c>
      <c r="G1390" s="17">
        <v>46173</v>
      </c>
      <c r="H1390" s="169" t="s">
        <v>1669</v>
      </c>
      <c r="I1390" s="2">
        <v>800</v>
      </c>
      <c r="J1390"/>
      <c r="K1390"/>
      <c r="L1390" s="44" t="str" cm="1">
        <f t="array" ref="L1390">+_xlfn.IFS(COUNTIF(INGRESOS!E:E,Tabla6[[#This Row],[ID FACTURA]])=1,"PAGADA",Tabla6[[#This Row],[ID FACTURA]]&lt;&gt;0,"EMITIDA",Tabla6[[#This Row],[ID FACTURA]]=0,"POR EMITIR")</f>
        <v>POR EMITIR</v>
      </c>
      <c r="M1390" s="54" t="str">
        <f>+IF(Tabla6[[#This Row],[ESTADO FACTURA]]="PAGADA",Tabla6[[#This Row],[FECHA]]-_xlfn.XLOOKUP(Tabla6[[#This Row],[N° FACTURA]],INGRESOS!F:F,INGRESOS!A:A),"-")</f>
        <v>-</v>
      </c>
      <c r="O1390"/>
    </row>
    <row r="1391" spans="1:15" ht="14.75" customHeight="1">
      <c r="A1391" s="320" t="s">
        <v>1245</v>
      </c>
      <c r="B1391" t="str">
        <f>+_xlfn.XLOOKUP(Tabla6[[#This Row],[ID CLIENTE]],'RESUMEN CLIENTES'!D:D,'RESUMEN CLIENTES'!A:A)</f>
        <v>Constanza Andrea Águila Vergara</v>
      </c>
      <c r="C1391" t="str">
        <f>+_xlfn.XLOOKUP(Tabla6[[#This Row],[ID CLIENTE]],'RESUMEN CLIENTES'!D:D,'RESUMEN CLIENTES'!C:C)</f>
        <v>Chile</v>
      </c>
      <c r="D1391" s="44" t="str">
        <f>+_xlfn.XLOOKUP(Tabla6[[#This Row],[ID CLIENTE]],'RESUMEN CLIENTES'!D:D,'RESUMEN CLIENTES'!M:M)</f>
        <v>OK</v>
      </c>
      <c r="E1391" s="71">
        <f>+_xlfn.XLOOKUP(Tabla6[[#This Row],[NOMBRE]],'RESUMEN CLIENTES'!A:A,'RESUMEN CLIENTES'!X:X)</f>
        <v>-0.2</v>
      </c>
      <c r="F1391" s="71">
        <f>+_xlfn.XLOOKUP(Tabla6[[#This Row],[ID CLIENTE]],'RESUMEN CLIENTES'!D:D,'RESUMEN CLIENTES'!W:W)</f>
        <v>1</v>
      </c>
      <c r="G1391" s="17">
        <v>46174</v>
      </c>
      <c r="H1391" s="44" t="s">
        <v>81</v>
      </c>
      <c r="I1391" s="2">
        <v>1000</v>
      </c>
      <c r="J1391"/>
      <c r="K1391"/>
      <c r="L1391" s="44" t="str" cm="1">
        <f t="array" ref="L1391">+_xlfn.IFS(COUNTIF(INGRESOS!E:E,Tabla6[[#This Row],[ID FACTURA]])=1,"PAGADA",Tabla6[[#This Row],[ID FACTURA]]&lt;&gt;0,"EMITIDA",Tabla6[[#This Row],[ID FACTURA]]=0,"POR EMITIR")</f>
        <v>POR EMITIR</v>
      </c>
      <c r="M1391" s="55" t="str">
        <f>+IF(Tabla6[[#This Row],[ESTADO FACTURA]]="PAGADA",Tabla6[[#This Row],[FECHA]]-_xlfn.XLOOKUP(Tabla6[[#This Row],[N° FACTURA]],INGRESOS!F:F,INGRESOS!A:A),"-")</f>
        <v>-</v>
      </c>
      <c r="N1391" s="2"/>
      <c r="O1391"/>
    </row>
    <row r="1392" spans="1:15" ht="14.75" customHeight="1">
      <c r="A1392" s="320" t="s">
        <v>1178</v>
      </c>
      <c r="B1392" t="str">
        <f>+_xlfn.XLOOKUP(Tabla6[[#This Row],[ID CLIENTE]],'RESUMEN CLIENTES'!D:D,'RESUMEN CLIENTES'!A:A)</f>
        <v>Daniel Flores</v>
      </c>
      <c r="C1392" t="str">
        <f>+_xlfn.XLOOKUP(Tabla6[[#This Row],[ID CLIENTE]],'RESUMEN CLIENTES'!D:D,'RESUMEN CLIENTES'!C:C)</f>
        <v>Ecuador</v>
      </c>
      <c r="D1392" s="44" t="str">
        <f>+_xlfn.XLOOKUP(Tabla6[[#This Row],[ID CLIENTE]],'RESUMEN CLIENTES'!D:D,'RESUMEN CLIENTES'!M:M)</f>
        <v>OK</v>
      </c>
      <c r="E1392" s="72">
        <f>+_xlfn.XLOOKUP(Tabla6[[#This Row],[NOMBRE]],'RESUMEN CLIENTES'!A:A,'RESUMEN CLIENTES'!X:X)</f>
        <v>3.8333333333333335</v>
      </c>
      <c r="F1392" s="72">
        <f>+_xlfn.XLOOKUP(Tabla6[[#This Row],[ID CLIENTE]],'RESUMEN CLIENTES'!D:D,'RESUMEN CLIENTES'!W:W)</f>
        <v>1</v>
      </c>
      <c r="G1392" s="17">
        <v>46174</v>
      </c>
      <c r="H1392" s="44" t="s">
        <v>81</v>
      </c>
      <c r="I1392" s="2">
        <v>850</v>
      </c>
      <c r="J1392"/>
      <c r="K1392"/>
      <c r="L1392" s="44" t="str" cm="1">
        <f t="array" ref="L1392">+_xlfn.IFS(COUNTIF(INGRESOS!E:E,Tabla6[[#This Row],[ID FACTURA]])=1,"PAGADA",Tabla6[[#This Row],[ID FACTURA]]&lt;&gt;0,"EMITIDA",Tabla6[[#This Row],[ID FACTURA]]=0,"POR EMITIR")</f>
        <v>POR EMITIR</v>
      </c>
      <c r="M1392" s="55" t="str">
        <f>+IF(Tabla6[[#This Row],[ESTADO FACTURA]]="PAGADA",Tabla6[[#This Row],[FECHA]]-_xlfn.XLOOKUP(Tabla6[[#This Row],[N° FACTURA]],INGRESOS!F:F,INGRESOS!A:A),"-")</f>
        <v>-</v>
      </c>
      <c r="N1392" s="2"/>
      <c r="O1392"/>
    </row>
    <row r="1393" spans="1:15" ht="14.75" customHeight="1">
      <c r="A1393" s="321" t="s">
        <v>1899</v>
      </c>
      <c r="B1393" t="str">
        <f>+_xlfn.XLOOKUP(Tabla6[[#This Row],[ID CLIENTE]],'RESUMEN CLIENTES'!D:D,'RESUMEN CLIENTES'!A:A)</f>
        <v>Johan Martínez</v>
      </c>
      <c r="C1393" t="str">
        <f>+_xlfn.XLOOKUP(Tabla6[[#This Row],[ID CLIENTE]],'RESUMEN CLIENTES'!D:D,'RESUMEN CLIENTES'!C:C)</f>
        <v>Colombia</v>
      </c>
      <c r="D1393" s="169" t="str">
        <f>+_xlfn.XLOOKUP(Tabla6[[#This Row],[ID CLIENTE]],'RESUMEN CLIENTES'!D:D,'RESUMEN CLIENTES'!M:M)</f>
        <v>OK</v>
      </c>
      <c r="E1393" s="71">
        <f>+_xlfn.XLOOKUP(Tabla6[[#This Row],[NOMBRE]],'RESUMEN CLIENTES'!A:A,'RESUMEN CLIENTES'!X:X)</f>
        <v>-0.66666666666666663</v>
      </c>
      <c r="F1393" s="71">
        <f>+_xlfn.XLOOKUP(Tabla6[[#This Row],[ID CLIENTE]],'RESUMEN CLIENTES'!D:D,'RESUMEN CLIENTES'!W:W)</f>
        <v>0</v>
      </c>
      <c r="G1393" s="17">
        <v>46174</v>
      </c>
      <c r="H1393" s="169" t="s">
        <v>81</v>
      </c>
      <c r="I1393" s="2">
        <v>1000</v>
      </c>
      <c r="J1393"/>
      <c r="K1393"/>
      <c r="L1393" s="44" t="str" cm="1">
        <f t="array" ref="L1393">+_xlfn.IFS(COUNTIF(INGRESOS!E:E,Tabla6[[#This Row],[ID FACTURA]])=1,"PAGADA",Tabla6[[#This Row],[ID FACTURA]]&lt;&gt;0,"EMITIDA",Tabla6[[#This Row],[ID FACTURA]]=0,"POR EMITIR")</f>
        <v>POR EMITIR</v>
      </c>
      <c r="M1393" s="54" t="str">
        <f>+IF(Tabla6[[#This Row],[ESTADO FACTURA]]="PAGADA",Tabla6[[#This Row],[FECHA]]-_xlfn.XLOOKUP(Tabla6[[#This Row],[N° FACTURA]],INGRESOS!F:F,INGRESOS!A:A),"-")</f>
        <v>-</v>
      </c>
      <c r="O1393"/>
    </row>
    <row r="1394" spans="1:15" ht="14.75" customHeight="1">
      <c r="A1394" s="320" t="s">
        <v>6035</v>
      </c>
      <c r="B1394" t="str">
        <f>+_xlfn.XLOOKUP(Tabla6[[#This Row],[ID CLIENTE]],'RESUMEN CLIENTES'!D:D,'RESUMEN CLIENTES'!A:A)</f>
        <v>Ari Sifuentes Becerra</v>
      </c>
      <c r="C1394" s="15" t="str">
        <f>+_xlfn.XLOOKUP(Tabla6[[#This Row],[ID CLIENTE]],'RESUMEN CLIENTES'!D:D,'RESUMEN CLIENTES'!C:C)</f>
        <v>México</v>
      </c>
      <c r="D1394" s="169" t="str">
        <f>+_xlfn.XLOOKUP(Tabla6[[#This Row],[ID CLIENTE]],'RESUMEN CLIENTES'!D:D,'RESUMEN CLIENTES'!M:M)</f>
        <v>OK</v>
      </c>
      <c r="E1394" s="71">
        <f>+_xlfn.XLOOKUP(Tabla6[[#This Row],[NOMBRE]],'RESUMEN CLIENTES'!A:A,'RESUMEN CLIENTES'!X:X)</f>
        <v>-1</v>
      </c>
      <c r="F1394" s="71">
        <f>+_xlfn.XLOOKUP(Tabla6[[#This Row],[ID CLIENTE]],'RESUMEN CLIENTES'!D:D,'RESUMEN CLIENTES'!W:W)</f>
        <v>0</v>
      </c>
      <c r="G1394" s="17">
        <v>46175</v>
      </c>
      <c r="H1394" s="169" t="s">
        <v>81</v>
      </c>
      <c r="I1394" s="2">
        <v>1000</v>
      </c>
      <c r="J1394"/>
      <c r="K1394"/>
      <c r="L1394" s="44" t="str" cm="1">
        <f t="array" ref="L1394">+_xlfn.IFS(COUNTIF(INGRESOS!E:E,Tabla6[[#This Row],[ID FACTURA]])=1,"PAGADA",Tabla6[[#This Row],[ID FACTURA]]&lt;&gt;0,"EMITIDA",Tabla6[[#This Row],[ID FACTURA]]=0,"POR EMITIR")</f>
        <v>POR EMITIR</v>
      </c>
      <c r="M1394" s="54" t="str">
        <f>+IF(Tabla6[[#This Row],[ESTADO FACTURA]]="PAGADA",Tabla6[[#This Row],[FECHA]]-_xlfn.XLOOKUP(Tabla6[[#This Row],[N° FACTURA]],INGRESOS!F:F,INGRESOS!A:A),"-")</f>
        <v>-</v>
      </c>
      <c r="O1394"/>
    </row>
    <row r="1395" spans="1:15" ht="14.75" customHeight="1">
      <c r="A1395" s="320" t="s">
        <v>695</v>
      </c>
      <c r="B1395" t="str">
        <f>+_xlfn.XLOOKUP(Tabla6[[#This Row],[ID CLIENTE]],'RESUMEN CLIENTES'!D:D,'RESUMEN CLIENTES'!A:A)</f>
        <v>Olguer Ariel Pruna Herrera</v>
      </c>
      <c r="C1395" t="str">
        <f>+_xlfn.XLOOKUP(Tabla6[[#This Row],[ID CLIENTE]],'RESUMEN CLIENTES'!D:D,'RESUMEN CLIENTES'!C:C)</f>
        <v>Ecuador</v>
      </c>
      <c r="D1395" s="44" t="str">
        <f>+_xlfn.XLOOKUP(Tabla6[[#This Row],[ID CLIENTE]],'RESUMEN CLIENTES'!D:D,'RESUMEN CLIENTES'!M:M)</f>
        <v>OK</v>
      </c>
      <c r="E1395" s="72">
        <f>+_xlfn.XLOOKUP(Tabla6[[#This Row],[NOMBRE]],'RESUMEN CLIENTES'!A:A,'RESUMEN CLIENTES'!X:X)</f>
        <v>0.25</v>
      </c>
      <c r="F1395" s="72">
        <f>+_xlfn.XLOOKUP(Tabla6[[#This Row],[ID CLIENTE]],'RESUMEN CLIENTES'!D:D,'RESUMEN CLIENTES'!W:W)</f>
        <v>1</v>
      </c>
      <c r="G1395" s="17">
        <v>46175</v>
      </c>
      <c r="H1395" s="44" t="s">
        <v>81</v>
      </c>
      <c r="I1395" s="2">
        <v>1000</v>
      </c>
      <c r="J1395"/>
      <c r="K1395"/>
      <c r="L1395" s="44" t="str" cm="1">
        <f t="array" ref="L1395">+_xlfn.IFS(COUNTIF(INGRESOS!E:E,Tabla6[[#This Row],[ID FACTURA]])=1,"PAGADA",Tabla6[[#This Row],[ID FACTURA]]&lt;&gt;0,"EMITIDA",Tabla6[[#This Row],[ID FACTURA]]=0,"POR EMITIR")</f>
        <v>POR EMITIR</v>
      </c>
      <c r="M1395" s="55" t="str">
        <f>+IF(Tabla6[[#This Row],[ESTADO FACTURA]]="PAGADA",Tabla6[[#This Row],[FECHA]]-_xlfn.XLOOKUP(Tabla6[[#This Row],[N° FACTURA]],INGRESOS!F:F,INGRESOS!A:A),"-")</f>
        <v>-</v>
      </c>
      <c r="N1395" s="2"/>
      <c r="O1395"/>
    </row>
    <row r="1396" spans="1:15" ht="14.75" customHeight="1">
      <c r="A1396" s="320" t="s">
        <v>221</v>
      </c>
      <c r="B1396" t="str">
        <f>+_xlfn.XLOOKUP(Tabla6[[#This Row],[ID CLIENTE]],'RESUMEN CLIENTES'!D:D,'RESUMEN CLIENTES'!A:A)</f>
        <v>Angel Martin Alarcon Macias</v>
      </c>
      <c r="C1396" t="str">
        <f>+_xlfn.XLOOKUP(Tabla6[[#This Row],[ID CLIENTE]],'RESUMEN CLIENTES'!D:D,'RESUMEN CLIENTES'!C:C)</f>
        <v>Ecuador</v>
      </c>
      <c r="D1396" s="44" t="str">
        <f>+_xlfn.XLOOKUP(Tabla6[[#This Row],[ID CLIENTE]],'RESUMEN CLIENTES'!D:D,'RESUMEN CLIENTES'!M:M)</f>
        <v>¡REGULARIZAR!</v>
      </c>
      <c r="E1396" s="72">
        <f>+_xlfn.XLOOKUP(Tabla6[[#This Row],[NOMBRE]],'RESUMEN CLIENTES'!A:A,'RESUMEN CLIENTES'!X:X)</f>
        <v>-0.5</v>
      </c>
      <c r="F1396" s="72">
        <f>+_xlfn.XLOOKUP(Tabla6[[#This Row],[ID CLIENTE]],'RESUMEN CLIENTES'!D:D,'RESUMEN CLIENTES'!W:W)</f>
        <v>0</v>
      </c>
      <c r="G1396" s="17">
        <v>46176</v>
      </c>
      <c r="H1396" s="44" t="s">
        <v>81</v>
      </c>
      <c r="I1396" s="2">
        <v>625</v>
      </c>
      <c r="J1396"/>
      <c r="K1396"/>
      <c r="L1396" s="44" t="str" cm="1">
        <f t="array" ref="L1396">+_xlfn.IFS(COUNTIF(INGRESOS!E:E,Tabla6[[#This Row],[ID FACTURA]])=1,"PAGADA",Tabla6[[#This Row],[ID FACTURA]]&lt;&gt;0,"EMITIDA",Tabla6[[#This Row],[ID FACTURA]]=0,"POR EMITIR")</f>
        <v>POR EMITIR</v>
      </c>
      <c r="M1396" s="55" t="str">
        <f>+IF(Tabla6[[#This Row],[ESTADO FACTURA]]="PAGADA",Tabla6[[#This Row],[FECHA]]-_xlfn.XLOOKUP(Tabla6[[#This Row],[N° FACTURA]],INGRESOS!F:F,INGRESOS!A:A),"-")</f>
        <v>-</v>
      </c>
      <c r="N1396" s="2"/>
      <c r="O1396"/>
    </row>
    <row r="1397" spans="1:15" ht="14.75" customHeight="1">
      <c r="A1397" s="320" t="s">
        <v>1248</v>
      </c>
      <c r="B1397" t="str">
        <f>+_xlfn.XLOOKUP(Tabla6[[#This Row],[ID CLIENTE]],'RESUMEN CLIENTES'!D:D,'RESUMEN CLIENTES'!A:A)</f>
        <v>Emily Vanessa Tapia Villalobos</v>
      </c>
      <c r="C1397" t="str">
        <f>+_xlfn.XLOOKUP(Tabla6[[#This Row],[ID CLIENTE]],'RESUMEN CLIENTES'!D:D,'RESUMEN CLIENTES'!C:C)</f>
        <v>Chile</v>
      </c>
      <c r="D1397" s="44" t="str">
        <f>+_xlfn.XLOOKUP(Tabla6[[#This Row],[ID CLIENTE]],'RESUMEN CLIENTES'!D:D,'RESUMEN CLIENTES'!M:M)</f>
        <v>OK</v>
      </c>
      <c r="E1397" s="71">
        <f>+_xlfn.XLOOKUP(Tabla6[[#This Row],[NOMBRE]],'RESUMEN CLIENTES'!A:A,'RESUMEN CLIENTES'!X:X)</f>
        <v>0.33333333333333331</v>
      </c>
      <c r="F1397" s="71">
        <f>+_xlfn.XLOOKUP(Tabla6[[#This Row],[ID CLIENTE]],'RESUMEN CLIENTES'!D:D,'RESUMEN CLIENTES'!W:W)</f>
        <v>0</v>
      </c>
      <c r="G1397" s="17">
        <v>46176</v>
      </c>
      <c r="H1397" s="44" t="s">
        <v>81</v>
      </c>
      <c r="I1397" s="2">
        <v>1000</v>
      </c>
      <c r="J1397"/>
      <c r="K1397"/>
      <c r="L1397" s="44" t="str" cm="1">
        <f t="array" ref="L1397">+_xlfn.IFS(COUNTIF(INGRESOS!E:E,Tabla6[[#This Row],[ID FACTURA]])=1,"PAGADA",Tabla6[[#This Row],[ID FACTURA]]&lt;&gt;0,"EMITIDA",Tabla6[[#This Row],[ID FACTURA]]=0,"POR EMITIR")</f>
        <v>POR EMITIR</v>
      </c>
      <c r="M1397" s="55" t="str">
        <f>+IF(Tabla6[[#This Row],[ESTADO FACTURA]]="PAGADA",Tabla6[[#This Row],[FECHA]]-_xlfn.XLOOKUP(Tabla6[[#This Row],[N° FACTURA]],INGRESOS!F:F,INGRESOS!A:A),"-")</f>
        <v>-</v>
      </c>
      <c r="N1397" s="2"/>
      <c r="O1397"/>
    </row>
    <row r="1398" spans="1:15" ht="14.75" customHeight="1">
      <c r="A1398" s="320" t="s">
        <v>1251</v>
      </c>
      <c r="B1398" t="str">
        <f>+_xlfn.XLOOKUP(Tabla6[[#This Row],[ID CLIENTE]],'RESUMEN CLIENTES'!D:D,'RESUMEN CLIENTES'!A:A)</f>
        <v>Erick Ernesto Angulo Campos</v>
      </c>
      <c r="C1398" t="str">
        <f>+_xlfn.XLOOKUP(Tabla6[[#This Row],[ID CLIENTE]],'RESUMEN CLIENTES'!D:D,'RESUMEN CLIENTES'!C:C)</f>
        <v>Chile</v>
      </c>
      <c r="D1398" s="44" t="str">
        <f>+_xlfn.XLOOKUP(Tabla6[[#This Row],[ID CLIENTE]],'RESUMEN CLIENTES'!D:D,'RESUMEN CLIENTES'!M:M)</f>
        <v>OK</v>
      </c>
      <c r="E1398" s="71">
        <f>+_xlfn.XLOOKUP(Tabla6[[#This Row],[NOMBRE]],'RESUMEN CLIENTES'!A:A,'RESUMEN CLIENTES'!X:X)</f>
        <v>-0.66666666666666663</v>
      </c>
      <c r="F1398" s="71">
        <f>+_xlfn.XLOOKUP(Tabla6[[#This Row],[ID CLIENTE]],'RESUMEN CLIENTES'!D:D,'RESUMEN CLIENTES'!W:W)</f>
        <v>0</v>
      </c>
      <c r="G1398" s="17">
        <v>46176</v>
      </c>
      <c r="H1398" s="44" t="s">
        <v>81</v>
      </c>
      <c r="I1398" s="2">
        <v>1000</v>
      </c>
      <c r="J1398"/>
      <c r="K1398"/>
      <c r="L1398" s="44" t="str" cm="1">
        <f t="array" ref="L1398">+_xlfn.IFS(COUNTIF(INGRESOS!E:E,Tabla6[[#This Row],[ID FACTURA]])=1,"PAGADA",Tabla6[[#This Row],[ID FACTURA]]&lt;&gt;0,"EMITIDA",Tabla6[[#This Row],[ID FACTURA]]=0,"POR EMITIR")</f>
        <v>POR EMITIR</v>
      </c>
      <c r="M1398" s="55" t="str">
        <f>+IF(Tabla6[[#This Row],[ESTADO FACTURA]]="PAGADA",Tabla6[[#This Row],[FECHA]]-_xlfn.XLOOKUP(Tabla6[[#This Row],[N° FACTURA]],INGRESOS!F:F,INGRESOS!A:A),"-")</f>
        <v>-</v>
      </c>
      <c r="N1398" s="2"/>
      <c r="O1398"/>
    </row>
    <row r="1399" spans="1:15" ht="14.75" customHeight="1">
      <c r="A1399" s="320" t="s">
        <v>258</v>
      </c>
      <c r="B1399" t="str">
        <f>+_xlfn.XLOOKUP(Tabla6[[#This Row],[ID CLIENTE]],'RESUMEN CLIENTES'!D:D,'RESUMEN CLIENTES'!A:A)</f>
        <v>Maria Laura Rios Pino</v>
      </c>
      <c r="C1399" t="str">
        <f>+_xlfn.XLOOKUP(Tabla6[[#This Row],[ID CLIENTE]],'RESUMEN CLIENTES'!D:D,'RESUMEN CLIENTES'!C:C)</f>
        <v>Perú</v>
      </c>
      <c r="D1399" s="44" t="str">
        <f>+_xlfn.XLOOKUP(Tabla6[[#This Row],[ID CLIENTE]],'RESUMEN CLIENTES'!D:D,'RESUMEN CLIENTES'!M:M)</f>
        <v>OK</v>
      </c>
      <c r="E1399" s="72">
        <f>+_xlfn.XLOOKUP(Tabla6[[#This Row],[NOMBRE]],'RESUMEN CLIENTES'!A:A,'RESUMEN CLIENTES'!X:X)</f>
        <v>1.4545454545454546</v>
      </c>
      <c r="F1399" s="72">
        <f>+_xlfn.XLOOKUP(Tabla6[[#This Row],[ID CLIENTE]],'RESUMEN CLIENTES'!D:D,'RESUMEN CLIENTES'!W:W)</f>
        <v>0</v>
      </c>
      <c r="G1399" s="17">
        <v>46176</v>
      </c>
      <c r="H1399" s="44" t="s">
        <v>81</v>
      </c>
      <c r="I1399" s="19">
        <v>750</v>
      </c>
      <c r="J1399"/>
      <c r="K1399"/>
      <c r="L1399" s="44" t="str" cm="1">
        <f t="array" ref="L1399">+_xlfn.IFS(COUNTIF(INGRESOS!E:E,Tabla6[[#This Row],[ID FACTURA]])=1,"PAGADA",Tabla6[[#This Row],[ID FACTURA]]&lt;&gt;0,"EMITIDA",Tabla6[[#This Row],[ID FACTURA]]=0,"POR EMITIR")</f>
        <v>POR EMITIR</v>
      </c>
      <c r="M1399" s="55" t="str">
        <f>+IF(Tabla6[[#This Row],[ESTADO FACTURA]]="PAGADA",Tabla6[[#This Row],[FECHA]]-_xlfn.XLOOKUP(Tabla6[[#This Row],[N° FACTURA]],INGRESOS!F:F,INGRESOS!A:A),"-")</f>
        <v>-</v>
      </c>
      <c r="N1399" s="19"/>
      <c r="O1399"/>
    </row>
    <row r="1400" spans="1:15" ht="14.75" customHeight="1">
      <c r="A1400" s="320" t="s">
        <v>912</v>
      </c>
      <c r="B1400" t="str">
        <f>+_xlfn.XLOOKUP(Tabla6[[#This Row],[ID CLIENTE]],'RESUMEN CLIENTES'!D:D,'RESUMEN CLIENTES'!A:A)</f>
        <v>Vanessa Villarreal Villareal</v>
      </c>
      <c r="C1400" t="str">
        <f>+_xlfn.XLOOKUP(Tabla6[[#This Row],[ID CLIENTE]],'RESUMEN CLIENTES'!D:D,'RESUMEN CLIENTES'!C:C)</f>
        <v>Ecuador</v>
      </c>
      <c r="D1400" s="44" t="str">
        <f>+_xlfn.XLOOKUP(Tabla6[[#This Row],[ID CLIENTE]],'RESUMEN CLIENTES'!D:D,'RESUMEN CLIENTES'!M:M)</f>
        <v>OK</v>
      </c>
      <c r="E1400" s="72">
        <f>+_xlfn.XLOOKUP(Tabla6[[#This Row],[NOMBRE]],'RESUMEN CLIENTES'!A:A,'RESUMEN CLIENTES'!X:X)</f>
        <v>-9.1428571428571423</v>
      </c>
      <c r="F1400" s="72">
        <f>+_xlfn.XLOOKUP(Tabla6[[#This Row],[ID CLIENTE]],'RESUMEN CLIENTES'!D:D,'RESUMEN CLIENTES'!W:W)</f>
        <v>1</v>
      </c>
      <c r="G1400" s="17">
        <v>46176</v>
      </c>
      <c r="H1400" s="44" t="s">
        <v>81</v>
      </c>
      <c r="I1400" s="2">
        <v>1000</v>
      </c>
      <c r="J1400"/>
      <c r="K1400"/>
      <c r="L1400" s="44" t="str" cm="1">
        <f t="array" ref="L1400">+_xlfn.IFS(COUNTIF(INGRESOS!E:E,Tabla6[[#This Row],[ID FACTURA]])=1,"PAGADA",Tabla6[[#This Row],[ID FACTURA]]&lt;&gt;0,"EMITIDA",Tabla6[[#This Row],[ID FACTURA]]=0,"POR EMITIR")</f>
        <v>POR EMITIR</v>
      </c>
      <c r="M1400" s="55" t="str">
        <f>+IF(Tabla6[[#This Row],[ESTADO FACTURA]]="PAGADA",Tabla6[[#This Row],[FECHA]]-_xlfn.XLOOKUP(Tabla6[[#This Row],[N° FACTURA]],INGRESOS!F:F,INGRESOS!A:A),"-")</f>
        <v>-</v>
      </c>
      <c r="N1400" s="2"/>
      <c r="O1400"/>
    </row>
    <row r="1401" spans="1:15" ht="14.75" customHeight="1">
      <c r="A1401" s="320" t="s">
        <v>1556</v>
      </c>
      <c r="B1401" t="str">
        <f>+_xlfn.XLOOKUP(Tabla6[[#This Row],[ID CLIENTE]],'RESUMEN CLIENTES'!D:D,'RESUMEN CLIENTES'!A:A)</f>
        <v>Claudia Nivon Chacón</v>
      </c>
      <c r="C1401" t="str">
        <f>+_xlfn.XLOOKUP(Tabla6[[#This Row],[ID CLIENTE]],'RESUMEN CLIENTES'!D:D,'RESUMEN CLIENTES'!C:C)</f>
        <v>México</v>
      </c>
      <c r="D1401" s="44" t="str">
        <f>+_xlfn.XLOOKUP(Tabla6[[#This Row],[ID CLIENTE]],'RESUMEN CLIENTES'!D:D,'RESUMEN CLIENTES'!M:M)</f>
        <v>OK</v>
      </c>
      <c r="E1401" s="71">
        <f>+_xlfn.XLOOKUP(Tabla6[[#This Row],[NOMBRE]],'RESUMEN CLIENTES'!A:A,'RESUMEN CLIENTES'!X:X)</f>
        <v>0.4</v>
      </c>
      <c r="F1401" s="71">
        <f>+_xlfn.XLOOKUP(Tabla6[[#This Row],[ID CLIENTE]],'RESUMEN CLIENTES'!D:D,'RESUMEN CLIENTES'!W:W)</f>
        <v>0</v>
      </c>
      <c r="G1401" s="17">
        <v>46177</v>
      </c>
      <c r="H1401" s="169" t="s">
        <v>81</v>
      </c>
      <c r="I1401" s="2">
        <v>1136.6300000000001</v>
      </c>
      <c r="J1401"/>
      <c r="K1401"/>
      <c r="L1401" s="44" t="str" cm="1">
        <f t="array" ref="L1401">+_xlfn.IFS(COUNTIF(INGRESOS!E:E,Tabla6[[#This Row],[ID FACTURA]])=1,"PAGADA",Tabla6[[#This Row],[ID FACTURA]]&lt;&gt;0,"EMITIDA",Tabla6[[#This Row],[ID FACTURA]]=0,"POR EMITIR")</f>
        <v>POR EMITIR</v>
      </c>
      <c r="M1401" s="55" t="str">
        <f>+IF(Tabla6[[#This Row],[ESTADO FACTURA]]="PAGADA",Tabla6[[#This Row],[FECHA]]-_xlfn.XLOOKUP(Tabla6[[#This Row],[N° FACTURA]],INGRESOS!F:F,INGRESOS!A:A),"-")</f>
        <v>-</v>
      </c>
      <c r="N1401" s="2"/>
      <c r="O1401"/>
    </row>
    <row r="1402" spans="1:15" ht="14.75" customHeight="1">
      <c r="A1402" s="320" t="s">
        <v>407</v>
      </c>
      <c r="B1402" t="str">
        <f>+_xlfn.XLOOKUP(Tabla6[[#This Row],[ID CLIENTE]],'RESUMEN CLIENTES'!D:D,'RESUMEN CLIENTES'!A:A)</f>
        <v>Mayra Leonor Rivera Paico</v>
      </c>
      <c r="C1402" t="str">
        <f>+_xlfn.XLOOKUP(Tabla6[[#This Row],[ID CLIENTE]],'RESUMEN CLIENTES'!D:D,'RESUMEN CLIENTES'!C:C)</f>
        <v>Perú</v>
      </c>
      <c r="D1402" s="44" t="str">
        <f>+_xlfn.XLOOKUP(Tabla6[[#This Row],[ID CLIENTE]],'RESUMEN CLIENTES'!D:D,'RESUMEN CLIENTES'!M:M)</f>
        <v>OK</v>
      </c>
      <c r="E1402" s="72">
        <f>+_xlfn.XLOOKUP(Tabla6[[#This Row],[NOMBRE]],'RESUMEN CLIENTES'!A:A,'RESUMEN CLIENTES'!X:X)</f>
        <v>-0.22222222222222221</v>
      </c>
      <c r="F1402" s="72">
        <f>+_xlfn.XLOOKUP(Tabla6[[#This Row],[ID CLIENTE]],'RESUMEN CLIENTES'!D:D,'RESUMEN CLIENTES'!W:W)</f>
        <v>0</v>
      </c>
      <c r="G1402" s="17">
        <v>46177</v>
      </c>
      <c r="H1402" s="44" t="s">
        <v>81</v>
      </c>
      <c r="I1402" s="2">
        <v>1000</v>
      </c>
      <c r="J1402"/>
      <c r="K1402"/>
      <c r="L1402" s="44" t="str" cm="1">
        <f t="array" ref="L1402">+_xlfn.IFS(COUNTIF(INGRESOS!E:E,Tabla6[[#This Row],[ID FACTURA]])=1,"PAGADA",Tabla6[[#This Row],[ID FACTURA]]&lt;&gt;0,"EMITIDA",Tabla6[[#This Row],[ID FACTURA]]=0,"POR EMITIR")</f>
        <v>POR EMITIR</v>
      </c>
      <c r="M1402" s="55" t="str">
        <f>+IF(Tabla6[[#This Row],[ESTADO FACTURA]]="PAGADA",Tabla6[[#This Row],[FECHA]]-_xlfn.XLOOKUP(Tabla6[[#This Row],[N° FACTURA]],INGRESOS!F:F,INGRESOS!A:A),"-")</f>
        <v>-</v>
      </c>
      <c r="N1402" s="2"/>
      <c r="O1402"/>
    </row>
    <row r="1403" spans="1:15" ht="14.75" customHeight="1">
      <c r="A1403" s="320" t="s">
        <v>165</v>
      </c>
      <c r="B1403" t="str">
        <f>+_xlfn.XLOOKUP(Tabla6[[#This Row],[ID CLIENTE]],'RESUMEN CLIENTES'!D:D,'RESUMEN CLIENTES'!A:A)</f>
        <v>Alejandra Leva Vallejo</v>
      </c>
      <c r="C1403" t="str">
        <f>+_xlfn.XLOOKUP(Tabla6[[#This Row],[ID CLIENTE]],'RESUMEN CLIENTES'!D:D,'RESUMEN CLIENTES'!C:C)</f>
        <v>México</v>
      </c>
      <c r="D1403" s="44" t="str">
        <f>+_xlfn.XLOOKUP(Tabla6[[#This Row],[ID CLIENTE]],'RESUMEN CLIENTES'!D:D,'RESUMEN CLIENTES'!M:M)</f>
        <v>OK</v>
      </c>
      <c r="E1403" s="72">
        <f>+_xlfn.XLOOKUP(Tabla6[[#This Row],[NOMBRE]],'RESUMEN CLIENTES'!A:A,'RESUMEN CLIENTES'!X:X)</f>
        <v>0</v>
      </c>
      <c r="F1403" s="72">
        <f>+_xlfn.XLOOKUP(Tabla6[[#This Row],[ID CLIENTE]],'RESUMEN CLIENTES'!D:D,'RESUMEN CLIENTES'!W:W)</f>
        <v>1</v>
      </c>
      <c r="G1403" s="17">
        <v>46178</v>
      </c>
      <c r="H1403" s="44" t="s">
        <v>81</v>
      </c>
      <c r="I1403" s="2">
        <v>2000</v>
      </c>
      <c r="J1403"/>
      <c r="K1403"/>
      <c r="L1403" s="44" t="str" cm="1">
        <f t="array" ref="L1403">+_xlfn.IFS(COUNTIF(INGRESOS!E:E,Tabla6[[#This Row],[ID FACTURA]])=1,"PAGADA",Tabla6[[#This Row],[ID FACTURA]]&lt;&gt;0,"EMITIDA",Tabla6[[#This Row],[ID FACTURA]]=0,"POR EMITIR")</f>
        <v>POR EMITIR</v>
      </c>
      <c r="M1403" s="55" t="str">
        <f>+IF(Tabla6[[#This Row],[ESTADO FACTURA]]="PAGADA",Tabla6[[#This Row],[FECHA]]-_xlfn.XLOOKUP(Tabla6[[#This Row],[N° FACTURA]],INGRESOS!F:F,INGRESOS!A:A),"-")</f>
        <v>-</v>
      </c>
      <c r="N1403" s="2"/>
      <c r="O1403"/>
    </row>
    <row r="1404" spans="1:15" ht="14.75" customHeight="1">
      <c r="A1404" s="320" t="s">
        <v>2011</v>
      </c>
      <c r="B1404" t="str">
        <f>+_xlfn.XLOOKUP(Tabla6[[#This Row],[ID CLIENTE]],'RESUMEN CLIENTES'!D:D,'RESUMEN CLIENTES'!A:A)</f>
        <v>Bárbara Fuentes</v>
      </c>
      <c r="C1404" t="str">
        <f>+_xlfn.XLOOKUP(Tabla6[[#This Row],[ID CLIENTE]],'RESUMEN CLIENTES'!D:D,'RESUMEN CLIENTES'!C:C)</f>
        <v>Chile</v>
      </c>
      <c r="D1404" s="169" t="str">
        <f>+_xlfn.XLOOKUP(Tabla6[[#This Row],[ID CLIENTE]],'RESUMEN CLIENTES'!D:D,'RESUMEN CLIENTES'!M:M)</f>
        <v>OK</v>
      </c>
      <c r="E1404" s="71">
        <f>+_xlfn.XLOOKUP(Tabla6[[#This Row],[NOMBRE]],'RESUMEN CLIENTES'!A:A,'RESUMEN CLIENTES'!X:X)</f>
        <v>-0.33333333333333331</v>
      </c>
      <c r="F1404" s="71">
        <f>+_xlfn.XLOOKUP(Tabla6[[#This Row],[ID CLIENTE]],'RESUMEN CLIENTES'!D:D,'RESUMEN CLIENTES'!W:W)</f>
        <v>0</v>
      </c>
      <c r="G1404" s="17">
        <v>46178</v>
      </c>
      <c r="H1404" s="169" t="s">
        <v>81</v>
      </c>
      <c r="I1404" s="2">
        <v>1000</v>
      </c>
      <c r="J1404"/>
      <c r="K1404"/>
      <c r="L1404" s="44" t="str" cm="1">
        <f t="array" ref="L1404">+_xlfn.IFS(COUNTIF(INGRESOS!E:E,Tabla6[[#This Row],[ID FACTURA]])=1,"PAGADA",Tabla6[[#This Row],[ID FACTURA]]&lt;&gt;0,"EMITIDA",Tabla6[[#This Row],[ID FACTURA]]=0,"POR EMITIR")</f>
        <v>POR EMITIR</v>
      </c>
      <c r="M1404" s="54" t="str">
        <f>+IF(Tabla6[[#This Row],[ESTADO FACTURA]]="PAGADA",Tabla6[[#This Row],[FECHA]]-_xlfn.XLOOKUP(Tabla6[[#This Row],[N° FACTURA]],INGRESOS!F:F,INGRESOS!A:A),"-")</f>
        <v>-</v>
      </c>
      <c r="O1404"/>
    </row>
    <row r="1405" spans="1:15" ht="14.75" customHeight="1">
      <c r="A1405" s="320" t="s">
        <v>203</v>
      </c>
      <c r="B1405" t="str">
        <f>+_xlfn.XLOOKUP(Tabla6[[#This Row],[ID CLIENTE]],'RESUMEN CLIENTES'!D:D,'RESUMEN CLIENTES'!A:A)</f>
        <v>Bernardita Lobo Zegers</v>
      </c>
      <c r="C1405" t="str">
        <f>+_xlfn.XLOOKUP(Tabla6[[#This Row],[ID CLIENTE]],'RESUMEN CLIENTES'!D:D,'RESUMEN CLIENTES'!C:C)</f>
        <v>México</v>
      </c>
      <c r="D1405" s="44" t="str">
        <f>+_xlfn.XLOOKUP(Tabla6[[#This Row],[ID CLIENTE]],'RESUMEN CLIENTES'!D:D,'RESUMEN CLIENTES'!M:M)</f>
        <v>OK</v>
      </c>
      <c r="E1405" s="72">
        <f>+_xlfn.XLOOKUP(Tabla6[[#This Row],[NOMBRE]],'RESUMEN CLIENTES'!A:A,'RESUMEN CLIENTES'!X:X)</f>
        <v>-0.8</v>
      </c>
      <c r="F1405" s="72">
        <f>+_xlfn.XLOOKUP(Tabla6[[#This Row],[ID CLIENTE]],'RESUMEN CLIENTES'!D:D,'RESUMEN CLIENTES'!W:W)</f>
        <v>1</v>
      </c>
      <c r="G1405" s="17">
        <v>46178</v>
      </c>
      <c r="H1405" s="44" t="s">
        <v>81</v>
      </c>
      <c r="I1405" s="2">
        <v>800</v>
      </c>
      <c r="J1405"/>
      <c r="K1405"/>
      <c r="L1405" s="44" t="str" cm="1">
        <f t="array" ref="L1405">+_xlfn.IFS(COUNTIF(INGRESOS!E:E,Tabla6[[#This Row],[ID FACTURA]])=1,"PAGADA",Tabla6[[#This Row],[ID FACTURA]]&lt;&gt;0,"EMITIDA",Tabla6[[#This Row],[ID FACTURA]]=0,"POR EMITIR")</f>
        <v>POR EMITIR</v>
      </c>
      <c r="M1405" s="55" t="str">
        <f>+IF(Tabla6[[#This Row],[ESTADO FACTURA]]="PAGADA",Tabla6[[#This Row],[FECHA]]-_xlfn.XLOOKUP(Tabla6[[#This Row],[N° FACTURA]],INGRESOS!F:F,INGRESOS!A:A),"-")</f>
        <v>-</v>
      </c>
      <c r="N1405" s="2"/>
      <c r="O1405"/>
    </row>
    <row r="1406" spans="1:15" ht="14.75" customHeight="1">
      <c r="A1406" s="320" t="s">
        <v>1206</v>
      </c>
      <c r="B1406" t="str">
        <f>+_xlfn.XLOOKUP(Tabla6[[#This Row],[ID CLIENTE]],'RESUMEN CLIENTES'!D:D,'RESUMEN CLIENTES'!A:A)</f>
        <v>Bryan Israel Jiménez Puente</v>
      </c>
      <c r="C1406" t="str">
        <f>+_xlfn.XLOOKUP(Tabla6[[#This Row],[ID CLIENTE]],'RESUMEN CLIENTES'!D:D,'RESUMEN CLIENTES'!C:C)</f>
        <v>Ecuador</v>
      </c>
      <c r="D1406" s="44" t="str">
        <f>+_xlfn.XLOOKUP(Tabla6[[#This Row],[ID CLIENTE]],'RESUMEN CLIENTES'!D:D,'RESUMEN CLIENTES'!M:M)</f>
        <v>OK</v>
      </c>
      <c r="E1406" s="72">
        <f>+_xlfn.XLOOKUP(Tabla6[[#This Row],[NOMBRE]],'RESUMEN CLIENTES'!A:A,'RESUMEN CLIENTES'!X:X)</f>
        <v>1</v>
      </c>
      <c r="F1406" s="72">
        <f>+_xlfn.XLOOKUP(Tabla6[[#This Row],[ID CLIENTE]],'RESUMEN CLIENTES'!D:D,'RESUMEN CLIENTES'!W:W)</f>
        <v>0</v>
      </c>
      <c r="G1406" s="17">
        <v>46178</v>
      </c>
      <c r="H1406" s="44" t="s">
        <v>81</v>
      </c>
      <c r="I1406" s="2">
        <v>1000</v>
      </c>
      <c r="J1406"/>
      <c r="K1406"/>
      <c r="L1406" s="44" t="str" cm="1">
        <f t="array" ref="L1406">+_xlfn.IFS(COUNTIF(INGRESOS!E:E,Tabla6[[#This Row],[ID FACTURA]])=1,"PAGADA",Tabla6[[#This Row],[ID FACTURA]]&lt;&gt;0,"EMITIDA",Tabla6[[#This Row],[ID FACTURA]]=0,"POR EMITIR")</f>
        <v>POR EMITIR</v>
      </c>
      <c r="M1406" s="55" t="str">
        <f>+IF(Tabla6[[#This Row],[ESTADO FACTURA]]="PAGADA",Tabla6[[#This Row],[FECHA]]-_xlfn.XLOOKUP(Tabla6[[#This Row],[N° FACTURA]],INGRESOS!F:F,INGRESOS!A:A),"-")</f>
        <v>-</v>
      </c>
      <c r="N1406" s="2"/>
      <c r="O1406"/>
    </row>
    <row r="1407" spans="1:15" ht="14.75" customHeight="1">
      <c r="A1407" s="320" t="s">
        <v>168</v>
      </c>
      <c r="B1407" t="str">
        <f>+_xlfn.XLOOKUP(Tabla6[[#This Row],[ID CLIENTE]],'RESUMEN CLIENTES'!D:D,'RESUMEN CLIENTES'!A:A)</f>
        <v xml:space="preserve">Catalina Ochoa Urrutia
</v>
      </c>
      <c r="C1407" t="str">
        <f>+_xlfn.XLOOKUP(Tabla6[[#This Row],[ID CLIENTE]],'RESUMEN CLIENTES'!D:D,'RESUMEN CLIENTES'!C:C)</f>
        <v>Chile</v>
      </c>
      <c r="D1407" s="44" t="str">
        <f>+_xlfn.XLOOKUP(Tabla6[[#This Row],[ID CLIENTE]],'RESUMEN CLIENTES'!D:D,'RESUMEN CLIENTES'!M:M)</f>
        <v>OK</v>
      </c>
      <c r="E1407" s="72">
        <f>+_xlfn.XLOOKUP(Tabla6[[#This Row],[NOMBRE]],'RESUMEN CLIENTES'!A:A,'RESUMEN CLIENTES'!X:X)</f>
        <v>0.75</v>
      </c>
      <c r="F1407" s="72">
        <f>+_xlfn.XLOOKUP(Tabla6[[#This Row],[ID CLIENTE]],'RESUMEN CLIENTES'!D:D,'RESUMEN CLIENTES'!W:W)</f>
        <v>1</v>
      </c>
      <c r="G1407" s="17">
        <v>46178</v>
      </c>
      <c r="H1407" s="44" t="s">
        <v>81</v>
      </c>
      <c r="I1407" s="2">
        <v>750</v>
      </c>
      <c r="J1407"/>
      <c r="K1407"/>
      <c r="L1407" s="44" t="str" cm="1">
        <f t="array" ref="L1407">+_xlfn.IFS(COUNTIF(INGRESOS!E:E,Tabla6[[#This Row],[ID FACTURA]])=1,"PAGADA",Tabla6[[#This Row],[ID FACTURA]]&lt;&gt;0,"EMITIDA",Tabla6[[#This Row],[ID FACTURA]]=0,"POR EMITIR")</f>
        <v>POR EMITIR</v>
      </c>
      <c r="M1407" s="55" t="str">
        <f>+IF(Tabla6[[#This Row],[ESTADO FACTURA]]="PAGADA",Tabla6[[#This Row],[FECHA]]-_xlfn.XLOOKUP(Tabla6[[#This Row],[N° FACTURA]],INGRESOS!F:F,INGRESOS!A:A),"-")</f>
        <v>-</v>
      </c>
      <c r="N1407" s="2"/>
      <c r="O1407"/>
    </row>
    <row r="1408" spans="1:15" ht="14.75" customHeight="1">
      <c r="A1408" s="320" t="s">
        <v>1674</v>
      </c>
      <c r="B1408" t="str">
        <f>+_xlfn.XLOOKUP(Tabla6[[#This Row],[ID CLIENTE]],'RESUMEN CLIENTES'!D:D,'RESUMEN CLIENTES'!A:A)</f>
        <v>Diego Alberto Ruiz Cifuentes</v>
      </c>
      <c r="C1408" t="str">
        <f>+_xlfn.XLOOKUP(Tabla6[[#This Row],[ID CLIENTE]],'RESUMEN CLIENTES'!D:D,'RESUMEN CLIENTES'!C:C)</f>
        <v>Chile</v>
      </c>
      <c r="D1408" s="169" t="str">
        <f>+_xlfn.XLOOKUP(Tabla6[[#This Row],[ID CLIENTE]],'RESUMEN CLIENTES'!D:D,'RESUMEN CLIENTES'!M:M)</f>
        <v>OK</v>
      </c>
      <c r="E1408" s="71">
        <f>+_xlfn.XLOOKUP(Tabla6[[#This Row],[NOMBRE]],'RESUMEN CLIENTES'!A:A,'RESUMEN CLIENTES'!X:X)</f>
        <v>5.75</v>
      </c>
      <c r="F1408" s="71">
        <f>+_xlfn.XLOOKUP(Tabla6[[#This Row],[ID CLIENTE]],'RESUMEN CLIENTES'!D:D,'RESUMEN CLIENTES'!W:W)</f>
        <v>0</v>
      </c>
      <c r="G1408" s="17">
        <v>46178</v>
      </c>
      <c r="H1408" s="169" t="s">
        <v>81</v>
      </c>
      <c r="I1408" s="2">
        <v>1000</v>
      </c>
      <c r="J1408"/>
      <c r="K1408"/>
      <c r="L1408" s="44" t="str" cm="1">
        <f t="array" ref="L1408">+_xlfn.IFS(COUNTIF(INGRESOS!E:E,Tabla6[[#This Row],[ID FACTURA]])=1,"PAGADA",Tabla6[[#This Row],[ID FACTURA]]&lt;&gt;0,"EMITIDA",Tabla6[[#This Row],[ID FACTURA]]=0,"POR EMITIR")</f>
        <v>POR EMITIR</v>
      </c>
      <c r="M1408" s="55" t="str">
        <f>+IF(Tabla6[[#This Row],[ESTADO FACTURA]]="PAGADA",Tabla6[[#This Row],[FECHA]]-_xlfn.XLOOKUP(Tabla6[[#This Row],[N° FACTURA]],INGRESOS!F:F,INGRESOS!A:A),"-")</f>
        <v>-</v>
      </c>
      <c r="N1408" s="2"/>
      <c r="O1408"/>
    </row>
    <row r="1409" spans="1:15" ht="14.75" customHeight="1">
      <c r="A1409" s="320" t="s">
        <v>2521</v>
      </c>
      <c r="B1409" t="str">
        <f>+_xlfn.XLOOKUP(Tabla6[[#This Row],[ID CLIENTE]],'RESUMEN CLIENTES'!D:D,'RESUMEN CLIENTES'!A:A)</f>
        <v>Fabián Andrés Sarmiento Auli</v>
      </c>
      <c r="C1409" t="str">
        <f>+_xlfn.XLOOKUP(Tabla6[[#This Row],[ID CLIENTE]],'RESUMEN CLIENTES'!D:D,'RESUMEN CLIENTES'!C:C)</f>
        <v>Colombia</v>
      </c>
      <c r="D1409" s="169" t="str">
        <f>+_xlfn.XLOOKUP(Tabla6[[#This Row],[ID CLIENTE]],'RESUMEN CLIENTES'!D:D,'RESUMEN CLIENTES'!M:M)</f>
        <v>OK</v>
      </c>
      <c r="E1409" s="71">
        <f>+_xlfn.XLOOKUP(Tabla6[[#This Row],[NOMBRE]],'RESUMEN CLIENTES'!A:A,'RESUMEN CLIENTES'!X:X)</f>
        <v>0</v>
      </c>
      <c r="F1409" s="71">
        <f>+_xlfn.XLOOKUP(Tabla6[[#This Row],[ID CLIENTE]],'RESUMEN CLIENTES'!D:D,'RESUMEN CLIENTES'!W:W)</f>
        <v>0</v>
      </c>
      <c r="G1409" s="17">
        <v>46178</v>
      </c>
      <c r="H1409" s="169" t="s">
        <v>81</v>
      </c>
      <c r="I1409" s="2">
        <v>911</v>
      </c>
      <c r="J1409"/>
      <c r="K1409"/>
      <c r="L1409" s="44" t="str" cm="1">
        <f t="array" ref="L1409">+_xlfn.IFS(COUNTIF(INGRESOS!E:E,Tabla6[[#This Row],[ID FACTURA]])=1,"PAGADA",Tabla6[[#This Row],[ID FACTURA]]&lt;&gt;0,"EMITIDA",Tabla6[[#This Row],[ID FACTURA]]=0,"POR EMITIR")</f>
        <v>POR EMITIR</v>
      </c>
      <c r="M1409" s="54" t="str">
        <f>+IF(Tabla6[[#This Row],[ESTADO FACTURA]]="PAGADA",Tabla6[[#This Row],[FECHA]]-_xlfn.XLOOKUP(Tabla6[[#This Row],[N° FACTURA]],INGRESOS!F:F,INGRESOS!A:A),"-")</f>
        <v>-</v>
      </c>
      <c r="O1409"/>
    </row>
    <row r="1410" spans="1:15" ht="14.75" customHeight="1">
      <c r="A1410" s="320" t="s">
        <v>787</v>
      </c>
      <c r="B1410" t="str">
        <f>+_xlfn.XLOOKUP(Tabla6[[#This Row],[ID CLIENTE]],'RESUMEN CLIENTES'!D:D,'RESUMEN CLIENTES'!A:A)</f>
        <v>Florencia Luján Sapia</v>
      </c>
      <c r="C1410" t="str">
        <f>+_xlfn.XLOOKUP(Tabla6[[#This Row],[ID CLIENTE]],'RESUMEN CLIENTES'!D:D,'RESUMEN CLIENTES'!C:C)</f>
        <v>Argentina</v>
      </c>
      <c r="D1410" s="44" t="str">
        <f>+_xlfn.XLOOKUP(Tabla6[[#This Row],[ID CLIENTE]],'RESUMEN CLIENTES'!D:D,'RESUMEN CLIENTES'!M:M)</f>
        <v>OK</v>
      </c>
      <c r="E1410" s="72">
        <f>+_xlfn.XLOOKUP(Tabla6[[#This Row],[NOMBRE]],'RESUMEN CLIENTES'!A:A,'RESUMEN CLIENTES'!X:X)</f>
        <v>-0.77777777777777779</v>
      </c>
      <c r="F1410" s="72">
        <f>+_xlfn.XLOOKUP(Tabla6[[#This Row],[ID CLIENTE]],'RESUMEN CLIENTES'!D:D,'RESUMEN CLIENTES'!W:W)</f>
        <v>1</v>
      </c>
      <c r="G1410" s="17">
        <v>46178</v>
      </c>
      <c r="H1410" s="44" t="s">
        <v>81</v>
      </c>
      <c r="I1410" s="2">
        <v>600</v>
      </c>
      <c r="J1410"/>
      <c r="K1410"/>
      <c r="L1410" s="44" t="str" cm="1">
        <f t="array" ref="L1410">+_xlfn.IFS(COUNTIF(INGRESOS!E:E,Tabla6[[#This Row],[ID FACTURA]])=1,"PAGADA",Tabla6[[#This Row],[ID FACTURA]]&lt;&gt;0,"EMITIDA",Tabla6[[#This Row],[ID FACTURA]]=0,"POR EMITIR")</f>
        <v>POR EMITIR</v>
      </c>
      <c r="M1410" s="55" t="str">
        <f>+IF(Tabla6[[#This Row],[ESTADO FACTURA]]="PAGADA",Tabla6[[#This Row],[FECHA]]-_xlfn.XLOOKUP(Tabla6[[#This Row],[N° FACTURA]],INGRESOS!F:F,INGRESOS!A:A),"-")</f>
        <v>-</v>
      </c>
      <c r="N1410" s="2"/>
      <c r="O1410"/>
    </row>
    <row r="1411" spans="1:15" ht="14.75" customHeight="1">
      <c r="A1411" s="320" t="s">
        <v>171</v>
      </c>
      <c r="B1411" t="str">
        <f>+_xlfn.XLOOKUP(Tabla6[[#This Row],[ID CLIENTE]],'RESUMEN CLIENTES'!D:D,'RESUMEN CLIENTES'!A:A)</f>
        <v>Guillermo Alfonso Garvalena Gaxiola</v>
      </c>
      <c r="C1411" t="str">
        <f>+_xlfn.XLOOKUP(Tabla6[[#This Row],[ID CLIENTE]],'RESUMEN CLIENTES'!D:D,'RESUMEN CLIENTES'!C:C)</f>
        <v>México</v>
      </c>
      <c r="D1411" s="44" t="str">
        <f>+_xlfn.XLOOKUP(Tabla6[[#This Row],[ID CLIENTE]],'RESUMEN CLIENTES'!D:D,'RESUMEN CLIENTES'!M:M)</f>
        <v>OK</v>
      </c>
      <c r="E1411" s="72">
        <f>+_xlfn.XLOOKUP(Tabla6[[#This Row],[NOMBRE]],'RESUMEN CLIENTES'!A:A,'RESUMEN CLIENTES'!X:X)</f>
        <v>1.173913043478261</v>
      </c>
      <c r="F1411" s="72">
        <f>+_xlfn.XLOOKUP(Tabla6[[#This Row],[ID CLIENTE]],'RESUMEN CLIENTES'!D:D,'RESUMEN CLIENTES'!W:W)</f>
        <v>1</v>
      </c>
      <c r="G1411" s="17">
        <v>46178</v>
      </c>
      <c r="H1411" s="44" t="s">
        <v>81</v>
      </c>
      <c r="I1411" s="186">
        <v>7000</v>
      </c>
      <c r="J1411"/>
      <c r="K1411"/>
      <c r="L1411" s="44" t="str" cm="1">
        <f t="array" ref="L1411">+_xlfn.IFS(COUNTIF(INGRESOS!E:E,Tabla6[[#This Row],[ID FACTURA]])=1,"PAGADA",Tabla6[[#This Row],[ID FACTURA]]&lt;&gt;0,"EMITIDA",Tabla6[[#This Row],[ID FACTURA]]=0,"POR EMITIR")</f>
        <v>POR EMITIR</v>
      </c>
      <c r="M1411" s="55" t="str">
        <f>+IF(Tabla6[[#This Row],[ESTADO FACTURA]]="PAGADA",Tabla6[[#This Row],[FECHA]]-_xlfn.XLOOKUP(Tabla6[[#This Row],[N° FACTURA]],INGRESOS!F:F,INGRESOS!A:A),"-")</f>
        <v>-</v>
      </c>
      <c r="N1411" s="186"/>
      <c r="O1411"/>
    </row>
    <row r="1412" spans="1:15" ht="14.75" customHeight="1">
      <c r="A1412" s="320" t="s">
        <v>109</v>
      </c>
      <c r="B1412" t="str">
        <f>+_xlfn.XLOOKUP(Tabla6[[#This Row],[ID CLIENTE]],'RESUMEN CLIENTES'!D:D,'RESUMEN CLIENTES'!A:A)</f>
        <v>Ian Job Lino Durán</v>
      </c>
      <c r="C1412" t="str">
        <f>+_xlfn.XLOOKUP(Tabla6[[#This Row],[ID CLIENTE]],'RESUMEN CLIENTES'!D:D,'RESUMEN CLIENTES'!C:C)</f>
        <v>México</v>
      </c>
      <c r="D1412" s="44" t="str">
        <f>+_xlfn.XLOOKUP(Tabla6[[#This Row],[ID CLIENTE]],'RESUMEN CLIENTES'!D:D,'RESUMEN CLIENTES'!M:M)</f>
        <v>OK</v>
      </c>
      <c r="E1412" s="72">
        <f>+_xlfn.XLOOKUP(Tabla6[[#This Row],[NOMBRE]],'RESUMEN CLIENTES'!A:A,'RESUMEN CLIENTES'!X:X)</f>
        <v>0.1</v>
      </c>
      <c r="F1412" s="72">
        <f>+_xlfn.XLOOKUP(Tabla6[[#This Row],[ID CLIENTE]],'RESUMEN CLIENTES'!D:D,'RESUMEN CLIENTES'!W:W)</f>
        <v>1</v>
      </c>
      <c r="G1412" s="17">
        <v>46178</v>
      </c>
      <c r="H1412" s="44" t="s">
        <v>81</v>
      </c>
      <c r="I1412" s="2">
        <v>800</v>
      </c>
      <c r="J1412"/>
      <c r="K1412"/>
      <c r="L1412" s="44" t="str" cm="1">
        <f t="array" ref="L1412">+_xlfn.IFS(COUNTIF(INGRESOS!E:E,Tabla6[[#This Row],[ID FACTURA]])=1,"PAGADA",Tabla6[[#This Row],[ID FACTURA]]&lt;&gt;0,"EMITIDA",Tabla6[[#This Row],[ID FACTURA]]=0,"POR EMITIR")</f>
        <v>POR EMITIR</v>
      </c>
      <c r="M1412" s="55" t="str">
        <f>+IF(Tabla6[[#This Row],[ESTADO FACTURA]]="PAGADA",Tabla6[[#This Row],[FECHA]]-_xlfn.XLOOKUP(Tabla6[[#This Row],[N° FACTURA]],INGRESOS!F:F,INGRESOS!A:A),"-")</f>
        <v>-</v>
      </c>
      <c r="N1412" s="2"/>
      <c r="O1412"/>
    </row>
    <row r="1413" spans="1:15" ht="14.75" customHeight="1">
      <c r="A1413" s="320" t="s">
        <v>142</v>
      </c>
      <c r="B1413" t="str">
        <f>+_xlfn.XLOOKUP(Tabla6[[#This Row],[ID CLIENTE]],'RESUMEN CLIENTES'!D:D,'RESUMEN CLIENTES'!A:A)</f>
        <v>Jordan Eliecer Toledo Bravo</v>
      </c>
      <c r="C1413" t="str">
        <f>+_xlfn.XLOOKUP(Tabla6[[#This Row],[ID CLIENTE]],'RESUMEN CLIENTES'!D:D,'RESUMEN CLIENTES'!C:C)</f>
        <v>Chile</v>
      </c>
      <c r="D1413" s="169" t="str">
        <f>+_xlfn.XLOOKUP(Tabla6[[#This Row],[ID CLIENTE]],'RESUMEN CLIENTES'!D:D,'RESUMEN CLIENTES'!M:M)</f>
        <v>OK</v>
      </c>
      <c r="E1413" s="71">
        <f>+_xlfn.XLOOKUP(Tabla6[[#This Row],[NOMBRE]],'RESUMEN CLIENTES'!A:A,'RESUMEN CLIENTES'!X:X)</f>
        <v>-1.6153846153846154</v>
      </c>
      <c r="F1413" s="71">
        <f>+_xlfn.XLOOKUP(Tabla6[[#This Row],[ID CLIENTE]],'RESUMEN CLIENTES'!D:D,'RESUMEN CLIENTES'!W:W)</f>
        <v>0</v>
      </c>
      <c r="G1413" s="17">
        <v>46178</v>
      </c>
      <c r="H1413" s="169" t="s">
        <v>81</v>
      </c>
      <c r="I1413" s="2">
        <v>500</v>
      </c>
      <c r="J1413"/>
      <c r="K1413"/>
      <c r="L1413" s="44" t="str" cm="1">
        <f t="array" ref="L1413">+_xlfn.IFS(COUNTIF(INGRESOS!E:E,Tabla6[[#This Row],[ID FACTURA]])=1,"PAGADA",Tabla6[[#This Row],[ID FACTURA]]&lt;&gt;0,"EMITIDA",Tabla6[[#This Row],[ID FACTURA]]=0,"POR EMITIR")</f>
        <v>POR EMITIR</v>
      </c>
      <c r="M1413" s="54" t="str">
        <f>+IF(Tabla6[[#This Row],[ESTADO FACTURA]]="PAGADA",Tabla6[[#This Row],[FECHA]]-_xlfn.XLOOKUP(Tabla6[[#This Row],[N° FACTURA]],INGRESOS!F:F,INGRESOS!A:A),"-")</f>
        <v>-</v>
      </c>
      <c r="O1413"/>
    </row>
    <row r="1414" spans="1:15" ht="14.75" customHeight="1">
      <c r="A1414" s="320" t="s">
        <v>4454</v>
      </c>
      <c r="B1414" t="str">
        <f>+_xlfn.XLOOKUP(Tabla6[[#This Row],[ID CLIENTE]],'RESUMEN CLIENTES'!D:D,'RESUMEN CLIENTES'!A:A)</f>
        <v>Jose Luis Avilez Casas</v>
      </c>
      <c r="C1414" t="str">
        <f>+_xlfn.XLOOKUP(Tabla6[[#This Row],[ID CLIENTE]],'RESUMEN CLIENTES'!D:D,'RESUMEN CLIENTES'!C:C)</f>
        <v>México</v>
      </c>
      <c r="D1414" s="169" t="str">
        <f>+_xlfn.XLOOKUP(Tabla6[[#This Row],[ID CLIENTE]],'RESUMEN CLIENTES'!D:D,'RESUMEN CLIENTES'!M:M)</f>
        <v>OK</v>
      </c>
      <c r="E1414" s="71">
        <f>+_xlfn.XLOOKUP(Tabla6[[#This Row],[NOMBRE]],'RESUMEN CLIENTES'!A:A,'RESUMEN CLIENTES'!X:X)</f>
        <v>0.33333333333333331</v>
      </c>
      <c r="F1414" s="71">
        <f>+_xlfn.XLOOKUP(Tabla6[[#This Row],[ID CLIENTE]],'RESUMEN CLIENTES'!D:D,'RESUMEN CLIENTES'!W:W)</f>
        <v>0</v>
      </c>
      <c r="G1414" s="17">
        <v>46178</v>
      </c>
      <c r="H1414" s="169" t="s">
        <v>81</v>
      </c>
      <c r="I1414" s="2">
        <v>1000</v>
      </c>
      <c r="J1414"/>
      <c r="K1414"/>
      <c r="L1414" s="44" t="str" cm="1">
        <f t="array" ref="L1414">+_xlfn.IFS(COUNTIF(INGRESOS!E:E,Tabla6[[#This Row],[ID FACTURA]])=1,"PAGADA",Tabla6[[#This Row],[ID FACTURA]]&lt;&gt;0,"EMITIDA",Tabla6[[#This Row],[ID FACTURA]]=0,"POR EMITIR")</f>
        <v>POR EMITIR</v>
      </c>
      <c r="M1414" s="54" t="str">
        <f>+IF(Tabla6[[#This Row],[ESTADO FACTURA]]="PAGADA",Tabla6[[#This Row],[FECHA]]-_xlfn.XLOOKUP(Tabla6[[#This Row],[N° FACTURA]],INGRESOS!F:F,INGRESOS!A:A),"-")</f>
        <v>-</v>
      </c>
      <c r="O1414"/>
    </row>
    <row r="1415" spans="1:15" ht="14.75" customHeight="1">
      <c r="A1415" s="320" t="s">
        <v>798</v>
      </c>
      <c r="B1415" t="str">
        <f>+_xlfn.XLOOKUP(Tabla6[[#This Row],[ID CLIENTE]],'RESUMEN CLIENTES'!D:D,'RESUMEN CLIENTES'!A:A)</f>
        <v>Juan Manuel Paranzino</v>
      </c>
      <c r="C1415" t="str">
        <f>+_xlfn.XLOOKUP(Tabla6[[#This Row],[ID CLIENTE]],'RESUMEN CLIENTES'!D:D,'RESUMEN CLIENTES'!C:C)</f>
        <v>Argentina</v>
      </c>
      <c r="D1415" s="44" t="str">
        <f>+_xlfn.XLOOKUP(Tabla6[[#This Row],[ID CLIENTE]],'RESUMEN CLIENTES'!D:D,'RESUMEN CLIENTES'!M:M)</f>
        <v>OK</v>
      </c>
      <c r="E1415" s="72">
        <f>+_xlfn.XLOOKUP(Tabla6[[#This Row],[NOMBRE]],'RESUMEN CLIENTES'!A:A,'RESUMEN CLIENTES'!X:X)</f>
        <v>-1</v>
      </c>
      <c r="F1415" s="72">
        <f>+_xlfn.XLOOKUP(Tabla6[[#This Row],[ID CLIENTE]],'RESUMEN CLIENTES'!D:D,'RESUMEN CLIENTES'!W:W)</f>
        <v>0</v>
      </c>
      <c r="G1415" s="17">
        <v>46178</v>
      </c>
      <c r="H1415" s="44" t="s">
        <v>81</v>
      </c>
      <c r="I1415" s="2">
        <v>600</v>
      </c>
      <c r="J1415"/>
      <c r="K1415"/>
      <c r="L1415" s="44" t="str" cm="1">
        <f t="array" ref="L1415">+_xlfn.IFS(COUNTIF(INGRESOS!E:E,Tabla6[[#This Row],[ID FACTURA]])=1,"PAGADA",Tabla6[[#This Row],[ID FACTURA]]&lt;&gt;0,"EMITIDA",Tabla6[[#This Row],[ID FACTURA]]=0,"POR EMITIR")</f>
        <v>POR EMITIR</v>
      </c>
      <c r="M1415" s="55" t="str">
        <f>+IF(Tabla6[[#This Row],[ESTADO FACTURA]]="PAGADA",Tabla6[[#This Row],[FECHA]]-_xlfn.XLOOKUP(Tabla6[[#This Row],[N° FACTURA]],INGRESOS!F:F,INGRESOS!A:A),"-")</f>
        <v>-</v>
      </c>
      <c r="N1415" s="2"/>
      <c r="O1415"/>
    </row>
    <row r="1416" spans="1:15" ht="14.75" customHeight="1">
      <c r="A1416" s="320" t="s">
        <v>955</v>
      </c>
      <c r="B1416" t="str">
        <f>+_xlfn.XLOOKUP(Tabla6[[#This Row],[ID CLIENTE]],'RESUMEN CLIENTES'!D:D,'RESUMEN CLIENTES'!A:A)</f>
        <v>Judith Elizabeth Lopez Sanchez</v>
      </c>
      <c r="C1416" t="str">
        <f>+_xlfn.XLOOKUP(Tabla6[[#This Row],[ID CLIENTE]],'RESUMEN CLIENTES'!D:D,'RESUMEN CLIENTES'!C:C)</f>
        <v>Perú</v>
      </c>
      <c r="D1416" s="44" t="str">
        <f>+_xlfn.XLOOKUP(Tabla6[[#This Row],[ID CLIENTE]],'RESUMEN CLIENTES'!D:D,'RESUMEN CLIENTES'!M:M)</f>
        <v>OK</v>
      </c>
      <c r="E1416" s="72">
        <f>+_xlfn.XLOOKUP(Tabla6[[#This Row],[NOMBRE]],'RESUMEN CLIENTES'!A:A,'RESUMEN CLIENTES'!X:X)</f>
        <v>0.2857142857142857</v>
      </c>
      <c r="F1416" s="72">
        <f>+_xlfn.XLOOKUP(Tabla6[[#This Row],[ID CLIENTE]],'RESUMEN CLIENTES'!D:D,'RESUMEN CLIENTES'!W:W)</f>
        <v>1</v>
      </c>
      <c r="G1416" s="17">
        <v>46178</v>
      </c>
      <c r="H1416" s="44" t="s">
        <v>81</v>
      </c>
      <c r="I1416" s="2">
        <v>1000</v>
      </c>
      <c r="J1416"/>
      <c r="K1416"/>
      <c r="L1416" s="44" t="str" cm="1">
        <f t="array" ref="L1416">+_xlfn.IFS(COUNTIF(INGRESOS!E:E,Tabla6[[#This Row],[ID FACTURA]])=1,"PAGADA",Tabla6[[#This Row],[ID FACTURA]]&lt;&gt;0,"EMITIDA",Tabla6[[#This Row],[ID FACTURA]]=0,"POR EMITIR")</f>
        <v>POR EMITIR</v>
      </c>
      <c r="M1416" s="55" t="str">
        <f>+IF(Tabla6[[#This Row],[ESTADO FACTURA]]="PAGADA",Tabla6[[#This Row],[FECHA]]-_xlfn.XLOOKUP(Tabla6[[#This Row],[N° FACTURA]],INGRESOS!F:F,INGRESOS!A:A),"-")</f>
        <v>-</v>
      </c>
      <c r="N1416" s="2"/>
      <c r="O1416"/>
    </row>
    <row r="1417" spans="1:15" ht="14.75" customHeight="1">
      <c r="A1417" s="320" t="s">
        <v>1416</v>
      </c>
      <c r="B1417" t="str">
        <f>+_xlfn.XLOOKUP(Tabla6[[#This Row],[ID CLIENTE]],'RESUMEN CLIENTES'!D:D,'RESUMEN CLIENTES'!A:A)</f>
        <v>Luis Armando Calderon Manzanera</v>
      </c>
      <c r="C1417" t="str">
        <f>+_xlfn.XLOOKUP(Tabla6[[#This Row],[ID CLIENTE]],'RESUMEN CLIENTES'!D:D,'RESUMEN CLIENTES'!C:C)</f>
        <v>México</v>
      </c>
      <c r="D1417" s="44" t="str">
        <f>+_xlfn.XLOOKUP(Tabla6[[#This Row],[ID CLIENTE]],'RESUMEN CLIENTES'!D:D,'RESUMEN CLIENTES'!M:M)</f>
        <v>OK</v>
      </c>
      <c r="E1417" s="71">
        <f>+_xlfn.XLOOKUP(Tabla6[[#This Row],[NOMBRE]],'RESUMEN CLIENTES'!A:A,'RESUMEN CLIENTES'!X:X)</f>
        <v>2</v>
      </c>
      <c r="F1417" s="71">
        <f>+_xlfn.XLOOKUP(Tabla6[[#This Row],[ID CLIENTE]],'RESUMEN CLIENTES'!D:D,'RESUMEN CLIENTES'!W:W)</f>
        <v>1</v>
      </c>
      <c r="G1417" s="17">
        <v>46178</v>
      </c>
      <c r="H1417" s="44" t="s">
        <v>81</v>
      </c>
      <c r="I1417" s="2">
        <v>650</v>
      </c>
      <c r="J1417"/>
      <c r="K1417"/>
      <c r="L1417" s="44" t="str" cm="1">
        <f t="array" ref="L1417">+_xlfn.IFS(COUNTIF(INGRESOS!E:E,Tabla6[[#This Row],[ID FACTURA]])=1,"PAGADA",Tabla6[[#This Row],[ID FACTURA]]&lt;&gt;0,"EMITIDA",Tabla6[[#This Row],[ID FACTURA]]=0,"POR EMITIR")</f>
        <v>POR EMITIR</v>
      </c>
      <c r="M1417" s="55" t="str">
        <f>+IF(Tabla6[[#This Row],[ESTADO FACTURA]]="PAGADA",Tabla6[[#This Row],[FECHA]]-_xlfn.XLOOKUP(Tabla6[[#This Row],[N° FACTURA]],INGRESOS!F:F,INGRESOS!A:A),"-")</f>
        <v>-</v>
      </c>
      <c r="N1417" s="2"/>
      <c r="O1417"/>
    </row>
    <row r="1418" spans="1:15" ht="14.75" customHeight="1">
      <c r="A1418" s="320" t="s">
        <v>703</v>
      </c>
      <c r="B1418" t="str">
        <f>+_xlfn.XLOOKUP(Tabla6[[#This Row],[ID CLIENTE]],'RESUMEN CLIENTES'!D:D,'RESUMEN CLIENTES'!A:A)</f>
        <v>Maira Paz Navas Sánchez</v>
      </c>
      <c r="C1418" t="str">
        <f>+_xlfn.XLOOKUP(Tabla6[[#This Row],[ID CLIENTE]],'RESUMEN CLIENTES'!D:D,'RESUMEN CLIENTES'!C:C)</f>
        <v>Chile</v>
      </c>
      <c r="D1418" s="44" t="str">
        <f>+_xlfn.XLOOKUP(Tabla6[[#This Row],[ID CLIENTE]],'RESUMEN CLIENTES'!D:D,'RESUMEN CLIENTES'!M:M)</f>
        <v>OK</v>
      </c>
      <c r="E1418" s="72">
        <f>+_xlfn.XLOOKUP(Tabla6[[#This Row],[NOMBRE]],'RESUMEN CLIENTES'!A:A,'RESUMEN CLIENTES'!X:X)</f>
        <v>-1.75</v>
      </c>
      <c r="F1418" s="72">
        <f>+_xlfn.XLOOKUP(Tabla6[[#This Row],[ID CLIENTE]],'RESUMEN CLIENTES'!D:D,'RESUMEN CLIENTES'!W:W)</f>
        <v>1</v>
      </c>
      <c r="G1418" s="17">
        <v>46178</v>
      </c>
      <c r="H1418" s="44" t="s">
        <v>81</v>
      </c>
      <c r="I1418" s="2">
        <v>700</v>
      </c>
      <c r="J1418"/>
      <c r="K1418"/>
      <c r="L1418" s="44" t="str" cm="1">
        <f t="array" ref="L1418">+_xlfn.IFS(COUNTIF(INGRESOS!E:E,Tabla6[[#This Row],[ID FACTURA]])=1,"PAGADA",Tabla6[[#This Row],[ID FACTURA]]&lt;&gt;0,"EMITIDA",Tabla6[[#This Row],[ID FACTURA]]=0,"POR EMITIR")</f>
        <v>POR EMITIR</v>
      </c>
      <c r="M1418" s="55" t="str">
        <f>+IF(Tabla6[[#This Row],[ESTADO FACTURA]]="PAGADA",Tabla6[[#This Row],[FECHA]]-_xlfn.XLOOKUP(Tabla6[[#This Row],[N° FACTURA]],INGRESOS!F:F,INGRESOS!A:A),"-")</f>
        <v>-</v>
      </c>
      <c r="N1418" s="2"/>
      <c r="O1418"/>
    </row>
    <row r="1419" spans="1:15" ht="14.75" customHeight="1">
      <c r="A1419" s="320" t="s">
        <v>80</v>
      </c>
      <c r="B1419" t="str">
        <f>+_xlfn.XLOOKUP(Tabla6[[#This Row],[ID CLIENTE]],'RESUMEN CLIENTES'!D:D,'RESUMEN CLIENTES'!A:A)</f>
        <v>María Fernanda Alvar Sepúlveda</v>
      </c>
      <c r="C1419" t="str">
        <f>+_xlfn.XLOOKUP(Tabla6[[#This Row],[ID CLIENTE]],'RESUMEN CLIENTES'!D:D,'RESUMEN CLIENTES'!C:C)</f>
        <v>Chile</v>
      </c>
      <c r="D1419" s="44" t="str">
        <f>+_xlfn.XLOOKUP(Tabla6[[#This Row],[ID CLIENTE]],'RESUMEN CLIENTES'!D:D,'RESUMEN CLIENTES'!M:M)</f>
        <v>OK</v>
      </c>
      <c r="E1419" s="72">
        <f>+_xlfn.XLOOKUP(Tabla6[[#This Row],[NOMBRE]],'RESUMEN CLIENTES'!A:A,'RESUMEN CLIENTES'!X:X)</f>
        <v>5</v>
      </c>
      <c r="F1419" s="71">
        <f>+_xlfn.XLOOKUP(Tabla6[[#This Row],[ID CLIENTE]],'RESUMEN CLIENTES'!D:D,'RESUMEN CLIENTES'!W:W)</f>
        <v>1</v>
      </c>
      <c r="G1419" s="17">
        <v>46178</v>
      </c>
      <c r="H1419" s="44" t="s">
        <v>81</v>
      </c>
      <c r="I1419" s="2">
        <v>800</v>
      </c>
      <c r="J1419"/>
      <c r="K1419"/>
      <c r="L1419" s="44" t="str" cm="1">
        <f t="array" ref="L1419">+_xlfn.IFS(COUNTIF(INGRESOS!E:E,Tabla6[[#This Row],[ID FACTURA]])=1,"PAGADA",Tabla6[[#This Row],[ID FACTURA]]&lt;&gt;0,"EMITIDA",Tabla6[[#This Row],[ID FACTURA]]=0,"POR EMITIR")</f>
        <v>POR EMITIR</v>
      </c>
      <c r="M1419" s="55" t="str">
        <f>+IF(Tabla6[[#This Row],[ESTADO FACTURA]]="PAGADA",Tabla6[[#This Row],[FECHA]]-_xlfn.XLOOKUP(Tabla6[[#This Row],[N° FACTURA]],INGRESOS!F:F,INGRESOS!A:A),"-")</f>
        <v>-</v>
      </c>
      <c r="N1419" s="214"/>
      <c r="O1419"/>
    </row>
    <row r="1420" spans="1:15" ht="14.75" customHeight="1">
      <c r="A1420" s="320" t="s">
        <v>1551</v>
      </c>
      <c r="B1420" t="str">
        <f>+_xlfn.XLOOKUP(Tabla6[[#This Row],[ID CLIENTE]],'RESUMEN CLIENTES'!D:D,'RESUMEN CLIENTES'!A:A)</f>
        <v>María Fernanda Cid Ramírez</v>
      </c>
      <c r="C1420" t="str">
        <f>+_xlfn.XLOOKUP(Tabla6[[#This Row],[ID CLIENTE]],'RESUMEN CLIENTES'!D:D,'RESUMEN CLIENTES'!C:C)</f>
        <v>México</v>
      </c>
      <c r="D1420" s="44" t="str">
        <f>+_xlfn.XLOOKUP(Tabla6[[#This Row],[ID CLIENTE]],'RESUMEN CLIENTES'!D:D,'RESUMEN CLIENTES'!M:M)</f>
        <v>OK</v>
      </c>
      <c r="E1420" s="71">
        <f>+_xlfn.XLOOKUP(Tabla6[[#This Row],[NOMBRE]],'RESUMEN CLIENTES'!A:A,'RESUMEN CLIENTES'!X:X)</f>
        <v>-0.8571428571428571</v>
      </c>
      <c r="F1420" s="71">
        <f>+_xlfn.XLOOKUP(Tabla6[[#This Row],[ID CLIENTE]],'RESUMEN CLIENTES'!D:D,'RESUMEN CLIENTES'!W:W)</f>
        <v>0</v>
      </c>
      <c r="G1420" s="17">
        <v>46178</v>
      </c>
      <c r="H1420" s="169" t="s">
        <v>81</v>
      </c>
      <c r="I1420" s="2">
        <v>850</v>
      </c>
      <c r="J1420"/>
      <c r="K1420"/>
      <c r="L1420" s="44" t="str" cm="1">
        <f t="array" ref="L1420">+_xlfn.IFS(COUNTIF(INGRESOS!E:E,Tabla6[[#This Row],[ID FACTURA]])=1,"PAGADA",Tabla6[[#This Row],[ID FACTURA]]&lt;&gt;0,"EMITIDA",Tabla6[[#This Row],[ID FACTURA]]=0,"POR EMITIR")</f>
        <v>POR EMITIR</v>
      </c>
      <c r="M1420" s="55" t="str">
        <f>+IF(Tabla6[[#This Row],[ESTADO FACTURA]]="PAGADA",Tabla6[[#This Row],[FECHA]]-_xlfn.XLOOKUP(Tabla6[[#This Row],[N° FACTURA]],INGRESOS!F:F,INGRESOS!A:A),"-")</f>
        <v>-</v>
      </c>
      <c r="N1420" s="2"/>
      <c r="O1420"/>
    </row>
    <row r="1421" spans="1:15" ht="14.75" customHeight="1">
      <c r="A1421" s="320" t="s">
        <v>1155</v>
      </c>
      <c r="B1421" t="str">
        <f>+_xlfn.XLOOKUP(Tabla6[[#This Row],[ID CLIENTE]],'RESUMEN CLIENTES'!D:D,'RESUMEN CLIENTES'!A:A)</f>
        <v>Mario Arciga Casián</v>
      </c>
      <c r="C1421" t="str">
        <f>+_xlfn.XLOOKUP(Tabla6[[#This Row],[ID CLIENTE]],'RESUMEN CLIENTES'!D:D,'RESUMEN CLIENTES'!C:C)</f>
        <v>México</v>
      </c>
      <c r="D1421" s="44" t="str">
        <f>+_xlfn.XLOOKUP(Tabla6[[#This Row],[ID CLIENTE]],'RESUMEN CLIENTES'!D:D,'RESUMEN CLIENTES'!M:M)</f>
        <v>OK</v>
      </c>
      <c r="E1421" s="72">
        <f>+_xlfn.XLOOKUP(Tabla6[[#This Row],[NOMBRE]],'RESUMEN CLIENTES'!A:A,'RESUMEN CLIENTES'!X:X)</f>
        <v>-0.66666666666666663</v>
      </c>
      <c r="F1421" s="72">
        <f>+_xlfn.XLOOKUP(Tabla6[[#This Row],[ID CLIENTE]],'RESUMEN CLIENTES'!D:D,'RESUMEN CLIENTES'!W:W)</f>
        <v>1</v>
      </c>
      <c r="G1421" s="17">
        <v>46178</v>
      </c>
      <c r="H1421" s="44" t="s">
        <v>81</v>
      </c>
      <c r="I1421" s="2">
        <v>1000</v>
      </c>
      <c r="J1421"/>
      <c r="K1421"/>
      <c r="L1421" s="44" t="str" cm="1">
        <f t="array" ref="L1421">+_xlfn.IFS(COUNTIF(INGRESOS!E:E,Tabla6[[#This Row],[ID FACTURA]])=1,"PAGADA",Tabla6[[#This Row],[ID FACTURA]]&lt;&gt;0,"EMITIDA",Tabla6[[#This Row],[ID FACTURA]]=0,"POR EMITIR")</f>
        <v>POR EMITIR</v>
      </c>
      <c r="M1421" s="55" t="str">
        <f>+IF(Tabla6[[#This Row],[ESTADO FACTURA]]="PAGADA",Tabla6[[#This Row],[FECHA]]-_xlfn.XLOOKUP(Tabla6[[#This Row],[N° FACTURA]],INGRESOS!F:F,INGRESOS!A:A),"-")</f>
        <v>-</v>
      </c>
      <c r="N1421" s="2"/>
      <c r="O1421"/>
    </row>
    <row r="1422" spans="1:15" ht="14.75" customHeight="1">
      <c r="A1422" s="320" t="s">
        <v>4509</v>
      </c>
      <c r="B1422" t="str">
        <f>+_xlfn.XLOOKUP(Tabla6[[#This Row],[ID CLIENTE]],'RESUMEN CLIENTES'!D:D,'RESUMEN CLIENTES'!A:A)</f>
        <v>Marisol Madeleine Ibáñez Paredes</v>
      </c>
      <c r="C1422" t="str">
        <f>+_xlfn.XLOOKUP(Tabla6[[#This Row],[ID CLIENTE]],'RESUMEN CLIENTES'!D:D,'RESUMEN CLIENTES'!C:C)</f>
        <v>Ecuador</v>
      </c>
      <c r="D1422" s="169" t="str">
        <f>+_xlfn.XLOOKUP(Tabla6[[#This Row],[ID CLIENTE]],'RESUMEN CLIENTES'!D:D,'RESUMEN CLIENTES'!M:M)</f>
        <v>OK</v>
      </c>
      <c r="E1422" s="71">
        <f>+_xlfn.XLOOKUP(Tabla6[[#This Row],[NOMBRE]],'RESUMEN CLIENTES'!A:A,'RESUMEN CLIENTES'!X:X)</f>
        <v>-3</v>
      </c>
      <c r="F1422" s="71">
        <f>+_xlfn.XLOOKUP(Tabla6[[#This Row],[ID CLIENTE]],'RESUMEN CLIENTES'!D:D,'RESUMEN CLIENTES'!W:W)</f>
        <v>0</v>
      </c>
      <c r="G1422" s="17">
        <v>46178</v>
      </c>
      <c r="H1422" s="169" t="s">
        <v>81</v>
      </c>
      <c r="I1422" s="2">
        <v>1000</v>
      </c>
      <c r="J1422"/>
      <c r="K1422"/>
      <c r="L1422" s="44" t="str" cm="1">
        <f t="array" ref="L1422">+_xlfn.IFS(COUNTIF(INGRESOS!E:E,Tabla6[[#This Row],[ID FACTURA]])=1,"PAGADA",Tabla6[[#This Row],[ID FACTURA]]&lt;&gt;0,"EMITIDA",Tabla6[[#This Row],[ID FACTURA]]=0,"POR EMITIR")</f>
        <v>POR EMITIR</v>
      </c>
      <c r="M1422" s="54" t="str">
        <f>+IF(Tabla6[[#This Row],[ESTADO FACTURA]]="PAGADA",Tabla6[[#This Row],[FECHA]]-_xlfn.XLOOKUP(Tabla6[[#This Row],[N° FACTURA]],INGRESOS!F:F,INGRESOS!A:A),"-")</f>
        <v>-</v>
      </c>
      <c r="O1422"/>
    </row>
    <row r="1423" spans="1:15" ht="14.75" customHeight="1">
      <c r="A1423" s="320" t="s">
        <v>129</v>
      </c>
      <c r="B1423" t="str">
        <f>+_xlfn.XLOOKUP(Tabla6[[#This Row],[ID CLIENTE]],'RESUMEN CLIENTES'!D:D,'RESUMEN CLIENTES'!A:A)</f>
        <v>Moira Millaray Schneider Rivera</v>
      </c>
      <c r="C1423" t="str">
        <f>+_xlfn.XLOOKUP(Tabla6[[#This Row],[ID CLIENTE]],'RESUMEN CLIENTES'!D:D,'RESUMEN CLIENTES'!C:C)</f>
        <v>Chile</v>
      </c>
      <c r="D1423" s="44" t="str">
        <f>+_xlfn.XLOOKUP(Tabla6[[#This Row],[ID CLIENTE]],'RESUMEN CLIENTES'!D:D,'RESUMEN CLIENTES'!M:M)</f>
        <v>OK</v>
      </c>
      <c r="E1423" s="72">
        <f>+_xlfn.XLOOKUP(Tabla6[[#This Row],[NOMBRE]],'RESUMEN CLIENTES'!A:A,'RESUMEN CLIENTES'!X:X)</f>
        <v>0</v>
      </c>
      <c r="F1423" s="72">
        <f>+_xlfn.XLOOKUP(Tabla6[[#This Row],[ID CLIENTE]],'RESUMEN CLIENTES'!D:D,'RESUMEN CLIENTES'!W:W)</f>
        <v>1</v>
      </c>
      <c r="G1423" s="17">
        <v>46178</v>
      </c>
      <c r="H1423" s="44" t="s">
        <v>81</v>
      </c>
      <c r="I1423" s="2">
        <v>800</v>
      </c>
      <c r="J1423"/>
      <c r="K1423"/>
      <c r="L1423" s="44" t="str" cm="1">
        <f t="array" ref="L1423">+_xlfn.IFS(COUNTIF(INGRESOS!E:E,Tabla6[[#This Row],[ID FACTURA]])=1,"PAGADA",Tabla6[[#This Row],[ID FACTURA]]&lt;&gt;0,"EMITIDA",Tabla6[[#This Row],[ID FACTURA]]=0,"POR EMITIR")</f>
        <v>POR EMITIR</v>
      </c>
      <c r="M1423" s="55" t="str">
        <f>+IF(Tabla6[[#This Row],[ESTADO FACTURA]]="PAGADA",Tabla6[[#This Row],[FECHA]]-_xlfn.XLOOKUP(Tabla6[[#This Row],[N° FACTURA]],INGRESOS!F:F,INGRESOS!A:A),"-")</f>
        <v>-</v>
      </c>
      <c r="N1423" s="2"/>
      <c r="O1423"/>
    </row>
    <row r="1424" spans="1:15" ht="14.75" customHeight="1">
      <c r="A1424" s="320" t="s">
        <v>159</v>
      </c>
      <c r="B1424" t="str">
        <f>+_xlfn.XLOOKUP(Tabla6[[#This Row],[ID CLIENTE]],'RESUMEN CLIENTES'!D:D,'RESUMEN CLIENTES'!A:A)</f>
        <v>Rodrigo Rivera Ruiz</v>
      </c>
      <c r="C1424" t="str">
        <f>+_xlfn.XLOOKUP(Tabla6[[#This Row],[ID CLIENTE]],'RESUMEN CLIENTES'!D:D,'RESUMEN CLIENTES'!C:C)</f>
        <v>Chile</v>
      </c>
      <c r="D1424" s="44" t="str">
        <f>+_xlfn.XLOOKUP(Tabla6[[#This Row],[ID CLIENTE]],'RESUMEN CLIENTES'!D:D,'RESUMEN CLIENTES'!M:M)</f>
        <v>OK</v>
      </c>
      <c r="E1424" s="72">
        <f>+_xlfn.XLOOKUP(Tabla6[[#This Row],[NOMBRE]],'RESUMEN CLIENTES'!A:A,'RESUMEN CLIENTES'!X:X)</f>
        <v>0.8</v>
      </c>
      <c r="F1424" s="72">
        <f>+_xlfn.XLOOKUP(Tabla6[[#This Row],[ID CLIENTE]],'RESUMEN CLIENTES'!D:D,'RESUMEN CLIENTES'!W:W)</f>
        <v>1</v>
      </c>
      <c r="G1424" s="17">
        <v>46178</v>
      </c>
      <c r="H1424" s="44" t="s">
        <v>81</v>
      </c>
      <c r="I1424" s="2">
        <v>800</v>
      </c>
      <c r="J1424"/>
      <c r="K1424"/>
      <c r="L1424" s="44" t="str" cm="1">
        <f t="array" ref="L1424">+_xlfn.IFS(COUNTIF(INGRESOS!E:E,Tabla6[[#This Row],[ID FACTURA]])=1,"PAGADA",Tabla6[[#This Row],[ID FACTURA]]&lt;&gt;0,"EMITIDA",Tabla6[[#This Row],[ID FACTURA]]=0,"POR EMITIR")</f>
        <v>POR EMITIR</v>
      </c>
      <c r="M1424" s="55" t="str">
        <f>+IF(Tabla6[[#This Row],[ESTADO FACTURA]]="PAGADA",Tabla6[[#This Row],[FECHA]]-_xlfn.XLOOKUP(Tabla6[[#This Row],[N° FACTURA]],INGRESOS!F:F,INGRESOS!A:A),"-")</f>
        <v>-</v>
      </c>
      <c r="N1424" s="2"/>
      <c r="O1424"/>
    </row>
    <row r="1425" spans="1:15" ht="14.75" customHeight="1">
      <c r="A1425" s="320" t="s">
        <v>281</v>
      </c>
      <c r="B1425" t="str">
        <f>+_xlfn.XLOOKUP(Tabla6[[#This Row],[ID CLIENTE]],'RESUMEN CLIENTES'!D:D,'RESUMEN CLIENTES'!A:A)</f>
        <v>Sergio Francisco Garcia Sandoval</v>
      </c>
      <c r="C1425" t="str">
        <f>+_xlfn.XLOOKUP(Tabla6[[#This Row],[ID CLIENTE]],'RESUMEN CLIENTES'!D:D,'RESUMEN CLIENTES'!C:C)</f>
        <v>Perú</v>
      </c>
      <c r="D1425" s="44" t="str">
        <f>+_xlfn.XLOOKUP(Tabla6[[#This Row],[ID CLIENTE]],'RESUMEN CLIENTES'!D:D,'RESUMEN CLIENTES'!M:M)</f>
        <v>OK</v>
      </c>
      <c r="E1425" s="72">
        <f>+_xlfn.XLOOKUP(Tabla6[[#This Row],[NOMBRE]],'RESUMEN CLIENTES'!A:A,'RESUMEN CLIENTES'!X:X)</f>
        <v>0.88888888888888884</v>
      </c>
      <c r="F1425" s="72">
        <f>+_xlfn.XLOOKUP(Tabla6[[#This Row],[ID CLIENTE]],'RESUMEN CLIENTES'!D:D,'RESUMEN CLIENTES'!W:W)</f>
        <v>1</v>
      </c>
      <c r="G1425" s="17">
        <v>46178</v>
      </c>
      <c r="H1425" s="44" t="s">
        <v>81</v>
      </c>
      <c r="I1425" s="2">
        <v>350</v>
      </c>
      <c r="J1425"/>
      <c r="K1425"/>
      <c r="L1425" s="44" t="str" cm="1">
        <f t="array" ref="L1425">+_xlfn.IFS(COUNTIF(INGRESOS!E:E,Tabla6[[#This Row],[ID FACTURA]])=1,"PAGADA",Tabla6[[#This Row],[ID FACTURA]]&lt;&gt;0,"EMITIDA",Tabla6[[#This Row],[ID FACTURA]]=0,"POR EMITIR")</f>
        <v>POR EMITIR</v>
      </c>
      <c r="M1425" s="55" t="str">
        <f>+IF(Tabla6[[#This Row],[ESTADO FACTURA]]="PAGADA",Tabla6[[#This Row],[FECHA]]-_xlfn.XLOOKUP(Tabla6[[#This Row],[N° FACTURA]],INGRESOS!F:F,INGRESOS!A:A),"-")</f>
        <v>-</v>
      </c>
      <c r="N1425" s="2"/>
      <c r="O1425"/>
    </row>
    <row r="1426" spans="1:15" ht="14.75" customHeight="1">
      <c r="A1426" s="320" t="s">
        <v>112</v>
      </c>
      <c r="B1426" t="str">
        <f>+_xlfn.XLOOKUP(Tabla6[[#This Row],[ID CLIENTE]],'RESUMEN CLIENTES'!D:D,'RESUMEN CLIENTES'!A:A)</f>
        <v>Victor Emanuel Hernández Ruíz</v>
      </c>
      <c r="C1426" t="str">
        <f>+_xlfn.XLOOKUP(Tabla6[[#This Row],[ID CLIENTE]],'RESUMEN CLIENTES'!D:D,'RESUMEN CLIENTES'!C:C)</f>
        <v>México</v>
      </c>
      <c r="D1426" s="44" t="str">
        <f>+_xlfn.XLOOKUP(Tabla6[[#This Row],[ID CLIENTE]],'RESUMEN CLIENTES'!D:D,'RESUMEN CLIENTES'!M:M)</f>
        <v>OK</v>
      </c>
      <c r="E1426" s="72">
        <f>+_xlfn.XLOOKUP(Tabla6[[#This Row],[NOMBRE]],'RESUMEN CLIENTES'!A:A,'RESUMEN CLIENTES'!X:X)</f>
        <v>-1.2727272727272727</v>
      </c>
      <c r="F1426" s="72">
        <f>+_xlfn.XLOOKUP(Tabla6[[#This Row],[ID CLIENTE]],'RESUMEN CLIENTES'!D:D,'RESUMEN CLIENTES'!W:W)</f>
        <v>1</v>
      </c>
      <c r="G1426" s="17">
        <v>46178</v>
      </c>
      <c r="H1426" s="44" t="s">
        <v>81</v>
      </c>
      <c r="I1426" s="2">
        <v>800</v>
      </c>
      <c r="J1426"/>
      <c r="K1426"/>
      <c r="L1426" s="44" t="str" cm="1">
        <f t="array" ref="L1426">+_xlfn.IFS(COUNTIF(INGRESOS!E:E,Tabla6[[#This Row],[ID FACTURA]])=1,"PAGADA",Tabla6[[#This Row],[ID FACTURA]]&lt;&gt;0,"EMITIDA",Tabla6[[#This Row],[ID FACTURA]]=0,"POR EMITIR")</f>
        <v>POR EMITIR</v>
      </c>
      <c r="M1426" s="55" t="str">
        <f>+IF(Tabla6[[#This Row],[ESTADO FACTURA]]="PAGADA",Tabla6[[#This Row],[FECHA]]-_xlfn.XLOOKUP(Tabla6[[#This Row],[N° FACTURA]],INGRESOS!F:F,INGRESOS!A:A),"-")</f>
        <v>-</v>
      </c>
      <c r="N1426" s="2"/>
      <c r="O1426"/>
    </row>
    <row r="1427" spans="1:15" ht="14.75" customHeight="1">
      <c r="A1427" s="320" t="s">
        <v>907</v>
      </c>
      <c r="B1427" t="str">
        <f>+_xlfn.XLOOKUP(Tabla6[[#This Row],[ID CLIENTE]],'RESUMEN CLIENTES'!D:D,'RESUMEN CLIENTES'!A:A)</f>
        <v>Luis Carlos Villa Cortés</v>
      </c>
      <c r="C1427" t="str">
        <f>+_xlfn.XLOOKUP(Tabla6[[#This Row],[ID CLIENTE]],'RESUMEN CLIENTES'!D:D,'RESUMEN CLIENTES'!C:C)</f>
        <v>México</v>
      </c>
      <c r="D1427" s="44" t="str">
        <f>+_xlfn.XLOOKUP(Tabla6[[#This Row],[ID CLIENTE]],'RESUMEN CLIENTES'!D:D,'RESUMEN CLIENTES'!M:M)</f>
        <v>OK</v>
      </c>
      <c r="E1427" s="72">
        <f>+_xlfn.XLOOKUP(Tabla6[[#This Row],[NOMBRE]],'RESUMEN CLIENTES'!A:A,'RESUMEN CLIENTES'!X:X)</f>
        <v>0</v>
      </c>
      <c r="F1427" s="72">
        <f>+_xlfn.XLOOKUP(Tabla6[[#This Row],[ID CLIENTE]],'RESUMEN CLIENTES'!D:D,'RESUMEN CLIENTES'!W:W)</f>
        <v>1</v>
      </c>
      <c r="G1427" s="17">
        <v>46179</v>
      </c>
      <c r="H1427" s="44" t="s">
        <v>81</v>
      </c>
      <c r="I1427" s="2">
        <v>1000</v>
      </c>
      <c r="J1427"/>
      <c r="K1427"/>
      <c r="L1427" s="44" t="str" cm="1">
        <f t="array" ref="L1427">+_xlfn.IFS(COUNTIF(INGRESOS!E:E,Tabla6[[#This Row],[ID FACTURA]])=1,"PAGADA",Tabla6[[#This Row],[ID FACTURA]]&lt;&gt;0,"EMITIDA",Tabla6[[#This Row],[ID FACTURA]]=0,"POR EMITIR")</f>
        <v>POR EMITIR</v>
      </c>
      <c r="M1427" s="55" t="str">
        <f>+IF(Tabla6[[#This Row],[ESTADO FACTURA]]="PAGADA",Tabla6[[#This Row],[FECHA]]-_xlfn.XLOOKUP(Tabla6[[#This Row],[N° FACTURA]],INGRESOS!F:F,INGRESOS!A:A),"-")</f>
        <v>-</v>
      </c>
      <c r="N1427" s="2"/>
      <c r="O1427"/>
    </row>
    <row r="1428" spans="1:15" ht="14.75" customHeight="1">
      <c r="A1428" s="320" t="s">
        <v>1152</v>
      </c>
      <c r="B1428" t="str">
        <f>+_xlfn.XLOOKUP(Tabla6[[#This Row],[ID CLIENTE]],'RESUMEN CLIENTES'!D:D,'RESUMEN CLIENTES'!A:A)</f>
        <v>Ricardo Ernesto Miño Valencia</v>
      </c>
      <c r="C1428" t="str">
        <f>+_xlfn.XLOOKUP(Tabla6[[#This Row],[ID CLIENTE]],'RESUMEN CLIENTES'!D:D,'RESUMEN CLIENTES'!C:C)</f>
        <v>Ecuador</v>
      </c>
      <c r="D1428" s="44" t="str">
        <f>+_xlfn.XLOOKUP(Tabla6[[#This Row],[ID CLIENTE]],'RESUMEN CLIENTES'!D:D,'RESUMEN CLIENTES'!M:M)</f>
        <v>OK</v>
      </c>
      <c r="E1428" s="72">
        <f>+_xlfn.XLOOKUP(Tabla6[[#This Row],[NOMBRE]],'RESUMEN CLIENTES'!A:A,'RESUMEN CLIENTES'!X:X)</f>
        <v>-3.2</v>
      </c>
      <c r="F1428" s="72">
        <f>+_xlfn.XLOOKUP(Tabla6[[#This Row],[ID CLIENTE]],'RESUMEN CLIENTES'!D:D,'RESUMEN CLIENTES'!W:W)</f>
        <v>1</v>
      </c>
      <c r="G1428" s="17">
        <v>46179</v>
      </c>
      <c r="H1428" s="44" t="s">
        <v>81</v>
      </c>
      <c r="I1428" s="2">
        <v>700</v>
      </c>
      <c r="J1428"/>
      <c r="K1428"/>
      <c r="L1428" s="44" t="str" cm="1">
        <f t="array" ref="L1428">+_xlfn.IFS(COUNTIF(INGRESOS!E:E,Tabla6[[#This Row],[ID FACTURA]])=1,"PAGADA",Tabla6[[#This Row],[ID FACTURA]]&lt;&gt;0,"EMITIDA",Tabla6[[#This Row],[ID FACTURA]]=0,"POR EMITIR")</f>
        <v>POR EMITIR</v>
      </c>
      <c r="M1428" s="55" t="str">
        <f>+IF(Tabla6[[#This Row],[ESTADO FACTURA]]="PAGADA",Tabla6[[#This Row],[FECHA]]-_xlfn.XLOOKUP(Tabla6[[#This Row],[N° FACTURA]],INGRESOS!F:F,INGRESOS!A:A),"-")</f>
        <v>-</v>
      </c>
      <c r="N1428" s="2"/>
      <c r="O1428"/>
    </row>
    <row r="1429" spans="1:15" ht="14.75" customHeight="1">
      <c r="A1429" s="320" t="s">
        <v>1645</v>
      </c>
      <c r="B1429" t="str">
        <f>+_xlfn.XLOOKUP(Tabla6[[#This Row],[ID CLIENTE]],'RESUMEN CLIENTES'!D:D,'RESUMEN CLIENTES'!A:A)</f>
        <v>Gerardo Abel Palacios Preciado</v>
      </c>
      <c r="C1429" t="str">
        <f>+_xlfn.XLOOKUP(Tabla6[[#This Row],[ID CLIENTE]],'RESUMEN CLIENTES'!D:D,'RESUMEN CLIENTES'!C:C)</f>
        <v>México</v>
      </c>
      <c r="D1429" s="169" t="str">
        <f>+_xlfn.XLOOKUP(Tabla6[[#This Row],[ID CLIENTE]],'RESUMEN CLIENTES'!D:D,'RESUMEN CLIENTES'!M:M)</f>
        <v>OK</v>
      </c>
      <c r="E1429" s="71">
        <f>+_xlfn.XLOOKUP(Tabla6[[#This Row],[NOMBRE]],'RESUMEN CLIENTES'!A:A,'RESUMEN CLIENTES'!X:X)</f>
        <v>-1.3333333333333333</v>
      </c>
      <c r="F1429" s="71">
        <f>+_xlfn.XLOOKUP(Tabla6[[#This Row],[ID CLIENTE]],'RESUMEN CLIENTES'!D:D,'RESUMEN CLIENTES'!W:W)</f>
        <v>1</v>
      </c>
      <c r="G1429" s="17">
        <v>46182</v>
      </c>
      <c r="H1429" s="169" t="s">
        <v>81</v>
      </c>
      <c r="I1429" s="2">
        <v>650</v>
      </c>
      <c r="J1429"/>
      <c r="K1429"/>
      <c r="L1429" s="44" t="str" cm="1">
        <f t="array" ref="L1429">+_xlfn.IFS(COUNTIF(INGRESOS!E:E,Tabla6[[#This Row],[ID FACTURA]])=1,"PAGADA",Tabla6[[#This Row],[ID FACTURA]]&lt;&gt;0,"EMITIDA",Tabla6[[#This Row],[ID FACTURA]]=0,"POR EMITIR")</f>
        <v>POR EMITIR</v>
      </c>
      <c r="M1429" s="55" t="str">
        <f>+IF(Tabla6[[#This Row],[ESTADO FACTURA]]="PAGADA",Tabla6[[#This Row],[FECHA]]-_xlfn.XLOOKUP(Tabla6[[#This Row],[N° FACTURA]],INGRESOS!F:F,INGRESOS!A:A),"-")</f>
        <v>-</v>
      </c>
      <c r="N1429" s="2"/>
      <c r="O1429"/>
    </row>
    <row r="1430" spans="1:15" ht="14.75" customHeight="1">
      <c r="A1430" s="321" t="s">
        <v>367</v>
      </c>
      <c r="B1430" t="str">
        <f>+_xlfn.XLOOKUP(Tabla6[[#This Row],[ID CLIENTE]],'RESUMEN CLIENTES'!D:D,'RESUMEN CLIENTES'!A:A)</f>
        <v>José Miguel Undurraga Saavedra</v>
      </c>
      <c r="C1430" t="str">
        <f>+_xlfn.XLOOKUP(Tabla6[[#This Row],[ID CLIENTE]],'RESUMEN CLIENTES'!D:D,'RESUMEN CLIENTES'!C:C)</f>
        <v>Chile</v>
      </c>
      <c r="D1430" s="169" t="str">
        <f>+_xlfn.XLOOKUP(Tabla6[[#This Row],[ID CLIENTE]],'RESUMEN CLIENTES'!D:D,'RESUMEN CLIENTES'!M:M)</f>
        <v>OK</v>
      </c>
      <c r="E1430" s="71">
        <f>+_xlfn.XLOOKUP(Tabla6[[#This Row],[NOMBRE]],'RESUMEN CLIENTES'!A:A,'RESUMEN CLIENTES'!X:X)</f>
        <v>-11.5</v>
      </c>
      <c r="F1430" s="71">
        <f>+_xlfn.XLOOKUP(Tabla6[[#This Row],[ID CLIENTE]],'RESUMEN CLIENTES'!D:D,'RESUMEN CLIENTES'!W:W)</f>
        <v>0</v>
      </c>
      <c r="G1430" s="17">
        <v>46183</v>
      </c>
      <c r="H1430" s="169" t="s">
        <v>81</v>
      </c>
      <c r="I1430" s="2">
        <v>100</v>
      </c>
      <c r="J1430"/>
      <c r="K1430"/>
      <c r="L1430" s="44" t="str" cm="1">
        <f t="array" ref="L1430">+_xlfn.IFS(COUNTIF(INGRESOS!E:E,Tabla6[[#This Row],[ID FACTURA]])=1,"PAGADA",Tabla6[[#This Row],[ID FACTURA]]&lt;&gt;0,"EMITIDA",Tabla6[[#This Row],[ID FACTURA]]=0,"POR EMITIR")</f>
        <v>POR EMITIR</v>
      </c>
      <c r="M1430" s="54" t="str">
        <f>+IF(Tabla6[[#This Row],[ESTADO FACTURA]]="PAGADA",Tabla6[[#This Row],[FECHA]]-_xlfn.XLOOKUP(Tabla6[[#This Row],[N° FACTURA]],INGRESOS!F:F,INGRESOS!A:A),"-")</f>
        <v>-</v>
      </c>
      <c r="O1430"/>
    </row>
    <row r="1431" spans="1:15" ht="14.75" customHeight="1">
      <c r="A1431" s="320" t="s">
        <v>455</v>
      </c>
      <c r="B1431" t="str">
        <f>+_xlfn.XLOOKUP(Tabla6[[#This Row],[ID CLIENTE]],'RESUMEN CLIENTES'!D:D,'RESUMEN CLIENTES'!A:A)</f>
        <v>Paola Hitos</v>
      </c>
      <c r="C1431" t="str">
        <f>+_xlfn.XLOOKUP(Tabla6[[#This Row],[ID CLIENTE]],'RESUMEN CLIENTES'!D:D,'RESUMEN CLIENTES'!C:C)</f>
        <v>México</v>
      </c>
      <c r="D1431" s="44" t="str">
        <f>+_xlfn.XLOOKUP(Tabla6[[#This Row],[ID CLIENTE]],'RESUMEN CLIENTES'!D:D,'RESUMEN CLIENTES'!M:M)</f>
        <v>OK</v>
      </c>
      <c r="E1431" s="72">
        <f>+_xlfn.XLOOKUP(Tabla6[[#This Row],[NOMBRE]],'RESUMEN CLIENTES'!A:A,'RESUMEN CLIENTES'!X:X)</f>
        <v>-0.55555555555555558</v>
      </c>
      <c r="F1431" s="72">
        <f>+_xlfn.XLOOKUP(Tabla6[[#This Row],[ID CLIENTE]],'RESUMEN CLIENTES'!D:D,'RESUMEN CLIENTES'!W:W)</f>
        <v>1</v>
      </c>
      <c r="G1431" s="17">
        <v>46183</v>
      </c>
      <c r="H1431" s="44" t="s">
        <v>81</v>
      </c>
      <c r="I1431" s="2">
        <v>1000</v>
      </c>
      <c r="J1431"/>
      <c r="K1431"/>
      <c r="L1431" s="44" t="str" cm="1">
        <f t="array" ref="L1431">+_xlfn.IFS(COUNTIF(INGRESOS!E:E,Tabla6[[#This Row],[ID FACTURA]])=1,"PAGADA",Tabla6[[#This Row],[ID FACTURA]]&lt;&gt;0,"EMITIDA",Tabla6[[#This Row],[ID FACTURA]]=0,"POR EMITIR")</f>
        <v>POR EMITIR</v>
      </c>
      <c r="M1431" s="55" t="str">
        <f>+IF(Tabla6[[#This Row],[ESTADO FACTURA]]="PAGADA",Tabla6[[#This Row],[FECHA]]-_xlfn.XLOOKUP(Tabla6[[#This Row],[N° FACTURA]],INGRESOS!F:F,INGRESOS!A:A),"-")</f>
        <v>-</v>
      </c>
      <c r="N1431" s="2"/>
      <c r="O1431"/>
    </row>
    <row r="1432" spans="1:15" ht="14.75" customHeight="1">
      <c r="A1432" s="320" t="s">
        <v>501</v>
      </c>
      <c r="B1432" t="str">
        <f>+_xlfn.XLOOKUP(Tabla6[[#This Row],[ID CLIENTE]],'RESUMEN CLIENTES'!D:D,'RESUMEN CLIENTES'!A:A)</f>
        <v>Kimberly Chantelle Frey Arteaga</v>
      </c>
      <c r="C1432" t="str">
        <f>+_xlfn.XLOOKUP(Tabla6[[#This Row],[ID CLIENTE]],'RESUMEN CLIENTES'!D:D,'RESUMEN CLIENTES'!C:C)</f>
        <v>México</v>
      </c>
      <c r="D1432" s="44" t="str">
        <f>+_xlfn.XLOOKUP(Tabla6[[#This Row],[ID CLIENTE]],'RESUMEN CLIENTES'!D:D,'RESUMEN CLIENTES'!M:M)</f>
        <v>OK</v>
      </c>
      <c r="E1432" s="72">
        <f>+_xlfn.XLOOKUP(Tabla6[[#This Row],[NOMBRE]],'RESUMEN CLIENTES'!A:A,'RESUMEN CLIENTES'!X:X)</f>
        <v>0</v>
      </c>
      <c r="F1432" s="72">
        <f>+_xlfn.XLOOKUP(Tabla6[[#This Row],[ID CLIENTE]],'RESUMEN CLIENTES'!D:D,'RESUMEN CLIENTES'!W:W)</f>
        <v>1</v>
      </c>
      <c r="G1432" s="17">
        <v>46185</v>
      </c>
      <c r="H1432" s="44" t="s">
        <v>81</v>
      </c>
      <c r="I1432" s="2">
        <v>1000</v>
      </c>
      <c r="J1432"/>
      <c r="K1432"/>
      <c r="L1432" s="44" t="str" cm="1">
        <f t="array" ref="L1432">+_xlfn.IFS(COUNTIF(INGRESOS!E:E,Tabla6[[#This Row],[ID FACTURA]])=1,"PAGADA",Tabla6[[#This Row],[ID FACTURA]]&lt;&gt;0,"EMITIDA",Tabla6[[#This Row],[ID FACTURA]]=0,"POR EMITIR")</f>
        <v>POR EMITIR</v>
      </c>
      <c r="M1432" s="55" t="str">
        <f>+IF(Tabla6[[#This Row],[ESTADO FACTURA]]="PAGADA",Tabla6[[#This Row],[FECHA]]-_xlfn.XLOOKUP(Tabla6[[#This Row],[N° FACTURA]],INGRESOS!F:F,INGRESOS!A:A),"-")</f>
        <v>-</v>
      </c>
      <c r="N1432" s="2"/>
      <c r="O1432"/>
    </row>
    <row r="1433" spans="1:15" ht="14.75" customHeight="1">
      <c r="A1433" s="320" t="s">
        <v>187</v>
      </c>
      <c r="B1433" t="str">
        <f>+_xlfn.XLOOKUP(Tabla6[[#This Row],[ID CLIENTE]],'RESUMEN CLIENTES'!D:D,'RESUMEN CLIENTES'!A:A)</f>
        <v>Alina Maria Cervantes Real</v>
      </c>
      <c r="C1433" t="str">
        <f>+_xlfn.XLOOKUP(Tabla6[[#This Row],[ID CLIENTE]],'RESUMEN CLIENTES'!D:D,'RESUMEN CLIENTES'!C:C)</f>
        <v>México</v>
      </c>
      <c r="D1433" s="44" t="str">
        <f>+_xlfn.XLOOKUP(Tabla6[[#This Row],[ID CLIENTE]],'RESUMEN CLIENTES'!D:D,'RESUMEN CLIENTES'!M:M)</f>
        <v>OK</v>
      </c>
      <c r="E1433" s="72">
        <f>+_xlfn.XLOOKUP(Tabla6[[#This Row],[NOMBRE]],'RESUMEN CLIENTES'!A:A,'RESUMEN CLIENTES'!X:X)</f>
        <v>21.583333333333332</v>
      </c>
      <c r="F1433" s="72">
        <f>+_xlfn.XLOOKUP(Tabla6[[#This Row],[ID CLIENTE]],'RESUMEN CLIENTES'!D:D,'RESUMEN CLIENTES'!W:W)</f>
        <v>1</v>
      </c>
      <c r="G1433" s="17">
        <v>46188</v>
      </c>
      <c r="H1433" s="44" t="s">
        <v>81</v>
      </c>
      <c r="I1433" s="2">
        <v>800</v>
      </c>
      <c r="J1433"/>
      <c r="K1433"/>
      <c r="L1433" s="44" t="str" cm="1">
        <f t="array" ref="L1433">+_xlfn.IFS(COUNTIF(INGRESOS!E:E,Tabla6[[#This Row],[ID FACTURA]])=1,"PAGADA",Tabla6[[#This Row],[ID FACTURA]]&lt;&gt;0,"EMITIDA",Tabla6[[#This Row],[ID FACTURA]]=0,"POR EMITIR")</f>
        <v>POR EMITIR</v>
      </c>
      <c r="M1433" s="55" t="str">
        <f>+IF(Tabla6[[#This Row],[ESTADO FACTURA]]="PAGADA",Tabla6[[#This Row],[FECHA]]-_xlfn.XLOOKUP(Tabla6[[#This Row],[N° FACTURA]],INGRESOS!F:F,INGRESOS!A:A),"-")</f>
        <v>-</v>
      </c>
      <c r="N1433" s="2"/>
      <c r="O1433"/>
    </row>
    <row r="1434" spans="1:15" ht="14.75" customHeight="1">
      <c r="A1434" s="320" t="s">
        <v>325</v>
      </c>
      <c r="B1434" t="str">
        <f>+_xlfn.XLOOKUP(Tabla6[[#This Row],[ID CLIENTE]],'RESUMEN CLIENTES'!D:D,'RESUMEN CLIENTES'!A:A)</f>
        <v>Andrea Cristina Estrada Morocho</v>
      </c>
      <c r="C1434" t="str">
        <f>+_xlfn.XLOOKUP(Tabla6[[#This Row],[ID CLIENTE]],'RESUMEN CLIENTES'!D:D,'RESUMEN CLIENTES'!C:C)</f>
        <v>Ecuador</v>
      </c>
      <c r="D1434" s="44" t="str">
        <f>+_xlfn.XLOOKUP(Tabla6[[#This Row],[ID CLIENTE]],'RESUMEN CLIENTES'!D:D,'RESUMEN CLIENTES'!M:M)</f>
        <v>OK</v>
      </c>
      <c r="E1434" s="72">
        <f>+_xlfn.XLOOKUP(Tabla6[[#This Row],[NOMBRE]],'RESUMEN CLIENTES'!A:A,'RESUMEN CLIENTES'!X:X)</f>
        <v>-3.6666666666666665</v>
      </c>
      <c r="F1434" s="72">
        <f>+_xlfn.XLOOKUP(Tabla6[[#This Row],[ID CLIENTE]],'RESUMEN CLIENTES'!D:D,'RESUMEN CLIENTES'!W:W)</f>
        <v>1</v>
      </c>
      <c r="G1434" s="17">
        <v>46188</v>
      </c>
      <c r="H1434" s="44" t="s">
        <v>81</v>
      </c>
      <c r="I1434" s="2">
        <v>500</v>
      </c>
      <c r="J1434"/>
      <c r="K1434"/>
      <c r="L1434" s="44" t="str" cm="1">
        <f t="array" ref="L1434">+_xlfn.IFS(COUNTIF(INGRESOS!E:E,Tabla6[[#This Row],[ID FACTURA]])=1,"PAGADA",Tabla6[[#This Row],[ID FACTURA]]&lt;&gt;0,"EMITIDA",Tabla6[[#This Row],[ID FACTURA]]=0,"POR EMITIR")</f>
        <v>POR EMITIR</v>
      </c>
      <c r="M1434" s="55" t="str">
        <f>+IF(Tabla6[[#This Row],[ESTADO FACTURA]]="PAGADA",Tabla6[[#This Row],[FECHA]]-_xlfn.XLOOKUP(Tabla6[[#This Row],[N° FACTURA]],INGRESOS!F:F,INGRESOS!A:A),"-")</f>
        <v>-</v>
      </c>
      <c r="N1434" s="2"/>
      <c r="O1434"/>
    </row>
    <row r="1435" spans="1:15" ht="14.75" customHeight="1">
      <c r="A1435" s="320" t="s">
        <v>4768</v>
      </c>
      <c r="B1435" t="str">
        <f>+_xlfn.XLOOKUP(Tabla6[[#This Row],[ID CLIENTE]],'RESUMEN CLIENTES'!D:D,'RESUMEN CLIENTES'!A:A)</f>
        <v>Carla Elena Patínez Rondón</v>
      </c>
      <c r="C1435" s="15" t="str">
        <f>+_xlfn.XLOOKUP(Tabla6[[#This Row],[ID CLIENTE]],'RESUMEN CLIENTES'!D:D,'RESUMEN CLIENTES'!C:C)</f>
        <v>Venezuela</v>
      </c>
      <c r="D1435" s="169" t="str">
        <f>+_xlfn.XLOOKUP(Tabla6[[#This Row],[ID CLIENTE]],'RESUMEN CLIENTES'!D:D,'RESUMEN CLIENTES'!M:M)</f>
        <v>OK</v>
      </c>
      <c r="E1435" s="71">
        <f>+_xlfn.XLOOKUP(Tabla6[[#This Row],[NOMBRE]],'RESUMEN CLIENTES'!A:A,'RESUMEN CLIENTES'!X:X)</f>
        <v>-9</v>
      </c>
      <c r="F1435" s="71">
        <f>+_xlfn.XLOOKUP(Tabla6[[#This Row],[ID CLIENTE]],'RESUMEN CLIENTES'!D:D,'RESUMEN CLIENTES'!W:W)</f>
        <v>0</v>
      </c>
      <c r="G1435" s="17">
        <v>46188</v>
      </c>
      <c r="H1435" s="169" t="s">
        <v>81</v>
      </c>
      <c r="I1435" s="2">
        <v>1000</v>
      </c>
      <c r="J1435"/>
      <c r="K1435"/>
      <c r="L1435" s="44" t="str" cm="1">
        <f t="array" ref="L1435">+_xlfn.IFS(COUNTIF(INGRESOS!E:E,Tabla6[[#This Row],[ID FACTURA]])=1,"PAGADA",Tabla6[[#This Row],[ID FACTURA]]&lt;&gt;0,"EMITIDA",Tabla6[[#This Row],[ID FACTURA]]=0,"POR EMITIR")</f>
        <v>POR EMITIR</v>
      </c>
      <c r="M1435" s="54" t="str">
        <f>+IF(Tabla6[[#This Row],[ESTADO FACTURA]]="PAGADA",Tabla6[[#This Row],[FECHA]]-_xlfn.XLOOKUP(Tabla6[[#This Row],[N° FACTURA]],INGRESOS!F:F,INGRESOS!A:A),"-")</f>
        <v>-</v>
      </c>
      <c r="O1435"/>
    </row>
    <row r="1436" spans="1:15" ht="14.75" customHeight="1">
      <c r="A1436" s="320" t="s">
        <v>751</v>
      </c>
      <c r="B1436" t="str">
        <f>+_xlfn.XLOOKUP(Tabla6[[#This Row],[ID CLIENTE]],'RESUMEN CLIENTES'!D:D,'RESUMEN CLIENTES'!A:A)</f>
        <v>Carlos Alberto Suarez Hernandez</v>
      </c>
      <c r="C1436" t="str">
        <f>+_xlfn.XLOOKUP(Tabla6[[#This Row],[ID CLIENTE]],'RESUMEN CLIENTES'!D:D,'RESUMEN CLIENTES'!C:C)</f>
        <v>Colombia</v>
      </c>
      <c r="D1436" s="44" t="str">
        <f>+_xlfn.XLOOKUP(Tabla6[[#This Row],[ID CLIENTE]],'RESUMEN CLIENTES'!D:D,'RESUMEN CLIENTES'!M:M)</f>
        <v>OK</v>
      </c>
      <c r="E1436" s="72">
        <f>+_xlfn.XLOOKUP(Tabla6[[#This Row],[NOMBRE]],'RESUMEN CLIENTES'!A:A,'RESUMEN CLIENTES'!X:X)</f>
        <v>0</v>
      </c>
      <c r="F1436" s="72">
        <f>+_xlfn.XLOOKUP(Tabla6[[#This Row],[ID CLIENTE]],'RESUMEN CLIENTES'!D:D,'RESUMEN CLIENTES'!W:W)</f>
        <v>1</v>
      </c>
      <c r="G1436" s="17">
        <v>46188</v>
      </c>
      <c r="H1436" s="44" t="s">
        <v>81</v>
      </c>
      <c r="I1436" s="2">
        <v>1000</v>
      </c>
      <c r="J1436"/>
      <c r="K1436"/>
      <c r="L1436" s="44" t="str" cm="1">
        <f t="array" ref="L1436">+_xlfn.IFS(COUNTIF(INGRESOS!E:E,Tabla6[[#This Row],[ID FACTURA]])=1,"PAGADA",Tabla6[[#This Row],[ID FACTURA]]&lt;&gt;0,"EMITIDA",Tabla6[[#This Row],[ID FACTURA]]=0,"POR EMITIR")</f>
        <v>POR EMITIR</v>
      </c>
      <c r="M1436" s="55" t="str">
        <f>+IF(Tabla6[[#This Row],[ESTADO FACTURA]]="PAGADA",Tabla6[[#This Row],[FECHA]]-_xlfn.XLOOKUP(Tabla6[[#This Row],[N° FACTURA]],INGRESOS!F:F,INGRESOS!A:A),"-")</f>
        <v>-</v>
      </c>
      <c r="N1436" s="2"/>
      <c r="O1436"/>
    </row>
    <row r="1437" spans="1:15" ht="14.75" customHeight="1">
      <c r="A1437" s="320" t="s">
        <v>1945</v>
      </c>
      <c r="B1437" t="str">
        <f>+_xlfn.XLOOKUP(Tabla6[[#This Row],[ID CLIENTE]],'RESUMEN CLIENTES'!D:D,'RESUMEN CLIENTES'!A:A)</f>
        <v>Fernanda Constanza Kompai Antu Arellano Guzmán</v>
      </c>
      <c r="C1437" t="str">
        <f>+_xlfn.XLOOKUP(Tabla6[[#This Row],[ID CLIENTE]],'RESUMEN CLIENTES'!D:D,'RESUMEN CLIENTES'!C:C)</f>
        <v>Chile</v>
      </c>
      <c r="D1437" s="169" t="str">
        <f>+_xlfn.XLOOKUP(Tabla6[[#This Row],[ID CLIENTE]],'RESUMEN CLIENTES'!D:D,'RESUMEN CLIENTES'!M:M)</f>
        <v>OK</v>
      </c>
      <c r="E1437" s="71">
        <f>+_xlfn.XLOOKUP(Tabla6[[#This Row],[NOMBRE]],'RESUMEN CLIENTES'!A:A,'RESUMEN CLIENTES'!X:X)</f>
        <v>0</v>
      </c>
      <c r="F1437" s="71">
        <f>+_xlfn.XLOOKUP(Tabla6[[#This Row],[ID CLIENTE]],'RESUMEN CLIENTES'!D:D,'RESUMEN CLIENTES'!W:W)</f>
        <v>0</v>
      </c>
      <c r="G1437" s="170">
        <v>46188</v>
      </c>
      <c r="H1437" s="170" t="s">
        <v>81</v>
      </c>
      <c r="I1437" s="2">
        <v>650</v>
      </c>
      <c r="J1437"/>
      <c r="K1437"/>
      <c r="L1437" s="44" t="str" cm="1">
        <f t="array" ref="L1437">+_xlfn.IFS(COUNTIF(INGRESOS!E:E,Tabla6[[#This Row],[ID FACTURA]])=1,"PAGADA",Tabla6[[#This Row],[ID FACTURA]]&lt;&gt;0,"EMITIDA",Tabla6[[#This Row],[ID FACTURA]]=0,"POR EMITIR")</f>
        <v>POR EMITIR</v>
      </c>
      <c r="M1437" s="54" t="str">
        <f>+IF(Tabla6[[#This Row],[ESTADO FACTURA]]="PAGADA",Tabla6[[#This Row],[FECHA]]-_xlfn.XLOOKUP(Tabla6[[#This Row],[N° FACTURA]],INGRESOS!F:F,INGRESOS!A:A),"-")</f>
        <v>-</v>
      </c>
      <c r="O1437"/>
    </row>
    <row r="1438" spans="1:15" ht="14.75" customHeight="1">
      <c r="A1438" s="320" t="s">
        <v>95</v>
      </c>
      <c r="B1438" t="str">
        <f>+_xlfn.XLOOKUP(Tabla6[[#This Row],[ID CLIENTE]],'RESUMEN CLIENTES'!D:D,'RESUMEN CLIENTES'!A:A)</f>
        <v>Gabriel Alejandro Ortega Moreno</v>
      </c>
      <c r="C1438" t="str">
        <f>+_xlfn.XLOOKUP(Tabla6[[#This Row],[ID CLIENTE]],'RESUMEN CLIENTES'!D:D,'RESUMEN CLIENTES'!C:C)</f>
        <v>Ecuador</v>
      </c>
      <c r="D1438" s="44" t="str">
        <f>+_xlfn.XLOOKUP(Tabla6[[#This Row],[ID CLIENTE]],'RESUMEN CLIENTES'!D:D,'RESUMEN CLIENTES'!M:M)</f>
        <v>OK</v>
      </c>
      <c r="E1438" s="72">
        <f>+_xlfn.XLOOKUP(Tabla6[[#This Row],[NOMBRE]],'RESUMEN CLIENTES'!A:A,'RESUMEN CLIENTES'!X:X)</f>
        <v>-0.1111111111111111</v>
      </c>
      <c r="F1438" s="72">
        <f>+_xlfn.XLOOKUP(Tabla6[[#This Row],[ID CLIENTE]],'RESUMEN CLIENTES'!D:D,'RESUMEN CLIENTES'!W:W)</f>
        <v>0</v>
      </c>
      <c r="G1438" s="17">
        <v>46188</v>
      </c>
      <c r="H1438" s="44" t="s">
        <v>81</v>
      </c>
      <c r="I1438" s="2">
        <v>600</v>
      </c>
      <c r="J1438"/>
      <c r="K1438"/>
      <c r="L1438" s="44" t="str" cm="1">
        <f t="array" ref="L1438">+_xlfn.IFS(COUNTIF(INGRESOS!E:E,Tabla6[[#This Row],[ID FACTURA]])=1,"PAGADA",Tabla6[[#This Row],[ID FACTURA]]&lt;&gt;0,"EMITIDA",Tabla6[[#This Row],[ID FACTURA]]=0,"POR EMITIR")</f>
        <v>POR EMITIR</v>
      </c>
      <c r="M1438" s="55" t="str">
        <f>+IF(Tabla6[[#This Row],[ESTADO FACTURA]]="PAGADA",Tabla6[[#This Row],[FECHA]]-_xlfn.XLOOKUP(Tabla6[[#This Row],[N° FACTURA]],INGRESOS!F:F,INGRESOS!A:A),"-")</f>
        <v>-</v>
      </c>
      <c r="N1438" s="2"/>
      <c r="O1438"/>
    </row>
    <row r="1439" spans="1:15" ht="14.75" customHeight="1">
      <c r="A1439" s="320" t="s">
        <v>98</v>
      </c>
      <c r="B1439" t="str">
        <f>+_xlfn.XLOOKUP(Tabla6[[#This Row],[ID CLIENTE]],'RESUMEN CLIENTES'!D:D,'RESUMEN CLIENTES'!A:A)</f>
        <v>Gabriela Kimberlyn Moran Caiza</v>
      </c>
      <c r="C1439" t="str">
        <f>+_xlfn.XLOOKUP(Tabla6[[#This Row],[ID CLIENTE]],'RESUMEN CLIENTES'!D:D,'RESUMEN CLIENTES'!C:C)</f>
        <v>Ecuador</v>
      </c>
      <c r="D1439" s="44" t="str">
        <f>+_xlfn.XLOOKUP(Tabla6[[#This Row],[ID CLIENTE]],'RESUMEN CLIENTES'!D:D,'RESUMEN CLIENTES'!M:M)</f>
        <v>OK</v>
      </c>
      <c r="E1439" s="72">
        <f>+_xlfn.XLOOKUP(Tabla6[[#This Row],[NOMBRE]],'RESUMEN CLIENTES'!A:A,'RESUMEN CLIENTES'!X:X)</f>
        <v>-1.25</v>
      </c>
      <c r="F1439" s="72">
        <f>+_xlfn.XLOOKUP(Tabla6[[#This Row],[ID CLIENTE]],'RESUMEN CLIENTES'!D:D,'RESUMEN CLIENTES'!W:W)</f>
        <v>0</v>
      </c>
      <c r="G1439" s="17">
        <v>46188</v>
      </c>
      <c r="H1439" s="44" t="s">
        <v>81</v>
      </c>
      <c r="I1439" s="2">
        <v>300</v>
      </c>
      <c r="J1439"/>
      <c r="K1439"/>
      <c r="L1439" s="44" t="str" cm="1">
        <f t="array" ref="L1439">+_xlfn.IFS(COUNTIF(INGRESOS!E:E,Tabla6[[#This Row],[ID FACTURA]])=1,"PAGADA",Tabla6[[#This Row],[ID FACTURA]]&lt;&gt;0,"EMITIDA",Tabla6[[#This Row],[ID FACTURA]]=0,"POR EMITIR")</f>
        <v>POR EMITIR</v>
      </c>
      <c r="M1439" s="55" t="str">
        <f>+IF(Tabla6[[#This Row],[ESTADO FACTURA]]="PAGADA",Tabla6[[#This Row],[FECHA]]-_xlfn.XLOOKUP(Tabla6[[#This Row],[N° FACTURA]],INGRESOS!F:F,INGRESOS!A:A),"-")</f>
        <v>-</v>
      </c>
      <c r="N1439" s="2"/>
      <c r="O1439"/>
    </row>
    <row r="1440" spans="1:15" ht="14.75" customHeight="1">
      <c r="A1440" s="320" t="s">
        <v>103</v>
      </c>
      <c r="B1440" t="str">
        <f>+_xlfn.XLOOKUP(Tabla6[[#This Row],[ID CLIENTE]],'RESUMEN CLIENTES'!D:D,'RESUMEN CLIENTES'!A:A)</f>
        <v>Isaac Ricardo Jimenez Campos</v>
      </c>
      <c r="C1440" t="str">
        <f>+_xlfn.XLOOKUP(Tabla6[[#This Row],[ID CLIENTE]],'RESUMEN CLIENTES'!D:D,'RESUMEN CLIENTES'!C:C)</f>
        <v>México</v>
      </c>
      <c r="D1440" s="44" t="str">
        <f>+_xlfn.XLOOKUP(Tabla6[[#This Row],[ID CLIENTE]],'RESUMEN CLIENTES'!D:D,'RESUMEN CLIENTES'!M:M)</f>
        <v>OK</v>
      </c>
      <c r="E1440" s="72">
        <f>+_xlfn.XLOOKUP(Tabla6[[#This Row],[NOMBRE]],'RESUMEN CLIENTES'!A:A,'RESUMEN CLIENTES'!X:X)</f>
        <v>0.5</v>
      </c>
      <c r="F1440" s="72">
        <f>+_xlfn.XLOOKUP(Tabla6[[#This Row],[ID CLIENTE]],'RESUMEN CLIENTES'!D:D,'RESUMEN CLIENTES'!W:W)</f>
        <v>1</v>
      </c>
      <c r="G1440" s="17">
        <v>46188</v>
      </c>
      <c r="H1440" s="44" t="s">
        <v>81</v>
      </c>
      <c r="I1440" s="2">
        <v>654</v>
      </c>
      <c r="J1440"/>
      <c r="K1440"/>
      <c r="L1440" s="44" t="str" cm="1">
        <f t="array" ref="L1440">+_xlfn.IFS(COUNTIF(INGRESOS!E:E,Tabla6[[#This Row],[ID FACTURA]])=1,"PAGADA",Tabla6[[#This Row],[ID FACTURA]]&lt;&gt;0,"EMITIDA",Tabla6[[#This Row],[ID FACTURA]]=0,"POR EMITIR")</f>
        <v>POR EMITIR</v>
      </c>
      <c r="M1440" s="55" t="str">
        <f>+IF(Tabla6[[#This Row],[ESTADO FACTURA]]="PAGADA",Tabla6[[#This Row],[FECHA]]-_xlfn.XLOOKUP(Tabla6[[#This Row],[N° FACTURA]],INGRESOS!F:F,INGRESOS!A:A),"-")</f>
        <v>-</v>
      </c>
      <c r="N1440" s="2"/>
      <c r="O1440"/>
    </row>
    <row r="1441" spans="1:15" ht="14.75" customHeight="1">
      <c r="A1441" s="320" t="s">
        <v>362</v>
      </c>
      <c r="B1441" t="str">
        <f>+_xlfn.XLOOKUP(Tabla6[[#This Row],[ID CLIENTE]],'RESUMEN CLIENTES'!D:D,'RESUMEN CLIENTES'!A:A)</f>
        <v>Jessica Ayelén Culla Alvarez</v>
      </c>
      <c r="C1441" t="str">
        <f>+_xlfn.XLOOKUP(Tabla6[[#This Row],[ID CLIENTE]],'RESUMEN CLIENTES'!D:D,'RESUMEN CLIENTES'!C:C)</f>
        <v>Argentina</v>
      </c>
      <c r="D1441" s="44" t="str">
        <f>+_xlfn.XLOOKUP(Tabla6[[#This Row],[ID CLIENTE]],'RESUMEN CLIENTES'!D:D,'RESUMEN CLIENTES'!M:M)</f>
        <v>OK</v>
      </c>
      <c r="E1441" s="72">
        <f>+_xlfn.XLOOKUP(Tabla6[[#This Row],[NOMBRE]],'RESUMEN CLIENTES'!A:A,'RESUMEN CLIENTES'!X:X)</f>
        <v>-2.1538461538461537</v>
      </c>
      <c r="F1441" s="72">
        <f>+_xlfn.XLOOKUP(Tabla6[[#This Row],[ID CLIENTE]],'RESUMEN CLIENTES'!D:D,'RESUMEN CLIENTES'!W:W)</f>
        <v>1</v>
      </c>
      <c r="G1441" s="17">
        <v>46188</v>
      </c>
      <c r="H1441" s="44" t="s">
        <v>81</v>
      </c>
      <c r="I1441" s="2">
        <v>1000</v>
      </c>
      <c r="J1441"/>
      <c r="K1441"/>
      <c r="L1441" s="44" t="str" cm="1">
        <f t="array" ref="L1441">+_xlfn.IFS(COUNTIF(INGRESOS!E:E,Tabla6[[#This Row],[ID FACTURA]])=1,"PAGADA",Tabla6[[#This Row],[ID FACTURA]]&lt;&gt;0,"EMITIDA",Tabla6[[#This Row],[ID FACTURA]]=0,"POR EMITIR")</f>
        <v>POR EMITIR</v>
      </c>
      <c r="M1441" s="55" t="str">
        <f>+IF(Tabla6[[#This Row],[ESTADO FACTURA]]="PAGADA",Tabla6[[#This Row],[FECHA]]-_xlfn.XLOOKUP(Tabla6[[#This Row],[N° FACTURA]],INGRESOS!F:F,INGRESOS!A:A),"-")</f>
        <v>-</v>
      </c>
      <c r="N1441" s="2"/>
      <c r="O1441"/>
    </row>
    <row r="1442" spans="1:15" ht="14.75" customHeight="1">
      <c r="A1442" s="321" t="s">
        <v>1875</v>
      </c>
      <c r="B1442" t="str">
        <f>+_xlfn.XLOOKUP(Tabla6[[#This Row],[ID CLIENTE]],'RESUMEN CLIENTES'!D:D,'RESUMEN CLIENTES'!A:A)</f>
        <v>Laura Giraldo</v>
      </c>
      <c r="C1442" t="str">
        <f>+_xlfn.XLOOKUP(Tabla6[[#This Row],[ID CLIENTE]],'RESUMEN CLIENTES'!D:D,'RESUMEN CLIENTES'!C:C)</f>
        <v>Colombia</v>
      </c>
      <c r="D1442" s="169" t="str">
        <f>+_xlfn.XLOOKUP(Tabla6[[#This Row],[ID CLIENTE]],'RESUMEN CLIENTES'!D:D,'RESUMEN CLIENTES'!M:M)</f>
        <v>OK</v>
      </c>
      <c r="E1442" s="71">
        <f>+_xlfn.XLOOKUP(Tabla6[[#This Row],[NOMBRE]],'RESUMEN CLIENTES'!A:A,'RESUMEN CLIENTES'!X:X)</f>
        <v>-3.25</v>
      </c>
      <c r="F1442" s="71">
        <f>+_xlfn.XLOOKUP(Tabla6[[#This Row],[ID CLIENTE]],'RESUMEN CLIENTES'!D:D,'RESUMEN CLIENTES'!W:W)</f>
        <v>1</v>
      </c>
      <c r="G1442" s="17">
        <v>46188</v>
      </c>
      <c r="H1442" s="169" t="s">
        <v>1876</v>
      </c>
      <c r="I1442" s="2">
        <v>500</v>
      </c>
      <c r="J1442"/>
      <c r="K1442"/>
      <c r="L1442" s="44" t="str" cm="1">
        <f t="array" ref="L1442">+_xlfn.IFS(COUNTIF(INGRESOS!E:E,Tabla6[[#This Row],[ID FACTURA]])=1,"PAGADA",Tabla6[[#This Row],[ID FACTURA]]&lt;&gt;0,"EMITIDA",Tabla6[[#This Row],[ID FACTURA]]=0,"POR EMITIR")</f>
        <v>POR EMITIR</v>
      </c>
      <c r="M1442" s="54" t="str">
        <f>+IF(Tabla6[[#This Row],[ESTADO FACTURA]]="PAGADA",Tabla6[[#This Row],[FECHA]]-_xlfn.XLOOKUP(Tabla6[[#This Row],[N° FACTURA]],INGRESOS!F:F,INGRESOS!A:A),"-")</f>
        <v>-</v>
      </c>
      <c r="O1442"/>
    </row>
    <row r="1443" spans="1:15" ht="14.75" customHeight="1">
      <c r="A1443" s="320" t="s">
        <v>762</v>
      </c>
      <c r="B1443" t="str">
        <f>+_xlfn.XLOOKUP(Tabla6[[#This Row],[ID CLIENTE]],'RESUMEN CLIENTES'!D:D,'RESUMEN CLIENTES'!A:A)</f>
        <v>María Stefania Gelvez Olaya</v>
      </c>
      <c r="C1443" t="str">
        <f>+_xlfn.XLOOKUP(Tabla6[[#This Row],[ID CLIENTE]],'RESUMEN CLIENTES'!D:D,'RESUMEN CLIENTES'!C:C)</f>
        <v>Colombia</v>
      </c>
      <c r="D1443" s="44" t="str">
        <f>+_xlfn.XLOOKUP(Tabla6[[#This Row],[ID CLIENTE]],'RESUMEN CLIENTES'!D:D,'RESUMEN CLIENTES'!M:M)</f>
        <v>OK</v>
      </c>
      <c r="E1443" s="72">
        <f>+_xlfn.XLOOKUP(Tabla6[[#This Row],[NOMBRE]],'RESUMEN CLIENTES'!A:A,'RESUMEN CLIENTES'!X:X)</f>
        <v>-0.14285714285714285</v>
      </c>
      <c r="F1443" s="72">
        <f>+_xlfn.XLOOKUP(Tabla6[[#This Row],[ID CLIENTE]],'RESUMEN CLIENTES'!D:D,'RESUMEN CLIENTES'!W:W)</f>
        <v>1</v>
      </c>
      <c r="G1443" s="17">
        <v>46188</v>
      </c>
      <c r="H1443" s="44" t="s">
        <v>81</v>
      </c>
      <c r="I1443" s="2">
        <v>1000</v>
      </c>
      <c r="J1443"/>
      <c r="K1443"/>
      <c r="L1443" s="44" t="str" cm="1">
        <f t="array" ref="L1443">+_xlfn.IFS(COUNTIF(INGRESOS!E:E,Tabla6[[#This Row],[ID FACTURA]])=1,"PAGADA",Tabla6[[#This Row],[ID FACTURA]]&lt;&gt;0,"EMITIDA",Tabla6[[#This Row],[ID FACTURA]]=0,"POR EMITIR")</f>
        <v>POR EMITIR</v>
      </c>
      <c r="M1443" s="55" t="str">
        <f>+IF(Tabla6[[#This Row],[ESTADO FACTURA]]="PAGADA",Tabla6[[#This Row],[FECHA]]-_xlfn.XLOOKUP(Tabla6[[#This Row],[N° FACTURA]],INGRESOS!F:F,INGRESOS!A:A),"-")</f>
        <v>-</v>
      </c>
      <c r="N1443" s="2"/>
      <c r="O1443"/>
    </row>
    <row r="1444" spans="1:15" ht="14.75" customHeight="1">
      <c r="A1444" s="320" t="s">
        <v>242</v>
      </c>
      <c r="B1444" t="str">
        <f>+_xlfn.XLOOKUP(Tabla6[[#This Row],[ID CLIENTE]],'RESUMEN CLIENTES'!D:D,'RESUMEN CLIENTES'!A:A)</f>
        <v>Rodrigo Ignacio Rodriguez Frutos</v>
      </c>
      <c r="C1444" t="str">
        <f>+_xlfn.XLOOKUP(Tabla6[[#This Row],[ID CLIENTE]],'RESUMEN CLIENTES'!D:D,'RESUMEN CLIENTES'!C:C)</f>
        <v>México</v>
      </c>
      <c r="D1444" s="44" t="str">
        <f>+_xlfn.XLOOKUP(Tabla6[[#This Row],[ID CLIENTE]],'RESUMEN CLIENTES'!D:D,'RESUMEN CLIENTES'!M:M)</f>
        <v>OK</v>
      </c>
      <c r="E1444" s="72">
        <f>+_xlfn.XLOOKUP(Tabla6[[#This Row],[NOMBRE]],'RESUMEN CLIENTES'!A:A,'RESUMEN CLIENTES'!X:X)</f>
        <v>-1.4285714285714286</v>
      </c>
      <c r="F1444" s="72">
        <f>+_xlfn.XLOOKUP(Tabla6[[#This Row],[ID CLIENTE]],'RESUMEN CLIENTES'!D:D,'RESUMEN CLIENTES'!W:W)</f>
        <v>1</v>
      </c>
      <c r="G1444" s="17">
        <v>46188</v>
      </c>
      <c r="H1444" s="44" t="s">
        <v>81</v>
      </c>
      <c r="I1444" s="2">
        <v>630</v>
      </c>
      <c r="J1444"/>
      <c r="K1444"/>
      <c r="L1444" s="44" t="str" cm="1">
        <f t="array" ref="L1444">+_xlfn.IFS(COUNTIF(INGRESOS!E:E,Tabla6[[#This Row],[ID FACTURA]])=1,"PAGADA",Tabla6[[#This Row],[ID FACTURA]]&lt;&gt;0,"EMITIDA",Tabla6[[#This Row],[ID FACTURA]]=0,"POR EMITIR")</f>
        <v>POR EMITIR</v>
      </c>
      <c r="M1444" s="55" t="str">
        <f>+IF(Tabla6[[#This Row],[ESTADO FACTURA]]="PAGADA",Tabla6[[#This Row],[FECHA]]-_xlfn.XLOOKUP(Tabla6[[#This Row],[N° FACTURA]],INGRESOS!F:F,INGRESOS!A:A),"-")</f>
        <v>-</v>
      </c>
      <c r="N1444" s="2"/>
      <c r="O1444"/>
    </row>
    <row r="1445" spans="1:15" ht="14.75" customHeight="1">
      <c r="A1445" s="321" t="s">
        <v>1756</v>
      </c>
      <c r="B1445" t="str">
        <f>+_xlfn.XLOOKUP(Tabla6[[#This Row],[ID CLIENTE]],'RESUMEN CLIENTES'!D:D,'RESUMEN CLIENTES'!A:A)</f>
        <v>Aylin Micaela Ortiz Chiriboga</v>
      </c>
      <c r="C1445" t="str">
        <f>+_xlfn.XLOOKUP(Tabla6[[#This Row],[ID CLIENTE]],'RESUMEN CLIENTES'!D:D,'RESUMEN CLIENTES'!C:C)</f>
        <v>Ecuador</v>
      </c>
      <c r="D1445" s="169" t="str">
        <f>+_xlfn.XLOOKUP(Tabla6[[#This Row],[ID CLIENTE]],'RESUMEN CLIENTES'!D:D,'RESUMEN CLIENTES'!M:M)</f>
        <v>¡REGULARIZAR!</v>
      </c>
      <c r="E1445" s="71">
        <f>+_xlfn.XLOOKUP(Tabla6[[#This Row],[NOMBRE]],'RESUMEN CLIENTES'!A:A,'RESUMEN CLIENTES'!X:X)</f>
        <v>0</v>
      </c>
      <c r="F1445" s="71">
        <f>+_xlfn.XLOOKUP(Tabla6[[#This Row],[ID CLIENTE]],'RESUMEN CLIENTES'!D:D,'RESUMEN CLIENTES'!W:W)</f>
        <v>1</v>
      </c>
      <c r="G1445" s="170">
        <v>46189</v>
      </c>
      <c r="H1445" s="169" t="s">
        <v>81</v>
      </c>
      <c r="I1445" s="2">
        <v>650</v>
      </c>
      <c r="J1445"/>
      <c r="K1445"/>
      <c r="L1445" s="44" t="str" cm="1">
        <f t="array" ref="L1445">+_xlfn.IFS(COUNTIF(INGRESOS!E:E,Tabla6[[#This Row],[ID FACTURA]])=1,"PAGADA",Tabla6[[#This Row],[ID FACTURA]]&lt;&gt;0,"EMITIDA",Tabla6[[#This Row],[ID FACTURA]]=0,"POR EMITIR")</f>
        <v>POR EMITIR</v>
      </c>
      <c r="M1445" s="54" t="str">
        <f>+IF(Tabla6[[#This Row],[ESTADO FACTURA]]="PAGADA",Tabla6[[#This Row],[FECHA]]-_xlfn.XLOOKUP(Tabla6[[#This Row],[N° FACTURA]],INGRESOS!F:F,INGRESOS!A:A),"-")</f>
        <v>-</v>
      </c>
      <c r="O1445"/>
    </row>
    <row r="1446" spans="1:15" ht="14.75" customHeight="1">
      <c r="A1446" s="320" t="s">
        <v>1996</v>
      </c>
      <c r="B1446" t="str">
        <f>+_xlfn.XLOOKUP(Tabla6[[#This Row],[ID CLIENTE]],'RESUMEN CLIENTES'!D:D,'RESUMEN CLIENTES'!A:A)</f>
        <v>Ivan Gonzales Graus</v>
      </c>
      <c r="C1446" t="str">
        <f>+_xlfn.XLOOKUP(Tabla6[[#This Row],[ID CLIENTE]],'RESUMEN CLIENTES'!D:D,'RESUMEN CLIENTES'!C:C)</f>
        <v>Perú</v>
      </c>
      <c r="D1446" s="169" t="str">
        <f>+_xlfn.XLOOKUP(Tabla6[[#This Row],[ID CLIENTE]],'RESUMEN CLIENTES'!D:D,'RESUMEN CLIENTES'!M:M)</f>
        <v>OK</v>
      </c>
      <c r="E1446" s="71">
        <f>+_xlfn.XLOOKUP(Tabla6[[#This Row],[NOMBRE]],'RESUMEN CLIENTES'!A:A,'RESUMEN CLIENTES'!X:X)</f>
        <v>-2</v>
      </c>
      <c r="F1446" s="71">
        <f>+_xlfn.XLOOKUP(Tabla6[[#This Row],[ID CLIENTE]],'RESUMEN CLIENTES'!D:D,'RESUMEN CLIENTES'!W:W)</f>
        <v>1</v>
      </c>
      <c r="G1446" s="17">
        <v>46189</v>
      </c>
      <c r="H1446" s="169" t="s">
        <v>81</v>
      </c>
      <c r="I1446" s="2">
        <v>650</v>
      </c>
      <c r="J1446"/>
      <c r="K1446"/>
      <c r="L1446" s="44" t="str" cm="1">
        <f t="array" ref="L1446">+_xlfn.IFS(COUNTIF(INGRESOS!E:E,Tabla6[[#This Row],[ID FACTURA]])=1,"PAGADA",Tabla6[[#This Row],[ID FACTURA]]&lt;&gt;0,"EMITIDA",Tabla6[[#This Row],[ID FACTURA]]=0,"POR EMITIR")</f>
        <v>POR EMITIR</v>
      </c>
      <c r="M1446" s="54" t="str">
        <f>+IF(Tabla6[[#This Row],[ESTADO FACTURA]]="PAGADA",Tabla6[[#This Row],[FECHA]]-_xlfn.XLOOKUP(Tabla6[[#This Row],[N° FACTURA]],INGRESOS!F:F,INGRESOS!A:A),"-")</f>
        <v>-</v>
      </c>
      <c r="O1446"/>
    </row>
    <row r="1447" spans="1:15" ht="14.75" customHeight="1">
      <c r="A1447" s="320" t="s">
        <v>2046</v>
      </c>
      <c r="B1447" t="str">
        <f>+_xlfn.XLOOKUP(Tabla6[[#This Row],[ID CLIENTE]],'RESUMEN CLIENTES'!D:D,'RESUMEN CLIENTES'!A:A)</f>
        <v>Jesica Daniela Paredes Mendoza</v>
      </c>
      <c r="C1447" t="str">
        <f>+_xlfn.XLOOKUP(Tabla6[[#This Row],[ID CLIENTE]],'RESUMEN CLIENTES'!D:D,'RESUMEN CLIENTES'!C:C)</f>
        <v>México</v>
      </c>
      <c r="D1447" s="169" t="str">
        <f>+_xlfn.XLOOKUP(Tabla6[[#This Row],[ID CLIENTE]],'RESUMEN CLIENTES'!D:D,'RESUMEN CLIENTES'!M:M)</f>
        <v>OK</v>
      </c>
      <c r="E1447" s="71">
        <f>+_xlfn.XLOOKUP(Tabla6[[#This Row],[NOMBRE]],'RESUMEN CLIENTES'!A:A,'RESUMEN CLIENTES'!X:X)</f>
        <v>-2.75</v>
      </c>
      <c r="F1447" s="71">
        <f>+_xlfn.XLOOKUP(Tabla6[[#This Row],[ID CLIENTE]],'RESUMEN CLIENTES'!D:D,'RESUMEN CLIENTES'!W:W)</f>
        <v>1</v>
      </c>
      <c r="G1447" s="17">
        <v>46189</v>
      </c>
      <c r="H1447" s="169" t="s">
        <v>81</v>
      </c>
      <c r="I1447" s="2">
        <v>500</v>
      </c>
      <c r="J1447"/>
      <c r="K1447"/>
      <c r="L1447" s="44" t="str" cm="1">
        <f t="array" ref="L1447">+_xlfn.IFS(COUNTIF(INGRESOS!E:E,Tabla6[[#This Row],[ID FACTURA]])=1,"PAGADA",Tabla6[[#This Row],[ID FACTURA]]&lt;&gt;0,"EMITIDA",Tabla6[[#This Row],[ID FACTURA]]=0,"POR EMITIR")</f>
        <v>POR EMITIR</v>
      </c>
      <c r="M1447" s="54" t="str">
        <f>+IF(Tabla6[[#This Row],[ESTADO FACTURA]]="PAGADA",Tabla6[[#This Row],[FECHA]]-_xlfn.XLOOKUP(Tabla6[[#This Row],[N° FACTURA]],INGRESOS!F:F,INGRESOS!A:A),"-")</f>
        <v>-</v>
      </c>
      <c r="O1447"/>
    </row>
    <row r="1448" spans="1:15" ht="14.75" customHeight="1">
      <c r="A1448" s="320" t="s">
        <v>1001</v>
      </c>
      <c r="B1448" t="str">
        <f>+_xlfn.XLOOKUP(Tabla6[[#This Row],[ID CLIENTE]],'RESUMEN CLIENTES'!D:D,'RESUMEN CLIENTES'!A:A)</f>
        <v>Karenn Yadira Tavera Lara</v>
      </c>
      <c r="C1448" t="str">
        <f>+_xlfn.XLOOKUP(Tabla6[[#This Row],[ID CLIENTE]],'RESUMEN CLIENTES'!D:D,'RESUMEN CLIENTES'!C:C)</f>
        <v>México</v>
      </c>
      <c r="D1448" s="44" t="str">
        <f>+_xlfn.XLOOKUP(Tabla6[[#This Row],[ID CLIENTE]],'RESUMEN CLIENTES'!D:D,'RESUMEN CLIENTES'!M:M)</f>
        <v>OK</v>
      </c>
      <c r="E1448" s="72">
        <f>+_xlfn.XLOOKUP(Tabla6[[#This Row],[NOMBRE]],'RESUMEN CLIENTES'!A:A,'RESUMEN CLIENTES'!X:X)</f>
        <v>1.5</v>
      </c>
      <c r="F1448" s="72">
        <f>+_xlfn.XLOOKUP(Tabla6[[#This Row],[ID CLIENTE]],'RESUMEN CLIENTES'!D:D,'RESUMEN CLIENTES'!W:W)</f>
        <v>1</v>
      </c>
      <c r="G1448" s="17">
        <v>46192</v>
      </c>
      <c r="H1448" s="44" t="s">
        <v>81</v>
      </c>
      <c r="I1448" s="2">
        <v>1000</v>
      </c>
      <c r="J1448"/>
      <c r="K1448"/>
      <c r="L1448" s="44" t="str" cm="1">
        <f t="array" ref="L1448">+_xlfn.IFS(COUNTIF(INGRESOS!E:E,Tabla6[[#This Row],[ID FACTURA]])=1,"PAGADA",Tabla6[[#This Row],[ID FACTURA]]&lt;&gt;0,"EMITIDA",Tabla6[[#This Row],[ID FACTURA]]=0,"POR EMITIR")</f>
        <v>POR EMITIR</v>
      </c>
      <c r="M1448" s="55" t="str">
        <f>+IF(Tabla6[[#This Row],[ESTADO FACTURA]]="PAGADA",Tabla6[[#This Row],[FECHA]]-_xlfn.XLOOKUP(Tabla6[[#This Row],[N° FACTURA]],INGRESOS!F:F,INGRESOS!A:A),"-")</f>
        <v>-</v>
      </c>
      <c r="N1448" s="2"/>
      <c r="O1448"/>
    </row>
    <row r="1449" spans="1:15" ht="14.75" customHeight="1">
      <c r="A1449" s="320" t="s">
        <v>4660</v>
      </c>
      <c r="B1449" t="str">
        <f>+_xlfn.XLOOKUP(Tabla6[[#This Row],[ID CLIENTE]],'RESUMEN CLIENTES'!D:D,'RESUMEN CLIENTES'!A:A)</f>
        <v>Edipris Flores</v>
      </c>
      <c r="C1449" s="15" t="str">
        <f>+_xlfn.XLOOKUP(Tabla6[[#This Row],[ID CLIENTE]],'RESUMEN CLIENTES'!D:D,'RESUMEN CLIENTES'!C:C)</f>
        <v>Chile</v>
      </c>
      <c r="D1449" s="169" t="str">
        <f>+_xlfn.XLOOKUP(Tabla6[[#This Row],[ID CLIENTE]],'RESUMEN CLIENTES'!D:D,'RESUMEN CLIENTES'!M:M)</f>
        <v>OK</v>
      </c>
      <c r="E1449" s="71">
        <f>+_xlfn.XLOOKUP(Tabla6[[#This Row],[NOMBRE]],'RESUMEN CLIENTES'!A:A,'RESUMEN CLIENTES'!X:X)</f>
        <v>-4</v>
      </c>
      <c r="F1449" s="71">
        <f>+_xlfn.XLOOKUP(Tabla6[[#This Row],[ID CLIENTE]],'RESUMEN CLIENTES'!D:D,'RESUMEN CLIENTES'!W:W)</f>
        <v>0</v>
      </c>
      <c r="G1449" s="17">
        <v>46193</v>
      </c>
      <c r="H1449" s="169" t="s">
        <v>81</v>
      </c>
      <c r="I1449" s="2">
        <v>850</v>
      </c>
      <c r="J1449"/>
      <c r="K1449"/>
      <c r="L1449" s="44" t="str" cm="1">
        <f t="array" ref="L1449">+_xlfn.IFS(COUNTIF(INGRESOS!E:E,Tabla6[[#This Row],[ID FACTURA]])=1,"PAGADA",Tabla6[[#This Row],[ID FACTURA]]&lt;&gt;0,"EMITIDA",Tabla6[[#This Row],[ID FACTURA]]=0,"POR EMITIR")</f>
        <v>POR EMITIR</v>
      </c>
      <c r="M1449" s="54" t="str">
        <f>+IF(Tabla6[[#This Row],[ESTADO FACTURA]]="PAGADA",Tabla6[[#This Row],[FECHA]]-_xlfn.XLOOKUP(Tabla6[[#This Row],[N° FACTURA]],INGRESOS!F:F,INGRESOS!A:A),"-")</f>
        <v>-</v>
      </c>
      <c r="O1449"/>
    </row>
    <row r="1450" spans="1:15" ht="14.75" customHeight="1">
      <c r="A1450" s="320" t="s">
        <v>1936</v>
      </c>
      <c r="B1450" t="str">
        <f>+_xlfn.XLOOKUP(Tabla6[[#This Row],[ID CLIENTE]],'RESUMEN CLIENTES'!D:D,'RESUMEN CLIENTES'!A:A)</f>
        <v>Jaime Kevin Mendez Arias</v>
      </c>
      <c r="C1450" t="str">
        <f>+_xlfn.XLOOKUP(Tabla6[[#This Row],[ID CLIENTE]],'RESUMEN CLIENTES'!D:D,'RESUMEN CLIENTES'!C:C)</f>
        <v>México</v>
      </c>
      <c r="D1450" s="169" t="str">
        <f>+_xlfn.XLOOKUP(Tabla6[[#This Row],[ID CLIENTE]],'RESUMEN CLIENTES'!D:D,'RESUMEN CLIENTES'!M:M)</f>
        <v>OK</v>
      </c>
      <c r="E1450" s="71">
        <f>+_xlfn.XLOOKUP(Tabla6[[#This Row],[NOMBRE]],'RESUMEN CLIENTES'!A:A,'RESUMEN CLIENTES'!X:X)</f>
        <v>1.6666666666666667</v>
      </c>
      <c r="F1450" s="71">
        <f>+_xlfn.XLOOKUP(Tabla6[[#This Row],[ID CLIENTE]],'RESUMEN CLIENTES'!D:D,'RESUMEN CLIENTES'!W:W)</f>
        <v>0</v>
      </c>
      <c r="G1450" s="17">
        <v>46193</v>
      </c>
      <c r="H1450" s="169" t="s">
        <v>81</v>
      </c>
      <c r="I1450" s="2">
        <v>1000</v>
      </c>
      <c r="J1450"/>
      <c r="K1450"/>
      <c r="L1450" s="44" t="str" cm="1">
        <f t="array" ref="L1450">+_xlfn.IFS(COUNTIF(INGRESOS!E:E,Tabla6[[#This Row],[ID FACTURA]])=1,"PAGADA",Tabla6[[#This Row],[ID FACTURA]]&lt;&gt;0,"EMITIDA",Tabla6[[#This Row],[ID FACTURA]]=0,"POR EMITIR")</f>
        <v>POR EMITIR</v>
      </c>
      <c r="M1450" s="54" t="str">
        <f>+IF(Tabla6[[#This Row],[ESTADO FACTURA]]="PAGADA",Tabla6[[#This Row],[FECHA]]-_xlfn.XLOOKUP(Tabla6[[#This Row],[N° FACTURA]],INGRESOS!F:F,INGRESOS!A:A),"-")</f>
        <v>-</v>
      </c>
      <c r="O1450"/>
    </row>
    <row r="1451" spans="1:15" ht="14.75" customHeight="1">
      <c r="A1451" s="320" t="s">
        <v>587</v>
      </c>
      <c r="B1451" t="str">
        <f>+_xlfn.XLOOKUP(Tabla6[[#This Row],[ID CLIENTE]],'RESUMEN CLIENTES'!D:D,'RESUMEN CLIENTES'!A:A)</f>
        <v>Keidwin Perez</v>
      </c>
      <c r="C1451" t="str">
        <f>+_xlfn.XLOOKUP(Tabla6[[#This Row],[ID CLIENTE]],'RESUMEN CLIENTES'!D:D,'RESUMEN CLIENTES'!C:C)</f>
        <v>Colombia</v>
      </c>
      <c r="D1451" s="44" t="str">
        <f>+_xlfn.XLOOKUP(Tabla6[[#This Row],[ID CLIENTE]],'RESUMEN CLIENTES'!D:D,'RESUMEN CLIENTES'!M:M)</f>
        <v>OK</v>
      </c>
      <c r="E1451" s="72">
        <f>+_xlfn.XLOOKUP(Tabla6[[#This Row],[NOMBRE]],'RESUMEN CLIENTES'!A:A,'RESUMEN CLIENTES'!X:X)</f>
        <v>-4.25</v>
      </c>
      <c r="F1451" s="72">
        <f>+_xlfn.XLOOKUP(Tabla6[[#This Row],[ID CLIENTE]],'RESUMEN CLIENTES'!D:D,'RESUMEN CLIENTES'!W:W)</f>
        <v>1</v>
      </c>
      <c r="G1451" s="17">
        <v>46193</v>
      </c>
      <c r="H1451" s="44" t="s">
        <v>81</v>
      </c>
      <c r="I1451" s="2">
        <v>750</v>
      </c>
      <c r="J1451"/>
      <c r="K1451"/>
      <c r="L1451" s="44" t="str" cm="1">
        <f t="array" ref="L1451">+_xlfn.IFS(COUNTIF(INGRESOS!E:E,Tabla6[[#This Row],[ID FACTURA]])=1,"PAGADA",Tabla6[[#This Row],[ID FACTURA]]&lt;&gt;0,"EMITIDA",Tabla6[[#This Row],[ID FACTURA]]=0,"POR EMITIR")</f>
        <v>POR EMITIR</v>
      </c>
      <c r="M1451" s="55" t="str">
        <f>+IF(Tabla6[[#This Row],[ESTADO FACTURA]]="PAGADA",Tabla6[[#This Row],[FECHA]]-_xlfn.XLOOKUP(Tabla6[[#This Row],[N° FACTURA]],INGRESOS!F:F,INGRESOS!A:A),"-")</f>
        <v>-</v>
      </c>
      <c r="N1451" s="2"/>
      <c r="O1451"/>
    </row>
    <row r="1452" spans="1:15" ht="14.75" customHeight="1">
      <c r="A1452" s="320" t="s">
        <v>200</v>
      </c>
      <c r="B1452" t="str">
        <f>+_xlfn.XLOOKUP(Tabla6[[#This Row],[ID CLIENTE]],'RESUMEN CLIENTES'!D:D,'RESUMEN CLIENTES'!A:A)</f>
        <v>Mateo Gabriel Martinez Dávila</v>
      </c>
      <c r="C1452" t="str">
        <f>+_xlfn.XLOOKUP(Tabla6[[#This Row],[ID CLIENTE]],'RESUMEN CLIENTES'!D:D,'RESUMEN CLIENTES'!C:C)</f>
        <v>Bolivia</v>
      </c>
      <c r="D1452" s="169" t="str">
        <f>+_xlfn.XLOOKUP(Tabla6[[#This Row],[ID CLIENTE]],'RESUMEN CLIENTES'!D:D,'RESUMEN CLIENTES'!M:M)</f>
        <v>OK</v>
      </c>
      <c r="E1452" s="71">
        <f>+_xlfn.XLOOKUP(Tabla6[[#This Row],[NOMBRE]],'RESUMEN CLIENTES'!A:A,'RESUMEN CLIENTES'!X:X)</f>
        <v>-0.5</v>
      </c>
      <c r="F1452" s="71">
        <f>+_xlfn.XLOOKUP(Tabla6[[#This Row],[ID CLIENTE]],'RESUMEN CLIENTES'!D:D,'RESUMEN CLIENTES'!W:W)</f>
        <v>0</v>
      </c>
      <c r="G1452" s="17">
        <v>46193</v>
      </c>
      <c r="H1452" s="169" t="s">
        <v>81</v>
      </c>
      <c r="I1452" s="2">
        <v>500</v>
      </c>
      <c r="J1452"/>
      <c r="K1452"/>
      <c r="L1452" s="44" t="str" cm="1">
        <f t="array" ref="L1452">+_xlfn.IFS(COUNTIF(INGRESOS!E:E,Tabla6[[#This Row],[ID FACTURA]])=1,"PAGADA",Tabla6[[#This Row],[ID FACTURA]]&lt;&gt;0,"EMITIDA",Tabla6[[#This Row],[ID FACTURA]]=0,"POR EMITIR")</f>
        <v>POR EMITIR</v>
      </c>
      <c r="M1452" s="54" t="str">
        <f>+IF(Tabla6[[#This Row],[ESTADO FACTURA]]="PAGADA",Tabla6[[#This Row],[FECHA]]-_xlfn.XLOOKUP(Tabla6[[#This Row],[N° FACTURA]],INGRESOS!F:F,INGRESOS!A:A),"-")</f>
        <v>-</v>
      </c>
      <c r="O1452"/>
    </row>
    <row r="1453" spans="1:15" ht="14.75" customHeight="1">
      <c r="A1453" s="320" t="s">
        <v>250</v>
      </c>
      <c r="B1453" t="str">
        <f>+_xlfn.XLOOKUP(Tabla6[[#This Row],[ID CLIENTE]],'RESUMEN CLIENTES'!D:D,'RESUMEN CLIENTES'!A:A)</f>
        <v>Fernanda Castro</v>
      </c>
      <c r="C1453" t="str">
        <f>+_xlfn.XLOOKUP(Tabla6[[#This Row],[ID CLIENTE]],'RESUMEN CLIENTES'!D:D,'RESUMEN CLIENTES'!C:C)</f>
        <v>Ecuador</v>
      </c>
      <c r="D1453" s="44" t="str">
        <f>+_xlfn.XLOOKUP(Tabla6[[#This Row],[ID CLIENTE]],'RESUMEN CLIENTES'!D:D,'RESUMEN CLIENTES'!M:M)</f>
        <v>OK</v>
      </c>
      <c r="E1453" s="72">
        <f>+_xlfn.XLOOKUP(Tabla6[[#This Row],[NOMBRE]],'RESUMEN CLIENTES'!A:A,'RESUMEN CLIENTES'!X:X)</f>
        <v>0</v>
      </c>
      <c r="F1453" s="72">
        <f>+_xlfn.XLOOKUP(Tabla6[[#This Row],[ID CLIENTE]],'RESUMEN CLIENTES'!D:D,'RESUMEN CLIENTES'!W:W)</f>
        <v>1</v>
      </c>
      <c r="G1453" s="17">
        <v>46196</v>
      </c>
      <c r="H1453" s="44" t="s">
        <v>81</v>
      </c>
      <c r="I1453" s="2">
        <v>1000</v>
      </c>
      <c r="J1453"/>
      <c r="K1453"/>
      <c r="L1453" s="44" t="str" cm="1">
        <f t="array" ref="L1453">+_xlfn.IFS(COUNTIF(INGRESOS!E:E,Tabla6[[#This Row],[ID FACTURA]])=1,"PAGADA",Tabla6[[#This Row],[ID FACTURA]]&lt;&gt;0,"EMITIDA",Tabla6[[#This Row],[ID FACTURA]]=0,"POR EMITIR")</f>
        <v>POR EMITIR</v>
      </c>
      <c r="M1453" s="55" t="str">
        <f>+IF(Tabla6[[#This Row],[ESTADO FACTURA]]="PAGADA",Tabla6[[#This Row],[FECHA]]-_xlfn.XLOOKUP(Tabla6[[#This Row],[N° FACTURA]],INGRESOS!F:F,INGRESOS!A:A),"-")</f>
        <v>-</v>
      </c>
      <c r="N1453" s="2"/>
      <c r="O1453"/>
    </row>
    <row r="1454" spans="1:15" ht="14.75" customHeight="1">
      <c r="A1454" s="320" t="s">
        <v>1931</v>
      </c>
      <c r="B1454" t="str">
        <f>+_xlfn.XLOOKUP(Tabla6[[#This Row],[ID CLIENTE]],'RESUMEN CLIENTES'!D:D,'RESUMEN CLIENTES'!A:A)</f>
        <v>Josué Bernardo Reyes Flores</v>
      </c>
      <c r="C1454" t="str">
        <f>+_xlfn.XLOOKUP(Tabla6[[#This Row],[ID CLIENTE]],'RESUMEN CLIENTES'!D:D,'RESUMEN CLIENTES'!C:C)</f>
        <v>México</v>
      </c>
      <c r="D1454" s="169" t="str">
        <f>+_xlfn.XLOOKUP(Tabla6[[#This Row],[ID CLIENTE]],'RESUMEN CLIENTES'!D:D,'RESUMEN CLIENTES'!M:M)</f>
        <v>OK</v>
      </c>
      <c r="E1454" s="71">
        <f>+_xlfn.XLOOKUP(Tabla6[[#This Row],[NOMBRE]],'RESUMEN CLIENTES'!A:A,'RESUMEN CLIENTES'!X:X)</f>
        <v>0</v>
      </c>
      <c r="F1454" s="71">
        <f>+_xlfn.XLOOKUP(Tabla6[[#This Row],[ID CLIENTE]],'RESUMEN CLIENTES'!D:D,'RESUMEN CLIENTES'!W:W)</f>
        <v>1</v>
      </c>
      <c r="G1454" s="17">
        <v>46196</v>
      </c>
      <c r="H1454" s="169" t="s">
        <v>81</v>
      </c>
      <c r="I1454" s="2">
        <v>1000</v>
      </c>
      <c r="J1454"/>
      <c r="K1454"/>
      <c r="L1454" s="44" t="str" cm="1">
        <f t="array" ref="L1454">+_xlfn.IFS(COUNTIF(INGRESOS!E:E,Tabla6[[#This Row],[ID FACTURA]])=1,"PAGADA",Tabla6[[#This Row],[ID FACTURA]]&lt;&gt;0,"EMITIDA",Tabla6[[#This Row],[ID FACTURA]]=0,"POR EMITIR")</f>
        <v>POR EMITIR</v>
      </c>
      <c r="M1454" s="54" t="str">
        <f>+IF(Tabla6[[#This Row],[ESTADO FACTURA]]="PAGADA",Tabla6[[#This Row],[FECHA]]-_xlfn.XLOOKUP(Tabla6[[#This Row],[N° FACTURA]],INGRESOS!F:F,INGRESOS!A:A),"-")</f>
        <v>-</v>
      </c>
      <c r="O1454"/>
    </row>
    <row r="1455" spans="1:15" ht="14.75" customHeight="1">
      <c r="A1455" s="320" t="s">
        <v>994</v>
      </c>
      <c r="B1455" t="str">
        <f>+_xlfn.XLOOKUP(Tabla6[[#This Row],[ID CLIENTE]],'RESUMEN CLIENTES'!D:D,'RESUMEN CLIENTES'!A:A)</f>
        <v>Raúl Ernesto Martínez Orantes</v>
      </c>
      <c r="C1455" t="str">
        <f>+_xlfn.XLOOKUP(Tabla6[[#This Row],[ID CLIENTE]],'RESUMEN CLIENTES'!D:D,'RESUMEN CLIENTES'!C:C)</f>
        <v>El Salvador</v>
      </c>
      <c r="D1455" s="44" t="str">
        <f>+_xlfn.XLOOKUP(Tabla6[[#This Row],[ID CLIENTE]],'RESUMEN CLIENTES'!D:D,'RESUMEN CLIENTES'!M:M)</f>
        <v>OK</v>
      </c>
      <c r="E1455" s="72">
        <f>+_xlfn.XLOOKUP(Tabla6[[#This Row],[NOMBRE]],'RESUMEN CLIENTES'!A:A,'RESUMEN CLIENTES'!X:X)</f>
        <v>1.1428571428571428</v>
      </c>
      <c r="F1455" s="72">
        <f>+_xlfn.XLOOKUP(Tabla6[[#This Row],[ID CLIENTE]],'RESUMEN CLIENTES'!D:D,'RESUMEN CLIENTES'!W:W)</f>
        <v>1</v>
      </c>
      <c r="G1455" s="17">
        <v>46196</v>
      </c>
      <c r="H1455" s="44" t="s">
        <v>81</v>
      </c>
      <c r="I1455" s="2">
        <v>850</v>
      </c>
      <c r="J1455"/>
      <c r="K1455"/>
      <c r="L1455" s="44" t="str" cm="1">
        <f t="array" ref="L1455">+_xlfn.IFS(COUNTIF(INGRESOS!E:E,Tabla6[[#This Row],[ID FACTURA]])=1,"PAGADA",Tabla6[[#This Row],[ID FACTURA]]&lt;&gt;0,"EMITIDA",Tabla6[[#This Row],[ID FACTURA]]=0,"POR EMITIR")</f>
        <v>POR EMITIR</v>
      </c>
      <c r="M1455" s="55" t="str">
        <f>+IF(Tabla6[[#This Row],[ESTADO FACTURA]]="PAGADA",Tabla6[[#This Row],[FECHA]]-_xlfn.XLOOKUP(Tabla6[[#This Row],[N° FACTURA]],INGRESOS!F:F,INGRESOS!A:A),"-")</f>
        <v>-</v>
      </c>
      <c r="N1455" s="2"/>
      <c r="O1455"/>
    </row>
    <row r="1456" spans="1:15" ht="14.75" customHeight="1">
      <c r="A1456" s="320" t="s">
        <v>261</v>
      </c>
      <c r="B1456" t="str">
        <f>+_xlfn.XLOOKUP(Tabla6[[#This Row],[ID CLIENTE]],'RESUMEN CLIENTES'!D:D,'RESUMEN CLIENTES'!A:A)</f>
        <v>Maryori Elizabeth Ramos Tapia</v>
      </c>
      <c r="C1456" t="str">
        <f>+_xlfn.XLOOKUP(Tabla6[[#This Row],[ID CLIENTE]],'RESUMEN CLIENTES'!D:D,'RESUMEN CLIENTES'!C:C)</f>
        <v>Perú</v>
      </c>
      <c r="D1456" s="44" t="str">
        <f>+_xlfn.XLOOKUP(Tabla6[[#This Row],[ID CLIENTE]],'RESUMEN CLIENTES'!D:D,'RESUMEN CLIENTES'!M:M)</f>
        <v>OK</v>
      </c>
      <c r="E1456" s="72">
        <f>+_xlfn.XLOOKUP(Tabla6[[#This Row],[NOMBRE]],'RESUMEN CLIENTES'!A:A,'RESUMEN CLIENTES'!X:X)</f>
        <v>-0.88425925925952875</v>
      </c>
      <c r="F1456" s="72">
        <f>+_xlfn.XLOOKUP(Tabla6[[#This Row],[ID CLIENTE]],'RESUMEN CLIENTES'!D:D,'RESUMEN CLIENTES'!W:W)</f>
        <v>1</v>
      </c>
      <c r="G1456" s="17">
        <v>46197</v>
      </c>
      <c r="H1456" s="44" t="s">
        <v>81</v>
      </c>
      <c r="I1456" s="2">
        <v>1000</v>
      </c>
      <c r="J1456"/>
      <c r="K1456"/>
      <c r="L1456" s="44" t="str" cm="1">
        <f t="array" ref="L1456">+_xlfn.IFS(COUNTIF(INGRESOS!E:E,Tabla6[[#This Row],[ID FACTURA]])=1,"PAGADA",Tabla6[[#This Row],[ID FACTURA]]&lt;&gt;0,"EMITIDA",Tabla6[[#This Row],[ID FACTURA]]=0,"POR EMITIR")</f>
        <v>POR EMITIR</v>
      </c>
      <c r="M1456" s="55" t="str">
        <f>+IF(Tabla6[[#This Row],[ESTADO FACTURA]]="PAGADA",Tabla6[[#This Row],[FECHA]]-_xlfn.XLOOKUP(Tabla6[[#This Row],[N° FACTURA]],INGRESOS!F:F,INGRESOS!A:A),"-")</f>
        <v>-</v>
      </c>
      <c r="N1456" s="2"/>
      <c r="O1456"/>
    </row>
    <row r="1457" spans="1:15" ht="14.75" customHeight="1">
      <c r="A1457" s="320" t="s">
        <v>162</v>
      </c>
      <c r="B1457" t="str">
        <f>+_xlfn.XLOOKUP(Tabla6[[#This Row],[ID CLIENTE]],'RESUMEN CLIENTES'!D:D,'RESUMEN CLIENTES'!A:A)</f>
        <v>Bastian Sofjer Peralta</v>
      </c>
      <c r="C1457" t="str">
        <f>+_xlfn.XLOOKUP(Tabla6[[#This Row],[ID CLIENTE]],'RESUMEN CLIENTES'!D:D,'RESUMEN CLIENTES'!C:C)</f>
        <v>Chile</v>
      </c>
      <c r="D1457" s="44" t="str">
        <f>+_xlfn.XLOOKUP(Tabla6[[#This Row],[ID CLIENTE]],'RESUMEN CLIENTES'!D:D,'RESUMEN CLIENTES'!M:M)</f>
        <v>OK</v>
      </c>
      <c r="E1457" s="72">
        <f>+_xlfn.XLOOKUP(Tabla6[[#This Row],[NOMBRE]],'RESUMEN CLIENTES'!A:A,'RESUMEN CLIENTES'!X:X)</f>
        <v>4.125</v>
      </c>
      <c r="F1457" s="72">
        <f>+_xlfn.XLOOKUP(Tabla6[[#This Row],[ID CLIENTE]],'RESUMEN CLIENTES'!D:D,'RESUMEN CLIENTES'!W:W)</f>
        <v>1</v>
      </c>
      <c r="G1457" s="17">
        <v>46198</v>
      </c>
      <c r="H1457" s="44" t="s">
        <v>81</v>
      </c>
      <c r="I1457" s="2">
        <v>900</v>
      </c>
      <c r="J1457"/>
      <c r="K1457"/>
      <c r="L1457" s="44" t="str" cm="1">
        <f t="array" ref="L1457">+_xlfn.IFS(COUNTIF(INGRESOS!E:E,Tabla6[[#This Row],[ID FACTURA]])=1,"PAGADA",Tabla6[[#This Row],[ID FACTURA]]&lt;&gt;0,"EMITIDA",Tabla6[[#This Row],[ID FACTURA]]=0,"POR EMITIR")</f>
        <v>POR EMITIR</v>
      </c>
      <c r="M1457" s="55" t="str">
        <f>+IF(Tabla6[[#This Row],[ESTADO FACTURA]]="PAGADA",Tabla6[[#This Row],[FECHA]]-_xlfn.XLOOKUP(Tabla6[[#This Row],[N° FACTURA]],INGRESOS!F:F,INGRESOS!A:A),"-")</f>
        <v>-</v>
      </c>
      <c r="N1457" s="2"/>
      <c r="O1457"/>
    </row>
    <row r="1458" spans="1:15" ht="14.75" customHeight="1">
      <c r="A1458" s="320" t="s">
        <v>191</v>
      </c>
      <c r="B1458" t="str">
        <f>+_xlfn.XLOOKUP(Tabla6[[#This Row],[ID CLIENTE]],'RESUMEN CLIENTES'!D:D,'RESUMEN CLIENTES'!A:A)</f>
        <v>Christian Rivera Hernandez</v>
      </c>
      <c r="C1458" t="str">
        <f>+_xlfn.XLOOKUP(Tabla6[[#This Row],[ID CLIENTE]],'RESUMEN CLIENTES'!D:D,'RESUMEN CLIENTES'!C:C)</f>
        <v>Colombia</v>
      </c>
      <c r="D1458" s="169" t="str">
        <f>+_xlfn.XLOOKUP(Tabla6[[#This Row],[ID CLIENTE]],'RESUMEN CLIENTES'!D:D,'RESUMEN CLIENTES'!M:M)</f>
        <v>OK</v>
      </c>
      <c r="E1458" s="71">
        <f>+_xlfn.XLOOKUP(Tabla6[[#This Row],[NOMBRE]],'RESUMEN CLIENTES'!A:A,'RESUMEN CLIENTES'!X:X)</f>
        <v>0.75</v>
      </c>
      <c r="F1458" s="71">
        <f>+_xlfn.XLOOKUP(Tabla6[[#This Row],[ID CLIENTE]],'RESUMEN CLIENTES'!D:D,'RESUMEN CLIENTES'!W:W)</f>
        <v>1</v>
      </c>
      <c r="G1458" s="17">
        <v>46198</v>
      </c>
      <c r="H1458" s="169" t="s">
        <v>81</v>
      </c>
      <c r="I1458" s="2">
        <v>600</v>
      </c>
      <c r="J1458"/>
      <c r="K1458"/>
      <c r="L1458" s="44" t="str" cm="1">
        <f t="array" ref="L1458">+_xlfn.IFS(COUNTIF(INGRESOS!E:E,Tabla6[[#This Row],[ID FACTURA]])=1,"PAGADA",Tabla6[[#This Row],[ID FACTURA]]&lt;&gt;0,"EMITIDA",Tabla6[[#This Row],[ID FACTURA]]=0,"POR EMITIR")</f>
        <v>POR EMITIR</v>
      </c>
      <c r="M1458" s="55" t="str">
        <f>+IF(Tabla6[[#This Row],[ESTADO FACTURA]]="PAGADA",Tabla6[[#This Row],[FECHA]]-_xlfn.XLOOKUP(Tabla6[[#This Row],[N° FACTURA]],INGRESOS!F:F,INGRESOS!A:A),"-")</f>
        <v>-</v>
      </c>
      <c r="N1458" s="2"/>
      <c r="O1458"/>
    </row>
    <row r="1459" spans="1:15" ht="14.75" customHeight="1">
      <c r="A1459" s="320" t="s">
        <v>595</v>
      </c>
      <c r="B1459" t="str">
        <f>+_xlfn.XLOOKUP(Tabla6[[#This Row],[ID CLIENTE]],'RESUMEN CLIENTES'!D:D,'RESUMEN CLIENTES'!A:A)</f>
        <v>Erick Leonardo Chiriboga Valdiviezo</v>
      </c>
      <c r="C1459" t="str">
        <f>+_xlfn.XLOOKUP(Tabla6[[#This Row],[ID CLIENTE]],'RESUMEN CLIENTES'!D:D,'RESUMEN CLIENTES'!C:C)</f>
        <v>Ecuador</v>
      </c>
      <c r="D1459" s="44" t="str">
        <f>+_xlfn.XLOOKUP(Tabla6[[#This Row],[ID CLIENTE]],'RESUMEN CLIENTES'!D:D,'RESUMEN CLIENTES'!M:M)</f>
        <v>OK</v>
      </c>
      <c r="E1459" s="72">
        <f>+_xlfn.XLOOKUP(Tabla6[[#This Row],[NOMBRE]],'RESUMEN CLIENTES'!A:A,'RESUMEN CLIENTES'!X:X)</f>
        <v>-0.33333333333333331</v>
      </c>
      <c r="F1459" s="71">
        <f>+_xlfn.XLOOKUP(Tabla6[[#This Row],[ID CLIENTE]],'RESUMEN CLIENTES'!D:D,'RESUMEN CLIENTES'!W:W)</f>
        <v>0</v>
      </c>
      <c r="G1459" s="17">
        <v>46198</v>
      </c>
      <c r="H1459" s="44" t="s">
        <v>81</v>
      </c>
      <c r="I1459" s="186">
        <v>7520</v>
      </c>
      <c r="J1459"/>
      <c r="K1459"/>
      <c r="L1459" s="44" t="str" cm="1">
        <f t="array" ref="L1459">+_xlfn.IFS(COUNTIF(INGRESOS!E:E,Tabla6[[#This Row],[ID FACTURA]])=1,"PAGADA",Tabla6[[#This Row],[ID FACTURA]]&lt;&gt;0,"EMITIDA",Tabla6[[#This Row],[ID FACTURA]]=0,"POR EMITIR")</f>
        <v>POR EMITIR</v>
      </c>
      <c r="M1459" s="55" t="str">
        <f>+IF(Tabla6[[#This Row],[ESTADO FACTURA]]="PAGADA",Tabla6[[#This Row],[FECHA]]-_xlfn.XLOOKUP(Tabla6[[#This Row],[N° FACTURA]],INGRESOS!F:F,INGRESOS!A:A),"-")</f>
        <v>-</v>
      </c>
      <c r="N1459" s="214"/>
      <c r="O1459"/>
    </row>
    <row r="1460" spans="1:15" ht="14.75" customHeight="1">
      <c r="A1460" s="320" t="s">
        <v>1437</v>
      </c>
      <c r="B1460" t="str">
        <f>+_xlfn.XLOOKUP(Tabla6[[#This Row],[ID CLIENTE]],'RESUMEN CLIENTES'!D:D,'RESUMEN CLIENTES'!A:A)</f>
        <v>Jorge Andres Galgani Muñoz</v>
      </c>
      <c r="C1460" t="str">
        <f>+_xlfn.XLOOKUP(Tabla6[[#This Row],[ID CLIENTE]],'RESUMEN CLIENTES'!D:D,'RESUMEN CLIENTES'!C:C)</f>
        <v>Chile</v>
      </c>
      <c r="D1460" s="44" t="str">
        <f>+_xlfn.XLOOKUP(Tabla6[[#This Row],[ID CLIENTE]],'RESUMEN CLIENTES'!D:D,'RESUMEN CLIENTES'!M:M)</f>
        <v>OK</v>
      </c>
      <c r="E1460" s="71">
        <f>+_xlfn.XLOOKUP(Tabla6[[#This Row],[NOMBRE]],'RESUMEN CLIENTES'!A:A,'RESUMEN CLIENTES'!X:X)</f>
        <v>-1.1428571428571428</v>
      </c>
      <c r="F1460" s="71">
        <f>+_xlfn.XLOOKUP(Tabla6[[#This Row],[ID CLIENTE]],'RESUMEN CLIENTES'!D:D,'RESUMEN CLIENTES'!W:W)</f>
        <v>1</v>
      </c>
      <c r="G1460" s="17">
        <v>46198</v>
      </c>
      <c r="H1460" s="169" t="s">
        <v>81</v>
      </c>
      <c r="I1460" s="2">
        <v>850</v>
      </c>
      <c r="J1460"/>
      <c r="K1460"/>
      <c r="L1460" s="44" t="str" cm="1">
        <f t="array" ref="L1460">+_xlfn.IFS(COUNTIF(INGRESOS!E:E,Tabla6[[#This Row],[ID FACTURA]])=1,"PAGADA",Tabla6[[#This Row],[ID FACTURA]]&lt;&gt;0,"EMITIDA",Tabla6[[#This Row],[ID FACTURA]]=0,"POR EMITIR")</f>
        <v>POR EMITIR</v>
      </c>
      <c r="M1460" s="55" t="str">
        <f>+IF(Tabla6[[#This Row],[ESTADO FACTURA]]="PAGADA",Tabla6[[#This Row],[FECHA]]-_xlfn.XLOOKUP(Tabla6[[#This Row],[N° FACTURA]],INGRESOS!F:F,INGRESOS!A:A),"-")</f>
        <v>-</v>
      </c>
      <c r="N1460" s="2"/>
      <c r="O1460"/>
    </row>
    <row r="1461" spans="1:15" ht="14.75" customHeight="1">
      <c r="A1461" s="320" t="s">
        <v>1658</v>
      </c>
      <c r="B1461" t="str">
        <f>+_xlfn.XLOOKUP(Tabla6[[#This Row],[ID CLIENTE]],'RESUMEN CLIENTES'!D:D,'RESUMEN CLIENTES'!A:A)</f>
        <v>Nadya Sofía García Carrasco</v>
      </c>
      <c r="C1461" t="str">
        <f>+_xlfn.XLOOKUP(Tabla6[[#This Row],[ID CLIENTE]],'RESUMEN CLIENTES'!D:D,'RESUMEN CLIENTES'!C:C)</f>
        <v>Ecuador</v>
      </c>
      <c r="D1461" s="169" t="str">
        <f>+_xlfn.XLOOKUP(Tabla6[[#This Row],[ID CLIENTE]],'RESUMEN CLIENTES'!D:D,'RESUMEN CLIENTES'!M:M)</f>
        <v>OK</v>
      </c>
      <c r="E1461" s="71">
        <f>+_xlfn.XLOOKUP(Tabla6[[#This Row],[NOMBRE]],'RESUMEN CLIENTES'!A:A,'RESUMEN CLIENTES'!X:X)</f>
        <v>0</v>
      </c>
      <c r="F1461" s="71">
        <f>+_xlfn.XLOOKUP(Tabla6[[#This Row],[ID CLIENTE]],'RESUMEN CLIENTES'!D:D,'RESUMEN CLIENTES'!W:W)</f>
        <v>1</v>
      </c>
      <c r="G1461" s="17">
        <v>46198</v>
      </c>
      <c r="H1461" s="169" t="s">
        <v>81</v>
      </c>
      <c r="I1461" s="2">
        <v>1000</v>
      </c>
      <c r="J1461"/>
      <c r="K1461"/>
      <c r="L1461" s="44" t="str" cm="1">
        <f t="array" ref="L1461">+_xlfn.IFS(COUNTIF(INGRESOS!E:E,Tabla6[[#This Row],[ID FACTURA]])=1,"PAGADA",Tabla6[[#This Row],[ID FACTURA]]&lt;&gt;0,"EMITIDA",Tabla6[[#This Row],[ID FACTURA]]=0,"POR EMITIR")</f>
        <v>POR EMITIR</v>
      </c>
      <c r="M1461" s="55" t="str">
        <f>+IF(Tabla6[[#This Row],[ESTADO FACTURA]]="PAGADA",Tabla6[[#This Row],[FECHA]]-_xlfn.XLOOKUP(Tabla6[[#This Row],[N° FACTURA]],INGRESOS!F:F,INGRESOS!A:A),"-")</f>
        <v>-</v>
      </c>
      <c r="O1461"/>
    </row>
    <row r="1462" spans="1:15" ht="14.75" customHeight="1">
      <c r="A1462" s="320" t="s">
        <v>716</v>
      </c>
      <c r="B1462" t="str">
        <f>+_xlfn.XLOOKUP(Tabla6[[#This Row],[ID CLIENTE]],'RESUMEN CLIENTES'!D:D,'RESUMEN CLIENTES'!A:A)</f>
        <v>Sofia Martínez Restrepo</v>
      </c>
      <c r="C1462" t="str">
        <f>+_xlfn.XLOOKUP(Tabla6[[#This Row],[ID CLIENTE]],'RESUMEN CLIENTES'!D:D,'RESUMEN CLIENTES'!C:C)</f>
        <v>Colombia</v>
      </c>
      <c r="D1462" s="44" t="str">
        <f>+_xlfn.XLOOKUP(Tabla6[[#This Row],[ID CLIENTE]],'RESUMEN CLIENTES'!D:D,'RESUMEN CLIENTES'!M:M)</f>
        <v>OK</v>
      </c>
      <c r="E1462" s="72">
        <f>+_xlfn.XLOOKUP(Tabla6[[#This Row],[NOMBRE]],'RESUMEN CLIENTES'!A:A,'RESUMEN CLIENTES'!X:X)</f>
        <v>-0.33333333333333331</v>
      </c>
      <c r="F1462" s="72">
        <f>+_xlfn.XLOOKUP(Tabla6[[#This Row],[ID CLIENTE]],'RESUMEN CLIENTES'!D:D,'RESUMEN CLIENTES'!W:W)</f>
        <v>1</v>
      </c>
      <c r="G1462" s="17">
        <v>46198</v>
      </c>
      <c r="H1462" s="44" t="s">
        <v>81</v>
      </c>
      <c r="I1462" s="2">
        <v>1000</v>
      </c>
      <c r="J1462"/>
      <c r="K1462"/>
      <c r="L1462" s="44" t="str" cm="1">
        <f t="array" ref="L1462">+_xlfn.IFS(COUNTIF(INGRESOS!E:E,Tabla6[[#This Row],[ID FACTURA]])=1,"PAGADA",Tabla6[[#This Row],[ID FACTURA]]&lt;&gt;0,"EMITIDA",Tabla6[[#This Row],[ID FACTURA]]=0,"POR EMITIR")</f>
        <v>POR EMITIR</v>
      </c>
      <c r="M1462" s="55" t="str">
        <f>+IF(Tabla6[[#This Row],[ESTADO FACTURA]]="PAGADA",Tabla6[[#This Row],[FECHA]]-_xlfn.XLOOKUP(Tabla6[[#This Row],[N° FACTURA]],INGRESOS!F:F,INGRESOS!A:A),"-")</f>
        <v>-</v>
      </c>
      <c r="N1462" s="2"/>
      <c r="O1462"/>
    </row>
    <row r="1463" spans="1:15" ht="14.75" customHeight="1">
      <c r="A1463" s="320" t="s">
        <v>1743</v>
      </c>
      <c r="B1463" t="str">
        <f>+_xlfn.XLOOKUP(Tabla6[[#This Row],[ID CLIENTE]],'RESUMEN CLIENTES'!D:D,'RESUMEN CLIENTES'!A:A)</f>
        <v>Fernando Alberto Lagos Belmar</v>
      </c>
      <c r="C1463" t="str">
        <f>+_xlfn.XLOOKUP(Tabla6[[#This Row],[ID CLIENTE]],'RESUMEN CLIENTES'!D:D,'RESUMEN CLIENTES'!C:C)</f>
        <v>Chile</v>
      </c>
      <c r="D1463" s="169" t="str">
        <f>+_xlfn.XLOOKUP(Tabla6[[#This Row],[ID CLIENTE]],'RESUMEN CLIENTES'!D:D,'RESUMEN CLIENTES'!M:M)</f>
        <v>OK</v>
      </c>
      <c r="E1463" s="71">
        <f>+_xlfn.XLOOKUP(Tabla6[[#This Row],[NOMBRE]],'RESUMEN CLIENTES'!A:A,'RESUMEN CLIENTES'!X:X)</f>
        <v>0.25</v>
      </c>
      <c r="F1463" s="71">
        <f>+_xlfn.XLOOKUP(Tabla6[[#This Row],[ID CLIENTE]],'RESUMEN CLIENTES'!D:D,'RESUMEN CLIENTES'!W:W)</f>
        <v>1</v>
      </c>
      <c r="G1463" s="17">
        <v>46199</v>
      </c>
      <c r="H1463" s="169" t="s">
        <v>81</v>
      </c>
      <c r="I1463" s="2">
        <v>1000</v>
      </c>
      <c r="J1463"/>
      <c r="K1463"/>
      <c r="L1463" s="44" t="str" cm="1">
        <f t="array" ref="L1463">+_xlfn.IFS(COUNTIF(INGRESOS!E:E,Tabla6[[#This Row],[ID FACTURA]])=1,"PAGADA",Tabla6[[#This Row],[ID FACTURA]]&lt;&gt;0,"EMITIDA",Tabla6[[#This Row],[ID FACTURA]]=0,"POR EMITIR")</f>
        <v>POR EMITIR</v>
      </c>
      <c r="M1463" s="55" t="str">
        <f>+IF(Tabla6[[#This Row],[ESTADO FACTURA]]="PAGADA",Tabla6[[#This Row],[FECHA]]-_xlfn.XLOOKUP(Tabla6[[#This Row],[N° FACTURA]],INGRESOS!F:F,INGRESOS!A:A),"-")</f>
        <v>-</v>
      </c>
      <c r="O1463"/>
    </row>
    <row r="1464" spans="1:15" ht="14.75" customHeight="1">
      <c r="A1464" s="320" t="s">
        <v>706</v>
      </c>
      <c r="B1464" t="str">
        <f>+_xlfn.XLOOKUP(Tabla6[[#This Row],[ID CLIENTE]],'RESUMEN CLIENTES'!D:D,'RESUMEN CLIENTES'!A:A)</f>
        <v>Virna Nathaly Montenegro Samaniego</v>
      </c>
      <c r="C1464" t="str">
        <f>+_xlfn.XLOOKUP(Tabla6[[#This Row],[ID CLIENTE]],'RESUMEN CLIENTES'!D:D,'RESUMEN CLIENTES'!C:C)</f>
        <v>Ecuador</v>
      </c>
      <c r="D1464" s="44" t="str">
        <f>+_xlfn.XLOOKUP(Tabla6[[#This Row],[ID CLIENTE]],'RESUMEN CLIENTES'!D:D,'RESUMEN CLIENTES'!M:M)</f>
        <v>OK</v>
      </c>
      <c r="E1464" s="72">
        <f>+_xlfn.XLOOKUP(Tabla6[[#This Row],[NOMBRE]],'RESUMEN CLIENTES'!A:A,'RESUMEN CLIENTES'!X:X)</f>
        <v>7.375</v>
      </c>
      <c r="F1464" s="72">
        <f>+_xlfn.XLOOKUP(Tabla6[[#This Row],[ID CLIENTE]],'RESUMEN CLIENTES'!D:D,'RESUMEN CLIENTES'!W:W)</f>
        <v>0</v>
      </c>
      <c r="G1464" s="17">
        <v>46199</v>
      </c>
      <c r="H1464" s="44" t="s">
        <v>81</v>
      </c>
      <c r="I1464" s="2">
        <v>1000</v>
      </c>
      <c r="J1464"/>
      <c r="K1464"/>
      <c r="L1464" s="44" t="str" cm="1">
        <f t="array" ref="L1464">+_xlfn.IFS(COUNTIF(INGRESOS!E:E,Tabla6[[#This Row],[ID FACTURA]])=1,"PAGADA",Tabla6[[#This Row],[ID FACTURA]]&lt;&gt;0,"EMITIDA",Tabla6[[#This Row],[ID FACTURA]]=0,"POR EMITIR")</f>
        <v>POR EMITIR</v>
      </c>
      <c r="M1464" s="55" t="str">
        <f>+IF(Tabla6[[#This Row],[ESTADO FACTURA]]="PAGADA",Tabla6[[#This Row],[FECHA]]-_xlfn.XLOOKUP(Tabla6[[#This Row],[N° FACTURA]],INGRESOS!F:F,INGRESOS!A:A),"-")</f>
        <v>-</v>
      </c>
      <c r="N1464" s="2"/>
      <c r="O1464"/>
    </row>
    <row r="1465" spans="1:15" ht="14.75" customHeight="1">
      <c r="A1465" s="321" t="s">
        <v>519</v>
      </c>
      <c r="B1465" t="str">
        <f>+_xlfn.XLOOKUP(Tabla6[[#This Row],[ID CLIENTE]],'RESUMEN CLIENTES'!D:D,'RESUMEN CLIENTES'!A:A)</f>
        <v>Elaine Acosta Cabrera</v>
      </c>
      <c r="C1465" t="str">
        <f>+_xlfn.XLOOKUP(Tabla6[[#This Row],[ID CLIENTE]],'RESUMEN CLIENTES'!D:D,'RESUMEN CLIENTES'!C:C)</f>
        <v>República Dominicana</v>
      </c>
      <c r="D1465" s="169" t="str">
        <f>+_xlfn.XLOOKUP(Tabla6[[#This Row],[ID CLIENTE]],'RESUMEN CLIENTES'!D:D,'RESUMEN CLIENTES'!M:M)</f>
        <v>OK</v>
      </c>
      <c r="E1465" s="71">
        <f>+_xlfn.XLOOKUP(Tabla6[[#This Row],[NOMBRE]],'RESUMEN CLIENTES'!A:A,'RESUMEN CLIENTES'!X:X)</f>
        <v>0</v>
      </c>
      <c r="F1465" s="71">
        <f>+_xlfn.XLOOKUP(Tabla6[[#This Row],[ID CLIENTE]],'RESUMEN CLIENTES'!D:D,'RESUMEN CLIENTES'!W:W)</f>
        <v>1</v>
      </c>
      <c r="G1465" s="17">
        <v>46200</v>
      </c>
      <c r="H1465" s="169" t="s">
        <v>81</v>
      </c>
      <c r="I1465" s="2">
        <v>1000</v>
      </c>
      <c r="J1465"/>
      <c r="K1465"/>
      <c r="L1465" s="44" t="str" cm="1">
        <f t="array" ref="L1465">+_xlfn.IFS(COUNTIF(INGRESOS!E:E,Tabla6[[#This Row],[ID FACTURA]])=1,"PAGADA",Tabla6[[#This Row],[ID FACTURA]]&lt;&gt;0,"EMITIDA",Tabla6[[#This Row],[ID FACTURA]]=0,"POR EMITIR")</f>
        <v>POR EMITIR</v>
      </c>
      <c r="M1465" s="54" t="str">
        <f>+IF(Tabla6[[#This Row],[ESTADO FACTURA]]="PAGADA",Tabla6[[#This Row],[FECHA]]-_xlfn.XLOOKUP(Tabla6[[#This Row],[N° FACTURA]],INGRESOS!F:F,INGRESOS!A:A),"-")</f>
        <v>-</v>
      </c>
      <c r="O1465"/>
    </row>
    <row r="1466" spans="1:15" ht="14.75" customHeight="1">
      <c r="A1466" s="320" t="s">
        <v>711</v>
      </c>
      <c r="B1466" t="str">
        <f>+_xlfn.XLOOKUP(Tabla6[[#This Row],[ID CLIENTE]],'RESUMEN CLIENTES'!D:D,'RESUMEN CLIENTES'!A:A)</f>
        <v>Julian David Gutierrez Rodriguez</v>
      </c>
      <c r="C1466" t="str">
        <f>+_xlfn.XLOOKUP(Tabla6[[#This Row],[ID CLIENTE]],'RESUMEN CLIENTES'!D:D,'RESUMEN CLIENTES'!C:C)</f>
        <v>Colombia</v>
      </c>
      <c r="D1466" s="44" t="str">
        <f>+_xlfn.XLOOKUP(Tabla6[[#This Row],[ID CLIENTE]],'RESUMEN CLIENTES'!D:D,'RESUMEN CLIENTES'!M:M)</f>
        <v>OK</v>
      </c>
      <c r="E1466" s="72">
        <f>+_xlfn.XLOOKUP(Tabla6[[#This Row],[NOMBRE]],'RESUMEN CLIENTES'!A:A,'RESUMEN CLIENTES'!X:X)</f>
        <v>0.7142857142857143</v>
      </c>
      <c r="F1466" s="72">
        <f>+_xlfn.XLOOKUP(Tabla6[[#This Row],[ID CLIENTE]],'RESUMEN CLIENTES'!D:D,'RESUMEN CLIENTES'!W:W)</f>
        <v>1</v>
      </c>
      <c r="G1466" s="17">
        <v>46200</v>
      </c>
      <c r="H1466" s="44" t="s">
        <v>81</v>
      </c>
      <c r="I1466" s="2">
        <v>500</v>
      </c>
      <c r="J1466"/>
      <c r="K1466"/>
      <c r="L1466" s="44" t="str" cm="1">
        <f t="array" ref="L1466">+_xlfn.IFS(COUNTIF(INGRESOS!E:E,Tabla6[[#This Row],[ID FACTURA]])=1,"PAGADA",Tabla6[[#This Row],[ID FACTURA]]&lt;&gt;0,"EMITIDA",Tabla6[[#This Row],[ID FACTURA]]=0,"POR EMITIR")</f>
        <v>POR EMITIR</v>
      </c>
      <c r="M1466" s="55" t="str">
        <f>+IF(Tabla6[[#This Row],[ESTADO FACTURA]]="PAGADA",Tabla6[[#This Row],[FECHA]]-_xlfn.XLOOKUP(Tabla6[[#This Row],[N° FACTURA]],INGRESOS!F:F,INGRESOS!A:A),"-")</f>
        <v>-</v>
      </c>
      <c r="N1466" s="2"/>
      <c r="O1466"/>
    </row>
    <row r="1467" spans="1:15" ht="14.75" customHeight="1">
      <c r="A1467" s="320" t="s">
        <v>372</v>
      </c>
      <c r="B1467" t="str">
        <f>+_xlfn.XLOOKUP(Tabla6[[#This Row],[ID CLIENTE]],'RESUMEN CLIENTES'!D:D,'RESUMEN CLIENTES'!A:A)</f>
        <v>Julio Nelson Adaros Moraga</v>
      </c>
      <c r="C1467" t="str">
        <f>+_xlfn.XLOOKUP(Tabla6[[#This Row],[ID CLIENTE]],'RESUMEN CLIENTES'!D:D,'RESUMEN CLIENTES'!C:C)</f>
        <v>Chile</v>
      </c>
      <c r="D1467" s="44" t="str">
        <f>+_xlfn.XLOOKUP(Tabla6[[#This Row],[ID CLIENTE]],'RESUMEN CLIENTES'!D:D,'RESUMEN CLIENTES'!M:M)</f>
        <v>OK</v>
      </c>
      <c r="E1467" s="72">
        <f>+_xlfn.XLOOKUP(Tabla6[[#This Row],[NOMBRE]],'RESUMEN CLIENTES'!A:A,'RESUMEN CLIENTES'!X:X)</f>
        <v>1</v>
      </c>
      <c r="F1467" s="72">
        <f>+_xlfn.XLOOKUP(Tabla6[[#This Row],[ID CLIENTE]],'RESUMEN CLIENTES'!D:D,'RESUMEN CLIENTES'!W:W)</f>
        <v>1</v>
      </c>
      <c r="G1467" s="17">
        <v>46200</v>
      </c>
      <c r="H1467" s="44" t="s">
        <v>81</v>
      </c>
      <c r="I1467" s="2">
        <v>1000</v>
      </c>
      <c r="J1467"/>
      <c r="K1467"/>
      <c r="L1467" s="44" t="str" cm="1">
        <f t="array" ref="L1467">+_xlfn.IFS(COUNTIF(INGRESOS!E:E,Tabla6[[#This Row],[ID FACTURA]])=1,"PAGADA",Tabla6[[#This Row],[ID FACTURA]]&lt;&gt;0,"EMITIDA",Tabla6[[#This Row],[ID FACTURA]]=0,"POR EMITIR")</f>
        <v>POR EMITIR</v>
      </c>
      <c r="M1467" s="55" t="str">
        <f>+IF(Tabla6[[#This Row],[ESTADO FACTURA]]="PAGADA",Tabla6[[#This Row],[FECHA]]-_xlfn.XLOOKUP(Tabla6[[#This Row],[N° FACTURA]],INGRESOS!F:F,INGRESOS!A:A),"-")</f>
        <v>-</v>
      </c>
      <c r="N1467" s="2"/>
      <c r="O1467"/>
    </row>
    <row r="1468" spans="1:15" ht="14.75" customHeight="1">
      <c r="A1468" s="321" t="s">
        <v>1870</v>
      </c>
      <c r="B1468" t="str">
        <f>+_xlfn.XLOOKUP(Tabla6[[#This Row],[ID CLIENTE]],'RESUMEN CLIENTES'!D:D,'RESUMEN CLIENTES'!A:A)</f>
        <v>Berenisse Shadia Yarango Garay</v>
      </c>
      <c r="C1468" t="str">
        <f>+_xlfn.XLOOKUP(Tabla6[[#This Row],[ID CLIENTE]],'RESUMEN CLIENTES'!D:D,'RESUMEN CLIENTES'!C:C)</f>
        <v>Perú</v>
      </c>
      <c r="D1468" s="169" t="str">
        <f>+_xlfn.XLOOKUP(Tabla6[[#This Row],[ID CLIENTE]],'RESUMEN CLIENTES'!D:D,'RESUMEN CLIENTES'!M:M)</f>
        <v>OK</v>
      </c>
      <c r="E1468" s="71">
        <f>+_xlfn.XLOOKUP(Tabla6[[#This Row],[NOMBRE]],'RESUMEN CLIENTES'!A:A,'RESUMEN CLIENTES'!X:X)</f>
        <v>-0.33333333333333331</v>
      </c>
      <c r="F1468" s="71">
        <f>+_xlfn.XLOOKUP(Tabla6[[#This Row],[ID CLIENTE]],'RESUMEN CLIENTES'!D:D,'RESUMEN CLIENTES'!W:W)</f>
        <v>0</v>
      </c>
      <c r="G1468" s="17">
        <v>46201</v>
      </c>
      <c r="H1468" s="169" t="s">
        <v>81</v>
      </c>
      <c r="I1468" s="2">
        <v>850</v>
      </c>
      <c r="J1468"/>
      <c r="K1468"/>
      <c r="L1468" s="44" t="str" cm="1">
        <f t="array" ref="L1468">+_xlfn.IFS(COUNTIF(INGRESOS!E:E,Tabla6[[#This Row],[ID FACTURA]])=1,"PAGADA",Tabla6[[#This Row],[ID FACTURA]]&lt;&gt;0,"EMITIDA",Tabla6[[#This Row],[ID FACTURA]]=0,"POR EMITIR")</f>
        <v>POR EMITIR</v>
      </c>
      <c r="M1468" s="54" t="str">
        <f>+IF(Tabla6[[#This Row],[ESTADO FACTURA]]="PAGADA",Tabla6[[#This Row],[FECHA]]-_xlfn.XLOOKUP(Tabla6[[#This Row],[N° FACTURA]],INGRESOS!F:F,INGRESOS!A:A),"-")</f>
        <v>-</v>
      </c>
      <c r="O1468"/>
    </row>
    <row r="1469" spans="1:15" ht="14.75" customHeight="1">
      <c r="A1469" s="320" t="s">
        <v>1461</v>
      </c>
      <c r="B1469" t="str">
        <f>+_xlfn.XLOOKUP(Tabla6[[#This Row],[ID CLIENTE]],'RESUMEN CLIENTES'!D:D,'RESUMEN CLIENTES'!A:A)</f>
        <v>Katerine Marianela Verastegui Mendoza</v>
      </c>
      <c r="C1469" t="str">
        <f>+_xlfn.XLOOKUP(Tabla6[[#This Row],[ID CLIENTE]],'RESUMEN CLIENTES'!D:D,'RESUMEN CLIENTES'!C:C)</f>
        <v>Perú</v>
      </c>
      <c r="D1469" s="44" t="str">
        <f>+_xlfn.XLOOKUP(Tabla6[[#This Row],[ID CLIENTE]],'RESUMEN CLIENTES'!D:D,'RESUMEN CLIENTES'!M:M)</f>
        <v>OK</v>
      </c>
      <c r="E1469" s="71">
        <f>+_xlfn.XLOOKUP(Tabla6[[#This Row],[NOMBRE]],'RESUMEN CLIENTES'!A:A,'RESUMEN CLIENTES'!X:X)</f>
        <v>-2</v>
      </c>
      <c r="F1469" s="71">
        <f>+_xlfn.XLOOKUP(Tabla6[[#This Row],[ID CLIENTE]],'RESUMEN CLIENTES'!D:D,'RESUMEN CLIENTES'!W:W)</f>
        <v>0</v>
      </c>
      <c r="G1469" s="17">
        <v>46201</v>
      </c>
      <c r="H1469" s="169" t="s">
        <v>81</v>
      </c>
      <c r="I1469" s="2">
        <v>1000</v>
      </c>
      <c r="J1469"/>
      <c r="K1469"/>
      <c r="L1469" s="44" t="str" cm="1">
        <f t="array" ref="L1469">+_xlfn.IFS(COUNTIF(INGRESOS!E:E,Tabla6[[#This Row],[ID FACTURA]])=1,"PAGADA",Tabla6[[#This Row],[ID FACTURA]]&lt;&gt;0,"EMITIDA",Tabla6[[#This Row],[ID FACTURA]]=0,"POR EMITIR")</f>
        <v>POR EMITIR</v>
      </c>
      <c r="M1469" s="55" t="str">
        <f>+IF(Tabla6[[#This Row],[ESTADO FACTURA]]="PAGADA",Tabla6[[#This Row],[FECHA]]-_xlfn.XLOOKUP(Tabla6[[#This Row],[N° FACTURA]],INGRESOS!F:F,INGRESOS!A:A),"-")</f>
        <v>-</v>
      </c>
      <c r="N1469" s="2"/>
      <c r="O1469"/>
    </row>
    <row r="1470" spans="1:15" ht="14.75" customHeight="1">
      <c r="A1470" s="320" t="s">
        <v>1374</v>
      </c>
      <c r="B1470" t="str">
        <f>+_xlfn.XLOOKUP(Tabla6[[#This Row],[ID CLIENTE]],'RESUMEN CLIENTES'!D:D,'RESUMEN CLIENTES'!A:A)</f>
        <v>Samuel Sebastián Marmolejo Saldarriaga</v>
      </c>
      <c r="C1470" t="str">
        <f>+_xlfn.XLOOKUP(Tabla6[[#This Row],[ID CLIENTE]],'RESUMEN CLIENTES'!D:D,'RESUMEN CLIENTES'!C:C)</f>
        <v>Perú</v>
      </c>
      <c r="D1470" s="44" t="str">
        <f>+_xlfn.XLOOKUP(Tabla6[[#This Row],[ID CLIENTE]],'RESUMEN CLIENTES'!D:D,'RESUMEN CLIENTES'!M:M)</f>
        <v>OK</v>
      </c>
      <c r="E1470" s="71">
        <f>+_xlfn.XLOOKUP(Tabla6[[#This Row],[NOMBRE]],'RESUMEN CLIENTES'!A:A,'RESUMEN CLIENTES'!X:X)</f>
        <v>-0.5</v>
      </c>
      <c r="F1470" s="71">
        <f>+_xlfn.XLOOKUP(Tabla6[[#This Row],[ID CLIENTE]],'RESUMEN CLIENTES'!D:D,'RESUMEN CLIENTES'!W:W)</f>
        <v>0</v>
      </c>
      <c r="G1470" s="17">
        <v>46201</v>
      </c>
      <c r="H1470" s="44" t="s">
        <v>81</v>
      </c>
      <c r="I1470" s="2">
        <v>1000</v>
      </c>
      <c r="J1470"/>
      <c r="K1470"/>
      <c r="L1470" s="44" t="str" cm="1">
        <f t="array" ref="L1470">+_xlfn.IFS(COUNTIF(INGRESOS!E:E,Tabla6[[#This Row],[ID FACTURA]])=1,"PAGADA",Tabla6[[#This Row],[ID FACTURA]]&lt;&gt;0,"EMITIDA",Tabla6[[#This Row],[ID FACTURA]]=0,"POR EMITIR")</f>
        <v>POR EMITIR</v>
      </c>
      <c r="M1470" s="55" t="str">
        <f>+IF(Tabla6[[#This Row],[ESTADO FACTURA]]="PAGADA",Tabla6[[#This Row],[FECHA]]-_xlfn.XLOOKUP(Tabla6[[#This Row],[N° FACTURA]],INGRESOS!F:F,INGRESOS!A:A),"-")</f>
        <v>-</v>
      </c>
      <c r="N1470" s="2"/>
      <c r="O1470"/>
    </row>
    <row r="1471" spans="1:15" ht="14.75" customHeight="1">
      <c r="A1471" s="320" t="s">
        <v>450</v>
      </c>
      <c r="B1471" t="str">
        <f>+_xlfn.XLOOKUP(Tabla6[[#This Row],[ID CLIENTE]],'RESUMEN CLIENTES'!D:D,'RESUMEN CLIENTES'!A:A)</f>
        <v>Alexandra Carolina Ordoñez Cuotto</v>
      </c>
      <c r="C1471" t="str">
        <f>+_xlfn.XLOOKUP(Tabla6[[#This Row],[ID CLIENTE]],'RESUMEN CLIENTES'!D:D,'RESUMEN CLIENTES'!C:C)</f>
        <v>Venezuela</v>
      </c>
      <c r="D1471" s="44" t="str">
        <f>+_xlfn.XLOOKUP(Tabla6[[#This Row],[ID CLIENTE]],'RESUMEN CLIENTES'!D:D,'RESUMEN CLIENTES'!M:M)</f>
        <v>¡REGULARIZAR!</v>
      </c>
      <c r="E1471" s="72">
        <f>+_xlfn.XLOOKUP(Tabla6[[#This Row],[NOMBRE]],'RESUMEN CLIENTES'!A:A,'RESUMEN CLIENTES'!X:X)</f>
        <v>-2</v>
      </c>
      <c r="F1471" s="72">
        <f>+_xlfn.XLOOKUP(Tabla6[[#This Row],[ID CLIENTE]],'RESUMEN CLIENTES'!D:D,'RESUMEN CLIENTES'!W:W)</f>
        <v>0</v>
      </c>
      <c r="G1471" s="17">
        <v>46202</v>
      </c>
      <c r="H1471" s="44" t="s">
        <v>81</v>
      </c>
      <c r="I1471" s="2">
        <v>1000</v>
      </c>
      <c r="J1471"/>
      <c r="K1471"/>
      <c r="L1471" s="44" t="str" cm="1">
        <f t="array" ref="L1471">+_xlfn.IFS(COUNTIF(INGRESOS!E:E,Tabla6[[#This Row],[ID FACTURA]])=1,"PAGADA",Tabla6[[#This Row],[ID FACTURA]]&lt;&gt;0,"EMITIDA",Tabla6[[#This Row],[ID FACTURA]]=0,"POR EMITIR")</f>
        <v>POR EMITIR</v>
      </c>
      <c r="M1471" s="55" t="str">
        <f>+IF(Tabla6[[#This Row],[ESTADO FACTURA]]="PAGADA",Tabla6[[#This Row],[FECHA]]-_xlfn.XLOOKUP(Tabla6[[#This Row],[N° FACTURA]],INGRESOS!F:F,INGRESOS!A:A),"-")</f>
        <v>-</v>
      </c>
      <c r="N1471" s="2"/>
      <c r="O1471"/>
    </row>
    <row r="1472" spans="1:15" ht="14.75" customHeight="1">
      <c r="A1472" s="320" t="s">
        <v>541</v>
      </c>
      <c r="B1472" t="str">
        <f>+_xlfn.XLOOKUP(Tabla6[[#This Row],[ID CLIENTE]],'RESUMEN CLIENTES'!D:D,'RESUMEN CLIENTES'!A:A)</f>
        <v>Alejandra Goretti Figueroa Romo</v>
      </c>
      <c r="C1472" t="str">
        <f>+_xlfn.XLOOKUP(Tabla6[[#This Row],[ID CLIENTE]],'RESUMEN CLIENTES'!D:D,'RESUMEN CLIENTES'!C:C)</f>
        <v>México</v>
      </c>
      <c r="D1472" s="44" t="str">
        <f>+_xlfn.XLOOKUP(Tabla6[[#This Row],[ID CLIENTE]],'RESUMEN CLIENTES'!D:D,'RESUMEN CLIENTES'!M:M)</f>
        <v>OK</v>
      </c>
      <c r="E1472" s="72">
        <f>+_xlfn.XLOOKUP(Tabla6[[#This Row],[NOMBRE]],'RESUMEN CLIENTES'!A:A,'RESUMEN CLIENTES'!X:X)</f>
        <v>0.75</v>
      </c>
      <c r="F1472" s="72">
        <f>+_xlfn.XLOOKUP(Tabla6[[#This Row],[ID CLIENTE]],'RESUMEN CLIENTES'!D:D,'RESUMEN CLIENTES'!W:W)</f>
        <v>0</v>
      </c>
      <c r="G1472" s="17">
        <v>46203</v>
      </c>
      <c r="H1472" s="44" t="s">
        <v>81</v>
      </c>
      <c r="I1472" s="2">
        <v>1000</v>
      </c>
      <c r="J1472"/>
      <c r="K1472"/>
      <c r="L1472" s="44" t="str" cm="1">
        <f t="array" ref="L1472">+_xlfn.IFS(COUNTIF(INGRESOS!E:E,Tabla6[[#This Row],[ID FACTURA]])=1,"PAGADA",Tabla6[[#This Row],[ID FACTURA]]&lt;&gt;0,"EMITIDA",Tabla6[[#This Row],[ID FACTURA]]=0,"POR EMITIR")</f>
        <v>POR EMITIR</v>
      </c>
      <c r="M1472" s="55" t="str">
        <f>+IF(Tabla6[[#This Row],[ESTADO FACTURA]]="PAGADA",Tabla6[[#This Row],[FECHA]]-_xlfn.XLOOKUP(Tabla6[[#This Row],[N° FACTURA]],INGRESOS!F:F,INGRESOS!A:A),"-")</f>
        <v>-</v>
      </c>
      <c r="N1472" s="2"/>
      <c r="O1472"/>
    </row>
    <row r="1473" spans="1:15" ht="14.75" customHeight="1">
      <c r="A1473" s="320" t="s">
        <v>527</v>
      </c>
      <c r="B1473" t="str">
        <f>+_xlfn.XLOOKUP(Tabla6[[#This Row],[ID CLIENTE]],'RESUMEN CLIENTES'!D:D,'RESUMEN CLIENTES'!A:A)</f>
        <v>Angie Pérez Cáceres</v>
      </c>
      <c r="C1473" t="str">
        <f>+_xlfn.XLOOKUP(Tabla6[[#This Row],[ID CLIENTE]],'RESUMEN CLIENTES'!D:D,'RESUMEN CLIENTES'!C:C)</f>
        <v>Perú</v>
      </c>
      <c r="D1473" s="44" t="str">
        <f>+_xlfn.XLOOKUP(Tabla6[[#This Row],[ID CLIENTE]],'RESUMEN CLIENTES'!D:D,'RESUMEN CLIENTES'!M:M)</f>
        <v>OK</v>
      </c>
      <c r="E1473" s="72">
        <f>+_xlfn.XLOOKUP(Tabla6[[#This Row],[NOMBRE]],'RESUMEN CLIENTES'!A:A,'RESUMEN CLIENTES'!X:X)</f>
        <v>1.625</v>
      </c>
      <c r="F1473" s="72">
        <f>+_xlfn.XLOOKUP(Tabla6[[#This Row],[ID CLIENTE]],'RESUMEN CLIENTES'!D:D,'RESUMEN CLIENTES'!W:W)</f>
        <v>0</v>
      </c>
      <c r="G1473" s="17">
        <v>46203</v>
      </c>
      <c r="H1473" s="44" t="s">
        <v>81</v>
      </c>
      <c r="I1473" s="2">
        <v>1000</v>
      </c>
      <c r="J1473"/>
      <c r="K1473"/>
      <c r="L1473" s="44" t="str" cm="1">
        <f t="array" ref="L1473">+_xlfn.IFS(COUNTIF(INGRESOS!E:E,Tabla6[[#This Row],[ID FACTURA]])=1,"PAGADA",Tabla6[[#This Row],[ID FACTURA]]&lt;&gt;0,"EMITIDA",Tabla6[[#This Row],[ID FACTURA]]=0,"POR EMITIR")</f>
        <v>POR EMITIR</v>
      </c>
      <c r="M1473" s="55" t="str">
        <f>+IF(Tabla6[[#This Row],[ESTADO FACTURA]]="PAGADA",Tabla6[[#This Row],[FECHA]]-_xlfn.XLOOKUP(Tabla6[[#This Row],[N° FACTURA]],INGRESOS!F:F,INGRESOS!A:A),"-")</f>
        <v>-</v>
      </c>
      <c r="N1473" s="2"/>
      <c r="O1473"/>
    </row>
    <row r="1474" spans="1:15" ht="14.75" customHeight="1">
      <c r="A1474" s="320" t="s">
        <v>226</v>
      </c>
      <c r="B1474" t="str">
        <f>+_xlfn.XLOOKUP(Tabla6[[#This Row],[ID CLIENTE]],'RESUMEN CLIENTES'!D:D,'RESUMEN CLIENTES'!A:A)</f>
        <v>Carlos Josue Escobar Morán</v>
      </c>
      <c r="C1474" t="str">
        <f>+_xlfn.XLOOKUP(Tabla6[[#This Row],[ID CLIENTE]],'RESUMEN CLIENTES'!D:D,'RESUMEN CLIENTES'!C:C)</f>
        <v>El Salvador</v>
      </c>
      <c r="D1474" s="44" t="str">
        <f>+_xlfn.XLOOKUP(Tabla6[[#This Row],[ID CLIENTE]],'RESUMEN CLIENTES'!D:D,'RESUMEN CLIENTES'!M:M)</f>
        <v>OK</v>
      </c>
      <c r="E1474" s="72">
        <f>+_xlfn.XLOOKUP(Tabla6[[#This Row],[NOMBRE]],'RESUMEN CLIENTES'!A:A,'RESUMEN CLIENTES'!X:X)</f>
        <v>0.8</v>
      </c>
      <c r="F1474" s="72">
        <f>+_xlfn.XLOOKUP(Tabla6[[#This Row],[ID CLIENTE]],'RESUMEN CLIENTES'!D:D,'RESUMEN CLIENTES'!W:W)</f>
        <v>0</v>
      </c>
      <c r="G1474" s="17">
        <v>46203</v>
      </c>
      <c r="H1474" s="44" t="s">
        <v>81</v>
      </c>
      <c r="I1474" s="2">
        <v>8000</v>
      </c>
      <c r="J1474"/>
      <c r="K1474"/>
      <c r="L1474" s="44" t="str" cm="1">
        <f t="array" ref="L1474">+_xlfn.IFS(COUNTIF(INGRESOS!E:E,Tabla6[[#This Row],[ID FACTURA]])=1,"PAGADA",Tabla6[[#This Row],[ID FACTURA]]&lt;&gt;0,"EMITIDA",Tabla6[[#This Row],[ID FACTURA]]=0,"POR EMITIR")</f>
        <v>POR EMITIR</v>
      </c>
      <c r="M1474" s="55" t="str">
        <f>+IF(Tabla6[[#This Row],[ESTADO FACTURA]]="PAGADA",Tabla6[[#This Row],[FECHA]]-_xlfn.XLOOKUP(Tabla6[[#This Row],[N° FACTURA]],INGRESOS!F:F,INGRESOS!A:A),"-")</f>
        <v>-</v>
      </c>
      <c r="N1474" s="2"/>
      <c r="O1474"/>
    </row>
    <row r="1475" spans="1:15" ht="14.75" customHeight="1">
      <c r="A1475" s="320" t="s">
        <v>479</v>
      </c>
      <c r="B1475" t="str">
        <f>+_xlfn.XLOOKUP(Tabla6[[#This Row],[ID CLIENTE]],'RESUMEN CLIENTES'!D:D,'RESUMEN CLIENTES'!A:A)</f>
        <v>Carlos Mersaim Olivares Sandoval</v>
      </c>
      <c r="C1475" t="str">
        <f>+_xlfn.XLOOKUP(Tabla6[[#This Row],[ID CLIENTE]],'RESUMEN CLIENTES'!D:D,'RESUMEN CLIENTES'!C:C)</f>
        <v>México</v>
      </c>
      <c r="D1475" s="44" t="str">
        <f>+_xlfn.XLOOKUP(Tabla6[[#This Row],[ID CLIENTE]],'RESUMEN CLIENTES'!D:D,'RESUMEN CLIENTES'!M:M)</f>
        <v>OK</v>
      </c>
      <c r="E1475" s="72">
        <f>+_xlfn.XLOOKUP(Tabla6[[#This Row],[NOMBRE]],'RESUMEN CLIENTES'!A:A,'RESUMEN CLIENTES'!X:X)</f>
        <v>1.4444444444444444</v>
      </c>
      <c r="F1475" s="72">
        <f>+_xlfn.XLOOKUP(Tabla6[[#This Row],[ID CLIENTE]],'RESUMEN CLIENTES'!D:D,'RESUMEN CLIENTES'!W:W)</f>
        <v>0</v>
      </c>
      <c r="G1475" s="17">
        <v>46203</v>
      </c>
      <c r="H1475" s="44" t="s">
        <v>81</v>
      </c>
      <c r="I1475" s="2">
        <v>1000</v>
      </c>
      <c r="J1475"/>
      <c r="K1475"/>
      <c r="L1475" s="44" t="str" cm="1">
        <f t="array" ref="L1475">+_xlfn.IFS(COUNTIF(INGRESOS!E:E,Tabla6[[#This Row],[ID FACTURA]])=1,"PAGADA",Tabla6[[#This Row],[ID FACTURA]]&lt;&gt;0,"EMITIDA",Tabla6[[#This Row],[ID FACTURA]]=0,"POR EMITIR")</f>
        <v>POR EMITIR</v>
      </c>
      <c r="M1475" s="55" t="str">
        <f>+IF(Tabla6[[#This Row],[ESTADO FACTURA]]="PAGADA",Tabla6[[#This Row],[FECHA]]-_xlfn.XLOOKUP(Tabla6[[#This Row],[N° FACTURA]],INGRESOS!F:F,INGRESOS!A:A),"-")</f>
        <v>-</v>
      </c>
      <c r="N1475" s="2"/>
      <c r="O1475"/>
    </row>
    <row r="1476" spans="1:15" ht="14.75" customHeight="1">
      <c r="A1476" s="320" t="s">
        <v>385</v>
      </c>
      <c r="B1476" t="str">
        <f>+_xlfn.XLOOKUP(Tabla6[[#This Row],[ID CLIENTE]],'RESUMEN CLIENTES'!D:D,'RESUMEN CLIENTES'!A:A)</f>
        <v>Ellen Cristina Gerónimo Bonilla</v>
      </c>
      <c r="C1476" t="str">
        <f>+_xlfn.XLOOKUP(Tabla6[[#This Row],[ID CLIENTE]],'RESUMEN CLIENTES'!D:D,'RESUMEN CLIENTES'!C:C)</f>
        <v>República Dominicana</v>
      </c>
      <c r="D1476" s="44" t="str">
        <f>+_xlfn.XLOOKUP(Tabla6[[#This Row],[ID CLIENTE]],'RESUMEN CLIENTES'!D:D,'RESUMEN CLIENTES'!M:M)</f>
        <v>OK</v>
      </c>
      <c r="E1476" s="72">
        <f>+_xlfn.XLOOKUP(Tabla6[[#This Row],[NOMBRE]],'RESUMEN CLIENTES'!A:A,'RESUMEN CLIENTES'!X:X)</f>
        <v>1.5555555555555556</v>
      </c>
      <c r="F1476" s="72">
        <f>+_xlfn.XLOOKUP(Tabla6[[#This Row],[ID CLIENTE]],'RESUMEN CLIENTES'!D:D,'RESUMEN CLIENTES'!W:W)</f>
        <v>1</v>
      </c>
      <c r="G1476" s="17">
        <v>46203</v>
      </c>
      <c r="H1476" s="44" t="s">
        <v>81</v>
      </c>
      <c r="I1476" s="2">
        <v>600</v>
      </c>
      <c r="J1476"/>
      <c r="K1476"/>
      <c r="L1476" s="44" t="str" cm="1">
        <f t="array" ref="L1476">+_xlfn.IFS(COUNTIF(INGRESOS!E:E,Tabla6[[#This Row],[ID FACTURA]])=1,"PAGADA",Tabla6[[#This Row],[ID FACTURA]]&lt;&gt;0,"EMITIDA",Tabla6[[#This Row],[ID FACTURA]]=0,"POR EMITIR")</f>
        <v>POR EMITIR</v>
      </c>
      <c r="M1476" s="55" t="str">
        <f>+IF(Tabla6[[#This Row],[ESTADO FACTURA]]="PAGADA",Tabla6[[#This Row],[FECHA]]-_xlfn.XLOOKUP(Tabla6[[#This Row],[N° FACTURA]],INGRESOS!F:F,INGRESOS!A:A),"-")</f>
        <v>-</v>
      </c>
      <c r="N1476" s="2"/>
      <c r="O1476"/>
    </row>
    <row r="1477" spans="1:15" ht="14.75" customHeight="1">
      <c r="A1477" s="320" t="s">
        <v>1761</v>
      </c>
      <c r="B1477" t="str">
        <f>+_xlfn.XLOOKUP(Tabla6[[#This Row],[ID CLIENTE]],'RESUMEN CLIENTES'!D:D,'RESUMEN CLIENTES'!A:A)</f>
        <v>Francisco Salas Barrera</v>
      </c>
      <c r="C1477" t="str">
        <f>+_xlfn.XLOOKUP(Tabla6[[#This Row],[ID CLIENTE]],'RESUMEN CLIENTES'!D:D,'RESUMEN CLIENTES'!C:C)</f>
        <v>México</v>
      </c>
      <c r="D1477" s="169" t="str">
        <f>+_xlfn.XLOOKUP(Tabla6[[#This Row],[ID CLIENTE]],'RESUMEN CLIENTES'!D:D,'RESUMEN CLIENTES'!M:M)</f>
        <v>OK</v>
      </c>
      <c r="E1477" s="71">
        <f>+_xlfn.XLOOKUP(Tabla6[[#This Row],[NOMBRE]],'RESUMEN CLIENTES'!A:A,'RESUMEN CLIENTES'!X:X)</f>
        <v>-0.75</v>
      </c>
      <c r="F1477" s="71">
        <f>+_xlfn.XLOOKUP(Tabla6[[#This Row],[ID CLIENTE]],'RESUMEN CLIENTES'!D:D,'RESUMEN CLIENTES'!W:W)</f>
        <v>0</v>
      </c>
      <c r="G1477" s="17">
        <v>46203</v>
      </c>
      <c r="H1477" s="169" t="s">
        <v>81</v>
      </c>
      <c r="I1477" s="2">
        <v>1000</v>
      </c>
      <c r="J1477"/>
      <c r="K1477"/>
      <c r="L1477" s="44" t="str" cm="1">
        <f t="array" ref="L1477">+_xlfn.IFS(COUNTIF(INGRESOS!E:E,Tabla6[[#This Row],[ID FACTURA]])=1,"PAGADA",Tabla6[[#This Row],[ID FACTURA]]&lt;&gt;0,"EMITIDA",Tabla6[[#This Row],[ID FACTURA]]=0,"POR EMITIR")</f>
        <v>POR EMITIR</v>
      </c>
      <c r="M1477" s="55" t="str">
        <f>+IF(Tabla6[[#This Row],[ESTADO FACTURA]]="PAGADA",Tabla6[[#This Row],[FECHA]]-_xlfn.XLOOKUP(Tabla6[[#This Row],[N° FACTURA]],INGRESOS!F:F,INGRESOS!A:A),"-")</f>
        <v>-</v>
      </c>
      <c r="O1477"/>
    </row>
    <row r="1478" spans="1:15" ht="14.75" customHeight="1">
      <c r="A1478" s="320" t="s">
        <v>739</v>
      </c>
      <c r="B1478" t="str">
        <f>+_xlfn.XLOOKUP(Tabla6[[#This Row],[ID CLIENTE]],'RESUMEN CLIENTES'!D:D,'RESUMEN CLIENTES'!A:A)</f>
        <v>Gilberto Martiñon Torres</v>
      </c>
      <c r="C1478" t="str">
        <f>+_xlfn.XLOOKUP(Tabla6[[#This Row],[ID CLIENTE]],'RESUMEN CLIENTES'!D:D,'RESUMEN CLIENTES'!C:C)</f>
        <v>México</v>
      </c>
      <c r="D1478" s="44" t="str">
        <f>+_xlfn.XLOOKUP(Tabla6[[#This Row],[ID CLIENTE]],'RESUMEN CLIENTES'!D:D,'RESUMEN CLIENTES'!M:M)</f>
        <v>OK</v>
      </c>
      <c r="E1478" s="72">
        <f>+_xlfn.XLOOKUP(Tabla6[[#This Row],[NOMBRE]],'RESUMEN CLIENTES'!A:A,'RESUMEN CLIENTES'!X:X)</f>
        <v>-0.625</v>
      </c>
      <c r="F1478" s="72">
        <f>+_xlfn.XLOOKUP(Tabla6[[#This Row],[ID CLIENTE]],'RESUMEN CLIENTES'!D:D,'RESUMEN CLIENTES'!W:W)</f>
        <v>0</v>
      </c>
      <c r="G1478" s="17">
        <v>46203</v>
      </c>
      <c r="H1478" s="44" t="s">
        <v>81</v>
      </c>
      <c r="I1478" s="2">
        <v>700</v>
      </c>
      <c r="J1478"/>
      <c r="K1478"/>
      <c r="L1478" s="44" t="str" cm="1">
        <f t="array" ref="L1478">+_xlfn.IFS(COUNTIF(INGRESOS!E:E,Tabla6[[#This Row],[ID FACTURA]])=1,"PAGADA",Tabla6[[#This Row],[ID FACTURA]]&lt;&gt;0,"EMITIDA",Tabla6[[#This Row],[ID FACTURA]]=0,"POR EMITIR")</f>
        <v>POR EMITIR</v>
      </c>
      <c r="M1478" s="55" t="str">
        <f>+IF(Tabla6[[#This Row],[ESTADO FACTURA]]="PAGADA",Tabla6[[#This Row],[FECHA]]-_xlfn.XLOOKUP(Tabla6[[#This Row],[N° FACTURA]],INGRESOS!F:F,INGRESOS!A:A),"-")</f>
        <v>-</v>
      </c>
      <c r="N1478" s="2"/>
      <c r="O1478"/>
    </row>
    <row r="1479" spans="1:15" ht="14.75" customHeight="1">
      <c r="A1479" s="320" t="s">
        <v>139</v>
      </c>
      <c r="B1479" t="str">
        <f>+_xlfn.XLOOKUP(Tabla6[[#This Row],[ID CLIENTE]],'RESUMEN CLIENTES'!D:D,'RESUMEN CLIENTES'!A:A)</f>
        <v>Hugo Nicolás Trávez Morales</v>
      </c>
      <c r="C1479" t="str">
        <f>+_xlfn.XLOOKUP(Tabla6[[#This Row],[ID CLIENTE]],'RESUMEN CLIENTES'!D:D,'RESUMEN CLIENTES'!C:C)</f>
        <v>Ecuador</v>
      </c>
      <c r="D1479" s="169" t="str">
        <f>+_xlfn.XLOOKUP(Tabla6[[#This Row],[ID CLIENTE]],'RESUMEN CLIENTES'!D:D,'RESUMEN CLIENTES'!M:M)</f>
        <v>OK</v>
      </c>
      <c r="E1479" s="71">
        <f>+_xlfn.XLOOKUP(Tabla6[[#This Row],[NOMBRE]],'RESUMEN CLIENTES'!A:A,'RESUMEN CLIENTES'!X:X)</f>
        <v>0</v>
      </c>
      <c r="F1479" s="71">
        <f>+_xlfn.XLOOKUP(Tabla6[[#This Row],[ID CLIENTE]],'RESUMEN CLIENTES'!D:D,'RESUMEN CLIENTES'!W:W)</f>
        <v>0</v>
      </c>
      <c r="G1479" s="17">
        <v>46203</v>
      </c>
      <c r="H1479" s="44" t="s">
        <v>81</v>
      </c>
      <c r="I1479" s="2">
        <v>500</v>
      </c>
      <c r="J1479"/>
      <c r="K1479"/>
      <c r="L1479" s="44" t="str" cm="1">
        <f t="array" ref="L1479">+_xlfn.IFS(COUNTIF(INGRESOS!E:E,Tabla6[[#This Row],[ID FACTURA]])=1,"PAGADA",Tabla6[[#This Row],[ID FACTURA]]&lt;&gt;0,"EMITIDA",Tabla6[[#This Row],[ID FACTURA]]=0,"POR EMITIR")</f>
        <v>POR EMITIR</v>
      </c>
      <c r="M1479" s="54" t="str">
        <f>+IF(Tabla6[[#This Row],[ESTADO FACTURA]]="PAGADA",Tabla6[[#This Row],[FECHA]]-_xlfn.XLOOKUP(Tabla6[[#This Row],[N° FACTURA]],INGRESOS!F:F,INGRESOS!A:A),"-")</f>
        <v>-</v>
      </c>
      <c r="O1479"/>
    </row>
    <row r="1480" spans="1:15" ht="14.75" customHeight="1">
      <c r="A1480" s="320" t="s">
        <v>266</v>
      </c>
      <c r="B1480" t="str">
        <f>+_xlfn.XLOOKUP(Tabla6[[#This Row],[ID CLIENTE]],'RESUMEN CLIENTES'!D:D,'RESUMEN CLIENTES'!A:A)</f>
        <v>Juan Camilo Sanchez Ramirez</v>
      </c>
      <c r="C1480" t="str">
        <f>+_xlfn.XLOOKUP(Tabla6[[#This Row],[ID CLIENTE]],'RESUMEN CLIENTES'!D:D,'RESUMEN CLIENTES'!C:C)</f>
        <v>Colombia</v>
      </c>
      <c r="D1480" s="44" t="str">
        <f>+_xlfn.XLOOKUP(Tabla6[[#This Row],[ID CLIENTE]],'RESUMEN CLIENTES'!D:D,'RESUMEN CLIENTES'!M:M)</f>
        <v>OK</v>
      </c>
      <c r="E1480" s="72">
        <f>+_xlfn.XLOOKUP(Tabla6[[#This Row],[NOMBRE]],'RESUMEN CLIENTES'!A:A,'RESUMEN CLIENTES'!X:X)</f>
        <v>0.2</v>
      </c>
      <c r="F1480" s="72">
        <f>+_xlfn.XLOOKUP(Tabla6[[#This Row],[ID CLIENTE]],'RESUMEN CLIENTES'!D:D,'RESUMEN CLIENTES'!W:W)</f>
        <v>0</v>
      </c>
      <c r="G1480" s="17">
        <v>46203</v>
      </c>
      <c r="H1480" s="44" t="s">
        <v>81</v>
      </c>
      <c r="I1480" s="2">
        <v>1000</v>
      </c>
      <c r="J1480"/>
      <c r="K1480"/>
      <c r="L1480" s="44" t="str" cm="1">
        <f t="array" ref="L1480">+_xlfn.IFS(COUNTIF(INGRESOS!E:E,Tabla6[[#This Row],[ID FACTURA]])=1,"PAGADA",Tabla6[[#This Row],[ID FACTURA]]&lt;&gt;0,"EMITIDA",Tabla6[[#This Row],[ID FACTURA]]=0,"POR EMITIR")</f>
        <v>POR EMITIR</v>
      </c>
      <c r="M1480" s="55" t="str">
        <f>+IF(Tabla6[[#This Row],[ESTADO FACTURA]]="PAGADA",Tabla6[[#This Row],[FECHA]]-_xlfn.XLOOKUP(Tabla6[[#This Row],[N° FACTURA]],INGRESOS!F:F,INGRESOS!A:A),"-")</f>
        <v>-</v>
      </c>
      <c r="N1480" s="2"/>
      <c r="O1480"/>
    </row>
    <row r="1481" spans="1:15" ht="14.75" customHeight="1">
      <c r="A1481" s="320" t="s">
        <v>197</v>
      </c>
      <c r="B1481" t="str">
        <f>+_xlfn.XLOOKUP(Tabla6[[#This Row],[ID CLIENTE]],'RESUMEN CLIENTES'!D:D,'RESUMEN CLIENTES'!A:A)</f>
        <v>Lina Estrada</v>
      </c>
      <c r="C1481" s="15" t="str">
        <f>+_xlfn.XLOOKUP(Tabla6[[#This Row],[ID CLIENTE]],'RESUMEN CLIENTES'!D:D,'RESUMEN CLIENTES'!C:C)</f>
        <v>Colombia</v>
      </c>
      <c r="D1481" s="169" t="str">
        <f>+_xlfn.XLOOKUP(Tabla6[[#This Row],[ID CLIENTE]],'RESUMEN CLIENTES'!D:D,'RESUMEN CLIENTES'!M:M)</f>
        <v>¡REGULARIZAR!</v>
      </c>
      <c r="E1481" s="71">
        <f>+_xlfn.XLOOKUP(Tabla6[[#This Row],[NOMBRE]],'RESUMEN CLIENTES'!A:A,'RESUMEN CLIENTES'!X:X)</f>
        <v>0.5</v>
      </c>
      <c r="F1481" s="71">
        <f>+_xlfn.XLOOKUP(Tabla6[[#This Row],[ID CLIENTE]],'RESUMEN CLIENTES'!D:D,'RESUMEN CLIENTES'!W:W)</f>
        <v>0</v>
      </c>
      <c r="G1481" s="17">
        <v>46203</v>
      </c>
      <c r="H1481" s="169" t="s">
        <v>1669</v>
      </c>
      <c r="I1481" s="2">
        <v>800</v>
      </c>
      <c r="J1481"/>
      <c r="K1481"/>
      <c r="L1481" s="44" t="str" cm="1">
        <f t="array" ref="L1481">+_xlfn.IFS(COUNTIF(INGRESOS!E:E,Tabla6[[#This Row],[ID FACTURA]])=1,"PAGADA",Tabla6[[#This Row],[ID FACTURA]]&lt;&gt;0,"EMITIDA",Tabla6[[#This Row],[ID FACTURA]]=0,"POR EMITIR")</f>
        <v>POR EMITIR</v>
      </c>
      <c r="M1481" s="54" t="str">
        <f>+IF(Tabla6[[#This Row],[ESTADO FACTURA]]="PAGADA",Tabla6[[#This Row],[FECHA]]-_xlfn.XLOOKUP(Tabla6[[#This Row],[N° FACTURA]],INGRESOS!F:F,INGRESOS!A:A),"-")</f>
        <v>-</v>
      </c>
      <c r="O1481"/>
    </row>
    <row r="1482" spans="1:15" ht="14.75" customHeight="1">
      <c r="A1482" s="320" t="s">
        <v>590</v>
      </c>
      <c r="B1482" t="str">
        <f>+_xlfn.XLOOKUP(Tabla6[[#This Row],[ID CLIENTE]],'RESUMEN CLIENTES'!D:D,'RESUMEN CLIENTES'!A:A)</f>
        <v>María Lucero de Jesús Barrios Sazo</v>
      </c>
      <c r="C1482" t="str">
        <f>+_xlfn.XLOOKUP(Tabla6[[#This Row],[ID CLIENTE]],'RESUMEN CLIENTES'!D:D,'RESUMEN CLIENTES'!C:C)</f>
        <v>Guatemala</v>
      </c>
      <c r="D1482" s="44" t="str">
        <f>+_xlfn.XLOOKUP(Tabla6[[#This Row],[ID CLIENTE]],'RESUMEN CLIENTES'!D:D,'RESUMEN CLIENTES'!M:M)</f>
        <v>OK</v>
      </c>
      <c r="E1482" s="72">
        <f>+_xlfn.XLOOKUP(Tabla6[[#This Row],[NOMBRE]],'RESUMEN CLIENTES'!A:A,'RESUMEN CLIENTES'!X:X)</f>
        <v>1.25</v>
      </c>
      <c r="F1482" s="72">
        <f>+_xlfn.XLOOKUP(Tabla6[[#This Row],[ID CLIENTE]],'RESUMEN CLIENTES'!D:D,'RESUMEN CLIENTES'!W:W)</f>
        <v>0</v>
      </c>
      <c r="G1482" s="17">
        <v>46203</v>
      </c>
      <c r="H1482" s="44" t="s">
        <v>81</v>
      </c>
      <c r="I1482" s="2">
        <v>700</v>
      </c>
      <c r="J1482"/>
      <c r="K1482"/>
      <c r="L1482" s="44" t="str" cm="1">
        <f t="array" ref="L1482">+_xlfn.IFS(COUNTIF(INGRESOS!E:E,Tabla6[[#This Row],[ID FACTURA]])=1,"PAGADA",Tabla6[[#This Row],[ID FACTURA]]&lt;&gt;0,"EMITIDA",Tabla6[[#This Row],[ID FACTURA]]=0,"POR EMITIR")</f>
        <v>POR EMITIR</v>
      </c>
      <c r="M1482" s="55" t="str">
        <f>+IF(Tabla6[[#This Row],[ESTADO FACTURA]]="PAGADA",Tabla6[[#This Row],[FECHA]]-_xlfn.XLOOKUP(Tabla6[[#This Row],[N° FACTURA]],INGRESOS!F:F,INGRESOS!A:A),"-")</f>
        <v>-</v>
      </c>
      <c r="N1482" s="2"/>
      <c r="O1482"/>
    </row>
    <row r="1483" spans="1:15" ht="14.75" customHeight="1">
      <c r="A1483" s="320" t="s">
        <v>1201</v>
      </c>
      <c r="B1483" t="str">
        <f>+_xlfn.XLOOKUP(Tabla6[[#This Row],[ID CLIENTE]],'RESUMEN CLIENTES'!D:D,'RESUMEN CLIENTES'!A:A)</f>
        <v>María Soledad Tituana Asanza</v>
      </c>
      <c r="C1483" t="str">
        <f>+_xlfn.XLOOKUP(Tabla6[[#This Row],[ID CLIENTE]],'RESUMEN CLIENTES'!D:D,'RESUMEN CLIENTES'!C:C)</f>
        <v>Ecuador</v>
      </c>
      <c r="D1483" s="44" t="str">
        <f>+_xlfn.XLOOKUP(Tabla6[[#This Row],[ID CLIENTE]],'RESUMEN CLIENTES'!D:D,'RESUMEN CLIENTES'!M:M)</f>
        <v>OK</v>
      </c>
      <c r="E1483" s="72">
        <f>+_xlfn.XLOOKUP(Tabla6[[#This Row],[NOMBRE]],'RESUMEN CLIENTES'!A:A,'RESUMEN CLIENTES'!X:X)</f>
        <v>-0.16666666666666666</v>
      </c>
      <c r="F1483" s="72">
        <f>+_xlfn.XLOOKUP(Tabla6[[#This Row],[ID CLIENTE]],'RESUMEN CLIENTES'!D:D,'RESUMEN CLIENTES'!W:W)</f>
        <v>0</v>
      </c>
      <c r="G1483" s="17">
        <v>46203</v>
      </c>
      <c r="H1483" s="44" t="s">
        <v>81</v>
      </c>
      <c r="I1483" s="2">
        <v>1000</v>
      </c>
      <c r="J1483"/>
      <c r="K1483"/>
      <c r="L1483" s="44" t="str" cm="1">
        <f t="array" ref="L1483">+_xlfn.IFS(COUNTIF(INGRESOS!E:E,Tabla6[[#This Row],[ID FACTURA]])=1,"PAGADA",Tabla6[[#This Row],[ID FACTURA]]&lt;&gt;0,"EMITIDA",Tabla6[[#This Row],[ID FACTURA]]=0,"POR EMITIR")</f>
        <v>POR EMITIR</v>
      </c>
      <c r="M1483" s="55" t="str">
        <f>+IF(Tabla6[[#This Row],[ESTADO FACTURA]]="PAGADA",Tabla6[[#This Row],[FECHA]]-_xlfn.XLOOKUP(Tabla6[[#This Row],[N° FACTURA]],INGRESOS!F:F,INGRESOS!A:A),"-")</f>
        <v>-</v>
      </c>
      <c r="N1483" s="2"/>
      <c r="O1483"/>
    </row>
    <row r="1484" spans="1:15" ht="14.75" customHeight="1">
      <c r="A1484" s="320" t="s">
        <v>314</v>
      </c>
      <c r="B1484" t="str">
        <f>+_xlfn.XLOOKUP(Tabla6[[#This Row],[ID CLIENTE]],'RESUMEN CLIENTES'!D:D,'RESUMEN CLIENTES'!A:A)</f>
        <v>Miguel Angel Sisalima Shiña</v>
      </c>
      <c r="C1484" t="str">
        <f>+_xlfn.XLOOKUP(Tabla6[[#This Row],[ID CLIENTE]],'RESUMEN CLIENTES'!D:D,'RESUMEN CLIENTES'!C:C)</f>
        <v>Ecuador</v>
      </c>
      <c r="D1484" s="44" t="str">
        <f>+_xlfn.XLOOKUP(Tabla6[[#This Row],[ID CLIENTE]],'RESUMEN CLIENTES'!D:D,'RESUMEN CLIENTES'!M:M)</f>
        <v>OK</v>
      </c>
      <c r="E1484" s="72">
        <f>+_xlfn.XLOOKUP(Tabla6[[#This Row],[NOMBRE]],'RESUMEN CLIENTES'!A:A,'RESUMEN CLIENTES'!X:X)</f>
        <v>0.6</v>
      </c>
      <c r="F1484" s="72">
        <f>+_xlfn.XLOOKUP(Tabla6[[#This Row],[ID CLIENTE]],'RESUMEN CLIENTES'!D:D,'RESUMEN CLIENTES'!W:W)</f>
        <v>0</v>
      </c>
      <c r="G1484" s="17">
        <v>46203</v>
      </c>
      <c r="H1484" s="44" t="s">
        <v>81</v>
      </c>
      <c r="I1484" s="2">
        <v>1000</v>
      </c>
      <c r="J1484"/>
      <c r="K1484"/>
      <c r="L1484" s="44" t="str" cm="1">
        <f t="array" ref="L1484">+_xlfn.IFS(COUNTIF(INGRESOS!E:E,Tabla6[[#This Row],[ID FACTURA]])=1,"PAGADA",Tabla6[[#This Row],[ID FACTURA]]&lt;&gt;0,"EMITIDA",Tabla6[[#This Row],[ID FACTURA]]=0,"POR EMITIR")</f>
        <v>POR EMITIR</v>
      </c>
      <c r="M1484" s="55" t="str">
        <f>+IF(Tabla6[[#This Row],[ESTADO FACTURA]]="PAGADA",Tabla6[[#This Row],[FECHA]]-_xlfn.XLOOKUP(Tabla6[[#This Row],[N° FACTURA]],INGRESOS!F:F,INGRESOS!A:A),"-")</f>
        <v>-</v>
      </c>
      <c r="N1484" s="2"/>
      <c r="O1484"/>
    </row>
    <row r="1485" spans="1:15" ht="14.75" customHeight="1">
      <c r="A1485" s="320" t="s">
        <v>229</v>
      </c>
      <c r="B1485" t="str">
        <f>+_xlfn.XLOOKUP(Tabla6[[#This Row],[ID CLIENTE]],'RESUMEN CLIENTES'!D:D,'RESUMEN CLIENTES'!A:A)</f>
        <v>Nathaly Gabriela Henríquez Masín</v>
      </c>
      <c r="C1485" t="str">
        <f>+_xlfn.XLOOKUP(Tabla6[[#This Row],[ID CLIENTE]],'RESUMEN CLIENTES'!D:D,'RESUMEN CLIENTES'!C:C)</f>
        <v>El Salvador</v>
      </c>
      <c r="D1485" s="44" t="str">
        <f>+_xlfn.XLOOKUP(Tabla6[[#This Row],[ID CLIENTE]],'RESUMEN CLIENTES'!D:D,'RESUMEN CLIENTES'!M:M)</f>
        <v>OK</v>
      </c>
      <c r="E1485" s="72">
        <f>+_xlfn.XLOOKUP(Tabla6[[#This Row],[NOMBRE]],'RESUMEN CLIENTES'!A:A,'RESUMEN CLIENTES'!X:X)</f>
        <v>0.7</v>
      </c>
      <c r="F1485" s="72">
        <f>+_xlfn.XLOOKUP(Tabla6[[#This Row],[ID CLIENTE]],'RESUMEN CLIENTES'!D:D,'RESUMEN CLIENTES'!W:W)</f>
        <v>0</v>
      </c>
      <c r="G1485" s="17">
        <v>46203</v>
      </c>
      <c r="H1485" s="44" t="s">
        <v>81</v>
      </c>
      <c r="I1485" s="2">
        <v>8000</v>
      </c>
      <c r="J1485"/>
      <c r="K1485"/>
      <c r="L1485" s="44" t="str" cm="1">
        <f t="array" ref="L1485">+_xlfn.IFS(COUNTIF(INGRESOS!E:E,Tabla6[[#This Row],[ID FACTURA]])=1,"PAGADA",Tabla6[[#This Row],[ID FACTURA]]&lt;&gt;0,"EMITIDA",Tabla6[[#This Row],[ID FACTURA]]=0,"POR EMITIR")</f>
        <v>POR EMITIR</v>
      </c>
      <c r="M1485" s="55" t="str">
        <f>+IF(Tabla6[[#This Row],[ESTADO FACTURA]]="PAGADA",Tabla6[[#This Row],[FECHA]]-_xlfn.XLOOKUP(Tabla6[[#This Row],[N° FACTURA]],INGRESOS!F:F,INGRESOS!A:A),"-")</f>
        <v>-</v>
      </c>
      <c r="N1485" s="2"/>
      <c r="O1485"/>
    </row>
    <row r="1486" spans="1:15" ht="14.75" customHeight="1">
      <c r="A1486" s="320" t="s">
        <v>350</v>
      </c>
      <c r="B1486" t="str">
        <f>+_xlfn.XLOOKUP(Tabla6[[#This Row],[ID CLIENTE]],'RESUMEN CLIENTES'!D:D,'RESUMEN CLIENTES'!A:A)</f>
        <v>Rainier Guerrero</v>
      </c>
      <c r="C1486" t="str">
        <f>+_xlfn.XLOOKUP(Tabla6[[#This Row],[ID CLIENTE]],'RESUMEN CLIENTES'!D:D,'RESUMEN CLIENTES'!C:C)</f>
        <v>México</v>
      </c>
      <c r="D1486" s="44" t="str">
        <f>+_xlfn.XLOOKUP(Tabla6[[#This Row],[ID CLIENTE]],'RESUMEN CLIENTES'!D:D,'RESUMEN CLIENTES'!M:M)</f>
        <v>OK</v>
      </c>
      <c r="E1486" s="72">
        <f>+_xlfn.XLOOKUP(Tabla6[[#This Row],[NOMBRE]],'RESUMEN CLIENTES'!A:A,'RESUMEN CLIENTES'!X:X)</f>
        <v>-0.3</v>
      </c>
      <c r="F1486" s="72">
        <f>+_xlfn.XLOOKUP(Tabla6[[#This Row],[ID CLIENTE]],'RESUMEN CLIENTES'!D:D,'RESUMEN CLIENTES'!W:W)</f>
        <v>1</v>
      </c>
      <c r="G1486" s="17">
        <v>46203</v>
      </c>
      <c r="H1486" s="44" t="s">
        <v>81</v>
      </c>
      <c r="I1486" s="2">
        <v>1000</v>
      </c>
      <c r="J1486"/>
      <c r="K1486"/>
      <c r="L1486" s="44" t="str" cm="1">
        <f t="array" ref="L1486">+_xlfn.IFS(COUNTIF(INGRESOS!E:E,Tabla6[[#This Row],[ID FACTURA]])=1,"PAGADA",Tabla6[[#This Row],[ID FACTURA]]&lt;&gt;0,"EMITIDA",Tabla6[[#This Row],[ID FACTURA]]=0,"POR EMITIR")</f>
        <v>POR EMITIR</v>
      </c>
      <c r="M1486" s="55" t="str">
        <f>+IF(Tabla6[[#This Row],[ESTADO FACTURA]]="PAGADA",Tabla6[[#This Row],[FECHA]]-_xlfn.XLOOKUP(Tabla6[[#This Row],[N° FACTURA]],INGRESOS!F:F,INGRESOS!A:A),"-")</f>
        <v>-</v>
      </c>
      <c r="N1486" s="2"/>
      <c r="O1486"/>
    </row>
    <row r="1487" spans="1:15" ht="14.75" customHeight="1">
      <c r="A1487" s="320" t="s">
        <v>1245</v>
      </c>
      <c r="B1487" t="str">
        <f>+_xlfn.XLOOKUP(Tabla6[[#This Row],[ID CLIENTE]],'RESUMEN CLIENTES'!D:D,'RESUMEN CLIENTES'!A:A)</f>
        <v>Constanza Andrea Águila Vergara</v>
      </c>
      <c r="C1487" t="str">
        <f>+_xlfn.XLOOKUP(Tabla6[[#This Row],[ID CLIENTE]],'RESUMEN CLIENTES'!D:D,'RESUMEN CLIENTES'!C:C)</f>
        <v>Chile</v>
      </c>
      <c r="D1487" s="44" t="str">
        <f>+_xlfn.XLOOKUP(Tabla6[[#This Row],[ID CLIENTE]],'RESUMEN CLIENTES'!D:D,'RESUMEN CLIENTES'!M:M)</f>
        <v>OK</v>
      </c>
      <c r="E1487" s="71">
        <f>+_xlfn.XLOOKUP(Tabla6[[#This Row],[NOMBRE]],'RESUMEN CLIENTES'!A:A,'RESUMEN CLIENTES'!X:X)</f>
        <v>-0.2</v>
      </c>
      <c r="F1487" s="71">
        <f>+_xlfn.XLOOKUP(Tabla6[[#This Row],[ID CLIENTE]],'RESUMEN CLIENTES'!D:D,'RESUMEN CLIENTES'!W:W)</f>
        <v>1</v>
      </c>
      <c r="G1487" s="17">
        <v>46204</v>
      </c>
      <c r="H1487" s="44" t="s">
        <v>81</v>
      </c>
      <c r="I1487" s="2">
        <v>1000</v>
      </c>
      <c r="J1487"/>
      <c r="K1487"/>
      <c r="L1487" s="44" t="str" cm="1">
        <f t="array" ref="L1487">+_xlfn.IFS(COUNTIF(INGRESOS!E:E,Tabla6[[#This Row],[ID FACTURA]])=1,"PAGADA",Tabla6[[#This Row],[ID FACTURA]]&lt;&gt;0,"EMITIDA",Tabla6[[#This Row],[ID FACTURA]]=0,"POR EMITIR")</f>
        <v>POR EMITIR</v>
      </c>
      <c r="M1487" s="55" t="str">
        <f>+IF(Tabla6[[#This Row],[ESTADO FACTURA]]="PAGADA",Tabla6[[#This Row],[FECHA]]-_xlfn.XLOOKUP(Tabla6[[#This Row],[N° FACTURA]],INGRESOS!F:F,INGRESOS!A:A),"-")</f>
        <v>-</v>
      </c>
      <c r="N1487" s="2"/>
      <c r="O1487"/>
    </row>
    <row r="1488" spans="1:15" ht="14.75" customHeight="1">
      <c r="A1488" s="320" t="s">
        <v>1178</v>
      </c>
      <c r="B1488" t="str">
        <f>+_xlfn.XLOOKUP(Tabla6[[#This Row],[ID CLIENTE]],'RESUMEN CLIENTES'!D:D,'RESUMEN CLIENTES'!A:A)</f>
        <v>Daniel Flores</v>
      </c>
      <c r="C1488" t="str">
        <f>+_xlfn.XLOOKUP(Tabla6[[#This Row],[ID CLIENTE]],'RESUMEN CLIENTES'!D:D,'RESUMEN CLIENTES'!C:C)</f>
        <v>Ecuador</v>
      </c>
      <c r="D1488" s="44" t="str">
        <f>+_xlfn.XLOOKUP(Tabla6[[#This Row],[ID CLIENTE]],'RESUMEN CLIENTES'!D:D,'RESUMEN CLIENTES'!M:M)</f>
        <v>OK</v>
      </c>
      <c r="E1488" s="72">
        <f>+_xlfn.XLOOKUP(Tabla6[[#This Row],[NOMBRE]],'RESUMEN CLIENTES'!A:A,'RESUMEN CLIENTES'!X:X)</f>
        <v>3.8333333333333335</v>
      </c>
      <c r="F1488" s="72">
        <f>+_xlfn.XLOOKUP(Tabla6[[#This Row],[ID CLIENTE]],'RESUMEN CLIENTES'!D:D,'RESUMEN CLIENTES'!W:W)</f>
        <v>1</v>
      </c>
      <c r="G1488" s="17">
        <v>46204</v>
      </c>
      <c r="H1488" s="44" t="s">
        <v>81</v>
      </c>
      <c r="I1488" s="2">
        <v>850</v>
      </c>
      <c r="J1488"/>
      <c r="K1488"/>
      <c r="L1488" s="44" t="str" cm="1">
        <f t="array" ref="L1488">+_xlfn.IFS(COUNTIF(INGRESOS!E:E,Tabla6[[#This Row],[ID FACTURA]])=1,"PAGADA",Tabla6[[#This Row],[ID FACTURA]]&lt;&gt;0,"EMITIDA",Tabla6[[#This Row],[ID FACTURA]]=0,"POR EMITIR")</f>
        <v>POR EMITIR</v>
      </c>
      <c r="M1488" s="55" t="str">
        <f>+IF(Tabla6[[#This Row],[ESTADO FACTURA]]="PAGADA",Tabla6[[#This Row],[FECHA]]-_xlfn.XLOOKUP(Tabla6[[#This Row],[N° FACTURA]],INGRESOS!F:F,INGRESOS!A:A),"-")</f>
        <v>-</v>
      </c>
      <c r="N1488" s="2"/>
      <c r="O1488"/>
    </row>
    <row r="1489" spans="1:15" ht="14.75" customHeight="1">
      <c r="A1489" s="320" t="s">
        <v>1428</v>
      </c>
      <c r="B1489" t="str">
        <f>+_xlfn.XLOOKUP(Tabla6[[#This Row],[ID CLIENTE]],'RESUMEN CLIENTES'!D:D,'RESUMEN CLIENTES'!A:A)</f>
        <v>Javier Bravo Castelo</v>
      </c>
      <c r="C1489" t="str">
        <f>+_xlfn.XLOOKUP(Tabla6[[#This Row],[ID CLIENTE]],'RESUMEN CLIENTES'!D:D,'RESUMEN CLIENTES'!C:C)</f>
        <v>Colombia</v>
      </c>
      <c r="D1489" s="44" t="str">
        <f>+_xlfn.XLOOKUP(Tabla6[[#This Row],[ID CLIENTE]],'RESUMEN CLIENTES'!D:D,'RESUMEN CLIENTES'!M:M)</f>
        <v>OK</v>
      </c>
      <c r="E1489" s="71">
        <f>+_xlfn.XLOOKUP(Tabla6[[#This Row],[NOMBRE]],'RESUMEN CLIENTES'!A:A,'RESUMEN CLIENTES'!X:X)</f>
        <v>-0.33333333333333331</v>
      </c>
      <c r="F1489" s="71">
        <f>+_xlfn.XLOOKUP(Tabla6[[#This Row],[ID CLIENTE]],'RESUMEN CLIENTES'!D:D,'RESUMEN CLIENTES'!W:W)</f>
        <v>0</v>
      </c>
      <c r="G1489" s="17">
        <f>IF($H1489&lt;&gt;"ALEM","",IFERROR(
  DATE(
    YEAR(EDATE(
      _xlfn.XLOOKUP($A1489,'RESUMEN CLIENTES'!$D:$D,'RESUMEN CLIENTES'!$Y:$Y,""),
      7 + COUNTIFS(
            $A$2:INDEX($A:$A,ROW()), $A1489,
            $H$2:INDEX($H:$H,ROW()), "ALEM"
          )
    )),
    MONTH(EDATE(
      _xlfn.XLOOKUP($A1489,'RESUMEN CLIENTES'!$D:$D,'RESUMEN CLIENTES'!$Y:$Y,""),
      7 + COUNTIFS(
            $A$2:INDEX($A:$A,ROW()), $A1489,
            $H$2:INDEX($H:$H,ROW()), "ALEM"
          )
    )),
    1
  ),
"SIN FECHA MIG"))</f>
        <v>46204</v>
      </c>
      <c r="H1489" s="169" t="s">
        <v>1876</v>
      </c>
      <c r="I1489" s="2">
        <v>800</v>
      </c>
      <c r="J1489"/>
      <c r="K1489"/>
      <c r="L1489" s="44" t="str" cm="1">
        <f t="array" ref="L1489">+_xlfn.IFS(COUNTIF(INGRESOS!E:E,Tabla6[[#This Row],[ID FACTURA]])=1,"PAGADA",Tabla6[[#This Row],[ID FACTURA]]&lt;&gt;0,"EMITIDA",Tabla6[[#This Row],[ID FACTURA]]=0,"POR EMITIR")</f>
        <v>POR EMITIR</v>
      </c>
      <c r="M1489" s="55" t="str">
        <f>+IF(Tabla6[[#This Row],[ESTADO FACTURA]]="PAGADA",Tabla6[[#This Row],[FECHA]]-_xlfn.XLOOKUP(Tabla6[[#This Row],[N° FACTURA]],INGRESOS!F:F,INGRESOS!A:A),"-")</f>
        <v>-</v>
      </c>
      <c r="N1489" s="2"/>
      <c r="O1489" t="s">
        <v>2084</v>
      </c>
    </row>
    <row r="1490" spans="1:15" ht="14.75" customHeight="1">
      <c r="A1490" s="321" t="s">
        <v>1899</v>
      </c>
      <c r="B1490" t="str">
        <f>+_xlfn.XLOOKUP(Tabla6[[#This Row],[ID CLIENTE]],'RESUMEN CLIENTES'!D:D,'RESUMEN CLIENTES'!A:A)</f>
        <v>Johan Martínez</v>
      </c>
      <c r="C1490" t="str">
        <f>+_xlfn.XLOOKUP(Tabla6[[#This Row],[ID CLIENTE]],'RESUMEN CLIENTES'!D:D,'RESUMEN CLIENTES'!C:C)</f>
        <v>Colombia</v>
      </c>
      <c r="D1490" s="169" t="str">
        <f>+_xlfn.XLOOKUP(Tabla6[[#This Row],[ID CLIENTE]],'RESUMEN CLIENTES'!D:D,'RESUMEN CLIENTES'!M:M)</f>
        <v>OK</v>
      </c>
      <c r="E1490" s="71">
        <f>+_xlfn.XLOOKUP(Tabla6[[#This Row],[NOMBRE]],'RESUMEN CLIENTES'!A:A,'RESUMEN CLIENTES'!X:X)</f>
        <v>-0.66666666666666663</v>
      </c>
      <c r="F1490" s="71">
        <f>+_xlfn.XLOOKUP(Tabla6[[#This Row],[ID CLIENTE]],'RESUMEN CLIENTES'!D:D,'RESUMEN CLIENTES'!W:W)</f>
        <v>0</v>
      </c>
      <c r="G1490" s="17">
        <v>46204</v>
      </c>
      <c r="H1490" s="169" t="s">
        <v>81</v>
      </c>
      <c r="I1490" s="2">
        <v>1000</v>
      </c>
      <c r="J1490"/>
      <c r="K1490"/>
      <c r="L1490" s="44" t="str" cm="1">
        <f t="array" ref="L1490">+_xlfn.IFS(COUNTIF(INGRESOS!E:E,Tabla6[[#This Row],[ID FACTURA]])=1,"PAGADA",Tabla6[[#This Row],[ID FACTURA]]&lt;&gt;0,"EMITIDA",Tabla6[[#This Row],[ID FACTURA]]=0,"POR EMITIR")</f>
        <v>POR EMITIR</v>
      </c>
      <c r="M1490" s="54" t="str">
        <f>+IF(Tabla6[[#This Row],[ESTADO FACTURA]]="PAGADA",Tabla6[[#This Row],[FECHA]]-_xlfn.XLOOKUP(Tabla6[[#This Row],[N° FACTURA]],INGRESOS!F:F,INGRESOS!A:A),"-")</f>
        <v>-</v>
      </c>
      <c r="O1490"/>
    </row>
    <row r="1491" spans="1:15" ht="14.75" customHeight="1">
      <c r="A1491" s="320" t="s">
        <v>6035</v>
      </c>
      <c r="B1491" t="str">
        <f>+_xlfn.XLOOKUP(Tabla6[[#This Row],[ID CLIENTE]],'RESUMEN CLIENTES'!D:D,'RESUMEN CLIENTES'!A:A)</f>
        <v>Ari Sifuentes Becerra</v>
      </c>
      <c r="C1491" s="15" t="str">
        <f>+_xlfn.XLOOKUP(Tabla6[[#This Row],[ID CLIENTE]],'RESUMEN CLIENTES'!D:D,'RESUMEN CLIENTES'!C:C)</f>
        <v>México</v>
      </c>
      <c r="D1491" s="169" t="str">
        <f>+_xlfn.XLOOKUP(Tabla6[[#This Row],[ID CLIENTE]],'RESUMEN CLIENTES'!D:D,'RESUMEN CLIENTES'!M:M)</f>
        <v>OK</v>
      </c>
      <c r="E1491" s="71">
        <f>+_xlfn.XLOOKUP(Tabla6[[#This Row],[NOMBRE]],'RESUMEN CLIENTES'!A:A,'RESUMEN CLIENTES'!X:X)</f>
        <v>-1</v>
      </c>
      <c r="F1491" s="71">
        <f>+_xlfn.XLOOKUP(Tabla6[[#This Row],[ID CLIENTE]],'RESUMEN CLIENTES'!D:D,'RESUMEN CLIENTES'!W:W)</f>
        <v>0</v>
      </c>
      <c r="G1491" s="17">
        <v>46205</v>
      </c>
      <c r="H1491" s="169" t="s">
        <v>81</v>
      </c>
      <c r="I1491" s="2">
        <v>1000</v>
      </c>
      <c r="J1491"/>
      <c r="K1491"/>
      <c r="L1491" s="44" t="str" cm="1">
        <f t="array" ref="L1491">+_xlfn.IFS(COUNTIF(INGRESOS!E:E,Tabla6[[#This Row],[ID FACTURA]])=1,"PAGADA",Tabla6[[#This Row],[ID FACTURA]]&lt;&gt;0,"EMITIDA",Tabla6[[#This Row],[ID FACTURA]]=0,"POR EMITIR")</f>
        <v>POR EMITIR</v>
      </c>
      <c r="M1491" s="54" t="str">
        <f>+IF(Tabla6[[#This Row],[ESTADO FACTURA]]="PAGADA",Tabla6[[#This Row],[FECHA]]-_xlfn.XLOOKUP(Tabla6[[#This Row],[N° FACTURA]],INGRESOS!F:F,INGRESOS!A:A),"-")</f>
        <v>-</v>
      </c>
      <c r="O1491"/>
    </row>
    <row r="1492" spans="1:15" ht="14.75" customHeight="1">
      <c r="A1492" s="320" t="s">
        <v>695</v>
      </c>
      <c r="B1492" t="str">
        <f>+_xlfn.XLOOKUP(Tabla6[[#This Row],[ID CLIENTE]],'RESUMEN CLIENTES'!D:D,'RESUMEN CLIENTES'!A:A)</f>
        <v>Olguer Ariel Pruna Herrera</v>
      </c>
      <c r="C1492" t="str">
        <f>+_xlfn.XLOOKUP(Tabla6[[#This Row],[ID CLIENTE]],'RESUMEN CLIENTES'!D:D,'RESUMEN CLIENTES'!C:C)</f>
        <v>Ecuador</v>
      </c>
      <c r="D1492" s="44" t="str">
        <f>+_xlfn.XLOOKUP(Tabla6[[#This Row],[ID CLIENTE]],'RESUMEN CLIENTES'!D:D,'RESUMEN CLIENTES'!M:M)</f>
        <v>OK</v>
      </c>
      <c r="E1492" s="72">
        <f>+_xlfn.XLOOKUP(Tabla6[[#This Row],[NOMBRE]],'RESUMEN CLIENTES'!A:A,'RESUMEN CLIENTES'!X:X)</f>
        <v>0.25</v>
      </c>
      <c r="F1492" s="72">
        <f>+_xlfn.XLOOKUP(Tabla6[[#This Row],[ID CLIENTE]],'RESUMEN CLIENTES'!D:D,'RESUMEN CLIENTES'!W:W)</f>
        <v>1</v>
      </c>
      <c r="G1492" s="17">
        <v>46205</v>
      </c>
      <c r="H1492" s="44" t="s">
        <v>81</v>
      </c>
      <c r="I1492" s="2">
        <v>1000</v>
      </c>
      <c r="J1492"/>
      <c r="K1492"/>
      <c r="L1492" s="44" t="str" cm="1">
        <f t="array" ref="L1492">+_xlfn.IFS(COUNTIF(INGRESOS!E:E,Tabla6[[#This Row],[ID FACTURA]])=1,"PAGADA",Tabla6[[#This Row],[ID FACTURA]]&lt;&gt;0,"EMITIDA",Tabla6[[#This Row],[ID FACTURA]]=0,"POR EMITIR")</f>
        <v>POR EMITIR</v>
      </c>
      <c r="M1492" s="55" t="str">
        <f>+IF(Tabla6[[#This Row],[ESTADO FACTURA]]="PAGADA",Tabla6[[#This Row],[FECHA]]-_xlfn.XLOOKUP(Tabla6[[#This Row],[N° FACTURA]],INGRESOS!F:F,INGRESOS!A:A),"-")</f>
        <v>-</v>
      </c>
      <c r="N1492" s="2"/>
      <c r="O1492"/>
    </row>
    <row r="1493" spans="1:15" ht="14.75" customHeight="1">
      <c r="A1493" s="320" t="s">
        <v>221</v>
      </c>
      <c r="B1493" t="str">
        <f>+_xlfn.XLOOKUP(Tabla6[[#This Row],[ID CLIENTE]],'RESUMEN CLIENTES'!D:D,'RESUMEN CLIENTES'!A:A)</f>
        <v>Angel Martin Alarcon Macias</v>
      </c>
      <c r="C1493" t="str">
        <f>+_xlfn.XLOOKUP(Tabla6[[#This Row],[ID CLIENTE]],'RESUMEN CLIENTES'!D:D,'RESUMEN CLIENTES'!C:C)</f>
        <v>Ecuador</v>
      </c>
      <c r="D1493" s="44" t="str">
        <f>+_xlfn.XLOOKUP(Tabla6[[#This Row],[ID CLIENTE]],'RESUMEN CLIENTES'!D:D,'RESUMEN CLIENTES'!M:M)</f>
        <v>¡REGULARIZAR!</v>
      </c>
      <c r="E1493" s="72">
        <f>+_xlfn.XLOOKUP(Tabla6[[#This Row],[NOMBRE]],'RESUMEN CLIENTES'!A:A,'RESUMEN CLIENTES'!X:X)</f>
        <v>-0.5</v>
      </c>
      <c r="F1493" s="72">
        <f>+_xlfn.XLOOKUP(Tabla6[[#This Row],[ID CLIENTE]],'RESUMEN CLIENTES'!D:D,'RESUMEN CLIENTES'!W:W)</f>
        <v>0</v>
      </c>
      <c r="G1493" s="17">
        <v>46206</v>
      </c>
      <c r="H1493" s="44" t="s">
        <v>81</v>
      </c>
      <c r="I1493" s="2">
        <v>625</v>
      </c>
      <c r="J1493"/>
      <c r="K1493"/>
      <c r="L1493" s="44" t="str" cm="1">
        <f t="array" ref="L1493">+_xlfn.IFS(COUNTIF(INGRESOS!E:E,Tabla6[[#This Row],[ID FACTURA]])=1,"PAGADA",Tabla6[[#This Row],[ID FACTURA]]&lt;&gt;0,"EMITIDA",Tabla6[[#This Row],[ID FACTURA]]=0,"POR EMITIR")</f>
        <v>POR EMITIR</v>
      </c>
      <c r="M1493" s="55" t="str">
        <f>+IF(Tabla6[[#This Row],[ESTADO FACTURA]]="PAGADA",Tabla6[[#This Row],[FECHA]]-_xlfn.XLOOKUP(Tabla6[[#This Row],[N° FACTURA]],INGRESOS!F:F,INGRESOS!A:A),"-")</f>
        <v>-</v>
      </c>
      <c r="N1493" s="2"/>
      <c r="O1493"/>
    </row>
    <row r="1494" spans="1:15" ht="14.75" customHeight="1">
      <c r="A1494" s="320" t="s">
        <v>1248</v>
      </c>
      <c r="B1494" t="str">
        <f>+_xlfn.XLOOKUP(Tabla6[[#This Row],[ID CLIENTE]],'RESUMEN CLIENTES'!D:D,'RESUMEN CLIENTES'!A:A)</f>
        <v>Emily Vanessa Tapia Villalobos</v>
      </c>
      <c r="C1494" t="str">
        <f>+_xlfn.XLOOKUP(Tabla6[[#This Row],[ID CLIENTE]],'RESUMEN CLIENTES'!D:D,'RESUMEN CLIENTES'!C:C)</f>
        <v>Chile</v>
      </c>
      <c r="D1494" s="44" t="str">
        <f>+_xlfn.XLOOKUP(Tabla6[[#This Row],[ID CLIENTE]],'RESUMEN CLIENTES'!D:D,'RESUMEN CLIENTES'!M:M)</f>
        <v>OK</v>
      </c>
      <c r="E1494" s="71">
        <f>+_xlfn.XLOOKUP(Tabla6[[#This Row],[NOMBRE]],'RESUMEN CLIENTES'!A:A,'RESUMEN CLIENTES'!X:X)</f>
        <v>0.33333333333333331</v>
      </c>
      <c r="F1494" s="71">
        <f>+_xlfn.XLOOKUP(Tabla6[[#This Row],[ID CLIENTE]],'RESUMEN CLIENTES'!D:D,'RESUMEN CLIENTES'!W:W)</f>
        <v>0</v>
      </c>
      <c r="G1494" s="17">
        <v>46206</v>
      </c>
      <c r="H1494" s="44" t="s">
        <v>81</v>
      </c>
      <c r="I1494" s="2">
        <v>1000</v>
      </c>
      <c r="J1494"/>
      <c r="K1494"/>
      <c r="L1494" s="44" t="str" cm="1">
        <f t="array" ref="L1494">+_xlfn.IFS(COUNTIF(INGRESOS!E:E,Tabla6[[#This Row],[ID FACTURA]])=1,"PAGADA",Tabla6[[#This Row],[ID FACTURA]]&lt;&gt;0,"EMITIDA",Tabla6[[#This Row],[ID FACTURA]]=0,"POR EMITIR")</f>
        <v>POR EMITIR</v>
      </c>
      <c r="M1494" s="55" t="str">
        <f>+IF(Tabla6[[#This Row],[ESTADO FACTURA]]="PAGADA",Tabla6[[#This Row],[FECHA]]-_xlfn.XLOOKUP(Tabla6[[#This Row],[N° FACTURA]],INGRESOS!F:F,INGRESOS!A:A),"-")</f>
        <v>-</v>
      </c>
      <c r="N1494" s="2"/>
      <c r="O1494"/>
    </row>
    <row r="1495" spans="1:15" ht="14.75" customHeight="1">
      <c r="A1495" s="320" t="s">
        <v>1251</v>
      </c>
      <c r="B1495" t="str">
        <f>+_xlfn.XLOOKUP(Tabla6[[#This Row],[ID CLIENTE]],'RESUMEN CLIENTES'!D:D,'RESUMEN CLIENTES'!A:A)</f>
        <v>Erick Ernesto Angulo Campos</v>
      </c>
      <c r="C1495" t="str">
        <f>+_xlfn.XLOOKUP(Tabla6[[#This Row],[ID CLIENTE]],'RESUMEN CLIENTES'!D:D,'RESUMEN CLIENTES'!C:C)</f>
        <v>Chile</v>
      </c>
      <c r="D1495" s="44" t="str">
        <f>+_xlfn.XLOOKUP(Tabla6[[#This Row],[ID CLIENTE]],'RESUMEN CLIENTES'!D:D,'RESUMEN CLIENTES'!M:M)</f>
        <v>OK</v>
      </c>
      <c r="E1495" s="71">
        <f>+_xlfn.XLOOKUP(Tabla6[[#This Row],[NOMBRE]],'RESUMEN CLIENTES'!A:A,'RESUMEN CLIENTES'!X:X)</f>
        <v>-0.66666666666666663</v>
      </c>
      <c r="F1495" s="71">
        <f>+_xlfn.XLOOKUP(Tabla6[[#This Row],[ID CLIENTE]],'RESUMEN CLIENTES'!D:D,'RESUMEN CLIENTES'!W:W)</f>
        <v>0</v>
      </c>
      <c r="G1495" s="17">
        <v>46206</v>
      </c>
      <c r="H1495" s="44" t="s">
        <v>81</v>
      </c>
      <c r="I1495" s="2">
        <v>1000</v>
      </c>
      <c r="J1495"/>
      <c r="K1495"/>
      <c r="L1495" s="44" t="str" cm="1">
        <f t="array" ref="L1495">+_xlfn.IFS(COUNTIF(INGRESOS!E:E,Tabla6[[#This Row],[ID FACTURA]])=1,"PAGADA",Tabla6[[#This Row],[ID FACTURA]]&lt;&gt;0,"EMITIDA",Tabla6[[#This Row],[ID FACTURA]]=0,"POR EMITIR")</f>
        <v>POR EMITIR</v>
      </c>
      <c r="M1495" s="55" t="str">
        <f>+IF(Tabla6[[#This Row],[ESTADO FACTURA]]="PAGADA",Tabla6[[#This Row],[FECHA]]-_xlfn.XLOOKUP(Tabla6[[#This Row],[N° FACTURA]],INGRESOS!F:F,INGRESOS!A:A),"-")</f>
        <v>-</v>
      </c>
      <c r="N1495" s="2"/>
      <c r="O1495"/>
    </row>
    <row r="1496" spans="1:15" ht="14.75" customHeight="1">
      <c r="A1496" s="320" t="s">
        <v>5987</v>
      </c>
      <c r="B1496" t="str">
        <f>+_xlfn.XLOOKUP(Tabla6[[#This Row],[ID CLIENTE]],'RESUMEN CLIENTES'!D:D,'RESUMEN CLIENTES'!A:A)</f>
        <v>Jessenia Mishell Mosquera Olivo</v>
      </c>
      <c r="C1496" s="15" t="str">
        <f>+_xlfn.XLOOKUP(Tabla6[[#This Row],[ID CLIENTE]],'RESUMEN CLIENTES'!D:D,'RESUMEN CLIENTES'!C:C)</f>
        <v>Ecuador</v>
      </c>
      <c r="D1496" s="169" t="str">
        <f>+_xlfn.XLOOKUP(Tabla6[[#This Row],[ID CLIENTE]],'RESUMEN CLIENTES'!D:D,'RESUMEN CLIENTES'!M:M)</f>
        <v>OK</v>
      </c>
      <c r="E1496" s="71">
        <f>+_xlfn.XLOOKUP(Tabla6[[#This Row],[NOMBRE]],'RESUMEN CLIENTES'!A:A,'RESUMEN CLIENTES'!X:X)</f>
        <v>0</v>
      </c>
      <c r="F1496" s="71">
        <f>+_xlfn.XLOOKUP(Tabla6[[#This Row],[ID CLIENTE]],'RESUMEN CLIENTES'!D:D,'RESUMEN CLIENTES'!W:W)</f>
        <v>0</v>
      </c>
      <c r="G1496" s="17">
        <v>46206</v>
      </c>
      <c r="H1496" s="169" t="s">
        <v>1876</v>
      </c>
      <c r="I1496" s="2">
        <v>1000</v>
      </c>
      <c r="J1496"/>
      <c r="K1496"/>
      <c r="L1496" s="44" t="str" cm="1">
        <f t="array" ref="L1496">+_xlfn.IFS(COUNTIF(INGRESOS!E:E,Tabla6[[#This Row],[ID FACTURA]])=1,"PAGADA",Tabla6[[#This Row],[ID FACTURA]]&lt;&gt;0,"EMITIDA",Tabla6[[#This Row],[ID FACTURA]]=0,"POR EMITIR")</f>
        <v>POR EMITIR</v>
      </c>
      <c r="M1496" s="54" t="str">
        <f>+IF(Tabla6[[#This Row],[ESTADO FACTURA]]="PAGADA",Tabla6[[#This Row],[FECHA]]-_xlfn.XLOOKUP(Tabla6[[#This Row],[N° FACTURA]],INGRESOS!F:F,INGRESOS!A:A),"-")</f>
        <v>-</v>
      </c>
      <c r="O1496"/>
    </row>
    <row r="1497" spans="1:15" ht="14.75" customHeight="1">
      <c r="A1497" s="320" t="s">
        <v>258</v>
      </c>
      <c r="B1497" t="str">
        <f>+_xlfn.XLOOKUP(Tabla6[[#This Row],[ID CLIENTE]],'RESUMEN CLIENTES'!D:D,'RESUMEN CLIENTES'!A:A)</f>
        <v>Maria Laura Rios Pino</v>
      </c>
      <c r="C1497" t="str">
        <f>+_xlfn.XLOOKUP(Tabla6[[#This Row],[ID CLIENTE]],'RESUMEN CLIENTES'!D:D,'RESUMEN CLIENTES'!C:C)</f>
        <v>Perú</v>
      </c>
      <c r="D1497" s="44" t="str">
        <f>+_xlfn.XLOOKUP(Tabla6[[#This Row],[ID CLIENTE]],'RESUMEN CLIENTES'!D:D,'RESUMEN CLIENTES'!M:M)</f>
        <v>OK</v>
      </c>
      <c r="E1497" s="72">
        <f>+_xlfn.XLOOKUP(Tabla6[[#This Row],[NOMBRE]],'RESUMEN CLIENTES'!A:A,'RESUMEN CLIENTES'!X:X)</f>
        <v>1.4545454545454546</v>
      </c>
      <c r="F1497" s="72">
        <f>+_xlfn.XLOOKUP(Tabla6[[#This Row],[ID CLIENTE]],'RESUMEN CLIENTES'!D:D,'RESUMEN CLIENTES'!W:W)</f>
        <v>0</v>
      </c>
      <c r="G1497" s="17">
        <v>46206</v>
      </c>
      <c r="H1497" s="44" t="s">
        <v>81</v>
      </c>
      <c r="I1497" s="19">
        <v>750</v>
      </c>
      <c r="J1497"/>
      <c r="K1497"/>
      <c r="L1497" s="44" t="str" cm="1">
        <f t="array" ref="L1497">+_xlfn.IFS(COUNTIF(INGRESOS!E:E,Tabla6[[#This Row],[ID FACTURA]])=1,"PAGADA",Tabla6[[#This Row],[ID FACTURA]]&lt;&gt;0,"EMITIDA",Tabla6[[#This Row],[ID FACTURA]]=0,"POR EMITIR")</f>
        <v>POR EMITIR</v>
      </c>
      <c r="M1497" s="55" t="str">
        <f>+IF(Tabla6[[#This Row],[ESTADO FACTURA]]="PAGADA",Tabla6[[#This Row],[FECHA]]-_xlfn.XLOOKUP(Tabla6[[#This Row],[N° FACTURA]],INGRESOS!F:F,INGRESOS!A:A),"-")</f>
        <v>-</v>
      </c>
      <c r="N1497" s="19"/>
      <c r="O1497"/>
    </row>
    <row r="1498" spans="1:15" ht="14.75" customHeight="1">
      <c r="A1498" s="320" t="s">
        <v>912</v>
      </c>
      <c r="B1498" t="str">
        <f>+_xlfn.XLOOKUP(Tabla6[[#This Row],[ID CLIENTE]],'RESUMEN CLIENTES'!D:D,'RESUMEN CLIENTES'!A:A)</f>
        <v>Vanessa Villarreal Villareal</v>
      </c>
      <c r="C1498" t="str">
        <f>+_xlfn.XLOOKUP(Tabla6[[#This Row],[ID CLIENTE]],'RESUMEN CLIENTES'!D:D,'RESUMEN CLIENTES'!C:C)</f>
        <v>Ecuador</v>
      </c>
      <c r="D1498" s="44" t="str">
        <f>+_xlfn.XLOOKUP(Tabla6[[#This Row],[ID CLIENTE]],'RESUMEN CLIENTES'!D:D,'RESUMEN CLIENTES'!M:M)</f>
        <v>OK</v>
      </c>
      <c r="E1498" s="72">
        <f>+_xlfn.XLOOKUP(Tabla6[[#This Row],[NOMBRE]],'RESUMEN CLIENTES'!A:A,'RESUMEN CLIENTES'!X:X)</f>
        <v>-9.1428571428571423</v>
      </c>
      <c r="F1498" s="72">
        <f>+_xlfn.XLOOKUP(Tabla6[[#This Row],[ID CLIENTE]],'RESUMEN CLIENTES'!D:D,'RESUMEN CLIENTES'!W:W)</f>
        <v>1</v>
      </c>
      <c r="G1498" s="17">
        <v>46206</v>
      </c>
      <c r="H1498" s="44" t="s">
        <v>81</v>
      </c>
      <c r="I1498" s="2">
        <v>1000</v>
      </c>
      <c r="J1498"/>
      <c r="K1498"/>
      <c r="L1498" s="44" t="str" cm="1">
        <f t="array" ref="L1498">+_xlfn.IFS(COUNTIF(INGRESOS!E:E,Tabla6[[#This Row],[ID FACTURA]])=1,"PAGADA",Tabla6[[#This Row],[ID FACTURA]]&lt;&gt;0,"EMITIDA",Tabla6[[#This Row],[ID FACTURA]]=0,"POR EMITIR")</f>
        <v>POR EMITIR</v>
      </c>
      <c r="M1498" s="55" t="str">
        <f>+IF(Tabla6[[#This Row],[ESTADO FACTURA]]="PAGADA",Tabla6[[#This Row],[FECHA]]-_xlfn.XLOOKUP(Tabla6[[#This Row],[N° FACTURA]],INGRESOS!F:F,INGRESOS!A:A),"-")</f>
        <v>-</v>
      </c>
      <c r="N1498" s="2"/>
      <c r="O1498"/>
    </row>
    <row r="1499" spans="1:15" ht="14.75" customHeight="1">
      <c r="A1499" s="320" t="s">
        <v>407</v>
      </c>
      <c r="B1499" t="str">
        <f>+_xlfn.XLOOKUP(Tabla6[[#This Row],[ID CLIENTE]],'RESUMEN CLIENTES'!D:D,'RESUMEN CLIENTES'!A:A)</f>
        <v>Mayra Leonor Rivera Paico</v>
      </c>
      <c r="C1499" t="str">
        <f>+_xlfn.XLOOKUP(Tabla6[[#This Row],[ID CLIENTE]],'RESUMEN CLIENTES'!D:D,'RESUMEN CLIENTES'!C:C)</f>
        <v>Perú</v>
      </c>
      <c r="D1499" s="44" t="str">
        <f>+_xlfn.XLOOKUP(Tabla6[[#This Row],[ID CLIENTE]],'RESUMEN CLIENTES'!D:D,'RESUMEN CLIENTES'!M:M)</f>
        <v>OK</v>
      </c>
      <c r="E1499" s="72">
        <f>+_xlfn.XLOOKUP(Tabla6[[#This Row],[NOMBRE]],'RESUMEN CLIENTES'!A:A,'RESUMEN CLIENTES'!X:X)</f>
        <v>-0.22222222222222221</v>
      </c>
      <c r="F1499" s="72">
        <f>+_xlfn.XLOOKUP(Tabla6[[#This Row],[ID CLIENTE]],'RESUMEN CLIENTES'!D:D,'RESUMEN CLIENTES'!W:W)</f>
        <v>0</v>
      </c>
      <c r="G1499" s="17">
        <v>46207</v>
      </c>
      <c r="H1499" s="44" t="s">
        <v>81</v>
      </c>
      <c r="I1499" s="2">
        <v>1000</v>
      </c>
      <c r="J1499"/>
      <c r="K1499"/>
      <c r="L1499" s="44" t="str" cm="1">
        <f t="array" ref="L1499">+_xlfn.IFS(COUNTIF(INGRESOS!E:E,Tabla6[[#This Row],[ID FACTURA]])=1,"PAGADA",Tabla6[[#This Row],[ID FACTURA]]&lt;&gt;0,"EMITIDA",Tabla6[[#This Row],[ID FACTURA]]=0,"POR EMITIR")</f>
        <v>POR EMITIR</v>
      </c>
      <c r="M1499" s="55" t="str">
        <f>+IF(Tabla6[[#This Row],[ESTADO FACTURA]]="PAGADA",Tabla6[[#This Row],[FECHA]]-_xlfn.XLOOKUP(Tabla6[[#This Row],[N° FACTURA]],INGRESOS!F:F,INGRESOS!A:A),"-")</f>
        <v>-</v>
      </c>
      <c r="N1499" s="2"/>
      <c r="O1499"/>
    </row>
    <row r="1500" spans="1:15" ht="14.75" customHeight="1">
      <c r="A1500" s="320" t="s">
        <v>165</v>
      </c>
      <c r="B1500" t="str">
        <f>+_xlfn.XLOOKUP(Tabla6[[#This Row],[ID CLIENTE]],'RESUMEN CLIENTES'!D:D,'RESUMEN CLIENTES'!A:A)</f>
        <v>Alejandra Leva Vallejo</v>
      </c>
      <c r="C1500" t="str">
        <f>+_xlfn.XLOOKUP(Tabla6[[#This Row],[ID CLIENTE]],'RESUMEN CLIENTES'!D:D,'RESUMEN CLIENTES'!C:C)</f>
        <v>México</v>
      </c>
      <c r="D1500" s="44" t="str">
        <f>+_xlfn.XLOOKUP(Tabla6[[#This Row],[ID CLIENTE]],'RESUMEN CLIENTES'!D:D,'RESUMEN CLIENTES'!M:M)</f>
        <v>OK</v>
      </c>
      <c r="E1500" s="72">
        <f>+_xlfn.XLOOKUP(Tabla6[[#This Row],[NOMBRE]],'RESUMEN CLIENTES'!A:A,'RESUMEN CLIENTES'!X:X)</f>
        <v>0</v>
      </c>
      <c r="F1500" s="72">
        <f>+_xlfn.XLOOKUP(Tabla6[[#This Row],[ID CLIENTE]],'RESUMEN CLIENTES'!D:D,'RESUMEN CLIENTES'!W:W)</f>
        <v>1</v>
      </c>
      <c r="G1500" s="17">
        <v>46208</v>
      </c>
      <c r="H1500" s="44" t="s">
        <v>81</v>
      </c>
      <c r="I1500" s="2">
        <v>1000</v>
      </c>
      <c r="J1500"/>
      <c r="K1500"/>
      <c r="L1500" s="44" t="str" cm="1">
        <f t="array" ref="L1500">+_xlfn.IFS(COUNTIF(INGRESOS!E:E,Tabla6[[#This Row],[ID FACTURA]])=1,"PAGADA",Tabla6[[#This Row],[ID FACTURA]]&lt;&gt;0,"EMITIDA",Tabla6[[#This Row],[ID FACTURA]]=0,"POR EMITIR")</f>
        <v>POR EMITIR</v>
      </c>
      <c r="M1500" s="55" t="str">
        <f>+IF(Tabla6[[#This Row],[ESTADO FACTURA]]="PAGADA",Tabla6[[#This Row],[FECHA]]-_xlfn.XLOOKUP(Tabla6[[#This Row],[N° FACTURA]],INGRESOS!F:F,INGRESOS!A:A),"-")</f>
        <v>-</v>
      </c>
      <c r="N1500" s="2"/>
      <c r="O1500"/>
    </row>
    <row r="1501" spans="1:15" ht="14.75" customHeight="1">
      <c r="A1501" s="320" t="s">
        <v>2011</v>
      </c>
      <c r="B1501" t="str">
        <f>+_xlfn.XLOOKUP(Tabla6[[#This Row],[ID CLIENTE]],'RESUMEN CLIENTES'!D:D,'RESUMEN CLIENTES'!A:A)</f>
        <v>Bárbara Fuentes</v>
      </c>
      <c r="C1501" t="str">
        <f>+_xlfn.XLOOKUP(Tabla6[[#This Row],[ID CLIENTE]],'RESUMEN CLIENTES'!D:D,'RESUMEN CLIENTES'!C:C)</f>
        <v>Chile</v>
      </c>
      <c r="D1501" s="169" t="str">
        <f>+_xlfn.XLOOKUP(Tabla6[[#This Row],[ID CLIENTE]],'RESUMEN CLIENTES'!D:D,'RESUMEN CLIENTES'!M:M)</f>
        <v>OK</v>
      </c>
      <c r="E1501" s="71">
        <f>+_xlfn.XLOOKUP(Tabla6[[#This Row],[NOMBRE]],'RESUMEN CLIENTES'!A:A,'RESUMEN CLIENTES'!X:X)</f>
        <v>-0.33333333333333331</v>
      </c>
      <c r="F1501" s="71">
        <f>+_xlfn.XLOOKUP(Tabla6[[#This Row],[ID CLIENTE]],'RESUMEN CLIENTES'!D:D,'RESUMEN CLIENTES'!W:W)</f>
        <v>0</v>
      </c>
      <c r="G1501" s="17">
        <v>46208</v>
      </c>
      <c r="H1501" s="169" t="s">
        <v>81</v>
      </c>
      <c r="I1501" s="2">
        <v>1000</v>
      </c>
      <c r="J1501"/>
      <c r="K1501"/>
      <c r="L1501" s="44" t="str" cm="1">
        <f t="array" ref="L1501">+_xlfn.IFS(COUNTIF(INGRESOS!E:E,Tabla6[[#This Row],[ID FACTURA]])=1,"PAGADA",Tabla6[[#This Row],[ID FACTURA]]&lt;&gt;0,"EMITIDA",Tabla6[[#This Row],[ID FACTURA]]=0,"POR EMITIR")</f>
        <v>POR EMITIR</v>
      </c>
      <c r="M1501" s="54" t="str">
        <f>+IF(Tabla6[[#This Row],[ESTADO FACTURA]]="PAGADA",Tabla6[[#This Row],[FECHA]]-_xlfn.XLOOKUP(Tabla6[[#This Row],[N° FACTURA]],INGRESOS!F:F,INGRESOS!A:A),"-")</f>
        <v>-</v>
      </c>
      <c r="O1501"/>
    </row>
    <row r="1502" spans="1:15" ht="14.75" customHeight="1">
      <c r="A1502" s="320" t="s">
        <v>203</v>
      </c>
      <c r="B1502" t="str">
        <f>+_xlfn.XLOOKUP(Tabla6[[#This Row],[ID CLIENTE]],'RESUMEN CLIENTES'!D:D,'RESUMEN CLIENTES'!A:A)</f>
        <v>Bernardita Lobo Zegers</v>
      </c>
      <c r="C1502" t="str">
        <f>+_xlfn.XLOOKUP(Tabla6[[#This Row],[ID CLIENTE]],'RESUMEN CLIENTES'!D:D,'RESUMEN CLIENTES'!C:C)</f>
        <v>México</v>
      </c>
      <c r="D1502" s="44" t="str">
        <f>+_xlfn.XLOOKUP(Tabla6[[#This Row],[ID CLIENTE]],'RESUMEN CLIENTES'!D:D,'RESUMEN CLIENTES'!M:M)</f>
        <v>OK</v>
      </c>
      <c r="E1502" s="72">
        <f>+_xlfn.XLOOKUP(Tabla6[[#This Row],[NOMBRE]],'RESUMEN CLIENTES'!A:A,'RESUMEN CLIENTES'!X:X)</f>
        <v>-0.8</v>
      </c>
      <c r="F1502" s="72">
        <f>+_xlfn.XLOOKUP(Tabla6[[#This Row],[ID CLIENTE]],'RESUMEN CLIENTES'!D:D,'RESUMEN CLIENTES'!W:W)</f>
        <v>1</v>
      </c>
      <c r="G1502" s="17">
        <v>46208</v>
      </c>
      <c r="H1502" s="44" t="s">
        <v>81</v>
      </c>
      <c r="I1502" s="2">
        <v>800</v>
      </c>
      <c r="J1502"/>
      <c r="K1502"/>
      <c r="L1502" s="44" t="str" cm="1">
        <f t="array" ref="L1502">+_xlfn.IFS(COUNTIF(INGRESOS!E:E,Tabla6[[#This Row],[ID FACTURA]])=1,"PAGADA",Tabla6[[#This Row],[ID FACTURA]]&lt;&gt;0,"EMITIDA",Tabla6[[#This Row],[ID FACTURA]]=0,"POR EMITIR")</f>
        <v>POR EMITIR</v>
      </c>
      <c r="M1502" s="55" t="str">
        <f>+IF(Tabla6[[#This Row],[ESTADO FACTURA]]="PAGADA",Tabla6[[#This Row],[FECHA]]-_xlfn.XLOOKUP(Tabla6[[#This Row],[N° FACTURA]],INGRESOS!F:F,INGRESOS!A:A),"-")</f>
        <v>-</v>
      </c>
      <c r="N1502" s="2"/>
      <c r="O1502"/>
    </row>
    <row r="1503" spans="1:15" ht="14.75" customHeight="1">
      <c r="A1503" s="320" t="s">
        <v>1206</v>
      </c>
      <c r="B1503" t="str">
        <f>+_xlfn.XLOOKUP(Tabla6[[#This Row],[ID CLIENTE]],'RESUMEN CLIENTES'!D:D,'RESUMEN CLIENTES'!A:A)</f>
        <v>Bryan Israel Jiménez Puente</v>
      </c>
      <c r="C1503" t="str">
        <f>+_xlfn.XLOOKUP(Tabla6[[#This Row],[ID CLIENTE]],'RESUMEN CLIENTES'!D:D,'RESUMEN CLIENTES'!C:C)</f>
        <v>Ecuador</v>
      </c>
      <c r="D1503" s="44" t="str">
        <f>+_xlfn.XLOOKUP(Tabla6[[#This Row],[ID CLIENTE]],'RESUMEN CLIENTES'!D:D,'RESUMEN CLIENTES'!M:M)</f>
        <v>OK</v>
      </c>
      <c r="E1503" s="72">
        <f>+_xlfn.XLOOKUP(Tabla6[[#This Row],[NOMBRE]],'RESUMEN CLIENTES'!A:A,'RESUMEN CLIENTES'!X:X)</f>
        <v>1</v>
      </c>
      <c r="F1503" s="72">
        <f>+_xlfn.XLOOKUP(Tabla6[[#This Row],[ID CLIENTE]],'RESUMEN CLIENTES'!D:D,'RESUMEN CLIENTES'!W:W)</f>
        <v>0</v>
      </c>
      <c r="G1503" s="17">
        <v>46208</v>
      </c>
      <c r="H1503" s="44" t="s">
        <v>81</v>
      </c>
      <c r="I1503" s="2">
        <v>1000</v>
      </c>
      <c r="J1503"/>
      <c r="K1503"/>
      <c r="L1503" s="44" t="str" cm="1">
        <f t="array" ref="L1503">+_xlfn.IFS(COUNTIF(INGRESOS!E:E,Tabla6[[#This Row],[ID FACTURA]])=1,"PAGADA",Tabla6[[#This Row],[ID FACTURA]]&lt;&gt;0,"EMITIDA",Tabla6[[#This Row],[ID FACTURA]]=0,"POR EMITIR")</f>
        <v>POR EMITIR</v>
      </c>
      <c r="M1503" s="55" t="str">
        <f>+IF(Tabla6[[#This Row],[ESTADO FACTURA]]="PAGADA",Tabla6[[#This Row],[FECHA]]-_xlfn.XLOOKUP(Tabla6[[#This Row],[N° FACTURA]],INGRESOS!F:F,INGRESOS!A:A),"-")</f>
        <v>-</v>
      </c>
      <c r="N1503" s="2"/>
      <c r="O1503"/>
    </row>
    <row r="1504" spans="1:15" ht="14.75" customHeight="1">
      <c r="A1504" s="320" t="s">
        <v>168</v>
      </c>
      <c r="B1504" t="str">
        <f>+_xlfn.XLOOKUP(Tabla6[[#This Row],[ID CLIENTE]],'RESUMEN CLIENTES'!D:D,'RESUMEN CLIENTES'!A:A)</f>
        <v xml:space="preserve">Catalina Ochoa Urrutia
</v>
      </c>
      <c r="C1504" t="str">
        <f>+_xlfn.XLOOKUP(Tabla6[[#This Row],[ID CLIENTE]],'RESUMEN CLIENTES'!D:D,'RESUMEN CLIENTES'!C:C)</f>
        <v>Chile</v>
      </c>
      <c r="D1504" s="44" t="str">
        <f>+_xlfn.XLOOKUP(Tabla6[[#This Row],[ID CLIENTE]],'RESUMEN CLIENTES'!D:D,'RESUMEN CLIENTES'!M:M)</f>
        <v>OK</v>
      </c>
      <c r="E1504" s="72">
        <f>+_xlfn.XLOOKUP(Tabla6[[#This Row],[NOMBRE]],'RESUMEN CLIENTES'!A:A,'RESUMEN CLIENTES'!X:X)</f>
        <v>0.75</v>
      </c>
      <c r="F1504" s="72">
        <f>+_xlfn.XLOOKUP(Tabla6[[#This Row],[ID CLIENTE]],'RESUMEN CLIENTES'!D:D,'RESUMEN CLIENTES'!W:W)</f>
        <v>1</v>
      </c>
      <c r="G1504" s="17">
        <v>46208</v>
      </c>
      <c r="H1504" s="44" t="s">
        <v>81</v>
      </c>
      <c r="I1504" s="2">
        <v>750</v>
      </c>
      <c r="J1504"/>
      <c r="K1504"/>
      <c r="L1504" s="44" t="str" cm="1">
        <f t="array" ref="L1504">+_xlfn.IFS(COUNTIF(INGRESOS!E:E,Tabla6[[#This Row],[ID FACTURA]])=1,"PAGADA",Tabla6[[#This Row],[ID FACTURA]]&lt;&gt;0,"EMITIDA",Tabla6[[#This Row],[ID FACTURA]]=0,"POR EMITIR")</f>
        <v>POR EMITIR</v>
      </c>
      <c r="M1504" s="55" t="str">
        <f>+IF(Tabla6[[#This Row],[ESTADO FACTURA]]="PAGADA",Tabla6[[#This Row],[FECHA]]-_xlfn.XLOOKUP(Tabla6[[#This Row],[N° FACTURA]],INGRESOS!F:F,INGRESOS!A:A),"-")</f>
        <v>-</v>
      </c>
      <c r="N1504" s="2"/>
      <c r="O1504"/>
    </row>
    <row r="1505" spans="1:15" ht="14.75" customHeight="1">
      <c r="A1505" s="320" t="s">
        <v>1674</v>
      </c>
      <c r="B1505" t="str">
        <f>+_xlfn.XLOOKUP(Tabla6[[#This Row],[ID CLIENTE]],'RESUMEN CLIENTES'!D:D,'RESUMEN CLIENTES'!A:A)</f>
        <v>Diego Alberto Ruiz Cifuentes</v>
      </c>
      <c r="C1505" t="str">
        <f>+_xlfn.XLOOKUP(Tabla6[[#This Row],[ID CLIENTE]],'RESUMEN CLIENTES'!D:D,'RESUMEN CLIENTES'!C:C)</f>
        <v>Chile</v>
      </c>
      <c r="D1505" s="169" t="str">
        <f>+_xlfn.XLOOKUP(Tabla6[[#This Row],[ID CLIENTE]],'RESUMEN CLIENTES'!D:D,'RESUMEN CLIENTES'!M:M)</f>
        <v>OK</v>
      </c>
      <c r="E1505" s="71">
        <f>+_xlfn.XLOOKUP(Tabla6[[#This Row],[NOMBRE]],'RESUMEN CLIENTES'!A:A,'RESUMEN CLIENTES'!X:X)</f>
        <v>5.75</v>
      </c>
      <c r="F1505" s="71">
        <f>+_xlfn.XLOOKUP(Tabla6[[#This Row],[ID CLIENTE]],'RESUMEN CLIENTES'!D:D,'RESUMEN CLIENTES'!W:W)</f>
        <v>0</v>
      </c>
      <c r="G1505" s="17">
        <v>46208</v>
      </c>
      <c r="H1505" s="169" t="s">
        <v>81</v>
      </c>
      <c r="I1505" s="2">
        <v>1000</v>
      </c>
      <c r="J1505"/>
      <c r="K1505"/>
      <c r="L1505" s="44" t="str" cm="1">
        <f t="array" ref="L1505">+_xlfn.IFS(COUNTIF(INGRESOS!E:E,Tabla6[[#This Row],[ID FACTURA]])=1,"PAGADA",Tabla6[[#This Row],[ID FACTURA]]&lt;&gt;0,"EMITIDA",Tabla6[[#This Row],[ID FACTURA]]=0,"POR EMITIR")</f>
        <v>POR EMITIR</v>
      </c>
      <c r="M1505" s="55" t="str">
        <f>+IF(Tabla6[[#This Row],[ESTADO FACTURA]]="PAGADA",Tabla6[[#This Row],[FECHA]]-_xlfn.XLOOKUP(Tabla6[[#This Row],[N° FACTURA]],INGRESOS!F:F,INGRESOS!A:A),"-")</f>
        <v>-</v>
      </c>
      <c r="N1505" s="2"/>
      <c r="O1505"/>
    </row>
    <row r="1506" spans="1:15" ht="14.75" customHeight="1">
      <c r="A1506" s="320" t="s">
        <v>2521</v>
      </c>
      <c r="B1506" t="str">
        <f>+_xlfn.XLOOKUP(Tabla6[[#This Row],[ID CLIENTE]],'RESUMEN CLIENTES'!D:D,'RESUMEN CLIENTES'!A:A)</f>
        <v>Fabián Andrés Sarmiento Auli</v>
      </c>
      <c r="C1506" t="str">
        <f>+_xlfn.XLOOKUP(Tabla6[[#This Row],[ID CLIENTE]],'RESUMEN CLIENTES'!D:D,'RESUMEN CLIENTES'!C:C)</f>
        <v>Colombia</v>
      </c>
      <c r="D1506" s="169" t="str">
        <f>+_xlfn.XLOOKUP(Tabla6[[#This Row],[ID CLIENTE]],'RESUMEN CLIENTES'!D:D,'RESUMEN CLIENTES'!M:M)</f>
        <v>OK</v>
      </c>
      <c r="E1506" s="71">
        <f>+_xlfn.XLOOKUP(Tabla6[[#This Row],[NOMBRE]],'RESUMEN CLIENTES'!A:A,'RESUMEN CLIENTES'!X:X)</f>
        <v>0</v>
      </c>
      <c r="F1506" s="71">
        <f>+_xlfn.XLOOKUP(Tabla6[[#This Row],[ID CLIENTE]],'RESUMEN CLIENTES'!D:D,'RESUMEN CLIENTES'!W:W)</f>
        <v>0</v>
      </c>
      <c r="G1506" s="17">
        <v>46208</v>
      </c>
      <c r="H1506" s="169" t="s">
        <v>81</v>
      </c>
      <c r="I1506" s="2">
        <v>911</v>
      </c>
      <c r="J1506"/>
      <c r="K1506"/>
      <c r="L1506" s="44" t="str" cm="1">
        <f t="array" ref="L1506">+_xlfn.IFS(COUNTIF(INGRESOS!E:E,Tabla6[[#This Row],[ID FACTURA]])=1,"PAGADA",Tabla6[[#This Row],[ID FACTURA]]&lt;&gt;0,"EMITIDA",Tabla6[[#This Row],[ID FACTURA]]=0,"POR EMITIR")</f>
        <v>POR EMITIR</v>
      </c>
      <c r="M1506" s="54" t="str">
        <f>+IF(Tabla6[[#This Row],[ESTADO FACTURA]]="PAGADA",Tabla6[[#This Row],[FECHA]]-_xlfn.XLOOKUP(Tabla6[[#This Row],[N° FACTURA]],INGRESOS!F:F,INGRESOS!A:A),"-")</f>
        <v>-</v>
      </c>
      <c r="O1506"/>
    </row>
    <row r="1507" spans="1:15" ht="14.75" customHeight="1">
      <c r="A1507" s="320" t="s">
        <v>787</v>
      </c>
      <c r="B1507" t="str">
        <f>+_xlfn.XLOOKUP(Tabla6[[#This Row],[ID CLIENTE]],'RESUMEN CLIENTES'!D:D,'RESUMEN CLIENTES'!A:A)</f>
        <v>Florencia Luján Sapia</v>
      </c>
      <c r="C1507" t="str">
        <f>+_xlfn.XLOOKUP(Tabla6[[#This Row],[ID CLIENTE]],'RESUMEN CLIENTES'!D:D,'RESUMEN CLIENTES'!C:C)</f>
        <v>Argentina</v>
      </c>
      <c r="D1507" s="44" t="str">
        <f>+_xlfn.XLOOKUP(Tabla6[[#This Row],[ID CLIENTE]],'RESUMEN CLIENTES'!D:D,'RESUMEN CLIENTES'!M:M)</f>
        <v>OK</v>
      </c>
      <c r="E1507" s="72">
        <f>+_xlfn.XLOOKUP(Tabla6[[#This Row],[NOMBRE]],'RESUMEN CLIENTES'!A:A,'RESUMEN CLIENTES'!X:X)</f>
        <v>-0.77777777777777779</v>
      </c>
      <c r="F1507" s="72">
        <f>+_xlfn.XLOOKUP(Tabla6[[#This Row],[ID CLIENTE]],'RESUMEN CLIENTES'!D:D,'RESUMEN CLIENTES'!W:W)</f>
        <v>1</v>
      </c>
      <c r="G1507" s="17">
        <v>46208</v>
      </c>
      <c r="H1507" s="44" t="s">
        <v>81</v>
      </c>
      <c r="I1507" s="2">
        <v>600</v>
      </c>
      <c r="J1507"/>
      <c r="K1507"/>
      <c r="L1507" s="44" t="str" cm="1">
        <f t="array" ref="L1507">+_xlfn.IFS(COUNTIF(INGRESOS!E:E,Tabla6[[#This Row],[ID FACTURA]])=1,"PAGADA",Tabla6[[#This Row],[ID FACTURA]]&lt;&gt;0,"EMITIDA",Tabla6[[#This Row],[ID FACTURA]]=0,"POR EMITIR")</f>
        <v>POR EMITIR</v>
      </c>
      <c r="M1507" s="55" t="str">
        <f>+IF(Tabla6[[#This Row],[ESTADO FACTURA]]="PAGADA",Tabla6[[#This Row],[FECHA]]-_xlfn.XLOOKUP(Tabla6[[#This Row],[N° FACTURA]],INGRESOS!F:F,INGRESOS!A:A),"-")</f>
        <v>-</v>
      </c>
      <c r="N1507" s="2"/>
      <c r="O1507"/>
    </row>
    <row r="1508" spans="1:15" ht="14.75" customHeight="1">
      <c r="A1508" s="320" t="s">
        <v>171</v>
      </c>
      <c r="B1508" t="str">
        <f>+_xlfn.XLOOKUP(Tabla6[[#This Row],[ID CLIENTE]],'RESUMEN CLIENTES'!D:D,'RESUMEN CLIENTES'!A:A)</f>
        <v>Guillermo Alfonso Garvalena Gaxiola</v>
      </c>
      <c r="C1508" t="str">
        <f>+_xlfn.XLOOKUP(Tabla6[[#This Row],[ID CLIENTE]],'RESUMEN CLIENTES'!D:D,'RESUMEN CLIENTES'!C:C)</f>
        <v>México</v>
      </c>
      <c r="D1508" s="44" t="str">
        <f>+_xlfn.XLOOKUP(Tabla6[[#This Row],[ID CLIENTE]],'RESUMEN CLIENTES'!D:D,'RESUMEN CLIENTES'!M:M)</f>
        <v>OK</v>
      </c>
      <c r="E1508" s="72">
        <f>+_xlfn.XLOOKUP(Tabla6[[#This Row],[NOMBRE]],'RESUMEN CLIENTES'!A:A,'RESUMEN CLIENTES'!X:X)</f>
        <v>1.173913043478261</v>
      </c>
      <c r="F1508" s="72">
        <f>+_xlfn.XLOOKUP(Tabla6[[#This Row],[ID CLIENTE]],'RESUMEN CLIENTES'!D:D,'RESUMEN CLIENTES'!W:W)</f>
        <v>1</v>
      </c>
      <c r="G1508" s="17">
        <v>46208</v>
      </c>
      <c r="H1508" s="44" t="s">
        <v>81</v>
      </c>
      <c r="I1508" s="2">
        <v>500</v>
      </c>
      <c r="J1508"/>
      <c r="K1508"/>
      <c r="L1508" s="44" t="str" cm="1">
        <f t="array" ref="L1508">+_xlfn.IFS(COUNTIF(INGRESOS!E:E,Tabla6[[#This Row],[ID FACTURA]])=1,"PAGADA",Tabla6[[#This Row],[ID FACTURA]]&lt;&gt;0,"EMITIDA",Tabla6[[#This Row],[ID FACTURA]]=0,"POR EMITIR")</f>
        <v>POR EMITIR</v>
      </c>
      <c r="M1508" s="55" t="str">
        <f>+IF(Tabla6[[#This Row],[ESTADO FACTURA]]="PAGADA",Tabla6[[#This Row],[FECHA]]-_xlfn.XLOOKUP(Tabla6[[#This Row],[N° FACTURA]],INGRESOS!F:F,INGRESOS!A:A),"-")</f>
        <v>-</v>
      </c>
      <c r="N1508" s="2"/>
      <c r="O1508"/>
    </row>
    <row r="1509" spans="1:15" ht="14.75" customHeight="1">
      <c r="A1509" s="320" t="s">
        <v>109</v>
      </c>
      <c r="B1509" t="str">
        <f>+_xlfn.XLOOKUP(Tabla6[[#This Row],[ID CLIENTE]],'RESUMEN CLIENTES'!D:D,'RESUMEN CLIENTES'!A:A)</f>
        <v>Ian Job Lino Durán</v>
      </c>
      <c r="C1509" t="str">
        <f>+_xlfn.XLOOKUP(Tabla6[[#This Row],[ID CLIENTE]],'RESUMEN CLIENTES'!D:D,'RESUMEN CLIENTES'!C:C)</f>
        <v>México</v>
      </c>
      <c r="D1509" s="44" t="str">
        <f>+_xlfn.XLOOKUP(Tabla6[[#This Row],[ID CLIENTE]],'RESUMEN CLIENTES'!D:D,'RESUMEN CLIENTES'!M:M)</f>
        <v>OK</v>
      </c>
      <c r="E1509" s="72">
        <f>+_xlfn.XLOOKUP(Tabla6[[#This Row],[NOMBRE]],'RESUMEN CLIENTES'!A:A,'RESUMEN CLIENTES'!X:X)</f>
        <v>0.1</v>
      </c>
      <c r="F1509" s="72">
        <f>+_xlfn.XLOOKUP(Tabla6[[#This Row],[ID CLIENTE]],'RESUMEN CLIENTES'!D:D,'RESUMEN CLIENTES'!W:W)</f>
        <v>1</v>
      </c>
      <c r="G1509" s="17">
        <v>46208</v>
      </c>
      <c r="H1509" s="44" t="s">
        <v>81</v>
      </c>
      <c r="I1509" s="2">
        <v>800</v>
      </c>
      <c r="J1509"/>
      <c r="K1509"/>
      <c r="L1509" s="44" t="str" cm="1">
        <f t="array" ref="L1509">+_xlfn.IFS(COUNTIF(INGRESOS!E:E,Tabla6[[#This Row],[ID FACTURA]])=1,"PAGADA",Tabla6[[#This Row],[ID FACTURA]]&lt;&gt;0,"EMITIDA",Tabla6[[#This Row],[ID FACTURA]]=0,"POR EMITIR")</f>
        <v>POR EMITIR</v>
      </c>
      <c r="M1509" s="55" t="str">
        <f>+IF(Tabla6[[#This Row],[ESTADO FACTURA]]="PAGADA",Tabla6[[#This Row],[FECHA]]-_xlfn.XLOOKUP(Tabla6[[#This Row],[N° FACTURA]],INGRESOS!F:F,INGRESOS!A:A),"-")</f>
        <v>-</v>
      </c>
      <c r="N1509" s="2"/>
      <c r="O1509"/>
    </row>
    <row r="1510" spans="1:15" ht="14.75" customHeight="1">
      <c r="A1510" s="320" t="s">
        <v>142</v>
      </c>
      <c r="B1510" t="str">
        <f>+_xlfn.XLOOKUP(Tabla6[[#This Row],[ID CLIENTE]],'RESUMEN CLIENTES'!D:D,'RESUMEN CLIENTES'!A:A)</f>
        <v>Jordan Eliecer Toledo Bravo</v>
      </c>
      <c r="C1510" t="str">
        <f>+_xlfn.XLOOKUP(Tabla6[[#This Row],[ID CLIENTE]],'RESUMEN CLIENTES'!D:D,'RESUMEN CLIENTES'!C:C)</f>
        <v>Chile</v>
      </c>
      <c r="D1510" s="169" t="str">
        <f>+_xlfn.XLOOKUP(Tabla6[[#This Row],[ID CLIENTE]],'RESUMEN CLIENTES'!D:D,'RESUMEN CLIENTES'!M:M)</f>
        <v>OK</v>
      </c>
      <c r="E1510" s="71">
        <f>+_xlfn.XLOOKUP(Tabla6[[#This Row],[NOMBRE]],'RESUMEN CLIENTES'!A:A,'RESUMEN CLIENTES'!X:X)</f>
        <v>-1.6153846153846154</v>
      </c>
      <c r="F1510" s="71">
        <f>+_xlfn.XLOOKUP(Tabla6[[#This Row],[ID CLIENTE]],'RESUMEN CLIENTES'!D:D,'RESUMEN CLIENTES'!W:W)</f>
        <v>0</v>
      </c>
      <c r="G1510" s="17">
        <v>46208</v>
      </c>
      <c r="H1510" s="169" t="s">
        <v>81</v>
      </c>
      <c r="I1510" s="2">
        <v>500</v>
      </c>
      <c r="J1510"/>
      <c r="K1510"/>
      <c r="L1510" s="44" t="str" cm="1">
        <f t="array" ref="L1510">+_xlfn.IFS(COUNTIF(INGRESOS!E:E,Tabla6[[#This Row],[ID FACTURA]])=1,"PAGADA",Tabla6[[#This Row],[ID FACTURA]]&lt;&gt;0,"EMITIDA",Tabla6[[#This Row],[ID FACTURA]]=0,"POR EMITIR")</f>
        <v>POR EMITIR</v>
      </c>
      <c r="M1510" s="54" t="str">
        <f>+IF(Tabla6[[#This Row],[ESTADO FACTURA]]="PAGADA",Tabla6[[#This Row],[FECHA]]-_xlfn.XLOOKUP(Tabla6[[#This Row],[N° FACTURA]],INGRESOS!F:F,INGRESOS!A:A),"-")</f>
        <v>-</v>
      </c>
      <c r="O1510"/>
    </row>
    <row r="1511" spans="1:15" ht="14.75" customHeight="1">
      <c r="A1511" s="320" t="s">
        <v>4454</v>
      </c>
      <c r="B1511" t="str">
        <f>+_xlfn.XLOOKUP(Tabla6[[#This Row],[ID CLIENTE]],'RESUMEN CLIENTES'!D:D,'RESUMEN CLIENTES'!A:A)</f>
        <v>Jose Luis Avilez Casas</v>
      </c>
      <c r="C1511" t="str">
        <f>+_xlfn.XLOOKUP(Tabla6[[#This Row],[ID CLIENTE]],'RESUMEN CLIENTES'!D:D,'RESUMEN CLIENTES'!C:C)</f>
        <v>México</v>
      </c>
      <c r="D1511" s="169" t="str">
        <f>+_xlfn.XLOOKUP(Tabla6[[#This Row],[ID CLIENTE]],'RESUMEN CLIENTES'!D:D,'RESUMEN CLIENTES'!M:M)</f>
        <v>OK</v>
      </c>
      <c r="E1511" s="71">
        <f>+_xlfn.XLOOKUP(Tabla6[[#This Row],[NOMBRE]],'RESUMEN CLIENTES'!A:A,'RESUMEN CLIENTES'!X:X)</f>
        <v>0.33333333333333331</v>
      </c>
      <c r="F1511" s="71">
        <f>+_xlfn.XLOOKUP(Tabla6[[#This Row],[ID CLIENTE]],'RESUMEN CLIENTES'!D:D,'RESUMEN CLIENTES'!W:W)</f>
        <v>0</v>
      </c>
      <c r="G1511" s="17">
        <v>46208</v>
      </c>
      <c r="H1511" s="169" t="s">
        <v>81</v>
      </c>
      <c r="I1511" s="2">
        <v>1000</v>
      </c>
      <c r="J1511"/>
      <c r="K1511"/>
      <c r="L1511" s="44" t="str" cm="1">
        <f t="array" ref="L1511">+_xlfn.IFS(COUNTIF(INGRESOS!E:E,Tabla6[[#This Row],[ID FACTURA]])=1,"PAGADA",Tabla6[[#This Row],[ID FACTURA]]&lt;&gt;0,"EMITIDA",Tabla6[[#This Row],[ID FACTURA]]=0,"POR EMITIR")</f>
        <v>POR EMITIR</v>
      </c>
      <c r="M1511" s="54" t="str">
        <f>+IF(Tabla6[[#This Row],[ESTADO FACTURA]]="PAGADA",Tabla6[[#This Row],[FECHA]]-_xlfn.XLOOKUP(Tabla6[[#This Row],[N° FACTURA]],INGRESOS!F:F,INGRESOS!A:A),"-")</f>
        <v>-</v>
      </c>
      <c r="O1511"/>
    </row>
    <row r="1512" spans="1:15" ht="14.75" customHeight="1">
      <c r="A1512" s="320" t="s">
        <v>798</v>
      </c>
      <c r="B1512" t="str">
        <f>+_xlfn.XLOOKUP(Tabla6[[#This Row],[ID CLIENTE]],'RESUMEN CLIENTES'!D:D,'RESUMEN CLIENTES'!A:A)</f>
        <v>Juan Manuel Paranzino</v>
      </c>
      <c r="C1512" t="str">
        <f>+_xlfn.XLOOKUP(Tabla6[[#This Row],[ID CLIENTE]],'RESUMEN CLIENTES'!D:D,'RESUMEN CLIENTES'!C:C)</f>
        <v>Argentina</v>
      </c>
      <c r="D1512" s="44" t="str">
        <f>+_xlfn.XLOOKUP(Tabla6[[#This Row],[ID CLIENTE]],'RESUMEN CLIENTES'!D:D,'RESUMEN CLIENTES'!M:M)</f>
        <v>OK</v>
      </c>
      <c r="E1512" s="72">
        <f>+_xlfn.XLOOKUP(Tabla6[[#This Row],[NOMBRE]],'RESUMEN CLIENTES'!A:A,'RESUMEN CLIENTES'!X:X)</f>
        <v>-1</v>
      </c>
      <c r="F1512" s="72">
        <f>+_xlfn.XLOOKUP(Tabla6[[#This Row],[ID CLIENTE]],'RESUMEN CLIENTES'!D:D,'RESUMEN CLIENTES'!W:W)</f>
        <v>0</v>
      </c>
      <c r="G1512" s="17">
        <v>46208</v>
      </c>
      <c r="H1512" s="44" t="s">
        <v>81</v>
      </c>
      <c r="I1512" s="2">
        <v>600</v>
      </c>
      <c r="J1512"/>
      <c r="K1512"/>
      <c r="L1512" s="44" t="str" cm="1">
        <f t="array" ref="L1512">+_xlfn.IFS(COUNTIF(INGRESOS!E:E,Tabla6[[#This Row],[ID FACTURA]])=1,"PAGADA",Tabla6[[#This Row],[ID FACTURA]]&lt;&gt;0,"EMITIDA",Tabla6[[#This Row],[ID FACTURA]]=0,"POR EMITIR")</f>
        <v>POR EMITIR</v>
      </c>
      <c r="M1512" s="55" t="str">
        <f>+IF(Tabla6[[#This Row],[ESTADO FACTURA]]="PAGADA",Tabla6[[#This Row],[FECHA]]-_xlfn.XLOOKUP(Tabla6[[#This Row],[N° FACTURA]],INGRESOS!F:F,INGRESOS!A:A),"-")</f>
        <v>-</v>
      </c>
      <c r="N1512" s="2"/>
      <c r="O1512"/>
    </row>
    <row r="1513" spans="1:15" ht="14.75" customHeight="1">
      <c r="A1513" s="320" t="s">
        <v>955</v>
      </c>
      <c r="B1513" t="str">
        <f>+_xlfn.XLOOKUP(Tabla6[[#This Row],[ID CLIENTE]],'RESUMEN CLIENTES'!D:D,'RESUMEN CLIENTES'!A:A)</f>
        <v>Judith Elizabeth Lopez Sanchez</v>
      </c>
      <c r="C1513" t="str">
        <f>+_xlfn.XLOOKUP(Tabla6[[#This Row],[ID CLIENTE]],'RESUMEN CLIENTES'!D:D,'RESUMEN CLIENTES'!C:C)</f>
        <v>Perú</v>
      </c>
      <c r="D1513" s="44" t="str">
        <f>+_xlfn.XLOOKUP(Tabla6[[#This Row],[ID CLIENTE]],'RESUMEN CLIENTES'!D:D,'RESUMEN CLIENTES'!M:M)</f>
        <v>OK</v>
      </c>
      <c r="E1513" s="72">
        <f>+_xlfn.XLOOKUP(Tabla6[[#This Row],[NOMBRE]],'RESUMEN CLIENTES'!A:A,'RESUMEN CLIENTES'!X:X)</f>
        <v>0.2857142857142857</v>
      </c>
      <c r="F1513" s="72">
        <f>+_xlfn.XLOOKUP(Tabla6[[#This Row],[ID CLIENTE]],'RESUMEN CLIENTES'!D:D,'RESUMEN CLIENTES'!W:W)</f>
        <v>1</v>
      </c>
      <c r="G1513" s="17">
        <v>46208</v>
      </c>
      <c r="H1513" s="44" t="s">
        <v>81</v>
      </c>
      <c r="I1513" s="2">
        <v>1000</v>
      </c>
      <c r="J1513"/>
      <c r="K1513"/>
      <c r="L1513" s="44" t="str" cm="1">
        <f t="array" ref="L1513">+_xlfn.IFS(COUNTIF(INGRESOS!E:E,Tabla6[[#This Row],[ID FACTURA]])=1,"PAGADA",Tabla6[[#This Row],[ID FACTURA]]&lt;&gt;0,"EMITIDA",Tabla6[[#This Row],[ID FACTURA]]=0,"POR EMITIR")</f>
        <v>POR EMITIR</v>
      </c>
      <c r="M1513" s="55" t="str">
        <f>+IF(Tabla6[[#This Row],[ESTADO FACTURA]]="PAGADA",Tabla6[[#This Row],[FECHA]]-_xlfn.XLOOKUP(Tabla6[[#This Row],[N° FACTURA]],INGRESOS!F:F,INGRESOS!A:A),"-")</f>
        <v>-</v>
      </c>
      <c r="N1513" s="2"/>
      <c r="O1513"/>
    </row>
    <row r="1514" spans="1:15" ht="14.75" customHeight="1">
      <c r="A1514" s="320" t="s">
        <v>1416</v>
      </c>
      <c r="B1514" t="str">
        <f>+_xlfn.XLOOKUP(Tabla6[[#This Row],[ID CLIENTE]],'RESUMEN CLIENTES'!D:D,'RESUMEN CLIENTES'!A:A)</f>
        <v>Luis Armando Calderon Manzanera</v>
      </c>
      <c r="C1514" t="str">
        <f>+_xlfn.XLOOKUP(Tabla6[[#This Row],[ID CLIENTE]],'RESUMEN CLIENTES'!D:D,'RESUMEN CLIENTES'!C:C)</f>
        <v>México</v>
      </c>
      <c r="D1514" s="44" t="str">
        <f>+_xlfn.XLOOKUP(Tabla6[[#This Row],[ID CLIENTE]],'RESUMEN CLIENTES'!D:D,'RESUMEN CLIENTES'!M:M)</f>
        <v>OK</v>
      </c>
      <c r="E1514" s="71">
        <f>+_xlfn.XLOOKUP(Tabla6[[#This Row],[NOMBRE]],'RESUMEN CLIENTES'!A:A,'RESUMEN CLIENTES'!X:X)</f>
        <v>2</v>
      </c>
      <c r="F1514" s="71">
        <f>+_xlfn.XLOOKUP(Tabla6[[#This Row],[ID CLIENTE]],'RESUMEN CLIENTES'!D:D,'RESUMEN CLIENTES'!W:W)</f>
        <v>1</v>
      </c>
      <c r="G1514" s="17">
        <v>46208</v>
      </c>
      <c r="H1514" s="44" t="s">
        <v>81</v>
      </c>
      <c r="I1514" s="2">
        <v>650</v>
      </c>
      <c r="J1514"/>
      <c r="K1514"/>
      <c r="L1514" s="44" t="str" cm="1">
        <f t="array" ref="L1514">+_xlfn.IFS(COUNTIF(INGRESOS!E:E,Tabla6[[#This Row],[ID FACTURA]])=1,"PAGADA",Tabla6[[#This Row],[ID FACTURA]]&lt;&gt;0,"EMITIDA",Tabla6[[#This Row],[ID FACTURA]]=0,"POR EMITIR")</f>
        <v>POR EMITIR</v>
      </c>
      <c r="M1514" s="55" t="str">
        <f>+IF(Tabla6[[#This Row],[ESTADO FACTURA]]="PAGADA",Tabla6[[#This Row],[FECHA]]-_xlfn.XLOOKUP(Tabla6[[#This Row],[N° FACTURA]],INGRESOS!F:F,INGRESOS!A:A),"-")</f>
        <v>-</v>
      </c>
      <c r="N1514" s="2"/>
      <c r="O1514"/>
    </row>
    <row r="1515" spans="1:15" ht="14.75" customHeight="1">
      <c r="A1515" s="320" t="s">
        <v>703</v>
      </c>
      <c r="B1515" t="str">
        <f>+_xlfn.XLOOKUP(Tabla6[[#This Row],[ID CLIENTE]],'RESUMEN CLIENTES'!D:D,'RESUMEN CLIENTES'!A:A)</f>
        <v>Maira Paz Navas Sánchez</v>
      </c>
      <c r="C1515" t="str">
        <f>+_xlfn.XLOOKUP(Tabla6[[#This Row],[ID CLIENTE]],'RESUMEN CLIENTES'!D:D,'RESUMEN CLIENTES'!C:C)</f>
        <v>Chile</v>
      </c>
      <c r="D1515" s="44" t="str">
        <f>+_xlfn.XLOOKUP(Tabla6[[#This Row],[ID CLIENTE]],'RESUMEN CLIENTES'!D:D,'RESUMEN CLIENTES'!M:M)</f>
        <v>OK</v>
      </c>
      <c r="E1515" s="72">
        <f>+_xlfn.XLOOKUP(Tabla6[[#This Row],[NOMBRE]],'RESUMEN CLIENTES'!A:A,'RESUMEN CLIENTES'!X:X)</f>
        <v>-1.75</v>
      </c>
      <c r="F1515" s="72">
        <f>+_xlfn.XLOOKUP(Tabla6[[#This Row],[ID CLIENTE]],'RESUMEN CLIENTES'!D:D,'RESUMEN CLIENTES'!W:W)</f>
        <v>1</v>
      </c>
      <c r="G1515" s="17">
        <v>46208</v>
      </c>
      <c r="H1515" s="44" t="s">
        <v>81</v>
      </c>
      <c r="I1515" s="2">
        <v>700</v>
      </c>
      <c r="J1515"/>
      <c r="K1515"/>
      <c r="L1515" s="44" t="str" cm="1">
        <f t="array" ref="L1515">+_xlfn.IFS(COUNTIF(INGRESOS!E:E,Tabla6[[#This Row],[ID FACTURA]])=1,"PAGADA",Tabla6[[#This Row],[ID FACTURA]]&lt;&gt;0,"EMITIDA",Tabla6[[#This Row],[ID FACTURA]]=0,"POR EMITIR")</f>
        <v>POR EMITIR</v>
      </c>
      <c r="M1515" s="55" t="str">
        <f>+IF(Tabla6[[#This Row],[ESTADO FACTURA]]="PAGADA",Tabla6[[#This Row],[FECHA]]-_xlfn.XLOOKUP(Tabla6[[#This Row],[N° FACTURA]],INGRESOS!F:F,INGRESOS!A:A),"-")</f>
        <v>-</v>
      </c>
      <c r="N1515" s="2"/>
      <c r="O1515"/>
    </row>
    <row r="1516" spans="1:15" ht="14.75" customHeight="1">
      <c r="A1516" s="320" t="s">
        <v>80</v>
      </c>
      <c r="B1516" t="str">
        <f>+_xlfn.XLOOKUP(Tabla6[[#This Row],[ID CLIENTE]],'RESUMEN CLIENTES'!D:D,'RESUMEN CLIENTES'!A:A)</f>
        <v>María Fernanda Alvar Sepúlveda</v>
      </c>
      <c r="C1516" t="str">
        <f>+_xlfn.XLOOKUP(Tabla6[[#This Row],[ID CLIENTE]],'RESUMEN CLIENTES'!D:D,'RESUMEN CLIENTES'!C:C)</f>
        <v>Chile</v>
      </c>
      <c r="D1516" s="44" t="str">
        <f>+_xlfn.XLOOKUP(Tabla6[[#This Row],[ID CLIENTE]],'RESUMEN CLIENTES'!D:D,'RESUMEN CLIENTES'!M:M)</f>
        <v>OK</v>
      </c>
      <c r="E1516" s="72">
        <f>+_xlfn.XLOOKUP(Tabla6[[#This Row],[NOMBRE]],'RESUMEN CLIENTES'!A:A,'RESUMEN CLIENTES'!X:X)</f>
        <v>5</v>
      </c>
      <c r="F1516" s="71">
        <f>+_xlfn.XLOOKUP(Tabla6[[#This Row],[ID CLIENTE]],'RESUMEN CLIENTES'!D:D,'RESUMEN CLIENTES'!W:W)</f>
        <v>1</v>
      </c>
      <c r="G1516" s="17">
        <v>46208</v>
      </c>
      <c r="H1516" s="44" t="s">
        <v>81</v>
      </c>
      <c r="I1516" s="2">
        <v>800</v>
      </c>
      <c r="J1516"/>
      <c r="K1516"/>
      <c r="L1516" s="44" t="str" cm="1">
        <f t="array" ref="L1516">+_xlfn.IFS(COUNTIF(INGRESOS!E:E,Tabla6[[#This Row],[ID FACTURA]])=1,"PAGADA",Tabla6[[#This Row],[ID FACTURA]]&lt;&gt;0,"EMITIDA",Tabla6[[#This Row],[ID FACTURA]]=0,"POR EMITIR")</f>
        <v>POR EMITIR</v>
      </c>
      <c r="M1516" s="55" t="str">
        <f>+IF(Tabla6[[#This Row],[ESTADO FACTURA]]="PAGADA",Tabla6[[#This Row],[FECHA]]-_xlfn.XLOOKUP(Tabla6[[#This Row],[N° FACTURA]],INGRESOS!F:F,INGRESOS!A:A),"-")</f>
        <v>-</v>
      </c>
      <c r="N1516" s="214"/>
      <c r="O1516"/>
    </row>
    <row r="1517" spans="1:15" ht="14.75" customHeight="1">
      <c r="A1517" s="320" t="s">
        <v>1551</v>
      </c>
      <c r="B1517" t="str">
        <f>+_xlfn.XLOOKUP(Tabla6[[#This Row],[ID CLIENTE]],'RESUMEN CLIENTES'!D:D,'RESUMEN CLIENTES'!A:A)</f>
        <v>María Fernanda Cid Ramírez</v>
      </c>
      <c r="C1517" t="str">
        <f>+_xlfn.XLOOKUP(Tabla6[[#This Row],[ID CLIENTE]],'RESUMEN CLIENTES'!D:D,'RESUMEN CLIENTES'!C:C)</f>
        <v>México</v>
      </c>
      <c r="D1517" s="44" t="str">
        <f>+_xlfn.XLOOKUP(Tabla6[[#This Row],[ID CLIENTE]],'RESUMEN CLIENTES'!D:D,'RESUMEN CLIENTES'!M:M)</f>
        <v>OK</v>
      </c>
      <c r="E1517" s="71">
        <f>+_xlfn.XLOOKUP(Tabla6[[#This Row],[NOMBRE]],'RESUMEN CLIENTES'!A:A,'RESUMEN CLIENTES'!X:X)</f>
        <v>-0.8571428571428571</v>
      </c>
      <c r="F1517" s="71">
        <f>+_xlfn.XLOOKUP(Tabla6[[#This Row],[ID CLIENTE]],'RESUMEN CLIENTES'!D:D,'RESUMEN CLIENTES'!W:W)</f>
        <v>0</v>
      </c>
      <c r="G1517" s="17">
        <v>46208</v>
      </c>
      <c r="H1517" s="169" t="s">
        <v>81</v>
      </c>
      <c r="I1517" s="2">
        <v>850</v>
      </c>
      <c r="J1517"/>
      <c r="K1517"/>
      <c r="L1517" s="44" t="str" cm="1">
        <f t="array" ref="L1517">+_xlfn.IFS(COUNTIF(INGRESOS!E:E,Tabla6[[#This Row],[ID FACTURA]])=1,"PAGADA",Tabla6[[#This Row],[ID FACTURA]]&lt;&gt;0,"EMITIDA",Tabla6[[#This Row],[ID FACTURA]]=0,"POR EMITIR")</f>
        <v>POR EMITIR</v>
      </c>
      <c r="M1517" s="55" t="str">
        <f>+IF(Tabla6[[#This Row],[ESTADO FACTURA]]="PAGADA",Tabla6[[#This Row],[FECHA]]-_xlfn.XLOOKUP(Tabla6[[#This Row],[N° FACTURA]],INGRESOS!F:F,INGRESOS!A:A),"-")</f>
        <v>-</v>
      </c>
      <c r="N1517" s="2"/>
      <c r="O1517"/>
    </row>
    <row r="1518" spans="1:15" ht="14.75" customHeight="1">
      <c r="A1518" s="320" t="s">
        <v>1155</v>
      </c>
      <c r="B1518" t="str">
        <f>+_xlfn.XLOOKUP(Tabla6[[#This Row],[ID CLIENTE]],'RESUMEN CLIENTES'!D:D,'RESUMEN CLIENTES'!A:A)</f>
        <v>Mario Arciga Casián</v>
      </c>
      <c r="C1518" t="str">
        <f>+_xlfn.XLOOKUP(Tabla6[[#This Row],[ID CLIENTE]],'RESUMEN CLIENTES'!D:D,'RESUMEN CLIENTES'!C:C)</f>
        <v>México</v>
      </c>
      <c r="D1518" s="44" t="str">
        <f>+_xlfn.XLOOKUP(Tabla6[[#This Row],[ID CLIENTE]],'RESUMEN CLIENTES'!D:D,'RESUMEN CLIENTES'!M:M)</f>
        <v>OK</v>
      </c>
      <c r="E1518" s="72">
        <f>+_xlfn.XLOOKUP(Tabla6[[#This Row],[NOMBRE]],'RESUMEN CLIENTES'!A:A,'RESUMEN CLIENTES'!X:X)</f>
        <v>-0.66666666666666663</v>
      </c>
      <c r="F1518" s="72">
        <f>+_xlfn.XLOOKUP(Tabla6[[#This Row],[ID CLIENTE]],'RESUMEN CLIENTES'!D:D,'RESUMEN CLIENTES'!W:W)</f>
        <v>1</v>
      </c>
      <c r="G1518" s="17">
        <v>46208</v>
      </c>
      <c r="H1518" s="44" t="s">
        <v>81</v>
      </c>
      <c r="I1518" s="2">
        <v>1000</v>
      </c>
      <c r="J1518"/>
      <c r="K1518"/>
      <c r="L1518" s="44" t="str" cm="1">
        <f t="array" ref="L1518">+_xlfn.IFS(COUNTIF(INGRESOS!E:E,Tabla6[[#This Row],[ID FACTURA]])=1,"PAGADA",Tabla6[[#This Row],[ID FACTURA]]&lt;&gt;0,"EMITIDA",Tabla6[[#This Row],[ID FACTURA]]=0,"POR EMITIR")</f>
        <v>POR EMITIR</v>
      </c>
      <c r="M1518" s="55" t="str">
        <f>+IF(Tabla6[[#This Row],[ESTADO FACTURA]]="PAGADA",Tabla6[[#This Row],[FECHA]]-_xlfn.XLOOKUP(Tabla6[[#This Row],[N° FACTURA]],INGRESOS!F:F,INGRESOS!A:A),"-")</f>
        <v>-</v>
      </c>
      <c r="N1518" s="2"/>
      <c r="O1518"/>
    </row>
    <row r="1519" spans="1:15" ht="14.75" customHeight="1">
      <c r="A1519" s="320" t="s">
        <v>4509</v>
      </c>
      <c r="B1519" t="str">
        <f>+_xlfn.XLOOKUP(Tabla6[[#This Row],[ID CLIENTE]],'RESUMEN CLIENTES'!D:D,'RESUMEN CLIENTES'!A:A)</f>
        <v>Marisol Madeleine Ibáñez Paredes</v>
      </c>
      <c r="C1519" t="str">
        <f>+_xlfn.XLOOKUP(Tabla6[[#This Row],[ID CLIENTE]],'RESUMEN CLIENTES'!D:D,'RESUMEN CLIENTES'!C:C)</f>
        <v>Ecuador</v>
      </c>
      <c r="D1519" s="169" t="str">
        <f>+_xlfn.XLOOKUP(Tabla6[[#This Row],[ID CLIENTE]],'RESUMEN CLIENTES'!D:D,'RESUMEN CLIENTES'!M:M)</f>
        <v>OK</v>
      </c>
      <c r="E1519" s="71">
        <f>+_xlfn.XLOOKUP(Tabla6[[#This Row],[NOMBRE]],'RESUMEN CLIENTES'!A:A,'RESUMEN CLIENTES'!X:X)</f>
        <v>-3</v>
      </c>
      <c r="F1519" s="71">
        <f>+_xlfn.XLOOKUP(Tabla6[[#This Row],[ID CLIENTE]],'RESUMEN CLIENTES'!D:D,'RESUMEN CLIENTES'!W:W)</f>
        <v>0</v>
      </c>
      <c r="G1519" s="17">
        <v>46208</v>
      </c>
      <c r="H1519" s="169" t="s">
        <v>81</v>
      </c>
      <c r="I1519" s="2">
        <v>1000</v>
      </c>
      <c r="J1519"/>
      <c r="K1519"/>
      <c r="L1519" s="44" t="str" cm="1">
        <f t="array" ref="L1519">+_xlfn.IFS(COUNTIF(INGRESOS!E:E,Tabla6[[#This Row],[ID FACTURA]])=1,"PAGADA",Tabla6[[#This Row],[ID FACTURA]]&lt;&gt;0,"EMITIDA",Tabla6[[#This Row],[ID FACTURA]]=0,"POR EMITIR")</f>
        <v>POR EMITIR</v>
      </c>
      <c r="M1519" s="54" t="str">
        <f>+IF(Tabla6[[#This Row],[ESTADO FACTURA]]="PAGADA",Tabla6[[#This Row],[FECHA]]-_xlfn.XLOOKUP(Tabla6[[#This Row],[N° FACTURA]],INGRESOS!F:F,INGRESOS!A:A),"-")</f>
        <v>-</v>
      </c>
      <c r="O1519"/>
    </row>
    <row r="1520" spans="1:15" ht="14.75" customHeight="1">
      <c r="A1520" s="320" t="s">
        <v>129</v>
      </c>
      <c r="B1520" t="str">
        <f>+_xlfn.XLOOKUP(Tabla6[[#This Row],[ID CLIENTE]],'RESUMEN CLIENTES'!D:D,'RESUMEN CLIENTES'!A:A)</f>
        <v>Moira Millaray Schneider Rivera</v>
      </c>
      <c r="C1520" t="str">
        <f>+_xlfn.XLOOKUP(Tabla6[[#This Row],[ID CLIENTE]],'RESUMEN CLIENTES'!D:D,'RESUMEN CLIENTES'!C:C)</f>
        <v>Chile</v>
      </c>
      <c r="D1520" s="44" t="str">
        <f>+_xlfn.XLOOKUP(Tabla6[[#This Row],[ID CLIENTE]],'RESUMEN CLIENTES'!D:D,'RESUMEN CLIENTES'!M:M)</f>
        <v>OK</v>
      </c>
      <c r="E1520" s="72">
        <f>+_xlfn.XLOOKUP(Tabla6[[#This Row],[NOMBRE]],'RESUMEN CLIENTES'!A:A,'RESUMEN CLIENTES'!X:X)</f>
        <v>0</v>
      </c>
      <c r="F1520" s="72">
        <f>+_xlfn.XLOOKUP(Tabla6[[#This Row],[ID CLIENTE]],'RESUMEN CLIENTES'!D:D,'RESUMEN CLIENTES'!W:W)</f>
        <v>1</v>
      </c>
      <c r="G1520" s="17">
        <v>46208</v>
      </c>
      <c r="H1520" s="44" t="s">
        <v>81</v>
      </c>
      <c r="I1520" s="2">
        <v>800</v>
      </c>
      <c r="J1520"/>
      <c r="K1520"/>
      <c r="L1520" s="44" t="str" cm="1">
        <f t="array" ref="L1520">+_xlfn.IFS(COUNTIF(INGRESOS!E:E,Tabla6[[#This Row],[ID FACTURA]])=1,"PAGADA",Tabla6[[#This Row],[ID FACTURA]]&lt;&gt;0,"EMITIDA",Tabla6[[#This Row],[ID FACTURA]]=0,"POR EMITIR")</f>
        <v>POR EMITIR</v>
      </c>
      <c r="M1520" s="55" t="str">
        <f>+IF(Tabla6[[#This Row],[ESTADO FACTURA]]="PAGADA",Tabla6[[#This Row],[FECHA]]-_xlfn.XLOOKUP(Tabla6[[#This Row],[N° FACTURA]],INGRESOS!F:F,INGRESOS!A:A),"-")</f>
        <v>-</v>
      </c>
      <c r="N1520" s="2"/>
      <c r="O1520"/>
    </row>
    <row r="1521" spans="1:15" ht="14.75" customHeight="1">
      <c r="A1521" s="320" t="s">
        <v>159</v>
      </c>
      <c r="B1521" t="str">
        <f>+_xlfn.XLOOKUP(Tabla6[[#This Row],[ID CLIENTE]],'RESUMEN CLIENTES'!D:D,'RESUMEN CLIENTES'!A:A)</f>
        <v>Rodrigo Rivera Ruiz</v>
      </c>
      <c r="C1521" t="str">
        <f>+_xlfn.XLOOKUP(Tabla6[[#This Row],[ID CLIENTE]],'RESUMEN CLIENTES'!D:D,'RESUMEN CLIENTES'!C:C)</f>
        <v>Chile</v>
      </c>
      <c r="D1521" s="44" t="str">
        <f>+_xlfn.XLOOKUP(Tabla6[[#This Row],[ID CLIENTE]],'RESUMEN CLIENTES'!D:D,'RESUMEN CLIENTES'!M:M)</f>
        <v>OK</v>
      </c>
      <c r="E1521" s="72">
        <f>+_xlfn.XLOOKUP(Tabla6[[#This Row],[NOMBRE]],'RESUMEN CLIENTES'!A:A,'RESUMEN CLIENTES'!X:X)</f>
        <v>0.8</v>
      </c>
      <c r="F1521" s="72">
        <f>+_xlfn.XLOOKUP(Tabla6[[#This Row],[ID CLIENTE]],'RESUMEN CLIENTES'!D:D,'RESUMEN CLIENTES'!W:W)</f>
        <v>1</v>
      </c>
      <c r="G1521" s="17">
        <v>46208</v>
      </c>
      <c r="H1521" s="44" t="s">
        <v>81</v>
      </c>
      <c r="I1521" s="2">
        <v>800</v>
      </c>
      <c r="J1521"/>
      <c r="K1521"/>
      <c r="L1521" s="44" t="str" cm="1">
        <f t="array" ref="L1521">+_xlfn.IFS(COUNTIF(INGRESOS!E:E,Tabla6[[#This Row],[ID FACTURA]])=1,"PAGADA",Tabla6[[#This Row],[ID FACTURA]]&lt;&gt;0,"EMITIDA",Tabla6[[#This Row],[ID FACTURA]]=0,"POR EMITIR")</f>
        <v>POR EMITIR</v>
      </c>
      <c r="M1521" s="55" t="str">
        <f>+IF(Tabla6[[#This Row],[ESTADO FACTURA]]="PAGADA",Tabla6[[#This Row],[FECHA]]-_xlfn.XLOOKUP(Tabla6[[#This Row],[N° FACTURA]],INGRESOS!F:F,INGRESOS!A:A),"-")</f>
        <v>-</v>
      </c>
      <c r="N1521" s="2"/>
      <c r="O1521"/>
    </row>
    <row r="1522" spans="1:15" ht="14.75" customHeight="1">
      <c r="A1522" s="320" t="s">
        <v>281</v>
      </c>
      <c r="B1522" t="str">
        <f>+_xlfn.XLOOKUP(Tabla6[[#This Row],[ID CLIENTE]],'RESUMEN CLIENTES'!D:D,'RESUMEN CLIENTES'!A:A)</f>
        <v>Sergio Francisco Garcia Sandoval</v>
      </c>
      <c r="C1522" t="str">
        <f>+_xlfn.XLOOKUP(Tabla6[[#This Row],[ID CLIENTE]],'RESUMEN CLIENTES'!D:D,'RESUMEN CLIENTES'!C:C)</f>
        <v>Perú</v>
      </c>
      <c r="D1522" s="44" t="str">
        <f>+_xlfn.XLOOKUP(Tabla6[[#This Row],[ID CLIENTE]],'RESUMEN CLIENTES'!D:D,'RESUMEN CLIENTES'!M:M)</f>
        <v>OK</v>
      </c>
      <c r="E1522" s="72">
        <f>+_xlfn.XLOOKUP(Tabla6[[#This Row],[NOMBRE]],'RESUMEN CLIENTES'!A:A,'RESUMEN CLIENTES'!X:X)</f>
        <v>0.88888888888888884</v>
      </c>
      <c r="F1522" s="72">
        <f>+_xlfn.XLOOKUP(Tabla6[[#This Row],[ID CLIENTE]],'RESUMEN CLIENTES'!D:D,'RESUMEN CLIENTES'!W:W)</f>
        <v>1</v>
      </c>
      <c r="G1522" s="17">
        <v>46208</v>
      </c>
      <c r="H1522" s="44" t="s">
        <v>81</v>
      </c>
      <c r="I1522" s="2">
        <v>1000</v>
      </c>
      <c r="J1522"/>
      <c r="K1522"/>
      <c r="L1522" s="44" t="str" cm="1">
        <f t="array" ref="L1522">+_xlfn.IFS(COUNTIF(INGRESOS!E:E,Tabla6[[#This Row],[ID FACTURA]])=1,"PAGADA",Tabla6[[#This Row],[ID FACTURA]]&lt;&gt;0,"EMITIDA",Tabla6[[#This Row],[ID FACTURA]]=0,"POR EMITIR")</f>
        <v>POR EMITIR</v>
      </c>
      <c r="M1522" s="55" t="str">
        <f>+IF(Tabla6[[#This Row],[ESTADO FACTURA]]="PAGADA",Tabla6[[#This Row],[FECHA]]-_xlfn.XLOOKUP(Tabla6[[#This Row],[N° FACTURA]],INGRESOS!F:F,INGRESOS!A:A),"-")</f>
        <v>-</v>
      </c>
      <c r="N1522" s="2"/>
      <c r="O1522"/>
    </row>
    <row r="1523" spans="1:15" ht="14.75" customHeight="1">
      <c r="A1523" s="320" t="s">
        <v>907</v>
      </c>
      <c r="B1523" t="str">
        <f>+_xlfn.XLOOKUP(Tabla6[[#This Row],[ID CLIENTE]],'RESUMEN CLIENTES'!D:D,'RESUMEN CLIENTES'!A:A)</f>
        <v>Luis Carlos Villa Cortés</v>
      </c>
      <c r="C1523" t="str">
        <f>+_xlfn.XLOOKUP(Tabla6[[#This Row],[ID CLIENTE]],'RESUMEN CLIENTES'!D:D,'RESUMEN CLIENTES'!C:C)</f>
        <v>México</v>
      </c>
      <c r="D1523" s="44" t="str">
        <f>+_xlfn.XLOOKUP(Tabla6[[#This Row],[ID CLIENTE]],'RESUMEN CLIENTES'!D:D,'RESUMEN CLIENTES'!M:M)</f>
        <v>OK</v>
      </c>
      <c r="E1523" s="72">
        <f>+_xlfn.XLOOKUP(Tabla6[[#This Row],[NOMBRE]],'RESUMEN CLIENTES'!A:A,'RESUMEN CLIENTES'!X:X)</f>
        <v>0</v>
      </c>
      <c r="F1523" s="72">
        <f>+_xlfn.XLOOKUP(Tabla6[[#This Row],[ID CLIENTE]],'RESUMEN CLIENTES'!D:D,'RESUMEN CLIENTES'!W:W)</f>
        <v>1</v>
      </c>
      <c r="G1523" s="17">
        <v>46209</v>
      </c>
      <c r="H1523" s="44" t="s">
        <v>81</v>
      </c>
      <c r="I1523" s="2">
        <v>1000</v>
      </c>
      <c r="J1523"/>
      <c r="K1523"/>
      <c r="L1523" s="44" t="str" cm="1">
        <f t="array" ref="L1523">+_xlfn.IFS(COUNTIF(INGRESOS!E:E,Tabla6[[#This Row],[ID FACTURA]])=1,"PAGADA",Tabla6[[#This Row],[ID FACTURA]]&lt;&gt;0,"EMITIDA",Tabla6[[#This Row],[ID FACTURA]]=0,"POR EMITIR")</f>
        <v>POR EMITIR</v>
      </c>
      <c r="M1523" s="55" t="str">
        <f>+IF(Tabla6[[#This Row],[ESTADO FACTURA]]="PAGADA",Tabla6[[#This Row],[FECHA]]-_xlfn.XLOOKUP(Tabla6[[#This Row],[N° FACTURA]],INGRESOS!F:F,INGRESOS!A:A),"-")</f>
        <v>-</v>
      </c>
      <c r="N1523" s="2"/>
      <c r="O1523"/>
    </row>
    <row r="1524" spans="1:15" ht="14.75" customHeight="1">
      <c r="A1524" s="320" t="s">
        <v>1152</v>
      </c>
      <c r="B1524" t="str">
        <f>+_xlfn.XLOOKUP(Tabla6[[#This Row],[ID CLIENTE]],'RESUMEN CLIENTES'!D:D,'RESUMEN CLIENTES'!A:A)</f>
        <v>Ricardo Ernesto Miño Valencia</v>
      </c>
      <c r="C1524" t="str">
        <f>+_xlfn.XLOOKUP(Tabla6[[#This Row],[ID CLIENTE]],'RESUMEN CLIENTES'!D:D,'RESUMEN CLIENTES'!C:C)</f>
        <v>Ecuador</v>
      </c>
      <c r="D1524" s="44" t="str">
        <f>+_xlfn.XLOOKUP(Tabla6[[#This Row],[ID CLIENTE]],'RESUMEN CLIENTES'!D:D,'RESUMEN CLIENTES'!M:M)</f>
        <v>OK</v>
      </c>
      <c r="E1524" s="72">
        <f>+_xlfn.XLOOKUP(Tabla6[[#This Row],[NOMBRE]],'RESUMEN CLIENTES'!A:A,'RESUMEN CLIENTES'!X:X)</f>
        <v>-3.2</v>
      </c>
      <c r="F1524" s="72">
        <f>+_xlfn.XLOOKUP(Tabla6[[#This Row],[ID CLIENTE]],'RESUMEN CLIENTES'!D:D,'RESUMEN CLIENTES'!W:W)</f>
        <v>1</v>
      </c>
      <c r="G1524" s="17">
        <v>46209</v>
      </c>
      <c r="H1524" s="44" t="s">
        <v>81</v>
      </c>
      <c r="I1524" s="2">
        <v>700</v>
      </c>
      <c r="J1524"/>
      <c r="K1524"/>
      <c r="L1524" s="44" t="str" cm="1">
        <f t="array" ref="L1524">+_xlfn.IFS(COUNTIF(INGRESOS!E:E,Tabla6[[#This Row],[ID FACTURA]])=1,"PAGADA",Tabla6[[#This Row],[ID FACTURA]]&lt;&gt;0,"EMITIDA",Tabla6[[#This Row],[ID FACTURA]]=0,"POR EMITIR")</f>
        <v>POR EMITIR</v>
      </c>
      <c r="M1524" s="55" t="str">
        <f>+IF(Tabla6[[#This Row],[ESTADO FACTURA]]="PAGADA",Tabla6[[#This Row],[FECHA]]-_xlfn.XLOOKUP(Tabla6[[#This Row],[N° FACTURA]],INGRESOS!F:F,INGRESOS!A:A),"-")</f>
        <v>-</v>
      </c>
      <c r="N1524" s="2"/>
      <c r="O1524"/>
    </row>
    <row r="1525" spans="1:15" ht="14.75" customHeight="1">
      <c r="A1525" s="320" t="s">
        <v>1645</v>
      </c>
      <c r="B1525" t="str">
        <f>+_xlfn.XLOOKUP(Tabla6[[#This Row],[ID CLIENTE]],'RESUMEN CLIENTES'!D:D,'RESUMEN CLIENTES'!A:A)</f>
        <v>Gerardo Abel Palacios Preciado</v>
      </c>
      <c r="C1525" t="str">
        <f>+_xlfn.XLOOKUP(Tabla6[[#This Row],[ID CLIENTE]],'RESUMEN CLIENTES'!D:D,'RESUMEN CLIENTES'!C:C)</f>
        <v>México</v>
      </c>
      <c r="D1525" s="169" t="str">
        <f>+_xlfn.XLOOKUP(Tabla6[[#This Row],[ID CLIENTE]],'RESUMEN CLIENTES'!D:D,'RESUMEN CLIENTES'!M:M)</f>
        <v>OK</v>
      </c>
      <c r="E1525" s="71">
        <f>+_xlfn.XLOOKUP(Tabla6[[#This Row],[NOMBRE]],'RESUMEN CLIENTES'!A:A,'RESUMEN CLIENTES'!X:X)</f>
        <v>-1.3333333333333333</v>
      </c>
      <c r="F1525" s="71">
        <f>+_xlfn.XLOOKUP(Tabla6[[#This Row],[ID CLIENTE]],'RESUMEN CLIENTES'!D:D,'RESUMEN CLIENTES'!W:W)</f>
        <v>1</v>
      </c>
      <c r="G1525" s="17">
        <v>46212</v>
      </c>
      <c r="H1525" s="169" t="s">
        <v>81</v>
      </c>
      <c r="I1525" s="2">
        <v>650</v>
      </c>
      <c r="J1525"/>
      <c r="K1525"/>
      <c r="L1525" s="44" t="str" cm="1">
        <f t="array" ref="L1525">+_xlfn.IFS(COUNTIF(INGRESOS!E:E,Tabla6[[#This Row],[ID FACTURA]])=1,"PAGADA",Tabla6[[#This Row],[ID FACTURA]]&lt;&gt;0,"EMITIDA",Tabla6[[#This Row],[ID FACTURA]]=0,"POR EMITIR")</f>
        <v>POR EMITIR</v>
      </c>
      <c r="M1525" s="55" t="str">
        <f>+IF(Tabla6[[#This Row],[ESTADO FACTURA]]="PAGADA",Tabla6[[#This Row],[FECHA]]-_xlfn.XLOOKUP(Tabla6[[#This Row],[N° FACTURA]],INGRESOS!F:F,INGRESOS!A:A),"-")</f>
        <v>-</v>
      </c>
      <c r="N1525" s="2"/>
      <c r="O1525"/>
    </row>
    <row r="1526" spans="1:15" ht="14.75" customHeight="1">
      <c r="A1526" s="321" t="s">
        <v>367</v>
      </c>
      <c r="B1526" t="str">
        <f>+_xlfn.XLOOKUP(Tabla6[[#This Row],[ID CLIENTE]],'RESUMEN CLIENTES'!D:D,'RESUMEN CLIENTES'!A:A)</f>
        <v>José Miguel Undurraga Saavedra</v>
      </c>
      <c r="C1526" t="str">
        <f>+_xlfn.XLOOKUP(Tabla6[[#This Row],[ID CLIENTE]],'RESUMEN CLIENTES'!D:D,'RESUMEN CLIENTES'!C:C)</f>
        <v>Chile</v>
      </c>
      <c r="D1526" s="169" t="str">
        <f>+_xlfn.XLOOKUP(Tabla6[[#This Row],[ID CLIENTE]],'RESUMEN CLIENTES'!D:D,'RESUMEN CLIENTES'!M:M)</f>
        <v>OK</v>
      </c>
      <c r="E1526" s="71">
        <f>+_xlfn.XLOOKUP(Tabla6[[#This Row],[NOMBRE]],'RESUMEN CLIENTES'!A:A,'RESUMEN CLIENTES'!X:X)</f>
        <v>-11.5</v>
      </c>
      <c r="F1526" s="71">
        <f>+_xlfn.XLOOKUP(Tabla6[[#This Row],[ID CLIENTE]],'RESUMEN CLIENTES'!D:D,'RESUMEN CLIENTES'!W:W)</f>
        <v>0</v>
      </c>
      <c r="G1526" s="17">
        <v>46213</v>
      </c>
      <c r="H1526" s="169" t="s">
        <v>81</v>
      </c>
      <c r="I1526" s="2">
        <v>5000</v>
      </c>
      <c r="J1526"/>
      <c r="K1526"/>
      <c r="L1526" s="44" t="str" cm="1">
        <f t="array" ref="L1526">+_xlfn.IFS(COUNTIF(INGRESOS!E:E,Tabla6[[#This Row],[ID FACTURA]])=1,"PAGADA",Tabla6[[#This Row],[ID FACTURA]]&lt;&gt;0,"EMITIDA",Tabla6[[#This Row],[ID FACTURA]]=0,"POR EMITIR")</f>
        <v>POR EMITIR</v>
      </c>
      <c r="M1526" s="54" t="str">
        <f>+IF(Tabla6[[#This Row],[ESTADO FACTURA]]="PAGADA",Tabla6[[#This Row],[FECHA]]-_xlfn.XLOOKUP(Tabla6[[#This Row],[N° FACTURA]],INGRESOS!F:F,INGRESOS!A:A),"-")</f>
        <v>-</v>
      </c>
      <c r="O1526"/>
    </row>
    <row r="1527" spans="1:15" ht="14.75" customHeight="1">
      <c r="A1527" s="320" t="s">
        <v>455</v>
      </c>
      <c r="B1527" t="str">
        <f>+_xlfn.XLOOKUP(Tabla6[[#This Row],[ID CLIENTE]],'RESUMEN CLIENTES'!D:D,'RESUMEN CLIENTES'!A:A)</f>
        <v>Paola Hitos</v>
      </c>
      <c r="C1527" t="str">
        <f>+_xlfn.XLOOKUP(Tabla6[[#This Row],[ID CLIENTE]],'RESUMEN CLIENTES'!D:D,'RESUMEN CLIENTES'!C:C)</f>
        <v>México</v>
      </c>
      <c r="D1527" s="44" t="str">
        <f>+_xlfn.XLOOKUP(Tabla6[[#This Row],[ID CLIENTE]],'RESUMEN CLIENTES'!D:D,'RESUMEN CLIENTES'!M:M)</f>
        <v>OK</v>
      </c>
      <c r="E1527" s="72">
        <f>+_xlfn.XLOOKUP(Tabla6[[#This Row],[NOMBRE]],'RESUMEN CLIENTES'!A:A,'RESUMEN CLIENTES'!X:X)</f>
        <v>-0.55555555555555558</v>
      </c>
      <c r="F1527" s="72">
        <f>+_xlfn.XLOOKUP(Tabla6[[#This Row],[ID CLIENTE]],'RESUMEN CLIENTES'!D:D,'RESUMEN CLIENTES'!W:W)</f>
        <v>1</v>
      </c>
      <c r="G1527" s="17">
        <v>46213</v>
      </c>
      <c r="H1527" s="44" t="s">
        <v>81</v>
      </c>
      <c r="I1527" s="2">
        <v>1000</v>
      </c>
      <c r="J1527"/>
      <c r="K1527"/>
      <c r="L1527" s="44" t="str" cm="1">
        <f t="array" ref="L1527">+_xlfn.IFS(COUNTIF(INGRESOS!E:E,Tabla6[[#This Row],[ID FACTURA]])=1,"PAGADA",Tabla6[[#This Row],[ID FACTURA]]&lt;&gt;0,"EMITIDA",Tabla6[[#This Row],[ID FACTURA]]=0,"POR EMITIR")</f>
        <v>POR EMITIR</v>
      </c>
      <c r="M1527" s="55" t="str">
        <f>+IF(Tabla6[[#This Row],[ESTADO FACTURA]]="PAGADA",Tabla6[[#This Row],[FECHA]]-_xlfn.XLOOKUP(Tabla6[[#This Row],[N° FACTURA]],INGRESOS!F:F,INGRESOS!A:A),"-")</f>
        <v>-</v>
      </c>
      <c r="N1527" s="2"/>
      <c r="O1527"/>
    </row>
    <row r="1528" spans="1:15" ht="14.75" customHeight="1">
      <c r="A1528" s="320" t="s">
        <v>501</v>
      </c>
      <c r="B1528" t="str">
        <f>+_xlfn.XLOOKUP(Tabla6[[#This Row],[ID CLIENTE]],'RESUMEN CLIENTES'!D:D,'RESUMEN CLIENTES'!A:A)</f>
        <v>Kimberly Chantelle Frey Arteaga</v>
      </c>
      <c r="C1528" t="str">
        <f>+_xlfn.XLOOKUP(Tabla6[[#This Row],[ID CLIENTE]],'RESUMEN CLIENTES'!D:D,'RESUMEN CLIENTES'!C:C)</f>
        <v>México</v>
      </c>
      <c r="D1528" s="44" t="str">
        <f>+_xlfn.XLOOKUP(Tabla6[[#This Row],[ID CLIENTE]],'RESUMEN CLIENTES'!D:D,'RESUMEN CLIENTES'!M:M)</f>
        <v>OK</v>
      </c>
      <c r="E1528" s="72">
        <f>+_xlfn.XLOOKUP(Tabla6[[#This Row],[NOMBRE]],'RESUMEN CLIENTES'!A:A,'RESUMEN CLIENTES'!X:X)</f>
        <v>0</v>
      </c>
      <c r="F1528" s="72">
        <f>+_xlfn.XLOOKUP(Tabla6[[#This Row],[ID CLIENTE]],'RESUMEN CLIENTES'!D:D,'RESUMEN CLIENTES'!W:W)</f>
        <v>1</v>
      </c>
      <c r="G1528" s="17">
        <v>46215</v>
      </c>
      <c r="H1528" s="44" t="s">
        <v>81</v>
      </c>
      <c r="I1528" s="2">
        <v>1000</v>
      </c>
      <c r="J1528"/>
      <c r="K1528"/>
      <c r="L1528" s="44" t="str" cm="1">
        <f t="array" ref="L1528">+_xlfn.IFS(COUNTIF(INGRESOS!E:E,Tabla6[[#This Row],[ID FACTURA]])=1,"PAGADA",Tabla6[[#This Row],[ID FACTURA]]&lt;&gt;0,"EMITIDA",Tabla6[[#This Row],[ID FACTURA]]=0,"POR EMITIR")</f>
        <v>POR EMITIR</v>
      </c>
      <c r="M1528" s="55" t="str">
        <f>+IF(Tabla6[[#This Row],[ESTADO FACTURA]]="PAGADA",Tabla6[[#This Row],[FECHA]]-_xlfn.XLOOKUP(Tabla6[[#This Row],[N° FACTURA]],INGRESOS!F:F,INGRESOS!A:A),"-")</f>
        <v>-</v>
      </c>
      <c r="N1528" s="2"/>
      <c r="O1528"/>
    </row>
    <row r="1529" spans="1:15" ht="14.75" customHeight="1">
      <c r="A1529" s="320" t="s">
        <v>187</v>
      </c>
      <c r="B1529" t="str">
        <f>+_xlfn.XLOOKUP(Tabla6[[#This Row],[ID CLIENTE]],'RESUMEN CLIENTES'!D:D,'RESUMEN CLIENTES'!A:A)</f>
        <v>Alina Maria Cervantes Real</v>
      </c>
      <c r="C1529" t="str">
        <f>+_xlfn.XLOOKUP(Tabla6[[#This Row],[ID CLIENTE]],'RESUMEN CLIENTES'!D:D,'RESUMEN CLIENTES'!C:C)</f>
        <v>México</v>
      </c>
      <c r="D1529" s="44" t="str">
        <f>+_xlfn.XLOOKUP(Tabla6[[#This Row],[ID CLIENTE]],'RESUMEN CLIENTES'!D:D,'RESUMEN CLIENTES'!M:M)</f>
        <v>OK</v>
      </c>
      <c r="E1529" s="72">
        <f>+_xlfn.XLOOKUP(Tabla6[[#This Row],[NOMBRE]],'RESUMEN CLIENTES'!A:A,'RESUMEN CLIENTES'!X:X)</f>
        <v>21.583333333333332</v>
      </c>
      <c r="F1529" s="72">
        <f>+_xlfn.XLOOKUP(Tabla6[[#This Row],[ID CLIENTE]],'RESUMEN CLIENTES'!D:D,'RESUMEN CLIENTES'!W:W)</f>
        <v>1</v>
      </c>
      <c r="G1529" s="17">
        <v>46218</v>
      </c>
      <c r="H1529" s="44" t="s">
        <v>81</v>
      </c>
      <c r="I1529" s="2">
        <v>800</v>
      </c>
      <c r="J1529"/>
      <c r="K1529"/>
      <c r="L1529" s="44" t="str" cm="1">
        <f t="array" ref="L1529">+_xlfn.IFS(COUNTIF(INGRESOS!E:E,Tabla6[[#This Row],[ID FACTURA]])=1,"PAGADA",Tabla6[[#This Row],[ID FACTURA]]&lt;&gt;0,"EMITIDA",Tabla6[[#This Row],[ID FACTURA]]=0,"POR EMITIR")</f>
        <v>POR EMITIR</v>
      </c>
      <c r="M1529" s="55" t="str">
        <f>+IF(Tabla6[[#This Row],[ESTADO FACTURA]]="PAGADA",Tabla6[[#This Row],[FECHA]]-_xlfn.XLOOKUP(Tabla6[[#This Row],[N° FACTURA]],INGRESOS!F:F,INGRESOS!A:A),"-")</f>
        <v>-</v>
      </c>
      <c r="N1529" s="2"/>
      <c r="O1529"/>
    </row>
    <row r="1530" spans="1:15" ht="14.75" customHeight="1">
      <c r="A1530" s="320" t="s">
        <v>325</v>
      </c>
      <c r="B1530" t="str">
        <f>+_xlfn.XLOOKUP(Tabla6[[#This Row],[ID CLIENTE]],'RESUMEN CLIENTES'!D:D,'RESUMEN CLIENTES'!A:A)</f>
        <v>Andrea Cristina Estrada Morocho</v>
      </c>
      <c r="C1530" t="str">
        <f>+_xlfn.XLOOKUP(Tabla6[[#This Row],[ID CLIENTE]],'RESUMEN CLIENTES'!D:D,'RESUMEN CLIENTES'!C:C)</f>
        <v>Ecuador</v>
      </c>
      <c r="D1530" s="44" t="str">
        <f>+_xlfn.XLOOKUP(Tabla6[[#This Row],[ID CLIENTE]],'RESUMEN CLIENTES'!D:D,'RESUMEN CLIENTES'!M:M)</f>
        <v>OK</v>
      </c>
      <c r="E1530" s="72">
        <f>+_xlfn.XLOOKUP(Tabla6[[#This Row],[NOMBRE]],'RESUMEN CLIENTES'!A:A,'RESUMEN CLIENTES'!X:X)</f>
        <v>-3.6666666666666665</v>
      </c>
      <c r="F1530" s="72">
        <f>+_xlfn.XLOOKUP(Tabla6[[#This Row],[ID CLIENTE]],'RESUMEN CLIENTES'!D:D,'RESUMEN CLIENTES'!W:W)</f>
        <v>1</v>
      </c>
      <c r="G1530" s="17">
        <v>46218</v>
      </c>
      <c r="H1530" s="44" t="s">
        <v>81</v>
      </c>
      <c r="I1530" s="2">
        <v>6000</v>
      </c>
      <c r="J1530"/>
      <c r="K1530"/>
      <c r="L1530" s="44" t="str" cm="1">
        <f t="array" ref="L1530">+_xlfn.IFS(COUNTIF(INGRESOS!E:E,Tabla6[[#This Row],[ID FACTURA]])=1,"PAGADA",Tabla6[[#This Row],[ID FACTURA]]&lt;&gt;0,"EMITIDA",Tabla6[[#This Row],[ID FACTURA]]=0,"POR EMITIR")</f>
        <v>POR EMITIR</v>
      </c>
      <c r="M1530" s="55" t="str">
        <f>+IF(Tabla6[[#This Row],[ESTADO FACTURA]]="PAGADA",Tabla6[[#This Row],[FECHA]]-_xlfn.XLOOKUP(Tabla6[[#This Row],[N° FACTURA]],INGRESOS!F:F,INGRESOS!A:A),"-")</f>
        <v>-</v>
      </c>
      <c r="N1530" s="2"/>
      <c r="O1530"/>
    </row>
    <row r="1531" spans="1:15" ht="14.75" customHeight="1">
      <c r="A1531" s="320" t="s">
        <v>4768</v>
      </c>
      <c r="B1531" t="str">
        <f>+_xlfn.XLOOKUP(Tabla6[[#This Row],[ID CLIENTE]],'RESUMEN CLIENTES'!D:D,'RESUMEN CLIENTES'!A:A)</f>
        <v>Carla Elena Patínez Rondón</v>
      </c>
      <c r="C1531" s="15" t="str">
        <f>+_xlfn.XLOOKUP(Tabla6[[#This Row],[ID CLIENTE]],'RESUMEN CLIENTES'!D:D,'RESUMEN CLIENTES'!C:C)</f>
        <v>Venezuela</v>
      </c>
      <c r="D1531" s="169" t="str">
        <f>+_xlfn.XLOOKUP(Tabla6[[#This Row],[ID CLIENTE]],'RESUMEN CLIENTES'!D:D,'RESUMEN CLIENTES'!M:M)</f>
        <v>OK</v>
      </c>
      <c r="E1531" s="71">
        <f>+_xlfn.XLOOKUP(Tabla6[[#This Row],[NOMBRE]],'RESUMEN CLIENTES'!A:A,'RESUMEN CLIENTES'!X:X)</f>
        <v>-9</v>
      </c>
      <c r="F1531" s="71">
        <f>+_xlfn.XLOOKUP(Tabla6[[#This Row],[ID CLIENTE]],'RESUMEN CLIENTES'!D:D,'RESUMEN CLIENTES'!W:W)</f>
        <v>0</v>
      </c>
      <c r="G1531" s="17">
        <v>46218</v>
      </c>
      <c r="H1531" s="169" t="s">
        <v>81</v>
      </c>
      <c r="I1531" s="2">
        <v>1000</v>
      </c>
      <c r="J1531"/>
      <c r="K1531"/>
      <c r="L1531" s="44" t="str" cm="1">
        <f t="array" ref="L1531">+_xlfn.IFS(COUNTIF(INGRESOS!E:E,Tabla6[[#This Row],[ID FACTURA]])=1,"PAGADA",Tabla6[[#This Row],[ID FACTURA]]&lt;&gt;0,"EMITIDA",Tabla6[[#This Row],[ID FACTURA]]=0,"POR EMITIR")</f>
        <v>POR EMITIR</v>
      </c>
      <c r="M1531" s="54" t="str">
        <f>+IF(Tabla6[[#This Row],[ESTADO FACTURA]]="PAGADA",Tabla6[[#This Row],[FECHA]]-_xlfn.XLOOKUP(Tabla6[[#This Row],[N° FACTURA]],INGRESOS!F:F,INGRESOS!A:A),"-")</f>
        <v>-</v>
      </c>
      <c r="O1531"/>
    </row>
    <row r="1532" spans="1:15" ht="14.75" customHeight="1">
      <c r="A1532" s="320" t="s">
        <v>751</v>
      </c>
      <c r="B1532" t="str">
        <f>+_xlfn.XLOOKUP(Tabla6[[#This Row],[ID CLIENTE]],'RESUMEN CLIENTES'!D:D,'RESUMEN CLIENTES'!A:A)</f>
        <v>Carlos Alberto Suarez Hernandez</v>
      </c>
      <c r="C1532" t="str">
        <f>+_xlfn.XLOOKUP(Tabla6[[#This Row],[ID CLIENTE]],'RESUMEN CLIENTES'!D:D,'RESUMEN CLIENTES'!C:C)</f>
        <v>Colombia</v>
      </c>
      <c r="D1532" s="44" t="str">
        <f>+_xlfn.XLOOKUP(Tabla6[[#This Row],[ID CLIENTE]],'RESUMEN CLIENTES'!D:D,'RESUMEN CLIENTES'!M:M)</f>
        <v>OK</v>
      </c>
      <c r="E1532" s="72">
        <f>+_xlfn.XLOOKUP(Tabla6[[#This Row],[NOMBRE]],'RESUMEN CLIENTES'!A:A,'RESUMEN CLIENTES'!X:X)</f>
        <v>0</v>
      </c>
      <c r="F1532" s="72">
        <f>+_xlfn.XLOOKUP(Tabla6[[#This Row],[ID CLIENTE]],'RESUMEN CLIENTES'!D:D,'RESUMEN CLIENTES'!W:W)</f>
        <v>1</v>
      </c>
      <c r="G1532" s="17">
        <v>46218</v>
      </c>
      <c r="H1532" s="44" t="s">
        <v>81</v>
      </c>
      <c r="I1532" s="2">
        <v>1000</v>
      </c>
      <c r="J1532"/>
      <c r="K1532"/>
      <c r="L1532" s="44" t="str" cm="1">
        <f t="array" ref="L1532">+_xlfn.IFS(COUNTIF(INGRESOS!E:E,Tabla6[[#This Row],[ID FACTURA]])=1,"PAGADA",Tabla6[[#This Row],[ID FACTURA]]&lt;&gt;0,"EMITIDA",Tabla6[[#This Row],[ID FACTURA]]=0,"POR EMITIR")</f>
        <v>POR EMITIR</v>
      </c>
      <c r="M1532" s="55" t="str">
        <f>+IF(Tabla6[[#This Row],[ESTADO FACTURA]]="PAGADA",Tabla6[[#This Row],[FECHA]]-_xlfn.XLOOKUP(Tabla6[[#This Row],[N° FACTURA]],INGRESOS!F:F,INGRESOS!A:A),"-")</f>
        <v>-</v>
      </c>
      <c r="N1532" s="2"/>
      <c r="O1532"/>
    </row>
    <row r="1533" spans="1:15" ht="14.75" customHeight="1">
      <c r="A1533" s="320" t="s">
        <v>1945</v>
      </c>
      <c r="B1533" t="str">
        <f>+_xlfn.XLOOKUP(Tabla6[[#This Row],[ID CLIENTE]],'RESUMEN CLIENTES'!D:D,'RESUMEN CLIENTES'!A:A)</f>
        <v>Fernanda Constanza Kompai Antu Arellano Guzmán</v>
      </c>
      <c r="C1533" t="str">
        <f>+_xlfn.XLOOKUP(Tabla6[[#This Row],[ID CLIENTE]],'RESUMEN CLIENTES'!D:D,'RESUMEN CLIENTES'!C:C)</f>
        <v>Chile</v>
      </c>
      <c r="D1533" s="169" t="str">
        <f>+_xlfn.XLOOKUP(Tabla6[[#This Row],[ID CLIENTE]],'RESUMEN CLIENTES'!D:D,'RESUMEN CLIENTES'!M:M)</f>
        <v>OK</v>
      </c>
      <c r="E1533" s="71">
        <f>+_xlfn.XLOOKUP(Tabla6[[#This Row],[NOMBRE]],'RESUMEN CLIENTES'!A:A,'RESUMEN CLIENTES'!X:X)</f>
        <v>0</v>
      </c>
      <c r="F1533" s="71">
        <f>+_xlfn.XLOOKUP(Tabla6[[#This Row],[ID CLIENTE]],'RESUMEN CLIENTES'!D:D,'RESUMEN CLIENTES'!W:W)</f>
        <v>0</v>
      </c>
      <c r="G1533" s="170">
        <v>46218</v>
      </c>
      <c r="H1533" s="170" t="s">
        <v>81</v>
      </c>
      <c r="I1533" s="2">
        <v>650</v>
      </c>
      <c r="J1533"/>
      <c r="K1533"/>
      <c r="L1533" s="44" t="str" cm="1">
        <f t="array" ref="L1533">+_xlfn.IFS(COUNTIF(INGRESOS!E:E,Tabla6[[#This Row],[ID FACTURA]])=1,"PAGADA",Tabla6[[#This Row],[ID FACTURA]]&lt;&gt;0,"EMITIDA",Tabla6[[#This Row],[ID FACTURA]]=0,"POR EMITIR")</f>
        <v>POR EMITIR</v>
      </c>
      <c r="M1533" s="54" t="str">
        <f>+IF(Tabla6[[#This Row],[ESTADO FACTURA]]="PAGADA",Tabla6[[#This Row],[FECHA]]-_xlfn.XLOOKUP(Tabla6[[#This Row],[N° FACTURA]],INGRESOS!F:F,INGRESOS!A:A),"-")</f>
        <v>-</v>
      </c>
      <c r="O1533"/>
    </row>
    <row r="1534" spans="1:15" ht="14.75" customHeight="1">
      <c r="A1534" s="320" t="s">
        <v>95</v>
      </c>
      <c r="B1534" t="str">
        <f>+_xlfn.XLOOKUP(Tabla6[[#This Row],[ID CLIENTE]],'RESUMEN CLIENTES'!D:D,'RESUMEN CLIENTES'!A:A)</f>
        <v>Gabriel Alejandro Ortega Moreno</v>
      </c>
      <c r="C1534" t="str">
        <f>+_xlfn.XLOOKUP(Tabla6[[#This Row],[ID CLIENTE]],'RESUMEN CLIENTES'!D:D,'RESUMEN CLIENTES'!C:C)</f>
        <v>Ecuador</v>
      </c>
      <c r="D1534" s="44" t="str">
        <f>+_xlfn.XLOOKUP(Tabla6[[#This Row],[ID CLIENTE]],'RESUMEN CLIENTES'!D:D,'RESUMEN CLIENTES'!M:M)</f>
        <v>OK</v>
      </c>
      <c r="E1534" s="72">
        <f>+_xlfn.XLOOKUP(Tabla6[[#This Row],[NOMBRE]],'RESUMEN CLIENTES'!A:A,'RESUMEN CLIENTES'!X:X)</f>
        <v>-0.1111111111111111</v>
      </c>
      <c r="F1534" s="72">
        <f>+_xlfn.XLOOKUP(Tabla6[[#This Row],[ID CLIENTE]],'RESUMEN CLIENTES'!D:D,'RESUMEN CLIENTES'!W:W)</f>
        <v>0</v>
      </c>
      <c r="G1534" s="17">
        <v>46218</v>
      </c>
      <c r="H1534" s="44" t="s">
        <v>81</v>
      </c>
      <c r="I1534" s="2">
        <v>600</v>
      </c>
      <c r="J1534"/>
      <c r="K1534"/>
      <c r="L1534" s="44" t="str" cm="1">
        <f t="array" ref="L1534">+_xlfn.IFS(COUNTIF(INGRESOS!E:E,Tabla6[[#This Row],[ID FACTURA]])=1,"PAGADA",Tabla6[[#This Row],[ID FACTURA]]&lt;&gt;0,"EMITIDA",Tabla6[[#This Row],[ID FACTURA]]=0,"POR EMITIR")</f>
        <v>POR EMITIR</v>
      </c>
      <c r="M1534" s="55" t="str">
        <f>+IF(Tabla6[[#This Row],[ESTADO FACTURA]]="PAGADA",Tabla6[[#This Row],[FECHA]]-_xlfn.XLOOKUP(Tabla6[[#This Row],[N° FACTURA]],INGRESOS!F:F,INGRESOS!A:A),"-")</f>
        <v>-</v>
      </c>
      <c r="N1534" s="2"/>
      <c r="O1534"/>
    </row>
    <row r="1535" spans="1:15" ht="14.75" customHeight="1">
      <c r="A1535" s="320" t="s">
        <v>98</v>
      </c>
      <c r="B1535" t="str">
        <f>+_xlfn.XLOOKUP(Tabla6[[#This Row],[ID CLIENTE]],'RESUMEN CLIENTES'!D:D,'RESUMEN CLIENTES'!A:A)</f>
        <v>Gabriela Kimberlyn Moran Caiza</v>
      </c>
      <c r="C1535" t="str">
        <f>+_xlfn.XLOOKUP(Tabla6[[#This Row],[ID CLIENTE]],'RESUMEN CLIENTES'!D:D,'RESUMEN CLIENTES'!C:C)</f>
        <v>Ecuador</v>
      </c>
      <c r="D1535" s="44" t="str">
        <f>+_xlfn.XLOOKUP(Tabla6[[#This Row],[ID CLIENTE]],'RESUMEN CLIENTES'!D:D,'RESUMEN CLIENTES'!M:M)</f>
        <v>OK</v>
      </c>
      <c r="E1535" s="72">
        <f>+_xlfn.XLOOKUP(Tabla6[[#This Row],[NOMBRE]],'RESUMEN CLIENTES'!A:A,'RESUMEN CLIENTES'!X:X)</f>
        <v>-1.25</v>
      </c>
      <c r="F1535" s="72">
        <f>+_xlfn.XLOOKUP(Tabla6[[#This Row],[ID CLIENTE]],'RESUMEN CLIENTES'!D:D,'RESUMEN CLIENTES'!W:W)</f>
        <v>0</v>
      </c>
      <c r="G1535" s="17">
        <v>46218</v>
      </c>
      <c r="H1535" s="44" t="s">
        <v>81</v>
      </c>
      <c r="I1535" s="2">
        <v>300</v>
      </c>
      <c r="J1535"/>
      <c r="K1535"/>
      <c r="L1535" s="44" t="str" cm="1">
        <f t="array" ref="L1535">+_xlfn.IFS(COUNTIF(INGRESOS!E:E,Tabla6[[#This Row],[ID FACTURA]])=1,"PAGADA",Tabla6[[#This Row],[ID FACTURA]]&lt;&gt;0,"EMITIDA",Tabla6[[#This Row],[ID FACTURA]]=0,"POR EMITIR")</f>
        <v>POR EMITIR</v>
      </c>
      <c r="M1535" s="55" t="str">
        <f>+IF(Tabla6[[#This Row],[ESTADO FACTURA]]="PAGADA",Tabla6[[#This Row],[FECHA]]-_xlfn.XLOOKUP(Tabla6[[#This Row],[N° FACTURA]],INGRESOS!F:F,INGRESOS!A:A),"-")</f>
        <v>-</v>
      </c>
      <c r="N1535" s="2"/>
      <c r="O1535"/>
    </row>
    <row r="1536" spans="1:15" ht="14.75" customHeight="1">
      <c r="A1536" s="320" t="s">
        <v>103</v>
      </c>
      <c r="B1536" t="str">
        <f>+_xlfn.XLOOKUP(Tabla6[[#This Row],[ID CLIENTE]],'RESUMEN CLIENTES'!D:D,'RESUMEN CLIENTES'!A:A)</f>
        <v>Isaac Ricardo Jimenez Campos</v>
      </c>
      <c r="C1536" t="str">
        <f>+_xlfn.XLOOKUP(Tabla6[[#This Row],[ID CLIENTE]],'RESUMEN CLIENTES'!D:D,'RESUMEN CLIENTES'!C:C)</f>
        <v>México</v>
      </c>
      <c r="D1536" s="44" t="str">
        <f>+_xlfn.XLOOKUP(Tabla6[[#This Row],[ID CLIENTE]],'RESUMEN CLIENTES'!D:D,'RESUMEN CLIENTES'!M:M)</f>
        <v>OK</v>
      </c>
      <c r="E1536" s="72">
        <f>+_xlfn.XLOOKUP(Tabla6[[#This Row],[NOMBRE]],'RESUMEN CLIENTES'!A:A,'RESUMEN CLIENTES'!X:X)</f>
        <v>0.5</v>
      </c>
      <c r="F1536" s="72">
        <f>+_xlfn.XLOOKUP(Tabla6[[#This Row],[ID CLIENTE]],'RESUMEN CLIENTES'!D:D,'RESUMEN CLIENTES'!W:W)</f>
        <v>1</v>
      </c>
      <c r="G1536" s="17">
        <v>46218</v>
      </c>
      <c r="H1536" s="44" t="s">
        <v>81</v>
      </c>
      <c r="I1536" s="2">
        <v>654</v>
      </c>
      <c r="J1536"/>
      <c r="K1536"/>
      <c r="L1536" s="44" t="str" cm="1">
        <f t="array" ref="L1536">+_xlfn.IFS(COUNTIF(INGRESOS!E:E,Tabla6[[#This Row],[ID FACTURA]])=1,"PAGADA",Tabla6[[#This Row],[ID FACTURA]]&lt;&gt;0,"EMITIDA",Tabla6[[#This Row],[ID FACTURA]]=0,"POR EMITIR")</f>
        <v>POR EMITIR</v>
      </c>
      <c r="M1536" s="55" t="str">
        <f>+IF(Tabla6[[#This Row],[ESTADO FACTURA]]="PAGADA",Tabla6[[#This Row],[FECHA]]-_xlfn.XLOOKUP(Tabla6[[#This Row],[N° FACTURA]],INGRESOS!F:F,INGRESOS!A:A),"-")</f>
        <v>-</v>
      </c>
      <c r="N1536" s="2"/>
      <c r="O1536"/>
    </row>
    <row r="1537" spans="1:15" ht="14.75" customHeight="1">
      <c r="A1537" s="320" t="s">
        <v>362</v>
      </c>
      <c r="B1537" t="str">
        <f>+_xlfn.XLOOKUP(Tabla6[[#This Row],[ID CLIENTE]],'RESUMEN CLIENTES'!D:D,'RESUMEN CLIENTES'!A:A)</f>
        <v>Jessica Ayelén Culla Alvarez</v>
      </c>
      <c r="C1537" t="str">
        <f>+_xlfn.XLOOKUP(Tabla6[[#This Row],[ID CLIENTE]],'RESUMEN CLIENTES'!D:D,'RESUMEN CLIENTES'!C:C)</f>
        <v>Argentina</v>
      </c>
      <c r="D1537" s="44" t="str">
        <f>+_xlfn.XLOOKUP(Tabla6[[#This Row],[ID CLIENTE]],'RESUMEN CLIENTES'!D:D,'RESUMEN CLIENTES'!M:M)</f>
        <v>OK</v>
      </c>
      <c r="E1537" s="72">
        <f>+_xlfn.XLOOKUP(Tabla6[[#This Row],[NOMBRE]],'RESUMEN CLIENTES'!A:A,'RESUMEN CLIENTES'!X:X)</f>
        <v>-2.1538461538461537</v>
      </c>
      <c r="F1537" s="72">
        <f>+_xlfn.XLOOKUP(Tabla6[[#This Row],[ID CLIENTE]],'RESUMEN CLIENTES'!D:D,'RESUMEN CLIENTES'!W:W)</f>
        <v>1</v>
      </c>
      <c r="G1537" s="17">
        <v>46218</v>
      </c>
      <c r="H1537" s="44" t="s">
        <v>81</v>
      </c>
      <c r="I1537" s="2">
        <v>1000</v>
      </c>
      <c r="J1537"/>
      <c r="K1537"/>
      <c r="L1537" s="44" t="str" cm="1">
        <f t="array" ref="L1537">+_xlfn.IFS(COUNTIF(INGRESOS!E:E,Tabla6[[#This Row],[ID FACTURA]])=1,"PAGADA",Tabla6[[#This Row],[ID FACTURA]]&lt;&gt;0,"EMITIDA",Tabla6[[#This Row],[ID FACTURA]]=0,"POR EMITIR")</f>
        <v>POR EMITIR</v>
      </c>
      <c r="M1537" s="55" t="str">
        <f>+IF(Tabla6[[#This Row],[ESTADO FACTURA]]="PAGADA",Tabla6[[#This Row],[FECHA]]-_xlfn.XLOOKUP(Tabla6[[#This Row],[N° FACTURA]],INGRESOS!F:F,INGRESOS!A:A),"-")</f>
        <v>-</v>
      </c>
      <c r="N1537" s="2"/>
      <c r="O1537"/>
    </row>
    <row r="1538" spans="1:15" ht="14.75" customHeight="1">
      <c r="A1538" s="321" t="s">
        <v>1875</v>
      </c>
      <c r="B1538" t="str">
        <f>+_xlfn.XLOOKUP(Tabla6[[#This Row],[ID CLIENTE]],'RESUMEN CLIENTES'!D:D,'RESUMEN CLIENTES'!A:A)</f>
        <v>Laura Giraldo</v>
      </c>
      <c r="C1538" t="str">
        <f>+_xlfn.XLOOKUP(Tabla6[[#This Row],[ID CLIENTE]],'RESUMEN CLIENTES'!D:D,'RESUMEN CLIENTES'!C:C)</f>
        <v>Colombia</v>
      </c>
      <c r="D1538" s="169" t="str">
        <f>+_xlfn.XLOOKUP(Tabla6[[#This Row],[ID CLIENTE]],'RESUMEN CLIENTES'!D:D,'RESUMEN CLIENTES'!M:M)</f>
        <v>OK</v>
      </c>
      <c r="E1538" s="71">
        <f>+_xlfn.XLOOKUP(Tabla6[[#This Row],[NOMBRE]],'RESUMEN CLIENTES'!A:A,'RESUMEN CLIENTES'!X:X)</f>
        <v>-3.25</v>
      </c>
      <c r="F1538" s="71">
        <f>+_xlfn.XLOOKUP(Tabla6[[#This Row],[ID CLIENTE]],'RESUMEN CLIENTES'!D:D,'RESUMEN CLIENTES'!W:W)</f>
        <v>1</v>
      </c>
      <c r="G1538" s="17">
        <v>46218</v>
      </c>
      <c r="H1538" s="169" t="s">
        <v>1876</v>
      </c>
      <c r="I1538" s="2">
        <v>500</v>
      </c>
      <c r="J1538"/>
      <c r="K1538"/>
      <c r="L1538" s="44" t="str" cm="1">
        <f t="array" ref="L1538">+_xlfn.IFS(COUNTIF(INGRESOS!E:E,Tabla6[[#This Row],[ID FACTURA]])=1,"PAGADA",Tabla6[[#This Row],[ID FACTURA]]&lt;&gt;0,"EMITIDA",Tabla6[[#This Row],[ID FACTURA]]=0,"POR EMITIR")</f>
        <v>POR EMITIR</v>
      </c>
      <c r="M1538" s="54" t="str">
        <f>+IF(Tabla6[[#This Row],[ESTADO FACTURA]]="PAGADA",Tabla6[[#This Row],[FECHA]]-_xlfn.XLOOKUP(Tabla6[[#This Row],[N° FACTURA]],INGRESOS!F:F,INGRESOS!A:A),"-")</f>
        <v>-</v>
      </c>
      <c r="O1538"/>
    </row>
    <row r="1539" spans="1:15" ht="14.75" customHeight="1">
      <c r="A1539" s="320" t="s">
        <v>762</v>
      </c>
      <c r="B1539" t="str">
        <f>+_xlfn.XLOOKUP(Tabla6[[#This Row],[ID CLIENTE]],'RESUMEN CLIENTES'!D:D,'RESUMEN CLIENTES'!A:A)</f>
        <v>María Stefania Gelvez Olaya</v>
      </c>
      <c r="C1539" t="str">
        <f>+_xlfn.XLOOKUP(Tabla6[[#This Row],[ID CLIENTE]],'RESUMEN CLIENTES'!D:D,'RESUMEN CLIENTES'!C:C)</f>
        <v>Colombia</v>
      </c>
      <c r="D1539" s="44" t="str">
        <f>+_xlfn.XLOOKUP(Tabla6[[#This Row],[ID CLIENTE]],'RESUMEN CLIENTES'!D:D,'RESUMEN CLIENTES'!M:M)</f>
        <v>OK</v>
      </c>
      <c r="E1539" s="72">
        <f>+_xlfn.XLOOKUP(Tabla6[[#This Row],[NOMBRE]],'RESUMEN CLIENTES'!A:A,'RESUMEN CLIENTES'!X:X)</f>
        <v>-0.14285714285714285</v>
      </c>
      <c r="F1539" s="72">
        <f>+_xlfn.XLOOKUP(Tabla6[[#This Row],[ID CLIENTE]],'RESUMEN CLIENTES'!D:D,'RESUMEN CLIENTES'!W:W)</f>
        <v>1</v>
      </c>
      <c r="G1539" s="17">
        <v>46218</v>
      </c>
      <c r="H1539" s="44" t="s">
        <v>81</v>
      </c>
      <c r="I1539" s="2">
        <v>1000</v>
      </c>
      <c r="J1539"/>
      <c r="K1539"/>
      <c r="L1539" s="44" t="str" cm="1">
        <f t="array" ref="L1539">+_xlfn.IFS(COUNTIF(INGRESOS!E:E,Tabla6[[#This Row],[ID FACTURA]])=1,"PAGADA",Tabla6[[#This Row],[ID FACTURA]]&lt;&gt;0,"EMITIDA",Tabla6[[#This Row],[ID FACTURA]]=0,"POR EMITIR")</f>
        <v>POR EMITIR</v>
      </c>
      <c r="M1539" s="55" t="str">
        <f>+IF(Tabla6[[#This Row],[ESTADO FACTURA]]="PAGADA",Tabla6[[#This Row],[FECHA]]-_xlfn.XLOOKUP(Tabla6[[#This Row],[N° FACTURA]],INGRESOS!F:F,INGRESOS!A:A),"-")</f>
        <v>-</v>
      </c>
      <c r="N1539" s="2"/>
      <c r="O1539"/>
    </row>
    <row r="1540" spans="1:15" ht="14.75" customHeight="1">
      <c r="A1540" s="320" t="s">
        <v>242</v>
      </c>
      <c r="B1540" t="str">
        <f>+_xlfn.XLOOKUP(Tabla6[[#This Row],[ID CLIENTE]],'RESUMEN CLIENTES'!D:D,'RESUMEN CLIENTES'!A:A)</f>
        <v>Rodrigo Ignacio Rodriguez Frutos</v>
      </c>
      <c r="C1540" t="str">
        <f>+_xlfn.XLOOKUP(Tabla6[[#This Row],[ID CLIENTE]],'RESUMEN CLIENTES'!D:D,'RESUMEN CLIENTES'!C:C)</f>
        <v>México</v>
      </c>
      <c r="D1540" s="44" t="str">
        <f>+_xlfn.XLOOKUP(Tabla6[[#This Row],[ID CLIENTE]],'RESUMEN CLIENTES'!D:D,'RESUMEN CLIENTES'!M:M)</f>
        <v>OK</v>
      </c>
      <c r="E1540" s="72">
        <f>+_xlfn.XLOOKUP(Tabla6[[#This Row],[NOMBRE]],'RESUMEN CLIENTES'!A:A,'RESUMEN CLIENTES'!X:X)</f>
        <v>-1.4285714285714286</v>
      </c>
      <c r="F1540" s="72">
        <f>+_xlfn.XLOOKUP(Tabla6[[#This Row],[ID CLIENTE]],'RESUMEN CLIENTES'!D:D,'RESUMEN CLIENTES'!W:W)</f>
        <v>1</v>
      </c>
      <c r="G1540" s="17">
        <v>46218</v>
      </c>
      <c r="H1540" s="44" t="s">
        <v>81</v>
      </c>
      <c r="I1540" s="2">
        <v>630</v>
      </c>
      <c r="J1540"/>
      <c r="K1540"/>
      <c r="L1540" s="44" t="str" cm="1">
        <f t="array" ref="L1540">+_xlfn.IFS(COUNTIF(INGRESOS!E:E,Tabla6[[#This Row],[ID FACTURA]])=1,"PAGADA",Tabla6[[#This Row],[ID FACTURA]]&lt;&gt;0,"EMITIDA",Tabla6[[#This Row],[ID FACTURA]]=0,"POR EMITIR")</f>
        <v>POR EMITIR</v>
      </c>
      <c r="M1540" s="55" t="str">
        <f>+IF(Tabla6[[#This Row],[ESTADO FACTURA]]="PAGADA",Tabla6[[#This Row],[FECHA]]-_xlfn.XLOOKUP(Tabla6[[#This Row],[N° FACTURA]],INGRESOS!F:F,INGRESOS!A:A),"-")</f>
        <v>-</v>
      </c>
      <c r="N1540" s="2"/>
      <c r="O1540"/>
    </row>
    <row r="1541" spans="1:15" ht="14.75" customHeight="1">
      <c r="A1541" s="321" t="s">
        <v>1756</v>
      </c>
      <c r="B1541" t="str">
        <f>+_xlfn.XLOOKUP(Tabla6[[#This Row],[ID CLIENTE]],'RESUMEN CLIENTES'!D:D,'RESUMEN CLIENTES'!A:A)</f>
        <v>Aylin Micaela Ortiz Chiriboga</v>
      </c>
      <c r="C1541" t="str">
        <f>+_xlfn.XLOOKUP(Tabla6[[#This Row],[ID CLIENTE]],'RESUMEN CLIENTES'!D:D,'RESUMEN CLIENTES'!C:C)</f>
        <v>Ecuador</v>
      </c>
      <c r="D1541" s="169" t="str">
        <f>+_xlfn.XLOOKUP(Tabla6[[#This Row],[ID CLIENTE]],'RESUMEN CLIENTES'!D:D,'RESUMEN CLIENTES'!M:M)</f>
        <v>¡REGULARIZAR!</v>
      </c>
      <c r="E1541" s="71">
        <f>+_xlfn.XLOOKUP(Tabla6[[#This Row],[NOMBRE]],'RESUMEN CLIENTES'!A:A,'RESUMEN CLIENTES'!X:X)</f>
        <v>0</v>
      </c>
      <c r="F1541" s="71">
        <f>+_xlfn.XLOOKUP(Tabla6[[#This Row],[ID CLIENTE]],'RESUMEN CLIENTES'!D:D,'RESUMEN CLIENTES'!W:W)</f>
        <v>1</v>
      </c>
      <c r="G1541" s="170">
        <v>46219</v>
      </c>
      <c r="H1541" s="169" t="s">
        <v>81</v>
      </c>
      <c r="I1541" s="2">
        <v>650</v>
      </c>
      <c r="J1541"/>
      <c r="K1541"/>
      <c r="L1541" s="44" t="str" cm="1">
        <f t="array" ref="L1541">+_xlfn.IFS(COUNTIF(INGRESOS!E:E,Tabla6[[#This Row],[ID FACTURA]])=1,"PAGADA",Tabla6[[#This Row],[ID FACTURA]]&lt;&gt;0,"EMITIDA",Tabla6[[#This Row],[ID FACTURA]]=0,"POR EMITIR")</f>
        <v>POR EMITIR</v>
      </c>
      <c r="M1541" s="54" t="str">
        <f>+IF(Tabla6[[#This Row],[ESTADO FACTURA]]="PAGADA",Tabla6[[#This Row],[FECHA]]-_xlfn.XLOOKUP(Tabla6[[#This Row],[N° FACTURA]],INGRESOS!F:F,INGRESOS!A:A),"-")</f>
        <v>-</v>
      </c>
      <c r="O1541"/>
    </row>
    <row r="1542" spans="1:15" ht="14.75" customHeight="1">
      <c r="A1542" s="320" t="s">
        <v>1996</v>
      </c>
      <c r="B1542" t="str">
        <f>+_xlfn.XLOOKUP(Tabla6[[#This Row],[ID CLIENTE]],'RESUMEN CLIENTES'!D:D,'RESUMEN CLIENTES'!A:A)</f>
        <v>Ivan Gonzales Graus</v>
      </c>
      <c r="C1542" t="str">
        <f>+_xlfn.XLOOKUP(Tabla6[[#This Row],[ID CLIENTE]],'RESUMEN CLIENTES'!D:D,'RESUMEN CLIENTES'!C:C)</f>
        <v>Perú</v>
      </c>
      <c r="D1542" s="169" t="str">
        <f>+_xlfn.XLOOKUP(Tabla6[[#This Row],[ID CLIENTE]],'RESUMEN CLIENTES'!D:D,'RESUMEN CLIENTES'!M:M)</f>
        <v>OK</v>
      </c>
      <c r="E1542" s="71">
        <f>+_xlfn.XLOOKUP(Tabla6[[#This Row],[NOMBRE]],'RESUMEN CLIENTES'!A:A,'RESUMEN CLIENTES'!X:X)</f>
        <v>-2</v>
      </c>
      <c r="F1542" s="71">
        <f>+_xlfn.XLOOKUP(Tabla6[[#This Row],[ID CLIENTE]],'RESUMEN CLIENTES'!D:D,'RESUMEN CLIENTES'!W:W)</f>
        <v>1</v>
      </c>
      <c r="G1542" s="17">
        <v>46219</v>
      </c>
      <c r="H1542" s="169" t="s">
        <v>81</v>
      </c>
      <c r="I1542" s="2">
        <v>650</v>
      </c>
      <c r="J1542"/>
      <c r="K1542"/>
      <c r="L1542" s="44" t="str" cm="1">
        <f t="array" ref="L1542">+_xlfn.IFS(COUNTIF(INGRESOS!E:E,Tabla6[[#This Row],[ID FACTURA]])=1,"PAGADA",Tabla6[[#This Row],[ID FACTURA]]&lt;&gt;0,"EMITIDA",Tabla6[[#This Row],[ID FACTURA]]=0,"POR EMITIR")</f>
        <v>POR EMITIR</v>
      </c>
      <c r="M1542" s="54" t="str">
        <f>+IF(Tabla6[[#This Row],[ESTADO FACTURA]]="PAGADA",Tabla6[[#This Row],[FECHA]]-_xlfn.XLOOKUP(Tabla6[[#This Row],[N° FACTURA]],INGRESOS!F:F,INGRESOS!A:A),"-")</f>
        <v>-</v>
      </c>
      <c r="O1542"/>
    </row>
    <row r="1543" spans="1:15" ht="14.75" customHeight="1">
      <c r="A1543" s="320" t="s">
        <v>2046</v>
      </c>
      <c r="B1543" t="str">
        <f>+_xlfn.XLOOKUP(Tabla6[[#This Row],[ID CLIENTE]],'RESUMEN CLIENTES'!D:D,'RESUMEN CLIENTES'!A:A)</f>
        <v>Jesica Daniela Paredes Mendoza</v>
      </c>
      <c r="C1543" t="str">
        <f>+_xlfn.XLOOKUP(Tabla6[[#This Row],[ID CLIENTE]],'RESUMEN CLIENTES'!D:D,'RESUMEN CLIENTES'!C:C)</f>
        <v>México</v>
      </c>
      <c r="D1543" s="169" t="str">
        <f>+_xlfn.XLOOKUP(Tabla6[[#This Row],[ID CLIENTE]],'RESUMEN CLIENTES'!D:D,'RESUMEN CLIENTES'!M:M)</f>
        <v>OK</v>
      </c>
      <c r="E1543" s="71">
        <f>+_xlfn.XLOOKUP(Tabla6[[#This Row],[NOMBRE]],'RESUMEN CLIENTES'!A:A,'RESUMEN CLIENTES'!X:X)</f>
        <v>-2.75</v>
      </c>
      <c r="F1543" s="71">
        <f>+_xlfn.XLOOKUP(Tabla6[[#This Row],[ID CLIENTE]],'RESUMEN CLIENTES'!D:D,'RESUMEN CLIENTES'!W:W)</f>
        <v>1</v>
      </c>
      <c r="G1543" s="17">
        <v>46219</v>
      </c>
      <c r="H1543" s="169" t="s">
        <v>81</v>
      </c>
      <c r="I1543" s="2">
        <v>500</v>
      </c>
      <c r="J1543"/>
      <c r="K1543"/>
      <c r="L1543" s="44" t="str" cm="1">
        <f t="array" ref="L1543">+_xlfn.IFS(COUNTIF(INGRESOS!E:E,Tabla6[[#This Row],[ID FACTURA]])=1,"PAGADA",Tabla6[[#This Row],[ID FACTURA]]&lt;&gt;0,"EMITIDA",Tabla6[[#This Row],[ID FACTURA]]=0,"POR EMITIR")</f>
        <v>POR EMITIR</v>
      </c>
      <c r="M1543" s="54" t="str">
        <f>+IF(Tabla6[[#This Row],[ESTADO FACTURA]]="PAGADA",Tabla6[[#This Row],[FECHA]]-_xlfn.XLOOKUP(Tabla6[[#This Row],[N° FACTURA]],INGRESOS!F:F,INGRESOS!A:A),"-")</f>
        <v>-</v>
      </c>
      <c r="O1543"/>
    </row>
    <row r="1544" spans="1:15" ht="14.75" customHeight="1">
      <c r="A1544" s="320" t="s">
        <v>1001</v>
      </c>
      <c r="B1544" t="str">
        <f>+_xlfn.XLOOKUP(Tabla6[[#This Row],[ID CLIENTE]],'RESUMEN CLIENTES'!D:D,'RESUMEN CLIENTES'!A:A)</f>
        <v>Karenn Yadira Tavera Lara</v>
      </c>
      <c r="C1544" t="str">
        <f>+_xlfn.XLOOKUP(Tabla6[[#This Row],[ID CLIENTE]],'RESUMEN CLIENTES'!D:D,'RESUMEN CLIENTES'!C:C)</f>
        <v>México</v>
      </c>
      <c r="D1544" s="44" t="str">
        <f>+_xlfn.XLOOKUP(Tabla6[[#This Row],[ID CLIENTE]],'RESUMEN CLIENTES'!D:D,'RESUMEN CLIENTES'!M:M)</f>
        <v>OK</v>
      </c>
      <c r="E1544" s="72">
        <f>+_xlfn.XLOOKUP(Tabla6[[#This Row],[NOMBRE]],'RESUMEN CLIENTES'!A:A,'RESUMEN CLIENTES'!X:X)</f>
        <v>1.5</v>
      </c>
      <c r="F1544" s="72">
        <f>+_xlfn.XLOOKUP(Tabla6[[#This Row],[ID CLIENTE]],'RESUMEN CLIENTES'!D:D,'RESUMEN CLIENTES'!W:W)</f>
        <v>1</v>
      </c>
      <c r="G1544" s="17">
        <v>46222</v>
      </c>
      <c r="H1544" s="44" t="s">
        <v>81</v>
      </c>
      <c r="I1544" s="2">
        <v>1000</v>
      </c>
      <c r="J1544"/>
      <c r="K1544"/>
      <c r="L1544" s="44" t="str" cm="1">
        <f t="array" ref="L1544">+_xlfn.IFS(COUNTIF(INGRESOS!E:E,Tabla6[[#This Row],[ID FACTURA]])=1,"PAGADA",Tabla6[[#This Row],[ID FACTURA]]&lt;&gt;0,"EMITIDA",Tabla6[[#This Row],[ID FACTURA]]=0,"POR EMITIR")</f>
        <v>POR EMITIR</v>
      </c>
      <c r="M1544" s="55" t="str">
        <f>+IF(Tabla6[[#This Row],[ESTADO FACTURA]]="PAGADA",Tabla6[[#This Row],[FECHA]]-_xlfn.XLOOKUP(Tabla6[[#This Row],[N° FACTURA]],INGRESOS!F:F,INGRESOS!A:A),"-")</f>
        <v>-</v>
      </c>
      <c r="N1544" s="2"/>
      <c r="O1544"/>
    </row>
    <row r="1545" spans="1:15" ht="14.75" customHeight="1">
      <c r="A1545" s="320" t="s">
        <v>4660</v>
      </c>
      <c r="B1545" t="str">
        <f>+_xlfn.XLOOKUP(Tabla6[[#This Row],[ID CLIENTE]],'RESUMEN CLIENTES'!D:D,'RESUMEN CLIENTES'!A:A)</f>
        <v>Edipris Flores</v>
      </c>
      <c r="C1545" s="15" t="str">
        <f>+_xlfn.XLOOKUP(Tabla6[[#This Row],[ID CLIENTE]],'RESUMEN CLIENTES'!D:D,'RESUMEN CLIENTES'!C:C)</f>
        <v>Chile</v>
      </c>
      <c r="D1545" s="169" t="str">
        <f>+_xlfn.XLOOKUP(Tabla6[[#This Row],[ID CLIENTE]],'RESUMEN CLIENTES'!D:D,'RESUMEN CLIENTES'!M:M)</f>
        <v>OK</v>
      </c>
      <c r="E1545" s="71">
        <f>+_xlfn.XLOOKUP(Tabla6[[#This Row],[NOMBRE]],'RESUMEN CLIENTES'!A:A,'RESUMEN CLIENTES'!X:X)</f>
        <v>-4</v>
      </c>
      <c r="F1545" s="71">
        <f>+_xlfn.XLOOKUP(Tabla6[[#This Row],[ID CLIENTE]],'RESUMEN CLIENTES'!D:D,'RESUMEN CLIENTES'!W:W)</f>
        <v>0</v>
      </c>
      <c r="G1545" s="17">
        <v>46223</v>
      </c>
      <c r="H1545" s="169" t="s">
        <v>81</v>
      </c>
      <c r="I1545" s="2">
        <v>850</v>
      </c>
      <c r="J1545"/>
      <c r="K1545"/>
      <c r="L1545" s="44" t="str" cm="1">
        <f t="array" ref="L1545">+_xlfn.IFS(COUNTIF(INGRESOS!E:E,Tabla6[[#This Row],[ID FACTURA]])=1,"PAGADA",Tabla6[[#This Row],[ID FACTURA]]&lt;&gt;0,"EMITIDA",Tabla6[[#This Row],[ID FACTURA]]=0,"POR EMITIR")</f>
        <v>POR EMITIR</v>
      </c>
      <c r="M1545" s="54" t="str">
        <f>+IF(Tabla6[[#This Row],[ESTADO FACTURA]]="PAGADA",Tabla6[[#This Row],[FECHA]]-_xlfn.XLOOKUP(Tabla6[[#This Row],[N° FACTURA]],INGRESOS!F:F,INGRESOS!A:A),"-")</f>
        <v>-</v>
      </c>
      <c r="O1545"/>
    </row>
    <row r="1546" spans="1:15" ht="14.75" customHeight="1">
      <c r="A1546" s="320" t="s">
        <v>1936</v>
      </c>
      <c r="B1546" t="str">
        <f>+_xlfn.XLOOKUP(Tabla6[[#This Row],[ID CLIENTE]],'RESUMEN CLIENTES'!D:D,'RESUMEN CLIENTES'!A:A)</f>
        <v>Jaime Kevin Mendez Arias</v>
      </c>
      <c r="C1546" t="str">
        <f>+_xlfn.XLOOKUP(Tabla6[[#This Row],[ID CLIENTE]],'RESUMEN CLIENTES'!D:D,'RESUMEN CLIENTES'!C:C)</f>
        <v>México</v>
      </c>
      <c r="D1546" s="169" t="str">
        <f>+_xlfn.XLOOKUP(Tabla6[[#This Row],[ID CLIENTE]],'RESUMEN CLIENTES'!D:D,'RESUMEN CLIENTES'!M:M)</f>
        <v>OK</v>
      </c>
      <c r="E1546" s="71">
        <f>+_xlfn.XLOOKUP(Tabla6[[#This Row],[NOMBRE]],'RESUMEN CLIENTES'!A:A,'RESUMEN CLIENTES'!X:X)</f>
        <v>1.6666666666666667</v>
      </c>
      <c r="F1546" s="71">
        <f>+_xlfn.XLOOKUP(Tabla6[[#This Row],[ID CLIENTE]],'RESUMEN CLIENTES'!D:D,'RESUMEN CLIENTES'!W:W)</f>
        <v>0</v>
      </c>
      <c r="G1546" s="17">
        <v>46223</v>
      </c>
      <c r="H1546" s="169" t="s">
        <v>81</v>
      </c>
      <c r="I1546" s="2">
        <v>1000</v>
      </c>
      <c r="J1546"/>
      <c r="K1546"/>
      <c r="L1546" s="44" t="str" cm="1">
        <f t="array" ref="L1546">+_xlfn.IFS(COUNTIF(INGRESOS!E:E,Tabla6[[#This Row],[ID FACTURA]])=1,"PAGADA",Tabla6[[#This Row],[ID FACTURA]]&lt;&gt;0,"EMITIDA",Tabla6[[#This Row],[ID FACTURA]]=0,"POR EMITIR")</f>
        <v>POR EMITIR</v>
      </c>
      <c r="M1546" s="54" t="str">
        <f>+IF(Tabla6[[#This Row],[ESTADO FACTURA]]="PAGADA",Tabla6[[#This Row],[FECHA]]-_xlfn.XLOOKUP(Tabla6[[#This Row],[N° FACTURA]],INGRESOS!F:F,INGRESOS!A:A),"-")</f>
        <v>-</v>
      </c>
      <c r="O1546"/>
    </row>
    <row r="1547" spans="1:15" ht="14.75" customHeight="1">
      <c r="A1547" s="320" t="s">
        <v>587</v>
      </c>
      <c r="B1547" t="str">
        <f>+_xlfn.XLOOKUP(Tabla6[[#This Row],[ID CLIENTE]],'RESUMEN CLIENTES'!D:D,'RESUMEN CLIENTES'!A:A)</f>
        <v>Keidwin Perez</v>
      </c>
      <c r="C1547" t="str">
        <f>+_xlfn.XLOOKUP(Tabla6[[#This Row],[ID CLIENTE]],'RESUMEN CLIENTES'!D:D,'RESUMEN CLIENTES'!C:C)</f>
        <v>Colombia</v>
      </c>
      <c r="D1547" s="44" t="str">
        <f>+_xlfn.XLOOKUP(Tabla6[[#This Row],[ID CLIENTE]],'RESUMEN CLIENTES'!D:D,'RESUMEN CLIENTES'!M:M)</f>
        <v>OK</v>
      </c>
      <c r="E1547" s="72">
        <f>+_xlfn.XLOOKUP(Tabla6[[#This Row],[NOMBRE]],'RESUMEN CLIENTES'!A:A,'RESUMEN CLIENTES'!X:X)</f>
        <v>-4.25</v>
      </c>
      <c r="F1547" s="72">
        <f>+_xlfn.XLOOKUP(Tabla6[[#This Row],[ID CLIENTE]],'RESUMEN CLIENTES'!D:D,'RESUMEN CLIENTES'!W:W)</f>
        <v>1</v>
      </c>
      <c r="G1547" s="17">
        <v>46223</v>
      </c>
      <c r="H1547" s="44" t="s">
        <v>81</v>
      </c>
      <c r="I1547" s="2">
        <v>750</v>
      </c>
      <c r="J1547"/>
      <c r="K1547"/>
      <c r="L1547" s="44" t="str" cm="1">
        <f t="array" ref="L1547">+_xlfn.IFS(COUNTIF(INGRESOS!E:E,Tabla6[[#This Row],[ID FACTURA]])=1,"PAGADA",Tabla6[[#This Row],[ID FACTURA]]&lt;&gt;0,"EMITIDA",Tabla6[[#This Row],[ID FACTURA]]=0,"POR EMITIR")</f>
        <v>POR EMITIR</v>
      </c>
      <c r="M1547" s="55" t="str">
        <f>+IF(Tabla6[[#This Row],[ESTADO FACTURA]]="PAGADA",Tabla6[[#This Row],[FECHA]]-_xlfn.XLOOKUP(Tabla6[[#This Row],[N° FACTURA]],INGRESOS!F:F,INGRESOS!A:A),"-")</f>
        <v>-</v>
      </c>
      <c r="N1547" s="2"/>
      <c r="O1547"/>
    </row>
    <row r="1548" spans="1:15" ht="14.75" customHeight="1">
      <c r="A1548" s="320" t="s">
        <v>200</v>
      </c>
      <c r="B1548" t="str">
        <f>+_xlfn.XLOOKUP(Tabla6[[#This Row],[ID CLIENTE]],'RESUMEN CLIENTES'!D:D,'RESUMEN CLIENTES'!A:A)</f>
        <v>Mateo Gabriel Martinez Dávila</v>
      </c>
      <c r="C1548" t="str">
        <f>+_xlfn.XLOOKUP(Tabla6[[#This Row],[ID CLIENTE]],'RESUMEN CLIENTES'!D:D,'RESUMEN CLIENTES'!C:C)</f>
        <v>Bolivia</v>
      </c>
      <c r="D1548" s="169" t="str">
        <f>+_xlfn.XLOOKUP(Tabla6[[#This Row],[ID CLIENTE]],'RESUMEN CLIENTES'!D:D,'RESUMEN CLIENTES'!M:M)</f>
        <v>OK</v>
      </c>
      <c r="E1548" s="71">
        <f>+_xlfn.XLOOKUP(Tabla6[[#This Row],[NOMBRE]],'RESUMEN CLIENTES'!A:A,'RESUMEN CLIENTES'!X:X)</f>
        <v>-0.5</v>
      </c>
      <c r="F1548" s="71">
        <f>+_xlfn.XLOOKUP(Tabla6[[#This Row],[ID CLIENTE]],'RESUMEN CLIENTES'!D:D,'RESUMEN CLIENTES'!W:W)</f>
        <v>0</v>
      </c>
      <c r="G1548" s="17">
        <v>46223</v>
      </c>
      <c r="H1548" s="169" t="s">
        <v>81</v>
      </c>
      <c r="I1548" s="2">
        <v>500</v>
      </c>
      <c r="J1548"/>
      <c r="K1548"/>
      <c r="L1548" s="44" t="str" cm="1">
        <f t="array" ref="L1548">+_xlfn.IFS(COUNTIF(INGRESOS!E:E,Tabla6[[#This Row],[ID FACTURA]])=1,"PAGADA",Tabla6[[#This Row],[ID FACTURA]]&lt;&gt;0,"EMITIDA",Tabla6[[#This Row],[ID FACTURA]]=0,"POR EMITIR")</f>
        <v>POR EMITIR</v>
      </c>
      <c r="M1548" s="54" t="str">
        <f>+IF(Tabla6[[#This Row],[ESTADO FACTURA]]="PAGADA",Tabla6[[#This Row],[FECHA]]-_xlfn.XLOOKUP(Tabla6[[#This Row],[N° FACTURA]],INGRESOS!F:F,INGRESOS!A:A),"-")</f>
        <v>-</v>
      </c>
      <c r="O1548"/>
    </row>
    <row r="1549" spans="1:15" ht="14.75" customHeight="1">
      <c r="A1549" s="320" t="s">
        <v>250</v>
      </c>
      <c r="B1549" t="str">
        <f>+_xlfn.XLOOKUP(Tabla6[[#This Row],[ID CLIENTE]],'RESUMEN CLIENTES'!D:D,'RESUMEN CLIENTES'!A:A)</f>
        <v>Fernanda Castro</v>
      </c>
      <c r="C1549" t="str">
        <f>+_xlfn.XLOOKUP(Tabla6[[#This Row],[ID CLIENTE]],'RESUMEN CLIENTES'!D:D,'RESUMEN CLIENTES'!C:C)</f>
        <v>Ecuador</v>
      </c>
      <c r="D1549" s="44" t="str">
        <f>+_xlfn.XLOOKUP(Tabla6[[#This Row],[ID CLIENTE]],'RESUMEN CLIENTES'!D:D,'RESUMEN CLIENTES'!M:M)</f>
        <v>OK</v>
      </c>
      <c r="E1549" s="72">
        <f>+_xlfn.XLOOKUP(Tabla6[[#This Row],[NOMBRE]],'RESUMEN CLIENTES'!A:A,'RESUMEN CLIENTES'!X:X)</f>
        <v>0</v>
      </c>
      <c r="F1549" s="72">
        <f>+_xlfn.XLOOKUP(Tabla6[[#This Row],[ID CLIENTE]],'RESUMEN CLIENTES'!D:D,'RESUMEN CLIENTES'!W:W)</f>
        <v>1</v>
      </c>
      <c r="G1549" s="17">
        <v>46226</v>
      </c>
      <c r="H1549" s="44" t="s">
        <v>81</v>
      </c>
      <c r="I1549" s="2">
        <v>1000</v>
      </c>
      <c r="J1549"/>
      <c r="K1549"/>
      <c r="L1549" s="44" t="str" cm="1">
        <f t="array" ref="L1549">+_xlfn.IFS(COUNTIF(INGRESOS!E:E,Tabla6[[#This Row],[ID FACTURA]])=1,"PAGADA",Tabla6[[#This Row],[ID FACTURA]]&lt;&gt;0,"EMITIDA",Tabla6[[#This Row],[ID FACTURA]]=0,"POR EMITIR")</f>
        <v>POR EMITIR</v>
      </c>
      <c r="M1549" s="55" t="str">
        <f>+IF(Tabla6[[#This Row],[ESTADO FACTURA]]="PAGADA",Tabla6[[#This Row],[FECHA]]-_xlfn.XLOOKUP(Tabla6[[#This Row],[N° FACTURA]],INGRESOS!F:F,INGRESOS!A:A),"-")</f>
        <v>-</v>
      </c>
      <c r="N1549" s="2"/>
      <c r="O1549"/>
    </row>
    <row r="1550" spans="1:15" ht="14.75" customHeight="1">
      <c r="A1550" s="320" t="s">
        <v>1931</v>
      </c>
      <c r="B1550" t="str">
        <f>+_xlfn.XLOOKUP(Tabla6[[#This Row],[ID CLIENTE]],'RESUMEN CLIENTES'!D:D,'RESUMEN CLIENTES'!A:A)</f>
        <v>Josué Bernardo Reyes Flores</v>
      </c>
      <c r="C1550" t="str">
        <f>+_xlfn.XLOOKUP(Tabla6[[#This Row],[ID CLIENTE]],'RESUMEN CLIENTES'!D:D,'RESUMEN CLIENTES'!C:C)</f>
        <v>México</v>
      </c>
      <c r="D1550" s="169" t="str">
        <f>+_xlfn.XLOOKUP(Tabla6[[#This Row],[ID CLIENTE]],'RESUMEN CLIENTES'!D:D,'RESUMEN CLIENTES'!M:M)</f>
        <v>OK</v>
      </c>
      <c r="E1550" s="71">
        <f>+_xlfn.XLOOKUP(Tabla6[[#This Row],[NOMBRE]],'RESUMEN CLIENTES'!A:A,'RESUMEN CLIENTES'!X:X)</f>
        <v>0</v>
      </c>
      <c r="F1550" s="71">
        <f>+_xlfn.XLOOKUP(Tabla6[[#This Row],[ID CLIENTE]],'RESUMEN CLIENTES'!D:D,'RESUMEN CLIENTES'!W:W)</f>
        <v>1</v>
      </c>
      <c r="G1550" s="17">
        <v>46226</v>
      </c>
      <c r="H1550" s="169" t="s">
        <v>81</v>
      </c>
      <c r="I1550" s="2">
        <v>1000</v>
      </c>
      <c r="J1550"/>
      <c r="K1550"/>
      <c r="L1550" s="44" t="str" cm="1">
        <f t="array" ref="L1550">+_xlfn.IFS(COUNTIF(INGRESOS!E:E,Tabla6[[#This Row],[ID FACTURA]])=1,"PAGADA",Tabla6[[#This Row],[ID FACTURA]]&lt;&gt;0,"EMITIDA",Tabla6[[#This Row],[ID FACTURA]]=0,"POR EMITIR")</f>
        <v>POR EMITIR</v>
      </c>
      <c r="M1550" s="54" t="str">
        <f>+IF(Tabla6[[#This Row],[ESTADO FACTURA]]="PAGADA",Tabla6[[#This Row],[FECHA]]-_xlfn.XLOOKUP(Tabla6[[#This Row],[N° FACTURA]],INGRESOS!F:F,INGRESOS!A:A),"-")</f>
        <v>-</v>
      </c>
      <c r="O1550"/>
    </row>
    <row r="1551" spans="1:15" ht="14.75" customHeight="1">
      <c r="A1551" s="320" t="s">
        <v>994</v>
      </c>
      <c r="B1551" t="str">
        <f>+_xlfn.XLOOKUP(Tabla6[[#This Row],[ID CLIENTE]],'RESUMEN CLIENTES'!D:D,'RESUMEN CLIENTES'!A:A)</f>
        <v>Raúl Ernesto Martínez Orantes</v>
      </c>
      <c r="C1551" t="str">
        <f>+_xlfn.XLOOKUP(Tabla6[[#This Row],[ID CLIENTE]],'RESUMEN CLIENTES'!D:D,'RESUMEN CLIENTES'!C:C)</f>
        <v>El Salvador</v>
      </c>
      <c r="D1551" s="44" t="str">
        <f>+_xlfn.XLOOKUP(Tabla6[[#This Row],[ID CLIENTE]],'RESUMEN CLIENTES'!D:D,'RESUMEN CLIENTES'!M:M)</f>
        <v>OK</v>
      </c>
      <c r="E1551" s="72">
        <f>+_xlfn.XLOOKUP(Tabla6[[#This Row],[NOMBRE]],'RESUMEN CLIENTES'!A:A,'RESUMEN CLIENTES'!X:X)</f>
        <v>1.1428571428571428</v>
      </c>
      <c r="F1551" s="72">
        <f>+_xlfn.XLOOKUP(Tabla6[[#This Row],[ID CLIENTE]],'RESUMEN CLIENTES'!D:D,'RESUMEN CLIENTES'!W:W)</f>
        <v>1</v>
      </c>
      <c r="G1551" s="17">
        <v>46226</v>
      </c>
      <c r="H1551" s="44" t="s">
        <v>81</v>
      </c>
      <c r="I1551" s="2">
        <v>850</v>
      </c>
      <c r="J1551"/>
      <c r="K1551"/>
      <c r="L1551" s="44" t="str" cm="1">
        <f t="array" ref="L1551">+_xlfn.IFS(COUNTIF(INGRESOS!E:E,Tabla6[[#This Row],[ID FACTURA]])=1,"PAGADA",Tabla6[[#This Row],[ID FACTURA]]&lt;&gt;0,"EMITIDA",Tabla6[[#This Row],[ID FACTURA]]=0,"POR EMITIR")</f>
        <v>POR EMITIR</v>
      </c>
      <c r="M1551" s="55" t="str">
        <f>+IF(Tabla6[[#This Row],[ESTADO FACTURA]]="PAGADA",Tabla6[[#This Row],[FECHA]]-_xlfn.XLOOKUP(Tabla6[[#This Row],[N° FACTURA]],INGRESOS!F:F,INGRESOS!A:A),"-")</f>
        <v>-</v>
      </c>
      <c r="N1551" s="2"/>
      <c r="O1551"/>
    </row>
    <row r="1552" spans="1:15" ht="14.75" customHeight="1">
      <c r="A1552" s="320" t="s">
        <v>261</v>
      </c>
      <c r="B1552" t="str">
        <f>+_xlfn.XLOOKUP(Tabla6[[#This Row],[ID CLIENTE]],'RESUMEN CLIENTES'!D:D,'RESUMEN CLIENTES'!A:A)</f>
        <v>Maryori Elizabeth Ramos Tapia</v>
      </c>
      <c r="C1552" t="str">
        <f>+_xlfn.XLOOKUP(Tabla6[[#This Row],[ID CLIENTE]],'RESUMEN CLIENTES'!D:D,'RESUMEN CLIENTES'!C:C)</f>
        <v>Perú</v>
      </c>
      <c r="D1552" s="44" t="str">
        <f>+_xlfn.XLOOKUP(Tabla6[[#This Row],[ID CLIENTE]],'RESUMEN CLIENTES'!D:D,'RESUMEN CLIENTES'!M:M)</f>
        <v>OK</v>
      </c>
      <c r="E1552" s="72">
        <f>+_xlfn.XLOOKUP(Tabla6[[#This Row],[NOMBRE]],'RESUMEN CLIENTES'!A:A,'RESUMEN CLIENTES'!X:X)</f>
        <v>-0.88425925925952875</v>
      </c>
      <c r="F1552" s="72">
        <f>+_xlfn.XLOOKUP(Tabla6[[#This Row],[ID CLIENTE]],'RESUMEN CLIENTES'!D:D,'RESUMEN CLIENTES'!W:W)</f>
        <v>1</v>
      </c>
      <c r="G1552" s="17">
        <v>46227</v>
      </c>
      <c r="H1552" s="44" t="s">
        <v>81</v>
      </c>
      <c r="I1552" s="2">
        <v>1000</v>
      </c>
      <c r="J1552"/>
      <c r="K1552"/>
      <c r="L1552" s="44" t="str" cm="1">
        <f t="array" ref="L1552">+_xlfn.IFS(COUNTIF(INGRESOS!E:E,Tabla6[[#This Row],[ID FACTURA]])=1,"PAGADA",Tabla6[[#This Row],[ID FACTURA]]&lt;&gt;0,"EMITIDA",Tabla6[[#This Row],[ID FACTURA]]=0,"POR EMITIR")</f>
        <v>POR EMITIR</v>
      </c>
      <c r="M1552" s="55" t="str">
        <f>+IF(Tabla6[[#This Row],[ESTADO FACTURA]]="PAGADA",Tabla6[[#This Row],[FECHA]]-_xlfn.XLOOKUP(Tabla6[[#This Row],[N° FACTURA]],INGRESOS!F:F,INGRESOS!A:A),"-")</f>
        <v>-</v>
      </c>
      <c r="N1552" s="2"/>
      <c r="O1552"/>
    </row>
    <row r="1553" spans="1:15" ht="14.75" customHeight="1">
      <c r="A1553" s="320" t="s">
        <v>1437</v>
      </c>
      <c r="B1553" t="str">
        <f>+_xlfn.XLOOKUP(Tabla6[[#This Row],[ID CLIENTE]],'RESUMEN CLIENTES'!D:D,'RESUMEN CLIENTES'!A:A)</f>
        <v>Jorge Andres Galgani Muñoz</v>
      </c>
      <c r="C1553" t="str">
        <f>+_xlfn.XLOOKUP(Tabla6[[#This Row],[ID CLIENTE]],'RESUMEN CLIENTES'!D:D,'RESUMEN CLIENTES'!C:C)</f>
        <v>Chile</v>
      </c>
      <c r="D1553" s="44" t="str">
        <f>+_xlfn.XLOOKUP(Tabla6[[#This Row],[ID CLIENTE]],'RESUMEN CLIENTES'!D:D,'RESUMEN CLIENTES'!M:M)</f>
        <v>OK</v>
      </c>
      <c r="E1553" s="71">
        <f>+_xlfn.XLOOKUP(Tabla6[[#This Row],[NOMBRE]],'RESUMEN CLIENTES'!A:A,'RESUMEN CLIENTES'!X:X)</f>
        <v>-1.1428571428571428</v>
      </c>
      <c r="F1553" s="71">
        <f>+_xlfn.XLOOKUP(Tabla6[[#This Row],[ID CLIENTE]],'RESUMEN CLIENTES'!D:D,'RESUMEN CLIENTES'!W:W)</f>
        <v>1</v>
      </c>
      <c r="G1553" s="17">
        <v>46228</v>
      </c>
      <c r="H1553" s="169" t="s">
        <v>81</v>
      </c>
      <c r="I1553" s="2">
        <v>850</v>
      </c>
      <c r="J1553"/>
      <c r="K1553"/>
      <c r="L1553" s="44" t="str" cm="1">
        <f t="array" ref="L1553">+_xlfn.IFS(COUNTIF(INGRESOS!E:E,Tabla6[[#This Row],[ID FACTURA]])=1,"PAGADA",Tabla6[[#This Row],[ID FACTURA]]&lt;&gt;0,"EMITIDA",Tabla6[[#This Row],[ID FACTURA]]=0,"POR EMITIR")</f>
        <v>POR EMITIR</v>
      </c>
      <c r="M1553" s="55" t="str">
        <f>+IF(Tabla6[[#This Row],[ESTADO FACTURA]]="PAGADA",Tabla6[[#This Row],[FECHA]]-_xlfn.XLOOKUP(Tabla6[[#This Row],[N° FACTURA]],INGRESOS!F:F,INGRESOS!A:A),"-")</f>
        <v>-</v>
      </c>
      <c r="N1553" s="2"/>
      <c r="O1553"/>
    </row>
    <row r="1554" spans="1:15" ht="14.75" customHeight="1">
      <c r="A1554" s="320" t="s">
        <v>1658</v>
      </c>
      <c r="B1554" t="str">
        <f>+_xlfn.XLOOKUP(Tabla6[[#This Row],[ID CLIENTE]],'RESUMEN CLIENTES'!D:D,'RESUMEN CLIENTES'!A:A)</f>
        <v>Nadya Sofía García Carrasco</v>
      </c>
      <c r="C1554" t="str">
        <f>+_xlfn.XLOOKUP(Tabla6[[#This Row],[ID CLIENTE]],'RESUMEN CLIENTES'!D:D,'RESUMEN CLIENTES'!C:C)</f>
        <v>Ecuador</v>
      </c>
      <c r="D1554" s="169" t="str">
        <f>+_xlfn.XLOOKUP(Tabla6[[#This Row],[ID CLIENTE]],'RESUMEN CLIENTES'!D:D,'RESUMEN CLIENTES'!M:M)</f>
        <v>OK</v>
      </c>
      <c r="E1554" s="71">
        <f>+_xlfn.XLOOKUP(Tabla6[[#This Row],[NOMBRE]],'RESUMEN CLIENTES'!A:A,'RESUMEN CLIENTES'!X:X)</f>
        <v>0</v>
      </c>
      <c r="F1554" s="71">
        <f>+_xlfn.XLOOKUP(Tabla6[[#This Row],[ID CLIENTE]],'RESUMEN CLIENTES'!D:D,'RESUMEN CLIENTES'!W:W)</f>
        <v>1</v>
      </c>
      <c r="G1554" s="17">
        <v>46228</v>
      </c>
      <c r="H1554" s="169" t="s">
        <v>81</v>
      </c>
      <c r="I1554" s="2">
        <v>1000</v>
      </c>
      <c r="J1554"/>
      <c r="K1554"/>
      <c r="L1554" s="44" t="str" cm="1">
        <f t="array" ref="L1554">+_xlfn.IFS(COUNTIF(INGRESOS!E:E,Tabla6[[#This Row],[ID FACTURA]])=1,"PAGADA",Tabla6[[#This Row],[ID FACTURA]]&lt;&gt;0,"EMITIDA",Tabla6[[#This Row],[ID FACTURA]]=0,"POR EMITIR")</f>
        <v>POR EMITIR</v>
      </c>
      <c r="M1554" s="55" t="str">
        <f>+IF(Tabla6[[#This Row],[ESTADO FACTURA]]="PAGADA",Tabla6[[#This Row],[FECHA]]-_xlfn.XLOOKUP(Tabla6[[#This Row],[N° FACTURA]],INGRESOS!F:F,INGRESOS!A:A),"-")</f>
        <v>-</v>
      </c>
      <c r="O1554"/>
    </row>
    <row r="1555" spans="1:15" ht="14.75" customHeight="1">
      <c r="A1555" s="320" t="s">
        <v>716</v>
      </c>
      <c r="B1555" t="str">
        <f>+_xlfn.XLOOKUP(Tabla6[[#This Row],[ID CLIENTE]],'RESUMEN CLIENTES'!D:D,'RESUMEN CLIENTES'!A:A)</f>
        <v>Sofia Martínez Restrepo</v>
      </c>
      <c r="C1555" t="str">
        <f>+_xlfn.XLOOKUP(Tabla6[[#This Row],[ID CLIENTE]],'RESUMEN CLIENTES'!D:D,'RESUMEN CLIENTES'!C:C)</f>
        <v>Colombia</v>
      </c>
      <c r="D1555" s="44" t="str">
        <f>+_xlfn.XLOOKUP(Tabla6[[#This Row],[ID CLIENTE]],'RESUMEN CLIENTES'!D:D,'RESUMEN CLIENTES'!M:M)</f>
        <v>OK</v>
      </c>
      <c r="E1555" s="72">
        <f>+_xlfn.XLOOKUP(Tabla6[[#This Row],[NOMBRE]],'RESUMEN CLIENTES'!A:A,'RESUMEN CLIENTES'!X:X)</f>
        <v>-0.33333333333333331</v>
      </c>
      <c r="F1555" s="72">
        <f>+_xlfn.XLOOKUP(Tabla6[[#This Row],[ID CLIENTE]],'RESUMEN CLIENTES'!D:D,'RESUMEN CLIENTES'!W:W)</f>
        <v>1</v>
      </c>
      <c r="G1555" s="17">
        <v>46228</v>
      </c>
      <c r="H1555" s="44" t="s">
        <v>81</v>
      </c>
      <c r="I1555" s="2">
        <v>1000</v>
      </c>
      <c r="J1555"/>
      <c r="K1555"/>
      <c r="L1555" s="44" t="str" cm="1">
        <f t="array" ref="L1555">+_xlfn.IFS(COUNTIF(INGRESOS!E:E,Tabla6[[#This Row],[ID FACTURA]])=1,"PAGADA",Tabla6[[#This Row],[ID FACTURA]]&lt;&gt;0,"EMITIDA",Tabla6[[#This Row],[ID FACTURA]]=0,"POR EMITIR")</f>
        <v>POR EMITIR</v>
      </c>
      <c r="M1555" s="55" t="str">
        <f>+IF(Tabla6[[#This Row],[ESTADO FACTURA]]="PAGADA",Tabla6[[#This Row],[FECHA]]-_xlfn.XLOOKUP(Tabla6[[#This Row],[N° FACTURA]],INGRESOS!F:F,INGRESOS!A:A),"-")</f>
        <v>-</v>
      </c>
      <c r="N1555" s="2"/>
      <c r="O1555"/>
    </row>
    <row r="1556" spans="1:15" ht="14.75" customHeight="1">
      <c r="A1556" s="320" t="s">
        <v>1743</v>
      </c>
      <c r="B1556" t="str">
        <f>+_xlfn.XLOOKUP(Tabla6[[#This Row],[ID CLIENTE]],'RESUMEN CLIENTES'!D:D,'RESUMEN CLIENTES'!A:A)</f>
        <v>Fernando Alberto Lagos Belmar</v>
      </c>
      <c r="C1556" t="str">
        <f>+_xlfn.XLOOKUP(Tabla6[[#This Row],[ID CLIENTE]],'RESUMEN CLIENTES'!D:D,'RESUMEN CLIENTES'!C:C)</f>
        <v>Chile</v>
      </c>
      <c r="D1556" s="169" t="str">
        <f>+_xlfn.XLOOKUP(Tabla6[[#This Row],[ID CLIENTE]],'RESUMEN CLIENTES'!D:D,'RESUMEN CLIENTES'!M:M)</f>
        <v>OK</v>
      </c>
      <c r="E1556" s="71">
        <f>+_xlfn.XLOOKUP(Tabla6[[#This Row],[NOMBRE]],'RESUMEN CLIENTES'!A:A,'RESUMEN CLIENTES'!X:X)</f>
        <v>0.25</v>
      </c>
      <c r="F1556" s="71">
        <f>+_xlfn.XLOOKUP(Tabla6[[#This Row],[ID CLIENTE]],'RESUMEN CLIENTES'!D:D,'RESUMEN CLIENTES'!W:W)</f>
        <v>1</v>
      </c>
      <c r="G1556" s="17">
        <v>46229</v>
      </c>
      <c r="H1556" s="169" t="s">
        <v>81</v>
      </c>
      <c r="I1556" s="2">
        <v>1000</v>
      </c>
      <c r="J1556"/>
      <c r="K1556"/>
      <c r="L1556" s="44" t="str" cm="1">
        <f t="array" ref="L1556">+_xlfn.IFS(COUNTIF(INGRESOS!E:E,Tabla6[[#This Row],[ID FACTURA]])=1,"PAGADA",Tabla6[[#This Row],[ID FACTURA]]&lt;&gt;0,"EMITIDA",Tabla6[[#This Row],[ID FACTURA]]=0,"POR EMITIR")</f>
        <v>POR EMITIR</v>
      </c>
      <c r="M1556" s="55" t="str">
        <f>+IF(Tabla6[[#This Row],[ESTADO FACTURA]]="PAGADA",Tabla6[[#This Row],[FECHA]]-_xlfn.XLOOKUP(Tabla6[[#This Row],[N° FACTURA]],INGRESOS!F:F,INGRESOS!A:A),"-")</f>
        <v>-</v>
      </c>
      <c r="O1556"/>
    </row>
    <row r="1557" spans="1:15" ht="14.75" customHeight="1">
      <c r="A1557" s="320" t="s">
        <v>706</v>
      </c>
      <c r="B1557" t="str">
        <f>+_xlfn.XLOOKUP(Tabla6[[#This Row],[ID CLIENTE]],'RESUMEN CLIENTES'!D:D,'RESUMEN CLIENTES'!A:A)</f>
        <v>Virna Nathaly Montenegro Samaniego</v>
      </c>
      <c r="C1557" t="str">
        <f>+_xlfn.XLOOKUP(Tabla6[[#This Row],[ID CLIENTE]],'RESUMEN CLIENTES'!D:D,'RESUMEN CLIENTES'!C:C)</f>
        <v>Ecuador</v>
      </c>
      <c r="D1557" s="44" t="str">
        <f>+_xlfn.XLOOKUP(Tabla6[[#This Row],[ID CLIENTE]],'RESUMEN CLIENTES'!D:D,'RESUMEN CLIENTES'!M:M)</f>
        <v>OK</v>
      </c>
      <c r="E1557" s="72">
        <f>+_xlfn.XLOOKUP(Tabla6[[#This Row],[NOMBRE]],'RESUMEN CLIENTES'!A:A,'RESUMEN CLIENTES'!X:X)</f>
        <v>7.375</v>
      </c>
      <c r="F1557" s="72">
        <f>+_xlfn.XLOOKUP(Tabla6[[#This Row],[ID CLIENTE]],'RESUMEN CLIENTES'!D:D,'RESUMEN CLIENTES'!W:W)</f>
        <v>0</v>
      </c>
      <c r="G1557" s="17">
        <v>46229</v>
      </c>
      <c r="H1557" s="44" t="s">
        <v>81</v>
      </c>
      <c r="I1557" s="2">
        <v>1000</v>
      </c>
      <c r="J1557"/>
      <c r="K1557"/>
      <c r="L1557" s="44" t="str" cm="1">
        <f t="array" ref="L1557">+_xlfn.IFS(COUNTIF(INGRESOS!E:E,Tabla6[[#This Row],[ID FACTURA]])=1,"PAGADA",Tabla6[[#This Row],[ID FACTURA]]&lt;&gt;0,"EMITIDA",Tabla6[[#This Row],[ID FACTURA]]=0,"POR EMITIR")</f>
        <v>POR EMITIR</v>
      </c>
      <c r="M1557" s="55" t="str">
        <f>+IF(Tabla6[[#This Row],[ESTADO FACTURA]]="PAGADA",Tabla6[[#This Row],[FECHA]]-_xlfn.XLOOKUP(Tabla6[[#This Row],[N° FACTURA]],INGRESOS!F:F,INGRESOS!A:A),"-")</f>
        <v>-</v>
      </c>
      <c r="N1557" s="2"/>
      <c r="O1557"/>
    </row>
    <row r="1558" spans="1:15" ht="14.75" customHeight="1">
      <c r="A1558" s="321" t="s">
        <v>519</v>
      </c>
      <c r="B1558" t="str">
        <f>+_xlfn.XLOOKUP(Tabla6[[#This Row],[ID CLIENTE]],'RESUMEN CLIENTES'!D:D,'RESUMEN CLIENTES'!A:A)</f>
        <v>Elaine Acosta Cabrera</v>
      </c>
      <c r="C1558" t="str">
        <f>+_xlfn.XLOOKUP(Tabla6[[#This Row],[ID CLIENTE]],'RESUMEN CLIENTES'!D:D,'RESUMEN CLIENTES'!C:C)</f>
        <v>República Dominicana</v>
      </c>
      <c r="D1558" s="169" t="str">
        <f>+_xlfn.XLOOKUP(Tabla6[[#This Row],[ID CLIENTE]],'RESUMEN CLIENTES'!D:D,'RESUMEN CLIENTES'!M:M)</f>
        <v>OK</v>
      </c>
      <c r="E1558" s="71">
        <f>+_xlfn.XLOOKUP(Tabla6[[#This Row],[NOMBRE]],'RESUMEN CLIENTES'!A:A,'RESUMEN CLIENTES'!X:X)</f>
        <v>0</v>
      </c>
      <c r="F1558" s="71">
        <f>+_xlfn.XLOOKUP(Tabla6[[#This Row],[ID CLIENTE]],'RESUMEN CLIENTES'!D:D,'RESUMEN CLIENTES'!W:W)</f>
        <v>1</v>
      </c>
      <c r="G1558" s="17">
        <v>46230</v>
      </c>
      <c r="H1558" s="169" t="s">
        <v>81</v>
      </c>
      <c r="I1558" s="2">
        <v>1000</v>
      </c>
      <c r="J1558"/>
      <c r="K1558"/>
      <c r="L1558" s="44" t="str" cm="1">
        <f t="array" ref="L1558">+_xlfn.IFS(COUNTIF(INGRESOS!E:E,Tabla6[[#This Row],[ID FACTURA]])=1,"PAGADA",Tabla6[[#This Row],[ID FACTURA]]&lt;&gt;0,"EMITIDA",Tabla6[[#This Row],[ID FACTURA]]=0,"POR EMITIR")</f>
        <v>POR EMITIR</v>
      </c>
      <c r="M1558" s="54" t="str">
        <f>+IF(Tabla6[[#This Row],[ESTADO FACTURA]]="PAGADA",Tabla6[[#This Row],[FECHA]]-_xlfn.XLOOKUP(Tabla6[[#This Row],[N° FACTURA]],INGRESOS!F:F,INGRESOS!A:A),"-")</f>
        <v>-</v>
      </c>
      <c r="O1558"/>
    </row>
    <row r="1559" spans="1:15" ht="14.75" customHeight="1">
      <c r="A1559" s="320" t="s">
        <v>711</v>
      </c>
      <c r="B1559" t="str">
        <f>+_xlfn.XLOOKUP(Tabla6[[#This Row],[ID CLIENTE]],'RESUMEN CLIENTES'!D:D,'RESUMEN CLIENTES'!A:A)</f>
        <v>Julian David Gutierrez Rodriguez</v>
      </c>
      <c r="C1559" t="str">
        <f>+_xlfn.XLOOKUP(Tabla6[[#This Row],[ID CLIENTE]],'RESUMEN CLIENTES'!D:D,'RESUMEN CLIENTES'!C:C)</f>
        <v>Colombia</v>
      </c>
      <c r="D1559" s="44" t="str">
        <f>+_xlfn.XLOOKUP(Tabla6[[#This Row],[ID CLIENTE]],'RESUMEN CLIENTES'!D:D,'RESUMEN CLIENTES'!M:M)</f>
        <v>OK</v>
      </c>
      <c r="E1559" s="72">
        <f>+_xlfn.XLOOKUP(Tabla6[[#This Row],[NOMBRE]],'RESUMEN CLIENTES'!A:A,'RESUMEN CLIENTES'!X:X)</f>
        <v>0.7142857142857143</v>
      </c>
      <c r="F1559" s="72">
        <f>+_xlfn.XLOOKUP(Tabla6[[#This Row],[ID CLIENTE]],'RESUMEN CLIENTES'!D:D,'RESUMEN CLIENTES'!W:W)</f>
        <v>1</v>
      </c>
      <c r="G1559" s="17">
        <v>46230</v>
      </c>
      <c r="H1559" s="44" t="s">
        <v>81</v>
      </c>
      <c r="I1559" s="2">
        <v>500</v>
      </c>
      <c r="J1559"/>
      <c r="K1559"/>
      <c r="L1559" s="44" t="str" cm="1">
        <f t="array" ref="L1559">+_xlfn.IFS(COUNTIF(INGRESOS!E:E,Tabla6[[#This Row],[ID FACTURA]])=1,"PAGADA",Tabla6[[#This Row],[ID FACTURA]]&lt;&gt;0,"EMITIDA",Tabla6[[#This Row],[ID FACTURA]]=0,"POR EMITIR")</f>
        <v>POR EMITIR</v>
      </c>
      <c r="M1559" s="55" t="str">
        <f>+IF(Tabla6[[#This Row],[ESTADO FACTURA]]="PAGADA",Tabla6[[#This Row],[FECHA]]-_xlfn.XLOOKUP(Tabla6[[#This Row],[N° FACTURA]],INGRESOS!F:F,INGRESOS!A:A),"-")</f>
        <v>-</v>
      </c>
      <c r="N1559" s="2"/>
      <c r="O1559"/>
    </row>
    <row r="1560" spans="1:15" ht="14.75" customHeight="1">
      <c r="A1560" s="321" t="s">
        <v>1870</v>
      </c>
      <c r="B1560" t="str">
        <f>+_xlfn.XLOOKUP(Tabla6[[#This Row],[ID CLIENTE]],'RESUMEN CLIENTES'!D:D,'RESUMEN CLIENTES'!A:A)</f>
        <v>Berenisse Shadia Yarango Garay</v>
      </c>
      <c r="C1560" t="str">
        <f>+_xlfn.XLOOKUP(Tabla6[[#This Row],[ID CLIENTE]],'RESUMEN CLIENTES'!D:D,'RESUMEN CLIENTES'!C:C)</f>
        <v>Perú</v>
      </c>
      <c r="D1560" s="169" t="str">
        <f>+_xlfn.XLOOKUP(Tabla6[[#This Row],[ID CLIENTE]],'RESUMEN CLIENTES'!D:D,'RESUMEN CLIENTES'!M:M)</f>
        <v>OK</v>
      </c>
      <c r="E1560" s="71">
        <f>+_xlfn.XLOOKUP(Tabla6[[#This Row],[NOMBRE]],'RESUMEN CLIENTES'!A:A,'RESUMEN CLIENTES'!X:X)</f>
        <v>-0.33333333333333331</v>
      </c>
      <c r="F1560" s="71">
        <f>+_xlfn.XLOOKUP(Tabla6[[#This Row],[ID CLIENTE]],'RESUMEN CLIENTES'!D:D,'RESUMEN CLIENTES'!W:W)</f>
        <v>0</v>
      </c>
      <c r="G1560" s="17">
        <v>46231</v>
      </c>
      <c r="H1560" s="169" t="s">
        <v>81</v>
      </c>
      <c r="I1560" s="2">
        <v>850</v>
      </c>
      <c r="J1560"/>
      <c r="K1560"/>
      <c r="L1560" s="44" t="str" cm="1">
        <f t="array" ref="L1560">+_xlfn.IFS(COUNTIF(INGRESOS!E:E,Tabla6[[#This Row],[ID FACTURA]])=1,"PAGADA",Tabla6[[#This Row],[ID FACTURA]]&lt;&gt;0,"EMITIDA",Tabla6[[#This Row],[ID FACTURA]]=0,"POR EMITIR")</f>
        <v>POR EMITIR</v>
      </c>
      <c r="M1560" s="54" t="str">
        <f>+IF(Tabla6[[#This Row],[ESTADO FACTURA]]="PAGADA",Tabla6[[#This Row],[FECHA]]-_xlfn.XLOOKUP(Tabla6[[#This Row],[N° FACTURA]],INGRESOS!F:F,INGRESOS!A:A),"-")</f>
        <v>-</v>
      </c>
      <c r="O1560"/>
    </row>
    <row r="1561" spans="1:15" ht="14.75" customHeight="1">
      <c r="A1561" s="320" t="s">
        <v>1461</v>
      </c>
      <c r="B1561" t="str">
        <f>+_xlfn.XLOOKUP(Tabla6[[#This Row],[ID CLIENTE]],'RESUMEN CLIENTES'!D:D,'RESUMEN CLIENTES'!A:A)</f>
        <v>Katerine Marianela Verastegui Mendoza</v>
      </c>
      <c r="C1561" t="str">
        <f>+_xlfn.XLOOKUP(Tabla6[[#This Row],[ID CLIENTE]],'RESUMEN CLIENTES'!D:D,'RESUMEN CLIENTES'!C:C)</f>
        <v>Perú</v>
      </c>
      <c r="D1561" s="44" t="str">
        <f>+_xlfn.XLOOKUP(Tabla6[[#This Row],[ID CLIENTE]],'RESUMEN CLIENTES'!D:D,'RESUMEN CLIENTES'!M:M)</f>
        <v>OK</v>
      </c>
      <c r="E1561" s="71">
        <f>+_xlfn.XLOOKUP(Tabla6[[#This Row],[NOMBRE]],'RESUMEN CLIENTES'!A:A,'RESUMEN CLIENTES'!X:X)</f>
        <v>-2</v>
      </c>
      <c r="F1561" s="71">
        <f>+_xlfn.XLOOKUP(Tabla6[[#This Row],[ID CLIENTE]],'RESUMEN CLIENTES'!D:D,'RESUMEN CLIENTES'!W:W)</f>
        <v>0</v>
      </c>
      <c r="G1561" s="17">
        <v>46231</v>
      </c>
      <c r="H1561" s="169" t="s">
        <v>81</v>
      </c>
      <c r="I1561" s="2">
        <v>1000</v>
      </c>
      <c r="J1561"/>
      <c r="K1561"/>
      <c r="L1561" s="44" t="str" cm="1">
        <f t="array" ref="L1561">+_xlfn.IFS(COUNTIF(INGRESOS!E:E,Tabla6[[#This Row],[ID FACTURA]])=1,"PAGADA",Tabla6[[#This Row],[ID FACTURA]]&lt;&gt;0,"EMITIDA",Tabla6[[#This Row],[ID FACTURA]]=0,"POR EMITIR")</f>
        <v>POR EMITIR</v>
      </c>
      <c r="M1561" s="55" t="str">
        <f>+IF(Tabla6[[#This Row],[ESTADO FACTURA]]="PAGADA",Tabla6[[#This Row],[FECHA]]-_xlfn.XLOOKUP(Tabla6[[#This Row],[N° FACTURA]],INGRESOS!F:F,INGRESOS!A:A),"-")</f>
        <v>-</v>
      </c>
      <c r="N1561" s="2"/>
      <c r="O1561"/>
    </row>
    <row r="1562" spans="1:15" ht="14.75" customHeight="1">
      <c r="A1562" s="320" t="s">
        <v>1482</v>
      </c>
      <c r="B1562" t="str">
        <f>+_xlfn.XLOOKUP(Tabla6[[#This Row],[ID CLIENTE]],'RESUMEN CLIENTES'!D:D,'RESUMEN CLIENTES'!A:A)</f>
        <v>Laxmi Davi Patel Flores</v>
      </c>
      <c r="C1562" t="str">
        <f>+_xlfn.XLOOKUP(Tabla6[[#This Row],[ID CLIENTE]],'RESUMEN CLIENTES'!D:D,'RESUMEN CLIENTES'!C:C)</f>
        <v>Ecuador</v>
      </c>
      <c r="D1562" s="44" t="str">
        <f>+_xlfn.XLOOKUP(Tabla6[[#This Row],[ID CLIENTE]],'RESUMEN CLIENTES'!D:D,'RESUMEN CLIENTES'!M:M)</f>
        <v>OK</v>
      </c>
      <c r="E1562" s="71">
        <f>+_xlfn.XLOOKUP(Tabla6[[#This Row],[NOMBRE]],'RESUMEN CLIENTES'!A:A,'RESUMEN CLIENTES'!X:X)</f>
        <v>-1.5714285714285714</v>
      </c>
      <c r="F1562" s="71">
        <f>+_xlfn.XLOOKUP(Tabla6[[#This Row],[ID CLIENTE]],'RESUMEN CLIENTES'!D:D,'RESUMEN CLIENTES'!W:W)</f>
        <v>0</v>
      </c>
      <c r="G1562" s="17">
        <v>46231</v>
      </c>
      <c r="H1562" s="169" t="s">
        <v>81</v>
      </c>
      <c r="I1562" s="2">
        <v>2750</v>
      </c>
      <c r="J1562"/>
      <c r="K1562"/>
      <c r="L1562" s="44" t="str" cm="1">
        <f t="array" ref="L1562">+_xlfn.IFS(COUNTIF(INGRESOS!E:E,Tabla6[[#This Row],[ID FACTURA]])=1,"PAGADA",Tabla6[[#This Row],[ID FACTURA]]&lt;&gt;0,"EMITIDA",Tabla6[[#This Row],[ID FACTURA]]=0,"POR EMITIR")</f>
        <v>POR EMITIR</v>
      </c>
      <c r="M1562" s="55" t="str">
        <f>+IF(Tabla6[[#This Row],[ESTADO FACTURA]]="PAGADA",Tabla6[[#This Row],[FECHA]]-_xlfn.XLOOKUP(Tabla6[[#This Row],[N° FACTURA]],INGRESOS!F:F,INGRESOS!A:A),"-")</f>
        <v>-</v>
      </c>
      <c r="N1562" s="2"/>
      <c r="O1562"/>
    </row>
    <row r="1563" spans="1:15" ht="14.75" customHeight="1">
      <c r="A1563" s="320" t="s">
        <v>450</v>
      </c>
      <c r="B1563" t="str">
        <f>+_xlfn.XLOOKUP(Tabla6[[#This Row],[ID CLIENTE]],'RESUMEN CLIENTES'!D:D,'RESUMEN CLIENTES'!A:A)</f>
        <v>Alexandra Carolina Ordoñez Cuotto</v>
      </c>
      <c r="C1563" t="str">
        <f>+_xlfn.XLOOKUP(Tabla6[[#This Row],[ID CLIENTE]],'RESUMEN CLIENTES'!D:D,'RESUMEN CLIENTES'!C:C)</f>
        <v>Venezuela</v>
      </c>
      <c r="D1563" s="44" t="str">
        <f>+_xlfn.XLOOKUP(Tabla6[[#This Row],[ID CLIENTE]],'RESUMEN CLIENTES'!D:D,'RESUMEN CLIENTES'!M:M)</f>
        <v>¡REGULARIZAR!</v>
      </c>
      <c r="E1563" s="72">
        <f>+_xlfn.XLOOKUP(Tabla6[[#This Row],[NOMBRE]],'RESUMEN CLIENTES'!A:A,'RESUMEN CLIENTES'!X:X)</f>
        <v>-2</v>
      </c>
      <c r="F1563" s="72">
        <f>+_xlfn.XLOOKUP(Tabla6[[#This Row],[ID CLIENTE]],'RESUMEN CLIENTES'!D:D,'RESUMEN CLIENTES'!W:W)</f>
        <v>0</v>
      </c>
      <c r="G1563" s="17">
        <v>46232</v>
      </c>
      <c r="H1563" s="44" t="s">
        <v>81</v>
      </c>
      <c r="I1563" s="2">
        <v>1000</v>
      </c>
      <c r="J1563"/>
      <c r="K1563"/>
      <c r="L1563" s="44" t="str" cm="1">
        <f t="array" ref="L1563">+_xlfn.IFS(COUNTIF(INGRESOS!E:E,Tabla6[[#This Row],[ID FACTURA]])=1,"PAGADA",Tabla6[[#This Row],[ID FACTURA]]&lt;&gt;0,"EMITIDA",Tabla6[[#This Row],[ID FACTURA]]=0,"POR EMITIR")</f>
        <v>POR EMITIR</v>
      </c>
      <c r="M1563" s="55" t="str">
        <f>+IF(Tabla6[[#This Row],[ESTADO FACTURA]]="PAGADA",Tabla6[[#This Row],[FECHA]]-_xlfn.XLOOKUP(Tabla6[[#This Row],[N° FACTURA]],INGRESOS!F:F,INGRESOS!A:A),"-")</f>
        <v>-</v>
      </c>
      <c r="N1563" s="2"/>
      <c r="O1563"/>
    </row>
    <row r="1564" spans="1:15" ht="14.75" customHeight="1">
      <c r="A1564" s="320" t="s">
        <v>541</v>
      </c>
      <c r="B1564" t="str">
        <f>+_xlfn.XLOOKUP(Tabla6[[#This Row],[ID CLIENTE]],'RESUMEN CLIENTES'!D:D,'RESUMEN CLIENTES'!A:A)</f>
        <v>Alejandra Goretti Figueroa Romo</v>
      </c>
      <c r="C1564" t="str">
        <f>+_xlfn.XLOOKUP(Tabla6[[#This Row],[ID CLIENTE]],'RESUMEN CLIENTES'!D:D,'RESUMEN CLIENTES'!C:C)</f>
        <v>México</v>
      </c>
      <c r="D1564" s="44" t="str">
        <f>+_xlfn.XLOOKUP(Tabla6[[#This Row],[ID CLIENTE]],'RESUMEN CLIENTES'!D:D,'RESUMEN CLIENTES'!M:M)</f>
        <v>OK</v>
      </c>
      <c r="E1564" s="72">
        <f>+_xlfn.XLOOKUP(Tabla6[[#This Row],[NOMBRE]],'RESUMEN CLIENTES'!A:A,'RESUMEN CLIENTES'!X:X)</f>
        <v>0.75</v>
      </c>
      <c r="F1564" s="72">
        <f>+_xlfn.XLOOKUP(Tabla6[[#This Row],[ID CLIENTE]],'RESUMEN CLIENTES'!D:D,'RESUMEN CLIENTES'!W:W)</f>
        <v>0</v>
      </c>
      <c r="G1564" s="17">
        <v>46233</v>
      </c>
      <c r="H1564" s="44" t="s">
        <v>81</v>
      </c>
      <c r="I1564" s="2">
        <v>1000</v>
      </c>
      <c r="J1564"/>
      <c r="K1564"/>
      <c r="L1564" s="44" t="str" cm="1">
        <f t="array" ref="L1564">+_xlfn.IFS(COUNTIF(INGRESOS!E:E,Tabla6[[#This Row],[ID FACTURA]])=1,"PAGADA",Tabla6[[#This Row],[ID FACTURA]]&lt;&gt;0,"EMITIDA",Tabla6[[#This Row],[ID FACTURA]]=0,"POR EMITIR")</f>
        <v>POR EMITIR</v>
      </c>
      <c r="M1564" s="55" t="str">
        <f>+IF(Tabla6[[#This Row],[ESTADO FACTURA]]="PAGADA",Tabla6[[#This Row],[FECHA]]-_xlfn.XLOOKUP(Tabla6[[#This Row],[N° FACTURA]],INGRESOS!F:F,INGRESOS!A:A),"-")</f>
        <v>-</v>
      </c>
      <c r="N1564" s="2"/>
      <c r="O1564"/>
    </row>
    <row r="1565" spans="1:15" ht="14.75" customHeight="1">
      <c r="A1565" s="320" t="s">
        <v>479</v>
      </c>
      <c r="B1565" t="str">
        <f>+_xlfn.XLOOKUP(Tabla6[[#This Row],[ID CLIENTE]],'RESUMEN CLIENTES'!D:D,'RESUMEN CLIENTES'!A:A)</f>
        <v>Carlos Mersaim Olivares Sandoval</v>
      </c>
      <c r="C1565" t="str">
        <f>+_xlfn.XLOOKUP(Tabla6[[#This Row],[ID CLIENTE]],'RESUMEN CLIENTES'!D:D,'RESUMEN CLIENTES'!C:C)</f>
        <v>México</v>
      </c>
      <c r="D1565" s="44" t="str">
        <f>+_xlfn.XLOOKUP(Tabla6[[#This Row],[ID CLIENTE]],'RESUMEN CLIENTES'!D:D,'RESUMEN CLIENTES'!M:M)</f>
        <v>OK</v>
      </c>
      <c r="E1565" s="72">
        <f>+_xlfn.XLOOKUP(Tabla6[[#This Row],[NOMBRE]],'RESUMEN CLIENTES'!A:A,'RESUMEN CLIENTES'!X:X)</f>
        <v>1.4444444444444444</v>
      </c>
      <c r="F1565" s="72">
        <f>+_xlfn.XLOOKUP(Tabla6[[#This Row],[ID CLIENTE]],'RESUMEN CLIENTES'!D:D,'RESUMEN CLIENTES'!W:W)</f>
        <v>0</v>
      </c>
      <c r="G1565" s="17">
        <v>46233</v>
      </c>
      <c r="H1565" s="44" t="s">
        <v>81</v>
      </c>
      <c r="I1565" s="2">
        <v>1000</v>
      </c>
      <c r="J1565"/>
      <c r="K1565"/>
      <c r="L1565" s="44" t="str" cm="1">
        <f t="array" ref="L1565">+_xlfn.IFS(COUNTIF(INGRESOS!E:E,Tabla6[[#This Row],[ID FACTURA]])=1,"PAGADA",Tabla6[[#This Row],[ID FACTURA]]&lt;&gt;0,"EMITIDA",Tabla6[[#This Row],[ID FACTURA]]=0,"POR EMITIR")</f>
        <v>POR EMITIR</v>
      </c>
      <c r="M1565" s="55" t="str">
        <f>+IF(Tabla6[[#This Row],[ESTADO FACTURA]]="PAGADA",Tabla6[[#This Row],[FECHA]]-_xlfn.XLOOKUP(Tabla6[[#This Row],[N° FACTURA]],INGRESOS!F:F,INGRESOS!A:A),"-")</f>
        <v>-</v>
      </c>
      <c r="N1565" s="2"/>
      <c r="O1565"/>
    </row>
    <row r="1566" spans="1:15" ht="14.75" customHeight="1">
      <c r="A1566" s="320" t="s">
        <v>385</v>
      </c>
      <c r="B1566" t="str">
        <f>+_xlfn.XLOOKUP(Tabla6[[#This Row],[ID CLIENTE]],'RESUMEN CLIENTES'!D:D,'RESUMEN CLIENTES'!A:A)</f>
        <v>Ellen Cristina Gerónimo Bonilla</v>
      </c>
      <c r="C1566" t="str">
        <f>+_xlfn.XLOOKUP(Tabla6[[#This Row],[ID CLIENTE]],'RESUMEN CLIENTES'!D:D,'RESUMEN CLIENTES'!C:C)</f>
        <v>República Dominicana</v>
      </c>
      <c r="D1566" s="44" t="str">
        <f>+_xlfn.XLOOKUP(Tabla6[[#This Row],[ID CLIENTE]],'RESUMEN CLIENTES'!D:D,'RESUMEN CLIENTES'!M:M)</f>
        <v>OK</v>
      </c>
      <c r="E1566" s="72">
        <f>+_xlfn.XLOOKUP(Tabla6[[#This Row],[NOMBRE]],'RESUMEN CLIENTES'!A:A,'RESUMEN CLIENTES'!X:X)</f>
        <v>1.5555555555555556</v>
      </c>
      <c r="F1566" s="72">
        <f>+_xlfn.XLOOKUP(Tabla6[[#This Row],[ID CLIENTE]],'RESUMEN CLIENTES'!D:D,'RESUMEN CLIENTES'!W:W)</f>
        <v>1</v>
      </c>
      <c r="G1566" s="17">
        <v>46233</v>
      </c>
      <c r="H1566" s="44" t="s">
        <v>81</v>
      </c>
      <c r="I1566" s="2">
        <v>4800</v>
      </c>
      <c r="J1566"/>
      <c r="K1566"/>
      <c r="L1566" s="44" t="str" cm="1">
        <f t="array" ref="L1566">+_xlfn.IFS(COUNTIF(INGRESOS!E:E,Tabla6[[#This Row],[ID FACTURA]])=1,"PAGADA",Tabla6[[#This Row],[ID FACTURA]]&lt;&gt;0,"EMITIDA",Tabla6[[#This Row],[ID FACTURA]]=0,"POR EMITIR")</f>
        <v>POR EMITIR</v>
      </c>
      <c r="M1566" s="55" t="str">
        <f>+IF(Tabla6[[#This Row],[ESTADO FACTURA]]="PAGADA",Tabla6[[#This Row],[FECHA]]-_xlfn.XLOOKUP(Tabla6[[#This Row],[N° FACTURA]],INGRESOS!F:F,INGRESOS!A:A),"-")</f>
        <v>-</v>
      </c>
      <c r="N1566" s="2"/>
      <c r="O1566"/>
    </row>
    <row r="1567" spans="1:15" ht="14.75" customHeight="1">
      <c r="A1567" s="320" t="s">
        <v>1761</v>
      </c>
      <c r="B1567" t="str">
        <f>+_xlfn.XLOOKUP(Tabla6[[#This Row],[ID CLIENTE]],'RESUMEN CLIENTES'!D:D,'RESUMEN CLIENTES'!A:A)</f>
        <v>Francisco Salas Barrera</v>
      </c>
      <c r="C1567" t="str">
        <f>+_xlfn.XLOOKUP(Tabla6[[#This Row],[ID CLIENTE]],'RESUMEN CLIENTES'!D:D,'RESUMEN CLIENTES'!C:C)</f>
        <v>México</v>
      </c>
      <c r="D1567" s="169" t="str">
        <f>+_xlfn.XLOOKUP(Tabla6[[#This Row],[ID CLIENTE]],'RESUMEN CLIENTES'!D:D,'RESUMEN CLIENTES'!M:M)</f>
        <v>OK</v>
      </c>
      <c r="E1567" s="71">
        <f>+_xlfn.XLOOKUP(Tabla6[[#This Row],[NOMBRE]],'RESUMEN CLIENTES'!A:A,'RESUMEN CLIENTES'!X:X)</f>
        <v>-0.75</v>
      </c>
      <c r="F1567" s="71">
        <f>+_xlfn.XLOOKUP(Tabla6[[#This Row],[ID CLIENTE]],'RESUMEN CLIENTES'!D:D,'RESUMEN CLIENTES'!W:W)</f>
        <v>0</v>
      </c>
      <c r="G1567" s="17">
        <v>46233</v>
      </c>
      <c r="H1567" s="169" t="s">
        <v>81</v>
      </c>
      <c r="I1567" s="2">
        <v>1000</v>
      </c>
      <c r="J1567"/>
      <c r="K1567"/>
      <c r="L1567" s="44" t="str" cm="1">
        <f t="array" ref="L1567">+_xlfn.IFS(COUNTIF(INGRESOS!E:E,Tabla6[[#This Row],[ID FACTURA]])=1,"PAGADA",Tabla6[[#This Row],[ID FACTURA]]&lt;&gt;0,"EMITIDA",Tabla6[[#This Row],[ID FACTURA]]=0,"POR EMITIR")</f>
        <v>POR EMITIR</v>
      </c>
      <c r="M1567" s="55" t="str">
        <f>+IF(Tabla6[[#This Row],[ESTADO FACTURA]]="PAGADA",Tabla6[[#This Row],[FECHA]]-_xlfn.XLOOKUP(Tabla6[[#This Row],[N° FACTURA]],INGRESOS!F:F,INGRESOS!A:A),"-")</f>
        <v>-</v>
      </c>
      <c r="O1567"/>
    </row>
    <row r="1568" spans="1:15" ht="14.75" customHeight="1">
      <c r="A1568" s="320" t="s">
        <v>739</v>
      </c>
      <c r="B1568" t="str">
        <f>+_xlfn.XLOOKUP(Tabla6[[#This Row],[ID CLIENTE]],'RESUMEN CLIENTES'!D:D,'RESUMEN CLIENTES'!A:A)</f>
        <v>Gilberto Martiñon Torres</v>
      </c>
      <c r="C1568" t="str">
        <f>+_xlfn.XLOOKUP(Tabla6[[#This Row],[ID CLIENTE]],'RESUMEN CLIENTES'!D:D,'RESUMEN CLIENTES'!C:C)</f>
        <v>México</v>
      </c>
      <c r="D1568" s="44" t="str">
        <f>+_xlfn.XLOOKUP(Tabla6[[#This Row],[ID CLIENTE]],'RESUMEN CLIENTES'!D:D,'RESUMEN CLIENTES'!M:M)</f>
        <v>OK</v>
      </c>
      <c r="E1568" s="72">
        <f>+_xlfn.XLOOKUP(Tabla6[[#This Row],[NOMBRE]],'RESUMEN CLIENTES'!A:A,'RESUMEN CLIENTES'!X:X)</f>
        <v>-0.625</v>
      </c>
      <c r="F1568" s="72">
        <f>+_xlfn.XLOOKUP(Tabla6[[#This Row],[ID CLIENTE]],'RESUMEN CLIENTES'!D:D,'RESUMEN CLIENTES'!W:W)</f>
        <v>0</v>
      </c>
      <c r="G1568" s="17">
        <v>46233</v>
      </c>
      <c r="H1568" s="44" t="s">
        <v>81</v>
      </c>
      <c r="I1568" s="2">
        <v>700</v>
      </c>
      <c r="J1568"/>
      <c r="K1568"/>
      <c r="L1568" s="44" t="str" cm="1">
        <f t="array" ref="L1568">+_xlfn.IFS(COUNTIF(INGRESOS!E:E,Tabla6[[#This Row],[ID FACTURA]])=1,"PAGADA",Tabla6[[#This Row],[ID FACTURA]]&lt;&gt;0,"EMITIDA",Tabla6[[#This Row],[ID FACTURA]]=0,"POR EMITIR")</f>
        <v>POR EMITIR</v>
      </c>
      <c r="M1568" s="55" t="str">
        <f>+IF(Tabla6[[#This Row],[ESTADO FACTURA]]="PAGADA",Tabla6[[#This Row],[FECHA]]-_xlfn.XLOOKUP(Tabla6[[#This Row],[N° FACTURA]],INGRESOS!F:F,INGRESOS!A:A),"-")</f>
        <v>-</v>
      </c>
      <c r="N1568" s="2"/>
      <c r="O1568"/>
    </row>
    <row r="1569" spans="1:15" ht="14.75" customHeight="1">
      <c r="A1569" s="320" t="s">
        <v>139</v>
      </c>
      <c r="B1569" t="str">
        <f>+_xlfn.XLOOKUP(Tabla6[[#This Row],[ID CLIENTE]],'RESUMEN CLIENTES'!D:D,'RESUMEN CLIENTES'!A:A)</f>
        <v>Hugo Nicolás Trávez Morales</v>
      </c>
      <c r="C1569" t="str">
        <f>+_xlfn.XLOOKUP(Tabla6[[#This Row],[ID CLIENTE]],'RESUMEN CLIENTES'!D:D,'RESUMEN CLIENTES'!C:C)</f>
        <v>Ecuador</v>
      </c>
      <c r="D1569" s="169" t="str">
        <f>+_xlfn.XLOOKUP(Tabla6[[#This Row],[ID CLIENTE]],'RESUMEN CLIENTES'!D:D,'RESUMEN CLIENTES'!M:M)</f>
        <v>OK</v>
      </c>
      <c r="E1569" s="71">
        <f>+_xlfn.XLOOKUP(Tabla6[[#This Row],[NOMBRE]],'RESUMEN CLIENTES'!A:A,'RESUMEN CLIENTES'!X:X)</f>
        <v>0</v>
      </c>
      <c r="F1569" s="71">
        <f>+_xlfn.XLOOKUP(Tabla6[[#This Row],[ID CLIENTE]],'RESUMEN CLIENTES'!D:D,'RESUMEN CLIENTES'!W:W)</f>
        <v>0</v>
      </c>
      <c r="G1569" s="17">
        <v>46233</v>
      </c>
      <c r="H1569" s="44" t="s">
        <v>81</v>
      </c>
      <c r="I1569" s="2">
        <v>1000</v>
      </c>
      <c r="J1569"/>
      <c r="K1569"/>
      <c r="L1569" s="44" t="str" cm="1">
        <f t="array" ref="L1569">+_xlfn.IFS(COUNTIF(INGRESOS!E:E,Tabla6[[#This Row],[ID FACTURA]])=1,"PAGADA",Tabla6[[#This Row],[ID FACTURA]]&lt;&gt;0,"EMITIDA",Tabla6[[#This Row],[ID FACTURA]]=0,"POR EMITIR")</f>
        <v>POR EMITIR</v>
      </c>
      <c r="M1569" s="54" t="str">
        <f>+IF(Tabla6[[#This Row],[ESTADO FACTURA]]="PAGADA",Tabla6[[#This Row],[FECHA]]-_xlfn.XLOOKUP(Tabla6[[#This Row],[N° FACTURA]],INGRESOS!F:F,INGRESOS!A:A),"-")</f>
        <v>-</v>
      </c>
      <c r="O1569"/>
    </row>
    <row r="1570" spans="1:15" ht="14.75" customHeight="1">
      <c r="A1570" s="320" t="s">
        <v>590</v>
      </c>
      <c r="B1570" t="str">
        <f>+_xlfn.XLOOKUP(Tabla6[[#This Row],[ID CLIENTE]],'RESUMEN CLIENTES'!D:D,'RESUMEN CLIENTES'!A:A)</f>
        <v>María Lucero de Jesús Barrios Sazo</v>
      </c>
      <c r="C1570" t="str">
        <f>+_xlfn.XLOOKUP(Tabla6[[#This Row],[ID CLIENTE]],'RESUMEN CLIENTES'!D:D,'RESUMEN CLIENTES'!C:C)</f>
        <v>Guatemala</v>
      </c>
      <c r="D1570" s="44" t="str">
        <f>+_xlfn.XLOOKUP(Tabla6[[#This Row],[ID CLIENTE]],'RESUMEN CLIENTES'!D:D,'RESUMEN CLIENTES'!M:M)</f>
        <v>OK</v>
      </c>
      <c r="E1570" s="72">
        <f>+_xlfn.XLOOKUP(Tabla6[[#This Row],[NOMBRE]],'RESUMEN CLIENTES'!A:A,'RESUMEN CLIENTES'!X:X)</f>
        <v>1.25</v>
      </c>
      <c r="F1570" s="72">
        <f>+_xlfn.XLOOKUP(Tabla6[[#This Row],[ID CLIENTE]],'RESUMEN CLIENTES'!D:D,'RESUMEN CLIENTES'!W:W)</f>
        <v>0</v>
      </c>
      <c r="G1570" s="17">
        <v>46233</v>
      </c>
      <c r="H1570" s="44" t="s">
        <v>81</v>
      </c>
      <c r="I1570" s="2">
        <v>700</v>
      </c>
      <c r="J1570"/>
      <c r="K1570"/>
      <c r="L1570" s="44" t="str" cm="1">
        <f t="array" ref="L1570">+_xlfn.IFS(COUNTIF(INGRESOS!E:E,Tabla6[[#This Row],[ID FACTURA]])=1,"PAGADA",Tabla6[[#This Row],[ID FACTURA]]&lt;&gt;0,"EMITIDA",Tabla6[[#This Row],[ID FACTURA]]=0,"POR EMITIR")</f>
        <v>POR EMITIR</v>
      </c>
      <c r="M1570" s="55" t="str">
        <f>+IF(Tabla6[[#This Row],[ESTADO FACTURA]]="PAGADA",Tabla6[[#This Row],[FECHA]]-_xlfn.XLOOKUP(Tabla6[[#This Row],[N° FACTURA]],INGRESOS!F:F,INGRESOS!A:A),"-")</f>
        <v>-</v>
      </c>
      <c r="N1570" s="2"/>
      <c r="O1570"/>
    </row>
    <row r="1571" spans="1:15" ht="14.75" customHeight="1">
      <c r="A1571" s="320" t="s">
        <v>1201</v>
      </c>
      <c r="B1571" t="str">
        <f>+_xlfn.XLOOKUP(Tabla6[[#This Row],[ID CLIENTE]],'RESUMEN CLIENTES'!D:D,'RESUMEN CLIENTES'!A:A)</f>
        <v>María Soledad Tituana Asanza</v>
      </c>
      <c r="C1571" t="str">
        <f>+_xlfn.XLOOKUP(Tabla6[[#This Row],[ID CLIENTE]],'RESUMEN CLIENTES'!D:D,'RESUMEN CLIENTES'!C:C)</f>
        <v>Ecuador</v>
      </c>
      <c r="D1571" s="44" t="str">
        <f>+_xlfn.XLOOKUP(Tabla6[[#This Row],[ID CLIENTE]],'RESUMEN CLIENTES'!D:D,'RESUMEN CLIENTES'!M:M)</f>
        <v>OK</v>
      </c>
      <c r="E1571" s="72">
        <f>+_xlfn.XLOOKUP(Tabla6[[#This Row],[NOMBRE]],'RESUMEN CLIENTES'!A:A,'RESUMEN CLIENTES'!X:X)</f>
        <v>-0.16666666666666666</v>
      </c>
      <c r="F1571" s="72">
        <f>+_xlfn.XLOOKUP(Tabla6[[#This Row],[ID CLIENTE]],'RESUMEN CLIENTES'!D:D,'RESUMEN CLIENTES'!W:W)</f>
        <v>0</v>
      </c>
      <c r="G1571" s="17">
        <v>46233</v>
      </c>
      <c r="H1571" s="44" t="s">
        <v>81</v>
      </c>
      <c r="I1571" s="2">
        <v>1000</v>
      </c>
      <c r="J1571"/>
      <c r="K1571"/>
      <c r="L1571" s="44" t="str" cm="1">
        <f t="array" ref="L1571">+_xlfn.IFS(COUNTIF(INGRESOS!E:E,Tabla6[[#This Row],[ID FACTURA]])=1,"PAGADA",Tabla6[[#This Row],[ID FACTURA]]&lt;&gt;0,"EMITIDA",Tabla6[[#This Row],[ID FACTURA]]=0,"POR EMITIR")</f>
        <v>POR EMITIR</v>
      </c>
      <c r="M1571" s="55" t="str">
        <f>+IF(Tabla6[[#This Row],[ESTADO FACTURA]]="PAGADA",Tabla6[[#This Row],[FECHA]]-_xlfn.XLOOKUP(Tabla6[[#This Row],[N° FACTURA]],INGRESOS!F:F,INGRESOS!A:A),"-")</f>
        <v>-</v>
      </c>
      <c r="N1571" s="2"/>
      <c r="O1571"/>
    </row>
    <row r="1572" spans="1:15" ht="14.75" customHeight="1">
      <c r="A1572" s="320" t="s">
        <v>314</v>
      </c>
      <c r="B1572" t="str">
        <f>+_xlfn.XLOOKUP(Tabla6[[#This Row],[ID CLIENTE]],'RESUMEN CLIENTES'!D:D,'RESUMEN CLIENTES'!A:A)</f>
        <v>Miguel Angel Sisalima Shiña</v>
      </c>
      <c r="C1572" t="str">
        <f>+_xlfn.XLOOKUP(Tabla6[[#This Row],[ID CLIENTE]],'RESUMEN CLIENTES'!D:D,'RESUMEN CLIENTES'!C:C)</f>
        <v>Ecuador</v>
      </c>
      <c r="D1572" s="44" t="str">
        <f>+_xlfn.XLOOKUP(Tabla6[[#This Row],[ID CLIENTE]],'RESUMEN CLIENTES'!D:D,'RESUMEN CLIENTES'!M:M)</f>
        <v>OK</v>
      </c>
      <c r="E1572" s="72">
        <f>+_xlfn.XLOOKUP(Tabla6[[#This Row],[NOMBRE]],'RESUMEN CLIENTES'!A:A,'RESUMEN CLIENTES'!X:X)</f>
        <v>0.6</v>
      </c>
      <c r="F1572" s="72">
        <f>+_xlfn.XLOOKUP(Tabla6[[#This Row],[ID CLIENTE]],'RESUMEN CLIENTES'!D:D,'RESUMEN CLIENTES'!W:W)</f>
        <v>0</v>
      </c>
      <c r="G1572" s="17">
        <v>46233</v>
      </c>
      <c r="H1572" s="44" t="s">
        <v>81</v>
      </c>
      <c r="I1572" s="2">
        <v>1000</v>
      </c>
      <c r="J1572"/>
      <c r="K1572"/>
      <c r="L1572" s="44" t="str" cm="1">
        <f t="array" ref="L1572">+_xlfn.IFS(COUNTIF(INGRESOS!E:E,Tabla6[[#This Row],[ID FACTURA]])=1,"PAGADA",Tabla6[[#This Row],[ID FACTURA]]&lt;&gt;0,"EMITIDA",Tabla6[[#This Row],[ID FACTURA]]=0,"POR EMITIR")</f>
        <v>POR EMITIR</v>
      </c>
      <c r="M1572" s="55" t="str">
        <f>+IF(Tabla6[[#This Row],[ESTADO FACTURA]]="PAGADA",Tabla6[[#This Row],[FECHA]]-_xlfn.XLOOKUP(Tabla6[[#This Row],[N° FACTURA]],INGRESOS!F:F,INGRESOS!A:A),"-")</f>
        <v>-</v>
      </c>
      <c r="N1572" s="2"/>
      <c r="O1572"/>
    </row>
    <row r="1573" spans="1:15" ht="14.75" customHeight="1">
      <c r="A1573" s="320" t="s">
        <v>527</v>
      </c>
      <c r="B1573" t="str">
        <f>+_xlfn.XLOOKUP(Tabla6[[#This Row],[ID CLIENTE]],'RESUMEN CLIENTES'!D:D,'RESUMEN CLIENTES'!A:A)</f>
        <v>Angie Pérez Cáceres</v>
      </c>
      <c r="C1573" t="str">
        <f>+_xlfn.XLOOKUP(Tabla6[[#This Row],[ID CLIENTE]],'RESUMEN CLIENTES'!D:D,'RESUMEN CLIENTES'!C:C)</f>
        <v>Perú</v>
      </c>
      <c r="D1573" s="44" t="str">
        <f>+_xlfn.XLOOKUP(Tabla6[[#This Row],[ID CLIENTE]],'RESUMEN CLIENTES'!D:D,'RESUMEN CLIENTES'!M:M)</f>
        <v>OK</v>
      </c>
      <c r="E1573" s="72">
        <f>+_xlfn.XLOOKUP(Tabla6[[#This Row],[NOMBRE]],'RESUMEN CLIENTES'!A:A,'RESUMEN CLIENTES'!X:X)</f>
        <v>1.625</v>
      </c>
      <c r="F1573" s="72">
        <f>+_xlfn.XLOOKUP(Tabla6[[#This Row],[ID CLIENTE]],'RESUMEN CLIENTES'!D:D,'RESUMEN CLIENTES'!W:W)</f>
        <v>0</v>
      </c>
      <c r="G1573" s="17">
        <v>46234</v>
      </c>
      <c r="H1573" s="44" t="s">
        <v>81</v>
      </c>
      <c r="I1573" s="2">
        <v>1000</v>
      </c>
      <c r="J1573"/>
      <c r="K1573"/>
      <c r="L1573" s="44" t="str" cm="1">
        <f t="array" ref="L1573">+_xlfn.IFS(COUNTIF(INGRESOS!E:E,Tabla6[[#This Row],[ID FACTURA]])=1,"PAGADA",Tabla6[[#This Row],[ID FACTURA]]&lt;&gt;0,"EMITIDA",Tabla6[[#This Row],[ID FACTURA]]=0,"POR EMITIR")</f>
        <v>POR EMITIR</v>
      </c>
      <c r="M1573" s="55" t="str">
        <f>+IF(Tabla6[[#This Row],[ESTADO FACTURA]]="PAGADA",Tabla6[[#This Row],[FECHA]]-_xlfn.XLOOKUP(Tabla6[[#This Row],[N° FACTURA]],INGRESOS!F:F,INGRESOS!A:A),"-")</f>
        <v>-</v>
      </c>
      <c r="N1573" s="2"/>
      <c r="O1573"/>
    </row>
    <row r="1574" spans="1:15" ht="14.75" customHeight="1">
      <c r="A1574" s="320" t="s">
        <v>197</v>
      </c>
      <c r="B1574" t="str">
        <f>+_xlfn.XLOOKUP(Tabla6[[#This Row],[ID CLIENTE]],'RESUMEN CLIENTES'!D:D,'RESUMEN CLIENTES'!A:A)</f>
        <v>Lina Estrada</v>
      </c>
      <c r="C1574" s="15" t="str">
        <f>+_xlfn.XLOOKUP(Tabla6[[#This Row],[ID CLIENTE]],'RESUMEN CLIENTES'!D:D,'RESUMEN CLIENTES'!C:C)</f>
        <v>Colombia</v>
      </c>
      <c r="D1574" s="169" t="str">
        <f>+_xlfn.XLOOKUP(Tabla6[[#This Row],[ID CLIENTE]],'RESUMEN CLIENTES'!D:D,'RESUMEN CLIENTES'!M:M)</f>
        <v>¡REGULARIZAR!</v>
      </c>
      <c r="E1574" s="71">
        <f>+_xlfn.XLOOKUP(Tabla6[[#This Row],[NOMBRE]],'RESUMEN CLIENTES'!A:A,'RESUMEN CLIENTES'!X:X)</f>
        <v>0.5</v>
      </c>
      <c r="F1574" s="71">
        <f>+_xlfn.XLOOKUP(Tabla6[[#This Row],[ID CLIENTE]],'RESUMEN CLIENTES'!D:D,'RESUMEN CLIENTES'!W:W)</f>
        <v>0</v>
      </c>
      <c r="G1574" s="17">
        <v>46234</v>
      </c>
      <c r="H1574" s="169" t="s">
        <v>1669</v>
      </c>
      <c r="I1574" s="2">
        <v>800</v>
      </c>
      <c r="J1574"/>
      <c r="K1574"/>
      <c r="L1574" s="44" t="str" cm="1">
        <f t="array" ref="L1574">+_xlfn.IFS(COUNTIF(INGRESOS!E:E,Tabla6[[#This Row],[ID FACTURA]])=1,"PAGADA",Tabla6[[#This Row],[ID FACTURA]]&lt;&gt;0,"EMITIDA",Tabla6[[#This Row],[ID FACTURA]]=0,"POR EMITIR")</f>
        <v>POR EMITIR</v>
      </c>
      <c r="M1574" s="54" t="str">
        <f>+IF(Tabla6[[#This Row],[ESTADO FACTURA]]="PAGADA",Tabla6[[#This Row],[FECHA]]-_xlfn.XLOOKUP(Tabla6[[#This Row],[N° FACTURA]],INGRESOS!F:F,INGRESOS!A:A),"-")</f>
        <v>-</v>
      </c>
      <c r="O1574"/>
    </row>
    <row r="1575" spans="1:15" ht="14.75" customHeight="1">
      <c r="A1575" s="320" t="s">
        <v>1245</v>
      </c>
      <c r="B1575" t="str">
        <f>+_xlfn.XLOOKUP(Tabla6[[#This Row],[ID CLIENTE]],'RESUMEN CLIENTES'!D:D,'RESUMEN CLIENTES'!A:A)</f>
        <v>Constanza Andrea Águila Vergara</v>
      </c>
      <c r="C1575" t="str">
        <f>+_xlfn.XLOOKUP(Tabla6[[#This Row],[ID CLIENTE]],'RESUMEN CLIENTES'!D:D,'RESUMEN CLIENTES'!C:C)</f>
        <v>Chile</v>
      </c>
      <c r="D1575" s="44" t="str">
        <f>+_xlfn.XLOOKUP(Tabla6[[#This Row],[ID CLIENTE]],'RESUMEN CLIENTES'!D:D,'RESUMEN CLIENTES'!M:M)</f>
        <v>OK</v>
      </c>
      <c r="E1575" s="71">
        <f>+_xlfn.XLOOKUP(Tabla6[[#This Row],[NOMBRE]],'RESUMEN CLIENTES'!A:A,'RESUMEN CLIENTES'!X:X)</f>
        <v>-0.2</v>
      </c>
      <c r="F1575" s="71">
        <f>+_xlfn.XLOOKUP(Tabla6[[#This Row],[ID CLIENTE]],'RESUMEN CLIENTES'!D:D,'RESUMEN CLIENTES'!W:W)</f>
        <v>1</v>
      </c>
      <c r="G1575" s="17">
        <v>46235</v>
      </c>
      <c r="H1575" s="44" t="s">
        <v>81</v>
      </c>
      <c r="I1575" s="2">
        <v>1150</v>
      </c>
      <c r="J1575"/>
      <c r="K1575"/>
      <c r="L1575" s="44" t="str" cm="1">
        <f t="array" ref="L1575">+_xlfn.IFS(COUNTIF(INGRESOS!E:E,Tabla6[[#This Row],[ID FACTURA]])=1,"PAGADA",Tabla6[[#This Row],[ID FACTURA]]&lt;&gt;0,"EMITIDA",Tabla6[[#This Row],[ID FACTURA]]=0,"POR EMITIR")</f>
        <v>POR EMITIR</v>
      </c>
      <c r="M1575" s="55" t="str">
        <f>+IF(Tabla6[[#This Row],[ESTADO FACTURA]]="PAGADA",Tabla6[[#This Row],[FECHA]]-_xlfn.XLOOKUP(Tabla6[[#This Row],[N° FACTURA]],INGRESOS!F:F,INGRESOS!A:A),"-")</f>
        <v>-</v>
      </c>
      <c r="N1575" s="2"/>
      <c r="O1575"/>
    </row>
    <row r="1576" spans="1:15" ht="14.75" customHeight="1">
      <c r="A1576" s="320" t="s">
        <v>1178</v>
      </c>
      <c r="B1576" t="str">
        <f>+_xlfn.XLOOKUP(Tabla6[[#This Row],[ID CLIENTE]],'RESUMEN CLIENTES'!D:D,'RESUMEN CLIENTES'!A:A)</f>
        <v>Daniel Flores</v>
      </c>
      <c r="C1576" t="str">
        <f>+_xlfn.XLOOKUP(Tabla6[[#This Row],[ID CLIENTE]],'RESUMEN CLIENTES'!D:D,'RESUMEN CLIENTES'!C:C)</f>
        <v>Ecuador</v>
      </c>
      <c r="D1576" s="44" t="str">
        <f>+_xlfn.XLOOKUP(Tabla6[[#This Row],[ID CLIENTE]],'RESUMEN CLIENTES'!D:D,'RESUMEN CLIENTES'!M:M)</f>
        <v>OK</v>
      </c>
      <c r="E1576" s="72">
        <f>+_xlfn.XLOOKUP(Tabla6[[#This Row],[NOMBRE]],'RESUMEN CLIENTES'!A:A,'RESUMEN CLIENTES'!X:X)</f>
        <v>3.8333333333333335</v>
      </c>
      <c r="F1576" s="72">
        <f>+_xlfn.XLOOKUP(Tabla6[[#This Row],[ID CLIENTE]],'RESUMEN CLIENTES'!D:D,'RESUMEN CLIENTES'!W:W)</f>
        <v>1</v>
      </c>
      <c r="G1576" s="17">
        <v>46235</v>
      </c>
      <c r="H1576" s="44" t="s">
        <v>81</v>
      </c>
      <c r="I1576" s="2">
        <v>850</v>
      </c>
      <c r="J1576"/>
      <c r="K1576"/>
      <c r="L1576" s="44" t="str" cm="1">
        <f t="array" ref="L1576">+_xlfn.IFS(COUNTIF(INGRESOS!E:E,Tabla6[[#This Row],[ID FACTURA]])=1,"PAGADA",Tabla6[[#This Row],[ID FACTURA]]&lt;&gt;0,"EMITIDA",Tabla6[[#This Row],[ID FACTURA]]=0,"POR EMITIR")</f>
        <v>POR EMITIR</v>
      </c>
      <c r="M1576" s="55" t="str">
        <f>+IF(Tabla6[[#This Row],[ESTADO FACTURA]]="PAGADA",Tabla6[[#This Row],[FECHA]]-_xlfn.XLOOKUP(Tabla6[[#This Row],[N° FACTURA]],INGRESOS!F:F,INGRESOS!A:A),"-")</f>
        <v>-</v>
      </c>
      <c r="N1576" s="2"/>
      <c r="O1576"/>
    </row>
    <row r="1577" spans="1:15" ht="14.75" customHeight="1">
      <c r="A1577" s="320" t="s">
        <v>1428</v>
      </c>
      <c r="B1577" t="str">
        <f>+_xlfn.XLOOKUP(Tabla6[[#This Row],[ID CLIENTE]],'RESUMEN CLIENTES'!D:D,'RESUMEN CLIENTES'!A:A)</f>
        <v>Javier Bravo Castelo</v>
      </c>
      <c r="C1577" t="str">
        <f>+_xlfn.XLOOKUP(Tabla6[[#This Row],[ID CLIENTE]],'RESUMEN CLIENTES'!D:D,'RESUMEN CLIENTES'!C:C)</f>
        <v>Colombia</v>
      </c>
      <c r="D1577" s="44" t="str">
        <f>+_xlfn.XLOOKUP(Tabla6[[#This Row],[ID CLIENTE]],'RESUMEN CLIENTES'!D:D,'RESUMEN CLIENTES'!M:M)</f>
        <v>OK</v>
      </c>
      <c r="E1577" s="71">
        <f>+_xlfn.XLOOKUP(Tabla6[[#This Row],[NOMBRE]],'RESUMEN CLIENTES'!A:A,'RESUMEN CLIENTES'!X:X)</f>
        <v>-0.33333333333333331</v>
      </c>
      <c r="F1577" s="71">
        <f>+_xlfn.XLOOKUP(Tabla6[[#This Row],[ID CLIENTE]],'RESUMEN CLIENTES'!D:D,'RESUMEN CLIENTES'!W:W)</f>
        <v>0</v>
      </c>
      <c r="G1577" s="17">
        <f>IF($H1577&lt;&gt;"ALEM","",IFERROR(
  DATE(
    YEAR(EDATE(
      _xlfn.XLOOKUP($A1577,'RESUMEN CLIENTES'!$D:$D,'RESUMEN CLIENTES'!$Y:$Y,""),
      7 + COUNTIFS(
            $A$2:INDEX($A:$A,ROW()), $A1577,
            $H$2:INDEX($H:$H,ROW()), "ALEM"
          )
    )),
    MONTH(EDATE(
      _xlfn.XLOOKUP($A1577,'RESUMEN CLIENTES'!$D:$D,'RESUMEN CLIENTES'!$Y:$Y,""),
      7 + COUNTIFS(
            $A$2:INDEX($A:$A,ROW()), $A1577,
            $H$2:INDEX($H:$H,ROW()), "ALEM"
          )
    )),
    1
  ),
"SIN FECHA MIG"))</f>
        <v>46235</v>
      </c>
      <c r="H1577" s="169" t="s">
        <v>1876</v>
      </c>
      <c r="I1577" s="2">
        <v>800</v>
      </c>
      <c r="J1577"/>
      <c r="K1577"/>
      <c r="L1577" s="44" t="str" cm="1">
        <f t="array" ref="L1577">+_xlfn.IFS(COUNTIF(INGRESOS!E:E,Tabla6[[#This Row],[ID FACTURA]])=1,"PAGADA",Tabla6[[#This Row],[ID FACTURA]]&lt;&gt;0,"EMITIDA",Tabla6[[#This Row],[ID FACTURA]]=0,"POR EMITIR")</f>
        <v>POR EMITIR</v>
      </c>
      <c r="M1577" s="55" t="str">
        <f>+IF(Tabla6[[#This Row],[ESTADO FACTURA]]="PAGADA",Tabla6[[#This Row],[FECHA]]-_xlfn.XLOOKUP(Tabla6[[#This Row],[N° FACTURA]],INGRESOS!F:F,INGRESOS!A:A),"-")</f>
        <v>-</v>
      </c>
      <c r="N1577" s="2"/>
      <c r="O1577" t="s">
        <v>2084</v>
      </c>
    </row>
    <row r="1578" spans="1:15" ht="14.75" customHeight="1">
      <c r="A1578" s="321" t="s">
        <v>1899</v>
      </c>
      <c r="B1578" t="str">
        <f>+_xlfn.XLOOKUP(Tabla6[[#This Row],[ID CLIENTE]],'RESUMEN CLIENTES'!D:D,'RESUMEN CLIENTES'!A:A)</f>
        <v>Johan Martínez</v>
      </c>
      <c r="C1578" t="str">
        <f>+_xlfn.XLOOKUP(Tabla6[[#This Row],[ID CLIENTE]],'RESUMEN CLIENTES'!D:D,'RESUMEN CLIENTES'!C:C)</f>
        <v>Colombia</v>
      </c>
      <c r="D1578" s="169" t="str">
        <f>+_xlfn.XLOOKUP(Tabla6[[#This Row],[ID CLIENTE]],'RESUMEN CLIENTES'!D:D,'RESUMEN CLIENTES'!M:M)</f>
        <v>OK</v>
      </c>
      <c r="E1578" s="71">
        <f>+_xlfn.XLOOKUP(Tabla6[[#This Row],[NOMBRE]],'RESUMEN CLIENTES'!A:A,'RESUMEN CLIENTES'!X:X)</f>
        <v>-0.66666666666666663</v>
      </c>
      <c r="F1578" s="71">
        <f>+_xlfn.XLOOKUP(Tabla6[[#This Row],[ID CLIENTE]],'RESUMEN CLIENTES'!D:D,'RESUMEN CLIENTES'!W:W)</f>
        <v>0</v>
      </c>
      <c r="G1578" s="17">
        <v>46235</v>
      </c>
      <c r="H1578" s="169" t="s">
        <v>81</v>
      </c>
      <c r="I1578" s="2">
        <v>1000</v>
      </c>
      <c r="J1578"/>
      <c r="K1578"/>
      <c r="L1578" s="44" t="str" cm="1">
        <f t="array" ref="L1578">+_xlfn.IFS(COUNTIF(INGRESOS!E:E,Tabla6[[#This Row],[ID FACTURA]])=1,"PAGADA",Tabla6[[#This Row],[ID FACTURA]]&lt;&gt;0,"EMITIDA",Tabla6[[#This Row],[ID FACTURA]]=0,"POR EMITIR")</f>
        <v>POR EMITIR</v>
      </c>
      <c r="M1578" s="54" t="str">
        <f>+IF(Tabla6[[#This Row],[ESTADO FACTURA]]="PAGADA",Tabla6[[#This Row],[FECHA]]-_xlfn.XLOOKUP(Tabla6[[#This Row],[N° FACTURA]],INGRESOS!F:F,INGRESOS!A:A),"-")</f>
        <v>-</v>
      </c>
      <c r="O1578"/>
    </row>
    <row r="1579" spans="1:15" ht="14.75" customHeight="1">
      <c r="A1579" s="320" t="s">
        <v>6035</v>
      </c>
      <c r="B1579" t="str">
        <f>+_xlfn.XLOOKUP(Tabla6[[#This Row],[ID CLIENTE]],'RESUMEN CLIENTES'!D:D,'RESUMEN CLIENTES'!A:A)</f>
        <v>Ari Sifuentes Becerra</v>
      </c>
      <c r="C1579" s="15" t="str">
        <f>+_xlfn.XLOOKUP(Tabla6[[#This Row],[ID CLIENTE]],'RESUMEN CLIENTES'!D:D,'RESUMEN CLIENTES'!C:C)</f>
        <v>México</v>
      </c>
      <c r="D1579" s="169" t="str">
        <f>+_xlfn.XLOOKUP(Tabla6[[#This Row],[ID CLIENTE]],'RESUMEN CLIENTES'!D:D,'RESUMEN CLIENTES'!M:M)</f>
        <v>OK</v>
      </c>
      <c r="E1579" s="71">
        <f>+_xlfn.XLOOKUP(Tabla6[[#This Row],[NOMBRE]],'RESUMEN CLIENTES'!A:A,'RESUMEN CLIENTES'!X:X)</f>
        <v>-1</v>
      </c>
      <c r="F1579" s="71">
        <f>+_xlfn.XLOOKUP(Tabla6[[#This Row],[ID CLIENTE]],'RESUMEN CLIENTES'!D:D,'RESUMEN CLIENTES'!W:W)</f>
        <v>0</v>
      </c>
      <c r="G1579" s="17">
        <v>46236</v>
      </c>
      <c r="H1579" s="169" t="s">
        <v>81</v>
      </c>
      <c r="I1579" s="2">
        <v>1000</v>
      </c>
      <c r="J1579"/>
      <c r="K1579"/>
      <c r="L1579" s="44" t="str" cm="1">
        <f t="array" ref="L1579">+_xlfn.IFS(COUNTIF(INGRESOS!E:E,Tabla6[[#This Row],[ID FACTURA]])=1,"PAGADA",Tabla6[[#This Row],[ID FACTURA]]&lt;&gt;0,"EMITIDA",Tabla6[[#This Row],[ID FACTURA]]=0,"POR EMITIR")</f>
        <v>POR EMITIR</v>
      </c>
      <c r="M1579" s="54" t="str">
        <f>+IF(Tabla6[[#This Row],[ESTADO FACTURA]]="PAGADA",Tabla6[[#This Row],[FECHA]]-_xlfn.XLOOKUP(Tabla6[[#This Row],[N° FACTURA]],INGRESOS!F:F,INGRESOS!A:A),"-")</f>
        <v>-</v>
      </c>
      <c r="O1579"/>
    </row>
    <row r="1580" spans="1:15" ht="14.75" customHeight="1">
      <c r="A1580" s="320" t="s">
        <v>695</v>
      </c>
      <c r="B1580" t="str">
        <f>+_xlfn.XLOOKUP(Tabla6[[#This Row],[ID CLIENTE]],'RESUMEN CLIENTES'!D:D,'RESUMEN CLIENTES'!A:A)</f>
        <v>Olguer Ariel Pruna Herrera</v>
      </c>
      <c r="C1580" t="str">
        <f>+_xlfn.XLOOKUP(Tabla6[[#This Row],[ID CLIENTE]],'RESUMEN CLIENTES'!D:D,'RESUMEN CLIENTES'!C:C)</f>
        <v>Ecuador</v>
      </c>
      <c r="D1580" s="44" t="str">
        <f>+_xlfn.XLOOKUP(Tabla6[[#This Row],[ID CLIENTE]],'RESUMEN CLIENTES'!D:D,'RESUMEN CLIENTES'!M:M)</f>
        <v>OK</v>
      </c>
      <c r="E1580" s="72">
        <f>+_xlfn.XLOOKUP(Tabla6[[#This Row],[NOMBRE]],'RESUMEN CLIENTES'!A:A,'RESUMEN CLIENTES'!X:X)</f>
        <v>0.25</v>
      </c>
      <c r="F1580" s="72">
        <f>+_xlfn.XLOOKUP(Tabla6[[#This Row],[ID CLIENTE]],'RESUMEN CLIENTES'!D:D,'RESUMEN CLIENTES'!W:W)</f>
        <v>1</v>
      </c>
      <c r="G1580" s="17">
        <v>46236</v>
      </c>
      <c r="H1580" s="44" t="s">
        <v>81</v>
      </c>
      <c r="I1580" s="2">
        <v>1000</v>
      </c>
      <c r="J1580"/>
      <c r="K1580"/>
      <c r="L1580" s="44" t="str" cm="1">
        <f t="array" ref="L1580">+_xlfn.IFS(COUNTIF(INGRESOS!E:E,Tabla6[[#This Row],[ID FACTURA]])=1,"PAGADA",Tabla6[[#This Row],[ID FACTURA]]&lt;&gt;0,"EMITIDA",Tabla6[[#This Row],[ID FACTURA]]=0,"POR EMITIR")</f>
        <v>POR EMITIR</v>
      </c>
      <c r="M1580" s="55" t="str">
        <f>+IF(Tabla6[[#This Row],[ESTADO FACTURA]]="PAGADA",Tabla6[[#This Row],[FECHA]]-_xlfn.XLOOKUP(Tabla6[[#This Row],[N° FACTURA]],INGRESOS!F:F,INGRESOS!A:A),"-")</f>
        <v>-</v>
      </c>
      <c r="N1580" s="2"/>
      <c r="O1580"/>
    </row>
    <row r="1581" spans="1:15" ht="14.75" customHeight="1">
      <c r="A1581" s="320" t="s">
        <v>221</v>
      </c>
      <c r="B1581" t="str">
        <f>+_xlfn.XLOOKUP(Tabla6[[#This Row],[ID CLIENTE]],'RESUMEN CLIENTES'!D:D,'RESUMEN CLIENTES'!A:A)</f>
        <v>Angel Martin Alarcon Macias</v>
      </c>
      <c r="C1581" t="str">
        <f>+_xlfn.XLOOKUP(Tabla6[[#This Row],[ID CLIENTE]],'RESUMEN CLIENTES'!D:D,'RESUMEN CLIENTES'!C:C)</f>
        <v>Ecuador</v>
      </c>
      <c r="D1581" s="44" t="str">
        <f>+_xlfn.XLOOKUP(Tabla6[[#This Row],[ID CLIENTE]],'RESUMEN CLIENTES'!D:D,'RESUMEN CLIENTES'!M:M)</f>
        <v>¡REGULARIZAR!</v>
      </c>
      <c r="E1581" s="72">
        <f>+_xlfn.XLOOKUP(Tabla6[[#This Row],[NOMBRE]],'RESUMEN CLIENTES'!A:A,'RESUMEN CLIENTES'!X:X)</f>
        <v>-0.5</v>
      </c>
      <c r="F1581" s="72">
        <f>+_xlfn.XLOOKUP(Tabla6[[#This Row],[ID CLIENTE]],'RESUMEN CLIENTES'!D:D,'RESUMEN CLIENTES'!W:W)</f>
        <v>0</v>
      </c>
      <c r="G1581" s="17">
        <v>46237</v>
      </c>
      <c r="H1581" s="44" t="s">
        <v>81</v>
      </c>
      <c r="I1581" s="2">
        <v>1000</v>
      </c>
      <c r="J1581"/>
      <c r="K1581"/>
      <c r="L1581" s="44" t="str" cm="1">
        <f t="array" ref="L1581">+_xlfn.IFS(COUNTIF(INGRESOS!E:E,Tabla6[[#This Row],[ID FACTURA]])=1,"PAGADA",Tabla6[[#This Row],[ID FACTURA]]&lt;&gt;0,"EMITIDA",Tabla6[[#This Row],[ID FACTURA]]=0,"POR EMITIR")</f>
        <v>POR EMITIR</v>
      </c>
      <c r="M1581" s="55" t="str">
        <f>+IF(Tabla6[[#This Row],[ESTADO FACTURA]]="PAGADA",Tabla6[[#This Row],[FECHA]]-_xlfn.XLOOKUP(Tabla6[[#This Row],[N° FACTURA]],INGRESOS!F:F,INGRESOS!A:A),"-")</f>
        <v>-</v>
      </c>
      <c r="N1581" s="2"/>
      <c r="O1581"/>
    </row>
    <row r="1582" spans="1:15" ht="14.75" customHeight="1">
      <c r="A1582" s="320" t="s">
        <v>1248</v>
      </c>
      <c r="B1582" t="str">
        <f>+_xlfn.XLOOKUP(Tabla6[[#This Row],[ID CLIENTE]],'RESUMEN CLIENTES'!D:D,'RESUMEN CLIENTES'!A:A)</f>
        <v>Emily Vanessa Tapia Villalobos</v>
      </c>
      <c r="C1582" t="str">
        <f>+_xlfn.XLOOKUP(Tabla6[[#This Row],[ID CLIENTE]],'RESUMEN CLIENTES'!D:D,'RESUMEN CLIENTES'!C:C)</f>
        <v>Chile</v>
      </c>
      <c r="D1582" s="44" t="str">
        <f>+_xlfn.XLOOKUP(Tabla6[[#This Row],[ID CLIENTE]],'RESUMEN CLIENTES'!D:D,'RESUMEN CLIENTES'!M:M)</f>
        <v>OK</v>
      </c>
      <c r="E1582" s="71">
        <f>+_xlfn.XLOOKUP(Tabla6[[#This Row],[NOMBRE]],'RESUMEN CLIENTES'!A:A,'RESUMEN CLIENTES'!X:X)</f>
        <v>0.33333333333333331</v>
      </c>
      <c r="F1582" s="71">
        <f>+_xlfn.XLOOKUP(Tabla6[[#This Row],[ID CLIENTE]],'RESUMEN CLIENTES'!D:D,'RESUMEN CLIENTES'!W:W)</f>
        <v>0</v>
      </c>
      <c r="G1582" s="17">
        <v>46237</v>
      </c>
      <c r="H1582" s="44" t="s">
        <v>81</v>
      </c>
      <c r="I1582" s="2">
        <v>1000</v>
      </c>
      <c r="J1582"/>
      <c r="K1582"/>
      <c r="L1582" s="44" t="str" cm="1">
        <f t="array" ref="L1582">+_xlfn.IFS(COUNTIF(INGRESOS!E:E,Tabla6[[#This Row],[ID FACTURA]])=1,"PAGADA",Tabla6[[#This Row],[ID FACTURA]]&lt;&gt;0,"EMITIDA",Tabla6[[#This Row],[ID FACTURA]]=0,"POR EMITIR")</f>
        <v>POR EMITIR</v>
      </c>
      <c r="M1582" s="55" t="str">
        <f>+IF(Tabla6[[#This Row],[ESTADO FACTURA]]="PAGADA",Tabla6[[#This Row],[FECHA]]-_xlfn.XLOOKUP(Tabla6[[#This Row],[N° FACTURA]],INGRESOS!F:F,INGRESOS!A:A),"-")</f>
        <v>-</v>
      </c>
      <c r="N1582" s="2"/>
      <c r="O1582"/>
    </row>
    <row r="1583" spans="1:15" ht="14.75" customHeight="1">
      <c r="A1583" s="320" t="s">
        <v>1251</v>
      </c>
      <c r="B1583" t="str">
        <f>+_xlfn.XLOOKUP(Tabla6[[#This Row],[ID CLIENTE]],'RESUMEN CLIENTES'!D:D,'RESUMEN CLIENTES'!A:A)</f>
        <v>Erick Ernesto Angulo Campos</v>
      </c>
      <c r="C1583" t="str">
        <f>+_xlfn.XLOOKUP(Tabla6[[#This Row],[ID CLIENTE]],'RESUMEN CLIENTES'!D:D,'RESUMEN CLIENTES'!C:C)</f>
        <v>Chile</v>
      </c>
      <c r="D1583" s="44" t="str">
        <f>+_xlfn.XLOOKUP(Tabla6[[#This Row],[ID CLIENTE]],'RESUMEN CLIENTES'!D:D,'RESUMEN CLIENTES'!M:M)</f>
        <v>OK</v>
      </c>
      <c r="E1583" s="71">
        <f>+_xlfn.XLOOKUP(Tabla6[[#This Row],[NOMBRE]],'RESUMEN CLIENTES'!A:A,'RESUMEN CLIENTES'!X:X)</f>
        <v>-0.66666666666666663</v>
      </c>
      <c r="F1583" s="71">
        <f>+_xlfn.XLOOKUP(Tabla6[[#This Row],[ID CLIENTE]],'RESUMEN CLIENTES'!D:D,'RESUMEN CLIENTES'!W:W)</f>
        <v>0</v>
      </c>
      <c r="G1583" s="17">
        <v>46237</v>
      </c>
      <c r="H1583" s="44" t="s">
        <v>81</v>
      </c>
      <c r="I1583" s="2">
        <v>1000</v>
      </c>
      <c r="J1583"/>
      <c r="K1583"/>
      <c r="L1583" s="44" t="str" cm="1">
        <f t="array" ref="L1583">+_xlfn.IFS(COUNTIF(INGRESOS!E:E,Tabla6[[#This Row],[ID FACTURA]])=1,"PAGADA",Tabla6[[#This Row],[ID FACTURA]]&lt;&gt;0,"EMITIDA",Tabla6[[#This Row],[ID FACTURA]]=0,"POR EMITIR")</f>
        <v>POR EMITIR</v>
      </c>
      <c r="M1583" s="55" t="str">
        <f>+IF(Tabla6[[#This Row],[ESTADO FACTURA]]="PAGADA",Tabla6[[#This Row],[FECHA]]-_xlfn.XLOOKUP(Tabla6[[#This Row],[N° FACTURA]],INGRESOS!F:F,INGRESOS!A:A),"-")</f>
        <v>-</v>
      </c>
      <c r="N1583" s="2"/>
      <c r="O1583"/>
    </row>
    <row r="1584" spans="1:15" ht="14.75" customHeight="1">
      <c r="A1584" s="320" t="s">
        <v>5987</v>
      </c>
      <c r="B1584" t="str">
        <f>+_xlfn.XLOOKUP(Tabla6[[#This Row],[ID CLIENTE]],'RESUMEN CLIENTES'!D:D,'RESUMEN CLIENTES'!A:A)</f>
        <v>Jessenia Mishell Mosquera Olivo</v>
      </c>
      <c r="C1584" s="15" t="str">
        <f>+_xlfn.XLOOKUP(Tabla6[[#This Row],[ID CLIENTE]],'RESUMEN CLIENTES'!D:D,'RESUMEN CLIENTES'!C:C)</f>
        <v>Ecuador</v>
      </c>
      <c r="D1584" s="169" t="str">
        <f>+_xlfn.XLOOKUP(Tabla6[[#This Row],[ID CLIENTE]],'RESUMEN CLIENTES'!D:D,'RESUMEN CLIENTES'!M:M)</f>
        <v>OK</v>
      </c>
      <c r="E1584" s="71">
        <f>+_xlfn.XLOOKUP(Tabla6[[#This Row],[NOMBRE]],'RESUMEN CLIENTES'!A:A,'RESUMEN CLIENTES'!X:X)</f>
        <v>0</v>
      </c>
      <c r="F1584" s="71">
        <f>+_xlfn.XLOOKUP(Tabla6[[#This Row],[ID CLIENTE]],'RESUMEN CLIENTES'!D:D,'RESUMEN CLIENTES'!W:W)</f>
        <v>0</v>
      </c>
      <c r="G1584" s="17">
        <v>46237</v>
      </c>
      <c r="H1584" s="169" t="s">
        <v>1876</v>
      </c>
      <c r="I1584" s="2">
        <v>1000</v>
      </c>
      <c r="J1584"/>
      <c r="K1584"/>
      <c r="L1584" s="44" t="str" cm="1">
        <f t="array" ref="L1584">+_xlfn.IFS(COUNTIF(INGRESOS!E:E,Tabla6[[#This Row],[ID FACTURA]])=1,"PAGADA",Tabla6[[#This Row],[ID FACTURA]]&lt;&gt;0,"EMITIDA",Tabla6[[#This Row],[ID FACTURA]]=0,"POR EMITIR")</f>
        <v>POR EMITIR</v>
      </c>
      <c r="M1584" s="54" t="str">
        <f>+IF(Tabla6[[#This Row],[ESTADO FACTURA]]="PAGADA",Tabla6[[#This Row],[FECHA]]-_xlfn.XLOOKUP(Tabla6[[#This Row],[N° FACTURA]],INGRESOS!F:F,INGRESOS!A:A),"-")</f>
        <v>-</v>
      </c>
      <c r="O1584"/>
    </row>
    <row r="1585" spans="1:15" ht="14.75" customHeight="1">
      <c r="A1585" s="320" t="s">
        <v>258</v>
      </c>
      <c r="B1585" t="str">
        <f>+_xlfn.XLOOKUP(Tabla6[[#This Row],[ID CLIENTE]],'RESUMEN CLIENTES'!D:D,'RESUMEN CLIENTES'!A:A)</f>
        <v>Maria Laura Rios Pino</v>
      </c>
      <c r="C1585" t="str">
        <f>+_xlfn.XLOOKUP(Tabla6[[#This Row],[ID CLIENTE]],'RESUMEN CLIENTES'!D:D,'RESUMEN CLIENTES'!C:C)</f>
        <v>Perú</v>
      </c>
      <c r="D1585" s="44" t="str">
        <f>+_xlfn.XLOOKUP(Tabla6[[#This Row],[ID CLIENTE]],'RESUMEN CLIENTES'!D:D,'RESUMEN CLIENTES'!M:M)</f>
        <v>OK</v>
      </c>
      <c r="E1585" s="72">
        <f>+_xlfn.XLOOKUP(Tabla6[[#This Row],[NOMBRE]],'RESUMEN CLIENTES'!A:A,'RESUMEN CLIENTES'!X:X)</f>
        <v>1.4545454545454546</v>
      </c>
      <c r="F1585" s="72">
        <f>+_xlfn.XLOOKUP(Tabla6[[#This Row],[ID CLIENTE]],'RESUMEN CLIENTES'!D:D,'RESUMEN CLIENTES'!W:W)</f>
        <v>0</v>
      </c>
      <c r="G1585" s="17">
        <v>46237</v>
      </c>
      <c r="H1585" s="44" t="s">
        <v>81</v>
      </c>
      <c r="I1585" s="19">
        <v>3866</v>
      </c>
      <c r="J1585"/>
      <c r="K1585"/>
      <c r="L1585" s="44" t="str" cm="1">
        <f t="array" ref="L1585">+_xlfn.IFS(COUNTIF(INGRESOS!E:E,Tabla6[[#This Row],[ID FACTURA]])=1,"PAGADA",Tabla6[[#This Row],[ID FACTURA]]&lt;&gt;0,"EMITIDA",Tabla6[[#This Row],[ID FACTURA]]=0,"POR EMITIR")</f>
        <v>POR EMITIR</v>
      </c>
      <c r="M1585" s="55" t="str">
        <f>+IF(Tabla6[[#This Row],[ESTADO FACTURA]]="PAGADA",Tabla6[[#This Row],[FECHA]]-_xlfn.XLOOKUP(Tabla6[[#This Row],[N° FACTURA]],INGRESOS!F:F,INGRESOS!A:A),"-")</f>
        <v>-</v>
      </c>
      <c r="N1585" s="19"/>
      <c r="O1585"/>
    </row>
    <row r="1586" spans="1:15" ht="14.75" customHeight="1">
      <c r="A1586" s="320" t="s">
        <v>912</v>
      </c>
      <c r="B1586" t="str">
        <f>+_xlfn.XLOOKUP(Tabla6[[#This Row],[ID CLIENTE]],'RESUMEN CLIENTES'!D:D,'RESUMEN CLIENTES'!A:A)</f>
        <v>Vanessa Villarreal Villareal</v>
      </c>
      <c r="C1586" t="str">
        <f>+_xlfn.XLOOKUP(Tabla6[[#This Row],[ID CLIENTE]],'RESUMEN CLIENTES'!D:D,'RESUMEN CLIENTES'!C:C)</f>
        <v>Ecuador</v>
      </c>
      <c r="D1586" s="44" t="str">
        <f>+_xlfn.XLOOKUP(Tabla6[[#This Row],[ID CLIENTE]],'RESUMEN CLIENTES'!D:D,'RESUMEN CLIENTES'!M:M)</f>
        <v>OK</v>
      </c>
      <c r="E1586" s="72">
        <f>+_xlfn.XLOOKUP(Tabla6[[#This Row],[NOMBRE]],'RESUMEN CLIENTES'!A:A,'RESUMEN CLIENTES'!X:X)</f>
        <v>-9.1428571428571423</v>
      </c>
      <c r="F1586" s="72">
        <f>+_xlfn.XLOOKUP(Tabla6[[#This Row],[ID CLIENTE]],'RESUMEN CLIENTES'!D:D,'RESUMEN CLIENTES'!W:W)</f>
        <v>1</v>
      </c>
      <c r="G1586" s="17">
        <v>46237</v>
      </c>
      <c r="H1586" s="44" t="s">
        <v>81</v>
      </c>
      <c r="I1586" s="2">
        <v>1000</v>
      </c>
      <c r="J1586"/>
      <c r="K1586"/>
      <c r="L1586" s="44" t="str" cm="1">
        <f t="array" ref="L1586">+_xlfn.IFS(COUNTIF(INGRESOS!E:E,Tabla6[[#This Row],[ID FACTURA]])=1,"PAGADA",Tabla6[[#This Row],[ID FACTURA]]&lt;&gt;0,"EMITIDA",Tabla6[[#This Row],[ID FACTURA]]=0,"POR EMITIR")</f>
        <v>POR EMITIR</v>
      </c>
      <c r="M1586" s="55" t="str">
        <f>+IF(Tabla6[[#This Row],[ESTADO FACTURA]]="PAGADA",Tabla6[[#This Row],[FECHA]]-_xlfn.XLOOKUP(Tabla6[[#This Row],[N° FACTURA]],INGRESOS!F:F,INGRESOS!A:A),"-")</f>
        <v>-</v>
      </c>
      <c r="N1586" s="2"/>
      <c r="O1586"/>
    </row>
    <row r="1587" spans="1:15" ht="14.75" customHeight="1">
      <c r="A1587" s="320" t="s">
        <v>2011</v>
      </c>
      <c r="B1587" t="str">
        <f>+_xlfn.XLOOKUP(Tabla6[[#This Row],[ID CLIENTE]],'RESUMEN CLIENTES'!D:D,'RESUMEN CLIENTES'!A:A)</f>
        <v>Bárbara Fuentes</v>
      </c>
      <c r="C1587" t="str">
        <f>+_xlfn.XLOOKUP(Tabla6[[#This Row],[ID CLIENTE]],'RESUMEN CLIENTES'!D:D,'RESUMEN CLIENTES'!C:C)</f>
        <v>Chile</v>
      </c>
      <c r="D1587" s="169" t="str">
        <f>+_xlfn.XLOOKUP(Tabla6[[#This Row],[ID CLIENTE]],'RESUMEN CLIENTES'!D:D,'RESUMEN CLIENTES'!M:M)</f>
        <v>OK</v>
      </c>
      <c r="E1587" s="71">
        <f>+_xlfn.XLOOKUP(Tabla6[[#This Row],[NOMBRE]],'RESUMEN CLIENTES'!A:A,'RESUMEN CLIENTES'!X:X)</f>
        <v>-0.33333333333333331</v>
      </c>
      <c r="F1587" s="71">
        <f>+_xlfn.XLOOKUP(Tabla6[[#This Row],[ID CLIENTE]],'RESUMEN CLIENTES'!D:D,'RESUMEN CLIENTES'!W:W)</f>
        <v>0</v>
      </c>
      <c r="G1587" s="17">
        <v>46239</v>
      </c>
      <c r="H1587" s="169" t="s">
        <v>81</v>
      </c>
      <c r="I1587" s="2">
        <v>1000</v>
      </c>
      <c r="J1587"/>
      <c r="K1587"/>
      <c r="L1587" s="44" t="str" cm="1">
        <f t="array" ref="L1587">+_xlfn.IFS(COUNTIF(INGRESOS!E:E,Tabla6[[#This Row],[ID FACTURA]])=1,"PAGADA",Tabla6[[#This Row],[ID FACTURA]]&lt;&gt;0,"EMITIDA",Tabla6[[#This Row],[ID FACTURA]]=0,"POR EMITIR")</f>
        <v>POR EMITIR</v>
      </c>
      <c r="M1587" s="54" t="str">
        <f>+IF(Tabla6[[#This Row],[ESTADO FACTURA]]="PAGADA",Tabla6[[#This Row],[FECHA]]-_xlfn.XLOOKUP(Tabla6[[#This Row],[N° FACTURA]],INGRESOS!F:F,INGRESOS!A:A),"-")</f>
        <v>-</v>
      </c>
      <c r="O1587"/>
    </row>
    <row r="1588" spans="1:15" ht="14.75" customHeight="1">
      <c r="A1588" s="320" t="s">
        <v>203</v>
      </c>
      <c r="B1588" t="str">
        <f>+_xlfn.XLOOKUP(Tabla6[[#This Row],[ID CLIENTE]],'RESUMEN CLIENTES'!D:D,'RESUMEN CLIENTES'!A:A)</f>
        <v>Bernardita Lobo Zegers</v>
      </c>
      <c r="C1588" t="str">
        <f>+_xlfn.XLOOKUP(Tabla6[[#This Row],[ID CLIENTE]],'RESUMEN CLIENTES'!D:D,'RESUMEN CLIENTES'!C:C)</f>
        <v>México</v>
      </c>
      <c r="D1588" s="44" t="str">
        <f>+_xlfn.XLOOKUP(Tabla6[[#This Row],[ID CLIENTE]],'RESUMEN CLIENTES'!D:D,'RESUMEN CLIENTES'!M:M)</f>
        <v>OK</v>
      </c>
      <c r="E1588" s="72">
        <f>+_xlfn.XLOOKUP(Tabla6[[#This Row],[NOMBRE]],'RESUMEN CLIENTES'!A:A,'RESUMEN CLIENTES'!X:X)</f>
        <v>-0.8</v>
      </c>
      <c r="F1588" s="72">
        <f>+_xlfn.XLOOKUP(Tabla6[[#This Row],[ID CLIENTE]],'RESUMEN CLIENTES'!D:D,'RESUMEN CLIENTES'!W:W)</f>
        <v>1</v>
      </c>
      <c r="G1588" s="17">
        <v>46239</v>
      </c>
      <c r="H1588" s="44" t="s">
        <v>81</v>
      </c>
      <c r="I1588" s="2">
        <v>800</v>
      </c>
      <c r="J1588"/>
      <c r="K1588"/>
      <c r="L1588" s="44" t="str" cm="1">
        <f t="array" ref="L1588">+_xlfn.IFS(COUNTIF(INGRESOS!E:E,Tabla6[[#This Row],[ID FACTURA]])=1,"PAGADA",Tabla6[[#This Row],[ID FACTURA]]&lt;&gt;0,"EMITIDA",Tabla6[[#This Row],[ID FACTURA]]=0,"POR EMITIR")</f>
        <v>POR EMITIR</v>
      </c>
      <c r="M1588" s="55" t="str">
        <f>+IF(Tabla6[[#This Row],[ESTADO FACTURA]]="PAGADA",Tabla6[[#This Row],[FECHA]]-_xlfn.XLOOKUP(Tabla6[[#This Row],[N° FACTURA]],INGRESOS!F:F,INGRESOS!A:A),"-")</f>
        <v>-</v>
      </c>
      <c r="N1588" s="2"/>
      <c r="O1588"/>
    </row>
    <row r="1589" spans="1:15" ht="14.75" customHeight="1">
      <c r="A1589" s="320" t="s">
        <v>1206</v>
      </c>
      <c r="B1589" t="str">
        <f>+_xlfn.XLOOKUP(Tabla6[[#This Row],[ID CLIENTE]],'RESUMEN CLIENTES'!D:D,'RESUMEN CLIENTES'!A:A)</f>
        <v>Bryan Israel Jiménez Puente</v>
      </c>
      <c r="C1589" t="str">
        <f>+_xlfn.XLOOKUP(Tabla6[[#This Row],[ID CLIENTE]],'RESUMEN CLIENTES'!D:D,'RESUMEN CLIENTES'!C:C)</f>
        <v>Ecuador</v>
      </c>
      <c r="D1589" s="44" t="str">
        <f>+_xlfn.XLOOKUP(Tabla6[[#This Row],[ID CLIENTE]],'RESUMEN CLIENTES'!D:D,'RESUMEN CLIENTES'!M:M)</f>
        <v>OK</v>
      </c>
      <c r="E1589" s="72">
        <f>+_xlfn.XLOOKUP(Tabla6[[#This Row],[NOMBRE]],'RESUMEN CLIENTES'!A:A,'RESUMEN CLIENTES'!X:X)</f>
        <v>1</v>
      </c>
      <c r="F1589" s="72">
        <f>+_xlfn.XLOOKUP(Tabla6[[#This Row],[ID CLIENTE]],'RESUMEN CLIENTES'!D:D,'RESUMEN CLIENTES'!W:W)</f>
        <v>0</v>
      </c>
      <c r="G1589" s="17">
        <v>46239</v>
      </c>
      <c r="H1589" s="44" t="s">
        <v>81</v>
      </c>
      <c r="I1589" s="2">
        <v>1000</v>
      </c>
      <c r="J1589"/>
      <c r="K1589"/>
      <c r="L1589" s="44" t="str" cm="1">
        <f t="array" ref="L1589">+_xlfn.IFS(COUNTIF(INGRESOS!E:E,Tabla6[[#This Row],[ID FACTURA]])=1,"PAGADA",Tabla6[[#This Row],[ID FACTURA]]&lt;&gt;0,"EMITIDA",Tabla6[[#This Row],[ID FACTURA]]=0,"POR EMITIR")</f>
        <v>POR EMITIR</v>
      </c>
      <c r="M1589" s="55" t="str">
        <f>+IF(Tabla6[[#This Row],[ESTADO FACTURA]]="PAGADA",Tabla6[[#This Row],[FECHA]]-_xlfn.XLOOKUP(Tabla6[[#This Row],[N° FACTURA]],INGRESOS!F:F,INGRESOS!A:A),"-")</f>
        <v>-</v>
      </c>
      <c r="N1589" s="2"/>
      <c r="O1589"/>
    </row>
    <row r="1590" spans="1:15" ht="14.75" customHeight="1">
      <c r="A1590" s="320" t="s">
        <v>1674</v>
      </c>
      <c r="B1590" t="str">
        <f>+_xlfn.XLOOKUP(Tabla6[[#This Row],[ID CLIENTE]],'RESUMEN CLIENTES'!D:D,'RESUMEN CLIENTES'!A:A)</f>
        <v>Diego Alberto Ruiz Cifuentes</v>
      </c>
      <c r="C1590" t="str">
        <f>+_xlfn.XLOOKUP(Tabla6[[#This Row],[ID CLIENTE]],'RESUMEN CLIENTES'!D:D,'RESUMEN CLIENTES'!C:C)</f>
        <v>Chile</v>
      </c>
      <c r="D1590" s="169" t="str">
        <f>+_xlfn.XLOOKUP(Tabla6[[#This Row],[ID CLIENTE]],'RESUMEN CLIENTES'!D:D,'RESUMEN CLIENTES'!M:M)</f>
        <v>OK</v>
      </c>
      <c r="E1590" s="71">
        <f>+_xlfn.XLOOKUP(Tabla6[[#This Row],[NOMBRE]],'RESUMEN CLIENTES'!A:A,'RESUMEN CLIENTES'!X:X)</f>
        <v>5.75</v>
      </c>
      <c r="F1590" s="71">
        <f>+_xlfn.XLOOKUP(Tabla6[[#This Row],[ID CLIENTE]],'RESUMEN CLIENTES'!D:D,'RESUMEN CLIENTES'!W:W)</f>
        <v>0</v>
      </c>
      <c r="G1590" s="17">
        <v>46239</v>
      </c>
      <c r="H1590" s="169" t="s">
        <v>81</v>
      </c>
      <c r="I1590" s="2">
        <v>1000</v>
      </c>
      <c r="J1590"/>
      <c r="K1590"/>
      <c r="L1590" s="44" t="str" cm="1">
        <f t="array" ref="L1590">+_xlfn.IFS(COUNTIF(INGRESOS!E:E,Tabla6[[#This Row],[ID FACTURA]])=1,"PAGADA",Tabla6[[#This Row],[ID FACTURA]]&lt;&gt;0,"EMITIDA",Tabla6[[#This Row],[ID FACTURA]]=0,"POR EMITIR")</f>
        <v>POR EMITIR</v>
      </c>
      <c r="M1590" s="55" t="str">
        <f>+IF(Tabla6[[#This Row],[ESTADO FACTURA]]="PAGADA",Tabla6[[#This Row],[FECHA]]-_xlfn.XLOOKUP(Tabla6[[#This Row],[N° FACTURA]],INGRESOS!F:F,INGRESOS!A:A),"-")</f>
        <v>-</v>
      </c>
      <c r="N1590" s="2"/>
      <c r="O1590"/>
    </row>
    <row r="1591" spans="1:15" ht="14.75" customHeight="1">
      <c r="A1591" s="320" t="s">
        <v>2521</v>
      </c>
      <c r="B1591" t="str">
        <f>+_xlfn.XLOOKUP(Tabla6[[#This Row],[ID CLIENTE]],'RESUMEN CLIENTES'!D:D,'RESUMEN CLIENTES'!A:A)</f>
        <v>Fabián Andrés Sarmiento Auli</v>
      </c>
      <c r="C1591" t="str">
        <f>+_xlfn.XLOOKUP(Tabla6[[#This Row],[ID CLIENTE]],'RESUMEN CLIENTES'!D:D,'RESUMEN CLIENTES'!C:C)</f>
        <v>Colombia</v>
      </c>
      <c r="D1591" s="169" t="str">
        <f>+_xlfn.XLOOKUP(Tabla6[[#This Row],[ID CLIENTE]],'RESUMEN CLIENTES'!D:D,'RESUMEN CLIENTES'!M:M)</f>
        <v>OK</v>
      </c>
      <c r="E1591" s="71">
        <f>+_xlfn.XLOOKUP(Tabla6[[#This Row],[NOMBRE]],'RESUMEN CLIENTES'!A:A,'RESUMEN CLIENTES'!X:X)</f>
        <v>0</v>
      </c>
      <c r="F1591" s="71">
        <f>+_xlfn.XLOOKUP(Tabla6[[#This Row],[ID CLIENTE]],'RESUMEN CLIENTES'!D:D,'RESUMEN CLIENTES'!W:W)</f>
        <v>0</v>
      </c>
      <c r="G1591" s="17">
        <v>46239</v>
      </c>
      <c r="H1591" s="169" t="s">
        <v>81</v>
      </c>
      <c r="I1591" s="2">
        <v>911</v>
      </c>
      <c r="J1591"/>
      <c r="K1591"/>
      <c r="L1591" s="44" t="str" cm="1">
        <f t="array" ref="L1591">+_xlfn.IFS(COUNTIF(INGRESOS!E:E,Tabla6[[#This Row],[ID FACTURA]])=1,"PAGADA",Tabla6[[#This Row],[ID FACTURA]]&lt;&gt;0,"EMITIDA",Tabla6[[#This Row],[ID FACTURA]]=0,"POR EMITIR")</f>
        <v>POR EMITIR</v>
      </c>
      <c r="M1591" s="54" t="str">
        <f>+IF(Tabla6[[#This Row],[ESTADO FACTURA]]="PAGADA",Tabla6[[#This Row],[FECHA]]-_xlfn.XLOOKUP(Tabla6[[#This Row],[N° FACTURA]],INGRESOS!F:F,INGRESOS!A:A),"-")</f>
        <v>-</v>
      </c>
      <c r="O1591"/>
    </row>
    <row r="1592" spans="1:15" ht="14.75" customHeight="1">
      <c r="A1592" s="320" t="s">
        <v>787</v>
      </c>
      <c r="B1592" t="str">
        <f>+_xlfn.XLOOKUP(Tabla6[[#This Row],[ID CLIENTE]],'RESUMEN CLIENTES'!D:D,'RESUMEN CLIENTES'!A:A)</f>
        <v>Florencia Luján Sapia</v>
      </c>
      <c r="C1592" t="str">
        <f>+_xlfn.XLOOKUP(Tabla6[[#This Row],[ID CLIENTE]],'RESUMEN CLIENTES'!D:D,'RESUMEN CLIENTES'!C:C)</f>
        <v>Argentina</v>
      </c>
      <c r="D1592" s="44" t="str">
        <f>+_xlfn.XLOOKUP(Tabla6[[#This Row],[ID CLIENTE]],'RESUMEN CLIENTES'!D:D,'RESUMEN CLIENTES'!M:M)</f>
        <v>OK</v>
      </c>
      <c r="E1592" s="72">
        <f>+_xlfn.XLOOKUP(Tabla6[[#This Row],[NOMBRE]],'RESUMEN CLIENTES'!A:A,'RESUMEN CLIENTES'!X:X)</f>
        <v>-0.77777777777777779</v>
      </c>
      <c r="F1592" s="72">
        <f>+_xlfn.XLOOKUP(Tabla6[[#This Row],[ID CLIENTE]],'RESUMEN CLIENTES'!D:D,'RESUMEN CLIENTES'!W:W)</f>
        <v>1</v>
      </c>
      <c r="G1592" s="17">
        <v>46239</v>
      </c>
      <c r="H1592" s="44" t="s">
        <v>81</v>
      </c>
      <c r="I1592" s="2">
        <v>600</v>
      </c>
      <c r="J1592"/>
      <c r="K1592"/>
      <c r="L1592" s="44" t="str" cm="1">
        <f t="array" ref="L1592">+_xlfn.IFS(COUNTIF(INGRESOS!E:E,Tabla6[[#This Row],[ID FACTURA]])=1,"PAGADA",Tabla6[[#This Row],[ID FACTURA]]&lt;&gt;0,"EMITIDA",Tabla6[[#This Row],[ID FACTURA]]=0,"POR EMITIR")</f>
        <v>POR EMITIR</v>
      </c>
      <c r="M1592" s="55" t="str">
        <f>+IF(Tabla6[[#This Row],[ESTADO FACTURA]]="PAGADA",Tabla6[[#This Row],[FECHA]]-_xlfn.XLOOKUP(Tabla6[[#This Row],[N° FACTURA]],INGRESOS!F:F,INGRESOS!A:A),"-")</f>
        <v>-</v>
      </c>
      <c r="N1592" s="2"/>
      <c r="O1592"/>
    </row>
    <row r="1593" spans="1:15" ht="14.75" customHeight="1">
      <c r="A1593" s="320" t="s">
        <v>171</v>
      </c>
      <c r="B1593" t="str">
        <f>+_xlfn.XLOOKUP(Tabla6[[#This Row],[ID CLIENTE]],'RESUMEN CLIENTES'!D:D,'RESUMEN CLIENTES'!A:A)</f>
        <v>Guillermo Alfonso Garvalena Gaxiola</v>
      </c>
      <c r="C1593" t="str">
        <f>+_xlfn.XLOOKUP(Tabla6[[#This Row],[ID CLIENTE]],'RESUMEN CLIENTES'!D:D,'RESUMEN CLIENTES'!C:C)</f>
        <v>México</v>
      </c>
      <c r="D1593" s="44" t="str">
        <f>+_xlfn.XLOOKUP(Tabla6[[#This Row],[ID CLIENTE]],'RESUMEN CLIENTES'!D:D,'RESUMEN CLIENTES'!M:M)</f>
        <v>OK</v>
      </c>
      <c r="E1593" s="72">
        <f>+_xlfn.XLOOKUP(Tabla6[[#This Row],[NOMBRE]],'RESUMEN CLIENTES'!A:A,'RESUMEN CLIENTES'!X:X)</f>
        <v>1.173913043478261</v>
      </c>
      <c r="F1593" s="72">
        <f>+_xlfn.XLOOKUP(Tabla6[[#This Row],[ID CLIENTE]],'RESUMEN CLIENTES'!D:D,'RESUMEN CLIENTES'!W:W)</f>
        <v>1</v>
      </c>
      <c r="G1593" s="17">
        <v>46239</v>
      </c>
      <c r="H1593" s="44" t="s">
        <v>81</v>
      </c>
      <c r="I1593" s="2">
        <v>500</v>
      </c>
      <c r="J1593"/>
      <c r="K1593"/>
      <c r="L1593" s="44" t="str" cm="1">
        <f t="array" ref="L1593">+_xlfn.IFS(COUNTIF(INGRESOS!E:E,Tabla6[[#This Row],[ID FACTURA]])=1,"PAGADA",Tabla6[[#This Row],[ID FACTURA]]&lt;&gt;0,"EMITIDA",Tabla6[[#This Row],[ID FACTURA]]=0,"POR EMITIR")</f>
        <v>POR EMITIR</v>
      </c>
      <c r="M1593" s="55" t="str">
        <f>+IF(Tabla6[[#This Row],[ESTADO FACTURA]]="PAGADA",Tabla6[[#This Row],[FECHA]]-_xlfn.XLOOKUP(Tabla6[[#This Row],[N° FACTURA]],INGRESOS!F:F,INGRESOS!A:A),"-")</f>
        <v>-</v>
      </c>
      <c r="N1593" s="2"/>
      <c r="O1593"/>
    </row>
    <row r="1594" spans="1:15" ht="14.75" customHeight="1">
      <c r="A1594" s="320" t="s">
        <v>109</v>
      </c>
      <c r="B1594" t="str">
        <f>+_xlfn.XLOOKUP(Tabla6[[#This Row],[ID CLIENTE]],'RESUMEN CLIENTES'!D:D,'RESUMEN CLIENTES'!A:A)</f>
        <v>Ian Job Lino Durán</v>
      </c>
      <c r="C1594" t="str">
        <f>+_xlfn.XLOOKUP(Tabla6[[#This Row],[ID CLIENTE]],'RESUMEN CLIENTES'!D:D,'RESUMEN CLIENTES'!C:C)</f>
        <v>México</v>
      </c>
      <c r="D1594" s="44" t="str">
        <f>+_xlfn.XLOOKUP(Tabla6[[#This Row],[ID CLIENTE]],'RESUMEN CLIENTES'!D:D,'RESUMEN CLIENTES'!M:M)</f>
        <v>OK</v>
      </c>
      <c r="E1594" s="72">
        <f>+_xlfn.XLOOKUP(Tabla6[[#This Row],[NOMBRE]],'RESUMEN CLIENTES'!A:A,'RESUMEN CLIENTES'!X:X)</f>
        <v>0.1</v>
      </c>
      <c r="F1594" s="72">
        <f>+_xlfn.XLOOKUP(Tabla6[[#This Row],[ID CLIENTE]],'RESUMEN CLIENTES'!D:D,'RESUMEN CLIENTES'!W:W)</f>
        <v>1</v>
      </c>
      <c r="G1594" s="17">
        <v>46239</v>
      </c>
      <c r="H1594" s="44" t="s">
        <v>81</v>
      </c>
      <c r="I1594" s="2">
        <v>800</v>
      </c>
      <c r="J1594"/>
      <c r="K1594"/>
      <c r="L1594" s="44" t="str" cm="1">
        <f t="array" ref="L1594">+_xlfn.IFS(COUNTIF(INGRESOS!E:E,Tabla6[[#This Row],[ID FACTURA]])=1,"PAGADA",Tabla6[[#This Row],[ID FACTURA]]&lt;&gt;0,"EMITIDA",Tabla6[[#This Row],[ID FACTURA]]=0,"POR EMITIR")</f>
        <v>POR EMITIR</v>
      </c>
      <c r="M1594" s="55" t="str">
        <f>+IF(Tabla6[[#This Row],[ESTADO FACTURA]]="PAGADA",Tabla6[[#This Row],[FECHA]]-_xlfn.XLOOKUP(Tabla6[[#This Row],[N° FACTURA]],INGRESOS!F:F,INGRESOS!A:A),"-")</f>
        <v>-</v>
      </c>
      <c r="N1594" s="2"/>
      <c r="O1594"/>
    </row>
    <row r="1595" spans="1:15" ht="14.75" customHeight="1">
      <c r="A1595" s="320" t="s">
        <v>142</v>
      </c>
      <c r="B1595" t="str">
        <f>+_xlfn.XLOOKUP(Tabla6[[#This Row],[ID CLIENTE]],'RESUMEN CLIENTES'!D:D,'RESUMEN CLIENTES'!A:A)</f>
        <v>Jordan Eliecer Toledo Bravo</v>
      </c>
      <c r="C1595" t="str">
        <f>+_xlfn.XLOOKUP(Tabla6[[#This Row],[ID CLIENTE]],'RESUMEN CLIENTES'!D:D,'RESUMEN CLIENTES'!C:C)</f>
        <v>Chile</v>
      </c>
      <c r="D1595" s="169" t="str">
        <f>+_xlfn.XLOOKUP(Tabla6[[#This Row],[ID CLIENTE]],'RESUMEN CLIENTES'!D:D,'RESUMEN CLIENTES'!M:M)</f>
        <v>OK</v>
      </c>
      <c r="E1595" s="71">
        <f>+_xlfn.XLOOKUP(Tabla6[[#This Row],[NOMBRE]],'RESUMEN CLIENTES'!A:A,'RESUMEN CLIENTES'!X:X)</f>
        <v>-1.6153846153846154</v>
      </c>
      <c r="F1595" s="71">
        <f>+_xlfn.XLOOKUP(Tabla6[[#This Row],[ID CLIENTE]],'RESUMEN CLIENTES'!D:D,'RESUMEN CLIENTES'!W:W)</f>
        <v>0</v>
      </c>
      <c r="G1595" s="17">
        <v>46239</v>
      </c>
      <c r="H1595" s="169" t="s">
        <v>81</v>
      </c>
      <c r="I1595" s="2">
        <v>500</v>
      </c>
      <c r="J1595"/>
      <c r="K1595"/>
      <c r="L1595" s="44" t="str" cm="1">
        <f t="array" ref="L1595">+_xlfn.IFS(COUNTIF(INGRESOS!E:E,Tabla6[[#This Row],[ID FACTURA]])=1,"PAGADA",Tabla6[[#This Row],[ID FACTURA]]&lt;&gt;0,"EMITIDA",Tabla6[[#This Row],[ID FACTURA]]=0,"POR EMITIR")</f>
        <v>POR EMITIR</v>
      </c>
      <c r="M1595" s="54" t="str">
        <f>+IF(Tabla6[[#This Row],[ESTADO FACTURA]]="PAGADA",Tabla6[[#This Row],[FECHA]]-_xlfn.XLOOKUP(Tabla6[[#This Row],[N° FACTURA]],INGRESOS!F:F,INGRESOS!A:A),"-")</f>
        <v>-</v>
      </c>
      <c r="O1595"/>
    </row>
    <row r="1596" spans="1:15" ht="14.75" customHeight="1">
      <c r="A1596" s="320" t="s">
        <v>4454</v>
      </c>
      <c r="B1596" t="str">
        <f>+_xlfn.XLOOKUP(Tabla6[[#This Row],[ID CLIENTE]],'RESUMEN CLIENTES'!D:D,'RESUMEN CLIENTES'!A:A)</f>
        <v>Jose Luis Avilez Casas</v>
      </c>
      <c r="C1596" t="str">
        <f>+_xlfn.XLOOKUP(Tabla6[[#This Row],[ID CLIENTE]],'RESUMEN CLIENTES'!D:D,'RESUMEN CLIENTES'!C:C)</f>
        <v>México</v>
      </c>
      <c r="D1596" s="169" t="str">
        <f>+_xlfn.XLOOKUP(Tabla6[[#This Row],[ID CLIENTE]],'RESUMEN CLIENTES'!D:D,'RESUMEN CLIENTES'!M:M)</f>
        <v>OK</v>
      </c>
      <c r="E1596" s="71">
        <f>+_xlfn.XLOOKUP(Tabla6[[#This Row],[NOMBRE]],'RESUMEN CLIENTES'!A:A,'RESUMEN CLIENTES'!X:X)</f>
        <v>0.33333333333333331</v>
      </c>
      <c r="F1596" s="71">
        <f>+_xlfn.XLOOKUP(Tabla6[[#This Row],[ID CLIENTE]],'RESUMEN CLIENTES'!D:D,'RESUMEN CLIENTES'!W:W)</f>
        <v>0</v>
      </c>
      <c r="G1596" s="17">
        <v>46239</v>
      </c>
      <c r="H1596" s="169" t="s">
        <v>81</v>
      </c>
      <c r="I1596" s="2">
        <v>1000</v>
      </c>
      <c r="J1596"/>
      <c r="K1596"/>
      <c r="L1596" s="44" t="str" cm="1">
        <f t="array" ref="L1596">+_xlfn.IFS(COUNTIF(INGRESOS!E:E,Tabla6[[#This Row],[ID FACTURA]])=1,"PAGADA",Tabla6[[#This Row],[ID FACTURA]]&lt;&gt;0,"EMITIDA",Tabla6[[#This Row],[ID FACTURA]]=0,"POR EMITIR")</f>
        <v>POR EMITIR</v>
      </c>
      <c r="M1596" s="54" t="str">
        <f>+IF(Tabla6[[#This Row],[ESTADO FACTURA]]="PAGADA",Tabla6[[#This Row],[FECHA]]-_xlfn.XLOOKUP(Tabla6[[#This Row],[N° FACTURA]],INGRESOS!F:F,INGRESOS!A:A),"-")</f>
        <v>-</v>
      </c>
      <c r="O1596"/>
    </row>
    <row r="1597" spans="1:15" ht="14.75" customHeight="1">
      <c r="A1597" s="320" t="s">
        <v>798</v>
      </c>
      <c r="B1597" t="str">
        <f>+_xlfn.XLOOKUP(Tabla6[[#This Row],[ID CLIENTE]],'RESUMEN CLIENTES'!D:D,'RESUMEN CLIENTES'!A:A)</f>
        <v>Juan Manuel Paranzino</v>
      </c>
      <c r="C1597" t="str">
        <f>+_xlfn.XLOOKUP(Tabla6[[#This Row],[ID CLIENTE]],'RESUMEN CLIENTES'!D:D,'RESUMEN CLIENTES'!C:C)</f>
        <v>Argentina</v>
      </c>
      <c r="D1597" s="44" t="str">
        <f>+_xlfn.XLOOKUP(Tabla6[[#This Row],[ID CLIENTE]],'RESUMEN CLIENTES'!D:D,'RESUMEN CLIENTES'!M:M)</f>
        <v>OK</v>
      </c>
      <c r="E1597" s="72">
        <f>+_xlfn.XLOOKUP(Tabla6[[#This Row],[NOMBRE]],'RESUMEN CLIENTES'!A:A,'RESUMEN CLIENTES'!X:X)</f>
        <v>-1</v>
      </c>
      <c r="F1597" s="72">
        <f>+_xlfn.XLOOKUP(Tabla6[[#This Row],[ID CLIENTE]],'RESUMEN CLIENTES'!D:D,'RESUMEN CLIENTES'!W:W)</f>
        <v>0</v>
      </c>
      <c r="G1597" s="17">
        <v>46239</v>
      </c>
      <c r="H1597" s="44" t="s">
        <v>81</v>
      </c>
      <c r="I1597" s="2">
        <v>600</v>
      </c>
      <c r="J1597"/>
      <c r="K1597"/>
      <c r="L1597" s="44" t="str" cm="1">
        <f t="array" ref="L1597">+_xlfn.IFS(COUNTIF(INGRESOS!E:E,Tabla6[[#This Row],[ID FACTURA]])=1,"PAGADA",Tabla6[[#This Row],[ID FACTURA]]&lt;&gt;0,"EMITIDA",Tabla6[[#This Row],[ID FACTURA]]=0,"POR EMITIR")</f>
        <v>POR EMITIR</v>
      </c>
      <c r="M1597" s="55" t="str">
        <f>+IF(Tabla6[[#This Row],[ESTADO FACTURA]]="PAGADA",Tabla6[[#This Row],[FECHA]]-_xlfn.XLOOKUP(Tabla6[[#This Row],[N° FACTURA]],INGRESOS!F:F,INGRESOS!A:A),"-")</f>
        <v>-</v>
      </c>
      <c r="N1597" s="2"/>
      <c r="O1597"/>
    </row>
    <row r="1598" spans="1:15" ht="14.75" customHeight="1">
      <c r="A1598" s="320" t="s">
        <v>955</v>
      </c>
      <c r="B1598" t="str">
        <f>+_xlfn.XLOOKUP(Tabla6[[#This Row],[ID CLIENTE]],'RESUMEN CLIENTES'!D:D,'RESUMEN CLIENTES'!A:A)</f>
        <v>Judith Elizabeth Lopez Sanchez</v>
      </c>
      <c r="C1598" t="str">
        <f>+_xlfn.XLOOKUP(Tabla6[[#This Row],[ID CLIENTE]],'RESUMEN CLIENTES'!D:D,'RESUMEN CLIENTES'!C:C)</f>
        <v>Perú</v>
      </c>
      <c r="D1598" s="44" t="str">
        <f>+_xlfn.XLOOKUP(Tabla6[[#This Row],[ID CLIENTE]],'RESUMEN CLIENTES'!D:D,'RESUMEN CLIENTES'!M:M)</f>
        <v>OK</v>
      </c>
      <c r="E1598" s="72">
        <f>+_xlfn.XLOOKUP(Tabla6[[#This Row],[NOMBRE]],'RESUMEN CLIENTES'!A:A,'RESUMEN CLIENTES'!X:X)</f>
        <v>0.2857142857142857</v>
      </c>
      <c r="F1598" s="72">
        <f>+_xlfn.XLOOKUP(Tabla6[[#This Row],[ID CLIENTE]],'RESUMEN CLIENTES'!D:D,'RESUMEN CLIENTES'!W:W)</f>
        <v>1</v>
      </c>
      <c r="G1598" s="17">
        <v>46239</v>
      </c>
      <c r="H1598" s="44" t="s">
        <v>81</v>
      </c>
      <c r="I1598" s="2">
        <v>1000</v>
      </c>
      <c r="J1598"/>
      <c r="K1598"/>
      <c r="L1598" s="44" t="str" cm="1">
        <f t="array" ref="L1598">+_xlfn.IFS(COUNTIF(INGRESOS!E:E,Tabla6[[#This Row],[ID FACTURA]])=1,"PAGADA",Tabla6[[#This Row],[ID FACTURA]]&lt;&gt;0,"EMITIDA",Tabla6[[#This Row],[ID FACTURA]]=0,"POR EMITIR")</f>
        <v>POR EMITIR</v>
      </c>
      <c r="M1598" s="55" t="str">
        <f>+IF(Tabla6[[#This Row],[ESTADO FACTURA]]="PAGADA",Tabla6[[#This Row],[FECHA]]-_xlfn.XLOOKUP(Tabla6[[#This Row],[N° FACTURA]],INGRESOS!F:F,INGRESOS!A:A),"-")</f>
        <v>-</v>
      </c>
      <c r="N1598" s="2"/>
      <c r="O1598"/>
    </row>
    <row r="1599" spans="1:15" ht="14.75" customHeight="1">
      <c r="A1599" s="320" t="s">
        <v>1416</v>
      </c>
      <c r="B1599" t="str">
        <f>+_xlfn.XLOOKUP(Tabla6[[#This Row],[ID CLIENTE]],'RESUMEN CLIENTES'!D:D,'RESUMEN CLIENTES'!A:A)</f>
        <v>Luis Armando Calderon Manzanera</v>
      </c>
      <c r="C1599" t="str">
        <f>+_xlfn.XLOOKUP(Tabla6[[#This Row],[ID CLIENTE]],'RESUMEN CLIENTES'!D:D,'RESUMEN CLIENTES'!C:C)</f>
        <v>México</v>
      </c>
      <c r="D1599" s="44" t="str">
        <f>+_xlfn.XLOOKUP(Tabla6[[#This Row],[ID CLIENTE]],'RESUMEN CLIENTES'!D:D,'RESUMEN CLIENTES'!M:M)</f>
        <v>OK</v>
      </c>
      <c r="E1599" s="71">
        <f>+_xlfn.XLOOKUP(Tabla6[[#This Row],[NOMBRE]],'RESUMEN CLIENTES'!A:A,'RESUMEN CLIENTES'!X:X)</f>
        <v>2</v>
      </c>
      <c r="F1599" s="71">
        <f>+_xlfn.XLOOKUP(Tabla6[[#This Row],[ID CLIENTE]],'RESUMEN CLIENTES'!D:D,'RESUMEN CLIENTES'!W:W)</f>
        <v>1</v>
      </c>
      <c r="G1599" s="17">
        <v>46239</v>
      </c>
      <c r="H1599" s="44" t="s">
        <v>81</v>
      </c>
      <c r="I1599" s="2">
        <v>650</v>
      </c>
      <c r="J1599"/>
      <c r="K1599"/>
      <c r="L1599" s="44" t="str" cm="1">
        <f t="array" ref="L1599">+_xlfn.IFS(COUNTIF(INGRESOS!E:E,Tabla6[[#This Row],[ID FACTURA]])=1,"PAGADA",Tabla6[[#This Row],[ID FACTURA]]&lt;&gt;0,"EMITIDA",Tabla6[[#This Row],[ID FACTURA]]=0,"POR EMITIR")</f>
        <v>POR EMITIR</v>
      </c>
      <c r="M1599" s="55" t="str">
        <f>+IF(Tabla6[[#This Row],[ESTADO FACTURA]]="PAGADA",Tabla6[[#This Row],[FECHA]]-_xlfn.XLOOKUP(Tabla6[[#This Row],[N° FACTURA]],INGRESOS!F:F,INGRESOS!A:A),"-")</f>
        <v>-</v>
      </c>
      <c r="N1599" s="2"/>
      <c r="O1599"/>
    </row>
    <row r="1600" spans="1:15" ht="14.75" customHeight="1">
      <c r="A1600" s="320" t="s">
        <v>703</v>
      </c>
      <c r="B1600" t="str">
        <f>+_xlfn.XLOOKUP(Tabla6[[#This Row],[ID CLIENTE]],'RESUMEN CLIENTES'!D:D,'RESUMEN CLIENTES'!A:A)</f>
        <v>Maira Paz Navas Sánchez</v>
      </c>
      <c r="C1600" t="str">
        <f>+_xlfn.XLOOKUP(Tabla6[[#This Row],[ID CLIENTE]],'RESUMEN CLIENTES'!D:D,'RESUMEN CLIENTES'!C:C)</f>
        <v>Chile</v>
      </c>
      <c r="D1600" s="44" t="str">
        <f>+_xlfn.XLOOKUP(Tabla6[[#This Row],[ID CLIENTE]],'RESUMEN CLIENTES'!D:D,'RESUMEN CLIENTES'!M:M)</f>
        <v>OK</v>
      </c>
      <c r="E1600" s="72">
        <f>+_xlfn.XLOOKUP(Tabla6[[#This Row],[NOMBRE]],'RESUMEN CLIENTES'!A:A,'RESUMEN CLIENTES'!X:X)</f>
        <v>-1.75</v>
      </c>
      <c r="F1600" s="72">
        <f>+_xlfn.XLOOKUP(Tabla6[[#This Row],[ID CLIENTE]],'RESUMEN CLIENTES'!D:D,'RESUMEN CLIENTES'!W:W)</f>
        <v>1</v>
      </c>
      <c r="G1600" s="17">
        <v>46239</v>
      </c>
      <c r="H1600" s="44" t="s">
        <v>81</v>
      </c>
      <c r="I1600" s="2">
        <v>700</v>
      </c>
      <c r="J1600"/>
      <c r="K1600"/>
      <c r="L1600" s="44" t="str" cm="1">
        <f t="array" ref="L1600">+_xlfn.IFS(COUNTIF(INGRESOS!E:E,Tabla6[[#This Row],[ID FACTURA]])=1,"PAGADA",Tabla6[[#This Row],[ID FACTURA]]&lt;&gt;0,"EMITIDA",Tabla6[[#This Row],[ID FACTURA]]=0,"POR EMITIR")</f>
        <v>POR EMITIR</v>
      </c>
      <c r="M1600" s="55" t="str">
        <f>+IF(Tabla6[[#This Row],[ESTADO FACTURA]]="PAGADA",Tabla6[[#This Row],[FECHA]]-_xlfn.XLOOKUP(Tabla6[[#This Row],[N° FACTURA]],INGRESOS!F:F,INGRESOS!A:A),"-")</f>
        <v>-</v>
      </c>
      <c r="N1600" s="2"/>
      <c r="O1600"/>
    </row>
    <row r="1601" spans="1:15" ht="14.75" customHeight="1">
      <c r="A1601" s="320" t="s">
        <v>80</v>
      </c>
      <c r="B1601" t="str">
        <f>+_xlfn.XLOOKUP(Tabla6[[#This Row],[ID CLIENTE]],'RESUMEN CLIENTES'!D:D,'RESUMEN CLIENTES'!A:A)</f>
        <v>María Fernanda Alvar Sepúlveda</v>
      </c>
      <c r="C1601" t="str">
        <f>+_xlfn.XLOOKUP(Tabla6[[#This Row],[ID CLIENTE]],'RESUMEN CLIENTES'!D:D,'RESUMEN CLIENTES'!C:C)</f>
        <v>Chile</v>
      </c>
      <c r="D1601" s="44" t="str">
        <f>+_xlfn.XLOOKUP(Tabla6[[#This Row],[ID CLIENTE]],'RESUMEN CLIENTES'!D:D,'RESUMEN CLIENTES'!M:M)</f>
        <v>OK</v>
      </c>
      <c r="E1601" s="72">
        <f>+_xlfn.XLOOKUP(Tabla6[[#This Row],[NOMBRE]],'RESUMEN CLIENTES'!A:A,'RESUMEN CLIENTES'!X:X)</f>
        <v>5</v>
      </c>
      <c r="F1601" s="71">
        <f>+_xlfn.XLOOKUP(Tabla6[[#This Row],[ID CLIENTE]],'RESUMEN CLIENTES'!D:D,'RESUMEN CLIENTES'!W:W)</f>
        <v>1</v>
      </c>
      <c r="G1601" s="17">
        <v>46239</v>
      </c>
      <c r="H1601" s="44" t="s">
        <v>81</v>
      </c>
      <c r="I1601" s="2">
        <v>800</v>
      </c>
      <c r="J1601"/>
      <c r="K1601"/>
      <c r="L1601" s="44" t="str" cm="1">
        <f t="array" ref="L1601">+_xlfn.IFS(COUNTIF(INGRESOS!E:E,Tabla6[[#This Row],[ID FACTURA]])=1,"PAGADA",Tabla6[[#This Row],[ID FACTURA]]&lt;&gt;0,"EMITIDA",Tabla6[[#This Row],[ID FACTURA]]=0,"POR EMITIR")</f>
        <v>POR EMITIR</v>
      </c>
      <c r="M1601" s="55" t="str">
        <f>+IF(Tabla6[[#This Row],[ESTADO FACTURA]]="PAGADA",Tabla6[[#This Row],[FECHA]]-_xlfn.XLOOKUP(Tabla6[[#This Row],[N° FACTURA]],INGRESOS!F:F,INGRESOS!A:A),"-")</f>
        <v>-</v>
      </c>
      <c r="N1601" s="214"/>
      <c r="O1601"/>
    </row>
    <row r="1602" spans="1:15" ht="14.75" customHeight="1">
      <c r="A1602" s="320" t="s">
        <v>1551</v>
      </c>
      <c r="B1602" t="str">
        <f>+_xlfn.XLOOKUP(Tabla6[[#This Row],[ID CLIENTE]],'RESUMEN CLIENTES'!D:D,'RESUMEN CLIENTES'!A:A)</f>
        <v>María Fernanda Cid Ramírez</v>
      </c>
      <c r="C1602" t="str">
        <f>+_xlfn.XLOOKUP(Tabla6[[#This Row],[ID CLIENTE]],'RESUMEN CLIENTES'!D:D,'RESUMEN CLIENTES'!C:C)</f>
        <v>México</v>
      </c>
      <c r="D1602" s="44" t="str">
        <f>+_xlfn.XLOOKUP(Tabla6[[#This Row],[ID CLIENTE]],'RESUMEN CLIENTES'!D:D,'RESUMEN CLIENTES'!M:M)</f>
        <v>OK</v>
      </c>
      <c r="E1602" s="71">
        <f>+_xlfn.XLOOKUP(Tabla6[[#This Row],[NOMBRE]],'RESUMEN CLIENTES'!A:A,'RESUMEN CLIENTES'!X:X)</f>
        <v>-0.8571428571428571</v>
      </c>
      <c r="F1602" s="71">
        <f>+_xlfn.XLOOKUP(Tabla6[[#This Row],[ID CLIENTE]],'RESUMEN CLIENTES'!D:D,'RESUMEN CLIENTES'!W:W)</f>
        <v>0</v>
      </c>
      <c r="G1602" s="17">
        <v>46239</v>
      </c>
      <c r="H1602" s="169" t="s">
        <v>81</v>
      </c>
      <c r="I1602" s="2">
        <v>850</v>
      </c>
      <c r="J1602"/>
      <c r="K1602"/>
      <c r="L1602" s="44" t="str" cm="1">
        <f t="array" ref="L1602">+_xlfn.IFS(COUNTIF(INGRESOS!E:E,Tabla6[[#This Row],[ID FACTURA]])=1,"PAGADA",Tabla6[[#This Row],[ID FACTURA]]&lt;&gt;0,"EMITIDA",Tabla6[[#This Row],[ID FACTURA]]=0,"POR EMITIR")</f>
        <v>POR EMITIR</v>
      </c>
      <c r="M1602" s="55" t="str">
        <f>+IF(Tabla6[[#This Row],[ESTADO FACTURA]]="PAGADA",Tabla6[[#This Row],[FECHA]]-_xlfn.XLOOKUP(Tabla6[[#This Row],[N° FACTURA]],INGRESOS!F:F,INGRESOS!A:A),"-")</f>
        <v>-</v>
      </c>
      <c r="N1602" s="2"/>
      <c r="O1602"/>
    </row>
    <row r="1603" spans="1:15" ht="14.75" customHeight="1">
      <c r="A1603" s="320" t="s">
        <v>1155</v>
      </c>
      <c r="B1603" t="str">
        <f>+_xlfn.XLOOKUP(Tabla6[[#This Row],[ID CLIENTE]],'RESUMEN CLIENTES'!D:D,'RESUMEN CLIENTES'!A:A)</f>
        <v>Mario Arciga Casián</v>
      </c>
      <c r="C1603" t="str">
        <f>+_xlfn.XLOOKUP(Tabla6[[#This Row],[ID CLIENTE]],'RESUMEN CLIENTES'!D:D,'RESUMEN CLIENTES'!C:C)</f>
        <v>México</v>
      </c>
      <c r="D1603" s="44" t="str">
        <f>+_xlfn.XLOOKUP(Tabla6[[#This Row],[ID CLIENTE]],'RESUMEN CLIENTES'!D:D,'RESUMEN CLIENTES'!M:M)</f>
        <v>OK</v>
      </c>
      <c r="E1603" s="72">
        <f>+_xlfn.XLOOKUP(Tabla6[[#This Row],[NOMBRE]],'RESUMEN CLIENTES'!A:A,'RESUMEN CLIENTES'!X:X)</f>
        <v>-0.66666666666666663</v>
      </c>
      <c r="F1603" s="72">
        <f>+_xlfn.XLOOKUP(Tabla6[[#This Row],[ID CLIENTE]],'RESUMEN CLIENTES'!D:D,'RESUMEN CLIENTES'!W:W)</f>
        <v>1</v>
      </c>
      <c r="G1603" s="17">
        <v>46239</v>
      </c>
      <c r="H1603" s="44" t="s">
        <v>81</v>
      </c>
      <c r="I1603" s="2">
        <v>1000</v>
      </c>
      <c r="J1603"/>
      <c r="K1603"/>
      <c r="L1603" s="44" t="str" cm="1">
        <f t="array" ref="L1603">+_xlfn.IFS(COUNTIF(INGRESOS!E:E,Tabla6[[#This Row],[ID FACTURA]])=1,"PAGADA",Tabla6[[#This Row],[ID FACTURA]]&lt;&gt;0,"EMITIDA",Tabla6[[#This Row],[ID FACTURA]]=0,"POR EMITIR")</f>
        <v>POR EMITIR</v>
      </c>
      <c r="M1603" s="55" t="str">
        <f>+IF(Tabla6[[#This Row],[ESTADO FACTURA]]="PAGADA",Tabla6[[#This Row],[FECHA]]-_xlfn.XLOOKUP(Tabla6[[#This Row],[N° FACTURA]],INGRESOS!F:F,INGRESOS!A:A),"-")</f>
        <v>-</v>
      </c>
      <c r="N1603" s="2"/>
      <c r="O1603"/>
    </row>
    <row r="1604" spans="1:15" ht="14.75" customHeight="1">
      <c r="A1604" s="320" t="s">
        <v>4509</v>
      </c>
      <c r="B1604" t="str">
        <f>+_xlfn.XLOOKUP(Tabla6[[#This Row],[ID CLIENTE]],'RESUMEN CLIENTES'!D:D,'RESUMEN CLIENTES'!A:A)</f>
        <v>Marisol Madeleine Ibáñez Paredes</v>
      </c>
      <c r="C1604" t="str">
        <f>+_xlfn.XLOOKUP(Tabla6[[#This Row],[ID CLIENTE]],'RESUMEN CLIENTES'!D:D,'RESUMEN CLIENTES'!C:C)</f>
        <v>Ecuador</v>
      </c>
      <c r="D1604" s="169" t="str">
        <f>+_xlfn.XLOOKUP(Tabla6[[#This Row],[ID CLIENTE]],'RESUMEN CLIENTES'!D:D,'RESUMEN CLIENTES'!M:M)</f>
        <v>OK</v>
      </c>
      <c r="E1604" s="71">
        <f>+_xlfn.XLOOKUP(Tabla6[[#This Row],[NOMBRE]],'RESUMEN CLIENTES'!A:A,'RESUMEN CLIENTES'!X:X)</f>
        <v>-3</v>
      </c>
      <c r="F1604" s="71">
        <f>+_xlfn.XLOOKUP(Tabla6[[#This Row],[ID CLIENTE]],'RESUMEN CLIENTES'!D:D,'RESUMEN CLIENTES'!W:W)</f>
        <v>0</v>
      </c>
      <c r="G1604" s="17">
        <v>46239</v>
      </c>
      <c r="H1604" s="169" t="s">
        <v>81</v>
      </c>
      <c r="I1604" s="2">
        <v>1000</v>
      </c>
      <c r="J1604"/>
      <c r="K1604"/>
      <c r="L1604" s="44" t="str" cm="1">
        <f t="array" ref="L1604">+_xlfn.IFS(COUNTIF(INGRESOS!E:E,Tabla6[[#This Row],[ID FACTURA]])=1,"PAGADA",Tabla6[[#This Row],[ID FACTURA]]&lt;&gt;0,"EMITIDA",Tabla6[[#This Row],[ID FACTURA]]=0,"POR EMITIR")</f>
        <v>POR EMITIR</v>
      </c>
      <c r="M1604" s="54" t="str">
        <f>+IF(Tabla6[[#This Row],[ESTADO FACTURA]]="PAGADA",Tabla6[[#This Row],[FECHA]]-_xlfn.XLOOKUP(Tabla6[[#This Row],[N° FACTURA]],INGRESOS!F:F,INGRESOS!A:A),"-")</f>
        <v>-</v>
      </c>
      <c r="O1604"/>
    </row>
    <row r="1605" spans="1:15" ht="14.75" customHeight="1">
      <c r="A1605" s="320" t="s">
        <v>129</v>
      </c>
      <c r="B1605" t="str">
        <f>+_xlfn.XLOOKUP(Tabla6[[#This Row],[ID CLIENTE]],'RESUMEN CLIENTES'!D:D,'RESUMEN CLIENTES'!A:A)</f>
        <v>Moira Millaray Schneider Rivera</v>
      </c>
      <c r="C1605" t="str">
        <f>+_xlfn.XLOOKUP(Tabla6[[#This Row],[ID CLIENTE]],'RESUMEN CLIENTES'!D:D,'RESUMEN CLIENTES'!C:C)</f>
        <v>Chile</v>
      </c>
      <c r="D1605" s="44" t="str">
        <f>+_xlfn.XLOOKUP(Tabla6[[#This Row],[ID CLIENTE]],'RESUMEN CLIENTES'!D:D,'RESUMEN CLIENTES'!M:M)</f>
        <v>OK</v>
      </c>
      <c r="E1605" s="72">
        <f>+_xlfn.XLOOKUP(Tabla6[[#This Row],[NOMBRE]],'RESUMEN CLIENTES'!A:A,'RESUMEN CLIENTES'!X:X)</f>
        <v>0</v>
      </c>
      <c r="F1605" s="72">
        <f>+_xlfn.XLOOKUP(Tabla6[[#This Row],[ID CLIENTE]],'RESUMEN CLIENTES'!D:D,'RESUMEN CLIENTES'!W:W)</f>
        <v>1</v>
      </c>
      <c r="G1605" s="17">
        <v>46239</v>
      </c>
      <c r="H1605" s="44" t="s">
        <v>81</v>
      </c>
      <c r="I1605" s="2">
        <v>800</v>
      </c>
      <c r="J1605"/>
      <c r="K1605"/>
      <c r="L1605" s="44" t="str" cm="1">
        <f t="array" ref="L1605">+_xlfn.IFS(COUNTIF(INGRESOS!E:E,Tabla6[[#This Row],[ID FACTURA]])=1,"PAGADA",Tabla6[[#This Row],[ID FACTURA]]&lt;&gt;0,"EMITIDA",Tabla6[[#This Row],[ID FACTURA]]=0,"POR EMITIR")</f>
        <v>POR EMITIR</v>
      </c>
      <c r="M1605" s="55" t="str">
        <f>+IF(Tabla6[[#This Row],[ESTADO FACTURA]]="PAGADA",Tabla6[[#This Row],[FECHA]]-_xlfn.XLOOKUP(Tabla6[[#This Row],[N° FACTURA]],INGRESOS!F:F,INGRESOS!A:A),"-")</f>
        <v>-</v>
      </c>
      <c r="N1605" s="2"/>
      <c r="O1605"/>
    </row>
    <row r="1606" spans="1:15" ht="14.75" customHeight="1">
      <c r="A1606" s="320" t="s">
        <v>159</v>
      </c>
      <c r="B1606" t="str">
        <f>+_xlfn.XLOOKUP(Tabla6[[#This Row],[ID CLIENTE]],'RESUMEN CLIENTES'!D:D,'RESUMEN CLIENTES'!A:A)</f>
        <v>Rodrigo Rivera Ruiz</v>
      </c>
      <c r="C1606" t="str">
        <f>+_xlfn.XLOOKUP(Tabla6[[#This Row],[ID CLIENTE]],'RESUMEN CLIENTES'!D:D,'RESUMEN CLIENTES'!C:C)</f>
        <v>Chile</v>
      </c>
      <c r="D1606" s="44" t="str">
        <f>+_xlfn.XLOOKUP(Tabla6[[#This Row],[ID CLIENTE]],'RESUMEN CLIENTES'!D:D,'RESUMEN CLIENTES'!M:M)</f>
        <v>OK</v>
      </c>
      <c r="E1606" s="72">
        <f>+_xlfn.XLOOKUP(Tabla6[[#This Row],[NOMBRE]],'RESUMEN CLIENTES'!A:A,'RESUMEN CLIENTES'!X:X)</f>
        <v>0.8</v>
      </c>
      <c r="F1606" s="72">
        <f>+_xlfn.XLOOKUP(Tabla6[[#This Row],[ID CLIENTE]],'RESUMEN CLIENTES'!D:D,'RESUMEN CLIENTES'!W:W)</f>
        <v>1</v>
      </c>
      <c r="G1606" s="17">
        <v>46239</v>
      </c>
      <c r="H1606" s="44" t="s">
        <v>81</v>
      </c>
      <c r="I1606" s="2">
        <v>800</v>
      </c>
      <c r="J1606"/>
      <c r="K1606"/>
      <c r="L1606" s="44" t="str" cm="1">
        <f t="array" ref="L1606">+_xlfn.IFS(COUNTIF(INGRESOS!E:E,Tabla6[[#This Row],[ID FACTURA]])=1,"PAGADA",Tabla6[[#This Row],[ID FACTURA]]&lt;&gt;0,"EMITIDA",Tabla6[[#This Row],[ID FACTURA]]=0,"POR EMITIR")</f>
        <v>POR EMITIR</v>
      </c>
      <c r="M1606" s="55" t="str">
        <f>+IF(Tabla6[[#This Row],[ESTADO FACTURA]]="PAGADA",Tabla6[[#This Row],[FECHA]]-_xlfn.XLOOKUP(Tabla6[[#This Row],[N° FACTURA]],INGRESOS!F:F,INGRESOS!A:A),"-")</f>
        <v>-</v>
      </c>
      <c r="N1606" s="2"/>
      <c r="O1606"/>
    </row>
    <row r="1607" spans="1:15" ht="14.75" customHeight="1">
      <c r="A1607" s="320" t="s">
        <v>281</v>
      </c>
      <c r="B1607" t="str">
        <f>+_xlfn.XLOOKUP(Tabla6[[#This Row],[ID CLIENTE]],'RESUMEN CLIENTES'!D:D,'RESUMEN CLIENTES'!A:A)</f>
        <v>Sergio Francisco Garcia Sandoval</v>
      </c>
      <c r="C1607" t="str">
        <f>+_xlfn.XLOOKUP(Tabla6[[#This Row],[ID CLIENTE]],'RESUMEN CLIENTES'!D:D,'RESUMEN CLIENTES'!C:C)</f>
        <v>Perú</v>
      </c>
      <c r="D1607" s="44" t="str">
        <f>+_xlfn.XLOOKUP(Tabla6[[#This Row],[ID CLIENTE]],'RESUMEN CLIENTES'!D:D,'RESUMEN CLIENTES'!M:M)</f>
        <v>OK</v>
      </c>
      <c r="E1607" s="72">
        <f>+_xlfn.XLOOKUP(Tabla6[[#This Row],[NOMBRE]],'RESUMEN CLIENTES'!A:A,'RESUMEN CLIENTES'!X:X)</f>
        <v>0.88888888888888884</v>
      </c>
      <c r="F1607" s="72">
        <f>+_xlfn.XLOOKUP(Tabla6[[#This Row],[ID CLIENTE]],'RESUMEN CLIENTES'!D:D,'RESUMEN CLIENTES'!W:W)</f>
        <v>1</v>
      </c>
      <c r="G1607" s="17">
        <v>46239</v>
      </c>
      <c r="H1607" s="44" t="s">
        <v>81</v>
      </c>
      <c r="I1607" s="2">
        <v>350</v>
      </c>
      <c r="J1607"/>
      <c r="K1607"/>
      <c r="L1607" s="44" t="str" cm="1">
        <f t="array" ref="L1607">+_xlfn.IFS(COUNTIF(INGRESOS!E:E,Tabla6[[#This Row],[ID FACTURA]])=1,"PAGADA",Tabla6[[#This Row],[ID FACTURA]]&lt;&gt;0,"EMITIDA",Tabla6[[#This Row],[ID FACTURA]]=0,"POR EMITIR")</f>
        <v>POR EMITIR</v>
      </c>
      <c r="M1607" s="55" t="str">
        <f>+IF(Tabla6[[#This Row],[ESTADO FACTURA]]="PAGADA",Tabla6[[#This Row],[FECHA]]-_xlfn.XLOOKUP(Tabla6[[#This Row],[N° FACTURA]],INGRESOS!F:F,INGRESOS!A:A),"-")</f>
        <v>-</v>
      </c>
      <c r="N1607" s="2"/>
      <c r="O1607"/>
    </row>
    <row r="1608" spans="1:15" ht="14.75" customHeight="1">
      <c r="A1608" s="320" t="s">
        <v>907</v>
      </c>
      <c r="B1608" t="str">
        <f>+_xlfn.XLOOKUP(Tabla6[[#This Row],[ID CLIENTE]],'RESUMEN CLIENTES'!D:D,'RESUMEN CLIENTES'!A:A)</f>
        <v>Luis Carlos Villa Cortés</v>
      </c>
      <c r="C1608" t="str">
        <f>+_xlfn.XLOOKUP(Tabla6[[#This Row],[ID CLIENTE]],'RESUMEN CLIENTES'!D:D,'RESUMEN CLIENTES'!C:C)</f>
        <v>México</v>
      </c>
      <c r="D1608" s="44" t="str">
        <f>+_xlfn.XLOOKUP(Tabla6[[#This Row],[ID CLIENTE]],'RESUMEN CLIENTES'!D:D,'RESUMEN CLIENTES'!M:M)</f>
        <v>OK</v>
      </c>
      <c r="E1608" s="72">
        <f>+_xlfn.XLOOKUP(Tabla6[[#This Row],[NOMBRE]],'RESUMEN CLIENTES'!A:A,'RESUMEN CLIENTES'!X:X)</f>
        <v>0</v>
      </c>
      <c r="F1608" s="72">
        <f>+_xlfn.XLOOKUP(Tabla6[[#This Row],[ID CLIENTE]],'RESUMEN CLIENTES'!D:D,'RESUMEN CLIENTES'!W:W)</f>
        <v>1</v>
      </c>
      <c r="G1608" s="17">
        <v>46240</v>
      </c>
      <c r="H1608" s="44" t="s">
        <v>81</v>
      </c>
      <c r="I1608" s="2">
        <v>1000</v>
      </c>
      <c r="J1608"/>
      <c r="K1608"/>
      <c r="L1608" s="44" t="str" cm="1">
        <f t="array" ref="L1608">+_xlfn.IFS(COUNTIF(INGRESOS!E:E,Tabla6[[#This Row],[ID FACTURA]])=1,"PAGADA",Tabla6[[#This Row],[ID FACTURA]]&lt;&gt;0,"EMITIDA",Tabla6[[#This Row],[ID FACTURA]]=0,"POR EMITIR")</f>
        <v>POR EMITIR</v>
      </c>
      <c r="M1608" s="55" t="str">
        <f>+IF(Tabla6[[#This Row],[ESTADO FACTURA]]="PAGADA",Tabla6[[#This Row],[FECHA]]-_xlfn.XLOOKUP(Tabla6[[#This Row],[N° FACTURA]],INGRESOS!F:F,INGRESOS!A:A),"-")</f>
        <v>-</v>
      </c>
      <c r="N1608" s="2"/>
      <c r="O1608"/>
    </row>
    <row r="1609" spans="1:15" ht="14.75" customHeight="1">
      <c r="A1609" s="320" t="s">
        <v>1152</v>
      </c>
      <c r="B1609" t="str">
        <f>+_xlfn.XLOOKUP(Tabla6[[#This Row],[ID CLIENTE]],'RESUMEN CLIENTES'!D:D,'RESUMEN CLIENTES'!A:A)</f>
        <v>Ricardo Ernesto Miño Valencia</v>
      </c>
      <c r="C1609" t="str">
        <f>+_xlfn.XLOOKUP(Tabla6[[#This Row],[ID CLIENTE]],'RESUMEN CLIENTES'!D:D,'RESUMEN CLIENTES'!C:C)</f>
        <v>Ecuador</v>
      </c>
      <c r="D1609" s="44" t="str">
        <f>+_xlfn.XLOOKUP(Tabla6[[#This Row],[ID CLIENTE]],'RESUMEN CLIENTES'!D:D,'RESUMEN CLIENTES'!M:M)</f>
        <v>OK</v>
      </c>
      <c r="E1609" s="72">
        <f>+_xlfn.XLOOKUP(Tabla6[[#This Row],[NOMBRE]],'RESUMEN CLIENTES'!A:A,'RESUMEN CLIENTES'!X:X)</f>
        <v>-3.2</v>
      </c>
      <c r="F1609" s="72">
        <f>+_xlfn.XLOOKUP(Tabla6[[#This Row],[ID CLIENTE]],'RESUMEN CLIENTES'!D:D,'RESUMEN CLIENTES'!W:W)</f>
        <v>1</v>
      </c>
      <c r="G1609" s="17">
        <v>46240</v>
      </c>
      <c r="H1609" s="44" t="s">
        <v>81</v>
      </c>
      <c r="I1609" s="2">
        <v>700</v>
      </c>
      <c r="J1609"/>
      <c r="K1609"/>
      <c r="L1609" s="44" t="str" cm="1">
        <f t="array" ref="L1609">+_xlfn.IFS(COUNTIF(INGRESOS!E:E,Tabla6[[#This Row],[ID FACTURA]])=1,"PAGADA",Tabla6[[#This Row],[ID FACTURA]]&lt;&gt;0,"EMITIDA",Tabla6[[#This Row],[ID FACTURA]]=0,"POR EMITIR")</f>
        <v>POR EMITIR</v>
      </c>
      <c r="M1609" s="55" t="str">
        <f>+IF(Tabla6[[#This Row],[ESTADO FACTURA]]="PAGADA",Tabla6[[#This Row],[FECHA]]-_xlfn.XLOOKUP(Tabla6[[#This Row],[N° FACTURA]],INGRESOS!F:F,INGRESOS!A:A),"-")</f>
        <v>-</v>
      </c>
      <c r="N1609" s="2"/>
      <c r="O1609"/>
    </row>
    <row r="1610" spans="1:15" ht="14.75" customHeight="1">
      <c r="A1610" s="320" t="s">
        <v>1645</v>
      </c>
      <c r="B1610" t="str">
        <f>+_xlfn.XLOOKUP(Tabla6[[#This Row],[ID CLIENTE]],'RESUMEN CLIENTES'!D:D,'RESUMEN CLIENTES'!A:A)</f>
        <v>Gerardo Abel Palacios Preciado</v>
      </c>
      <c r="C1610" t="str">
        <f>+_xlfn.XLOOKUP(Tabla6[[#This Row],[ID CLIENTE]],'RESUMEN CLIENTES'!D:D,'RESUMEN CLIENTES'!C:C)</f>
        <v>México</v>
      </c>
      <c r="D1610" s="169" t="str">
        <f>+_xlfn.XLOOKUP(Tabla6[[#This Row],[ID CLIENTE]],'RESUMEN CLIENTES'!D:D,'RESUMEN CLIENTES'!M:M)</f>
        <v>OK</v>
      </c>
      <c r="E1610" s="71">
        <f>+_xlfn.XLOOKUP(Tabla6[[#This Row],[NOMBRE]],'RESUMEN CLIENTES'!A:A,'RESUMEN CLIENTES'!X:X)</f>
        <v>-1.3333333333333333</v>
      </c>
      <c r="F1610" s="71">
        <f>+_xlfn.XLOOKUP(Tabla6[[#This Row],[ID CLIENTE]],'RESUMEN CLIENTES'!D:D,'RESUMEN CLIENTES'!W:W)</f>
        <v>1</v>
      </c>
      <c r="G1610" s="17">
        <v>46243</v>
      </c>
      <c r="H1610" s="169" t="s">
        <v>81</v>
      </c>
      <c r="I1610" s="2">
        <v>650</v>
      </c>
      <c r="J1610"/>
      <c r="K1610"/>
      <c r="L1610" s="44" t="str" cm="1">
        <f t="array" ref="L1610">+_xlfn.IFS(COUNTIF(INGRESOS!E:E,Tabla6[[#This Row],[ID FACTURA]])=1,"PAGADA",Tabla6[[#This Row],[ID FACTURA]]&lt;&gt;0,"EMITIDA",Tabla6[[#This Row],[ID FACTURA]]=0,"POR EMITIR")</f>
        <v>POR EMITIR</v>
      </c>
      <c r="M1610" s="55" t="str">
        <f>+IF(Tabla6[[#This Row],[ESTADO FACTURA]]="PAGADA",Tabla6[[#This Row],[FECHA]]-_xlfn.XLOOKUP(Tabla6[[#This Row],[N° FACTURA]],INGRESOS!F:F,INGRESOS!A:A),"-")</f>
        <v>-</v>
      </c>
      <c r="N1610" s="2"/>
      <c r="O1610"/>
    </row>
    <row r="1611" spans="1:15" ht="14.75" customHeight="1">
      <c r="A1611" s="320" t="s">
        <v>455</v>
      </c>
      <c r="B1611" t="str">
        <f>+_xlfn.XLOOKUP(Tabla6[[#This Row],[ID CLIENTE]],'RESUMEN CLIENTES'!D:D,'RESUMEN CLIENTES'!A:A)</f>
        <v>Paola Hitos</v>
      </c>
      <c r="C1611" t="str">
        <f>+_xlfn.XLOOKUP(Tabla6[[#This Row],[ID CLIENTE]],'RESUMEN CLIENTES'!D:D,'RESUMEN CLIENTES'!C:C)</f>
        <v>México</v>
      </c>
      <c r="D1611" s="44" t="str">
        <f>+_xlfn.XLOOKUP(Tabla6[[#This Row],[ID CLIENTE]],'RESUMEN CLIENTES'!D:D,'RESUMEN CLIENTES'!M:M)</f>
        <v>OK</v>
      </c>
      <c r="E1611" s="72">
        <f>+_xlfn.XLOOKUP(Tabla6[[#This Row],[NOMBRE]],'RESUMEN CLIENTES'!A:A,'RESUMEN CLIENTES'!X:X)</f>
        <v>-0.55555555555555558</v>
      </c>
      <c r="F1611" s="72">
        <f>+_xlfn.XLOOKUP(Tabla6[[#This Row],[ID CLIENTE]],'RESUMEN CLIENTES'!D:D,'RESUMEN CLIENTES'!W:W)</f>
        <v>1</v>
      </c>
      <c r="G1611" s="17">
        <v>46244</v>
      </c>
      <c r="H1611" s="44" t="s">
        <v>81</v>
      </c>
      <c r="I1611" s="2">
        <v>1000</v>
      </c>
      <c r="J1611"/>
      <c r="K1611"/>
      <c r="L1611" s="44" t="str" cm="1">
        <f t="array" ref="L1611">+_xlfn.IFS(COUNTIF(INGRESOS!E:E,Tabla6[[#This Row],[ID FACTURA]])=1,"PAGADA",Tabla6[[#This Row],[ID FACTURA]]&lt;&gt;0,"EMITIDA",Tabla6[[#This Row],[ID FACTURA]]=0,"POR EMITIR")</f>
        <v>POR EMITIR</v>
      </c>
      <c r="M1611" s="55" t="str">
        <f>+IF(Tabla6[[#This Row],[ESTADO FACTURA]]="PAGADA",Tabla6[[#This Row],[FECHA]]-_xlfn.XLOOKUP(Tabla6[[#This Row],[N° FACTURA]],INGRESOS!F:F,INGRESOS!A:A),"-")</f>
        <v>-</v>
      </c>
      <c r="N1611" s="2"/>
      <c r="O1611"/>
    </row>
    <row r="1612" spans="1:15" ht="14.75" customHeight="1">
      <c r="A1612" s="320" t="s">
        <v>501</v>
      </c>
      <c r="B1612" t="str">
        <f>+_xlfn.XLOOKUP(Tabla6[[#This Row],[ID CLIENTE]],'RESUMEN CLIENTES'!D:D,'RESUMEN CLIENTES'!A:A)</f>
        <v>Kimberly Chantelle Frey Arteaga</v>
      </c>
      <c r="C1612" t="str">
        <f>+_xlfn.XLOOKUP(Tabla6[[#This Row],[ID CLIENTE]],'RESUMEN CLIENTES'!D:D,'RESUMEN CLIENTES'!C:C)</f>
        <v>México</v>
      </c>
      <c r="D1612" s="44" t="str">
        <f>+_xlfn.XLOOKUP(Tabla6[[#This Row],[ID CLIENTE]],'RESUMEN CLIENTES'!D:D,'RESUMEN CLIENTES'!M:M)</f>
        <v>OK</v>
      </c>
      <c r="E1612" s="72">
        <f>+_xlfn.XLOOKUP(Tabla6[[#This Row],[NOMBRE]],'RESUMEN CLIENTES'!A:A,'RESUMEN CLIENTES'!X:X)</f>
        <v>0</v>
      </c>
      <c r="F1612" s="72">
        <f>+_xlfn.XLOOKUP(Tabla6[[#This Row],[ID CLIENTE]],'RESUMEN CLIENTES'!D:D,'RESUMEN CLIENTES'!W:W)</f>
        <v>1</v>
      </c>
      <c r="G1612" s="17">
        <v>46246</v>
      </c>
      <c r="H1612" s="44" t="s">
        <v>81</v>
      </c>
      <c r="I1612" s="2">
        <v>1000</v>
      </c>
      <c r="J1612"/>
      <c r="K1612"/>
      <c r="L1612" s="44" t="str" cm="1">
        <f t="array" ref="L1612">+_xlfn.IFS(COUNTIF(INGRESOS!E:E,Tabla6[[#This Row],[ID FACTURA]])=1,"PAGADA",Tabla6[[#This Row],[ID FACTURA]]&lt;&gt;0,"EMITIDA",Tabla6[[#This Row],[ID FACTURA]]=0,"POR EMITIR")</f>
        <v>POR EMITIR</v>
      </c>
      <c r="M1612" s="55" t="str">
        <f>+IF(Tabla6[[#This Row],[ESTADO FACTURA]]="PAGADA",Tabla6[[#This Row],[FECHA]]-_xlfn.XLOOKUP(Tabla6[[#This Row],[N° FACTURA]],INGRESOS!F:F,INGRESOS!A:A),"-")</f>
        <v>-</v>
      </c>
      <c r="N1612" s="2"/>
      <c r="O1612"/>
    </row>
    <row r="1613" spans="1:15" ht="14.75" customHeight="1">
      <c r="A1613" s="320" t="s">
        <v>187</v>
      </c>
      <c r="B1613" t="str">
        <f>+_xlfn.XLOOKUP(Tabla6[[#This Row],[ID CLIENTE]],'RESUMEN CLIENTES'!D:D,'RESUMEN CLIENTES'!A:A)</f>
        <v>Alina Maria Cervantes Real</v>
      </c>
      <c r="C1613" t="str">
        <f>+_xlfn.XLOOKUP(Tabla6[[#This Row],[ID CLIENTE]],'RESUMEN CLIENTES'!D:D,'RESUMEN CLIENTES'!C:C)</f>
        <v>México</v>
      </c>
      <c r="D1613" s="44" t="str">
        <f>+_xlfn.XLOOKUP(Tabla6[[#This Row],[ID CLIENTE]],'RESUMEN CLIENTES'!D:D,'RESUMEN CLIENTES'!M:M)</f>
        <v>OK</v>
      </c>
      <c r="E1613" s="72">
        <f>+_xlfn.XLOOKUP(Tabla6[[#This Row],[NOMBRE]],'RESUMEN CLIENTES'!A:A,'RESUMEN CLIENTES'!X:X)</f>
        <v>21.583333333333332</v>
      </c>
      <c r="F1613" s="72">
        <f>+_xlfn.XLOOKUP(Tabla6[[#This Row],[ID CLIENTE]],'RESUMEN CLIENTES'!D:D,'RESUMEN CLIENTES'!W:W)</f>
        <v>1</v>
      </c>
      <c r="G1613" s="17">
        <v>46249</v>
      </c>
      <c r="H1613" s="44" t="s">
        <v>81</v>
      </c>
      <c r="I1613" s="2">
        <v>800</v>
      </c>
      <c r="J1613"/>
      <c r="K1613"/>
      <c r="L1613" s="44" t="str" cm="1">
        <f t="array" ref="L1613">+_xlfn.IFS(COUNTIF(INGRESOS!E:E,Tabla6[[#This Row],[ID FACTURA]])=1,"PAGADA",Tabla6[[#This Row],[ID FACTURA]]&lt;&gt;0,"EMITIDA",Tabla6[[#This Row],[ID FACTURA]]=0,"POR EMITIR")</f>
        <v>POR EMITIR</v>
      </c>
      <c r="M1613" s="55" t="str">
        <f>+IF(Tabla6[[#This Row],[ESTADO FACTURA]]="PAGADA",Tabla6[[#This Row],[FECHA]]-_xlfn.XLOOKUP(Tabla6[[#This Row],[N° FACTURA]],INGRESOS!F:F,INGRESOS!A:A),"-")</f>
        <v>-</v>
      </c>
      <c r="N1613" s="2"/>
      <c r="O1613"/>
    </row>
    <row r="1614" spans="1:15" ht="14.75" customHeight="1">
      <c r="A1614" s="320" t="s">
        <v>4768</v>
      </c>
      <c r="B1614" t="str">
        <f>+_xlfn.XLOOKUP(Tabla6[[#This Row],[ID CLIENTE]],'RESUMEN CLIENTES'!D:D,'RESUMEN CLIENTES'!A:A)</f>
        <v>Carla Elena Patínez Rondón</v>
      </c>
      <c r="C1614" s="15" t="str">
        <f>+_xlfn.XLOOKUP(Tabla6[[#This Row],[ID CLIENTE]],'RESUMEN CLIENTES'!D:D,'RESUMEN CLIENTES'!C:C)</f>
        <v>Venezuela</v>
      </c>
      <c r="D1614" s="169" t="str">
        <f>+_xlfn.XLOOKUP(Tabla6[[#This Row],[ID CLIENTE]],'RESUMEN CLIENTES'!D:D,'RESUMEN CLIENTES'!M:M)</f>
        <v>OK</v>
      </c>
      <c r="E1614" s="71">
        <f>+_xlfn.XLOOKUP(Tabla6[[#This Row],[NOMBRE]],'RESUMEN CLIENTES'!A:A,'RESUMEN CLIENTES'!X:X)</f>
        <v>-9</v>
      </c>
      <c r="F1614" s="71">
        <f>+_xlfn.XLOOKUP(Tabla6[[#This Row],[ID CLIENTE]],'RESUMEN CLIENTES'!D:D,'RESUMEN CLIENTES'!W:W)</f>
        <v>0</v>
      </c>
      <c r="G1614" s="17">
        <v>46249</v>
      </c>
      <c r="H1614" s="169" t="s">
        <v>81</v>
      </c>
      <c r="I1614" s="2">
        <v>1000</v>
      </c>
      <c r="J1614"/>
      <c r="K1614"/>
      <c r="L1614" s="44" t="str" cm="1">
        <f t="array" ref="L1614">+_xlfn.IFS(COUNTIF(INGRESOS!E:E,Tabla6[[#This Row],[ID FACTURA]])=1,"PAGADA",Tabla6[[#This Row],[ID FACTURA]]&lt;&gt;0,"EMITIDA",Tabla6[[#This Row],[ID FACTURA]]=0,"POR EMITIR")</f>
        <v>POR EMITIR</v>
      </c>
      <c r="M1614" s="54" t="str">
        <f>+IF(Tabla6[[#This Row],[ESTADO FACTURA]]="PAGADA",Tabla6[[#This Row],[FECHA]]-_xlfn.XLOOKUP(Tabla6[[#This Row],[N° FACTURA]],INGRESOS!F:F,INGRESOS!A:A),"-")</f>
        <v>-</v>
      </c>
      <c r="O1614"/>
    </row>
    <row r="1615" spans="1:15" ht="14.75" customHeight="1">
      <c r="A1615" s="320" t="s">
        <v>751</v>
      </c>
      <c r="B1615" t="str">
        <f>+_xlfn.XLOOKUP(Tabla6[[#This Row],[ID CLIENTE]],'RESUMEN CLIENTES'!D:D,'RESUMEN CLIENTES'!A:A)</f>
        <v>Carlos Alberto Suarez Hernandez</v>
      </c>
      <c r="C1615" t="str">
        <f>+_xlfn.XLOOKUP(Tabla6[[#This Row],[ID CLIENTE]],'RESUMEN CLIENTES'!D:D,'RESUMEN CLIENTES'!C:C)</f>
        <v>Colombia</v>
      </c>
      <c r="D1615" s="44" t="str">
        <f>+_xlfn.XLOOKUP(Tabla6[[#This Row],[ID CLIENTE]],'RESUMEN CLIENTES'!D:D,'RESUMEN CLIENTES'!M:M)</f>
        <v>OK</v>
      </c>
      <c r="E1615" s="72">
        <f>+_xlfn.XLOOKUP(Tabla6[[#This Row],[NOMBRE]],'RESUMEN CLIENTES'!A:A,'RESUMEN CLIENTES'!X:X)</f>
        <v>0</v>
      </c>
      <c r="F1615" s="72">
        <f>+_xlfn.XLOOKUP(Tabla6[[#This Row],[ID CLIENTE]],'RESUMEN CLIENTES'!D:D,'RESUMEN CLIENTES'!W:W)</f>
        <v>1</v>
      </c>
      <c r="G1615" s="17">
        <v>46249</v>
      </c>
      <c r="H1615" s="44" t="s">
        <v>81</v>
      </c>
      <c r="I1615" s="2">
        <v>1000</v>
      </c>
      <c r="J1615"/>
      <c r="K1615"/>
      <c r="L1615" s="44" t="str" cm="1">
        <f t="array" ref="L1615">+_xlfn.IFS(COUNTIF(INGRESOS!E:E,Tabla6[[#This Row],[ID FACTURA]])=1,"PAGADA",Tabla6[[#This Row],[ID FACTURA]]&lt;&gt;0,"EMITIDA",Tabla6[[#This Row],[ID FACTURA]]=0,"POR EMITIR")</f>
        <v>POR EMITIR</v>
      </c>
      <c r="M1615" s="55" t="str">
        <f>+IF(Tabla6[[#This Row],[ESTADO FACTURA]]="PAGADA",Tabla6[[#This Row],[FECHA]]-_xlfn.XLOOKUP(Tabla6[[#This Row],[N° FACTURA]],INGRESOS!F:F,INGRESOS!A:A),"-")</f>
        <v>-</v>
      </c>
      <c r="N1615" s="2"/>
      <c r="O1615"/>
    </row>
    <row r="1616" spans="1:15" ht="14.75" customHeight="1">
      <c r="A1616" s="320" t="s">
        <v>1945</v>
      </c>
      <c r="B1616" t="str">
        <f>+_xlfn.XLOOKUP(Tabla6[[#This Row],[ID CLIENTE]],'RESUMEN CLIENTES'!D:D,'RESUMEN CLIENTES'!A:A)</f>
        <v>Fernanda Constanza Kompai Antu Arellano Guzmán</v>
      </c>
      <c r="C1616" t="str">
        <f>+_xlfn.XLOOKUP(Tabla6[[#This Row],[ID CLIENTE]],'RESUMEN CLIENTES'!D:D,'RESUMEN CLIENTES'!C:C)</f>
        <v>Chile</v>
      </c>
      <c r="D1616" s="169" t="str">
        <f>+_xlfn.XLOOKUP(Tabla6[[#This Row],[ID CLIENTE]],'RESUMEN CLIENTES'!D:D,'RESUMEN CLIENTES'!M:M)</f>
        <v>OK</v>
      </c>
      <c r="E1616" s="71">
        <f>+_xlfn.XLOOKUP(Tabla6[[#This Row],[NOMBRE]],'RESUMEN CLIENTES'!A:A,'RESUMEN CLIENTES'!X:X)</f>
        <v>0</v>
      </c>
      <c r="F1616" s="71">
        <f>+_xlfn.XLOOKUP(Tabla6[[#This Row],[ID CLIENTE]],'RESUMEN CLIENTES'!D:D,'RESUMEN CLIENTES'!W:W)</f>
        <v>0</v>
      </c>
      <c r="G1616" s="170">
        <v>46249</v>
      </c>
      <c r="H1616" s="170" t="s">
        <v>81</v>
      </c>
      <c r="I1616" s="2">
        <v>650</v>
      </c>
      <c r="J1616"/>
      <c r="K1616"/>
      <c r="L1616" s="44" t="str" cm="1">
        <f t="array" ref="L1616">+_xlfn.IFS(COUNTIF(INGRESOS!E:E,Tabla6[[#This Row],[ID FACTURA]])=1,"PAGADA",Tabla6[[#This Row],[ID FACTURA]]&lt;&gt;0,"EMITIDA",Tabla6[[#This Row],[ID FACTURA]]=0,"POR EMITIR")</f>
        <v>POR EMITIR</v>
      </c>
      <c r="M1616" s="54" t="str">
        <f>+IF(Tabla6[[#This Row],[ESTADO FACTURA]]="PAGADA",Tabla6[[#This Row],[FECHA]]-_xlfn.XLOOKUP(Tabla6[[#This Row],[N° FACTURA]],INGRESOS!F:F,INGRESOS!A:A),"-")</f>
        <v>-</v>
      </c>
      <c r="O1616"/>
    </row>
    <row r="1617" spans="1:15" ht="14.75" customHeight="1">
      <c r="A1617" s="320" t="s">
        <v>95</v>
      </c>
      <c r="B1617" t="str">
        <f>+_xlfn.XLOOKUP(Tabla6[[#This Row],[ID CLIENTE]],'RESUMEN CLIENTES'!D:D,'RESUMEN CLIENTES'!A:A)</f>
        <v>Gabriel Alejandro Ortega Moreno</v>
      </c>
      <c r="C1617" t="str">
        <f>+_xlfn.XLOOKUP(Tabla6[[#This Row],[ID CLIENTE]],'RESUMEN CLIENTES'!D:D,'RESUMEN CLIENTES'!C:C)</f>
        <v>Ecuador</v>
      </c>
      <c r="D1617" s="44" t="str">
        <f>+_xlfn.XLOOKUP(Tabla6[[#This Row],[ID CLIENTE]],'RESUMEN CLIENTES'!D:D,'RESUMEN CLIENTES'!M:M)</f>
        <v>OK</v>
      </c>
      <c r="E1617" s="72">
        <f>+_xlfn.XLOOKUP(Tabla6[[#This Row],[NOMBRE]],'RESUMEN CLIENTES'!A:A,'RESUMEN CLIENTES'!X:X)</f>
        <v>-0.1111111111111111</v>
      </c>
      <c r="F1617" s="72">
        <f>+_xlfn.XLOOKUP(Tabla6[[#This Row],[ID CLIENTE]],'RESUMEN CLIENTES'!D:D,'RESUMEN CLIENTES'!W:W)</f>
        <v>0</v>
      </c>
      <c r="G1617" s="17">
        <v>46249</v>
      </c>
      <c r="H1617" s="44" t="s">
        <v>81</v>
      </c>
      <c r="I1617" s="2">
        <v>600</v>
      </c>
      <c r="J1617"/>
      <c r="K1617"/>
      <c r="L1617" s="44" t="str" cm="1">
        <f t="array" ref="L1617">+_xlfn.IFS(COUNTIF(INGRESOS!E:E,Tabla6[[#This Row],[ID FACTURA]])=1,"PAGADA",Tabla6[[#This Row],[ID FACTURA]]&lt;&gt;0,"EMITIDA",Tabla6[[#This Row],[ID FACTURA]]=0,"POR EMITIR")</f>
        <v>POR EMITIR</v>
      </c>
      <c r="M1617" s="55" t="str">
        <f>+IF(Tabla6[[#This Row],[ESTADO FACTURA]]="PAGADA",Tabla6[[#This Row],[FECHA]]-_xlfn.XLOOKUP(Tabla6[[#This Row],[N° FACTURA]],INGRESOS!F:F,INGRESOS!A:A),"-")</f>
        <v>-</v>
      </c>
      <c r="N1617" s="2"/>
      <c r="O1617"/>
    </row>
    <row r="1618" spans="1:15" ht="14.75" customHeight="1">
      <c r="A1618" s="320" t="s">
        <v>98</v>
      </c>
      <c r="B1618" t="str">
        <f>+_xlfn.XLOOKUP(Tabla6[[#This Row],[ID CLIENTE]],'RESUMEN CLIENTES'!D:D,'RESUMEN CLIENTES'!A:A)</f>
        <v>Gabriela Kimberlyn Moran Caiza</v>
      </c>
      <c r="C1618" t="str">
        <f>+_xlfn.XLOOKUP(Tabla6[[#This Row],[ID CLIENTE]],'RESUMEN CLIENTES'!D:D,'RESUMEN CLIENTES'!C:C)</f>
        <v>Ecuador</v>
      </c>
      <c r="D1618" s="44" t="str">
        <f>+_xlfn.XLOOKUP(Tabla6[[#This Row],[ID CLIENTE]],'RESUMEN CLIENTES'!D:D,'RESUMEN CLIENTES'!M:M)</f>
        <v>OK</v>
      </c>
      <c r="E1618" s="72">
        <f>+_xlfn.XLOOKUP(Tabla6[[#This Row],[NOMBRE]],'RESUMEN CLIENTES'!A:A,'RESUMEN CLIENTES'!X:X)</f>
        <v>-1.25</v>
      </c>
      <c r="F1618" s="72">
        <f>+_xlfn.XLOOKUP(Tabla6[[#This Row],[ID CLIENTE]],'RESUMEN CLIENTES'!D:D,'RESUMEN CLIENTES'!W:W)</f>
        <v>0</v>
      </c>
      <c r="G1618" s="17">
        <v>46249</v>
      </c>
      <c r="H1618" s="44" t="s">
        <v>81</v>
      </c>
      <c r="I1618" s="2">
        <v>300</v>
      </c>
      <c r="J1618"/>
      <c r="K1618"/>
      <c r="L1618" s="44" t="str" cm="1">
        <f t="array" ref="L1618">+_xlfn.IFS(COUNTIF(INGRESOS!E:E,Tabla6[[#This Row],[ID FACTURA]])=1,"PAGADA",Tabla6[[#This Row],[ID FACTURA]]&lt;&gt;0,"EMITIDA",Tabla6[[#This Row],[ID FACTURA]]=0,"POR EMITIR")</f>
        <v>POR EMITIR</v>
      </c>
      <c r="M1618" s="55" t="str">
        <f>+IF(Tabla6[[#This Row],[ESTADO FACTURA]]="PAGADA",Tabla6[[#This Row],[FECHA]]-_xlfn.XLOOKUP(Tabla6[[#This Row],[N° FACTURA]],INGRESOS!F:F,INGRESOS!A:A),"-")</f>
        <v>-</v>
      </c>
      <c r="N1618" s="2"/>
      <c r="O1618"/>
    </row>
    <row r="1619" spans="1:15" ht="14.75" customHeight="1">
      <c r="A1619" s="320" t="s">
        <v>103</v>
      </c>
      <c r="B1619" t="str">
        <f>+_xlfn.XLOOKUP(Tabla6[[#This Row],[ID CLIENTE]],'RESUMEN CLIENTES'!D:D,'RESUMEN CLIENTES'!A:A)</f>
        <v>Isaac Ricardo Jimenez Campos</v>
      </c>
      <c r="C1619" t="str">
        <f>+_xlfn.XLOOKUP(Tabla6[[#This Row],[ID CLIENTE]],'RESUMEN CLIENTES'!D:D,'RESUMEN CLIENTES'!C:C)</f>
        <v>México</v>
      </c>
      <c r="D1619" s="44" t="str">
        <f>+_xlfn.XLOOKUP(Tabla6[[#This Row],[ID CLIENTE]],'RESUMEN CLIENTES'!D:D,'RESUMEN CLIENTES'!M:M)</f>
        <v>OK</v>
      </c>
      <c r="E1619" s="72">
        <f>+_xlfn.XLOOKUP(Tabla6[[#This Row],[NOMBRE]],'RESUMEN CLIENTES'!A:A,'RESUMEN CLIENTES'!X:X)</f>
        <v>0.5</v>
      </c>
      <c r="F1619" s="72">
        <f>+_xlfn.XLOOKUP(Tabla6[[#This Row],[ID CLIENTE]],'RESUMEN CLIENTES'!D:D,'RESUMEN CLIENTES'!W:W)</f>
        <v>1</v>
      </c>
      <c r="G1619" s="17">
        <v>46249</v>
      </c>
      <c r="H1619" s="44" t="s">
        <v>81</v>
      </c>
      <c r="I1619" s="2">
        <v>654</v>
      </c>
      <c r="J1619"/>
      <c r="K1619"/>
      <c r="L1619" s="44" t="str" cm="1">
        <f t="array" ref="L1619">+_xlfn.IFS(COUNTIF(INGRESOS!E:E,Tabla6[[#This Row],[ID FACTURA]])=1,"PAGADA",Tabla6[[#This Row],[ID FACTURA]]&lt;&gt;0,"EMITIDA",Tabla6[[#This Row],[ID FACTURA]]=0,"POR EMITIR")</f>
        <v>POR EMITIR</v>
      </c>
      <c r="M1619" s="55" t="str">
        <f>+IF(Tabla6[[#This Row],[ESTADO FACTURA]]="PAGADA",Tabla6[[#This Row],[FECHA]]-_xlfn.XLOOKUP(Tabla6[[#This Row],[N° FACTURA]],INGRESOS!F:F,INGRESOS!A:A),"-")</f>
        <v>-</v>
      </c>
      <c r="N1619" s="2"/>
      <c r="O1619"/>
    </row>
    <row r="1620" spans="1:15" ht="14.75" customHeight="1">
      <c r="A1620" s="320" t="s">
        <v>362</v>
      </c>
      <c r="B1620" t="str">
        <f>+_xlfn.XLOOKUP(Tabla6[[#This Row],[ID CLIENTE]],'RESUMEN CLIENTES'!D:D,'RESUMEN CLIENTES'!A:A)</f>
        <v>Jessica Ayelén Culla Alvarez</v>
      </c>
      <c r="C1620" t="str">
        <f>+_xlfn.XLOOKUP(Tabla6[[#This Row],[ID CLIENTE]],'RESUMEN CLIENTES'!D:D,'RESUMEN CLIENTES'!C:C)</f>
        <v>Argentina</v>
      </c>
      <c r="D1620" s="44" t="str">
        <f>+_xlfn.XLOOKUP(Tabla6[[#This Row],[ID CLIENTE]],'RESUMEN CLIENTES'!D:D,'RESUMEN CLIENTES'!M:M)</f>
        <v>OK</v>
      </c>
      <c r="E1620" s="72">
        <f>+_xlfn.XLOOKUP(Tabla6[[#This Row],[NOMBRE]],'RESUMEN CLIENTES'!A:A,'RESUMEN CLIENTES'!X:X)</f>
        <v>-2.1538461538461537</v>
      </c>
      <c r="F1620" s="72">
        <f>+_xlfn.XLOOKUP(Tabla6[[#This Row],[ID CLIENTE]],'RESUMEN CLIENTES'!D:D,'RESUMEN CLIENTES'!W:W)</f>
        <v>1</v>
      </c>
      <c r="G1620" s="17">
        <v>46249</v>
      </c>
      <c r="H1620" s="44" t="s">
        <v>81</v>
      </c>
      <c r="I1620" s="2">
        <v>1000</v>
      </c>
      <c r="J1620"/>
      <c r="K1620"/>
      <c r="L1620" s="44" t="str" cm="1">
        <f t="array" ref="L1620">+_xlfn.IFS(COUNTIF(INGRESOS!E:E,Tabla6[[#This Row],[ID FACTURA]])=1,"PAGADA",Tabla6[[#This Row],[ID FACTURA]]&lt;&gt;0,"EMITIDA",Tabla6[[#This Row],[ID FACTURA]]=0,"POR EMITIR")</f>
        <v>POR EMITIR</v>
      </c>
      <c r="M1620" s="55" t="str">
        <f>+IF(Tabla6[[#This Row],[ESTADO FACTURA]]="PAGADA",Tabla6[[#This Row],[FECHA]]-_xlfn.XLOOKUP(Tabla6[[#This Row],[N° FACTURA]],INGRESOS!F:F,INGRESOS!A:A),"-")</f>
        <v>-</v>
      </c>
      <c r="N1620" s="2"/>
      <c r="O1620"/>
    </row>
    <row r="1621" spans="1:15" ht="14.75" customHeight="1">
      <c r="A1621" s="321" t="s">
        <v>1875</v>
      </c>
      <c r="B1621" t="str">
        <f>+_xlfn.XLOOKUP(Tabla6[[#This Row],[ID CLIENTE]],'RESUMEN CLIENTES'!D:D,'RESUMEN CLIENTES'!A:A)</f>
        <v>Laura Giraldo</v>
      </c>
      <c r="C1621" t="str">
        <f>+_xlfn.XLOOKUP(Tabla6[[#This Row],[ID CLIENTE]],'RESUMEN CLIENTES'!D:D,'RESUMEN CLIENTES'!C:C)</f>
        <v>Colombia</v>
      </c>
      <c r="D1621" s="169" t="str">
        <f>+_xlfn.XLOOKUP(Tabla6[[#This Row],[ID CLIENTE]],'RESUMEN CLIENTES'!D:D,'RESUMEN CLIENTES'!M:M)</f>
        <v>OK</v>
      </c>
      <c r="E1621" s="71">
        <f>+_xlfn.XLOOKUP(Tabla6[[#This Row],[NOMBRE]],'RESUMEN CLIENTES'!A:A,'RESUMEN CLIENTES'!X:X)</f>
        <v>-3.25</v>
      </c>
      <c r="F1621" s="71">
        <f>+_xlfn.XLOOKUP(Tabla6[[#This Row],[ID CLIENTE]],'RESUMEN CLIENTES'!D:D,'RESUMEN CLIENTES'!W:W)</f>
        <v>1</v>
      </c>
      <c r="G1621" s="17">
        <v>46249</v>
      </c>
      <c r="H1621" s="169" t="s">
        <v>1876</v>
      </c>
      <c r="I1621" s="2">
        <v>500</v>
      </c>
      <c r="J1621"/>
      <c r="K1621"/>
      <c r="L1621" s="44" t="str" cm="1">
        <f t="array" ref="L1621">+_xlfn.IFS(COUNTIF(INGRESOS!E:E,Tabla6[[#This Row],[ID FACTURA]])=1,"PAGADA",Tabla6[[#This Row],[ID FACTURA]]&lt;&gt;0,"EMITIDA",Tabla6[[#This Row],[ID FACTURA]]=0,"POR EMITIR")</f>
        <v>POR EMITIR</v>
      </c>
      <c r="M1621" s="54" t="str">
        <f>+IF(Tabla6[[#This Row],[ESTADO FACTURA]]="PAGADA",Tabla6[[#This Row],[FECHA]]-_xlfn.XLOOKUP(Tabla6[[#This Row],[N° FACTURA]],INGRESOS!F:F,INGRESOS!A:A),"-")</f>
        <v>-</v>
      </c>
      <c r="O1621"/>
    </row>
    <row r="1622" spans="1:15" ht="14.75" customHeight="1">
      <c r="A1622" s="320" t="s">
        <v>762</v>
      </c>
      <c r="B1622" t="str">
        <f>+_xlfn.XLOOKUP(Tabla6[[#This Row],[ID CLIENTE]],'RESUMEN CLIENTES'!D:D,'RESUMEN CLIENTES'!A:A)</f>
        <v>María Stefania Gelvez Olaya</v>
      </c>
      <c r="C1622" t="str">
        <f>+_xlfn.XLOOKUP(Tabla6[[#This Row],[ID CLIENTE]],'RESUMEN CLIENTES'!D:D,'RESUMEN CLIENTES'!C:C)</f>
        <v>Colombia</v>
      </c>
      <c r="D1622" s="44" t="str">
        <f>+_xlfn.XLOOKUP(Tabla6[[#This Row],[ID CLIENTE]],'RESUMEN CLIENTES'!D:D,'RESUMEN CLIENTES'!M:M)</f>
        <v>OK</v>
      </c>
      <c r="E1622" s="72">
        <f>+_xlfn.XLOOKUP(Tabla6[[#This Row],[NOMBRE]],'RESUMEN CLIENTES'!A:A,'RESUMEN CLIENTES'!X:X)</f>
        <v>-0.14285714285714285</v>
      </c>
      <c r="F1622" s="72">
        <f>+_xlfn.XLOOKUP(Tabla6[[#This Row],[ID CLIENTE]],'RESUMEN CLIENTES'!D:D,'RESUMEN CLIENTES'!W:W)</f>
        <v>1</v>
      </c>
      <c r="G1622" s="17">
        <v>46249</v>
      </c>
      <c r="H1622" s="44" t="s">
        <v>81</v>
      </c>
      <c r="I1622" s="2">
        <v>1000</v>
      </c>
      <c r="J1622"/>
      <c r="K1622"/>
      <c r="L1622" s="44" t="str" cm="1">
        <f t="array" ref="L1622">+_xlfn.IFS(COUNTIF(INGRESOS!E:E,Tabla6[[#This Row],[ID FACTURA]])=1,"PAGADA",Tabla6[[#This Row],[ID FACTURA]]&lt;&gt;0,"EMITIDA",Tabla6[[#This Row],[ID FACTURA]]=0,"POR EMITIR")</f>
        <v>POR EMITIR</v>
      </c>
      <c r="M1622" s="55" t="str">
        <f>+IF(Tabla6[[#This Row],[ESTADO FACTURA]]="PAGADA",Tabla6[[#This Row],[FECHA]]-_xlfn.XLOOKUP(Tabla6[[#This Row],[N° FACTURA]],INGRESOS!F:F,INGRESOS!A:A),"-")</f>
        <v>-</v>
      </c>
      <c r="N1622" s="2"/>
      <c r="O1622"/>
    </row>
    <row r="1623" spans="1:15" ht="14.75" customHeight="1">
      <c r="A1623" s="320" t="s">
        <v>242</v>
      </c>
      <c r="B1623" t="str">
        <f>+_xlfn.XLOOKUP(Tabla6[[#This Row],[ID CLIENTE]],'RESUMEN CLIENTES'!D:D,'RESUMEN CLIENTES'!A:A)</f>
        <v>Rodrigo Ignacio Rodriguez Frutos</v>
      </c>
      <c r="C1623" t="str">
        <f>+_xlfn.XLOOKUP(Tabla6[[#This Row],[ID CLIENTE]],'RESUMEN CLIENTES'!D:D,'RESUMEN CLIENTES'!C:C)</f>
        <v>México</v>
      </c>
      <c r="D1623" s="44" t="str">
        <f>+_xlfn.XLOOKUP(Tabla6[[#This Row],[ID CLIENTE]],'RESUMEN CLIENTES'!D:D,'RESUMEN CLIENTES'!M:M)</f>
        <v>OK</v>
      </c>
      <c r="E1623" s="72">
        <f>+_xlfn.XLOOKUP(Tabla6[[#This Row],[NOMBRE]],'RESUMEN CLIENTES'!A:A,'RESUMEN CLIENTES'!X:X)</f>
        <v>-1.4285714285714286</v>
      </c>
      <c r="F1623" s="72">
        <f>+_xlfn.XLOOKUP(Tabla6[[#This Row],[ID CLIENTE]],'RESUMEN CLIENTES'!D:D,'RESUMEN CLIENTES'!W:W)</f>
        <v>1</v>
      </c>
      <c r="G1623" s="17">
        <v>46249</v>
      </c>
      <c r="H1623" s="44" t="s">
        <v>81</v>
      </c>
      <c r="I1623" s="2">
        <v>630</v>
      </c>
      <c r="J1623"/>
      <c r="K1623"/>
      <c r="L1623" s="44" t="str" cm="1">
        <f t="array" ref="L1623">+_xlfn.IFS(COUNTIF(INGRESOS!E:E,Tabla6[[#This Row],[ID FACTURA]])=1,"PAGADA",Tabla6[[#This Row],[ID FACTURA]]&lt;&gt;0,"EMITIDA",Tabla6[[#This Row],[ID FACTURA]]=0,"POR EMITIR")</f>
        <v>POR EMITIR</v>
      </c>
      <c r="M1623" s="55" t="str">
        <f>+IF(Tabla6[[#This Row],[ESTADO FACTURA]]="PAGADA",Tabla6[[#This Row],[FECHA]]-_xlfn.XLOOKUP(Tabla6[[#This Row],[N° FACTURA]],INGRESOS!F:F,INGRESOS!A:A),"-")</f>
        <v>-</v>
      </c>
      <c r="N1623" s="2"/>
      <c r="O1623"/>
    </row>
    <row r="1624" spans="1:15" ht="14.75" customHeight="1">
      <c r="A1624" s="321" t="s">
        <v>1756</v>
      </c>
      <c r="B1624" t="str">
        <f>+_xlfn.XLOOKUP(Tabla6[[#This Row],[ID CLIENTE]],'RESUMEN CLIENTES'!D:D,'RESUMEN CLIENTES'!A:A)</f>
        <v>Aylin Micaela Ortiz Chiriboga</v>
      </c>
      <c r="C1624" t="str">
        <f>+_xlfn.XLOOKUP(Tabla6[[#This Row],[ID CLIENTE]],'RESUMEN CLIENTES'!D:D,'RESUMEN CLIENTES'!C:C)</f>
        <v>Ecuador</v>
      </c>
      <c r="D1624" s="169" t="str">
        <f>+_xlfn.XLOOKUP(Tabla6[[#This Row],[ID CLIENTE]],'RESUMEN CLIENTES'!D:D,'RESUMEN CLIENTES'!M:M)</f>
        <v>¡REGULARIZAR!</v>
      </c>
      <c r="E1624" s="71">
        <f>+_xlfn.XLOOKUP(Tabla6[[#This Row],[NOMBRE]],'RESUMEN CLIENTES'!A:A,'RESUMEN CLIENTES'!X:X)</f>
        <v>0</v>
      </c>
      <c r="F1624" s="71">
        <f>+_xlfn.XLOOKUP(Tabla6[[#This Row],[ID CLIENTE]],'RESUMEN CLIENTES'!D:D,'RESUMEN CLIENTES'!W:W)</f>
        <v>1</v>
      </c>
      <c r="G1624" s="170">
        <v>46250</v>
      </c>
      <c r="H1624" s="169" t="s">
        <v>81</v>
      </c>
      <c r="I1624" s="2">
        <v>650</v>
      </c>
      <c r="J1624"/>
      <c r="K1624"/>
      <c r="L1624" s="44" t="str" cm="1">
        <f t="array" ref="L1624">+_xlfn.IFS(COUNTIF(INGRESOS!E:E,Tabla6[[#This Row],[ID FACTURA]])=1,"PAGADA",Tabla6[[#This Row],[ID FACTURA]]&lt;&gt;0,"EMITIDA",Tabla6[[#This Row],[ID FACTURA]]=0,"POR EMITIR")</f>
        <v>POR EMITIR</v>
      </c>
      <c r="M1624" s="54" t="str">
        <f>+IF(Tabla6[[#This Row],[ESTADO FACTURA]]="PAGADA",Tabla6[[#This Row],[FECHA]]-_xlfn.XLOOKUP(Tabla6[[#This Row],[N° FACTURA]],INGRESOS!F:F,INGRESOS!A:A),"-")</f>
        <v>-</v>
      </c>
      <c r="O1624"/>
    </row>
    <row r="1625" spans="1:15" ht="14.75" customHeight="1">
      <c r="A1625" s="320" t="s">
        <v>1996</v>
      </c>
      <c r="B1625" t="str">
        <f>+_xlfn.XLOOKUP(Tabla6[[#This Row],[ID CLIENTE]],'RESUMEN CLIENTES'!D:D,'RESUMEN CLIENTES'!A:A)</f>
        <v>Ivan Gonzales Graus</v>
      </c>
      <c r="C1625" t="str">
        <f>+_xlfn.XLOOKUP(Tabla6[[#This Row],[ID CLIENTE]],'RESUMEN CLIENTES'!D:D,'RESUMEN CLIENTES'!C:C)</f>
        <v>Perú</v>
      </c>
      <c r="D1625" s="169" t="str">
        <f>+_xlfn.XLOOKUP(Tabla6[[#This Row],[ID CLIENTE]],'RESUMEN CLIENTES'!D:D,'RESUMEN CLIENTES'!M:M)</f>
        <v>OK</v>
      </c>
      <c r="E1625" s="71">
        <f>+_xlfn.XLOOKUP(Tabla6[[#This Row],[NOMBRE]],'RESUMEN CLIENTES'!A:A,'RESUMEN CLIENTES'!X:X)</f>
        <v>-2</v>
      </c>
      <c r="F1625" s="71">
        <f>+_xlfn.XLOOKUP(Tabla6[[#This Row],[ID CLIENTE]],'RESUMEN CLIENTES'!D:D,'RESUMEN CLIENTES'!W:W)</f>
        <v>1</v>
      </c>
      <c r="G1625" s="17">
        <v>46250</v>
      </c>
      <c r="H1625" s="169" t="s">
        <v>81</v>
      </c>
      <c r="I1625" s="2">
        <v>650</v>
      </c>
      <c r="J1625"/>
      <c r="K1625"/>
      <c r="L1625" s="44" t="str" cm="1">
        <f t="array" ref="L1625">+_xlfn.IFS(COUNTIF(INGRESOS!E:E,Tabla6[[#This Row],[ID FACTURA]])=1,"PAGADA",Tabla6[[#This Row],[ID FACTURA]]&lt;&gt;0,"EMITIDA",Tabla6[[#This Row],[ID FACTURA]]=0,"POR EMITIR")</f>
        <v>POR EMITIR</v>
      </c>
      <c r="M1625" s="54" t="str">
        <f>+IF(Tabla6[[#This Row],[ESTADO FACTURA]]="PAGADA",Tabla6[[#This Row],[FECHA]]-_xlfn.XLOOKUP(Tabla6[[#This Row],[N° FACTURA]],INGRESOS!F:F,INGRESOS!A:A),"-")</f>
        <v>-</v>
      </c>
      <c r="O1625"/>
    </row>
    <row r="1626" spans="1:15" ht="14.75" customHeight="1">
      <c r="A1626" s="320" t="s">
        <v>2046</v>
      </c>
      <c r="B1626" t="str">
        <f>+_xlfn.XLOOKUP(Tabla6[[#This Row],[ID CLIENTE]],'RESUMEN CLIENTES'!D:D,'RESUMEN CLIENTES'!A:A)</f>
        <v>Jesica Daniela Paredes Mendoza</v>
      </c>
      <c r="C1626" t="str">
        <f>+_xlfn.XLOOKUP(Tabla6[[#This Row],[ID CLIENTE]],'RESUMEN CLIENTES'!D:D,'RESUMEN CLIENTES'!C:C)</f>
        <v>México</v>
      </c>
      <c r="D1626" s="169" t="str">
        <f>+_xlfn.XLOOKUP(Tabla6[[#This Row],[ID CLIENTE]],'RESUMEN CLIENTES'!D:D,'RESUMEN CLIENTES'!M:M)</f>
        <v>OK</v>
      </c>
      <c r="E1626" s="71">
        <f>+_xlfn.XLOOKUP(Tabla6[[#This Row],[NOMBRE]],'RESUMEN CLIENTES'!A:A,'RESUMEN CLIENTES'!X:X)</f>
        <v>-2.75</v>
      </c>
      <c r="F1626" s="71">
        <f>+_xlfn.XLOOKUP(Tabla6[[#This Row],[ID CLIENTE]],'RESUMEN CLIENTES'!D:D,'RESUMEN CLIENTES'!W:W)</f>
        <v>1</v>
      </c>
      <c r="G1626" s="17">
        <v>46250</v>
      </c>
      <c r="H1626" s="169" t="s">
        <v>81</v>
      </c>
      <c r="I1626" s="2">
        <v>500</v>
      </c>
      <c r="J1626"/>
      <c r="K1626"/>
      <c r="L1626" s="44" t="str" cm="1">
        <f t="array" ref="L1626">+_xlfn.IFS(COUNTIF(INGRESOS!E:E,Tabla6[[#This Row],[ID FACTURA]])=1,"PAGADA",Tabla6[[#This Row],[ID FACTURA]]&lt;&gt;0,"EMITIDA",Tabla6[[#This Row],[ID FACTURA]]=0,"POR EMITIR")</f>
        <v>POR EMITIR</v>
      </c>
      <c r="M1626" s="54" t="str">
        <f>+IF(Tabla6[[#This Row],[ESTADO FACTURA]]="PAGADA",Tabla6[[#This Row],[FECHA]]-_xlfn.XLOOKUP(Tabla6[[#This Row],[N° FACTURA]],INGRESOS!F:F,INGRESOS!A:A),"-")</f>
        <v>-</v>
      </c>
      <c r="O1626"/>
    </row>
    <row r="1627" spans="1:15" ht="14.75" customHeight="1">
      <c r="A1627" s="320" t="s">
        <v>1001</v>
      </c>
      <c r="B1627" t="str">
        <f>+_xlfn.XLOOKUP(Tabla6[[#This Row],[ID CLIENTE]],'RESUMEN CLIENTES'!D:D,'RESUMEN CLIENTES'!A:A)</f>
        <v>Karenn Yadira Tavera Lara</v>
      </c>
      <c r="C1627" t="str">
        <f>+_xlfn.XLOOKUP(Tabla6[[#This Row],[ID CLIENTE]],'RESUMEN CLIENTES'!D:D,'RESUMEN CLIENTES'!C:C)</f>
        <v>México</v>
      </c>
      <c r="D1627" s="44" t="str">
        <f>+_xlfn.XLOOKUP(Tabla6[[#This Row],[ID CLIENTE]],'RESUMEN CLIENTES'!D:D,'RESUMEN CLIENTES'!M:M)</f>
        <v>OK</v>
      </c>
      <c r="E1627" s="72">
        <f>+_xlfn.XLOOKUP(Tabla6[[#This Row],[NOMBRE]],'RESUMEN CLIENTES'!A:A,'RESUMEN CLIENTES'!X:X)</f>
        <v>1.5</v>
      </c>
      <c r="F1627" s="72">
        <f>+_xlfn.XLOOKUP(Tabla6[[#This Row],[ID CLIENTE]],'RESUMEN CLIENTES'!D:D,'RESUMEN CLIENTES'!W:W)</f>
        <v>1</v>
      </c>
      <c r="G1627" s="17">
        <v>46253</v>
      </c>
      <c r="H1627" s="44" t="s">
        <v>81</v>
      </c>
      <c r="I1627" s="2">
        <v>1000</v>
      </c>
      <c r="J1627"/>
      <c r="K1627"/>
      <c r="L1627" s="44" t="str" cm="1">
        <f t="array" ref="L1627">+_xlfn.IFS(COUNTIF(INGRESOS!E:E,Tabla6[[#This Row],[ID FACTURA]])=1,"PAGADA",Tabla6[[#This Row],[ID FACTURA]]&lt;&gt;0,"EMITIDA",Tabla6[[#This Row],[ID FACTURA]]=0,"POR EMITIR")</f>
        <v>POR EMITIR</v>
      </c>
      <c r="M1627" s="55" t="str">
        <f>+IF(Tabla6[[#This Row],[ESTADO FACTURA]]="PAGADA",Tabla6[[#This Row],[FECHA]]-_xlfn.XLOOKUP(Tabla6[[#This Row],[N° FACTURA]],INGRESOS!F:F,INGRESOS!A:A),"-")</f>
        <v>-</v>
      </c>
      <c r="N1627" s="2"/>
      <c r="O1627"/>
    </row>
    <row r="1628" spans="1:15" ht="14.75" customHeight="1">
      <c r="A1628" s="320" t="s">
        <v>4660</v>
      </c>
      <c r="B1628" t="str">
        <f>+_xlfn.XLOOKUP(Tabla6[[#This Row],[ID CLIENTE]],'RESUMEN CLIENTES'!D:D,'RESUMEN CLIENTES'!A:A)</f>
        <v>Edipris Flores</v>
      </c>
      <c r="C1628" s="15" t="str">
        <f>+_xlfn.XLOOKUP(Tabla6[[#This Row],[ID CLIENTE]],'RESUMEN CLIENTES'!D:D,'RESUMEN CLIENTES'!C:C)</f>
        <v>Chile</v>
      </c>
      <c r="D1628" s="169" t="str">
        <f>+_xlfn.XLOOKUP(Tabla6[[#This Row],[ID CLIENTE]],'RESUMEN CLIENTES'!D:D,'RESUMEN CLIENTES'!M:M)</f>
        <v>OK</v>
      </c>
      <c r="E1628" s="71">
        <f>+_xlfn.XLOOKUP(Tabla6[[#This Row],[NOMBRE]],'RESUMEN CLIENTES'!A:A,'RESUMEN CLIENTES'!X:X)</f>
        <v>-4</v>
      </c>
      <c r="F1628" s="71">
        <f>+_xlfn.XLOOKUP(Tabla6[[#This Row],[ID CLIENTE]],'RESUMEN CLIENTES'!D:D,'RESUMEN CLIENTES'!W:W)</f>
        <v>0</v>
      </c>
      <c r="G1628" s="17">
        <v>46254</v>
      </c>
      <c r="H1628" s="169" t="s">
        <v>81</v>
      </c>
      <c r="I1628" s="2">
        <v>850</v>
      </c>
      <c r="J1628"/>
      <c r="K1628"/>
      <c r="L1628" s="44" t="str" cm="1">
        <f t="array" ref="L1628">+_xlfn.IFS(COUNTIF(INGRESOS!E:E,Tabla6[[#This Row],[ID FACTURA]])=1,"PAGADA",Tabla6[[#This Row],[ID FACTURA]]&lt;&gt;0,"EMITIDA",Tabla6[[#This Row],[ID FACTURA]]=0,"POR EMITIR")</f>
        <v>POR EMITIR</v>
      </c>
      <c r="M1628" s="54" t="str">
        <f>+IF(Tabla6[[#This Row],[ESTADO FACTURA]]="PAGADA",Tabla6[[#This Row],[FECHA]]-_xlfn.XLOOKUP(Tabla6[[#This Row],[N° FACTURA]],INGRESOS!F:F,INGRESOS!A:A),"-")</f>
        <v>-</v>
      </c>
      <c r="O1628"/>
    </row>
    <row r="1629" spans="1:15" ht="14.75" customHeight="1">
      <c r="A1629" s="320" t="s">
        <v>1936</v>
      </c>
      <c r="B1629" t="str">
        <f>+_xlfn.XLOOKUP(Tabla6[[#This Row],[ID CLIENTE]],'RESUMEN CLIENTES'!D:D,'RESUMEN CLIENTES'!A:A)</f>
        <v>Jaime Kevin Mendez Arias</v>
      </c>
      <c r="C1629" t="str">
        <f>+_xlfn.XLOOKUP(Tabla6[[#This Row],[ID CLIENTE]],'RESUMEN CLIENTES'!D:D,'RESUMEN CLIENTES'!C:C)</f>
        <v>México</v>
      </c>
      <c r="D1629" s="169" t="str">
        <f>+_xlfn.XLOOKUP(Tabla6[[#This Row],[ID CLIENTE]],'RESUMEN CLIENTES'!D:D,'RESUMEN CLIENTES'!M:M)</f>
        <v>OK</v>
      </c>
      <c r="E1629" s="71">
        <f>+_xlfn.XLOOKUP(Tabla6[[#This Row],[NOMBRE]],'RESUMEN CLIENTES'!A:A,'RESUMEN CLIENTES'!X:X)</f>
        <v>1.6666666666666667</v>
      </c>
      <c r="F1629" s="71">
        <f>+_xlfn.XLOOKUP(Tabla6[[#This Row],[ID CLIENTE]],'RESUMEN CLIENTES'!D:D,'RESUMEN CLIENTES'!W:W)</f>
        <v>0</v>
      </c>
      <c r="G1629" s="17">
        <v>46254</v>
      </c>
      <c r="H1629" s="169" t="s">
        <v>81</v>
      </c>
      <c r="I1629" s="2">
        <v>1000</v>
      </c>
      <c r="J1629"/>
      <c r="K1629"/>
      <c r="L1629" s="44" t="str" cm="1">
        <f t="array" ref="L1629">+_xlfn.IFS(COUNTIF(INGRESOS!E:E,Tabla6[[#This Row],[ID FACTURA]])=1,"PAGADA",Tabla6[[#This Row],[ID FACTURA]]&lt;&gt;0,"EMITIDA",Tabla6[[#This Row],[ID FACTURA]]=0,"POR EMITIR")</f>
        <v>POR EMITIR</v>
      </c>
      <c r="M1629" s="54" t="str">
        <f>+IF(Tabla6[[#This Row],[ESTADO FACTURA]]="PAGADA",Tabla6[[#This Row],[FECHA]]-_xlfn.XLOOKUP(Tabla6[[#This Row],[N° FACTURA]],INGRESOS!F:F,INGRESOS!A:A),"-")</f>
        <v>-</v>
      </c>
      <c r="O1629"/>
    </row>
    <row r="1630" spans="1:15" ht="14.75" customHeight="1">
      <c r="A1630" s="320" t="s">
        <v>587</v>
      </c>
      <c r="B1630" t="str">
        <f>+_xlfn.XLOOKUP(Tabla6[[#This Row],[ID CLIENTE]],'RESUMEN CLIENTES'!D:D,'RESUMEN CLIENTES'!A:A)</f>
        <v>Keidwin Perez</v>
      </c>
      <c r="C1630" t="str">
        <f>+_xlfn.XLOOKUP(Tabla6[[#This Row],[ID CLIENTE]],'RESUMEN CLIENTES'!D:D,'RESUMEN CLIENTES'!C:C)</f>
        <v>Colombia</v>
      </c>
      <c r="D1630" s="44" t="str">
        <f>+_xlfn.XLOOKUP(Tabla6[[#This Row],[ID CLIENTE]],'RESUMEN CLIENTES'!D:D,'RESUMEN CLIENTES'!M:M)</f>
        <v>OK</v>
      </c>
      <c r="E1630" s="72">
        <f>+_xlfn.XLOOKUP(Tabla6[[#This Row],[NOMBRE]],'RESUMEN CLIENTES'!A:A,'RESUMEN CLIENTES'!X:X)</f>
        <v>-4.25</v>
      </c>
      <c r="F1630" s="72">
        <f>+_xlfn.XLOOKUP(Tabla6[[#This Row],[ID CLIENTE]],'RESUMEN CLIENTES'!D:D,'RESUMEN CLIENTES'!W:W)</f>
        <v>1</v>
      </c>
      <c r="G1630" s="17">
        <v>46254</v>
      </c>
      <c r="H1630" s="44" t="s">
        <v>81</v>
      </c>
      <c r="I1630" s="2">
        <v>750</v>
      </c>
      <c r="J1630"/>
      <c r="K1630"/>
      <c r="L1630" s="44" t="str" cm="1">
        <f t="array" ref="L1630">+_xlfn.IFS(COUNTIF(INGRESOS!E:E,Tabla6[[#This Row],[ID FACTURA]])=1,"PAGADA",Tabla6[[#This Row],[ID FACTURA]]&lt;&gt;0,"EMITIDA",Tabla6[[#This Row],[ID FACTURA]]=0,"POR EMITIR")</f>
        <v>POR EMITIR</v>
      </c>
      <c r="M1630" s="55" t="str">
        <f>+IF(Tabla6[[#This Row],[ESTADO FACTURA]]="PAGADA",Tabla6[[#This Row],[FECHA]]-_xlfn.XLOOKUP(Tabla6[[#This Row],[N° FACTURA]],INGRESOS!F:F,INGRESOS!A:A),"-")</f>
        <v>-</v>
      </c>
      <c r="N1630" s="2"/>
      <c r="O1630"/>
    </row>
    <row r="1631" spans="1:15" ht="14.75" customHeight="1">
      <c r="A1631" s="320" t="s">
        <v>200</v>
      </c>
      <c r="B1631" t="str">
        <f>+_xlfn.XLOOKUP(Tabla6[[#This Row],[ID CLIENTE]],'RESUMEN CLIENTES'!D:D,'RESUMEN CLIENTES'!A:A)</f>
        <v>Mateo Gabriel Martinez Dávila</v>
      </c>
      <c r="C1631" t="str">
        <f>+_xlfn.XLOOKUP(Tabla6[[#This Row],[ID CLIENTE]],'RESUMEN CLIENTES'!D:D,'RESUMEN CLIENTES'!C:C)</f>
        <v>Bolivia</v>
      </c>
      <c r="D1631" s="169" t="str">
        <f>+_xlfn.XLOOKUP(Tabla6[[#This Row],[ID CLIENTE]],'RESUMEN CLIENTES'!D:D,'RESUMEN CLIENTES'!M:M)</f>
        <v>OK</v>
      </c>
      <c r="E1631" s="71">
        <f>+_xlfn.XLOOKUP(Tabla6[[#This Row],[NOMBRE]],'RESUMEN CLIENTES'!A:A,'RESUMEN CLIENTES'!X:X)</f>
        <v>-0.5</v>
      </c>
      <c r="F1631" s="71">
        <f>+_xlfn.XLOOKUP(Tabla6[[#This Row],[ID CLIENTE]],'RESUMEN CLIENTES'!D:D,'RESUMEN CLIENTES'!W:W)</f>
        <v>0</v>
      </c>
      <c r="G1631" s="17">
        <v>46254</v>
      </c>
      <c r="H1631" s="169" t="s">
        <v>81</v>
      </c>
      <c r="I1631" s="2">
        <v>500</v>
      </c>
      <c r="J1631"/>
      <c r="K1631"/>
      <c r="L1631" s="44" t="str" cm="1">
        <f t="array" ref="L1631">+_xlfn.IFS(COUNTIF(INGRESOS!E:E,Tabla6[[#This Row],[ID FACTURA]])=1,"PAGADA",Tabla6[[#This Row],[ID FACTURA]]&lt;&gt;0,"EMITIDA",Tabla6[[#This Row],[ID FACTURA]]=0,"POR EMITIR")</f>
        <v>POR EMITIR</v>
      </c>
      <c r="M1631" s="54" t="str">
        <f>+IF(Tabla6[[#This Row],[ESTADO FACTURA]]="PAGADA",Tabla6[[#This Row],[FECHA]]-_xlfn.XLOOKUP(Tabla6[[#This Row],[N° FACTURA]],INGRESOS!F:F,INGRESOS!A:A),"-")</f>
        <v>-</v>
      </c>
      <c r="O1631"/>
    </row>
    <row r="1632" spans="1:15" ht="14.75" customHeight="1">
      <c r="A1632" s="320" t="s">
        <v>1931</v>
      </c>
      <c r="B1632" t="str">
        <f>+_xlfn.XLOOKUP(Tabla6[[#This Row],[ID CLIENTE]],'RESUMEN CLIENTES'!D:D,'RESUMEN CLIENTES'!A:A)</f>
        <v>Josué Bernardo Reyes Flores</v>
      </c>
      <c r="C1632" t="str">
        <f>+_xlfn.XLOOKUP(Tabla6[[#This Row],[ID CLIENTE]],'RESUMEN CLIENTES'!D:D,'RESUMEN CLIENTES'!C:C)</f>
        <v>México</v>
      </c>
      <c r="D1632" s="169" t="str">
        <f>+_xlfn.XLOOKUP(Tabla6[[#This Row],[ID CLIENTE]],'RESUMEN CLIENTES'!D:D,'RESUMEN CLIENTES'!M:M)</f>
        <v>OK</v>
      </c>
      <c r="E1632" s="71">
        <f>+_xlfn.XLOOKUP(Tabla6[[#This Row],[NOMBRE]],'RESUMEN CLIENTES'!A:A,'RESUMEN CLIENTES'!X:X)</f>
        <v>0</v>
      </c>
      <c r="F1632" s="71">
        <f>+_xlfn.XLOOKUP(Tabla6[[#This Row],[ID CLIENTE]],'RESUMEN CLIENTES'!D:D,'RESUMEN CLIENTES'!W:W)</f>
        <v>1</v>
      </c>
      <c r="G1632" s="17">
        <v>46257</v>
      </c>
      <c r="H1632" s="169" t="s">
        <v>81</v>
      </c>
      <c r="I1632" s="2">
        <v>1000</v>
      </c>
      <c r="J1632"/>
      <c r="K1632"/>
      <c r="L1632" s="44" t="str" cm="1">
        <f t="array" ref="L1632">+_xlfn.IFS(COUNTIF(INGRESOS!E:E,Tabla6[[#This Row],[ID FACTURA]])=1,"PAGADA",Tabla6[[#This Row],[ID FACTURA]]&lt;&gt;0,"EMITIDA",Tabla6[[#This Row],[ID FACTURA]]=0,"POR EMITIR")</f>
        <v>POR EMITIR</v>
      </c>
      <c r="M1632" s="54" t="str">
        <f>+IF(Tabla6[[#This Row],[ESTADO FACTURA]]="PAGADA",Tabla6[[#This Row],[FECHA]]-_xlfn.XLOOKUP(Tabla6[[#This Row],[N° FACTURA]],INGRESOS!F:F,INGRESOS!A:A),"-")</f>
        <v>-</v>
      </c>
      <c r="O1632"/>
    </row>
    <row r="1633" spans="1:15" ht="14.75" customHeight="1">
      <c r="A1633" s="320" t="s">
        <v>994</v>
      </c>
      <c r="B1633" t="str">
        <f>+_xlfn.XLOOKUP(Tabla6[[#This Row],[ID CLIENTE]],'RESUMEN CLIENTES'!D:D,'RESUMEN CLIENTES'!A:A)</f>
        <v>Raúl Ernesto Martínez Orantes</v>
      </c>
      <c r="C1633" t="str">
        <f>+_xlfn.XLOOKUP(Tabla6[[#This Row],[ID CLIENTE]],'RESUMEN CLIENTES'!D:D,'RESUMEN CLIENTES'!C:C)</f>
        <v>El Salvador</v>
      </c>
      <c r="D1633" s="44" t="str">
        <f>+_xlfn.XLOOKUP(Tabla6[[#This Row],[ID CLIENTE]],'RESUMEN CLIENTES'!D:D,'RESUMEN CLIENTES'!M:M)</f>
        <v>OK</v>
      </c>
      <c r="E1633" s="72">
        <f>+_xlfn.XLOOKUP(Tabla6[[#This Row],[NOMBRE]],'RESUMEN CLIENTES'!A:A,'RESUMEN CLIENTES'!X:X)</f>
        <v>1.1428571428571428</v>
      </c>
      <c r="F1633" s="72">
        <f>+_xlfn.XLOOKUP(Tabla6[[#This Row],[ID CLIENTE]],'RESUMEN CLIENTES'!D:D,'RESUMEN CLIENTES'!W:W)</f>
        <v>1</v>
      </c>
      <c r="G1633" s="17">
        <v>46257</v>
      </c>
      <c r="H1633" s="44" t="s">
        <v>81</v>
      </c>
      <c r="I1633" s="2">
        <v>850</v>
      </c>
      <c r="J1633"/>
      <c r="K1633"/>
      <c r="L1633" s="44" t="str" cm="1">
        <f t="array" ref="L1633">+_xlfn.IFS(COUNTIF(INGRESOS!E:E,Tabla6[[#This Row],[ID FACTURA]])=1,"PAGADA",Tabla6[[#This Row],[ID FACTURA]]&lt;&gt;0,"EMITIDA",Tabla6[[#This Row],[ID FACTURA]]=0,"POR EMITIR")</f>
        <v>POR EMITIR</v>
      </c>
      <c r="M1633" s="55" t="str">
        <f>+IF(Tabla6[[#This Row],[ESTADO FACTURA]]="PAGADA",Tabla6[[#This Row],[FECHA]]-_xlfn.XLOOKUP(Tabla6[[#This Row],[N° FACTURA]],INGRESOS!F:F,INGRESOS!A:A),"-")</f>
        <v>-</v>
      </c>
      <c r="N1633" s="2"/>
      <c r="O1633"/>
    </row>
    <row r="1634" spans="1:15" ht="14.75" customHeight="1">
      <c r="A1634" s="320" t="s">
        <v>1437</v>
      </c>
      <c r="B1634" t="str">
        <f>+_xlfn.XLOOKUP(Tabla6[[#This Row],[ID CLIENTE]],'RESUMEN CLIENTES'!D:D,'RESUMEN CLIENTES'!A:A)</f>
        <v>Jorge Andres Galgani Muñoz</v>
      </c>
      <c r="C1634" t="str">
        <f>+_xlfn.XLOOKUP(Tabla6[[#This Row],[ID CLIENTE]],'RESUMEN CLIENTES'!D:D,'RESUMEN CLIENTES'!C:C)</f>
        <v>Chile</v>
      </c>
      <c r="D1634" s="44" t="str">
        <f>+_xlfn.XLOOKUP(Tabla6[[#This Row],[ID CLIENTE]],'RESUMEN CLIENTES'!D:D,'RESUMEN CLIENTES'!M:M)</f>
        <v>OK</v>
      </c>
      <c r="E1634" s="71">
        <f>+_xlfn.XLOOKUP(Tabla6[[#This Row],[NOMBRE]],'RESUMEN CLIENTES'!A:A,'RESUMEN CLIENTES'!X:X)</f>
        <v>-1.1428571428571428</v>
      </c>
      <c r="F1634" s="71">
        <f>+_xlfn.XLOOKUP(Tabla6[[#This Row],[ID CLIENTE]],'RESUMEN CLIENTES'!D:D,'RESUMEN CLIENTES'!W:W)</f>
        <v>1</v>
      </c>
      <c r="G1634" s="17">
        <v>46259</v>
      </c>
      <c r="H1634" s="169" t="s">
        <v>81</v>
      </c>
      <c r="I1634" s="2">
        <v>850</v>
      </c>
      <c r="J1634"/>
      <c r="K1634"/>
      <c r="L1634" s="44" t="str" cm="1">
        <f t="array" ref="L1634">+_xlfn.IFS(COUNTIF(INGRESOS!E:E,Tabla6[[#This Row],[ID FACTURA]])=1,"PAGADA",Tabla6[[#This Row],[ID FACTURA]]&lt;&gt;0,"EMITIDA",Tabla6[[#This Row],[ID FACTURA]]=0,"POR EMITIR")</f>
        <v>POR EMITIR</v>
      </c>
      <c r="M1634" s="55" t="str">
        <f>+IF(Tabla6[[#This Row],[ESTADO FACTURA]]="PAGADA",Tabla6[[#This Row],[FECHA]]-_xlfn.XLOOKUP(Tabla6[[#This Row],[N° FACTURA]],INGRESOS!F:F,INGRESOS!A:A),"-")</f>
        <v>-</v>
      </c>
      <c r="N1634" s="2"/>
      <c r="O1634"/>
    </row>
    <row r="1635" spans="1:15" ht="14.75" customHeight="1">
      <c r="A1635" s="320" t="s">
        <v>1658</v>
      </c>
      <c r="B1635" t="str">
        <f>+_xlfn.XLOOKUP(Tabla6[[#This Row],[ID CLIENTE]],'RESUMEN CLIENTES'!D:D,'RESUMEN CLIENTES'!A:A)</f>
        <v>Nadya Sofía García Carrasco</v>
      </c>
      <c r="C1635" t="str">
        <f>+_xlfn.XLOOKUP(Tabla6[[#This Row],[ID CLIENTE]],'RESUMEN CLIENTES'!D:D,'RESUMEN CLIENTES'!C:C)</f>
        <v>Ecuador</v>
      </c>
      <c r="D1635" s="169" t="str">
        <f>+_xlfn.XLOOKUP(Tabla6[[#This Row],[ID CLIENTE]],'RESUMEN CLIENTES'!D:D,'RESUMEN CLIENTES'!M:M)</f>
        <v>OK</v>
      </c>
      <c r="E1635" s="71">
        <f>+_xlfn.XLOOKUP(Tabla6[[#This Row],[NOMBRE]],'RESUMEN CLIENTES'!A:A,'RESUMEN CLIENTES'!X:X)</f>
        <v>0</v>
      </c>
      <c r="F1635" s="71">
        <f>+_xlfn.XLOOKUP(Tabla6[[#This Row],[ID CLIENTE]],'RESUMEN CLIENTES'!D:D,'RESUMEN CLIENTES'!W:W)</f>
        <v>1</v>
      </c>
      <c r="G1635" s="17">
        <v>46259</v>
      </c>
      <c r="H1635" s="169" t="s">
        <v>81</v>
      </c>
      <c r="I1635" s="2">
        <v>1000</v>
      </c>
      <c r="J1635"/>
      <c r="K1635"/>
      <c r="L1635" s="44" t="str" cm="1">
        <f t="array" ref="L1635">+_xlfn.IFS(COUNTIF(INGRESOS!E:E,Tabla6[[#This Row],[ID FACTURA]])=1,"PAGADA",Tabla6[[#This Row],[ID FACTURA]]&lt;&gt;0,"EMITIDA",Tabla6[[#This Row],[ID FACTURA]]=0,"POR EMITIR")</f>
        <v>POR EMITIR</v>
      </c>
      <c r="M1635" s="55" t="str">
        <f>+IF(Tabla6[[#This Row],[ESTADO FACTURA]]="PAGADA",Tabla6[[#This Row],[FECHA]]-_xlfn.XLOOKUP(Tabla6[[#This Row],[N° FACTURA]],INGRESOS!F:F,INGRESOS!A:A),"-")</f>
        <v>-</v>
      </c>
      <c r="O1635"/>
    </row>
    <row r="1636" spans="1:15" ht="14.75" customHeight="1">
      <c r="A1636" s="320" t="s">
        <v>716</v>
      </c>
      <c r="B1636" t="str">
        <f>+_xlfn.XLOOKUP(Tabla6[[#This Row],[ID CLIENTE]],'RESUMEN CLIENTES'!D:D,'RESUMEN CLIENTES'!A:A)</f>
        <v>Sofia Martínez Restrepo</v>
      </c>
      <c r="C1636" t="str">
        <f>+_xlfn.XLOOKUP(Tabla6[[#This Row],[ID CLIENTE]],'RESUMEN CLIENTES'!D:D,'RESUMEN CLIENTES'!C:C)</f>
        <v>Colombia</v>
      </c>
      <c r="D1636" s="44" t="str">
        <f>+_xlfn.XLOOKUP(Tabla6[[#This Row],[ID CLIENTE]],'RESUMEN CLIENTES'!D:D,'RESUMEN CLIENTES'!M:M)</f>
        <v>OK</v>
      </c>
      <c r="E1636" s="72">
        <f>+_xlfn.XLOOKUP(Tabla6[[#This Row],[NOMBRE]],'RESUMEN CLIENTES'!A:A,'RESUMEN CLIENTES'!X:X)</f>
        <v>-0.33333333333333331</v>
      </c>
      <c r="F1636" s="72">
        <f>+_xlfn.XLOOKUP(Tabla6[[#This Row],[ID CLIENTE]],'RESUMEN CLIENTES'!D:D,'RESUMEN CLIENTES'!W:W)</f>
        <v>1</v>
      </c>
      <c r="G1636" s="17">
        <v>46259</v>
      </c>
      <c r="H1636" s="44" t="s">
        <v>81</v>
      </c>
      <c r="I1636" s="2">
        <v>1000</v>
      </c>
      <c r="J1636"/>
      <c r="K1636"/>
      <c r="L1636" s="44" t="str" cm="1">
        <f t="array" ref="L1636">+_xlfn.IFS(COUNTIF(INGRESOS!E:E,Tabla6[[#This Row],[ID FACTURA]])=1,"PAGADA",Tabla6[[#This Row],[ID FACTURA]]&lt;&gt;0,"EMITIDA",Tabla6[[#This Row],[ID FACTURA]]=0,"POR EMITIR")</f>
        <v>POR EMITIR</v>
      </c>
      <c r="M1636" s="55" t="str">
        <f>+IF(Tabla6[[#This Row],[ESTADO FACTURA]]="PAGADA",Tabla6[[#This Row],[FECHA]]-_xlfn.XLOOKUP(Tabla6[[#This Row],[N° FACTURA]],INGRESOS!F:F,INGRESOS!A:A),"-")</f>
        <v>-</v>
      </c>
      <c r="N1636" s="2"/>
      <c r="O1636"/>
    </row>
    <row r="1637" spans="1:15" ht="14.75" customHeight="1">
      <c r="A1637" s="320" t="s">
        <v>1743</v>
      </c>
      <c r="B1637" t="str">
        <f>+_xlfn.XLOOKUP(Tabla6[[#This Row],[ID CLIENTE]],'RESUMEN CLIENTES'!D:D,'RESUMEN CLIENTES'!A:A)</f>
        <v>Fernando Alberto Lagos Belmar</v>
      </c>
      <c r="C1637" t="str">
        <f>+_xlfn.XLOOKUP(Tabla6[[#This Row],[ID CLIENTE]],'RESUMEN CLIENTES'!D:D,'RESUMEN CLIENTES'!C:C)</f>
        <v>Chile</v>
      </c>
      <c r="D1637" s="169" t="str">
        <f>+_xlfn.XLOOKUP(Tabla6[[#This Row],[ID CLIENTE]],'RESUMEN CLIENTES'!D:D,'RESUMEN CLIENTES'!M:M)</f>
        <v>OK</v>
      </c>
      <c r="E1637" s="71">
        <f>+_xlfn.XLOOKUP(Tabla6[[#This Row],[NOMBRE]],'RESUMEN CLIENTES'!A:A,'RESUMEN CLIENTES'!X:X)</f>
        <v>0.25</v>
      </c>
      <c r="F1637" s="71">
        <f>+_xlfn.XLOOKUP(Tabla6[[#This Row],[ID CLIENTE]],'RESUMEN CLIENTES'!D:D,'RESUMEN CLIENTES'!W:W)</f>
        <v>1</v>
      </c>
      <c r="G1637" s="17">
        <v>46260</v>
      </c>
      <c r="H1637" s="169" t="s">
        <v>81</v>
      </c>
      <c r="I1637" s="2">
        <v>1000</v>
      </c>
      <c r="J1637"/>
      <c r="K1637"/>
      <c r="L1637" s="44" t="str" cm="1">
        <f t="array" ref="L1637">+_xlfn.IFS(COUNTIF(INGRESOS!E:E,Tabla6[[#This Row],[ID FACTURA]])=1,"PAGADA",Tabla6[[#This Row],[ID FACTURA]]&lt;&gt;0,"EMITIDA",Tabla6[[#This Row],[ID FACTURA]]=0,"POR EMITIR")</f>
        <v>POR EMITIR</v>
      </c>
      <c r="M1637" s="55" t="str">
        <f>+IF(Tabla6[[#This Row],[ESTADO FACTURA]]="PAGADA",Tabla6[[#This Row],[FECHA]]-_xlfn.XLOOKUP(Tabla6[[#This Row],[N° FACTURA]],INGRESOS!F:F,INGRESOS!A:A),"-")</f>
        <v>-</v>
      </c>
      <c r="O1637"/>
    </row>
    <row r="1638" spans="1:15" ht="14.75" customHeight="1">
      <c r="A1638" s="320" t="s">
        <v>706</v>
      </c>
      <c r="B1638" t="str">
        <f>+_xlfn.XLOOKUP(Tabla6[[#This Row],[ID CLIENTE]],'RESUMEN CLIENTES'!D:D,'RESUMEN CLIENTES'!A:A)</f>
        <v>Virna Nathaly Montenegro Samaniego</v>
      </c>
      <c r="C1638" t="str">
        <f>+_xlfn.XLOOKUP(Tabla6[[#This Row],[ID CLIENTE]],'RESUMEN CLIENTES'!D:D,'RESUMEN CLIENTES'!C:C)</f>
        <v>Ecuador</v>
      </c>
      <c r="D1638" s="44" t="str">
        <f>+_xlfn.XLOOKUP(Tabla6[[#This Row],[ID CLIENTE]],'RESUMEN CLIENTES'!D:D,'RESUMEN CLIENTES'!M:M)</f>
        <v>OK</v>
      </c>
      <c r="E1638" s="72">
        <f>+_xlfn.XLOOKUP(Tabla6[[#This Row],[NOMBRE]],'RESUMEN CLIENTES'!A:A,'RESUMEN CLIENTES'!X:X)</f>
        <v>7.375</v>
      </c>
      <c r="F1638" s="72">
        <f>+_xlfn.XLOOKUP(Tabla6[[#This Row],[ID CLIENTE]],'RESUMEN CLIENTES'!D:D,'RESUMEN CLIENTES'!W:W)</f>
        <v>0</v>
      </c>
      <c r="G1638" s="17">
        <v>46260</v>
      </c>
      <c r="H1638" s="44" t="s">
        <v>81</v>
      </c>
      <c r="I1638" s="2">
        <v>1000</v>
      </c>
      <c r="J1638"/>
      <c r="K1638"/>
      <c r="L1638" s="44" t="str" cm="1">
        <f t="array" ref="L1638">+_xlfn.IFS(COUNTIF(INGRESOS!E:E,Tabla6[[#This Row],[ID FACTURA]])=1,"PAGADA",Tabla6[[#This Row],[ID FACTURA]]&lt;&gt;0,"EMITIDA",Tabla6[[#This Row],[ID FACTURA]]=0,"POR EMITIR")</f>
        <v>POR EMITIR</v>
      </c>
      <c r="M1638" s="55" t="str">
        <f>+IF(Tabla6[[#This Row],[ESTADO FACTURA]]="PAGADA",Tabla6[[#This Row],[FECHA]]-_xlfn.XLOOKUP(Tabla6[[#This Row],[N° FACTURA]],INGRESOS!F:F,INGRESOS!A:A),"-")</f>
        <v>-</v>
      </c>
      <c r="N1638" s="2"/>
      <c r="O1638"/>
    </row>
    <row r="1639" spans="1:15" ht="14.75" customHeight="1">
      <c r="A1639" s="321" t="s">
        <v>519</v>
      </c>
      <c r="B1639" t="str">
        <f>+_xlfn.XLOOKUP(Tabla6[[#This Row],[ID CLIENTE]],'RESUMEN CLIENTES'!D:D,'RESUMEN CLIENTES'!A:A)</f>
        <v>Elaine Acosta Cabrera</v>
      </c>
      <c r="C1639" t="str">
        <f>+_xlfn.XLOOKUP(Tabla6[[#This Row],[ID CLIENTE]],'RESUMEN CLIENTES'!D:D,'RESUMEN CLIENTES'!C:C)</f>
        <v>República Dominicana</v>
      </c>
      <c r="D1639" s="169" t="str">
        <f>+_xlfn.XLOOKUP(Tabla6[[#This Row],[ID CLIENTE]],'RESUMEN CLIENTES'!D:D,'RESUMEN CLIENTES'!M:M)</f>
        <v>OK</v>
      </c>
      <c r="E1639" s="71">
        <f>+_xlfn.XLOOKUP(Tabla6[[#This Row],[NOMBRE]],'RESUMEN CLIENTES'!A:A,'RESUMEN CLIENTES'!X:X)</f>
        <v>0</v>
      </c>
      <c r="F1639" s="71">
        <f>+_xlfn.XLOOKUP(Tabla6[[#This Row],[ID CLIENTE]],'RESUMEN CLIENTES'!D:D,'RESUMEN CLIENTES'!W:W)</f>
        <v>1</v>
      </c>
      <c r="G1639" s="17">
        <v>46261</v>
      </c>
      <c r="H1639" s="169" t="s">
        <v>81</v>
      </c>
      <c r="I1639" s="2">
        <v>1000</v>
      </c>
      <c r="J1639"/>
      <c r="K1639"/>
      <c r="L1639" s="44" t="str" cm="1">
        <f t="array" ref="L1639">+_xlfn.IFS(COUNTIF(INGRESOS!E:E,Tabla6[[#This Row],[ID FACTURA]])=1,"PAGADA",Tabla6[[#This Row],[ID FACTURA]]&lt;&gt;0,"EMITIDA",Tabla6[[#This Row],[ID FACTURA]]=0,"POR EMITIR")</f>
        <v>POR EMITIR</v>
      </c>
      <c r="M1639" s="54" t="str">
        <f>+IF(Tabla6[[#This Row],[ESTADO FACTURA]]="PAGADA",Tabla6[[#This Row],[FECHA]]-_xlfn.XLOOKUP(Tabla6[[#This Row],[N° FACTURA]],INGRESOS!F:F,INGRESOS!A:A),"-")</f>
        <v>-</v>
      </c>
      <c r="O1639"/>
    </row>
    <row r="1640" spans="1:15" ht="14.75" customHeight="1">
      <c r="A1640" s="320" t="s">
        <v>711</v>
      </c>
      <c r="B1640" t="str">
        <f>+_xlfn.XLOOKUP(Tabla6[[#This Row],[ID CLIENTE]],'RESUMEN CLIENTES'!D:D,'RESUMEN CLIENTES'!A:A)</f>
        <v>Julian David Gutierrez Rodriguez</v>
      </c>
      <c r="C1640" t="str">
        <f>+_xlfn.XLOOKUP(Tabla6[[#This Row],[ID CLIENTE]],'RESUMEN CLIENTES'!D:D,'RESUMEN CLIENTES'!C:C)</f>
        <v>Colombia</v>
      </c>
      <c r="D1640" s="44" t="str">
        <f>+_xlfn.XLOOKUP(Tabla6[[#This Row],[ID CLIENTE]],'RESUMEN CLIENTES'!D:D,'RESUMEN CLIENTES'!M:M)</f>
        <v>OK</v>
      </c>
      <c r="E1640" s="72">
        <f>+_xlfn.XLOOKUP(Tabla6[[#This Row],[NOMBRE]],'RESUMEN CLIENTES'!A:A,'RESUMEN CLIENTES'!X:X)</f>
        <v>0.7142857142857143</v>
      </c>
      <c r="F1640" s="72">
        <f>+_xlfn.XLOOKUP(Tabla6[[#This Row],[ID CLIENTE]],'RESUMEN CLIENTES'!D:D,'RESUMEN CLIENTES'!W:W)</f>
        <v>1</v>
      </c>
      <c r="G1640" s="17">
        <v>46261</v>
      </c>
      <c r="H1640" s="44" t="s">
        <v>81</v>
      </c>
      <c r="I1640" s="2">
        <v>2750</v>
      </c>
      <c r="J1640"/>
      <c r="K1640"/>
      <c r="L1640" s="44" t="str" cm="1">
        <f t="array" ref="L1640">+_xlfn.IFS(COUNTIF(INGRESOS!E:E,Tabla6[[#This Row],[ID FACTURA]])=1,"PAGADA",Tabla6[[#This Row],[ID FACTURA]]&lt;&gt;0,"EMITIDA",Tabla6[[#This Row],[ID FACTURA]]=0,"POR EMITIR")</f>
        <v>POR EMITIR</v>
      </c>
      <c r="M1640" s="55" t="str">
        <f>+IF(Tabla6[[#This Row],[ESTADO FACTURA]]="PAGADA",Tabla6[[#This Row],[FECHA]]-_xlfn.XLOOKUP(Tabla6[[#This Row],[N° FACTURA]],INGRESOS!F:F,INGRESOS!A:A),"-")</f>
        <v>-</v>
      </c>
      <c r="N1640" s="2"/>
      <c r="O1640"/>
    </row>
    <row r="1641" spans="1:15" ht="14.75" customHeight="1">
      <c r="A1641" s="321" t="s">
        <v>1870</v>
      </c>
      <c r="B1641" t="str">
        <f>+_xlfn.XLOOKUP(Tabla6[[#This Row],[ID CLIENTE]],'RESUMEN CLIENTES'!D:D,'RESUMEN CLIENTES'!A:A)</f>
        <v>Berenisse Shadia Yarango Garay</v>
      </c>
      <c r="C1641" t="str">
        <f>+_xlfn.XLOOKUP(Tabla6[[#This Row],[ID CLIENTE]],'RESUMEN CLIENTES'!D:D,'RESUMEN CLIENTES'!C:C)</f>
        <v>Perú</v>
      </c>
      <c r="D1641" s="169" t="str">
        <f>+_xlfn.XLOOKUP(Tabla6[[#This Row],[ID CLIENTE]],'RESUMEN CLIENTES'!D:D,'RESUMEN CLIENTES'!M:M)</f>
        <v>OK</v>
      </c>
      <c r="E1641" s="71">
        <f>+_xlfn.XLOOKUP(Tabla6[[#This Row],[NOMBRE]],'RESUMEN CLIENTES'!A:A,'RESUMEN CLIENTES'!X:X)</f>
        <v>-0.33333333333333331</v>
      </c>
      <c r="F1641" s="71">
        <f>+_xlfn.XLOOKUP(Tabla6[[#This Row],[ID CLIENTE]],'RESUMEN CLIENTES'!D:D,'RESUMEN CLIENTES'!W:W)</f>
        <v>0</v>
      </c>
      <c r="G1641" s="17">
        <v>46262</v>
      </c>
      <c r="H1641" s="169" t="s">
        <v>81</v>
      </c>
      <c r="I1641" s="2">
        <v>850</v>
      </c>
      <c r="J1641"/>
      <c r="K1641"/>
      <c r="L1641" s="44" t="str" cm="1">
        <f t="array" ref="L1641">+_xlfn.IFS(COUNTIF(INGRESOS!E:E,Tabla6[[#This Row],[ID FACTURA]])=1,"PAGADA",Tabla6[[#This Row],[ID FACTURA]]&lt;&gt;0,"EMITIDA",Tabla6[[#This Row],[ID FACTURA]]=0,"POR EMITIR")</f>
        <v>POR EMITIR</v>
      </c>
      <c r="M1641" s="54" t="str">
        <f>+IF(Tabla6[[#This Row],[ESTADO FACTURA]]="PAGADA",Tabla6[[#This Row],[FECHA]]-_xlfn.XLOOKUP(Tabla6[[#This Row],[N° FACTURA]],INGRESOS!F:F,INGRESOS!A:A),"-")</f>
        <v>-</v>
      </c>
      <c r="O1641"/>
    </row>
    <row r="1642" spans="1:15" ht="14.75" customHeight="1">
      <c r="A1642" s="320" t="s">
        <v>1461</v>
      </c>
      <c r="B1642" t="str">
        <f>+_xlfn.XLOOKUP(Tabla6[[#This Row],[ID CLIENTE]],'RESUMEN CLIENTES'!D:D,'RESUMEN CLIENTES'!A:A)</f>
        <v>Katerine Marianela Verastegui Mendoza</v>
      </c>
      <c r="C1642" t="str">
        <f>+_xlfn.XLOOKUP(Tabla6[[#This Row],[ID CLIENTE]],'RESUMEN CLIENTES'!D:D,'RESUMEN CLIENTES'!C:C)</f>
        <v>Perú</v>
      </c>
      <c r="D1642" s="44" t="str">
        <f>+_xlfn.XLOOKUP(Tabla6[[#This Row],[ID CLIENTE]],'RESUMEN CLIENTES'!D:D,'RESUMEN CLIENTES'!M:M)</f>
        <v>OK</v>
      </c>
      <c r="E1642" s="71">
        <f>+_xlfn.XLOOKUP(Tabla6[[#This Row],[NOMBRE]],'RESUMEN CLIENTES'!A:A,'RESUMEN CLIENTES'!X:X)</f>
        <v>-2</v>
      </c>
      <c r="F1642" s="71">
        <f>+_xlfn.XLOOKUP(Tabla6[[#This Row],[ID CLIENTE]],'RESUMEN CLIENTES'!D:D,'RESUMEN CLIENTES'!W:W)</f>
        <v>0</v>
      </c>
      <c r="G1642" s="17">
        <v>46262</v>
      </c>
      <c r="H1642" s="169" t="s">
        <v>81</v>
      </c>
      <c r="I1642" s="2">
        <v>1000</v>
      </c>
      <c r="J1642"/>
      <c r="K1642"/>
      <c r="L1642" s="44" t="str" cm="1">
        <f t="array" ref="L1642">+_xlfn.IFS(COUNTIF(INGRESOS!E:E,Tabla6[[#This Row],[ID FACTURA]])=1,"PAGADA",Tabla6[[#This Row],[ID FACTURA]]&lt;&gt;0,"EMITIDA",Tabla6[[#This Row],[ID FACTURA]]=0,"POR EMITIR")</f>
        <v>POR EMITIR</v>
      </c>
      <c r="M1642" s="55" t="str">
        <f>+IF(Tabla6[[#This Row],[ESTADO FACTURA]]="PAGADA",Tabla6[[#This Row],[FECHA]]-_xlfn.XLOOKUP(Tabla6[[#This Row],[N° FACTURA]],INGRESOS!F:F,INGRESOS!A:A),"-")</f>
        <v>-</v>
      </c>
      <c r="N1642" s="2"/>
      <c r="O1642"/>
    </row>
    <row r="1643" spans="1:15" ht="14.75" customHeight="1">
      <c r="A1643" s="320" t="s">
        <v>1374</v>
      </c>
      <c r="B1643" t="str">
        <f>+_xlfn.XLOOKUP(Tabla6[[#This Row],[ID CLIENTE]],'RESUMEN CLIENTES'!D:D,'RESUMEN CLIENTES'!A:A)</f>
        <v>Samuel Sebastián Marmolejo Saldarriaga</v>
      </c>
      <c r="C1643" t="str">
        <f>+_xlfn.XLOOKUP(Tabla6[[#This Row],[ID CLIENTE]],'RESUMEN CLIENTES'!D:D,'RESUMEN CLIENTES'!C:C)</f>
        <v>Perú</v>
      </c>
      <c r="D1643" s="44" t="str">
        <f>+_xlfn.XLOOKUP(Tabla6[[#This Row],[ID CLIENTE]],'RESUMEN CLIENTES'!D:D,'RESUMEN CLIENTES'!M:M)</f>
        <v>OK</v>
      </c>
      <c r="E1643" s="71">
        <f>+_xlfn.XLOOKUP(Tabla6[[#This Row],[NOMBRE]],'RESUMEN CLIENTES'!A:A,'RESUMEN CLIENTES'!X:X)</f>
        <v>-0.5</v>
      </c>
      <c r="F1643" s="71">
        <f>+_xlfn.XLOOKUP(Tabla6[[#This Row],[ID CLIENTE]],'RESUMEN CLIENTES'!D:D,'RESUMEN CLIENTES'!W:W)</f>
        <v>0</v>
      </c>
      <c r="G1643" s="17">
        <v>46262</v>
      </c>
      <c r="H1643" s="44" t="s">
        <v>81</v>
      </c>
      <c r="I1643" s="2">
        <v>1500</v>
      </c>
      <c r="J1643"/>
      <c r="K1643"/>
      <c r="L1643" s="44" t="str" cm="1">
        <f t="array" ref="L1643">+_xlfn.IFS(COUNTIF(INGRESOS!E:E,Tabla6[[#This Row],[ID FACTURA]])=1,"PAGADA",Tabla6[[#This Row],[ID FACTURA]]&lt;&gt;0,"EMITIDA",Tabla6[[#This Row],[ID FACTURA]]=0,"POR EMITIR")</f>
        <v>POR EMITIR</v>
      </c>
      <c r="M1643" s="55" t="str">
        <f>+IF(Tabla6[[#This Row],[ESTADO FACTURA]]="PAGADA",Tabla6[[#This Row],[FECHA]]-_xlfn.XLOOKUP(Tabla6[[#This Row],[N° FACTURA]],INGRESOS!F:F,INGRESOS!A:A),"-")</f>
        <v>-</v>
      </c>
      <c r="N1643" s="2"/>
      <c r="O1643"/>
    </row>
    <row r="1644" spans="1:15" ht="14.75" customHeight="1">
      <c r="A1644" s="320" t="s">
        <v>450</v>
      </c>
      <c r="B1644" t="str">
        <f>+_xlfn.XLOOKUP(Tabla6[[#This Row],[ID CLIENTE]],'RESUMEN CLIENTES'!D:D,'RESUMEN CLIENTES'!A:A)</f>
        <v>Alexandra Carolina Ordoñez Cuotto</v>
      </c>
      <c r="C1644" t="str">
        <f>+_xlfn.XLOOKUP(Tabla6[[#This Row],[ID CLIENTE]],'RESUMEN CLIENTES'!D:D,'RESUMEN CLIENTES'!C:C)</f>
        <v>Venezuela</v>
      </c>
      <c r="D1644" s="44" t="str">
        <f>+_xlfn.XLOOKUP(Tabla6[[#This Row],[ID CLIENTE]],'RESUMEN CLIENTES'!D:D,'RESUMEN CLIENTES'!M:M)</f>
        <v>¡REGULARIZAR!</v>
      </c>
      <c r="E1644" s="72">
        <f>+_xlfn.XLOOKUP(Tabla6[[#This Row],[NOMBRE]],'RESUMEN CLIENTES'!A:A,'RESUMEN CLIENTES'!X:X)</f>
        <v>-2</v>
      </c>
      <c r="F1644" s="72">
        <f>+_xlfn.XLOOKUP(Tabla6[[#This Row],[ID CLIENTE]],'RESUMEN CLIENTES'!D:D,'RESUMEN CLIENTES'!W:W)</f>
        <v>0</v>
      </c>
      <c r="G1644" s="17">
        <v>46263</v>
      </c>
      <c r="H1644" s="44" t="s">
        <v>81</v>
      </c>
      <c r="I1644" s="2">
        <v>1000</v>
      </c>
      <c r="J1644"/>
      <c r="K1644"/>
      <c r="L1644" s="44" t="str" cm="1">
        <f t="array" ref="L1644">+_xlfn.IFS(COUNTIF(INGRESOS!E:E,Tabla6[[#This Row],[ID FACTURA]])=1,"PAGADA",Tabla6[[#This Row],[ID FACTURA]]&lt;&gt;0,"EMITIDA",Tabla6[[#This Row],[ID FACTURA]]=0,"POR EMITIR")</f>
        <v>POR EMITIR</v>
      </c>
      <c r="M1644" s="55" t="str">
        <f>+IF(Tabla6[[#This Row],[ESTADO FACTURA]]="PAGADA",Tabla6[[#This Row],[FECHA]]-_xlfn.XLOOKUP(Tabla6[[#This Row],[N° FACTURA]],INGRESOS!F:F,INGRESOS!A:A),"-")</f>
        <v>-</v>
      </c>
      <c r="N1644" s="2"/>
      <c r="O1644"/>
    </row>
    <row r="1645" spans="1:15" ht="14.75" customHeight="1">
      <c r="A1645" s="320" t="s">
        <v>541</v>
      </c>
      <c r="B1645" t="str">
        <f>+_xlfn.XLOOKUP(Tabla6[[#This Row],[ID CLIENTE]],'RESUMEN CLIENTES'!D:D,'RESUMEN CLIENTES'!A:A)</f>
        <v>Alejandra Goretti Figueroa Romo</v>
      </c>
      <c r="C1645" t="str">
        <f>+_xlfn.XLOOKUP(Tabla6[[#This Row],[ID CLIENTE]],'RESUMEN CLIENTES'!D:D,'RESUMEN CLIENTES'!C:C)</f>
        <v>México</v>
      </c>
      <c r="D1645" s="44" t="str">
        <f>+_xlfn.XLOOKUP(Tabla6[[#This Row],[ID CLIENTE]],'RESUMEN CLIENTES'!D:D,'RESUMEN CLIENTES'!M:M)</f>
        <v>OK</v>
      </c>
      <c r="E1645" s="72">
        <f>+_xlfn.XLOOKUP(Tabla6[[#This Row],[NOMBRE]],'RESUMEN CLIENTES'!A:A,'RESUMEN CLIENTES'!X:X)</f>
        <v>0.75</v>
      </c>
      <c r="F1645" s="72">
        <f>+_xlfn.XLOOKUP(Tabla6[[#This Row],[ID CLIENTE]],'RESUMEN CLIENTES'!D:D,'RESUMEN CLIENTES'!W:W)</f>
        <v>0</v>
      </c>
      <c r="G1645" s="17">
        <v>46264</v>
      </c>
      <c r="H1645" s="44" t="s">
        <v>81</v>
      </c>
      <c r="I1645" s="2">
        <v>1000</v>
      </c>
      <c r="J1645"/>
      <c r="K1645"/>
      <c r="L1645" s="44" t="str" cm="1">
        <f t="array" ref="L1645">+_xlfn.IFS(COUNTIF(INGRESOS!E:E,Tabla6[[#This Row],[ID FACTURA]])=1,"PAGADA",Tabla6[[#This Row],[ID FACTURA]]&lt;&gt;0,"EMITIDA",Tabla6[[#This Row],[ID FACTURA]]=0,"POR EMITIR")</f>
        <v>POR EMITIR</v>
      </c>
      <c r="M1645" s="55" t="str">
        <f>+IF(Tabla6[[#This Row],[ESTADO FACTURA]]="PAGADA",Tabla6[[#This Row],[FECHA]]-_xlfn.XLOOKUP(Tabla6[[#This Row],[N° FACTURA]],INGRESOS!F:F,INGRESOS!A:A),"-")</f>
        <v>-</v>
      </c>
      <c r="N1645" s="2"/>
      <c r="O1645"/>
    </row>
    <row r="1646" spans="1:15" ht="14.75" customHeight="1">
      <c r="A1646" s="320" t="s">
        <v>1761</v>
      </c>
      <c r="B1646" t="str">
        <f>+_xlfn.XLOOKUP(Tabla6[[#This Row],[ID CLIENTE]],'RESUMEN CLIENTES'!D:D,'RESUMEN CLIENTES'!A:A)</f>
        <v>Francisco Salas Barrera</v>
      </c>
      <c r="C1646" t="str">
        <f>+_xlfn.XLOOKUP(Tabla6[[#This Row],[ID CLIENTE]],'RESUMEN CLIENTES'!D:D,'RESUMEN CLIENTES'!C:C)</f>
        <v>México</v>
      </c>
      <c r="D1646" s="169" t="str">
        <f>+_xlfn.XLOOKUP(Tabla6[[#This Row],[ID CLIENTE]],'RESUMEN CLIENTES'!D:D,'RESUMEN CLIENTES'!M:M)</f>
        <v>OK</v>
      </c>
      <c r="E1646" s="71">
        <f>+_xlfn.XLOOKUP(Tabla6[[#This Row],[NOMBRE]],'RESUMEN CLIENTES'!A:A,'RESUMEN CLIENTES'!X:X)</f>
        <v>-0.75</v>
      </c>
      <c r="F1646" s="71">
        <f>+_xlfn.XLOOKUP(Tabla6[[#This Row],[ID CLIENTE]],'RESUMEN CLIENTES'!D:D,'RESUMEN CLIENTES'!W:W)</f>
        <v>0</v>
      </c>
      <c r="G1646" s="17">
        <v>46264</v>
      </c>
      <c r="H1646" s="169" t="s">
        <v>81</v>
      </c>
      <c r="I1646" s="2">
        <v>1000</v>
      </c>
      <c r="J1646"/>
      <c r="K1646"/>
      <c r="L1646" s="44" t="str" cm="1">
        <f t="array" ref="L1646">+_xlfn.IFS(COUNTIF(INGRESOS!E:E,Tabla6[[#This Row],[ID FACTURA]])=1,"PAGADA",Tabla6[[#This Row],[ID FACTURA]]&lt;&gt;0,"EMITIDA",Tabla6[[#This Row],[ID FACTURA]]=0,"POR EMITIR")</f>
        <v>POR EMITIR</v>
      </c>
      <c r="M1646" s="55" t="str">
        <f>+IF(Tabla6[[#This Row],[ESTADO FACTURA]]="PAGADA",Tabla6[[#This Row],[FECHA]]-_xlfn.XLOOKUP(Tabla6[[#This Row],[N° FACTURA]],INGRESOS!F:F,INGRESOS!A:A),"-")</f>
        <v>-</v>
      </c>
      <c r="O1646"/>
    </row>
    <row r="1647" spans="1:15" ht="14.75" customHeight="1">
      <c r="A1647" s="320" t="s">
        <v>739</v>
      </c>
      <c r="B1647" t="str">
        <f>+_xlfn.XLOOKUP(Tabla6[[#This Row],[ID CLIENTE]],'RESUMEN CLIENTES'!D:D,'RESUMEN CLIENTES'!A:A)</f>
        <v>Gilberto Martiñon Torres</v>
      </c>
      <c r="C1647" t="str">
        <f>+_xlfn.XLOOKUP(Tabla6[[#This Row],[ID CLIENTE]],'RESUMEN CLIENTES'!D:D,'RESUMEN CLIENTES'!C:C)</f>
        <v>México</v>
      </c>
      <c r="D1647" s="44" t="str">
        <f>+_xlfn.XLOOKUP(Tabla6[[#This Row],[ID CLIENTE]],'RESUMEN CLIENTES'!D:D,'RESUMEN CLIENTES'!M:M)</f>
        <v>OK</v>
      </c>
      <c r="E1647" s="72">
        <f>+_xlfn.XLOOKUP(Tabla6[[#This Row],[NOMBRE]],'RESUMEN CLIENTES'!A:A,'RESUMEN CLIENTES'!X:X)</f>
        <v>-0.625</v>
      </c>
      <c r="F1647" s="72">
        <f>+_xlfn.XLOOKUP(Tabla6[[#This Row],[ID CLIENTE]],'RESUMEN CLIENTES'!D:D,'RESUMEN CLIENTES'!W:W)</f>
        <v>0</v>
      </c>
      <c r="G1647" s="17">
        <v>46264</v>
      </c>
      <c r="H1647" s="44" t="s">
        <v>81</v>
      </c>
      <c r="I1647" s="2">
        <v>700</v>
      </c>
      <c r="J1647"/>
      <c r="K1647"/>
      <c r="L1647" s="44" t="str" cm="1">
        <f t="array" ref="L1647">+_xlfn.IFS(COUNTIF(INGRESOS!E:E,Tabla6[[#This Row],[ID FACTURA]])=1,"PAGADA",Tabla6[[#This Row],[ID FACTURA]]&lt;&gt;0,"EMITIDA",Tabla6[[#This Row],[ID FACTURA]]=0,"POR EMITIR")</f>
        <v>POR EMITIR</v>
      </c>
      <c r="M1647" s="55" t="str">
        <f>+IF(Tabla6[[#This Row],[ESTADO FACTURA]]="PAGADA",Tabla6[[#This Row],[FECHA]]-_xlfn.XLOOKUP(Tabla6[[#This Row],[N° FACTURA]],INGRESOS!F:F,INGRESOS!A:A),"-")</f>
        <v>-</v>
      </c>
      <c r="N1647" s="2"/>
      <c r="O1647"/>
    </row>
    <row r="1648" spans="1:15" ht="14.75" customHeight="1">
      <c r="A1648" s="320" t="s">
        <v>139</v>
      </c>
      <c r="B1648" t="str">
        <f>+_xlfn.XLOOKUP(Tabla6[[#This Row],[ID CLIENTE]],'RESUMEN CLIENTES'!D:D,'RESUMEN CLIENTES'!A:A)</f>
        <v>Hugo Nicolás Trávez Morales</v>
      </c>
      <c r="C1648" t="str">
        <f>+_xlfn.XLOOKUP(Tabla6[[#This Row],[ID CLIENTE]],'RESUMEN CLIENTES'!D:D,'RESUMEN CLIENTES'!C:C)</f>
        <v>Ecuador</v>
      </c>
      <c r="D1648" s="169" t="str">
        <f>+_xlfn.XLOOKUP(Tabla6[[#This Row],[ID CLIENTE]],'RESUMEN CLIENTES'!D:D,'RESUMEN CLIENTES'!M:M)</f>
        <v>OK</v>
      </c>
      <c r="E1648" s="71">
        <f>+_xlfn.XLOOKUP(Tabla6[[#This Row],[NOMBRE]],'RESUMEN CLIENTES'!A:A,'RESUMEN CLIENTES'!X:X)</f>
        <v>0</v>
      </c>
      <c r="F1648" s="71">
        <f>+_xlfn.XLOOKUP(Tabla6[[#This Row],[ID CLIENTE]],'RESUMEN CLIENTES'!D:D,'RESUMEN CLIENTES'!W:W)</f>
        <v>0</v>
      </c>
      <c r="G1648" s="17">
        <v>46264</v>
      </c>
      <c r="H1648" s="44" t="s">
        <v>81</v>
      </c>
      <c r="I1648" s="2">
        <v>1000</v>
      </c>
      <c r="J1648"/>
      <c r="K1648"/>
      <c r="L1648" s="44" t="str" cm="1">
        <f t="array" ref="L1648">+_xlfn.IFS(COUNTIF(INGRESOS!E:E,Tabla6[[#This Row],[ID FACTURA]])=1,"PAGADA",Tabla6[[#This Row],[ID FACTURA]]&lt;&gt;0,"EMITIDA",Tabla6[[#This Row],[ID FACTURA]]=0,"POR EMITIR")</f>
        <v>POR EMITIR</v>
      </c>
      <c r="M1648" s="54" t="str">
        <f>+IF(Tabla6[[#This Row],[ESTADO FACTURA]]="PAGADA",Tabla6[[#This Row],[FECHA]]-_xlfn.XLOOKUP(Tabla6[[#This Row],[N° FACTURA]],INGRESOS!F:F,INGRESOS!A:A),"-")</f>
        <v>-</v>
      </c>
      <c r="O1648"/>
    </row>
    <row r="1649" spans="1:15" ht="14.75" customHeight="1">
      <c r="A1649" s="320" t="s">
        <v>590</v>
      </c>
      <c r="B1649" t="str">
        <f>+_xlfn.XLOOKUP(Tabla6[[#This Row],[ID CLIENTE]],'RESUMEN CLIENTES'!D:D,'RESUMEN CLIENTES'!A:A)</f>
        <v>María Lucero de Jesús Barrios Sazo</v>
      </c>
      <c r="C1649" t="str">
        <f>+_xlfn.XLOOKUP(Tabla6[[#This Row],[ID CLIENTE]],'RESUMEN CLIENTES'!D:D,'RESUMEN CLIENTES'!C:C)</f>
        <v>Guatemala</v>
      </c>
      <c r="D1649" s="44" t="str">
        <f>+_xlfn.XLOOKUP(Tabla6[[#This Row],[ID CLIENTE]],'RESUMEN CLIENTES'!D:D,'RESUMEN CLIENTES'!M:M)</f>
        <v>OK</v>
      </c>
      <c r="E1649" s="72">
        <f>+_xlfn.XLOOKUP(Tabla6[[#This Row],[NOMBRE]],'RESUMEN CLIENTES'!A:A,'RESUMEN CLIENTES'!X:X)</f>
        <v>1.25</v>
      </c>
      <c r="F1649" s="72">
        <f>+_xlfn.XLOOKUP(Tabla6[[#This Row],[ID CLIENTE]],'RESUMEN CLIENTES'!D:D,'RESUMEN CLIENTES'!W:W)</f>
        <v>0</v>
      </c>
      <c r="G1649" s="17">
        <v>46264</v>
      </c>
      <c r="H1649" s="44" t="s">
        <v>81</v>
      </c>
      <c r="I1649" s="2">
        <v>700</v>
      </c>
      <c r="J1649"/>
      <c r="K1649"/>
      <c r="L1649" s="44" t="str" cm="1">
        <f t="array" ref="L1649">+_xlfn.IFS(COUNTIF(INGRESOS!E:E,Tabla6[[#This Row],[ID FACTURA]])=1,"PAGADA",Tabla6[[#This Row],[ID FACTURA]]&lt;&gt;0,"EMITIDA",Tabla6[[#This Row],[ID FACTURA]]=0,"POR EMITIR")</f>
        <v>POR EMITIR</v>
      </c>
      <c r="M1649" s="55" t="str">
        <f>+IF(Tabla6[[#This Row],[ESTADO FACTURA]]="PAGADA",Tabla6[[#This Row],[FECHA]]-_xlfn.XLOOKUP(Tabla6[[#This Row],[N° FACTURA]],INGRESOS!F:F,INGRESOS!A:A),"-")</f>
        <v>-</v>
      </c>
      <c r="N1649" s="2"/>
      <c r="O1649"/>
    </row>
    <row r="1650" spans="1:15" ht="14.75" customHeight="1">
      <c r="A1650" s="320" t="s">
        <v>1201</v>
      </c>
      <c r="B1650" t="str">
        <f>+_xlfn.XLOOKUP(Tabla6[[#This Row],[ID CLIENTE]],'RESUMEN CLIENTES'!D:D,'RESUMEN CLIENTES'!A:A)</f>
        <v>María Soledad Tituana Asanza</v>
      </c>
      <c r="C1650" t="str">
        <f>+_xlfn.XLOOKUP(Tabla6[[#This Row],[ID CLIENTE]],'RESUMEN CLIENTES'!D:D,'RESUMEN CLIENTES'!C:C)</f>
        <v>Ecuador</v>
      </c>
      <c r="D1650" s="44" t="str">
        <f>+_xlfn.XLOOKUP(Tabla6[[#This Row],[ID CLIENTE]],'RESUMEN CLIENTES'!D:D,'RESUMEN CLIENTES'!M:M)</f>
        <v>OK</v>
      </c>
      <c r="E1650" s="72">
        <f>+_xlfn.XLOOKUP(Tabla6[[#This Row],[NOMBRE]],'RESUMEN CLIENTES'!A:A,'RESUMEN CLIENTES'!X:X)</f>
        <v>-0.16666666666666666</v>
      </c>
      <c r="F1650" s="72">
        <f>+_xlfn.XLOOKUP(Tabla6[[#This Row],[ID CLIENTE]],'RESUMEN CLIENTES'!D:D,'RESUMEN CLIENTES'!W:W)</f>
        <v>0</v>
      </c>
      <c r="G1650" s="17">
        <v>46264</v>
      </c>
      <c r="H1650" s="44" t="s">
        <v>81</v>
      </c>
      <c r="I1650" s="2">
        <v>1000</v>
      </c>
      <c r="J1650"/>
      <c r="K1650"/>
      <c r="L1650" s="44" t="str" cm="1">
        <f t="array" ref="L1650">+_xlfn.IFS(COUNTIF(INGRESOS!E:E,Tabla6[[#This Row],[ID FACTURA]])=1,"PAGADA",Tabla6[[#This Row],[ID FACTURA]]&lt;&gt;0,"EMITIDA",Tabla6[[#This Row],[ID FACTURA]]=0,"POR EMITIR")</f>
        <v>POR EMITIR</v>
      </c>
      <c r="M1650" s="55" t="str">
        <f>+IF(Tabla6[[#This Row],[ESTADO FACTURA]]="PAGADA",Tabla6[[#This Row],[FECHA]]-_xlfn.XLOOKUP(Tabla6[[#This Row],[N° FACTURA]],INGRESOS!F:F,INGRESOS!A:A),"-")</f>
        <v>-</v>
      </c>
      <c r="N1650" s="2"/>
      <c r="O1650"/>
    </row>
    <row r="1651" spans="1:15" ht="14.75" customHeight="1">
      <c r="A1651" s="320" t="s">
        <v>527</v>
      </c>
      <c r="B1651" t="str">
        <f>+_xlfn.XLOOKUP(Tabla6[[#This Row],[ID CLIENTE]],'RESUMEN CLIENTES'!D:D,'RESUMEN CLIENTES'!A:A)</f>
        <v>Angie Pérez Cáceres</v>
      </c>
      <c r="C1651" t="str">
        <f>+_xlfn.XLOOKUP(Tabla6[[#This Row],[ID CLIENTE]],'RESUMEN CLIENTES'!D:D,'RESUMEN CLIENTES'!C:C)</f>
        <v>Perú</v>
      </c>
      <c r="D1651" s="44" t="str">
        <f>+_xlfn.XLOOKUP(Tabla6[[#This Row],[ID CLIENTE]],'RESUMEN CLIENTES'!D:D,'RESUMEN CLIENTES'!M:M)</f>
        <v>OK</v>
      </c>
      <c r="E1651" s="72">
        <f>+_xlfn.XLOOKUP(Tabla6[[#This Row],[NOMBRE]],'RESUMEN CLIENTES'!A:A,'RESUMEN CLIENTES'!X:X)</f>
        <v>1.625</v>
      </c>
      <c r="F1651" s="72">
        <f>+_xlfn.XLOOKUP(Tabla6[[#This Row],[ID CLIENTE]],'RESUMEN CLIENTES'!D:D,'RESUMEN CLIENTES'!W:W)</f>
        <v>0</v>
      </c>
      <c r="G1651" s="17">
        <v>46265</v>
      </c>
      <c r="H1651" s="44" t="s">
        <v>81</v>
      </c>
      <c r="I1651" s="2">
        <v>1000</v>
      </c>
      <c r="J1651"/>
      <c r="K1651"/>
      <c r="L1651" s="44" t="str" cm="1">
        <f t="array" ref="L1651">+_xlfn.IFS(COUNTIF(INGRESOS!E:E,Tabla6[[#This Row],[ID FACTURA]])=1,"PAGADA",Tabla6[[#This Row],[ID FACTURA]]&lt;&gt;0,"EMITIDA",Tabla6[[#This Row],[ID FACTURA]]=0,"POR EMITIR")</f>
        <v>POR EMITIR</v>
      </c>
      <c r="M1651" s="55" t="str">
        <f>+IF(Tabla6[[#This Row],[ESTADO FACTURA]]="PAGADA",Tabla6[[#This Row],[FECHA]]-_xlfn.XLOOKUP(Tabla6[[#This Row],[N° FACTURA]],INGRESOS!F:F,INGRESOS!A:A),"-")</f>
        <v>-</v>
      </c>
      <c r="N1651" s="2"/>
      <c r="O1651"/>
    </row>
    <row r="1652" spans="1:15" ht="14.75" customHeight="1">
      <c r="A1652" s="320" t="s">
        <v>197</v>
      </c>
      <c r="B1652" t="str">
        <f>+_xlfn.XLOOKUP(Tabla6[[#This Row],[ID CLIENTE]],'RESUMEN CLIENTES'!D:D,'RESUMEN CLIENTES'!A:A)</f>
        <v>Lina Estrada</v>
      </c>
      <c r="C1652" s="15" t="str">
        <f>+_xlfn.XLOOKUP(Tabla6[[#This Row],[ID CLIENTE]],'RESUMEN CLIENTES'!D:D,'RESUMEN CLIENTES'!C:C)</f>
        <v>Colombia</v>
      </c>
      <c r="D1652" s="169" t="str">
        <f>+_xlfn.XLOOKUP(Tabla6[[#This Row],[ID CLIENTE]],'RESUMEN CLIENTES'!D:D,'RESUMEN CLIENTES'!M:M)</f>
        <v>¡REGULARIZAR!</v>
      </c>
      <c r="E1652" s="71">
        <f>+_xlfn.XLOOKUP(Tabla6[[#This Row],[NOMBRE]],'RESUMEN CLIENTES'!A:A,'RESUMEN CLIENTES'!X:X)</f>
        <v>0.5</v>
      </c>
      <c r="F1652" s="71">
        <f>+_xlfn.XLOOKUP(Tabla6[[#This Row],[ID CLIENTE]],'RESUMEN CLIENTES'!D:D,'RESUMEN CLIENTES'!W:W)</f>
        <v>0</v>
      </c>
      <c r="G1652" s="17">
        <v>46265</v>
      </c>
      <c r="H1652" s="169" t="s">
        <v>1669</v>
      </c>
      <c r="I1652" s="2">
        <v>800</v>
      </c>
      <c r="J1652"/>
      <c r="K1652"/>
      <c r="L1652" s="44" t="str" cm="1">
        <f t="array" ref="L1652">+_xlfn.IFS(COUNTIF(INGRESOS!E:E,Tabla6[[#This Row],[ID FACTURA]])=1,"PAGADA",Tabla6[[#This Row],[ID FACTURA]]&lt;&gt;0,"EMITIDA",Tabla6[[#This Row],[ID FACTURA]]=0,"POR EMITIR")</f>
        <v>POR EMITIR</v>
      </c>
      <c r="M1652" s="54" t="str">
        <f>+IF(Tabla6[[#This Row],[ESTADO FACTURA]]="PAGADA",Tabla6[[#This Row],[FECHA]]-_xlfn.XLOOKUP(Tabla6[[#This Row],[N° FACTURA]],INGRESOS!F:F,INGRESOS!A:A),"-")</f>
        <v>-</v>
      </c>
      <c r="O1652"/>
    </row>
    <row r="1653" spans="1:15" ht="14.75" customHeight="1">
      <c r="A1653" s="320" t="s">
        <v>84</v>
      </c>
      <c r="B1653" t="str">
        <f>+_xlfn.XLOOKUP(Tabla6[[#This Row],[ID CLIENTE]],'RESUMEN CLIENTES'!D:D,'RESUMEN CLIENTES'!A:A)</f>
        <v>Andrea Corpeño López</v>
      </c>
      <c r="C1653" t="str">
        <f>+_xlfn.XLOOKUP(Tabla6[[#This Row],[ID CLIENTE]],'RESUMEN CLIENTES'!D:D,'RESUMEN CLIENTES'!C:C)</f>
        <v>El Salvador</v>
      </c>
      <c r="D1653" s="44" t="str">
        <f>+_xlfn.XLOOKUP(Tabla6[[#This Row],[ID CLIENTE]],'RESUMEN CLIENTES'!D:D,'RESUMEN CLIENTES'!M:M)</f>
        <v>OK</v>
      </c>
      <c r="E1653" s="72">
        <f>+_xlfn.XLOOKUP(Tabla6[[#This Row],[NOMBRE]],'RESUMEN CLIENTES'!A:A,'RESUMEN CLIENTES'!X:X)</f>
        <v>-0.81818181818181823</v>
      </c>
      <c r="F1653" s="72">
        <f>+_xlfn.XLOOKUP(Tabla6[[#This Row],[ID CLIENTE]],'RESUMEN CLIENTES'!D:D,'RESUMEN CLIENTES'!W:W)</f>
        <v>0</v>
      </c>
      <c r="G1653" s="17">
        <f>IF($H1653&lt;&gt;"ALEM","",IFERROR(
  DATE(
    YEAR(EDATE(
      _xlfn.XLOOKUP($A1653,'RESUMEN CLIENTES'!$D:$D,'RESUMEN CLIENTES'!$Y:$Y,""),
      7 + COUNTIFS(
            $A$2:INDEX($A:$A,ROW()), $A1653,
            $H$2:INDEX($H:$H,ROW()), "ALEM"
          )
    )),
    MONTH(EDATE(
      _xlfn.XLOOKUP($A1653,'RESUMEN CLIENTES'!$D:$D,'RESUMEN CLIENTES'!$Y:$Y,""),
      7 + COUNTIFS(
            $A$2:INDEX($A:$A,ROW()), $A1653,
            $H$2:INDEX($H:$H,ROW()), "ALEM"
          )
    )),
    1
  ),
"SIN FECHA MIG"))</f>
        <v>46266</v>
      </c>
      <c r="H1653" s="44" t="s">
        <v>1876</v>
      </c>
      <c r="I1653" s="2">
        <v>500</v>
      </c>
      <c r="J1653"/>
      <c r="K1653"/>
      <c r="L1653" s="44" t="str" cm="1">
        <f t="array" ref="L1653">+_xlfn.IFS(COUNTIF(INGRESOS!E:E,Tabla6[[#This Row],[ID FACTURA]])=1,"PAGADA",Tabla6[[#This Row],[ID FACTURA]]&lt;&gt;0,"EMITIDA",Tabla6[[#This Row],[ID FACTURA]]=0,"POR EMITIR")</f>
        <v>POR EMITIR</v>
      </c>
      <c r="M1653" s="55" t="str">
        <f>+IF(Tabla6[[#This Row],[ESTADO FACTURA]]="PAGADA",Tabla6[[#This Row],[FECHA]]-_xlfn.XLOOKUP(Tabla6[[#This Row],[N° FACTURA]],INGRESOS!F:F,INGRESOS!A:A),"-")</f>
        <v>-</v>
      </c>
      <c r="N1653" s="2"/>
      <c r="O1653" t="s">
        <v>2085</v>
      </c>
    </row>
    <row r="1654" spans="1:15" ht="14.75" customHeight="1">
      <c r="A1654" s="320" t="s">
        <v>325</v>
      </c>
      <c r="B1654" t="str">
        <f>+_xlfn.XLOOKUP(Tabla6[[#This Row],[ID CLIENTE]],'RESUMEN CLIENTES'!D:D,'RESUMEN CLIENTES'!A:A)</f>
        <v>Andrea Cristina Estrada Morocho</v>
      </c>
      <c r="C1654" t="str">
        <f>+_xlfn.XLOOKUP(Tabla6[[#This Row],[ID CLIENTE]],'RESUMEN CLIENTES'!D:D,'RESUMEN CLIENTES'!C:C)</f>
        <v>Ecuador</v>
      </c>
      <c r="D1654" s="44" t="str">
        <f>+_xlfn.XLOOKUP(Tabla6[[#This Row],[ID CLIENTE]],'RESUMEN CLIENTES'!D:D,'RESUMEN CLIENTES'!M:M)</f>
        <v>OK</v>
      </c>
      <c r="E1654" s="72">
        <f>+_xlfn.XLOOKUP(Tabla6[[#This Row],[NOMBRE]],'RESUMEN CLIENTES'!A:A,'RESUMEN CLIENTES'!X:X)</f>
        <v>-3.6666666666666665</v>
      </c>
      <c r="F1654" s="72">
        <f>+_xlfn.XLOOKUP(Tabla6[[#This Row],[ID CLIENTE]],'RESUMEN CLIENTES'!D:D,'RESUMEN CLIENTES'!W:W)</f>
        <v>1</v>
      </c>
      <c r="G1654" s="17">
        <f>IF($H1654&lt;&gt;"ALEM","",IFERROR(
  DATE(
    YEAR(EDATE(
      _xlfn.XLOOKUP($A1654,'RESUMEN CLIENTES'!$D:$D,'RESUMEN CLIENTES'!$Y:$Y,""),
      7 + COUNTIFS(
            $A$2:INDEX($A:$A,ROW()), $A1654,
            $H$2:INDEX($H:$H,ROW()), "ALEM"
          )
    )),
    MONTH(EDATE(
      _xlfn.XLOOKUP($A1654,'RESUMEN CLIENTES'!$D:$D,'RESUMEN CLIENTES'!$Y:$Y,""),
      7 + COUNTIFS(
            $A$2:INDEX($A:$A,ROW()), $A1654,
            $H$2:INDEX($H:$H,ROW()), "ALEM"
          )
    )),
    1
  ),
"SIN FECHA MIG"))</f>
        <v>46266</v>
      </c>
      <c r="H1654" s="44" t="s">
        <v>1876</v>
      </c>
      <c r="I1654" s="2">
        <v>1000</v>
      </c>
      <c r="J1654"/>
      <c r="K1654"/>
      <c r="L1654" s="44" t="str" cm="1">
        <f t="array" ref="L1654">+_xlfn.IFS(COUNTIF(INGRESOS!E:E,Tabla6[[#This Row],[ID FACTURA]])=1,"PAGADA",Tabla6[[#This Row],[ID FACTURA]]&lt;&gt;0,"EMITIDA",Tabla6[[#This Row],[ID FACTURA]]=0,"POR EMITIR")</f>
        <v>POR EMITIR</v>
      </c>
      <c r="M1654" s="55" t="str">
        <f>+IF(Tabla6[[#This Row],[ESTADO FACTURA]]="PAGADA",Tabla6[[#This Row],[FECHA]]-_xlfn.XLOOKUP(Tabla6[[#This Row],[N° FACTURA]],INGRESOS!F:F,INGRESOS!A:A),"-")</f>
        <v>-</v>
      </c>
      <c r="N1654" s="2"/>
      <c r="O1654"/>
    </row>
    <row r="1655" spans="1:15" ht="14.75" customHeight="1">
      <c r="A1655" s="320" t="s">
        <v>1357</v>
      </c>
      <c r="B1655" t="str">
        <f>+_xlfn.XLOOKUP(Tabla6[[#This Row],[ID CLIENTE]],'RESUMEN CLIENTES'!D:D,'RESUMEN CLIENTES'!A:A)</f>
        <v>Angel Andres Velastegui Huebla</v>
      </c>
      <c r="C1655" t="str">
        <f>+_xlfn.XLOOKUP(Tabla6[[#This Row],[ID CLIENTE]],'RESUMEN CLIENTES'!D:D,'RESUMEN CLIENTES'!C:C)</f>
        <v>Ecuador</v>
      </c>
      <c r="D1655" s="44" t="str">
        <f>+_xlfn.XLOOKUP(Tabla6[[#This Row],[ID CLIENTE]],'RESUMEN CLIENTES'!D:D,'RESUMEN CLIENTES'!M:M)</f>
        <v>OK</v>
      </c>
      <c r="E1655" s="71">
        <f>+_xlfn.XLOOKUP(Tabla6[[#This Row],[NOMBRE]],'RESUMEN CLIENTES'!A:A,'RESUMEN CLIENTES'!X:X)</f>
        <v>0</v>
      </c>
      <c r="F1655" s="71">
        <f>+_xlfn.XLOOKUP(Tabla6[[#This Row],[ID CLIENTE]],'RESUMEN CLIENTES'!D:D,'RESUMEN CLIENTES'!W:W)</f>
        <v>1</v>
      </c>
      <c r="G1655" s="17">
        <f>IF($H1655&lt;&gt;"ALEM","",IFERROR(
  DATE(
    YEAR(EDATE(
      _xlfn.XLOOKUP($A1655,'RESUMEN CLIENTES'!$D:$D,'RESUMEN CLIENTES'!$Y:$Y,""),
      7 + COUNTIFS(
            $A$2:INDEX($A:$A,ROW()), $A1655,
            $H$2:INDEX($H:$H,ROW()), "ALEM"
          )
    )),
    MONTH(EDATE(
      _xlfn.XLOOKUP($A1655,'RESUMEN CLIENTES'!$D:$D,'RESUMEN CLIENTES'!$Y:$Y,""),
      7 + COUNTIFS(
            $A$2:INDEX($A:$A,ROW()), $A1655,
            $H$2:INDEX($H:$H,ROW()), "ALEM"
          )
    )),
    1
  ),
"SIN FECHA MIG"))</f>
        <v>46266</v>
      </c>
      <c r="H1655" s="44" t="s">
        <v>1876</v>
      </c>
      <c r="I1655" s="2">
        <v>800</v>
      </c>
      <c r="J1655"/>
      <c r="K1655"/>
      <c r="L1655" s="44" t="str" cm="1">
        <f t="array" ref="L1655">+_xlfn.IFS(COUNTIF(INGRESOS!E:E,Tabla6[[#This Row],[ID FACTURA]])=1,"PAGADA",Tabla6[[#This Row],[ID FACTURA]]&lt;&gt;0,"EMITIDA",Tabla6[[#This Row],[ID FACTURA]]=0,"POR EMITIR")</f>
        <v>POR EMITIR</v>
      </c>
      <c r="M1655" s="55" t="str">
        <f>+IF(Tabla6[[#This Row],[ESTADO FACTURA]]="PAGADA",Tabla6[[#This Row],[FECHA]]-_xlfn.XLOOKUP(Tabla6[[#This Row],[N° FACTURA]],INGRESOS!F:F,INGRESOS!A:A),"-")</f>
        <v>-</v>
      </c>
      <c r="N1655" s="2"/>
      <c r="O1655"/>
    </row>
    <row r="1656" spans="1:15" ht="14.75" customHeight="1">
      <c r="A1656" s="320" t="s">
        <v>1206</v>
      </c>
      <c r="B1656" t="str">
        <f>+_xlfn.XLOOKUP(Tabla6[[#This Row],[ID CLIENTE]],'RESUMEN CLIENTES'!D:D,'RESUMEN CLIENTES'!A:A)</f>
        <v>Bryan Israel Jiménez Puente</v>
      </c>
      <c r="C1656" t="str">
        <f>+_xlfn.XLOOKUP(Tabla6[[#This Row],[ID CLIENTE]],'RESUMEN CLIENTES'!D:D,'RESUMEN CLIENTES'!C:C)</f>
        <v>Ecuador</v>
      </c>
      <c r="D1656" s="44" t="str">
        <f>+_xlfn.XLOOKUP(Tabla6[[#This Row],[ID CLIENTE]],'RESUMEN CLIENTES'!D:D,'RESUMEN CLIENTES'!M:M)</f>
        <v>OK</v>
      </c>
      <c r="E1656" s="72">
        <f>+_xlfn.XLOOKUP(Tabla6[[#This Row],[NOMBRE]],'RESUMEN CLIENTES'!A:A,'RESUMEN CLIENTES'!X:X)</f>
        <v>1</v>
      </c>
      <c r="F1656" s="72">
        <f>+_xlfn.XLOOKUP(Tabla6[[#This Row],[ID CLIENTE]],'RESUMEN CLIENTES'!D:D,'RESUMEN CLIENTES'!W:W)</f>
        <v>0</v>
      </c>
      <c r="G1656" s="17">
        <f>IF($H1656&lt;&gt;"ALEM","",IFERROR(
  DATE(
    YEAR(EDATE(
      _xlfn.XLOOKUP($A1656,'RESUMEN CLIENTES'!$D:$D,'RESUMEN CLIENTES'!$Y:$Y,""),
      7 + COUNTIFS(
            $A$2:INDEX($A:$A,ROW()), $A1656,
            $H$2:INDEX($H:$H,ROW()), "ALEM"
          )
    )),
    MONTH(EDATE(
      _xlfn.XLOOKUP($A1656,'RESUMEN CLIENTES'!$D:$D,'RESUMEN CLIENTES'!$Y:$Y,""),
      7 + COUNTIFS(
            $A$2:INDEX($A:$A,ROW()), $A1656,
            $H$2:INDEX($H:$H,ROW()), "ALEM"
          )
    )),
    1
  ),
"SIN FECHA MIG"))</f>
        <v>46266</v>
      </c>
      <c r="H1656" s="44" t="s">
        <v>1876</v>
      </c>
      <c r="I1656" s="2">
        <v>800</v>
      </c>
      <c r="J1656"/>
      <c r="K1656"/>
      <c r="L1656" s="44" t="str" cm="1">
        <f t="array" ref="L1656">+_xlfn.IFS(COUNTIF(INGRESOS!E:E,Tabla6[[#This Row],[ID FACTURA]])=1,"PAGADA",Tabla6[[#This Row],[ID FACTURA]]&lt;&gt;0,"EMITIDA",Tabla6[[#This Row],[ID FACTURA]]=0,"POR EMITIR")</f>
        <v>POR EMITIR</v>
      </c>
      <c r="M1656" s="55" t="str">
        <f>+IF(Tabla6[[#This Row],[ESTADO FACTURA]]="PAGADA",Tabla6[[#This Row],[FECHA]]-_xlfn.XLOOKUP(Tabla6[[#This Row],[N° FACTURA]],INGRESOS!F:F,INGRESOS!A:A),"-")</f>
        <v>-</v>
      </c>
      <c r="N1656" s="2"/>
      <c r="O1656" t="s">
        <v>2084</v>
      </c>
    </row>
    <row r="1657" spans="1:15" ht="14.75" customHeight="1">
      <c r="A1657" s="320" t="s">
        <v>1245</v>
      </c>
      <c r="B1657" t="str">
        <f>+_xlfn.XLOOKUP(Tabla6[[#This Row],[ID CLIENTE]],'RESUMEN CLIENTES'!D:D,'RESUMEN CLIENTES'!A:A)</f>
        <v>Constanza Andrea Águila Vergara</v>
      </c>
      <c r="C1657" t="str">
        <f>+_xlfn.XLOOKUP(Tabla6[[#This Row],[ID CLIENTE]],'RESUMEN CLIENTES'!D:D,'RESUMEN CLIENTES'!C:C)</f>
        <v>Chile</v>
      </c>
      <c r="D1657" s="44" t="str">
        <f>+_xlfn.XLOOKUP(Tabla6[[#This Row],[ID CLIENTE]],'RESUMEN CLIENTES'!D:D,'RESUMEN CLIENTES'!M:M)</f>
        <v>OK</v>
      </c>
      <c r="E1657" s="71">
        <f>+_xlfn.XLOOKUP(Tabla6[[#This Row],[NOMBRE]],'RESUMEN CLIENTES'!A:A,'RESUMEN CLIENTES'!X:X)</f>
        <v>-0.2</v>
      </c>
      <c r="F1657" s="71">
        <f>+_xlfn.XLOOKUP(Tabla6[[#This Row],[ID CLIENTE]],'RESUMEN CLIENTES'!D:D,'RESUMEN CLIENTES'!W:W)</f>
        <v>1</v>
      </c>
      <c r="G1657" s="17">
        <v>46266</v>
      </c>
      <c r="H1657" s="44" t="s">
        <v>81</v>
      </c>
      <c r="I1657" s="2">
        <v>1150</v>
      </c>
      <c r="J1657"/>
      <c r="K1657"/>
      <c r="L1657" s="44" t="str" cm="1">
        <f t="array" ref="L1657">+_xlfn.IFS(COUNTIF(INGRESOS!E:E,Tabla6[[#This Row],[ID FACTURA]])=1,"PAGADA",Tabla6[[#This Row],[ID FACTURA]]&lt;&gt;0,"EMITIDA",Tabla6[[#This Row],[ID FACTURA]]=0,"POR EMITIR")</f>
        <v>POR EMITIR</v>
      </c>
      <c r="M1657" s="55" t="str">
        <f>+IF(Tabla6[[#This Row],[ESTADO FACTURA]]="PAGADA",Tabla6[[#This Row],[FECHA]]-_xlfn.XLOOKUP(Tabla6[[#This Row],[N° FACTURA]],INGRESOS!F:F,INGRESOS!A:A),"-")</f>
        <v>-</v>
      </c>
      <c r="N1657" s="2"/>
      <c r="O1657"/>
    </row>
    <row r="1658" spans="1:15" ht="14.75" customHeight="1">
      <c r="A1658" s="320" t="s">
        <v>1178</v>
      </c>
      <c r="B1658" t="str">
        <f>+_xlfn.XLOOKUP(Tabla6[[#This Row],[ID CLIENTE]],'RESUMEN CLIENTES'!D:D,'RESUMEN CLIENTES'!A:A)</f>
        <v>Daniel Flores</v>
      </c>
      <c r="C1658" t="str">
        <f>+_xlfn.XLOOKUP(Tabla6[[#This Row],[ID CLIENTE]],'RESUMEN CLIENTES'!D:D,'RESUMEN CLIENTES'!C:C)</f>
        <v>Ecuador</v>
      </c>
      <c r="D1658" s="44" t="str">
        <f>+_xlfn.XLOOKUP(Tabla6[[#This Row],[ID CLIENTE]],'RESUMEN CLIENTES'!D:D,'RESUMEN CLIENTES'!M:M)</f>
        <v>OK</v>
      </c>
      <c r="E1658" s="72">
        <f>+_xlfn.XLOOKUP(Tabla6[[#This Row],[NOMBRE]],'RESUMEN CLIENTES'!A:A,'RESUMEN CLIENTES'!X:X)</f>
        <v>3.8333333333333335</v>
      </c>
      <c r="F1658" s="72">
        <f>+_xlfn.XLOOKUP(Tabla6[[#This Row],[ID CLIENTE]],'RESUMEN CLIENTES'!D:D,'RESUMEN CLIENTES'!W:W)</f>
        <v>1</v>
      </c>
      <c r="G1658" s="17">
        <v>46266</v>
      </c>
      <c r="H1658" s="44" t="s">
        <v>81</v>
      </c>
      <c r="I1658" s="2">
        <v>850</v>
      </c>
      <c r="J1658"/>
      <c r="K1658"/>
      <c r="L1658" s="44" t="str" cm="1">
        <f t="array" ref="L1658">+_xlfn.IFS(COUNTIF(INGRESOS!E:E,Tabla6[[#This Row],[ID FACTURA]])=1,"PAGADA",Tabla6[[#This Row],[ID FACTURA]]&lt;&gt;0,"EMITIDA",Tabla6[[#This Row],[ID FACTURA]]=0,"POR EMITIR")</f>
        <v>POR EMITIR</v>
      </c>
      <c r="M1658" s="55" t="str">
        <f>+IF(Tabla6[[#This Row],[ESTADO FACTURA]]="PAGADA",Tabla6[[#This Row],[FECHA]]-_xlfn.XLOOKUP(Tabla6[[#This Row],[N° FACTURA]],INGRESOS!F:F,INGRESOS!A:A),"-")</f>
        <v>-</v>
      </c>
      <c r="N1658" s="2"/>
      <c r="O1658"/>
    </row>
    <row r="1659" spans="1:15" ht="14.75" customHeight="1">
      <c r="A1659" s="320" t="s">
        <v>90</v>
      </c>
      <c r="B1659" t="str">
        <f>+_xlfn.XLOOKUP(Tabla6[[#This Row],[ID CLIENTE]],'RESUMEN CLIENTES'!D:D,'RESUMEN CLIENTES'!A:A)</f>
        <v>David Enrique Díaz Mejía</v>
      </c>
      <c r="C1659" t="str">
        <f>+_xlfn.XLOOKUP(Tabla6[[#This Row],[ID CLIENTE]],'RESUMEN CLIENTES'!D:D,'RESUMEN CLIENTES'!C:C)</f>
        <v>Honduras</v>
      </c>
      <c r="D1659" s="44" t="str">
        <f>+_xlfn.XLOOKUP(Tabla6[[#This Row],[ID CLIENTE]],'RESUMEN CLIENTES'!D:D,'RESUMEN CLIENTES'!M:M)</f>
        <v>OK</v>
      </c>
      <c r="E1659" s="72">
        <f>+_xlfn.XLOOKUP(Tabla6[[#This Row],[NOMBRE]],'RESUMEN CLIENTES'!A:A,'RESUMEN CLIENTES'!X:X)</f>
        <v>-15.217592592592862</v>
      </c>
      <c r="F1659" s="72">
        <f>+_xlfn.XLOOKUP(Tabla6[[#This Row],[ID CLIENTE]],'RESUMEN CLIENTES'!D:D,'RESUMEN CLIENTES'!W:W)</f>
        <v>1</v>
      </c>
      <c r="G1659" s="17">
        <f>IF($H1659&lt;&gt;"ALEM","",IFERROR(
  DATE(
    YEAR(EDATE(
      _xlfn.XLOOKUP($A1659,'RESUMEN CLIENTES'!$D:$D,'RESUMEN CLIENTES'!$Y:$Y,""),
      7 + COUNTIFS(
            $A$2:INDEX($A:$A,ROW()), $A1659,
            $H$2:INDEX($H:$H,ROW()), "ALEM"
          )
    )),
    MONTH(EDATE(
      _xlfn.XLOOKUP($A1659,'RESUMEN CLIENTES'!$D:$D,'RESUMEN CLIENTES'!$Y:$Y,""),
      7 + COUNTIFS(
            $A$2:INDEX($A:$A,ROW()), $A1659,
            $H$2:INDEX($H:$H,ROW()), "ALEM"
          )
    )),
    1
  ),
"SIN FECHA MIG"))</f>
        <v>46266</v>
      </c>
      <c r="H1659" s="44" t="s">
        <v>1876</v>
      </c>
      <c r="I1659" s="2">
        <v>1187</v>
      </c>
      <c r="J1659"/>
      <c r="K1659"/>
      <c r="L1659" s="44" t="str" cm="1">
        <f t="array" ref="L1659">+_xlfn.IFS(COUNTIF(INGRESOS!E:E,Tabla6[[#This Row],[ID FACTURA]])=1,"PAGADA",Tabla6[[#This Row],[ID FACTURA]]&lt;&gt;0,"EMITIDA",Tabla6[[#This Row],[ID FACTURA]]=0,"POR EMITIR")</f>
        <v>POR EMITIR</v>
      </c>
      <c r="M1659" s="55" t="str">
        <f>+IF(Tabla6[[#This Row],[ESTADO FACTURA]]="PAGADA",Tabla6[[#This Row],[FECHA]]-_xlfn.XLOOKUP(Tabla6[[#This Row],[N° FACTURA]],INGRESOS!F:F,INGRESOS!A:A),"-")</f>
        <v>-</v>
      </c>
      <c r="N1659" s="2"/>
      <c r="O1659"/>
    </row>
    <row r="1660" spans="1:15" ht="14.75" customHeight="1">
      <c r="A1660" s="320" t="s">
        <v>1674</v>
      </c>
      <c r="B1660" t="str">
        <f>+_xlfn.XLOOKUP(Tabla6[[#This Row],[ID CLIENTE]],'RESUMEN CLIENTES'!D:D,'RESUMEN CLIENTES'!A:A)</f>
        <v>Diego Alberto Ruiz Cifuentes</v>
      </c>
      <c r="C1660" t="str">
        <f>+_xlfn.XLOOKUP(Tabla6[[#This Row],[ID CLIENTE]],'RESUMEN CLIENTES'!D:D,'RESUMEN CLIENTES'!C:C)</f>
        <v>Chile</v>
      </c>
      <c r="D1660" s="169" t="str">
        <f>+_xlfn.XLOOKUP(Tabla6[[#This Row],[ID CLIENTE]],'RESUMEN CLIENTES'!D:D,'RESUMEN CLIENTES'!M:M)</f>
        <v>OK</v>
      </c>
      <c r="E1660" s="71">
        <f>+_xlfn.XLOOKUP(Tabla6[[#This Row],[NOMBRE]],'RESUMEN CLIENTES'!A:A,'RESUMEN CLIENTES'!X:X)</f>
        <v>5.75</v>
      </c>
      <c r="F1660" s="71">
        <f>+_xlfn.XLOOKUP(Tabla6[[#This Row],[ID CLIENTE]],'RESUMEN CLIENTES'!D:D,'RESUMEN CLIENTES'!W:W)</f>
        <v>0</v>
      </c>
      <c r="G1660" s="17">
        <f>IF($H1660&lt;&gt;"ALEM","",IFERROR(
  DATE(
    YEAR(EDATE(
      _xlfn.XLOOKUP($A1660,'RESUMEN CLIENTES'!$D:$D,'RESUMEN CLIENTES'!$Y:$Y,""),
      7 + COUNTIFS(
            $A$2:INDEX($A:$A,ROW()), $A1660,
            $H$2:INDEX($H:$H,ROW()), "ALEM"
          )
    )),
    MONTH(EDATE(
      _xlfn.XLOOKUP($A1660,'RESUMEN CLIENTES'!$D:$D,'RESUMEN CLIENTES'!$Y:$Y,""),
      7 + COUNTIFS(
            $A$2:INDEX($A:$A,ROW()), $A1660,
            $H$2:INDEX($H:$H,ROW()), "ALEM"
          )
    )),
    1
  ),
"SIN FECHA MIG"))</f>
        <v>46266</v>
      </c>
      <c r="H1660" s="169" t="s">
        <v>1876</v>
      </c>
      <c r="I1660" s="2">
        <v>800</v>
      </c>
      <c r="J1660"/>
      <c r="K1660"/>
      <c r="L1660" s="44" t="str" cm="1">
        <f t="array" ref="L1660">+_xlfn.IFS(COUNTIF(INGRESOS!E:E,Tabla6[[#This Row],[ID FACTURA]])=1,"PAGADA",Tabla6[[#This Row],[ID FACTURA]]&lt;&gt;0,"EMITIDA",Tabla6[[#This Row],[ID FACTURA]]=0,"POR EMITIR")</f>
        <v>POR EMITIR</v>
      </c>
      <c r="M1660" s="55" t="str">
        <f>+IF(Tabla6[[#This Row],[ESTADO FACTURA]]="PAGADA",Tabla6[[#This Row],[FECHA]]-_xlfn.XLOOKUP(Tabla6[[#This Row],[N° FACTURA]],INGRESOS!F:F,INGRESOS!A:A),"-")</f>
        <v>-</v>
      </c>
      <c r="N1660" s="2"/>
      <c r="O1660"/>
    </row>
    <row r="1661" spans="1:15" ht="14.75" customHeight="1">
      <c r="A1661" s="320" t="s">
        <v>194</v>
      </c>
      <c r="B1661" t="str">
        <f>+_xlfn.XLOOKUP(Tabla6[[#This Row],[ID CLIENTE]],'RESUMEN CLIENTES'!D:D,'RESUMEN CLIENTES'!A:A)</f>
        <v>Dinorah Gómez Castellanos</v>
      </c>
      <c r="C1661" t="str">
        <f>+_xlfn.XLOOKUP(Tabla6[[#This Row],[ID CLIENTE]],'RESUMEN CLIENTES'!D:D,'RESUMEN CLIENTES'!C:C)</f>
        <v>México</v>
      </c>
      <c r="D1661" s="44" t="str">
        <f>+_xlfn.XLOOKUP(Tabla6[[#This Row],[ID CLIENTE]],'RESUMEN CLIENTES'!D:D,'RESUMEN CLIENTES'!M:M)</f>
        <v>OK</v>
      </c>
      <c r="E1661" s="72">
        <f>+_xlfn.XLOOKUP(Tabla6[[#This Row],[NOMBRE]],'RESUMEN CLIENTES'!A:A,'RESUMEN CLIENTES'!X:X)</f>
        <v>2.75</v>
      </c>
      <c r="F1661" s="72">
        <f>+_xlfn.XLOOKUP(Tabla6[[#This Row],[ID CLIENTE]],'RESUMEN CLIENTES'!D:D,'RESUMEN CLIENTES'!W:W)</f>
        <v>0</v>
      </c>
      <c r="G1661" s="17">
        <f>IF($H1661&lt;&gt;"ALEM","",IFERROR(
  DATE(
    YEAR(EDATE(
      _xlfn.XLOOKUP($A1661,'RESUMEN CLIENTES'!$D:$D,'RESUMEN CLIENTES'!$Y:$Y,""),
      7 + COUNTIFS(
            $A$2:INDEX($A:$A,ROW()), $A1661,
            $H$2:INDEX($H:$H,ROW()), "ALEM"
          )
    )),
    MONTH(EDATE(
      _xlfn.XLOOKUP($A1661,'RESUMEN CLIENTES'!$D:$D,'RESUMEN CLIENTES'!$Y:$Y,""),
      7 + COUNTIFS(
            $A$2:INDEX($A:$A,ROW()), $A1661,
            $H$2:INDEX($H:$H,ROW()), "ALEM"
          )
    )),
    1
  ),
"SIN FECHA MIG"))</f>
        <v>46266</v>
      </c>
      <c r="H1661" s="44" t="s">
        <v>1876</v>
      </c>
      <c r="I1661" s="2">
        <v>900</v>
      </c>
      <c r="J1661"/>
      <c r="K1661"/>
      <c r="L1661" s="44" t="str" cm="1">
        <f t="array" ref="L1661">+_xlfn.IFS(COUNTIF(INGRESOS!E:E,Tabla6[[#This Row],[ID FACTURA]])=1,"PAGADA",Tabla6[[#This Row],[ID FACTURA]]&lt;&gt;0,"EMITIDA",Tabla6[[#This Row],[ID FACTURA]]=0,"POR EMITIR")</f>
        <v>POR EMITIR</v>
      </c>
      <c r="M1661" s="55" t="str">
        <f>+IF(Tabla6[[#This Row],[ESTADO FACTURA]]="PAGADA",Tabla6[[#This Row],[FECHA]]-_xlfn.XLOOKUP(Tabla6[[#This Row],[N° FACTURA]],INGRESOS!F:F,INGRESOS!A:A),"-")</f>
        <v>-</v>
      </c>
      <c r="N1661" s="2"/>
      <c r="O1661" t="s">
        <v>2086</v>
      </c>
    </row>
    <row r="1662" spans="1:15" ht="14.75" customHeight="1">
      <c r="A1662" s="320" t="s">
        <v>739</v>
      </c>
      <c r="B1662" t="str">
        <f>+_xlfn.XLOOKUP(Tabla6[[#This Row],[ID CLIENTE]],'RESUMEN CLIENTES'!D:D,'RESUMEN CLIENTES'!A:A)</f>
        <v>Gilberto Martiñon Torres</v>
      </c>
      <c r="C1662" t="str">
        <f>+_xlfn.XLOOKUP(Tabla6[[#This Row],[ID CLIENTE]],'RESUMEN CLIENTES'!D:D,'RESUMEN CLIENTES'!C:C)</f>
        <v>México</v>
      </c>
      <c r="D1662" s="44" t="str">
        <f>+_xlfn.XLOOKUP(Tabla6[[#This Row],[ID CLIENTE]],'RESUMEN CLIENTES'!D:D,'RESUMEN CLIENTES'!M:M)</f>
        <v>OK</v>
      </c>
      <c r="E1662" s="72">
        <f>+_xlfn.XLOOKUP(Tabla6[[#This Row],[NOMBRE]],'RESUMEN CLIENTES'!A:A,'RESUMEN CLIENTES'!X:X)</f>
        <v>-0.625</v>
      </c>
      <c r="F1662" s="72">
        <f>+_xlfn.XLOOKUP(Tabla6[[#This Row],[ID CLIENTE]],'RESUMEN CLIENTES'!D:D,'RESUMEN CLIENTES'!W:W)</f>
        <v>0</v>
      </c>
      <c r="G1662" s="17">
        <f>IF($H1662&lt;&gt;"ALEM","",IFERROR(
  DATE(
    YEAR(EDATE(
      _xlfn.XLOOKUP($A1662,'RESUMEN CLIENTES'!$D:$D,'RESUMEN CLIENTES'!$Y:$Y,""),
      7 + COUNTIFS(
            $A$2:INDEX($A:$A,ROW()), $A1662,
            $H$2:INDEX($H:$H,ROW()), "ALEM"
          )
    )),
    MONTH(EDATE(
      _xlfn.XLOOKUP($A1662,'RESUMEN CLIENTES'!$D:$D,'RESUMEN CLIENTES'!$Y:$Y,""),
      7 + COUNTIFS(
            $A$2:INDEX($A:$A,ROW()), $A1662,
            $H$2:INDEX($H:$H,ROW()), "ALEM"
          )
    )),
    1
  ),
"SIN FECHA MIG"))</f>
        <v>46266</v>
      </c>
      <c r="H1662" s="44" t="s">
        <v>1876</v>
      </c>
      <c r="I1662" s="2">
        <v>1000</v>
      </c>
      <c r="J1662"/>
      <c r="K1662"/>
      <c r="L1662" s="44" t="str" cm="1">
        <f t="array" ref="L1662">+_xlfn.IFS(COUNTIF(INGRESOS!E:E,Tabla6[[#This Row],[ID FACTURA]])=1,"PAGADA",Tabla6[[#This Row],[ID FACTURA]]&lt;&gt;0,"EMITIDA",Tabla6[[#This Row],[ID FACTURA]]=0,"POR EMITIR")</f>
        <v>POR EMITIR</v>
      </c>
      <c r="M1662" s="55" t="str">
        <f>+IF(Tabla6[[#This Row],[ESTADO FACTURA]]="PAGADA",Tabla6[[#This Row],[FECHA]]-_xlfn.XLOOKUP(Tabla6[[#This Row],[N° FACTURA]],INGRESOS!F:F,INGRESOS!A:A),"-")</f>
        <v>-</v>
      </c>
      <c r="N1662" s="2"/>
      <c r="O1662" t="s">
        <v>2084</v>
      </c>
    </row>
    <row r="1663" spans="1:15" ht="14.75" customHeight="1">
      <c r="A1663" s="320" t="s">
        <v>1428</v>
      </c>
      <c r="B1663" t="str">
        <f>+_xlfn.XLOOKUP(Tabla6[[#This Row],[ID CLIENTE]],'RESUMEN CLIENTES'!D:D,'RESUMEN CLIENTES'!A:A)</f>
        <v>Javier Bravo Castelo</v>
      </c>
      <c r="C1663" t="str">
        <f>+_xlfn.XLOOKUP(Tabla6[[#This Row],[ID CLIENTE]],'RESUMEN CLIENTES'!D:D,'RESUMEN CLIENTES'!C:C)</f>
        <v>Colombia</v>
      </c>
      <c r="D1663" s="44" t="str">
        <f>+_xlfn.XLOOKUP(Tabla6[[#This Row],[ID CLIENTE]],'RESUMEN CLIENTES'!D:D,'RESUMEN CLIENTES'!M:M)</f>
        <v>OK</v>
      </c>
      <c r="E1663" s="71">
        <f>+_xlfn.XLOOKUP(Tabla6[[#This Row],[NOMBRE]],'RESUMEN CLIENTES'!A:A,'RESUMEN CLIENTES'!X:X)</f>
        <v>-0.33333333333333331</v>
      </c>
      <c r="F1663" s="71">
        <f>+_xlfn.XLOOKUP(Tabla6[[#This Row],[ID CLIENTE]],'RESUMEN CLIENTES'!D:D,'RESUMEN CLIENTES'!W:W)</f>
        <v>0</v>
      </c>
      <c r="G1663" s="17">
        <f>IF($H1663&lt;&gt;"ALEM","",IFERROR(
  DATE(
    YEAR(EDATE(
      _xlfn.XLOOKUP($A1663,'RESUMEN CLIENTES'!$D:$D,'RESUMEN CLIENTES'!$Y:$Y,""),
      7 + COUNTIFS(
            $A$2:INDEX($A:$A,ROW()), $A1663,
            $H$2:INDEX($H:$H,ROW()), "ALEM"
          )
    )),
    MONTH(EDATE(
      _xlfn.XLOOKUP($A1663,'RESUMEN CLIENTES'!$D:$D,'RESUMEN CLIENTES'!$Y:$Y,""),
      7 + COUNTIFS(
            $A$2:INDEX($A:$A,ROW()), $A1663,
            $H$2:INDEX($H:$H,ROW()), "ALEM"
          )
    )),
    1
  ),
"SIN FECHA MIG"))</f>
        <v>46266</v>
      </c>
      <c r="H1663" s="169" t="s">
        <v>1876</v>
      </c>
      <c r="I1663" s="2">
        <v>800</v>
      </c>
      <c r="J1663"/>
      <c r="K1663"/>
      <c r="L1663" s="44" t="str" cm="1">
        <f t="array" ref="L1663">+_xlfn.IFS(COUNTIF(INGRESOS!E:E,Tabla6[[#This Row],[ID FACTURA]])=1,"PAGADA",Tabla6[[#This Row],[ID FACTURA]]&lt;&gt;0,"EMITIDA",Tabla6[[#This Row],[ID FACTURA]]=0,"POR EMITIR")</f>
        <v>POR EMITIR</v>
      </c>
      <c r="M1663" s="55" t="str">
        <f>+IF(Tabla6[[#This Row],[ESTADO FACTURA]]="PAGADA",Tabla6[[#This Row],[FECHA]]-_xlfn.XLOOKUP(Tabla6[[#This Row],[N° FACTURA]],INGRESOS!F:F,INGRESOS!A:A),"-")</f>
        <v>-</v>
      </c>
      <c r="N1663" s="2"/>
      <c r="O1663" t="s">
        <v>2084</v>
      </c>
    </row>
    <row r="1664" spans="1:15" ht="14.75" customHeight="1">
      <c r="A1664" s="321" t="s">
        <v>1899</v>
      </c>
      <c r="B1664" t="str">
        <f>+_xlfn.XLOOKUP(Tabla6[[#This Row],[ID CLIENTE]],'RESUMEN CLIENTES'!D:D,'RESUMEN CLIENTES'!A:A)</f>
        <v>Johan Martínez</v>
      </c>
      <c r="C1664" t="str">
        <f>+_xlfn.XLOOKUP(Tabla6[[#This Row],[ID CLIENTE]],'RESUMEN CLIENTES'!D:D,'RESUMEN CLIENTES'!C:C)</f>
        <v>Colombia</v>
      </c>
      <c r="D1664" s="169" t="str">
        <f>+_xlfn.XLOOKUP(Tabla6[[#This Row],[ID CLIENTE]],'RESUMEN CLIENTES'!D:D,'RESUMEN CLIENTES'!M:M)</f>
        <v>OK</v>
      </c>
      <c r="E1664" s="71">
        <f>+_xlfn.XLOOKUP(Tabla6[[#This Row],[NOMBRE]],'RESUMEN CLIENTES'!A:A,'RESUMEN CLIENTES'!X:X)</f>
        <v>-0.66666666666666663</v>
      </c>
      <c r="F1664" s="71">
        <f>+_xlfn.XLOOKUP(Tabla6[[#This Row],[ID CLIENTE]],'RESUMEN CLIENTES'!D:D,'RESUMEN CLIENTES'!W:W)</f>
        <v>0</v>
      </c>
      <c r="G1664" s="17">
        <v>46266</v>
      </c>
      <c r="H1664" s="169" t="s">
        <v>81</v>
      </c>
      <c r="I1664" s="2">
        <v>1000</v>
      </c>
      <c r="J1664"/>
      <c r="K1664"/>
      <c r="L1664" s="44" t="str" cm="1">
        <f t="array" ref="L1664">+_xlfn.IFS(COUNTIF(INGRESOS!E:E,Tabla6[[#This Row],[ID FACTURA]])=1,"PAGADA",Tabla6[[#This Row],[ID FACTURA]]&lt;&gt;0,"EMITIDA",Tabla6[[#This Row],[ID FACTURA]]=0,"POR EMITIR")</f>
        <v>POR EMITIR</v>
      </c>
      <c r="M1664" s="54" t="str">
        <f>+IF(Tabla6[[#This Row],[ESTADO FACTURA]]="PAGADA",Tabla6[[#This Row],[FECHA]]-_xlfn.XLOOKUP(Tabla6[[#This Row],[N° FACTURA]],INGRESOS!F:F,INGRESOS!A:A),"-")</f>
        <v>-</v>
      </c>
      <c r="O1664"/>
    </row>
    <row r="1665" spans="1:15" ht="14.75" customHeight="1">
      <c r="A1665" s="320" t="s">
        <v>87</v>
      </c>
      <c r="B1665" t="str">
        <f>+_xlfn.XLOOKUP(Tabla6[[#This Row],[ID CLIENTE]],'RESUMEN CLIENTES'!D:D,'RESUMEN CLIENTES'!A:A)</f>
        <v>Jose Marcelo Marroquín Guzmán</v>
      </c>
      <c r="C1665" t="str">
        <f>+_xlfn.XLOOKUP(Tabla6[[#This Row],[ID CLIENTE]],'RESUMEN CLIENTES'!D:D,'RESUMEN CLIENTES'!C:C)</f>
        <v>El Salvador</v>
      </c>
      <c r="D1665" s="44" t="str">
        <f>+_xlfn.XLOOKUP(Tabla6[[#This Row],[ID CLIENTE]],'RESUMEN CLIENTES'!D:D,'RESUMEN CLIENTES'!M:M)</f>
        <v>OK</v>
      </c>
      <c r="E1665" s="72">
        <f>+_xlfn.XLOOKUP(Tabla6[[#This Row],[NOMBRE]],'RESUMEN CLIENTES'!A:A,'RESUMEN CLIENTES'!X:X)</f>
        <v>-1.5833333333333333</v>
      </c>
      <c r="F1665" s="72">
        <f>+_xlfn.XLOOKUP(Tabla6[[#This Row],[ID CLIENTE]],'RESUMEN CLIENTES'!D:D,'RESUMEN CLIENTES'!W:W)</f>
        <v>1</v>
      </c>
      <c r="G1665" s="17">
        <f>IF($H1665&lt;&gt;"ALEM","",IFERROR(
  DATE(
    YEAR(EDATE(
      _xlfn.XLOOKUP($A1665,'RESUMEN CLIENTES'!$D:$D,'RESUMEN CLIENTES'!$Y:$Y,""),
      7 + COUNTIFS(
            $A$2:INDEX($A:$A,ROW()), $A1665,
            $H$2:INDEX($H:$H,ROW()), "ALEM"
          )
    )),
    MONTH(EDATE(
      _xlfn.XLOOKUP($A1665,'RESUMEN CLIENTES'!$D:$D,'RESUMEN CLIENTES'!$Y:$Y,""),
      7 + COUNTIFS(
            $A$2:INDEX($A:$A,ROW()), $A1665,
            $H$2:INDEX($H:$H,ROW()), "ALEM"
          )
    )),
    1
  ),
"SIN FECHA MIG"))</f>
        <v>46266</v>
      </c>
      <c r="H1665" s="44" t="s">
        <v>1876</v>
      </c>
      <c r="I1665" s="2">
        <v>500</v>
      </c>
      <c r="J1665"/>
      <c r="K1665"/>
      <c r="L1665" s="44" t="str" cm="1">
        <f t="array" ref="L1665">+_xlfn.IFS(COUNTIF(INGRESOS!E:E,Tabla6[[#This Row],[ID FACTURA]])=1,"PAGADA",Tabla6[[#This Row],[ID FACTURA]]&lt;&gt;0,"EMITIDA",Tabla6[[#This Row],[ID FACTURA]]=0,"POR EMITIR")</f>
        <v>POR EMITIR</v>
      </c>
      <c r="M1665" s="55" t="str">
        <f>+IF(Tabla6[[#This Row],[ESTADO FACTURA]]="PAGADA",Tabla6[[#This Row],[FECHA]]-_xlfn.XLOOKUP(Tabla6[[#This Row],[N° FACTURA]],INGRESOS!F:F,INGRESOS!A:A),"-")</f>
        <v>-</v>
      </c>
      <c r="N1665" s="2"/>
      <c r="O1665" t="s">
        <v>2085</v>
      </c>
    </row>
    <row r="1666" spans="1:15" ht="14.75" customHeight="1">
      <c r="A1666" s="320" t="s">
        <v>587</v>
      </c>
      <c r="B1666" t="str">
        <f>+_xlfn.XLOOKUP(Tabla6[[#This Row],[ID CLIENTE]],'RESUMEN CLIENTES'!D:D,'RESUMEN CLIENTES'!A:A)</f>
        <v>Keidwin Perez</v>
      </c>
      <c r="C1666" t="str">
        <f>+_xlfn.XLOOKUP(Tabla6[[#This Row],[ID CLIENTE]],'RESUMEN CLIENTES'!D:D,'RESUMEN CLIENTES'!C:C)</f>
        <v>Colombia</v>
      </c>
      <c r="D1666" s="44" t="str">
        <f>+_xlfn.XLOOKUP(Tabla6[[#This Row],[ID CLIENTE]],'RESUMEN CLIENTES'!D:D,'RESUMEN CLIENTES'!M:M)</f>
        <v>OK</v>
      </c>
      <c r="E1666" s="72">
        <f>+_xlfn.XLOOKUP(Tabla6[[#This Row],[NOMBRE]],'RESUMEN CLIENTES'!A:A,'RESUMEN CLIENTES'!X:X)</f>
        <v>-4.25</v>
      </c>
      <c r="F1666" s="72">
        <f>+_xlfn.XLOOKUP(Tabla6[[#This Row],[ID CLIENTE]],'RESUMEN CLIENTES'!D:D,'RESUMEN CLIENTES'!W:W)</f>
        <v>1</v>
      </c>
      <c r="G1666" s="17">
        <f>IF($H1666&lt;&gt;"ALEM","",IFERROR(
  DATE(
    YEAR(EDATE(
      _xlfn.XLOOKUP($A1666,'RESUMEN CLIENTES'!$D:$D,'RESUMEN CLIENTES'!$Y:$Y,""),
      7 + COUNTIFS(
            $A$2:INDEX($A:$A,ROW()), $A1666,
            $H$2:INDEX($H:$H,ROW()), "ALEM"
          )
    )),
    MONTH(EDATE(
      _xlfn.XLOOKUP($A1666,'RESUMEN CLIENTES'!$D:$D,'RESUMEN CLIENTES'!$Y:$Y,""),
      7 + COUNTIFS(
            $A$2:INDEX($A:$A,ROW()), $A1666,
            $H$2:INDEX($H:$H,ROW()), "ALEM"
          )
    )),
    1
  ),
"SIN FECHA MIG"))</f>
        <v>46266</v>
      </c>
      <c r="H1666" s="44" t="s">
        <v>1876</v>
      </c>
      <c r="I1666" s="2">
        <v>1000</v>
      </c>
      <c r="J1666"/>
      <c r="K1666"/>
      <c r="L1666" s="44" t="str" cm="1">
        <f t="array" ref="L1666">+_xlfn.IFS(COUNTIF(INGRESOS!E:E,Tabla6[[#This Row],[ID FACTURA]])=1,"PAGADA",Tabla6[[#This Row],[ID FACTURA]]&lt;&gt;0,"EMITIDA",Tabla6[[#This Row],[ID FACTURA]]=0,"POR EMITIR")</f>
        <v>POR EMITIR</v>
      </c>
      <c r="M1666" s="55" t="str">
        <f>+IF(Tabla6[[#This Row],[ESTADO FACTURA]]="PAGADA",Tabla6[[#This Row],[FECHA]]-_xlfn.XLOOKUP(Tabla6[[#This Row],[N° FACTURA]],INGRESOS!F:F,INGRESOS!A:A),"-")</f>
        <v>-</v>
      </c>
      <c r="N1666" s="2"/>
      <c r="O1666"/>
    </row>
    <row r="1667" spans="1:15" ht="14.75" customHeight="1">
      <c r="A1667" s="320" t="s">
        <v>6035</v>
      </c>
      <c r="B1667" t="str">
        <f>+_xlfn.XLOOKUP(Tabla6[[#This Row],[ID CLIENTE]],'RESUMEN CLIENTES'!D:D,'RESUMEN CLIENTES'!A:A)</f>
        <v>Ari Sifuentes Becerra</v>
      </c>
      <c r="C1667" s="15" t="str">
        <f>+_xlfn.XLOOKUP(Tabla6[[#This Row],[ID CLIENTE]],'RESUMEN CLIENTES'!D:D,'RESUMEN CLIENTES'!C:C)</f>
        <v>México</v>
      </c>
      <c r="D1667" s="169" t="str">
        <f>+_xlfn.XLOOKUP(Tabla6[[#This Row],[ID CLIENTE]],'RESUMEN CLIENTES'!D:D,'RESUMEN CLIENTES'!M:M)</f>
        <v>OK</v>
      </c>
      <c r="E1667" s="71">
        <f>+_xlfn.XLOOKUP(Tabla6[[#This Row],[NOMBRE]],'RESUMEN CLIENTES'!A:A,'RESUMEN CLIENTES'!X:X)</f>
        <v>-1</v>
      </c>
      <c r="F1667" s="71">
        <f>+_xlfn.XLOOKUP(Tabla6[[#This Row],[ID CLIENTE]],'RESUMEN CLIENTES'!D:D,'RESUMEN CLIENTES'!W:W)</f>
        <v>0</v>
      </c>
      <c r="G1667" s="17">
        <v>46267</v>
      </c>
      <c r="H1667" s="169" t="s">
        <v>81</v>
      </c>
      <c r="I1667" s="2">
        <v>1000</v>
      </c>
      <c r="J1667"/>
      <c r="K1667"/>
      <c r="L1667" s="44" t="str" cm="1">
        <f t="array" ref="L1667">+_xlfn.IFS(COUNTIF(INGRESOS!E:E,Tabla6[[#This Row],[ID FACTURA]])=1,"PAGADA",Tabla6[[#This Row],[ID FACTURA]]&lt;&gt;0,"EMITIDA",Tabla6[[#This Row],[ID FACTURA]]=0,"POR EMITIR")</f>
        <v>POR EMITIR</v>
      </c>
      <c r="M1667" s="54" t="str">
        <f>+IF(Tabla6[[#This Row],[ESTADO FACTURA]]="PAGADA",Tabla6[[#This Row],[FECHA]]-_xlfn.XLOOKUP(Tabla6[[#This Row],[N° FACTURA]],INGRESOS!F:F,INGRESOS!A:A),"-")</f>
        <v>-</v>
      </c>
      <c r="O1667"/>
    </row>
    <row r="1668" spans="1:15" ht="14.75" customHeight="1">
      <c r="A1668" s="320" t="s">
        <v>695</v>
      </c>
      <c r="B1668" t="str">
        <f>+_xlfn.XLOOKUP(Tabla6[[#This Row],[ID CLIENTE]],'RESUMEN CLIENTES'!D:D,'RESUMEN CLIENTES'!A:A)</f>
        <v>Olguer Ariel Pruna Herrera</v>
      </c>
      <c r="C1668" t="str">
        <f>+_xlfn.XLOOKUP(Tabla6[[#This Row],[ID CLIENTE]],'RESUMEN CLIENTES'!D:D,'RESUMEN CLIENTES'!C:C)</f>
        <v>Ecuador</v>
      </c>
      <c r="D1668" s="44" t="str">
        <f>+_xlfn.XLOOKUP(Tabla6[[#This Row],[ID CLIENTE]],'RESUMEN CLIENTES'!D:D,'RESUMEN CLIENTES'!M:M)</f>
        <v>OK</v>
      </c>
      <c r="E1668" s="72">
        <f>+_xlfn.XLOOKUP(Tabla6[[#This Row],[NOMBRE]],'RESUMEN CLIENTES'!A:A,'RESUMEN CLIENTES'!X:X)</f>
        <v>0.25</v>
      </c>
      <c r="F1668" s="72">
        <f>+_xlfn.XLOOKUP(Tabla6[[#This Row],[ID CLIENTE]],'RESUMEN CLIENTES'!D:D,'RESUMEN CLIENTES'!W:W)</f>
        <v>1</v>
      </c>
      <c r="G1668" s="17">
        <v>46267</v>
      </c>
      <c r="H1668" s="44" t="s">
        <v>81</v>
      </c>
      <c r="I1668" s="2">
        <v>1000</v>
      </c>
      <c r="J1668"/>
      <c r="K1668"/>
      <c r="L1668" s="44" t="str" cm="1">
        <f t="array" ref="L1668">+_xlfn.IFS(COUNTIF(INGRESOS!E:E,Tabla6[[#This Row],[ID FACTURA]])=1,"PAGADA",Tabla6[[#This Row],[ID FACTURA]]&lt;&gt;0,"EMITIDA",Tabla6[[#This Row],[ID FACTURA]]=0,"POR EMITIR")</f>
        <v>POR EMITIR</v>
      </c>
      <c r="M1668" s="55" t="str">
        <f>+IF(Tabla6[[#This Row],[ESTADO FACTURA]]="PAGADA",Tabla6[[#This Row],[FECHA]]-_xlfn.XLOOKUP(Tabla6[[#This Row],[N° FACTURA]],INGRESOS!F:F,INGRESOS!A:A),"-")</f>
        <v>-</v>
      </c>
      <c r="N1668" s="2"/>
      <c r="O1668"/>
    </row>
    <row r="1669" spans="1:15" ht="14.75" customHeight="1">
      <c r="A1669" s="320" t="s">
        <v>221</v>
      </c>
      <c r="B1669" t="str">
        <f>+_xlfn.XLOOKUP(Tabla6[[#This Row],[ID CLIENTE]],'RESUMEN CLIENTES'!D:D,'RESUMEN CLIENTES'!A:A)</f>
        <v>Angel Martin Alarcon Macias</v>
      </c>
      <c r="C1669" t="str">
        <f>+_xlfn.XLOOKUP(Tabla6[[#This Row],[ID CLIENTE]],'RESUMEN CLIENTES'!D:D,'RESUMEN CLIENTES'!C:C)</f>
        <v>Ecuador</v>
      </c>
      <c r="D1669" s="44" t="str">
        <f>+_xlfn.XLOOKUP(Tabla6[[#This Row],[ID CLIENTE]],'RESUMEN CLIENTES'!D:D,'RESUMEN CLIENTES'!M:M)</f>
        <v>¡REGULARIZAR!</v>
      </c>
      <c r="E1669" s="72">
        <f>+_xlfn.XLOOKUP(Tabla6[[#This Row],[NOMBRE]],'RESUMEN CLIENTES'!A:A,'RESUMEN CLIENTES'!X:X)</f>
        <v>-0.5</v>
      </c>
      <c r="F1669" s="72">
        <f>+_xlfn.XLOOKUP(Tabla6[[#This Row],[ID CLIENTE]],'RESUMEN CLIENTES'!D:D,'RESUMEN CLIENTES'!W:W)</f>
        <v>0</v>
      </c>
      <c r="G1669" s="17">
        <v>46268</v>
      </c>
      <c r="H1669" s="44" t="s">
        <v>81</v>
      </c>
      <c r="I1669" s="2">
        <v>1000</v>
      </c>
      <c r="J1669"/>
      <c r="K1669"/>
      <c r="L1669" s="44" t="str" cm="1">
        <f t="array" ref="L1669">+_xlfn.IFS(COUNTIF(INGRESOS!E:E,Tabla6[[#This Row],[ID FACTURA]])=1,"PAGADA",Tabla6[[#This Row],[ID FACTURA]]&lt;&gt;0,"EMITIDA",Tabla6[[#This Row],[ID FACTURA]]=0,"POR EMITIR")</f>
        <v>POR EMITIR</v>
      </c>
      <c r="M1669" s="55" t="str">
        <f>+IF(Tabla6[[#This Row],[ESTADO FACTURA]]="PAGADA",Tabla6[[#This Row],[FECHA]]-_xlfn.XLOOKUP(Tabla6[[#This Row],[N° FACTURA]],INGRESOS!F:F,INGRESOS!A:A),"-")</f>
        <v>-</v>
      </c>
      <c r="N1669" s="2"/>
      <c r="O1669"/>
    </row>
    <row r="1670" spans="1:15" ht="14.75" customHeight="1">
      <c r="A1670" s="320" t="s">
        <v>1248</v>
      </c>
      <c r="B1670" t="str">
        <f>+_xlfn.XLOOKUP(Tabla6[[#This Row],[ID CLIENTE]],'RESUMEN CLIENTES'!D:D,'RESUMEN CLIENTES'!A:A)</f>
        <v>Emily Vanessa Tapia Villalobos</v>
      </c>
      <c r="C1670" t="str">
        <f>+_xlfn.XLOOKUP(Tabla6[[#This Row],[ID CLIENTE]],'RESUMEN CLIENTES'!D:D,'RESUMEN CLIENTES'!C:C)</f>
        <v>Chile</v>
      </c>
      <c r="D1670" s="44" t="str">
        <f>+_xlfn.XLOOKUP(Tabla6[[#This Row],[ID CLIENTE]],'RESUMEN CLIENTES'!D:D,'RESUMEN CLIENTES'!M:M)</f>
        <v>OK</v>
      </c>
      <c r="E1670" s="71">
        <f>+_xlfn.XLOOKUP(Tabla6[[#This Row],[NOMBRE]],'RESUMEN CLIENTES'!A:A,'RESUMEN CLIENTES'!X:X)</f>
        <v>0.33333333333333331</v>
      </c>
      <c r="F1670" s="71">
        <f>+_xlfn.XLOOKUP(Tabla6[[#This Row],[ID CLIENTE]],'RESUMEN CLIENTES'!D:D,'RESUMEN CLIENTES'!W:W)</f>
        <v>0</v>
      </c>
      <c r="G1670" s="17">
        <v>46268</v>
      </c>
      <c r="H1670" s="44" t="s">
        <v>81</v>
      </c>
      <c r="I1670" s="2">
        <v>1000</v>
      </c>
      <c r="J1670"/>
      <c r="K1670"/>
      <c r="L1670" s="44" t="str" cm="1">
        <f t="array" ref="L1670">+_xlfn.IFS(COUNTIF(INGRESOS!E:E,Tabla6[[#This Row],[ID FACTURA]])=1,"PAGADA",Tabla6[[#This Row],[ID FACTURA]]&lt;&gt;0,"EMITIDA",Tabla6[[#This Row],[ID FACTURA]]=0,"POR EMITIR")</f>
        <v>POR EMITIR</v>
      </c>
      <c r="M1670" s="55" t="str">
        <f>+IF(Tabla6[[#This Row],[ESTADO FACTURA]]="PAGADA",Tabla6[[#This Row],[FECHA]]-_xlfn.XLOOKUP(Tabla6[[#This Row],[N° FACTURA]],INGRESOS!F:F,INGRESOS!A:A),"-")</f>
        <v>-</v>
      </c>
      <c r="N1670" s="2"/>
      <c r="O1670"/>
    </row>
    <row r="1671" spans="1:15" ht="14.75" customHeight="1">
      <c r="A1671" s="320" t="s">
        <v>1251</v>
      </c>
      <c r="B1671" t="str">
        <f>+_xlfn.XLOOKUP(Tabla6[[#This Row],[ID CLIENTE]],'RESUMEN CLIENTES'!D:D,'RESUMEN CLIENTES'!A:A)</f>
        <v>Erick Ernesto Angulo Campos</v>
      </c>
      <c r="C1671" t="str">
        <f>+_xlfn.XLOOKUP(Tabla6[[#This Row],[ID CLIENTE]],'RESUMEN CLIENTES'!D:D,'RESUMEN CLIENTES'!C:C)</f>
        <v>Chile</v>
      </c>
      <c r="D1671" s="44" t="str">
        <f>+_xlfn.XLOOKUP(Tabla6[[#This Row],[ID CLIENTE]],'RESUMEN CLIENTES'!D:D,'RESUMEN CLIENTES'!M:M)</f>
        <v>OK</v>
      </c>
      <c r="E1671" s="71">
        <f>+_xlfn.XLOOKUP(Tabla6[[#This Row],[NOMBRE]],'RESUMEN CLIENTES'!A:A,'RESUMEN CLIENTES'!X:X)</f>
        <v>-0.66666666666666663</v>
      </c>
      <c r="F1671" s="71">
        <f>+_xlfn.XLOOKUP(Tabla6[[#This Row],[ID CLIENTE]],'RESUMEN CLIENTES'!D:D,'RESUMEN CLIENTES'!W:W)</f>
        <v>0</v>
      </c>
      <c r="G1671" s="17">
        <v>46268</v>
      </c>
      <c r="H1671" s="44" t="s">
        <v>81</v>
      </c>
      <c r="I1671" s="2">
        <v>1000</v>
      </c>
      <c r="J1671"/>
      <c r="K1671"/>
      <c r="L1671" s="44" t="str" cm="1">
        <f t="array" ref="L1671">+_xlfn.IFS(COUNTIF(INGRESOS!E:E,Tabla6[[#This Row],[ID FACTURA]])=1,"PAGADA",Tabla6[[#This Row],[ID FACTURA]]&lt;&gt;0,"EMITIDA",Tabla6[[#This Row],[ID FACTURA]]=0,"POR EMITIR")</f>
        <v>POR EMITIR</v>
      </c>
      <c r="M1671" s="55" t="str">
        <f>+IF(Tabla6[[#This Row],[ESTADO FACTURA]]="PAGADA",Tabla6[[#This Row],[FECHA]]-_xlfn.XLOOKUP(Tabla6[[#This Row],[N° FACTURA]],INGRESOS!F:F,INGRESOS!A:A),"-")</f>
        <v>-</v>
      </c>
      <c r="N1671" s="2"/>
      <c r="O1671"/>
    </row>
    <row r="1672" spans="1:15" ht="14.75" customHeight="1">
      <c r="A1672" s="320" t="s">
        <v>5987</v>
      </c>
      <c r="B1672" t="str">
        <f>+_xlfn.XLOOKUP(Tabla6[[#This Row],[ID CLIENTE]],'RESUMEN CLIENTES'!D:D,'RESUMEN CLIENTES'!A:A)</f>
        <v>Jessenia Mishell Mosquera Olivo</v>
      </c>
      <c r="C1672" s="15" t="str">
        <f>+_xlfn.XLOOKUP(Tabla6[[#This Row],[ID CLIENTE]],'RESUMEN CLIENTES'!D:D,'RESUMEN CLIENTES'!C:C)</f>
        <v>Ecuador</v>
      </c>
      <c r="D1672" s="169" t="str">
        <f>+_xlfn.XLOOKUP(Tabla6[[#This Row],[ID CLIENTE]],'RESUMEN CLIENTES'!D:D,'RESUMEN CLIENTES'!M:M)</f>
        <v>OK</v>
      </c>
      <c r="E1672" s="71">
        <f>+_xlfn.XLOOKUP(Tabla6[[#This Row],[NOMBRE]],'RESUMEN CLIENTES'!A:A,'RESUMEN CLIENTES'!X:X)</f>
        <v>0</v>
      </c>
      <c r="F1672" s="71">
        <f>+_xlfn.XLOOKUP(Tabla6[[#This Row],[ID CLIENTE]],'RESUMEN CLIENTES'!D:D,'RESUMEN CLIENTES'!W:W)</f>
        <v>0</v>
      </c>
      <c r="G1672" s="17">
        <v>46268</v>
      </c>
      <c r="H1672" s="169" t="s">
        <v>1876</v>
      </c>
      <c r="I1672" s="2">
        <v>500</v>
      </c>
      <c r="J1672"/>
      <c r="K1672"/>
      <c r="L1672" s="44" t="str" cm="1">
        <f t="array" ref="L1672">+_xlfn.IFS(COUNTIF(INGRESOS!E:E,Tabla6[[#This Row],[ID FACTURA]])=1,"PAGADA",Tabla6[[#This Row],[ID FACTURA]]&lt;&gt;0,"EMITIDA",Tabla6[[#This Row],[ID FACTURA]]=0,"POR EMITIR")</f>
        <v>POR EMITIR</v>
      </c>
      <c r="M1672" s="54" t="str">
        <f>+IF(Tabla6[[#This Row],[ESTADO FACTURA]]="PAGADA",Tabla6[[#This Row],[FECHA]]-_xlfn.XLOOKUP(Tabla6[[#This Row],[N° FACTURA]],INGRESOS!F:F,INGRESOS!A:A),"-")</f>
        <v>-</v>
      </c>
      <c r="O1672"/>
    </row>
    <row r="1673" spans="1:15" ht="14.75" customHeight="1">
      <c r="A1673" s="320" t="s">
        <v>2011</v>
      </c>
      <c r="B1673" t="str">
        <f>+_xlfn.XLOOKUP(Tabla6[[#This Row],[ID CLIENTE]],'RESUMEN CLIENTES'!D:D,'RESUMEN CLIENTES'!A:A)</f>
        <v>Bárbara Fuentes</v>
      </c>
      <c r="C1673" t="str">
        <f>+_xlfn.XLOOKUP(Tabla6[[#This Row],[ID CLIENTE]],'RESUMEN CLIENTES'!D:D,'RESUMEN CLIENTES'!C:C)</f>
        <v>Chile</v>
      </c>
      <c r="D1673" s="169" t="str">
        <f>+_xlfn.XLOOKUP(Tabla6[[#This Row],[ID CLIENTE]],'RESUMEN CLIENTES'!D:D,'RESUMEN CLIENTES'!M:M)</f>
        <v>OK</v>
      </c>
      <c r="E1673" s="71">
        <f>+_xlfn.XLOOKUP(Tabla6[[#This Row],[NOMBRE]],'RESUMEN CLIENTES'!A:A,'RESUMEN CLIENTES'!X:X)</f>
        <v>-0.33333333333333331</v>
      </c>
      <c r="F1673" s="71">
        <f>+_xlfn.XLOOKUP(Tabla6[[#This Row],[ID CLIENTE]],'RESUMEN CLIENTES'!D:D,'RESUMEN CLIENTES'!W:W)</f>
        <v>0</v>
      </c>
      <c r="G1673" s="17">
        <v>46270</v>
      </c>
      <c r="H1673" s="169" t="s">
        <v>81</v>
      </c>
      <c r="I1673" s="2">
        <v>1000</v>
      </c>
      <c r="J1673"/>
      <c r="K1673"/>
      <c r="L1673" s="44" t="str" cm="1">
        <f t="array" ref="L1673">+_xlfn.IFS(COUNTIF(INGRESOS!E:E,Tabla6[[#This Row],[ID FACTURA]])=1,"PAGADA",Tabla6[[#This Row],[ID FACTURA]]&lt;&gt;0,"EMITIDA",Tabla6[[#This Row],[ID FACTURA]]=0,"POR EMITIR")</f>
        <v>POR EMITIR</v>
      </c>
      <c r="M1673" s="54" t="str">
        <f>+IF(Tabla6[[#This Row],[ESTADO FACTURA]]="PAGADA",Tabla6[[#This Row],[FECHA]]-_xlfn.XLOOKUP(Tabla6[[#This Row],[N° FACTURA]],INGRESOS!F:F,INGRESOS!A:A),"-")</f>
        <v>-</v>
      </c>
      <c r="O1673"/>
    </row>
    <row r="1674" spans="1:15" ht="14.75" customHeight="1">
      <c r="A1674" s="320" t="s">
        <v>203</v>
      </c>
      <c r="B1674" t="str">
        <f>+_xlfn.XLOOKUP(Tabla6[[#This Row],[ID CLIENTE]],'RESUMEN CLIENTES'!D:D,'RESUMEN CLIENTES'!A:A)</f>
        <v>Bernardita Lobo Zegers</v>
      </c>
      <c r="C1674" t="str">
        <f>+_xlfn.XLOOKUP(Tabla6[[#This Row],[ID CLIENTE]],'RESUMEN CLIENTES'!D:D,'RESUMEN CLIENTES'!C:C)</f>
        <v>México</v>
      </c>
      <c r="D1674" s="44" t="str">
        <f>+_xlfn.XLOOKUP(Tabla6[[#This Row],[ID CLIENTE]],'RESUMEN CLIENTES'!D:D,'RESUMEN CLIENTES'!M:M)</f>
        <v>OK</v>
      </c>
      <c r="E1674" s="72">
        <f>+_xlfn.XLOOKUP(Tabla6[[#This Row],[NOMBRE]],'RESUMEN CLIENTES'!A:A,'RESUMEN CLIENTES'!X:X)</f>
        <v>-0.8</v>
      </c>
      <c r="F1674" s="72">
        <f>+_xlfn.XLOOKUP(Tabla6[[#This Row],[ID CLIENTE]],'RESUMEN CLIENTES'!D:D,'RESUMEN CLIENTES'!W:W)</f>
        <v>1</v>
      </c>
      <c r="G1674" s="17">
        <v>46270</v>
      </c>
      <c r="H1674" s="44" t="s">
        <v>81</v>
      </c>
      <c r="I1674" s="2">
        <v>800</v>
      </c>
      <c r="J1674"/>
      <c r="K1674"/>
      <c r="L1674" s="44" t="str" cm="1">
        <f t="array" ref="L1674">+_xlfn.IFS(COUNTIF(INGRESOS!E:E,Tabla6[[#This Row],[ID FACTURA]])=1,"PAGADA",Tabla6[[#This Row],[ID FACTURA]]&lt;&gt;0,"EMITIDA",Tabla6[[#This Row],[ID FACTURA]]=0,"POR EMITIR")</f>
        <v>POR EMITIR</v>
      </c>
      <c r="M1674" s="55" t="str">
        <f>+IF(Tabla6[[#This Row],[ESTADO FACTURA]]="PAGADA",Tabla6[[#This Row],[FECHA]]-_xlfn.XLOOKUP(Tabla6[[#This Row],[N° FACTURA]],INGRESOS!F:F,INGRESOS!A:A),"-")</f>
        <v>-</v>
      </c>
      <c r="N1674" s="2"/>
      <c r="O1674"/>
    </row>
    <row r="1675" spans="1:15" ht="14.75" customHeight="1">
      <c r="A1675" s="320" t="s">
        <v>1206</v>
      </c>
      <c r="B1675" t="str">
        <f>+_xlfn.XLOOKUP(Tabla6[[#This Row],[ID CLIENTE]],'RESUMEN CLIENTES'!D:D,'RESUMEN CLIENTES'!A:A)</f>
        <v>Bryan Israel Jiménez Puente</v>
      </c>
      <c r="C1675" t="str">
        <f>+_xlfn.XLOOKUP(Tabla6[[#This Row],[ID CLIENTE]],'RESUMEN CLIENTES'!D:D,'RESUMEN CLIENTES'!C:C)</f>
        <v>Ecuador</v>
      </c>
      <c r="D1675" s="44" t="str">
        <f>+_xlfn.XLOOKUP(Tabla6[[#This Row],[ID CLIENTE]],'RESUMEN CLIENTES'!D:D,'RESUMEN CLIENTES'!M:M)</f>
        <v>OK</v>
      </c>
      <c r="E1675" s="72">
        <f>+_xlfn.XLOOKUP(Tabla6[[#This Row],[NOMBRE]],'RESUMEN CLIENTES'!A:A,'RESUMEN CLIENTES'!X:X)</f>
        <v>1</v>
      </c>
      <c r="F1675" s="72">
        <f>+_xlfn.XLOOKUP(Tabla6[[#This Row],[ID CLIENTE]],'RESUMEN CLIENTES'!D:D,'RESUMEN CLIENTES'!W:W)</f>
        <v>0</v>
      </c>
      <c r="G1675" s="17">
        <v>46270</v>
      </c>
      <c r="H1675" s="44" t="s">
        <v>81</v>
      </c>
      <c r="I1675" s="2">
        <v>1000</v>
      </c>
      <c r="J1675"/>
      <c r="K1675"/>
      <c r="L1675" s="44" t="str" cm="1">
        <f t="array" ref="L1675">+_xlfn.IFS(COUNTIF(INGRESOS!E:E,Tabla6[[#This Row],[ID FACTURA]])=1,"PAGADA",Tabla6[[#This Row],[ID FACTURA]]&lt;&gt;0,"EMITIDA",Tabla6[[#This Row],[ID FACTURA]]=0,"POR EMITIR")</f>
        <v>POR EMITIR</v>
      </c>
      <c r="M1675" s="55" t="str">
        <f>+IF(Tabla6[[#This Row],[ESTADO FACTURA]]="PAGADA",Tabla6[[#This Row],[FECHA]]-_xlfn.XLOOKUP(Tabla6[[#This Row],[N° FACTURA]],INGRESOS!F:F,INGRESOS!A:A),"-")</f>
        <v>-</v>
      </c>
      <c r="N1675" s="2"/>
      <c r="O1675"/>
    </row>
    <row r="1676" spans="1:15" ht="14.75" customHeight="1">
      <c r="A1676" s="320" t="s">
        <v>1674</v>
      </c>
      <c r="B1676" t="str">
        <f>+_xlfn.XLOOKUP(Tabla6[[#This Row],[ID CLIENTE]],'RESUMEN CLIENTES'!D:D,'RESUMEN CLIENTES'!A:A)</f>
        <v>Diego Alberto Ruiz Cifuentes</v>
      </c>
      <c r="C1676" t="str">
        <f>+_xlfn.XLOOKUP(Tabla6[[#This Row],[ID CLIENTE]],'RESUMEN CLIENTES'!D:D,'RESUMEN CLIENTES'!C:C)</f>
        <v>Chile</v>
      </c>
      <c r="D1676" s="169" t="str">
        <f>+_xlfn.XLOOKUP(Tabla6[[#This Row],[ID CLIENTE]],'RESUMEN CLIENTES'!D:D,'RESUMEN CLIENTES'!M:M)</f>
        <v>OK</v>
      </c>
      <c r="E1676" s="71">
        <f>+_xlfn.XLOOKUP(Tabla6[[#This Row],[NOMBRE]],'RESUMEN CLIENTES'!A:A,'RESUMEN CLIENTES'!X:X)</f>
        <v>5.75</v>
      </c>
      <c r="F1676" s="71">
        <f>+_xlfn.XLOOKUP(Tabla6[[#This Row],[ID CLIENTE]],'RESUMEN CLIENTES'!D:D,'RESUMEN CLIENTES'!W:W)</f>
        <v>0</v>
      </c>
      <c r="G1676" s="17">
        <v>46270</v>
      </c>
      <c r="H1676" s="169" t="s">
        <v>81</v>
      </c>
      <c r="I1676" s="2">
        <v>1000</v>
      </c>
      <c r="J1676"/>
      <c r="K1676"/>
      <c r="L1676" s="44" t="str" cm="1">
        <f t="array" ref="L1676">+_xlfn.IFS(COUNTIF(INGRESOS!E:E,Tabla6[[#This Row],[ID FACTURA]])=1,"PAGADA",Tabla6[[#This Row],[ID FACTURA]]&lt;&gt;0,"EMITIDA",Tabla6[[#This Row],[ID FACTURA]]=0,"POR EMITIR")</f>
        <v>POR EMITIR</v>
      </c>
      <c r="M1676" s="55" t="str">
        <f>+IF(Tabla6[[#This Row],[ESTADO FACTURA]]="PAGADA",Tabla6[[#This Row],[FECHA]]-_xlfn.XLOOKUP(Tabla6[[#This Row],[N° FACTURA]],INGRESOS!F:F,INGRESOS!A:A),"-")</f>
        <v>-</v>
      </c>
      <c r="N1676" s="2"/>
      <c r="O1676"/>
    </row>
    <row r="1677" spans="1:15" ht="14.75" customHeight="1">
      <c r="A1677" s="320" t="s">
        <v>2521</v>
      </c>
      <c r="B1677" t="str">
        <f>+_xlfn.XLOOKUP(Tabla6[[#This Row],[ID CLIENTE]],'RESUMEN CLIENTES'!D:D,'RESUMEN CLIENTES'!A:A)</f>
        <v>Fabián Andrés Sarmiento Auli</v>
      </c>
      <c r="C1677" t="str">
        <f>+_xlfn.XLOOKUP(Tabla6[[#This Row],[ID CLIENTE]],'RESUMEN CLIENTES'!D:D,'RESUMEN CLIENTES'!C:C)</f>
        <v>Colombia</v>
      </c>
      <c r="D1677" s="169" t="str">
        <f>+_xlfn.XLOOKUP(Tabla6[[#This Row],[ID CLIENTE]],'RESUMEN CLIENTES'!D:D,'RESUMEN CLIENTES'!M:M)</f>
        <v>OK</v>
      </c>
      <c r="E1677" s="71">
        <f>+_xlfn.XLOOKUP(Tabla6[[#This Row],[NOMBRE]],'RESUMEN CLIENTES'!A:A,'RESUMEN CLIENTES'!X:X)</f>
        <v>0</v>
      </c>
      <c r="F1677" s="71">
        <f>+_xlfn.XLOOKUP(Tabla6[[#This Row],[ID CLIENTE]],'RESUMEN CLIENTES'!D:D,'RESUMEN CLIENTES'!W:W)</f>
        <v>0</v>
      </c>
      <c r="G1677" s="17">
        <v>46270</v>
      </c>
      <c r="H1677" s="169" t="s">
        <v>81</v>
      </c>
      <c r="I1677" s="2">
        <v>911</v>
      </c>
      <c r="J1677"/>
      <c r="K1677"/>
      <c r="L1677" s="44" t="str" cm="1">
        <f t="array" ref="L1677">+_xlfn.IFS(COUNTIF(INGRESOS!E:E,Tabla6[[#This Row],[ID FACTURA]])=1,"PAGADA",Tabla6[[#This Row],[ID FACTURA]]&lt;&gt;0,"EMITIDA",Tabla6[[#This Row],[ID FACTURA]]=0,"POR EMITIR")</f>
        <v>POR EMITIR</v>
      </c>
      <c r="M1677" s="54" t="str">
        <f>+IF(Tabla6[[#This Row],[ESTADO FACTURA]]="PAGADA",Tabla6[[#This Row],[FECHA]]-_xlfn.XLOOKUP(Tabla6[[#This Row],[N° FACTURA]],INGRESOS!F:F,INGRESOS!A:A),"-")</f>
        <v>-</v>
      </c>
      <c r="O1677"/>
    </row>
    <row r="1678" spans="1:15" ht="14.75" customHeight="1">
      <c r="A1678" s="320" t="s">
        <v>787</v>
      </c>
      <c r="B1678" t="str">
        <f>+_xlfn.XLOOKUP(Tabla6[[#This Row],[ID CLIENTE]],'RESUMEN CLIENTES'!D:D,'RESUMEN CLIENTES'!A:A)</f>
        <v>Florencia Luján Sapia</v>
      </c>
      <c r="C1678" t="str">
        <f>+_xlfn.XLOOKUP(Tabla6[[#This Row],[ID CLIENTE]],'RESUMEN CLIENTES'!D:D,'RESUMEN CLIENTES'!C:C)</f>
        <v>Argentina</v>
      </c>
      <c r="D1678" s="44" t="str">
        <f>+_xlfn.XLOOKUP(Tabla6[[#This Row],[ID CLIENTE]],'RESUMEN CLIENTES'!D:D,'RESUMEN CLIENTES'!M:M)</f>
        <v>OK</v>
      </c>
      <c r="E1678" s="72">
        <f>+_xlfn.XLOOKUP(Tabla6[[#This Row],[NOMBRE]],'RESUMEN CLIENTES'!A:A,'RESUMEN CLIENTES'!X:X)</f>
        <v>-0.77777777777777779</v>
      </c>
      <c r="F1678" s="72">
        <f>+_xlfn.XLOOKUP(Tabla6[[#This Row],[ID CLIENTE]],'RESUMEN CLIENTES'!D:D,'RESUMEN CLIENTES'!W:W)</f>
        <v>1</v>
      </c>
      <c r="G1678" s="17">
        <v>46270</v>
      </c>
      <c r="H1678" s="44" t="s">
        <v>81</v>
      </c>
      <c r="I1678" s="2">
        <v>600</v>
      </c>
      <c r="J1678"/>
      <c r="K1678"/>
      <c r="L1678" s="44" t="str" cm="1">
        <f t="array" ref="L1678">+_xlfn.IFS(COUNTIF(INGRESOS!E:E,Tabla6[[#This Row],[ID FACTURA]])=1,"PAGADA",Tabla6[[#This Row],[ID FACTURA]]&lt;&gt;0,"EMITIDA",Tabla6[[#This Row],[ID FACTURA]]=0,"POR EMITIR")</f>
        <v>POR EMITIR</v>
      </c>
      <c r="M1678" s="55" t="str">
        <f>+IF(Tabla6[[#This Row],[ESTADO FACTURA]]="PAGADA",Tabla6[[#This Row],[FECHA]]-_xlfn.XLOOKUP(Tabla6[[#This Row],[N° FACTURA]],INGRESOS!F:F,INGRESOS!A:A),"-")</f>
        <v>-</v>
      </c>
      <c r="N1678" s="2"/>
      <c r="O1678"/>
    </row>
    <row r="1679" spans="1:15" ht="14.75" customHeight="1">
      <c r="A1679" s="320" t="s">
        <v>171</v>
      </c>
      <c r="B1679" t="str">
        <f>+_xlfn.XLOOKUP(Tabla6[[#This Row],[ID CLIENTE]],'RESUMEN CLIENTES'!D:D,'RESUMEN CLIENTES'!A:A)</f>
        <v>Guillermo Alfonso Garvalena Gaxiola</v>
      </c>
      <c r="C1679" t="str">
        <f>+_xlfn.XLOOKUP(Tabla6[[#This Row],[ID CLIENTE]],'RESUMEN CLIENTES'!D:D,'RESUMEN CLIENTES'!C:C)</f>
        <v>México</v>
      </c>
      <c r="D1679" s="44" t="str">
        <f>+_xlfn.XLOOKUP(Tabla6[[#This Row],[ID CLIENTE]],'RESUMEN CLIENTES'!D:D,'RESUMEN CLIENTES'!M:M)</f>
        <v>OK</v>
      </c>
      <c r="E1679" s="72">
        <f>+_xlfn.XLOOKUP(Tabla6[[#This Row],[NOMBRE]],'RESUMEN CLIENTES'!A:A,'RESUMEN CLIENTES'!X:X)</f>
        <v>1.173913043478261</v>
      </c>
      <c r="F1679" s="72">
        <f>+_xlfn.XLOOKUP(Tabla6[[#This Row],[ID CLIENTE]],'RESUMEN CLIENTES'!D:D,'RESUMEN CLIENTES'!W:W)</f>
        <v>1</v>
      </c>
      <c r="G1679" s="17">
        <v>46270</v>
      </c>
      <c r="H1679" s="44" t="s">
        <v>81</v>
      </c>
      <c r="I1679" s="2">
        <v>500</v>
      </c>
      <c r="J1679"/>
      <c r="K1679"/>
      <c r="L1679" s="44" t="str" cm="1">
        <f t="array" ref="L1679">+_xlfn.IFS(COUNTIF(INGRESOS!E:E,Tabla6[[#This Row],[ID FACTURA]])=1,"PAGADA",Tabla6[[#This Row],[ID FACTURA]]&lt;&gt;0,"EMITIDA",Tabla6[[#This Row],[ID FACTURA]]=0,"POR EMITIR")</f>
        <v>POR EMITIR</v>
      </c>
      <c r="M1679" s="55" t="str">
        <f>+IF(Tabla6[[#This Row],[ESTADO FACTURA]]="PAGADA",Tabla6[[#This Row],[FECHA]]-_xlfn.XLOOKUP(Tabla6[[#This Row],[N° FACTURA]],INGRESOS!F:F,INGRESOS!A:A),"-")</f>
        <v>-</v>
      </c>
      <c r="N1679" s="2"/>
      <c r="O1679"/>
    </row>
    <row r="1680" spans="1:15" ht="14.75" customHeight="1">
      <c r="A1680" s="320" t="s">
        <v>109</v>
      </c>
      <c r="B1680" t="str">
        <f>+_xlfn.XLOOKUP(Tabla6[[#This Row],[ID CLIENTE]],'RESUMEN CLIENTES'!D:D,'RESUMEN CLIENTES'!A:A)</f>
        <v>Ian Job Lino Durán</v>
      </c>
      <c r="C1680" t="str">
        <f>+_xlfn.XLOOKUP(Tabla6[[#This Row],[ID CLIENTE]],'RESUMEN CLIENTES'!D:D,'RESUMEN CLIENTES'!C:C)</f>
        <v>México</v>
      </c>
      <c r="D1680" s="44" t="str">
        <f>+_xlfn.XLOOKUP(Tabla6[[#This Row],[ID CLIENTE]],'RESUMEN CLIENTES'!D:D,'RESUMEN CLIENTES'!M:M)</f>
        <v>OK</v>
      </c>
      <c r="E1680" s="72">
        <f>+_xlfn.XLOOKUP(Tabla6[[#This Row],[NOMBRE]],'RESUMEN CLIENTES'!A:A,'RESUMEN CLIENTES'!X:X)</f>
        <v>0.1</v>
      </c>
      <c r="F1680" s="72">
        <f>+_xlfn.XLOOKUP(Tabla6[[#This Row],[ID CLIENTE]],'RESUMEN CLIENTES'!D:D,'RESUMEN CLIENTES'!W:W)</f>
        <v>1</v>
      </c>
      <c r="G1680" s="17">
        <v>46270</v>
      </c>
      <c r="H1680" s="44" t="s">
        <v>81</v>
      </c>
      <c r="I1680" s="2">
        <v>800</v>
      </c>
      <c r="J1680"/>
      <c r="K1680"/>
      <c r="L1680" s="44" t="str" cm="1">
        <f t="array" ref="L1680">+_xlfn.IFS(COUNTIF(INGRESOS!E:E,Tabla6[[#This Row],[ID FACTURA]])=1,"PAGADA",Tabla6[[#This Row],[ID FACTURA]]&lt;&gt;0,"EMITIDA",Tabla6[[#This Row],[ID FACTURA]]=0,"POR EMITIR")</f>
        <v>POR EMITIR</v>
      </c>
      <c r="M1680" s="55" t="str">
        <f>+IF(Tabla6[[#This Row],[ESTADO FACTURA]]="PAGADA",Tabla6[[#This Row],[FECHA]]-_xlfn.XLOOKUP(Tabla6[[#This Row],[N° FACTURA]],INGRESOS!F:F,INGRESOS!A:A),"-")</f>
        <v>-</v>
      </c>
      <c r="N1680" s="2"/>
      <c r="O1680"/>
    </row>
    <row r="1681" spans="1:15" ht="14.75" customHeight="1">
      <c r="A1681" s="320" t="s">
        <v>142</v>
      </c>
      <c r="B1681" t="str">
        <f>+_xlfn.XLOOKUP(Tabla6[[#This Row],[ID CLIENTE]],'RESUMEN CLIENTES'!D:D,'RESUMEN CLIENTES'!A:A)</f>
        <v>Jordan Eliecer Toledo Bravo</v>
      </c>
      <c r="C1681" t="str">
        <f>+_xlfn.XLOOKUP(Tabla6[[#This Row],[ID CLIENTE]],'RESUMEN CLIENTES'!D:D,'RESUMEN CLIENTES'!C:C)</f>
        <v>Chile</v>
      </c>
      <c r="D1681" s="169" t="str">
        <f>+_xlfn.XLOOKUP(Tabla6[[#This Row],[ID CLIENTE]],'RESUMEN CLIENTES'!D:D,'RESUMEN CLIENTES'!M:M)</f>
        <v>OK</v>
      </c>
      <c r="E1681" s="71">
        <f>+_xlfn.XLOOKUP(Tabla6[[#This Row],[NOMBRE]],'RESUMEN CLIENTES'!A:A,'RESUMEN CLIENTES'!X:X)</f>
        <v>-1.6153846153846154</v>
      </c>
      <c r="F1681" s="71">
        <f>+_xlfn.XLOOKUP(Tabla6[[#This Row],[ID CLIENTE]],'RESUMEN CLIENTES'!D:D,'RESUMEN CLIENTES'!W:W)</f>
        <v>0</v>
      </c>
      <c r="G1681" s="17">
        <v>46270</v>
      </c>
      <c r="H1681" s="169" t="s">
        <v>81</v>
      </c>
      <c r="I1681" s="2">
        <v>500</v>
      </c>
      <c r="J1681"/>
      <c r="K1681"/>
      <c r="L1681" s="44" t="str" cm="1">
        <f t="array" ref="L1681">+_xlfn.IFS(COUNTIF(INGRESOS!E:E,Tabla6[[#This Row],[ID FACTURA]])=1,"PAGADA",Tabla6[[#This Row],[ID FACTURA]]&lt;&gt;0,"EMITIDA",Tabla6[[#This Row],[ID FACTURA]]=0,"POR EMITIR")</f>
        <v>POR EMITIR</v>
      </c>
      <c r="M1681" s="54" t="str">
        <f>+IF(Tabla6[[#This Row],[ESTADO FACTURA]]="PAGADA",Tabla6[[#This Row],[FECHA]]-_xlfn.XLOOKUP(Tabla6[[#This Row],[N° FACTURA]],INGRESOS!F:F,INGRESOS!A:A),"-")</f>
        <v>-</v>
      </c>
      <c r="O1681"/>
    </row>
    <row r="1682" spans="1:15" ht="14.75" customHeight="1">
      <c r="A1682" s="320" t="s">
        <v>4454</v>
      </c>
      <c r="B1682" t="str">
        <f>+_xlfn.XLOOKUP(Tabla6[[#This Row],[ID CLIENTE]],'RESUMEN CLIENTES'!D:D,'RESUMEN CLIENTES'!A:A)</f>
        <v>Jose Luis Avilez Casas</v>
      </c>
      <c r="C1682" t="str">
        <f>+_xlfn.XLOOKUP(Tabla6[[#This Row],[ID CLIENTE]],'RESUMEN CLIENTES'!D:D,'RESUMEN CLIENTES'!C:C)</f>
        <v>México</v>
      </c>
      <c r="D1682" s="169" t="str">
        <f>+_xlfn.XLOOKUP(Tabla6[[#This Row],[ID CLIENTE]],'RESUMEN CLIENTES'!D:D,'RESUMEN CLIENTES'!M:M)</f>
        <v>OK</v>
      </c>
      <c r="E1682" s="71">
        <f>+_xlfn.XLOOKUP(Tabla6[[#This Row],[NOMBRE]],'RESUMEN CLIENTES'!A:A,'RESUMEN CLIENTES'!X:X)</f>
        <v>0.33333333333333331</v>
      </c>
      <c r="F1682" s="71">
        <f>+_xlfn.XLOOKUP(Tabla6[[#This Row],[ID CLIENTE]],'RESUMEN CLIENTES'!D:D,'RESUMEN CLIENTES'!W:W)</f>
        <v>0</v>
      </c>
      <c r="G1682" s="17">
        <v>46270</v>
      </c>
      <c r="H1682" s="169" t="s">
        <v>81</v>
      </c>
      <c r="I1682" s="2">
        <v>1000</v>
      </c>
      <c r="J1682"/>
      <c r="K1682"/>
      <c r="L1682" s="44" t="str" cm="1">
        <f t="array" ref="L1682">+_xlfn.IFS(COUNTIF(INGRESOS!E:E,Tabla6[[#This Row],[ID FACTURA]])=1,"PAGADA",Tabla6[[#This Row],[ID FACTURA]]&lt;&gt;0,"EMITIDA",Tabla6[[#This Row],[ID FACTURA]]=0,"POR EMITIR")</f>
        <v>POR EMITIR</v>
      </c>
      <c r="M1682" s="54" t="str">
        <f>+IF(Tabla6[[#This Row],[ESTADO FACTURA]]="PAGADA",Tabla6[[#This Row],[FECHA]]-_xlfn.XLOOKUP(Tabla6[[#This Row],[N° FACTURA]],INGRESOS!F:F,INGRESOS!A:A),"-")</f>
        <v>-</v>
      </c>
      <c r="O1682"/>
    </row>
    <row r="1683" spans="1:15" ht="14.75" customHeight="1">
      <c r="A1683" s="320" t="s">
        <v>798</v>
      </c>
      <c r="B1683" t="str">
        <f>+_xlfn.XLOOKUP(Tabla6[[#This Row],[ID CLIENTE]],'RESUMEN CLIENTES'!D:D,'RESUMEN CLIENTES'!A:A)</f>
        <v>Juan Manuel Paranzino</v>
      </c>
      <c r="C1683" t="str">
        <f>+_xlfn.XLOOKUP(Tabla6[[#This Row],[ID CLIENTE]],'RESUMEN CLIENTES'!D:D,'RESUMEN CLIENTES'!C:C)</f>
        <v>Argentina</v>
      </c>
      <c r="D1683" s="44" t="str">
        <f>+_xlfn.XLOOKUP(Tabla6[[#This Row],[ID CLIENTE]],'RESUMEN CLIENTES'!D:D,'RESUMEN CLIENTES'!M:M)</f>
        <v>OK</v>
      </c>
      <c r="E1683" s="72">
        <f>+_xlfn.XLOOKUP(Tabla6[[#This Row],[NOMBRE]],'RESUMEN CLIENTES'!A:A,'RESUMEN CLIENTES'!X:X)</f>
        <v>-1</v>
      </c>
      <c r="F1683" s="72">
        <f>+_xlfn.XLOOKUP(Tabla6[[#This Row],[ID CLIENTE]],'RESUMEN CLIENTES'!D:D,'RESUMEN CLIENTES'!W:W)</f>
        <v>0</v>
      </c>
      <c r="G1683" s="17">
        <v>46270</v>
      </c>
      <c r="H1683" s="44" t="s">
        <v>81</v>
      </c>
      <c r="I1683" s="2">
        <v>600</v>
      </c>
      <c r="J1683"/>
      <c r="K1683"/>
      <c r="L1683" s="44" t="str" cm="1">
        <f t="array" ref="L1683">+_xlfn.IFS(COUNTIF(INGRESOS!E:E,Tabla6[[#This Row],[ID FACTURA]])=1,"PAGADA",Tabla6[[#This Row],[ID FACTURA]]&lt;&gt;0,"EMITIDA",Tabla6[[#This Row],[ID FACTURA]]=0,"POR EMITIR")</f>
        <v>POR EMITIR</v>
      </c>
      <c r="M1683" s="55" t="str">
        <f>+IF(Tabla6[[#This Row],[ESTADO FACTURA]]="PAGADA",Tabla6[[#This Row],[FECHA]]-_xlfn.XLOOKUP(Tabla6[[#This Row],[N° FACTURA]],INGRESOS!F:F,INGRESOS!A:A),"-")</f>
        <v>-</v>
      </c>
      <c r="N1683" s="2"/>
      <c r="O1683"/>
    </row>
    <row r="1684" spans="1:15" ht="14.75" customHeight="1">
      <c r="A1684" s="320" t="s">
        <v>1416</v>
      </c>
      <c r="B1684" t="str">
        <f>+_xlfn.XLOOKUP(Tabla6[[#This Row],[ID CLIENTE]],'RESUMEN CLIENTES'!D:D,'RESUMEN CLIENTES'!A:A)</f>
        <v>Luis Armando Calderon Manzanera</v>
      </c>
      <c r="C1684" t="str">
        <f>+_xlfn.XLOOKUP(Tabla6[[#This Row],[ID CLIENTE]],'RESUMEN CLIENTES'!D:D,'RESUMEN CLIENTES'!C:C)</f>
        <v>México</v>
      </c>
      <c r="D1684" s="44" t="str">
        <f>+_xlfn.XLOOKUP(Tabla6[[#This Row],[ID CLIENTE]],'RESUMEN CLIENTES'!D:D,'RESUMEN CLIENTES'!M:M)</f>
        <v>OK</v>
      </c>
      <c r="E1684" s="71">
        <f>+_xlfn.XLOOKUP(Tabla6[[#This Row],[NOMBRE]],'RESUMEN CLIENTES'!A:A,'RESUMEN CLIENTES'!X:X)</f>
        <v>2</v>
      </c>
      <c r="F1684" s="71">
        <f>+_xlfn.XLOOKUP(Tabla6[[#This Row],[ID CLIENTE]],'RESUMEN CLIENTES'!D:D,'RESUMEN CLIENTES'!W:W)</f>
        <v>1</v>
      </c>
      <c r="G1684" s="17">
        <v>46270</v>
      </c>
      <c r="H1684" s="44" t="s">
        <v>81</v>
      </c>
      <c r="I1684" s="2">
        <v>650</v>
      </c>
      <c r="J1684"/>
      <c r="K1684"/>
      <c r="L1684" s="44" t="str" cm="1">
        <f t="array" ref="L1684">+_xlfn.IFS(COUNTIF(INGRESOS!E:E,Tabla6[[#This Row],[ID FACTURA]])=1,"PAGADA",Tabla6[[#This Row],[ID FACTURA]]&lt;&gt;0,"EMITIDA",Tabla6[[#This Row],[ID FACTURA]]=0,"POR EMITIR")</f>
        <v>POR EMITIR</v>
      </c>
      <c r="M1684" s="55" t="str">
        <f>+IF(Tabla6[[#This Row],[ESTADO FACTURA]]="PAGADA",Tabla6[[#This Row],[FECHA]]-_xlfn.XLOOKUP(Tabla6[[#This Row],[N° FACTURA]],INGRESOS!F:F,INGRESOS!A:A),"-")</f>
        <v>-</v>
      </c>
      <c r="N1684" s="2"/>
      <c r="O1684"/>
    </row>
    <row r="1685" spans="1:15" ht="14.75" customHeight="1">
      <c r="A1685" s="320" t="s">
        <v>703</v>
      </c>
      <c r="B1685" t="str">
        <f>+_xlfn.XLOOKUP(Tabla6[[#This Row],[ID CLIENTE]],'RESUMEN CLIENTES'!D:D,'RESUMEN CLIENTES'!A:A)</f>
        <v>Maira Paz Navas Sánchez</v>
      </c>
      <c r="C1685" t="str">
        <f>+_xlfn.XLOOKUP(Tabla6[[#This Row],[ID CLIENTE]],'RESUMEN CLIENTES'!D:D,'RESUMEN CLIENTES'!C:C)</f>
        <v>Chile</v>
      </c>
      <c r="D1685" s="44" t="str">
        <f>+_xlfn.XLOOKUP(Tabla6[[#This Row],[ID CLIENTE]],'RESUMEN CLIENTES'!D:D,'RESUMEN CLIENTES'!M:M)</f>
        <v>OK</v>
      </c>
      <c r="E1685" s="72">
        <f>+_xlfn.XLOOKUP(Tabla6[[#This Row],[NOMBRE]],'RESUMEN CLIENTES'!A:A,'RESUMEN CLIENTES'!X:X)</f>
        <v>-1.75</v>
      </c>
      <c r="F1685" s="72">
        <f>+_xlfn.XLOOKUP(Tabla6[[#This Row],[ID CLIENTE]],'RESUMEN CLIENTES'!D:D,'RESUMEN CLIENTES'!W:W)</f>
        <v>1</v>
      </c>
      <c r="G1685" s="17">
        <v>46270</v>
      </c>
      <c r="H1685" s="44" t="s">
        <v>81</v>
      </c>
      <c r="I1685" s="2">
        <v>700</v>
      </c>
      <c r="J1685"/>
      <c r="K1685"/>
      <c r="L1685" s="44" t="str" cm="1">
        <f t="array" ref="L1685">+_xlfn.IFS(COUNTIF(INGRESOS!E:E,Tabla6[[#This Row],[ID FACTURA]])=1,"PAGADA",Tabla6[[#This Row],[ID FACTURA]]&lt;&gt;0,"EMITIDA",Tabla6[[#This Row],[ID FACTURA]]=0,"POR EMITIR")</f>
        <v>POR EMITIR</v>
      </c>
      <c r="M1685" s="55" t="str">
        <f>+IF(Tabla6[[#This Row],[ESTADO FACTURA]]="PAGADA",Tabla6[[#This Row],[FECHA]]-_xlfn.XLOOKUP(Tabla6[[#This Row],[N° FACTURA]],INGRESOS!F:F,INGRESOS!A:A),"-")</f>
        <v>-</v>
      </c>
      <c r="N1685" s="2"/>
      <c r="O1685"/>
    </row>
    <row r="1686" spans="1:15" ht="14.75" customHeight="1">
      <c r="A1686" s="320" t="s">
        <v>80</v>
      </c>
      <c r="B1686" t="str">
        <f>+_xlfn.XLOOKUP(Tabla6[[#This Row],[ID CLIENTE]],'RESUMEN CLIENTES'!D:D,'RESUMEN CLIENTES'!A:A)</f>
        <v>María Fernanda Alvar Sepúlveda</v>
      </c>
      <c r="C1686" t="str">
        <f>+_xlfn.XLOOKUP(Tabla6[[#This Row],[ID CLIENTE]],'RESUMEN CLIENTES'!D:D,'RESUMEN CLIENTES'!C:C)</f>
        <v>Chile</v>
      </c>
      <c r="D1686" s="44" t="str">
        <f>+_xlfn.XLOOKUP(Tabla6[[#This Row],[ID CLIENTE]],'RESUMEN CLIENTES'!D:D,'RESUMEN CLIENTES'!M:M)</f>
        <v>OK</v>
      </c>
      <c r="E1686" s="72">
        <f>+_xlfn.XLOOKUP(Tabla6[[#This Row],[NOMBRE]],'RESUMEN CLIENTES'!A:A,'RESUMEN CLIENTES'!X:X)</f>
        <v>5</v>
      </c>
      <c r="F1686" s="71">
        <f>+_xlfn.XLOOKUP(Tabla6[[#This Row],[ID CLIENTE]],'RESUMEN CLIENTES'!D:D,'RESUMEN CLIENTES'!W:W)</f>
        <v>1</v>
      </c>
      <c r="G1686" s="17">
        <v>46270</v>
      </c>
      <c r="H1686" s="44" t="s">
        <v>81</v>
      </c>
      <c r="I1686" s="2">
        <v>800</v>
      </c>
      <c r="J1686"/>
      <c r="K1686"/>
      <c r="L1686" s="44" t="str" cm="1">
        <f t="array" ref="L1686">+_xlfn.IFS(COUNTIF(INGRESOS!E:E,Tabla6[[#This Row],[ID FACTURA]])=1,"PAGADA",Tabla6[[#This Row],[ID FACTURA]]&lt;&gt;0,"EMITIDA",Tabla6[[#This Row],[ID FACTURA]]=0,"POR EMITIR")</f>
        <v>POR EMITIR</v>
      </c>
      <c r="M1686" s="55" t="str">
        <f>+IF(Tabla6[[#This Row],[ESTADO FACTURA]]="PAGADA",Tabla6[[#This Row],[FECHA]]-_xlfn.XLOOKUP(Tabla6[[#This Row],[N° FACTURA]],INGRESOS!F:F,INGRESOS!A:A),"-")</f>
        <v>-</v>
      </c>
      <c r="N1686" s="214"/>
      <c r="O1686"/>
    </row>
    <row r="1687" spans="1:15" ht="14.75" customHeight="1">
      <c r="A1687" s="320" t="s">
        <v>1551</v>
      </c>
      <c r="B1687" t="str">
        <f>+_xlfn.XLOOKUP(Tabla6[[#This Row],[ID CLIENTE]],'RESUMEN CLIENTES'!D:D,'RESUMEN CLIENTES'!A:A)</f>
        <v>María Fernanda Cid Ramírez</v>
      </c>
      <c r="C1687" t="str">
        <f>+_xlfn.XLOOKUP(Tabla6[[#This Row],[ID CLIENTE]],'RESUMEN CLIENTES'!D:D,'RESUMEN CLIENTES'!C:C)</f>
        <v>México</v>
      </c>
      <c r="D1687" s="44" t="str">
        <f>+_xlfn.XLOOKUP(Tabla6[[#This Row],[ID CLIENTE]],'RESUMEN CLIENTES'!D:D,'RESUMEN CLIENTES'!M:M)</f>
        <v>OK</v>
      </c>
      <c r="E1687" s="71">
        <f>+_xlfn.XLOOKUP(Tabla6[[#This Row],[NOMBRE]],'RESUMEN CLIENTES'!A:A,'RESUMEN CLIENTES'!X:X)</f>
        <v>-0.8571428571428571</v>
      </c>
      <c r="F1687" s="71">
        <f>+_xlfn.XLOOKUP(Tabla6[[#This Row],[ID CLIENTE]],'RESUMEN CLIENTES'!D:D,'RESUMEN CLIENTES'!W:W)</f>
        <v>0</v>
      </c>
      <c r="G1687" s="17">
        <v>46270</v>
      </c>
      <c r="H1687" s="169" t="s">
        <v>81</v>
      </c>
      <c r="I1687" s="2">
        <v>850</v>
      </c>
      <c r="J1687"/>
      <c r="K1687"/>
      <c r="L1687" s="44" t="str" cm="1">
        <f t="array" ref="L1687">+_xlfn.IFS(COUNTIF(INGRESOS!E:E,Tabla6[[#This Row],[ID FACTURA]])=1,"PAGADA",Tabla6[[#This Row],[ID FACTURA]]&lt;&gt;0,"EMITIDA",Tabla6[[#This Row],[ID FACTURA]]=0,"POR EMITIR")</f>
        <v>POR EMITIR</v>
      </c>
      <c r="M1687" s="55" t="str">
        <f>+IF(Tabla6[[#This Row],[ESTADO FACTURA]]="PAGADA",Tabla6[[#This Row],[FECHA]]-_xlfn.XLOOKUP(Tabla6[[#This Row],[N° FACTURA]],INGRESOS!F:F,INGRESOS!A:A),"-")</f>
        <v>-</v>
      </c>
      <c r="N1687" s="2"/>
      <c r="O1687"/>
    </row>
    <row r="1688" spans="1:15" ht="14.75" customHeight="1">
      <c r="A1688" s="320" t="s">
        <v>1155</v>
      </c>
      <c r="B1688" t="str">
        <f>+_xlfn.XLOOKUP(Tabla6[[#This Row],[ID CLIENTE]],'RESUMEN CLIENTES'!D:D,'RESUMEN CLIENTES'!A:A)</f>
        <v>Mario Arciga Casián</v>
      </c>
      <c r="C1688" t="str">
        <f>+_xlfn.XLOOKUP(Tabla6[[#This Row],[ID CLIENTE]],'RESUMEN CLIENTES'!D:D,'RESUMEN CLIENTES'!C:C)</f>
        <v>México</v>
      </c>
      <c r="D1688" s="44" t="str">
        <f>+_xlfn.XLOOKUP(Tabla6[[#This Row],[ID CLIENTE]],'RESUMEN CLIENTES'!D:D,'RESUMEN CLIENTES'!M:M)</f>
        <v>OK</v>
      </c>
      <c r="E1688" s="72">
        <f>+_xlfn.XLOOKUP(Tabla6[[#This Row],[NOMBRE]],'RESUMEN CLIENTES'!A:A,'RESUMEN CLIENTES'!X:X)</f>
        <v>-0.66666666666666663</v>
      </c>
      <c r="F1688" s="72">
        <f>+_xlfn.XLOOKUP(Tabla6[[#This Row],[ID CLIENTE]],'RESUMEN CLIENTES'!D:D,'RESUMEN CLIENTES'!W:W)</f>
        <v>1</v>
      </c>
      <c r="G1688" s="17">
        <v>46270</v>
      </c>
      <c r="H1688" s="44" t="s">
        <v>81</v>
      </c>
      <c r="I1688" s="2">
        <v>1000</v>
      </c>
      <c r="J1688"/>
      <c r="K1688"/>
      <c r="L1688" s="44" t="str" cm="1">
        <f t="array" ref="L1688">+_xlfn.IFS(COUNTIF(INGRESOS!E:E,Tabla6[[#This Row],[ID FACTURA]])=1,"PAGADA",Tabla6[[#This Row],[ID FACTURA]]&lt;&gt;0,"EMITIDA",Tabla6[[#This Row],[ID FACTURA]]=0,"POR EMITIR")</f>
        <v>POR EMITIR</v>
      </c>
      <c r="M1688" s="55" t="str">
        <f>+IF(Tabla6[[#This Row],[ESTADO FACTURA]]="PAGADA",Tabla6[[#This Row],[FECHA]]-_xlfn.XLOOKUP(Tabla6[[#This Row],[N° FACTURA]],INGRESOS!F:F,INGRESOS!A:A),"-")</f>
        <v>-</v>
      </c>
      <c r="N1688" s="2"/>
      <c r="O1688"/>
    </row>
    <row r="1689" spans="1:15" ht="14.75" customHeight="1">
      <c r="A1689" s="320" t="s">
        <v>4509</v>
      </c>
      <c r="B1689" t="str">
        <f>+_xlfn.XLOOKUP(Tabla6[[#This Row],[ID CLIENTE]],'RESUMEN CLIENTES'!D:D,'RESUMEN CLIENTES'!A:A)</f>
        <v>Marisol Madeleine Ibáñez Paredes</v>
      </c>
      <c r="C1689" t="str">
        <f>+_xlfn.XLOOKUP(Tabla6[[#This Row],[ID CLIENTE]],'RESUMEN CLIENTES'!D:D,'RESUMEN CLIENTES'!C:C)</f>
        <v>Ecuador</v>
      </c>
      <c r="D1689" s="169" t="str">
        <f>+_xlfn.XLOOKUP(Tabla6[[#This Row],[ID CLIENTE]],'RESUMEN CLIENTES'!D:D,'RESUMEN CLIENTES'!M:M)</f>
        <v>OK</v>
      </c>
      <c r="E1689" s="71">
        <f>+_xlfn.XLOOKUP(Tabla6[[#This Row],[NOMBRE]],'RESUMEN CLIENTES'!A:A,'RESUMEN CLIENTES'!X:X)</f>
        <v>-3</v>
      </c>
      <c r="F1689" s="71">
        <f>+_xlfn.XLOOKUP(Tabla6[[#This Row],[ID CLIENTE]],'RESUMEN CLIENTES'!D:D,'RESUMEN CLIENTES'!W:W)</f>
        <v>0</v>
      </c>
      <c r="G1689" s="17">
        <v>46270</v>
      </c>
      <c r="H1689" s="169" t="s">
        <v>81</v>
      </c>
      <c r="I1689" s="2">
        <v>1000</v>
      </c>
      <c r="J1689"/>
      <c r="K1689"/>
      <c r="L1689" s="44" t="str" cm="1">
        <f t="array" ref="L1689">+_xlfn.IFS(COUNTIF(INGRESOS!E:E,Tabla6[[#This Row],[ID FACTURA]])=1,"PAGADA",Tabla6[[#This Row],[ID FACTURA]]&lt;&gt;0,"EMITIDA",Tabla6[[#This Row],[ID FACTURA]]=0,"POR EMITIR")</f>
        <v>POR EMITIR</v>
      </c>
      <c r="M1689" s="54" t="str">
        <f>+IF(Tabla6[[#This Row],[ESTADO FACTURA]]="PAGADA",Tabla6[[#This Row],[FECHA]]-_xlfn.XLOOKUP(Tabla6[[#This Row],[N° FACTURA]],INGRESOS!F:F,INGRESOS!A:A),"-")</f>
        <v>-</v>
      </c>
      <c r="O1689"/>
    </row>
    <row r="1690" spans="1:15" ht="14.75" customHeight="1">
      <c r="A1690" s="320" t="s">
        <v>129</v>
      </c>
      <c r="B1690" t="str">
        <f>+_xlfn.XLOOKUP(Tabla6[[#This Row],[ID CLIENTE]],'RESUMEN CLIENTES'!D:D,'RESUMEN CLIENTES'!A:A)</f>
        <v>Moira Millaray Schneider Rivera</v>
      </c>
      <c r="C1690" t="str">
        <f>+_xlfn.XLOOKUP(Tabla6[[#This Row],[ID CLIENTE]],'RESUMEN CLIENTES'!D:D,'RESUMEN CLIENTES'!C:C)</f>
        <v>Chile</v>
      </c>
      <c r="D1690" s="44" t="str">
        <f>+_xlfn.XLOOKUP(Tabla6[[#This Row],[ID CLIENTE]],'RESUMEN CLIENTES'!D:D,'RESUMEN CLIENTES'!M:M)</f>
        <v>OK</v>
      </c>
      <c r="E1690" s="72">
        <f>+_xlfn.XLOOKUP(Tabla6[[#This Row],[NOMBRE]],'RESUMEN CLIENTES'!A:A,'RESUMEN CLIENTES'!X:X)</f>
        <v>0</v>
      </c>
      <c r="F1690" s="72">
        <f>+_xlfn.XLOOKUP(Tabla6[[#This Row],[ID CLIENTE]],'RESUMEN CLIENTES'!D:D,'RESUMEN CLIENTES'!W:W)</f>
        <v>1</v>
      </c>
      <c r="G1690" s="17">
        <v>46270</v>
      </c>
      <c r="H1690" s="44" t="s">
        <v>81</v>
      </c>
      <c r="I1690" s="2">
        <v>600</v>
      </c>
      <c r="J1690"/>
      <c r="K1690"/>
      <c r="L1690" s="44" t="str" cm="1">
        <f t="array" ref="L1690">+_xlfn.IFS(COUNTIF(INGRESOS!E:E,Tabla6[[#This Row],[ID FACTURA]])=1,"PAGADA",Tabla6[[#This Row],[ID FACTURA]]&lt;&gt;0,"EMITIDA",Tabla6[[#This Row],[ID FACTURA]]=0,"POR EMITIR")</f>
        <v>POR EMITIR</v>
      </c>
      <c r="M1690" s="55" t="str">
        <f>+IF(Tabla6[[#This Row],[ESTADO FACTURA]]="PAGADA",Tabla6[[#This Row],[FECHA]]-_xlfn.XLOOKUP(Tabla6[[#This Row],[N° FACTURA]],INGRESOS!F:F,INGRESOS!A:A),"-")</f>
        <v>-</v>
      </c>
      <c r="N1690" s="2"/>
      <c r="O1690"/>
    </row>
    <row r="1691" spans="1:15" ht="14.75" customHeight="1">
      <c r="A1691" s="320" t="s">
        <v>159</v>
      </c>
      <c r="B1691" t="str">
        <f>+_xlfn.XLOOKUP(Tabla6[[#This Row],[ID CLIENTE]],'RESUMEN CLIENTES'!D:D,'RESUMEN CLIENTES'!A:A)</f>
        <v>Rodrigo Rivera Ruiz</v>
      </c>
      <c r="C1691" t="str">
        <f>+_xlfn.XLOOKUP(Tabla6[[#This Row],[ID CLIENTE]],'RESUMEN CLIENTES'!D:D,'RESUMEN CLIENTES'!C:C)</f>
        <v>Chile</v>
      </c>
      <c r="D1691" s="44" t="str">
        <f>+_xlfn.XLOOKUP(Tabla6[[#This Row],[ID CLIENTE]],'RESUMEN CLIENTES'!D:D,'RESUMEN CLIENTES'!M:M)</f>
        <v>OK</v>
      </c>
      <c r="E1691" s="72">
        <f>+_xlfn.XLOOKUP(Tabla6[[#This Row],[NOMBRE]],'RESUMEN CLIENTES'!A:A,'RESUMEN CLIENTES'!X:X)</f>
        <v>0.8</v>
      </c>
      <c r="F1691" s="72">
        <f>+_xlfn.XLOOKUP(Tabla6[[#This Row],[ID CLIENTE]],'RESUMEN CLIENTES'!D:D,'RESUMEN CLIENTES'!W:W)</f>
        <v>1</v>
      </c>
      <c r="G1691" s="17">
        <v>46270</v>
      </c>
      <c r="H1691" s="44" t="s">
        <v>81</v>
      </c>
      <c r="I1691" s="2">
        <v>800</v>
      </c>
      <c r="J1691"/>
      <c r="K1691"/>
      <c r="L1691" s="44" t="str" cm="1">
        <f t="array" ref="L1691">+_xlfn.IFS(COUNTIF(INGRESOS!E:E,Tabla6[[#This Row],[ID FACTURA]])=1,"PAGADA",Tabla6[[#This Row],[ID FACTURA]]&lt;&gt;0,"EMITIDA",Tabla6[[#This Row],[ID FACTURA]]=0,"POR EMITIR")</f>
        <v>POR EMITIR</v>
      </c>
      <c r="M1691" s="55" t="str">
        <f>+IF(Tabla6[[#This Row],[ESTADO FACTURA]]="PAGADA",Tabla6[[#This Row],[FECHA]]-_xlfn.XLOOKUP(Tabla6[[#This Row],[N° FACTURA]],INGRESOS!F:F,INGRESOS!A:A),"-")</f>
        <v>-</v>
      </c>
      <c r="N1691" s="2"/>
      <c r="O1691"/>
    </row>
    <row r="1692" spans="1:15" ht="14.75" customHeight="1">
      <c r="A1692" s="320" t="s">
        <v>281</v>
      </c>
      <c r="B1692" t="str">
        <f>+_xlfn.XLOOKUP(Tabla6[[#This Row],[ID CLIENTE]],'RESUMEN CLIENTES'!D:D,'RESUMEN CLIENTES'!A:A)</f>
        <v>Sergio Francisco Garcia Sandoval</v>
      </c>
      <c r="C1692" t="str">
        <f>+_xlfn.XLOOKUP(Tabla6[[#This Row],[ID CLIENTE]],'RESUMEN CLIENTES'!D:D,'RESUMEN CLIENTES'!C:C)</f>
        <v>Perú</v>
      </c>
      <c r="D1692" s="44" t="str">
        <f>+_xlfn.XLOOKUP(Tabla6[[#This Row],[ID CLIENTE]],'RESUMEN CLIENTES'!D:D,'RESUMEN CLIENTES'!M:M)</f>
        <v>OK</v>
      </c>
      <c r="E1692" s="72">
        <f>+_xlfn.XLOOKUP(Tabla6[[#This Row],[NOMBRE]],'RESUMEN CLIENTES'!A:A,'RESUMEN CLIENTES'!X:X)</f>
        <v>0.88888888888888884</v>
      </c>
      <c r="F1692" s="72">
        <f>+_xlfn.XLOOKUP(Tabla6[[#This Row],[ID CLIENTE]],'RESUMEN CLIENTES'!D:D,'RESUMEN CLIENTES'!W:W)</f>
        <v>1</v>
      </c>
      <c r="G1692" s="17">
        <v>46270</v>
      </c>
      <c r="H1692" s="44" t="s">
        <v>81</v>
      </c>
      <c r="I1692" s="2">
        <v>350</v>
      </c>
      <c r="J1692"/>
      <c r="K1692"/>
      <c r="L1692" s="44" t="str" cm="1">
        <f t="array" ref="L1692">+_xlfn.IFS(COUNTIF(INGRESOS!E:E,Tabla6[[#This Row],[ID FACTURA]])=1,"PAGADA",Tabla6[[#This Row],[ID FACTURA]]&lt;&gt;0,"EMITIDA",Tabla6[[#This Row],[ID FACTURA]]=0,"POR EMITIR")</f>
        <v>POR EMITIR</v>
      </c>
      <c r="M1692" s="55" t="str">
        <f>+IF(Tabla6[[#This Row],[ESTADO FACTURA]]="PAGADA",Tabla6[[#This Row],[FECHA]]-_xlfn.XLOOKUP(Tabla6[[#This Row],[N° FACTURA]],INGRESOS!F:F,INGRESOS!A:A),"-")</f>
        <v>-</v>
      </c>
      <c r="N1692" s="2"/>
      <c r="O1692"/>
    </row>
    <row r="1693" spans="1:15" ht="14.75" customHeight="1">
      <c r="A1693" s="320" t="s">
        <v>907</v>
      </c>
      <c r="B1693" t="str">
        <f>+_xlfn.XLOOKUP(Tabla6[[#This Row],[ID CLIENTE]],'RESUMEN CLIENTES'!D:D,'RESUMEN CLIENTES'!A:A)</f>
        <v>Luis Carlos Villa Cortés</v>
      </c>
      <c r="C1693" t="str">
        <f>+_xlfn.XLOOKUP(Tabla6[[#This Row],[ID CLIENTE]],'RESUMEN CLIENTES'!D:D,'RESUMEN CLIENTES'!C:C)</f>
        <v>México</v>
      </c>
      <c r="D1693" s="44" t="str">
        <f>+_xlfn.XLOOKUP(Tabla6[[#This Row],[ID CLIENTE]],'RESUMEN CLIENTES'!D:D,'RESUMEN CLIENTES'!M:M)</f>
        <v>OK</v>
      </c>
      <c r="E1693" s="72">
        <f>+_xlfn.XLOOKUP(Tabla6[[#This Row],[NOMBRE]],'RESUMEN CLIENTES'!A:A,'RESUMEN CLIENTES'!X:X)</f>
        <v>0</v>
      </c>
      <c r="F1693" s="72">
        <f>+_xlfn.XLOOKUP(Tabla6[[#This Row],[ID CLIENTE]],'RESUMEN CLIENTES'!D:D,'RESUMEN CLIENTES'!W:W)</f>
        <v>1</v>
      </c>
      <c r="G1693" s="17">
        <v>46271</v>
      </c>
      <c r="H1693" s="44" t="s">
        <v>81</v>
      </c>
      <c r="I1693" s="2">
        <v>1000</v>
      </c>
      <c r="J1693"/>
      <c r="K1693"/>
      <c r="L1693" s="44" t="str" cm="1">
        <f t="array" ref="L1693">+_xlfn.IFS(COUNTIF(INGRESOS!E:E,Tabla6[[#This Row],[ID FACTURA]])=1,"PAGADA",Tabla6[[#This Row],[ID FACTURA]]&lt;&gt;0,"EMITIDA",Tabla6[[#This Row],[ID FACTURA]]=0,"POR EMITIR")</f>
        <v>POR EMITIR</v>
      </c>
      <c r="M1693" s="55" t="str">
        <f>+IF(Tabla6[[#This Row],[ESTADO FACTURA]]="PAGADA",Tabla6[[#This Row],[FECHA]]-_xlfn.XLOOKUP(Tabla6[[#This Row],[N° FACTURA]],INGRESOS!F:F,INGRESOS!A:A),"-")</f>
        <v>-</v>
      </c>
      <c r="N1693" s="2"/>
      <c r="O1693"/>
    </row>
    <row r="1694" spans="1:15" ht="14.75" customHeight="1">
      <c r="A1694" s="320" t="s">
        <v>1152</v>
      </c>
      <c r="B1694" t="str">
        <f>+_xlfn.XLOOKUP(Tabla6[[#This Row],[ID CLIENTE]],'RESUMEN CLIENTES'!D:D,'RESUMEN CLIENTES'!A:A)</f>
        <v>Ricardo Ernesto Miño Valencia</v>
      </c>
      <c r="C1694" t="str">
        <f>+_xlfn.XLOOKUP(Tabla6[[#This Row],[ID CLIENTE]],'RESUMEN CLIENTES'!D:D,'RESUMEN CLIENTES'!C:C)</f>
        <v>Ecuador</v>
      </c>
      <c r="D1694" s="44" t="str">
        <f>+_xlfn.XLOOKUP(Tabla6[[#This Row],[ID CLIENTE]],'RESUMEN CLIENTES'!D:D,'RESUMEN CLIENTES'!M:M)</f>
        <v>OK</v>
      </c>
      <c r="E1694" s="72">
        <f>+_xlfn.XLOOKUP(Tabla6[[#This Row],[NOMBRE]],'RESUMEN CLIENTES'!A:A,'RESUMEN CLIENTES'!X:X)</f>
        <v>-3.2</v>
      </c>
      <c r="F1694" s="72">
        <f>+_xlfn.XLOOKUP(Tabla6[[#This Row],[ID CLIENTE]],'RESUMEN CLIENTES'!D:D,'RESUMEN CLIENTES'!W:W)</f>
        <v>1</v>
      </c>
      <c r="G1694" s="17">
        <v>46271</v>
      </c>
      <c r="H1694" s="44" t="s">
        <v>81</v>
      </c>
      <c r="I1694" s="2">
        <v>700</v>
      </c>
      <c r="J1694"/>
      <c r="K1694"/>
      <c r="L1694" s="44" t="str" cm="1">
        <f t="array" ref="L1694">+_xlfn.IFS(COUNTIF(INGRESOS!E:E,Tabla6[[#This Row],[ID FACTURA]])=1,"PAGADA",Tabla6[[#This Row],[ID FACTURA]]&lt;&gt;0,"EMITIDA",Tabla6[[#This Row],[ID FACTURA]]=0,"POR EMITIR")</f>
        <v>POR EMITIR</v>
      </c>
      <c r="M1694" s="55" t="str">
        <f>+IF(Tabla6[[#This Row],[ESTADO FACTURA]]="PAGADA",Tabla6[[#This Row],[FECHA]]-_xlfn.XLOOKUP(Tabla6[[#This Row],[N° FACTURA]],INGRESOS!F:F,INGRESOS!A:A),"-")</f>
        <v>-</v>
      </c>
      <c r="N1694" s="2"/>
      <c r="O1694"/>
    </row>
    <row r="1695" spans="1:15" ht="14.75" customHeight="1">
      <c r="A1695" s="320" t="s">
        <v>1645</v>
      </c>
      <c r="B1695" t="str">
        <f>+_xlfn.XLOOKUP(Tabla6[[#This Row],[ID CLIENTE]],'RESUMEN CLIENTES'!D:D,'RESUMEN CLIENTES'!A:A)</f>
        <v>Gerardo Abel Palacios Preciado</v>
      </c>
      <c r="C1695" t="str">
        <f>+_xlfn.XLOOKUP(Tabla6[[#This Row],[ID CLIENTE]],'RESUMEN CLIENTES'!D:D,'RESUMEN CLIENTES'!C:C)</f>
        <v>México</v>
      </c>
      <c r="D1695" s="169" t="str">
        <f>+_xlfn.XLOOKUP(Tabla6[[#This Row],[ID CLIENTE]],'RESUMEN CLIENTES'!D:D,'RESUMEN CLIENTES'!M:M)</f>
        <v>OK</v>
      </c>
      <c r="E1695" s="71">
        <f>+_xlfn.XLOOKUP(Tabla6[[#This Row],[NOMBRE]],'RESUMEN CLIENTES'!A:A,'RESUMEN CLIENTES'!X:X)</f>
        <v>-1.3333333333333333</v>
      </c>
      <c r="F1695" s="71">
        <f>+_xlfn.XLOOKUP(Tabla6[[#This Row],[ID CLIENTE]],'RESUMEN CLIENTES'!D:D,'RESUMEN CLIENTES'!W:W)</f>
        <v>1</v>
      </c>
      <c r="G1695" s="17">
        <v>46274</v>
      </c>
      <c r="H1695" s="169" t="s">
        <v>81</v>
      </c>
      <c r="I1695" s="2">
        <v>650</v>
      </c>
      <c r="J1695"/>
      <c r="K1695"/>
      <c r="L1695" s="44" t="str" cm="1">
        <f t="array" ref="L1695">+_xlfn.IFS(COUNTIF(INGRESOS!E:E,Tabla6[[#This Row],[ID FACTURA]])=1,"PAGADA",Tabla6[[#This Row],[ID FACTURA]]&lt;&gt;0,"EMITIDA",Tabla6[[#This Row],[ID FACTURA]]=0,"POR EMITIR")</f>
        <v>POR EMITIR</v>
      </c>
      <c r="M1695" s="55" t="str">
        <f>+IF(Tabla6[[#This Row],[ESTADO FACTURA]]="PAGADA",Tabla6[[#This Row],[FECHA]]-_xlfn.XLOOKUP(Tabla6[[#This Row],[N° FACTURA]],INGRESOS!F:F,INGRESOS!A:A),"-")</f>
        <v>-</v>
      </c>
      <c r="N1695" s="2"/>
      <c r="O1695"/>
    </row>
    <row r="1696" spans="1:15" ht="14.75" customHeight="1">
      <c r="A1696" s="320" t="s">
        <v>4768</v>
      </c>
      <c r="B1696" t="str">
        <f>+_xlfn.XLOOKUP(Tabla6[[#This Row],[ID CLIENTE]],'RESUMEN CLIENTES'!D:D,'RESUMEN CLIENTES'!A:A)</f>
        <v>Carla Elena Patínez Rondón</v>
      </c>
      <c r="C1696" s="15" t="str">
        <f>+_xlfn.XLOOKUP(Tabla6[[#This Row],[ID CLIENTE]],'RESUMEN CLIENTES'!D:D,'RESUMEN CLIENTES'!C:C)</f>
        <v>Venezuela</v>
      </c>
      <c r="D1696" s="169" t="str">
        <f>+_xlfn.XLOOKUP(Tabla6[[#This Row],[ID CLIENTE]],'RESUMEN CLIENTES'!D:D,'RESUMEN CLIENTES'!M:M)</f>
        <v>OK</v>
      </c>
      <c r="E1696" s="71">
        <f>+_xlfn.XLOOKUP(Tabla6[[#This Row],[NOMBRE]],'RESUMEN CLIENTES'!A:A,'RESUMEN CLIENTES'!X:X)</f>
        <v>-9</v>
      </c>
      <c r="F1696" s="71">
        <f>+_xlfn.XLOOKUP(Tabla6[[#This Row],[ID CLIENTE]],'RESUMEN CLIENTES'!D:D,'RESUMEN CLIENTES'!W:W)</f>
        <v>0</v>
      </c>
      <c r="G1696" s="17">
        <v>46280</v>
      </c>
      <c r="H1696" s="169" t="s">
        <v>81</v>
      </c>
      <c r="I1696" s="2">
        <v>1000</v>
      </c>
      <c r="J1696"/>
      <c r="K1696"/>
      <c r="L1696" s="44" t="str" cm="1">
        <f t="array" ref="L1696">+_xlfn.IFS(COUNTIF(INGRESOS!E:E,Tabla6[[#This Row],[ID FACTURA]])=1,"PAGADA",Tabla6[[#This Row],[ID FACTURA]]&lt;&gt;0,"EMITIDA",Tabla6[[#This Row],[ID FACTURA]]=0,"POR EMITIR")</f>
        <v>POR EMITIR</v>
      </c>
      <c r="M1696" s="54" t="str">
        <f>+IF(Tabla6[[#This Row],[ESTADO FACTURA]]="PAGADA",Tabla6[[#This Row],[FECHA]]-_xlfn.XLOOKUP(Tabla6[[#This Row],[N° FACTURA]],INGRESOS!F:F,INGRESOS!A:A),"-")</f>
        <v>-</v>
      </c>
      <c r="O1696"/>
    </row>
    <row r="1697" spans="1:15" ht="14.75" customHeight="1">
      <c r="A1697" s="320" t="s">
        <v>1945</v>
      </c>
      <c r="B1697" t="str">
        <f>+_xlfn.XLOOKUP(Tabla6[[#This Row],[ID CLIENTE]],'RESUMEN CLIENTES'!D:D,'RESUMEN CLIENTES'!A:A)</f>
        <v>Fernanda Constanza Kompai Antu Arellano Guzmán</v>
      </c>
      <c r="C1697" t="str">
        <f>+_xlfn.XLOOKUP(Tabla6[[#This Row],[ID CLIENTE]],'RESUMEN CLIENTES'!D:D,'RESUMEN CLIENTES'!C:C)</f>
        <v>Chile</v>
      </c>
      <c r="D1697" s="169" t="str">
        <f>+_xlfn.XLOOKUP(Tabla6[[#This Row],[ID CLIENTE]],'RESUMEN CLIENTES'!D:D,'RESUMEN CLIENTES'!M:M)</f>
        <v>OK</v>
      </c>
      <c r="E1697" s="71">
        <f>+_xlfn.XLOOKUP(Tabla6[[#This Row],[NOMBRE]],'RESUMEN CLIENTES'!A:A,'RESUMEN CLIENTES'!X:X)</f>
        <v>0</v>
      </c>
      <c r="F1697" s="71">
        <f>+_xlfn.XLOOKUP(Tabla6[[#This Row],[ID CLIENTE]],'RESUMEN CLIENTES'!D:D,'RESUMEN CLIENTES'!W:W)</f>
        <v>0</v>
      </c>
      <c r="G1697" s="170">
        <v>46280</v>
      </c>
      <c r="H1697" s="170" t="s">
        <v>81</v>
      </c>
      <c r="I1697" s="2">
        <v>650</v>
      </c>
      <c r="J1697"/>
      <c r="K1697"/>
      <c r="L1697" s="44" t="str" cm="1">
        <f t="array" ref="L1697">+_xlfn.IFS(COUNTIF(INGRESOS!E:E,Tabla6[[#This Row],[ID FACTURA]])=1,"PAGADA",Tabla6[[#This Row],[ID FACTURA]]&lt;&gt;0,"EMITIDA",Tabla6[[#This Row],[ID FACTURA]]=0,"POR EMITIR")</f>
        <v>POR EMITIR</v>
      </c>
      <c r="M1697" s="54" t="str">
        <f>+IF(Tabla6[[#This Row],[ESTADO FACTURA]]="PAGADA",Tabla6[[#This Row],[FECHA]]-_xlfn.XLOOKUP(Tabla6[[#This Row],[N° FACTURA]],INGRESOS!F:F,INGRESOS!A:A),"-")</f>
        <v>-</v>
      </c>
      <c r="O1697"/>
    </row>
    <row r="1698" spans="1:15" ht="14.75" customHeight="1">
      <c r="A1698" s="320" t="s">
        <v>95</v>
      </c>
      <c r="B1698" t="str">
        <f>+_xlfn.XLOOKUP(Tabla6[[#This Row],[ID CLIENTE]],'RESUMEN CLIENTES'!D:D,'RESUMEN CLIENTES'!A:A)</f>
        <v>Gabriel Alejandro Ortega Moreno</v>
      </c>
      <c r="C1698" t="str">
        <f>+_xlfn.XLOOKUP(Tabla6[[#This Row],[ID CLIENTE]],'RESUMEN CLIENTES'!D:D,'RESUMEN CLIENTES'!C:C)</f>
        <v>Ecuador</v>
      </c>
      <c r="D1698" s="44" t="str">
        <f>+_xlfn.XLOOKUP(Tabla6[[#This Row],[ID CLIENTE]],'RESUMEN CLIENTES'!D:D,'RESUMEN CLIENTES'!M:M)</f>
        <v>OK</v>
      </c>
      <c r="E1698" s="72">
        <f>+_xlfn.XLOOKUP(Tabla6[[#This Row],[NOMBRE]],'RESUMEN CLIENTES'!A:A,'RESUMEN CLIENTES'!X:X)</f>
        <v>-0.1111111111111111</v>
      </c>
      <c r="F1698" s="72">
        <f>+_xlfn.XLOOKUP(Tabla6[[#This Row],[ID CLIENTE]],'RESUMEN CLIENTES'!D:D,'RESUMEN CLIENTES'!W:W)</f>
        <v>0</v>
      </c>
      <c r="G1698" s="17">
        <v>46280</v>
      </c>
      <c r="H1698" s="44" t="s">
        <v>81</v>
      </c>
      <c r="I1698" s="2">
        <v>600</v>
      </c>
      <c r="J1698"/>
      <c r="K1698"/>
      <c r="L1698" s="44" t="str" cm="1">
        <f t="array" ref="L1698">+_xlfn.IFS(COUNTIF(INGRESOS!E:E,Tabla6[[#This Row],[ID FACTURA]])=1,"PAGADA",Tabla6[[#This Row],[ID FACTURA]]&lt;&gt;0,"EMITIDA",Tabla6[[#This Row],[ID FACTURA]]=0,"POR EMITIR")</f>
        <v>POR EMITIR</v>
      </c>
      <c r="M1698" s="55" t="str">
        <f>+IF(Tabla6[[#This Row],[ESTADO FACTURA]]="PAGADA",Tabla6[[#This Row],[FECHA]]-_xlfn.XLOOKUP(Tabla6[[#This Row],[N° FACTURA]],INGRESOS!F:F,INGRESOS!A:A),"-")</f>
        <v>-</v>
      </c>
      <c r="N1698" s="2"/>
      <c r="O1698"/>
    </row>
    <row r="1699" spans="1:15" ht="14.75" customHeight="1">
      <c r="A1699" s="320" t="s">
        <v>103</v>
      </c>
      <c r="B1699" t="str">
        <f>+_xlfn.XLOOKUP(Tabla6[[#This Row],[ID CLIENTE]],'RESUMEN CLIENTES'!D:D,'RESUMEN CLIENTES'!A:A)</f>
        <v>Isaac Ricardo Jimenez Campos</v>
      </c>
      <c r="C1699" t="str">
        <f>+_xlfn.XLOOKUP(Tabla6[[#This Row],[ID CLIENTE]],'RESUMEN CLIENTES'!D:D,'RESUMEN CLIENTES'!C:C)</f>
        <v>México</v>
      </c>
      <c r="D1699" s="44" t="str">
        <f>+_xlfn.XLOOKUP(Tabla6[[#This Row],[ID CLIENTE]],'RESUMEN CLIENTES'!D:D,'RESUMEN CLIENTES'!M:M)</f>
        <v>OK</v>
      </c>
      <c r="E1699" s="72">
        <f>+_xlfn.XLOOKUP(Tabla6[[#This Row],[NOMBRE]],'RESUMEN CLIENTES'!A:A,'RESUMEN CLIENTES'!X:X)</f>
        <v>0.5</v>
      </c>
      <c r="F1699" s="72">
        <f>+_xlfn.XLOOKUP(Tabla6[[#This Row],[ID CLIENTE]],'RESUMEN CLIENTES'!D:D,'RESUMEN CLIENTES'!W:W)</f>
        <v>1</v>
      </c>
      <c r="G1699" s="17">
        <v>46280</v>
      </c>
      <c r="H1699" s="44" t="s">
        <v>81</v>
      </c>
      <c r="I1699" s="2">
        <v>654</v>
      </c>
      <c r="J1699"/>
      <c r="K1699"/>
      <c r="L1699" s="44" t="str" cm="1">
        <f t="array" ref="L1699">+_xlfn.IFS(COUNTIF(INGRESOS!E:E,Tabla6[[#This Row],[ID FACTURA]])=1,"PAGADA",Tabla6[[#This Row],[ID FACTURA]]&lt;&gt;0,"EMITIDA",Tabla6[[#This Row],[ID FACTURA]]=0,"POR EMITIR")</f>
        <v>POR EMITIR</v>
      </c>
      <c r="M1699" s="55" t="str">
        <f>+IF(Tabla6[[#This Row],[ESTADO FACTURA]]="PAGADA",Tabla6[[#This Row],[FECHA]]-_xlfn.XLOOKUP(Tabla6[[#This Row],[N° FACTURA]],INGRESOS!F:F,INGRESOS!A:A),"-")</f>
        <v>-</v>
      </c>
      <c r="N1699" s="2"/>
      <c r="O1699"/>
    </row>
    <row r="1700" spans="1:15" ht="14.75" customHeight="1">
      <c r="A1700" s="321" t="s">
        <v>1875</v>
      </c>
      <c r="B1700" t="str">
        <f>+_xlfn.XLOOKUP(Tabla6[[#This Row],[ID CLIENTE]],'RESUMEN CLIENTES'!D:D,'RESUMEN CLIENTES'!A:A)</f>
        <v>Laura Giraldo</v>
      </c>
      <c r="C1700" t="str">
        <f>+_xlfn.XLOOKUP(Tabla6[[#This Row],[ID CLIENTE]],'RESUMEN CLIENTES'!D:D,'RESUMEN CLIENTES'!C:C)</f>
        <v>Colombia</v>
      </c>
      <c r="D1700" s="169" t="str">
        <f>+_xlfn.XLOOKUP(Tabla6[[#This Row],[ID CLIENTE]],'RESUMEN CLIENTES'!D:D,'RESUMEN CLIENTES'!M:M)</f>
        <v>OK</v>
      </c>
      <c r="E1700" s="71">
        <f>+_xlfn.XLOOKUP(Tabla6[[#This Row],[NOMBRE]],'RESUMEN CLIENTES'!A:A,'RESUMEN CLIENTES'!X:X)</f>
        <v>-3.25</v>
      </c>
      <c r="F1700" s="71">
        <f>+_xlfn.XLOOKUP(Tabla6[[#This Row],[ID CLIENTE]],'RESUMEN CLIENTES'!D:D,'RESUMEN CLIENTES'!W:W)</f>
        <v>1</v>
      </c>
      <c r="G1700" s="17">
        <v>46280</v>
      </c>
      <c r="H1700" s="169" t="s">
        <v>1876</v>
      </c>
      <c r="I1700" s="2">
        <v>500</v>
      </c>
      <c r="J1700"/>
      <c r="K1700"/>
      <c r="L1700" s="44" t="str" cm="1">
        <f t="array" ref="L1700">+_xlfn.IFS(COUNTIF(INGRESOS!E:E,Tabla6[[#This Row],[ID FACTURA]])=1,"PAGADA",Tabla6[[#This Row],[ID FACTURA]]&lt;&gt;0,"EMITIDA",Tabla6[[#This Row],[ID FACTURA]]=0,"POR EMITIR")</f>
        <v>POR EMITIR</v>
      </c>
      <c r="M1700" s="54" t="str">
        <f>+IF(Tabla6[[#This Row],[ESTADO FACTURA]]="PAGADA",Tabla6[[#This Row],[FECHA]]-_xlfn.XLOOKUP(Tabla6[[#This Row],[N° FACTURA]],INGRESOS!F:F,INGRESOS!A:A),"-")</f>
        <v>-</v>
      </c>
      <c r="O1700"/>
    </row>
    <row r="1701" spans="1:15" ht="14.75" customHeight="1">
      <c r="A1701" s="320" t="s">
        <v>242</v>
      </c>
      <c r="B1701" t="str">
        <f>+_xlfn.XLOOKUP(Tabla6[[#This Row],[ID CLIENTE]],'RESUMEN CLIENTES'!D:D,'RESUMEN CLIENTES'!A:A)</f>
        <v>Rodrigo Ignacio Rodriguez Frutos</v>
      </c>
      <c r="C1701" t="str">
        <f>+_xlfn.XLOOKUP(Tabla6[[#This Row],[ID CLIENTE]],'RESUMEN CLIENTES'!D:D,'RESUMEN CLIENTES'!C:C)</f>
        <v>México</v>
      </c>
      <c r="D1701" s="44" t="str">
        <f>+_xlfn.XLOOKUP(Tabla6[[#This Row],[ID CLIENTE]],'RESUMEN CLIENTES'!D:D,'RESUMEN CLIENTES'!M:M)</f>
        <v>OK</v>
      </c>
      <c r="E1701" s="72">
        <f>+_xlfn.XLOOKUP(Tabla6[[#This Row],[NOMBRE]],'RESUMEN CLIENTES'!A:A,'RESUMEN CLIENTES'!X:X)</f>
        <v>-1.4285714285714286</v>
      </c>
      <c r="F1701" s="72">
        <f>+_xlfn.XLOOKUP(Tabla6[[#This Row],[ID CLIENTE]],'RESUMEN CLIENTES'!D:D,'RESUMEN CLIENTES'!W:W)</f>
        <v>1</v>
      </c>
      <c r="G1701" s="17">
        <v>46280</v>
      </c>
      <c r="H1701" s="44" t="s">
        <v>81</v>
      </c>
      <c r="I1701" s="2">
        <v>630</v>
      </c>
      <c r="J1701"/>
      <c r="K1701"/>
      <c r="L1701" s="44" t="str" cm="1">
        <f t="array" ref="L1701">+_xlfn.IFS(COUNTIF(INGRESOS!E:E,Tabla6[[#This Row],[ID FACTURA]])=1,"PAGADA",Tabla6[[#This Row],[ID FACTURA]]&lt;&gt;0,"EMITIDA",Tabla6[[#This Row],[ID FACTURA]]=0,"POR EMITIR")</f>
        <v>POR EMITIR</v>
      </c>
      <c r="M1701" s="55" t="str">
        <f>+IF(Tabla6[[#This Row],[ESTADO FACTURA]]="PAGADA",Tabla6[[#This Row],[FECHA]]-_xlfn.XLOOKUP(Tabla6[[#This Row],[N° FACTURA]],INGRESOS!F:F,INGRESOS!A:A),"-")</f>
        <v>-</v>
      </c>
      <c r="N1701" s="2"/>
      <c r="O1701"/>
    </row>
    <row r="1702" spans="1:15" ht="14.75" customHeight="1">
      <c r="A1702" s="321" t="s">
        <v>1756</v>
      </c>
      <c r="B1702" t="str">
        <f>+_xlfn.XLOOKUP(Tabla6[[#This Row],[ID CLIENTE]],'RESUMEN CLIENTES'!D:D,'RESUMEN CLIENTES'!A:A)</f>
        <v>Aylin Micaela Ortiz Chiriboga</v>
      </c>
      <c r="C1702" t="str">
        <f>+_xlfn.XLOOKUP(Tabla6[[#This Row],[ID CLIENTE]],'RESUMEN CLIENTES'!D:D,'RESUMEN CLIENTES'!C:C)</f>
        <v>Ecuador</v>
      </c>
      <c r="D1702" s="169" t="str">
        <f>+_xlfn.XLOOKUP(Tabla6[[#This Row],[ID CLIENTE]],'RESUMEN CLIENTES'!D:D,'RESUMEN CLIENTES'!M:M)</f>
        <v>¡REGULARIZAR!</v>
      </c>
      <c r="E1702" s="71">
        <f>+_xlfn.XLOOKUP(Tabla6[[#This Row],[NOMBRE]],'RESUMEN CLIENTES'!A:A,'RESUMEN CLIENTES'!X:X)</f>
        <v>0</v>
      </c>
      <c r="F1702" s="71">
        <f>+_xlfn.XLOOKUP(Tabla6[[#This Row],[ID CLIENTE]],'RESUMEN CLIENTES'!D:D,'RESUMEN CLIENTES'!W:W)</f>
        <v>1</v>
      </c>
      <c r="G1702" s="170">
        <v>46281</v>
      </c>
      <c r="H1702" s="169" t="s">
        <v>81</v>
      </c>
      <c r="I1702" s="2">
        <v>650</v>
      </c>
      <c r="J1702"/>
      <c r="K1702"/>
      <c r="L1702" s="44" t="str" cm="1">
        <f t="array" ref="L1702">+_xlfn.IFS(COUNTIF(INGRESOS!E:E,Tabla6[[#This Row],[ID FACTURA]])=1,"PAGADA",Tabla6[[#This Row],[ID FACTURA]]&lt;&gt;0,"EMITIDA",Tabla6[[#This Row],[ID FACTURA]]=0,"POR EMITIR")</f>
        <v>POR EMITIR</v>
      </c>
      <c r="M1702" s="54" t="str">
        <f>+IF(Tabla6[[#This Row],[ESTADO FACTURA]]="PAGADA",Tabla6[[#This Row],[FECHA]]-_xlfn.XLOOKUP(Tabla6[[#This Row],[N° FACTURA]],INGRESOS!F:F,INGRESOS!A:A),"-")</f>
        <v>-</v>
      </c>
      <c r="O1702"/>
    </row>
    <row r="1703" spans="1:15" ht="14.75" customHeight="1">
      <c r="A1703" s="320" t="s">
        <v>1996</v>
      </c>
      <c r="B1703" t="str">
        <f>+_xlfn.XLOOKUP(Tabla6[[#This Row],[ID CLIENTE]],'RESUMEN CLIENTES'!D:D,'RESUMEN CLIENTES'!A:A)</f>
        <v>Ivan Gonzales Graus</v>
      </c>
      <c r="C1703" t="str">
        <f>+_xlfn.XLOOKUP(Tabla6[[#This Row],[ID CLIENTE]],'RESUMEN CLIENTES'!D:D,'RESUMEN CLIENTES'!C:C)</f>
        <v>Perú</v>
      </c>
      <c r="D1703" s="169" t="str">
        <f>+_xlfn.XLOOKUP(Tabla6[[#This Row],[ID CLIENTE]],'RESUMEN CLIENTES'!D:D,'RESUMEN CLIENTES'!M:M)</f>
        <v>OK</v>
      </c>
      <c r="E1703" s="71">
        <f>+_xlfn.XLOOKUP(Tabla6[[#This Row],[NOMBRE]],'RESUMEN CLIENTES'!A:A,'RESUMEN CLIENTES'!X:X)</f>
        <v>-2</v>
      </c>
      <c r="F1703" s="71">
        <f>+_xlfn.XLOOKUP(Tabla6[[#This Row],[ID CLIENTE]],'RESUMEN CLIENTES'!D:D,'RESUMEN CLIENTES'!W:W)</f>
        <v>1</v>
      </c>
      <c r="G1703" s="17">
        <v>46281</v>
      </c>
      <c r="H1703" s="169" t="s">
        <v>81</v>
      </c>
      <c r="I1703" s="2">
        <v>650</v>
      </c>
      <c r="J1703"/>
      <c r="K1703"/>
      <c r="L1703" s="44" t="str" cm="1">
        <f t="array" ref="L1703">+_xlfn.IFS(COUNTIF(INGRESOS!E:E,Tabla6[[#This Row],[ID FACTURA]])=1,"PAGADA",Tabla6[[#This Row],[ID FACTURA]]&lt;&gt;0,"EMITIDA",Tabla6[[#This Row],[ID FACTURA]]=0,"POR EMITIR")</f>
        <v>POR EMITIR</v>
      </c>
      <c r="M1703" s="54" t="str">
        <f>+IF(Tabla6[[#This Row],[ESTADO FACTURA]]="PAGADA",Tabla6[[#This Row],[FECHA]]-_xlfn.XLOOKUP(Tabla6[[#This Row],[N° FACTURA]],INGRESOS!F:F,INGRESOS!A:A),"-")</f>
        <v>-</v>
      </c>
      <c r="O1703"/>
    </row>
    <row r="1704" spans="1:15" ht="14.75" customHeight="1">
      <c r="A1704" s="320" t="s">
        <v>2046</v>
      </c>
      <c r="B1704" t="str">
        <f>+_xlfn.XLOOKUP(Tabla6[[#This Row],[ID CLIENTE]],'RESUMEN CLIENTES'!D:D,'RESUMEN CLIENTES'!A:A)</f>
        <v>Jesica Daniela Paredes Mendoza</v>
      </c>
      <c r="C1704" t="str">
        <f>+_xlfn.XLOOKUP(Tabla6[[#This Row],[ID CLIENTE]],'RESUMEN CLIENTES'!D:D,'RESUMEN CLIENTES'!C:C)</f>
        <v>México</v>
      </c>
      <c r="D1704" s="169" t="str">
        <f>+_xlfn.XLOOKUP(Tabla6[[#This Row],[ID CLIENTE]],'RESUMEN CLIENTES'!D:D,'RESUMEN CLIENTES'!M:M)</f>
        <v>OK</v>
      </c>
      <c r="E1704" s="71">
        <f>+_xlfn.XLOOKUP(Tabla6[[#This Row],[NOMBRE]],'RESUMEN CLIENTES'!A:A,'RESUMEN CLIENTES'!X:X)</f>
        <v>-2.75</v>
      </c>
      <c r="F1704" s="71">
        <f>+_xlfn.XLOOKUP(Tabla6[[#This Row],[ID CLIENTE]],'RESUMEN CLIENTES'!D:D,'RESUMEN CLIENTES'!W:W)</f>
        <v>1</v>
      </c>
      <c r="G1704" s="17">
        <v>46281</v>
      </c>
      <c r="H1704" s="169" t="s">
        <v>81</v>
      </c>
      <c r="I1704" s="2">
        <v>500</v>
      </c>
      <c r="J1704"/>
      <c r="K1704"/>
      <c r="L1704" s="44" t="str" cm="1">
        <f t="array" ref="L1704">+_xlfn.IFS(COUNTIF(INGRESOS!E:E,Tabla6[[#This Row],[ID FACTURA]])=1,"PAGADA",Tabla6[[#This Row],[ID FACTURA]]&lt;&gt;0,"EMITIDA",Tabla6[[#This Row],[ID FACTURA]]=0,"POR EMITIR")</f>
        <v>POR EMITIR</v>
      </c>
      <c r="M1704" s="54" t="str">
        <f>+IF(Tabla6[[#This Row],[ESTADO FACTURA]]="PAGADA",Tabla6[[#This Row],[FECHA]]-_xlfn.XLOOKUP(Tabla6[[#This Row],[N° FACTURA]],INGRESOS!F:F,INGRESOS!A:A),"-")</f>
        <v>-</v>
      </c>
      <c r="O1704"/>
    </row>
    <row r="1705" spans="1:15" ht="14.75" customHeight="1">
      <c r="A1705" s="320" t="s">
        <v>1001</v>
      </c>
      <c r="B1705" t="str">
        <f>+_xlfn.XLOOKUP(Tabla6[[#This Row],[ID CLIENTE]],'RESUMEN CLIENTES'!D:D,'RESUMEN CLIENTES'!A:A)</f>
        <v>Karenn Yadira Tavera Lara</v>
      </c>
      <c r="C1705" t="str">
        <f>+_xlfn.XLOOKUP(Tabla6[[#This Row],[ID CLIENTE]],'RESUMEN CLIENTES'!D:D,'RESUMEN CLIENTES'!C:C)</f>
        <v>México</v>
      </c>
      <c r="D1705" s="44" t="str">
        <f>+_xlfn.XLOOKUP(Tabla6[[#This Row],[ID CLIENTE]],'RESUMEN CLIENTES'!D:D,'RESUMEN CLIENTES'!M:M)</f>
        <v>OK</v>
      </c>
      <c r="E1705" s="72">
        <f>+_xlfn.XLOOKUP(Tabla6[[#This Row],[NOMBRE]],'RESUMEN CLIENTES'!A:A,'RESUMEN CLIENTES'!X:X)</f>
        <v>1.5</v>
      </c>
      <c r="F1705" s="72">
        <f>+_xlfn.XLOOKUP(Tabla6[[#This Row],[ID CLIENTE]],'RESUMEN CLIENTES'!D:D,'RESUMEN CLIENTES'!W:W)</f>
        <v>1</v>
      </c>
      <c r="G1705" s="17">
        <v>46284</v>
      </c>
      <c r="H1705" s="44" t="s">
        <v>81</v>
      </c>
      <c r="I1705" s="2">
        <v>1000</v>
      </c>
      <c r="J1705"/>
      <c r="K1705"/>
      <c r="L1705" s="44" t="str" cm="1">
        <f t="array" ref="L1705">+_xlfn.IFS(COUNTIF(INGRESOS!E:E,Tabla6[[#This Row],[ID FACTURA]])=1,"PAGADA",Tabla6[[#This Row],[ID FACTURA]]&lt;&gt;0,"EMITIDA",Tabla6[[#This Row],[ID FACTURA]]=0,"POR EMITIR")</f>
        <v>POR EMITIR</v>
      </c>
      <c r="M1705" s="55" t="str">
        <f>+IF(Tabla6[[#This Row],[ESTADO FACTURA]]="PAGADA",Tabla6[[#This Row],[FECHA]]-_xlfn.XLOOKUP(Tabla6[[#This Row],[N° FACTURA]],INGRESOS!F:F,INGRESOS!A:A),"-")</f>
        <v>-</v>
      </c>
      <c r="N1705" s="2"/>
      <c r="O1705"/>
    </row>
    <row r="1706" spans="1:15" ht="14.75" customHeight="1">
      <c r="A1706" s="320" t="s">
        <v>4660</v>
      </c>
      <c r="B1706" t="str">
        <f>+_xlfn.XLOOKUP(Tabla6[[#This Row],[ID CLIENTE]],'RESUMEN CLIENTES'!D:D,'RESUMEN CLIENTES'!A:A)</f>
        <v>Edipris Flores</v>
      </c>
      <c r="C1706" s="15" t="str">
        <f>+_xlfn.XLOOKUP(Tabla6[[#This Row],[ID CLIENTE]],'RESUMEN CLIENTES'!D:D,'RESUMEN CLIENTES'!C:C)</f>
        <v>Chile</v>
      </c>
      <c r="D1706" s="169" t="str">
        <f>+_xlfn.XLOOKUP(Tabla6[[#This Row],[ID CLIENTE]],'RESUMEN CLIENTES'!D:D,'RESUMEN CLIENTES'!M:M)</f>
        <v>OK</v>
      </c>
      <c r="E1706" s="71">
        <f>+_xlfn.XLOOKUP(Tabla6[[#This Row],[NOMBRE]],'RESUMEN CLIENTES'!A:A,'RESUMEN CLIENTES'!X:X)</f>
        <v>-4</v>
      </c>
      <c r="F1706" s="71">
        <f>+_xlfn.XLOOKUP(Tabla6[[#This Row],[ID CLIENTE]],'RESUMEN CLIENTES'!D:D,'RESUMEN CLIENTES'!W:W)</f>
        <v>0</v>
      </c>
      <c r="G1706" s="17">
        <v>46285</v>
      </c>
      <c r="H1706" s="169" t="s">
        <v>81</v>
      </c>
      <c r="I1706" s="2">
        <v>850</v>
      </c>
      <c r="J1706"/>
      <c r="K1706"/>
      <c r="L1706" s="44" t="str" cm="1">
        <f t="array" ref="L1706">+_xlfn.IFS(COUNTIF(INGRESOS!E:E,Tabla6[[#This Row],[ID FACTURA]])=1,"PAGADA",Tabla6[[#This Row],[ID FACTURA]]&lt;&gt;0,"EMITIDA",Tabla6[[#This Row],[ID FACTURA]]=0,"POR EMITIR")</f>
        <v>POR EMITIR</v>
      </c>
      <c r="M1706" s="54" t="str">
        <f>+IF(Tabla6[[#This Row],[ESTADO FACTURA]]="PAGADA",Tabla6[[#This Row],[FECHA]]-_xlfn.XLOOKUP(Tabla6[[#This Row],[N° FACTURA]],INGRESOS!F:F,INGRESOS!A:A),"-")</f>
        <v>-</v>
      </c>
      <c r="O1706"/>
    </row>
    <row r="1707" spans="1:15" ht="14.75" customHeight="1">
      <c r="A1707" s="320" t="s">
        <v>1936</v>
      </c>
      <c r="B1707" t="str">
        <f>+_xlfn.XLOOKUP(Tabla6[[#This Row],[ID CLIENTE]],'RESUMEN CLIENTES'!D:D,'RESUMEN CLIENTES'!A:A)</f>
        <v>Jaime Kevin Mendez Arias</v>
      </c>
      <c r="C1707" t="str">
        <f>+_xlfn.XLOOKUP(Tabla6[[#This Row],[ID CLIENTE]],'RESUMEN CLIENTES'!D:D,'RESUMEN CLIENTES'!C:C)</f>
        <v>México</v>
      </c>
      <c r="D1707" s="169" t="str">
        <f>+_xlfn.XLOOKUP(Tabla6[[#This Row],[ID CLIENTE]],'RESUMEN CLIENTES'!D:D,'RESUMEN CLIENTES'!M:M)</f>
        <v>OK</v>
      </c>
      <c r="E1707" s="71">
        <f>+_xlfn.XLOOKUP(Tabla6[[#This Row],[NOMBRE]],'RESUMEN CLIENTES'!A:A,'RESUMEN CLIENTES'!X:X)</f>
        <v>1.6666666666666667</v>
      </c>
      <c r="F1707" s="71">
        <f>+_xlfn.XLOOKUP(Tabla6[[#This Row],[ID CLIENTE]],'RESUMEN CLIENTES'!D:D,'RESUMEN CLIENTES'!W:W)</f>
        <v>0</v>
      </c>
      <c r="G1707" s="17">
        <v>46285</v>
      </c>
      <c r="H1707" s="169" t="s">
        <v>81</v>
      </c>
      <c r="I1707" s="2">
        <v>1000</v>
      </c>
      <c r="J1707"/>
      <c r="K1707"/>
      <c r="L1707" s="44" t="str" cm="1">
        <f t="array" ref="L1707">+_xlfn.IFS(COUNTIF(INGRESOS!E:E,Tabla6[[#This Row],[ID FACTURA]])=1,"PAGADA",Tabla6[[#This Row],[ID FACTURA]]&lt;&gt;0,"EMITIDA",Tabla6[[#This Row],[ID FACTURA]]=0,"POR EMITIR")</f>
        <v>POR EMITIR</v>
      </c>
      <c r="M1707" s="54" t="str">
        <f>+IF(Tabla6[[#This Row],[ESTADO FACTURA]]="PAGADA",Tabla6[[#This Row],[FECHA]]-_xlfn.XLOOKUP(Tabla6[[#This Row],[N° FACTURA]],INGRESOS!F:F,INGRESOS!A:A),"-")</f>
        <v>-</v>
      </c>
      <c r="O1707"/>
    </row>
    <row r="1708" spans="1:15" ht="14.75" customHeight="1">
      <c r="A1708" s="320" t="s">
        <v>587</v>
      </c>
      <c r="B1708" t="str">
        <f>+_xlfn.XLOOKUP(Tabla6[[#This Row],[ID CLIENTE]],'RESUMEN CLIENTES'!D:D,'RESUMEN CLIENTES'!A:A)</f>
        <v>Keidwin Perez</v>
      </c>
      <c r="C1708" t="str">
        <f>+_xlfn.XLOOKUP(Tabla6[[#This Row],[ID CLIENTE]],'RESUMEN CLIENTES'!D:D,'RESUMEN CLIENTES'!C:C)</f>
        <v>Colombia</v>
      </c>
      <c r="D1708" s="44" t="str">
        <f>+_xlfn.XLOOKUP(Tabla6[[#This Row],[ID CLIENTE]],'RESUMEN CLIENTES'!D:D,'RESUMEN CLIENTES'!M:M)</f>
        <v>OK</v>
      </c>
      <c r="E1708" s="72">
        <f>+_xlfn.XLOOKUP(Tabla6[[#This Row],[NOMBRE]],'RESUMEN CLIENTES'!A:A,'RESUMEN CLIENTES'!X:X)</f>
        <v>-4.25</v>
      </c>
      <c r="F1708" s="72">
        <f>+_xlfn.XLOOKUP(Tabla6[[#This Row],[ID CLIENTE]],'RESUMEN CLIENTES'!D:D,'RESUMEN CLIENTES'!W:W)</f>
        <v>1</v>
      </c>
      <c r="G1708" s="17">
        <v>46285</v>
      </c>
      <c r="H1708" s="44" t="s">
        <v>81</v>
      </c>
      <c r="I1708" s="2">
        <v>750</v>
      </c>
      <c r="J1708"/>
      <c r="K1708"/>
      <c r="L1708" s="44" t="str" cm="1">
        <f t="array" ref="L1708">+_xlfn.IFS(COUNTIF(INGRESOS!E:E,Tabla6[[#This Row],[ID FACTURA]])=1,"PAGADA",Tabla6[[#This Row],[ID FACTURA]]&lt;&gt;0,"EMITIDA",Tabla6[[#This Row],[ID FACTURA]]=0,"POR EMITIR")</f>
        <v>POR EMITIR</v>
      </c>
      <c r="M1708" s="55" t="str">
        <f>+IF(Tabla6[[#This Row],[ESTADO FACTURA]]="PAGADA",Tabla6[[#This Row],[FECHA]]-_xlfn.XLOOKUP(Tabla6[[#This Row],[N° FACTURA]],INGRESOS!F:F,INGRESOS!A:A),"-")</f>
        <v>-</v>
      </c>
      <c r="N1708" s="2"/>
      <c r="O1708"/>
    </row>
    <row r="1709" spans="1:15" ht="14.75" customHeight="1">
      <c r="A1709" s="320" t="s">
        <v>200</v>
      </c>
      <c r="B1709" t="str">
        <f>+_xlfn.XLOOKUP(Tabla6[[#This Row],[ID CLIENTE]],'RESUMEN CLIENTES'!D:D,'RESUMEN CLIENTES'!A:A)</f>
        <v>Mateo Gabriel Martinez Dávila</v>
      </c>
      <c r="C1709" t="str">
        <f>+_xlfn.XLOOKUP(Tabla6[[#This Row],[ID CLIENTE]],'RESUMEN CLIENTES'!D:D,'RESUMEN CLIENTES'!C:C)</f>
        <v>Bolivia</v>
      </c>
      <c r="D1709" s="169" t="str">
        <f>+_xlfn.XLOOKUP(Tabla6[[#This Row],[ID CLIENTE]],'RESUMEN CLIENTES'!D:D,'RESUMEN CLIENTES'!M:M)</f>
        <v>OK</v>
      </c>
      <c r="E1709" s="71">
        <f>+_xlfn.XLOOKUP(Tabla6[[#This Row],[NOMBRE]],'RESUMEN CLIENTES'!A:A,'RESUMEN CLIENTES'!X:X)</f>
        <v>-0.5</v>
      </c>
      <c r="F1709" s="71">
        <f>+_xlfn.XLOOKUP(Tabla6[[#This Row],[ID CLIENTE]],'RESUMEN CLIENTES'!D:D,'RESUMEN CLIENTES'!W:W)</f>
        <v>0</v>
      </c>
      <c r="G1709" s="17">
        <v>46285</v>
      </c>
      <c r="H1709" s="169" t="s">
        <v>81</v>
      </c>
      <c r="I1709" s="2">
        <v>500</v>
      </c>
      <c r="J1709"/>
      <c r="K1709"/>
      <c r="L1709" s="44" t="str" cm="1">
        <f t="array" ref="L1709">+_xlfn.IFS(COUNTIF(INGRESOS!E:E,Tabla6[[#This Row],[ID FACTURA]])=1,"PAGADA",Tabla6[[#This Row],[ID FACTURA]]&lt;&gt;0,"EMITIDA",Tabla6[[#This Row],[ID FACTURA]]=0,"POR EMITIR")</f>
        <v>POR EMITIR</v>
      </c>
      <c r="M1709" s="54" t="str">
        <f>+IF(Tabla6[[#This Row],[ESTADO FACTURA]]="PAGADA",Tabla6[[#This Row],[FECHA]]-_xlfn.XLOOKUP(Tabla6[[#This Row],[N° FACTURA]],INGRESOS!F:F,INGRESOS!A:A),"-")</f>
        <v>-</v>
      </c>
      <c r="O1709"/>
    </row>
    <row r="1710" spans="1:15" ht="14.75" customHeight="1">
      <c r="A1710" s="320" t="s">
        <v>1931</v>
      </c>
      <c r="B1710" t="str">
        <f>+_xlfn.XLOOKUP(Tabla6[[#This Row],[ID CLIENTE]],'RESUMEN CLIENTES'!D:D,'RESUMEN CLIENTES'!A:A)</f>
        <v>Josué Bernardo Reyes Flores</v>
      </c>
      <c r="C1710" t="str">
        <f>+_xlfn.XLOOKUP(Tabla6[[#This Row],[ID CLIENTE]],'RESUMEN CLIENTES'!D:D,'RESUMEN CLIENTES'!C:C)</f>
        <v>México</v>
      </c>
      <c r="D1710" s="169" t="str">
        <f>+_xlfn.XLOOKUP(Tabla6[[#This Row],[ID CLIENTE]],'RESUMEN CLIENTES'!D:D,'RESUMEN CLIENTES'!M:M)</f>
        <v>OK</v>
      </c>
      <c r="E1710" s="71">
        <f>+_xlfn.XLOOKUP(Tabla6[[#This Row],[NOMBRE]],'RESUMEN CLIENTES'!A:A,'RESUMEN CLIENTES'!X:X)</f>
        <v>0</v>
      </c>
      <c r="F1710" s="71">
        <f>+_xlfn.XLOOKUP(Tabla6[[#This Row],[ID CLIENTE]],'RESUMEN CLIENTES'!D:D,'RESUMEN CLIENTES'!W:W)</f>
        <v>1</v>
      </c>
      <c r="G1710" s="17">
        <v>46288</v>
      </c>
      <c r="H1710" s="169" t="s">
        <v>81</v>
      </c>
      <c r="I1710" s="2">
        <v>1000</v>
      </c>
      <c r="J1710"/>
      <c r="K1710"/>
      <c r="L1710" s="44" t="str" cm="1">
        <f t="array" ref="L1710">+_xlfn.IFS(COUNTIF(INGRESOS!E:E,Tabla6[[#This Row],[ID FACTURA]])=1,"PAGADA",Tabla6[[#This Row],[ID FACTURA]]&lt;&gt;0,"EMITIDA",Tabla6[[#This Row],[ID FACTURA]]=0,"POR EMITIR")</f>
        <v>POR EMITIR</v>
      </c>
      <c r="M1710" s="54" t="str">
        <f>+IF(Tabla6[[#This Row],[ESTADO FACTURA]]="PAGADA",Tabla6[[#This Row],[FECHA]]-_xlfn.XLOOKUP(Tabla6[[#This Row],[N° FACTURA]],INGRESOS!F:F,INGRESOS!A:A),"-")</f>
        <v>-</v>
      </c>
      <c r="O1710"/>
    </row>
    <row r="1711" spans="1:15" ht="14.75" customHeight="1">
      <c r="A1711" s="320" t="s">
        <v>994</v>
      </c>
      <c r="B1711" t="str">
        <f>+_xlfn.XLOOKUP(Tabla6[[#This Row],[ID CLIENTE]],'RESUMEN CLIENTES'!D:D,'RESUMEN CLIENTES'!A:A)</f>
        <v>Raúl Ernesto Martínez Orantes</v>
      </c>
      <c r="C1711" t="str">
        <f>+_xlfn.XLOOKUP(Tabla6[[#This Row],[ID CLIENTE]],'RESUMEN CLIENTES'!D:D,'RESUMEN CLIENTES'!C:C)</f>
        <v>El Salvador</v>
      </c>
      <c r="D1711" s="44" t="str">
        <f>+_xlfn.XLOOKUP(Tabla6[[#This Row],[ID CLIENTE]],'RESUMEN CLIENTES'!D:D,'RESUMEN CLIENTES'!M:M)</f>
        <v>OK</v>
      </c>
      <c r="E1711" s="72">
        <f>+_xlfn.XLOOKUP(Tabla6[[#This Row],[NOMBRE]],'RESUMEN CLIENTES'!A:A,'RESUMEN CLIENTES'!X:X)</f>
        <v>1.1428571428571428</v>
      </c>
      <c r="F1711" s="72">
        <f>+_xlfn.XLOOKUP(Tabla6[[#This Row],[ID CLIENTE]],'RESUMEN CLIENTES'!D:D,'RESUMEN CLIENTES'!W:W)</f>
        <v>1</v>
      </c>
      <c r="G1711" s="17">
        <v>46288</v>
      </c>
      <c r="H1711" s="44" t="s">
        <v>81</v>
      </c>
      <c r="I1711" s="2">
        <v>850</v>
      </c>
      <c r="J1711"/>
      <c r="K1711"/>
      <c r="L1711" s="44" t="str" cm="1">
        <f t="array" ref="L1711">+_xlfn.IFS(COUNTIF(INGRESOS!E:E,Tabla6[[#This Row],[ID FACTURA]])=1,"PAGADA",Tabla6[[#This Row],[ID FACTURA]]&lt;&gt;0,"EMITIDA",Tabla6[[#This Row],[ID FACTURA]]=0,"POR EMITIR")</f>
        <v>POR EMITIR</v>
      </c>
      <c r="M1711" s="55" t="str">
        <f>+IF(Tabla6[[#This Row],[ESTADO FACTURA]]="PAGADA",Tabla6[[#This Row],[FECHA]]-_xlfn.XLOOKUP(Tabla6[[#This Row],[N° FACTURA]],INGRESOS!F:F,INGRESOS!A:A),"-")</f>
        <v>-</v>
      </c>
      <c r="N1711" s="2"/>
      <c r="O1711"/>
    </row>
    <row r="1712" spans="1:15" ht="14.75" customHeight="1">
      <c r="A1712" s="320" t="s">
        <v>1437</v>
      </c>
      <c r="B1712" t="str">
        <f>+_xlfn.XLOOKUP(Tabla6[[#This Row],[ID CLIENTE]],'RESUMEN CLIENTES'!D:D,'RESUMEN CLIENTES'!A:A)</f>
        <v>Jorge Andres Galgani Muñoz</v>
      </c>
      <c r="C1712" t="str">
        <f>+_xlfn.XLOOKUP(Tabla6[[#This Row],[ID CLIENTE]],'RESUMEN CLIENTES'!D:D,'RESUMEN CLIENTES'!C:C)</f>
        <v>Chile</v>
      </c>
      <c r="D1712" s="44" t="str">
        <f>+_xlfn.XLOOKUP(Tabla6[[#This Row],[ID CLIENTE]],'RESUMEN CLIENTES'!D:D,'RESUMEN CLIENTES'!M:M)</f>
        <v>OK</v>
      </c>
      <c r="E1712" s="71">
        <f>+_xlfn.XLOOKUP(Tabla6[[#This Row],[NOMBRE]],'RESUMEN CLIENTES'!A:A,'RESUMEN CLIENTES'!X:X)</f>
        <v>-1.1428571428571428</v>
      </c>
      <c r="F1712" s="71">
        <f>+_xlfn.XLOOKUP(Tabla6[[#This Row],[ID CLIENTE]],'RESUMEN CLIENTES'!D:D,'RESUMEN CLIENTES'!W:W)</f>
        <v>1</v>
      </c>
      <c r="G1712" s="17">
        <v>46290</v>
      </c>
      <c r="H1712" s="169" t="s">
        <v>81</v>
      </c>
      <c r="I1712" s="2">
        <v>850</v>
      </c>
      <c r="J1712"/>
      <c r="K1712"/>
      <c r="L1712" s="44" t="str" cm="1">
        <f t="array" ref="L1712">+_xlfn.IFS(COUNTIF(INGRESOS!E:E,Tabla6[[#This Row],[ID FACTURA]])=1,"PAGADA",Tabla6[[#This Row],[ID FACTURA]]&lt;&gt;0,"EMITIDA",Tabla6[[#This Row],[ID FACTURA]]=0,"POR EMITIR")</f>
        <v>POR EMITIR</v>
      </c>
      <c r="M1712" s="55" t="str">
        <f>+IF(Tabla6[[#This Row],[ESTADO FACTURA]]="PAGADA",Tabla6[[#This Row],[FECHA]]-_xlfn.XLOOKUP(Tabla6[[#This Row],[N° FACTURA]],INGRESOS!F:F,INGRESOS!A:A),"-")</f>
        <v>-</v>
      </c>
      <c r="N1712" s="2"/>
      <c r="O1712"/>
    </row>
    <row r="1713" spans="1:15" ht="14.75" customHeight="1">
      <c r="A1713" s="320" t="s">
        <v>1658</v>
      </c>
      <c r="B1713" t="str">
        <f>+_xlfn.XLOOKUP(Tabla6[[#This Row],[ID CLIENTE]],'RESUMEN CLIENTES'!D:D,'RESUMEN CLIENTES'!A:A)</f>
        <v>Nadya Sofía García Carrasco</v>
      </c>
      <c r="C1713" t="str">
        <f>+_xlfn.XLOOKUP(Tabla6[[#This Row],[ID CLIENTE]],'RESUMEN CLIENTES'!D:D,'RESUMEN CLIENTES'!C:C)</f>
        <v>Ecuador</v>
      </c>
      <c r="D1713" s="169" t="str">
        <f>+_xlfn.XLOOKUP(Tabla6[[#This Row],[ID CLIENTE]],'RESUMEN CLIENTES'!D:D,'RESUMEN CLIENTES'!M:M)</f>
        <v>OK</v>
      </c>
      <c r="E1713" s="71">
        <f>+_xlfn.XLOOKUP(Tabla6[[#This Row],[NOMBRE]],'RESUMEN CLIENTES'!A:A,'RESUMEN CLIENTES'!X:X)</f>
        <v>0</v>
      </c>
      <c r="F1713" s="71">
        <f>+_xlfn.XLOOKUP(Tabla6[[#This Row],[ID CLIENTE]],'RESUMEN CLIENTES'!D:D,'RESUMEN CLIENTES'!W:W)</f>
        <v>1</v>
      </c>
      <c r="G1713" s="17">
        <v>46290</v>
      </c>
      <c r="H1713" s="169" t="s">
        <v>81</v>
      </c>
      <c r="I1713" s="2">
        <v>1000</v>
      </c>
      <c r="J1713"/>
      <c r="K1713"/>
      <c r="L1713" s="44" t="str" cm="1">
        <f t="array" ref="L1713">+_xlfn.IFS(COUNTIF(INGRESOS!E:E,Tabla6[[#This Row],[ID FACTURA]])=1,"PAGADA",Tabla6[[#This Row],[ID FACTURA]]&lt;&gt;0,"EMITIDA",Tabla6[[#This Row],[ID FACTURA]]=0,"POR EMITIR")</f>
        <v>POR EMITIR</v>
      </c>
      <c r="M1713" s="55" t="str">
        <f>+IF(Tabla6[[#This Row],[ESTADO FACTURA]]="PAGADA",Tabla6[[#This Row],[FECHA]]-_xlfn.XLOOKUP(Tabla6[[#This Row],[N° FACTURA]],INGRESOS!F:F,INGRESOS!A:A),"-")</f>
        <v>-</v>
      </c>
      <c r="O1713"/>
    </row>
    <row r="1714" spans="1:15" ht="14.75" customHeight="1">
      <c r="A1714" s="320" t="s">
        <v>1743</v>
      </c>
      <c r="B1714" t="str">
        <f>+_xlfn.XLOOKUP(Tabla6[[#This Row],[ID CLIENTE]],'RESUMEN CLIENTES'!D:D,'RESUMEN CLIENTES'!A:A)</f>
        <v>Fernando Alberto Lagos Belmar</v>
      </c>
      <c r="C1714" t="str">
        <f>+_xlfn.XLOOKUP(Tabla6[[#This Row],[ID CLIENTE]],'RESUMEN CLIENTES'!D:D,'RESUMEN CLIENTES'!C:C)</f>
        <v>Chile</v>
      </c>
      <c r="D1714" s="169" t="str">
        <f>+_xlfn.XLOOKUP(Tabla6[[#This Row],[ID CLIENTE]],'RESUMEN CLIENTES'!D:D,'RESUMEN CLIENTES'!M:M)</f>
        <v>OK</v>
      </c>
      <c r="E1714" s="71">
        <f>+_xlfn.XLOOKUP(Tabla6[[#This Row],[NOMBRE]],'RESUMEN CLIENTES'!A:A,'RESUMEN CLIENTES'!X:X)</f>
        <v>0.25</v>
      </c>
      <c r="F1714" s="71">
        <f>+_xlfn.XLOOKUP(Tabla6[[#This Row],[ID CLIENTE]],'RESUMEN CLIENTES'!D:D,'RESUMEN CLIENTES'!W:W)</f>
        <v>1</v>
      </c>
      <c r="G1714" s="17">
        <v>46291</v>
      </c>
      <c r="H1714" s="169" t="s">
        <v>81</v>
      </c>
      <c r="I1714" s="2">
        <v>1000</v>
      </c>
      <c r="J1714"/>
      <c r="K1714"/>
      <c r="L1714" s="44" t="str" cm="1">
        <f t="array" ref="L1714">+_xlfn.IFS(COUNTIF(INGRESOS!E:E,Tabla6[[#This Row],[ID FACTURA]])=1,"PAGADA",Tabla6[[#This Row],[ID FACTURA]]&lt;&gt;0,"EMITIDA",Tabla6[[#This Row],[ID FACTURA]]=0,"POR EMITIR")</f>
        <v>POR EMITIR</v>
      </c>
      <c r="M1714" s="55" t="str">
        <f>+IF(Tabla6[[#This Row],[ESTADO FACTURA]]="PAGADA",Tabla6[[#This Row],[FECHA]]-_xlfn.XLOOKUP(Tabla6[[#This Row],[N° FACTURA]],INGRESOS!F:F,INGRESOS!A:A),"-")</f>
        <v>-</v>
      </c>
      <c r="O1714"/>
    </row>
    <row r="1715" spans="1:15" ht="14.75" customHeight="1">
      <c r="A1715" s="321" t="s">
        <v>519</v>
      </c>
      <c r="B1715" t="str">
        <f>+_xlfn.XLOOKUP(Tabla6[[#This Row],[ID CLIENTE]],'RESUMEN CLIENTES'!D:D,'RESUMEN CLIENTES'!A:A)</f>
        <v>Elaine Acosta Cabrera</v>
      </c>
      <c r="C1715" t="str">
        <f>+_xlfn.XLOOKUP(Tabla6[[#This Row],[ID CLIENTE]],'RESUMEN CLIENTES'!D:D,'RESUMEN CLIENTES'!C:C)</f>
        <v>República Dominicana</v>
      </c>
      <c r="D1715" s="169" t="str">
        <f>+_xlfn.XLOOKUP(Tabla6[[#This Row],[ID CLIENTE]],'RESUMEN CLIENTES'!D:D,'RESUMEN CLIENTES'!M:M)</f>
        <v>OK</v>
      </c>
      <c r="E1715" s="71">
        <f>+_xlfn.XLOOKUP(Tabla6[[#This Row],[NOMBRE]],'RESUMEN CLIENTES'!A:A,'RESUMEN CLIENTES'!X:X)</f>
        <v>0</v>
      </c>
      <c r="F1715" s="71">
        <f>+_xlfn.XLOOKUP(Tabla6[[#This Row],[ID CLIENTE]],'RESUMEN CLIENTES'!D:D,'RESUMEN CLIENTES'!W:W)</f>
        <v>1</v>
      </c>
      <c r="G1715" s="17">
        <v>46292</v>
      </c>
      <c r="H1715" s="169" t="s">
        <v>81</v>
      </c>
      <c r="I1715" s="2">
        <v>1000</v>
      </c>
      <c r="J1715"/>
      <c r="K1715"/>
      <c r="L1715" s="44" t="str" cm="1">
        <f t="array" ref="L1715">+_xlfn.IFS(COUNTIF(INGRESOS!E:E,Tabla6[[#This Row],[ID FACTURA]])=1,"PAGADA",Tabla6[[#This Row],[ID FACTURA]]&lt;&gt;0,"EMITIDA",Tabla6[[#This Row],[ID FACTURA]]=0,"POR EMITIR")</f>
        <v>POR EMITIR</v>
      </c>
      <c r="M1715" s="54" t="str">
        <f>+IF(Tabla6[[#This Row],[ESTADO FACTURA]]="PAGADA",Tabla6[[#This Row],[FECHA]]-_xlfn.XLOOKUP(Tabla6[[#This Row],[N° FACTURA]],INGRESOS!F:F,INGRESOS!A:A),"-")</f>
        <v>-</v>
      </c>
      <c r="O1715"/>
    </row>
    <row r="1716" spans="1:15" ht="14.75" customHeight="1">
      <c r="A1716" s="321" t="s">
        <v>1870</v>
      </c>
      <c r="B1716" t="str">
        <f>+_xlfn.XLOOKUP(Tabla6[[#This Row],[ID CLIENTE]],'RESUMEN CLIENTES'!D:D,'RESUMEN CLIENTES'!A:A)</f>
        <v>Berenisse Shadia Yarango Garay</v>
      </c>
      <c r="C1716" t="str">
        <f>+_xlfn.XLOOKUP(Tabla6[[#This Row],[ID CLIENTE]],'RESUMEN CLIENTES'!D:D,'RESUMEN CLIENTES'!C:C)</f>
        <v>Perú</v>
      </c>
      <c r="D1716" s="169" t="str">
        <f>+_xlfn.XLOOKUP(Tabla6[[#This Row],[ID CLIENTE]],'RESUMEN CLIENTES'!D:D,'RESUMEN CLIENTES'!M:M)</f>
        <v>OK</v>
      </c>
      <c r="E1716" s="71">
        <f>+_xlfn.XLOOKUP(Tabla6[[#This Row],[NOMBRE]],'RESUMEN CLIENTES'!A:A,'RESUMEN CLIENTES'!X:X)</f>
        <v>-0.33333333333333331</v>
      </c>
      <c r="F1716" s="71">
        <f>+_xlfn.XLOOKUP(Tabla6[[#This Row],[ID CLIENTE]],'RESUMEN CLIENTES'!D:D,'RESUMEN CLIENTES'!W:W)</f>
        <v>0</v>
      </c>
      <c r="G1716" s="17">
        <v>46293</v>
      </c>
      <c r="H1716" s="169" t="s">
        <v>81</v>
      </c>
      <c r="I1716" s="2">
        <v>850</v>
      </c>
      <c r="J1716"/>
      <c r="K1716"/>
      <c r="L1716" s="44" t="str" cm="1">
        <f t="array" ref="L1716">+_xlfn.IFS(COUNTIF(INGRESOS!E:E,Tabla6[[#This Row],[ID FACTURA]])=1,"PAGADA",Tabla6[[#This Row],[ID FACTURA]]&lt;&gt;0,"EMITIDA",Tabla6[[#This Row],[ID FACTURA]]=0,"POR EMITIR")</f>
        <v>POR EMITIR</v>
      </c>
      <c r="M1716" s="54" t="str">
        <f>+IF(Tabla6[[#This Row],[ESTADO FACTURA]]="PAGADA",Tabla6[[#This Row],[FECHA]]-_xlfn.XLOOKUP(Tabla6[[#This Row],[N° FACTURA]],INGRESOS!F:F,INGRESOS!A:A),"-")</f>
        <v>-</v>
      </c>
      <c r="O1716"/>
    </row>
    <row r="1717" spans="1:15" ht="14.75" customHeight="1">
      <c r="A1717" s="320" t="s">
        <v>1461</v>
      </c>
      <c r="B1717" t="str">
        <f>+_xlfn.XLOOKUP(Tabla6[[#This Row],[ID CLIENTE]],'RESUMEN CLIENTES'!D:D,'RESUMEN CLIENTES'!A:A)</f>
        <v>Katerine Marianela Verastegui Mendoza</v>
      </c>
      <c r="C1717" t="str">
        <f>+_xlfn.XLOOKUP(Tabla6[[#This Row],[ID CLIENTE]],'RESUMEN CLIENTES'!D:D,'RESUMEN CLIENTES'!C:C)</f>
        <v>Perú</v>
      </c>
      <c r="D1717" s="44" t="str">
        <f>+_xlfn.XLOOKUP(Tabla6[[#This Row],[ID CLIENTE]],'RESUMEN CLIENTES'!D:D,'RESUMEN CLIENTES'!M:M)</f>
        <v>OK</v>
      </c>
      <c r="E1717" s="71">
        <f>+_xlfn.XLOOKUP(Tabla6[[#This Row],[NOMBRE]],'RESUMEN CLIENTES'!A:A,'RESUMEN CLIENTES'!X:X)</f>
        <v>-2</v>
      </c>
      <c r="F1717" s="71">
        <f>+_xlfn.XLOOKUP(Tabla6[[#This Row],[ID CLIENTE]],'RESUMEN CLIENTES'!D:D,'RESUMEN CLIENTES'!W:W)</f>
        <v>0</v>
      </c>
      <c r="G1717" s="17">
        <v>46293</v>
      </c>
      <c r="H1717" s="169" t="s">
        <v>81</v>
      </c>
      <c r="I1717" s="2">
        <v>1000</v>
      </c>
      <c r="J1717"/>
      <c r="K1717"/>
      <c r="L1717" s="44" t="str" cm="1">
        <f t="array" ref="L1717">+_xlfn.IFS(COUNTIF(INGRESOS!E:E,Tabla6[[#This Row],[ID FACTURA]])=1,"PAGADA",Tabla6[[#This Row],[ID FACTURA]]&lt;&gt;0,"EMITIDA",Tabla6[[#This Row],[ID FACTURA]]=0,"POR EMITIR")</f>
        <v>POR EMITIR</v>
      </c>
      <c r="M1717" s="55" t="str">
        <f>+IF(Tabla6[[#This Row],[ESTADO FACTURA]]="PAGADA",Tabla6[[#This Row],[FECHA]]-_xlfn.XLOOKUP(Tabla6[[#This Row],[N° FACTURA]],INGRESOS!F:F,INGRESOS!A:A),"-")</f>
        <v>-</v>
      </c>
      <c r="N1717" s="2"/>
      <c r="O1717"/>
    </row>
    <row r="1718" spans="1:15" ht="14.75" customHeight="1">
      <c r="A1718" s="320" t="s">
        <v>1374</v>
      </c>
      <c r="B1718" t="str">
        <f>+_xlfn.XLOOKUP(Tabla6[[#This Row],[ID CLIENTE]],'RESUMEN CLIENTES'!D:D,'RESUMEN CLIENTES'!A:A)</f>
        <v>Samuel Sebastián Marmolejo Saldarriaga</v>
      </c>
      <c r="C1718" t="str">
        <f>+_xlfn.XLOOKUP(Tabla6[[#This Row],[ID CLIENTE]],'RESUMEN CLIENTES'!D:D,'RESUMEN CLIENTES'!C:C)</f>
        <v>Perú</v>
      </c>
      <c r="D1718" s="44" t="str">
        <f>+_xlfn.XLOOKUP(Tabla6[[#This Row],[ID CLIENTE]],'RESUMEN CLIENTES'!D:D,'RESUMEN CLIENTES'!M:M)</f>
        <v>OK</v>
      </c>
      <c r="E1718" s="71">
        <f>+_xlfn.XLOOKUP(Tabla6[[#This Row],[NOMBRE]],'RESUMEN CLIENTES'!A:A,'RESUMEN CLIENTES'!X:X)</f>
        <v>-0.5</v>
      </c>
      <c r="F1718" s="71">
        <f>+_xlfn.XLOOKUP(Tabla6[[#This Row],[ID CLIENTE]],'RESUMEN CLIENTES'!D:D,'RESUMEN CLIENTES'!W:W)</f>
        <v>0</v>
      </c>
      <c r="G1718" s="17">
        <v>46293</v>
      </c>
      <c r="H1718" s="44" t="s">
        <v>81</v>
      </c>
      <c r="I1718" s="2">
        <v>1500</v>
      </c>
      <c r="J1718"/>
      <c r="K1718"/>
      <c r="L1718" s="44" t="str" cm="1">
        <f t="array" ref="L1718">+_xlfn.IFS(COUNTIF(INGRESOS!E:E,Tabla6[[#This Row],[ID FACTURA]])=1,"PAGADA",Tabla6[[#This Row],[ID FACTURA]]&lt;&gt;0,"EMITIDA",Tabla6[[#This Row],[ID FACTURA]]=0,"POR EMITIR")</f>
        <v>POR EMITIR</v>
      </c>
      <c r="M1718" s="55" t="str">
        <f>+IF(Tabla6[[#This Row],[ESTADO FACTURA]]="PAGADA",Tabla6[[#This Row],[FECHA]]-_xlfn.XLOOKUP(Tabla6[[#This Row],[N° FACTURA]],INGRESOS!F:F,INGRESOS!A:A),"-")</f>
        <v>-</v>
      </c>
      <c r="N1718" s="2"/>
      <c r="O1718"/>
    </row>
    <row r="1719" spans="1:15" ht="14.75" customHeight="1">
      <c r="A1719" s="320" t="s">
        <v>450</v>
      </c>
      <c r="B1719" t="str">
        <f>+_xlfn.XLOOKUP(Tabla6[[#This Row],[ID CLIENTE]],'RESUMEN CLIENTES'!D:D,'RESUMEN CLIENTES'!A:A)</f>
        <v>Alexandra Carolina Ordoñez Cuotto</v>
      </c>
      <c r="C1719" t="str">
        <f>+_xlfn.XLOOKUP(Tabla6[[#This Row],[ID CLIENTE]],'RESUMEN CLIENTES'!D:D,'RESUMEN CLIENTES'!C:C)</f>
        <v>Venezuela</v>
      </c>
      <c r="D1719" s="44" t="str">
        <f>+_xlfn.XLOOKUP(Tabla6[[#This Row],[ID CLIENTE]],'RESUMEN CLIENTES'!D:D,'RESUMEN CLIENTES'!M:M)</f>
        <v>¡REGULARIZAR!</v>
      </c>
      <c r="E1719" s="72">
        <f>+_xlfn.XLOOKUP(Tabla6[[#This Row],[NOMBRE]],'RESUMEN CLIENTES'!A:A,'RESUMEN CLIENTES'!X:X)</f>
        <v>-2</v>
      </c>
      <c r="F1719" s="72">
        <f>+_xlfn.XLOOKUP(Tabla6[[#This Row],[ID CLIENTE]],'RESUMEN CLIENTES'!D:D,'RESUMEN CLIENTES'!W:W)</f>
        <v>0</v>
      </c>
      <c r="G1719" s="17">
        <v>46294</v>
      </c>
      <c r="H1719" s="44" t="s">
        <v>81</v>
      </c>
      <c r="I1719" s="2">
        <v>1000</v>
      </c>
      <c r="J1719"/>
      <c r="K1719"/>
      <c r="L1719" s="44" t="str" cm="1">
        <f t="array" ref="L1719">+_xlfn.IFS(COUNTIF(INGRESOS!E:E,Tabla6[[#This Row],[ID FACTURA]])=1,"PAGADA",Tabla6[[#This Row],[ID FACTURA]]&lt;&gt;0,"EMITIDA",Tabla6[[#This Row],[ID FACTURA]]=0,"POR EMITIR")</f>
        <v>POR EMITIR</v>
      </c>
      <c r="M1719" s="55" t="str">
        <f>+IF(Tabla6[[#This Row],[ESTADO FACTURA]]="PAGADA",Tabla6[[#This Row],[FECHA]]-_xlfn.XLOOKUP(Tabla6[[#This Row],[N° FACTURA]],INGRESOS!F:F,INGRESOS!A:A),"-")</f>
        <v>-</v>
      </c>
      <c r="N1719" s="2"/>
      <c r="O1719"/>
    </row>
    <row r="1720" spans="1:15" ht="14.75" customHeight="1">
      <c r="A1720" s="320" t="s">
        <v>541</v>
      </c>
      <c r="B1720" t="str">
        <f>+_xlfn.XLOOKUP(Tabla6[[#This Row],[ID CLIENTE]],'RESUMEN CLIENTES'!D:D,'RESUMEN CLIENTES'!A:A)</f>
        <v>Alejandra Goretti Figueroa Romo</v>
      </c>
      <c r="C1720" t="str">
        <f>+_xlfn.XLOOKUP(Tabla6[[#This Row],[ID CLIENTE]],'RESUMEN CLIENTES'!D:D,'RESUMEN CLIENTES'!C:C)</f>
        <v>México</v>
      </c>
      <c r="D1720" s="44" t="str">
        <f>+_xlfn.XLOOKUP(Tabla6[[#This Row],[ID CLIENTE]],'RESUMEN CLIENTES'!D:D,'RESUMEN CLIENTES'!M:M)</f>
        <v>OK</v>
      </c>
      <c r="E1720" s="72">
        <f>+_xlfn.XLOOKUP(Tabla6[[#This Row],[NOMBRE]],'RESUMEN CLIENTES'!A:A,'RESUMEN CLIENTES'!X:X)</f>
        <v>0.75</v>
      </c>
      <c r="F1720" s="72">
        <f>+_xlfn.XLOOKUP(Tabla6[[#This Row],[ID CLIENTE]],'RESUMEN CLIENTES'!D:D,'RESUMEN CLIENTES'!W:W)</f>
        <v>0</v>
      </c>
      <c r="G1720" s="17">
        <v>46295</v>
      </c>
      <c r="H1720" s="44" t="s">
        <v>81</v>
      </c>
      <c r="I1720" s="2">
        <v>1000</v>
      </c>
      <c r="J1720"/>
      <c r="K1720"/>
      <c r="L1720" s="44" t="str" cm="1">
        <f t="array" ref="L1720">+_xlfn.IFS(COUNTIF(INGRESOS!E:E,Tabla6[[#This Row],[ID FACTURA]])=1,"PAGADA",Tabla6[[#This Row],[ID FACTURA]]&lt;&gt;0,"EMITIDA",Tabla6[[#This Row],[ID FACTURA]]=0,"POR EMITIR")</f>
        <v>POR EMITIR</v>
      </c>
      <c r="M1720" s="55" t="str">
        <f>+IF(Tabla6[[#This Row],[ESTADO FACTURA]]="PAGADA",Tabla6[[#This Row],[FECHA]]-_xlfn.XLOOKUP(Tabla6[[#This Row],[N° FACTURA]],INGRESOS!F:F,INGRESOS!A:A),"-")</f>
        <v>-</v>
      </c>
      <c r="N1720" s="2"/>
      <c r="O1720"/>
    </row>
    <row r="1721" spans="1:15" ht="14.75" customHeight="1">
      <c r="A1721" s="320" t="s">
        <v>1761</v>
      </c>
      <c r="B1721" t="str">
        <f>+_xlfn.XLOOKUP(Tabla6[[#This Row],[ID CLIENTE]],'RESUMEN CLIENTES'!D:D,'RESUMEN CLIENTES'!A:A)</f>
        <v>Francisco Salas Barrera</v>
      </c>
      <c r="C1721" t="str">
        <f>+_xlfn.XLOOKUP(Tabla6[[#This Row],[ID CLIENTE]],'RESUMEN CLIENTES'!D:D,'RESUMEN CLIENTES'!C:C)</f>
        <v>México</v>
      </c>
      <c r="D1721" s="169" t="str">
        <f>+_xlfn.XLOOKUP(Tabla6[[#This Row],[ID CLIENTE]],'RESUMEN CLIENTES'!D:D,'RESUMEN CLIENTES'!M:M)</f>
        <v>OK</v>
      </c>
      <c r="E1721" s="71">
        <f>+_xlfn.XLOOKUP(Tabla6[[#This Row],[NOMBRE]],'RESUMEN CLIENTES'!A:A,'RESUMEN CLIENTES'!X:X)</f>
        <v>-0.75</v>
      </c>
      <c r="F1721" s="71">
        <f>+_xlfn.XLOOKUP(Tabla6[[#This Row],[ID CLIENTE]],'RESUMEN CLIENTES'!D:D,'RESUMEN CLIENTES'!W:W)</f>
        <v>0</v>
      </c>
      <c r="G1721" s="17">
        <v>46295</v>
      </c>
      <c r="H1721" s="169" t="s">
        <v>81</v>
      </c>
      <c r="I1721" s="2">
        <v>1000</v>
      </c>
      <c r="J1721"/>
      <c r="K1721"/>
      <c r="L1721" s="44" t="str" cm="1">
        <f t="array" ref="L1721">+_xlfn.IFS(COUNTIF(INGRESOS!E:E,Tabla6[[#This Row],[ID FACTURA]])=1,"PAGADA",Tabla6[[#This Row],[ID FACTURA]]&lt;&gt;0,"EMITIDA",Tabla6[[#This Row],[ID FACTURA]]=0,"POR EMITIR")</f>
        <v>POR EMITIR</v>
      </c>
      <c r="M1721" s="55" t="str">
        <f>+IF(Tabla6[[#This Row],[ESTADO FACTURA]]="PAGADA",Tabla6[[#This Row],[FECHA]]-_xlfn.XLOOKUP(Tabla6[[#This Row],[N° FACTURA]],INGRESOS!F:F,INGRESOS!A:A),"-")</f>
        <v>-</v>
      </c>
      <c r="O1721"/>
    </row>
    <row r="1722" spans="1:15" ht="14.75" customHeight="1">
      <c r="A1722" s="320" t="s">
        <v>739</v>
      </c>
      <c r="B1722" t="str">
        <f>+_xlfn.XLOOKUP(Tabla6[[#This Row],[ID CLIENTE]],'RESUMEN CLIENTES'!D:D,'RESUMEN CLIENTES'!A:A)</f>
        <v>Gilberto Martiñon Torres</v>
      </c>
      <c r="C1722" t="str">
        <f>+_xlfn.XLOOKUP(Tabla6[[#This Row],[ID CLIENTE]],'RESUMEN CLIENTES'!D:D,'RESUMEN CLIENTES'!C:C)</f>
        <v>México</v>
      </c>
      <c r="D1722" s="44" t="str">
        <f>+_xlfn.XLOOKUP(Tabla6[[#This Row],[ID CLIENTE]],'RESUMEN CLIENTES'!D:D,'RESUMEN CLIENTES'!M:M)</f>
        <v>OK</v>
      </c>
      <c r="E1722" s="72">
        <f>+_xlfn.XLOOKUP(Tabla6[[#This Row],[NOMBRE]],'RESUMEN CLIENTES'!A:A,'RESUMEN CLIENTES'!X:X)</f>
        <v>-0.625</v>
      </c>
      <c r="F1722" s="72">
        <f>+_xlfn.XLOOKUP(Tabla6[[#This Row],[ID CLIENTE]],'RESUMEN CLIENTES'!D:D,'RESUMEN CLIENTES'!W:W)</f>
        <v>0</v>
      </c>
      <c r="G1722" s="17">
        <v>46295</v>
      </c>
      <c r="H1722" s="44" t="s">
        <v>81</v>
      </c>
      <c r="I1722" s="2">
        <v>700</v>
      </c>
      <c r="J1722"/>
      <c r="K1722"/>
      <c r="L1722" s="44" t="str" cm="1">
        <f t="array" ref="L1722">+_xlfn.IFS(COUNTIF(INGRESOS!E:E,Tabla6[[#This Row],[ID FACTURA]])=1,"PAGADA",Tabla6[[#This Row],[ID FACTURA]]&lt;&gt;0,"EMITIDA",Tabla6[[#This Row],[ID FACTURA]]=0,"POR EMITIR")</f>
        <v>POR EMITIR</v>
      </c>
      <c r="M1722" s="55" t="str">
        <f>+IF(Tabla6[[#This Row],[ESTADO FACTURA]]="PAGADA",Tabla6[[#This Row],[FECHA]]-_xlfn.XLOOKUP(Tabla6[[#This Row],[N° FACTURA]],INGRESOS!F:F,INGRESOS!A:A),"-")</f>
        <v>-</v>
      </c>
      <c r="N1722" s="2"/>
      <c r="O1722"/>
    </row>
    <row r="1723" spans="1:15" ht="14.75" customHeight="1">
      <c r="A1723" s="320" t="s">
        <v>139</v>
      </c>
      <c r="B1723" t="str">
        <f>+_xlfn.XLOOKUP(Tabla6[[#This Row],[ID CLIENTE]],'RESUMEN CLIENTES'!D:D,'RESUMEN CLIENTES'!A:A)</f>
        <v>Hugo Nicolás Trávez Morales</v>
      </c>
      <c r="C1723" t="str">
        <f>+_xlfn.XLOOKUP(Tabla6[[#This Row],[ID CLIENTE]],'RESUMEN CLIENTES'!D:D,'RESUMEN CLIENTES'!C:C)</f>
        <v>Ecuador</v>
      </c>
      <c r="D1723" s="169" t="str">
        <f>+_xlfn.XLOOKUP(Tabla6[[#This Row],[ID CLIENTE]],'RESUMEN CLIENTES'!D:D,'RESUMEN CLIENTES'!M:M)</f>
        <v>OK</v>
      </c>
      <c r="E1723" s="71">
        <f>+_xlfn.XLOOKUP(Tabla6[[#This Row],[NOMBRE]],'RESUMEN CLIENTES'!A:A,'RESUMEN CLIENTES'!X:X)</f>
        <v>0</v>
      </c>
      <c r="F1723" s="71">
        <f>+_xlfn.XLOOKUP(Tabla6[[#This Row],[ID CLIENTE]],'RESUMEN CLIENTES'!D:D,'RESUMEN CLIENTES'!W:W)</f>
        <v>0</v>
      </c>
      <c r="G1723" s="17">
        <v>46295</v>
      </c>
      <c r="H1723" s="44" t="s">
        <v>81</v>
      </c>
      <c r="I1723" s="2">
        <v>1000</v>
      </c>
      <c r="J1723"/>
      <c r="K1723"/>
      <c r="L1723" s="44" t="str" cm="1">
        <f t="array" ref="L1723">+_xlfn.IFS(COUNTIF(INGRESOS!E:E,Tabla6[[#This Row],[ID FACTURA]])=1,"PAGADA",Tabla6[[#This Row],[ID FACTURA]]&lt;&gt;0,"EMITIDA",Tabla6[[#This Row],[ID FACTURA]]=0,"POR EMITIR")</f>
        <v>POR EMITIR</v>
      </c>
      <c r="M1723" s="54" t="str">
        <f>+IF(Tabla6[[#This Row],[ESTADO FACTURA]]="PAGADA",Tabla6[[#This Row],[FECHA]]-_xlfn.XLOOKUP(Tabla6[[#This Row],[N° FACTURA]],INGRESOS!F:F,INGRESOS!A:A),"-")</f>
        <v>-</v>
      </c>
      <c r="O1723"/>
    </row>
    <row r="1724" spans="1:15" ht="14.75" customHeight="1">
      <c r="A1724" s="320" t="s">
        <v>197</v>
      </c>
      <c r="B1724" t="str">
        <f>+_xlfn.XLOOKUP(Tabla6[[#This Row],[ID CLIENTE]],'RESUMEN CLIENTES'!D:D,'RESUMEN CLIENTES'!A:A)</f>
        <v>Lina Estrada</v>
      </c>
      <c r="C1724" s="15" t="str">
        <f>+_xlfn.XLOOKUP(Tabla6[[#This Row],[ID CLIENTE]],'RESUMEN CLIENTES'!D:D,'RESUMEN CLIENTES'!C:C)</f>
        <v>Colombia</v>
      </c>
      <c r="D1724" s="169" t="str">
        <f>+_xlfn.XLOOKUP(Tabla6[[#This Row],[ID CLIENTE]],'RESUMEN CLIENTES'!D:D,'RESUMEN CLIENTES'!M:M)</f>
        <v>¡REGULARIZAR!</v>
      </c>
      <c r="E1724" s="71">
        <f>+_xlfn.XLOOKUP(Tabla6[[#This Row],[NOMBRE]],'RESUMEN CLIENTES'!A:A,'RESUMEN CLIENTES'!X:X)</f>
        <v>0.5</v>
      </c>
      <c r="F1724" s="71">
        <f>+_xlfn.XLOOKUP(Tabla6[[#This Row],[ID CLIENTE]],'RESUMEN CLIENTES'!D:D,'RESUMEN CLIENTES'!W:W)</f>
        <v>0</v>
      </c>
      <c r="G1724" s="17">
        <v>46295</v>
      </c>
      <c r="H1724" s="169" t="s">
        <v>1669</v>
      </c>
      <c r="I1724" s="2">
        <v>1000</v>
      </c>
      <c r="J1724"/>
      <c r="K1724"/>
      <c r="L1724" s="44" t="str" cm="1">
        <f t="array" ref="L1724">+_xlfn.IFS(COUNTIF(INGRESOS!E:E,Tabla6[[#This Row],[ID FACTURA]])=1,"PAGADA",Tabla6[[#This Row],[ID FACTURA]]&lt;&gt;0,"EMITIDA",Tabla6[[#This Row],[ID FACTURA]]=0,"POR EMITIR")</f>
        <v>POR EMITIR</v>
      </c>
      <c r="M1724" s="54" t="str">
        <f>+IF(Tabla6[[#This Row],[ESTADO FACTURA]]="PAGADA",Tabla6[[#This Row],[FECHA]]-_xlfn.XLOOKUP(Tabla6[[#This Row],[N° FACTURA]],INGRESOS!F:F,INGRESOS!A:A),"-")</f>
        <v>-</v>
      </c>
      <c r="O1724"/>
    </row>
    <row r="1725" spans="1:15" ht="14.75" customHeight="1">
      <c r="A1725" s="320" t="s">
        <v>590</v>
      </c>
      <c r="B1725" t="str">
        <f>+_xlfn.XLOOKUP(Tabla6[[#This Row],[ID CLIENTE]],'RESUMEN CLIENTES'!D:D,'RESUMEN CLIENTES'!A:A)</f>
        <v>María Lucero de Jesús Barrios Sazo</v>
      </c>
      <c r="C1725" t="str">
        <f>+_xlfn.XLOOKUP(Tabla6[[#This Row],[ID CLIENTE]],'RESUMEN CLIENTES'!D:D,'RESUMEN CLIENTES'!C:C)</f>
        <v>Guatemala</v>
      </c>
      <c r="D1725" s="44" t="str">
        <f>+_xlfn.XLOOKUP(Tabla6[[#This Row],[ID CLIENTE]],'RESUMEN CLIENTES'!D:D,'RESUMEN CLIENTES'!M:M)</f>
        <v>OK</v>
      </c>
      <c r="E1725" s="72">
        <f>+_xlfn.XLOOKUP(Tabla6[[#This Row],[NOMBRE]],'RESUMEN CLIENTES'!A:A,'RESUMEN CLIENTES'!X:X)</f>
        <v>1.25</v>
      </c>
      <c r="F1725" s="72">
        <f>+_xlfn.XLOOKUP(Tabla6[[#This Row],[ID CLIENTE]],'RESUMEN CLIENTES'!D:D,'RESUMEN CLIENTES'!W:W)</f>
        <v>0</v>
      </c>
      <c r="G1725" s="17">
        <v>46295</v>
      </c>
      <c r="H1725" s="44" t="s">
        <v>81</v>
      </c>
      <c r="I1725" s="2">
        <v>700</v>
      </c>
      <c r="J1725"/>
      <c r="K1725"/>
      <c r="L1725" s="44" t="str" cm="1">
        <f t="array" ref="L1725">+_xlfn.IFS(COUNTIF(INGRESOS!E:E,Tabla6[[#This Row],[ID FACTURA]])=1,"PAGADA",Tabla6[[#This Row],[ID FACTURA]]&lt;&gt;0,"EMITIDA",Tabla6[[#This Row],[ID FACTURA]]=0,"POR EMITIR")</f>
        <v>POR EMITIR</v>
      </c>
      <c r="M1725" s="55" t="str">
        <f>+IF(Tabla6[[#This Row],[ESTADO FACTURA]]="PAGADA",Tabla6[[#This Row],[FECHA]]-_xlfn.XLOOKUP(Tabla6[[#This Row],[N° FACTURA]],INGRESOS!F:F,INGRESOS!A:A),"-")</f>
        <v>-</v>
      </c>
      <c r="N1725" s="2"/>
      <c r="O1725"/>
    </row>
    <row r="1726" spans="1:15" ht="14.75" customHeight="1">
      <c r="A1726" s="320" t="s">
        <v>1201</v>
      </c>
      <c r="B1726" t="str">
        <f>+_xlfn.XLOOKUP(Tabla6[[#This Row],[ID CLIENTE]],'RESUMEN CLIENTES'!D:D,'RESUMEN CLIENTES'!A:A)</f>
        <v>María Soledad Tituana Asanza</v>
      </c>
      <c r="C1726" t="str">
        <f>+_xlfn.XLOOKUP(Tabla6[[#This Row],[ID CLIENTE]],'RESUMEN CLIENTES'!D:D,'RESUMEN CLIENTES'!C:C)</f>
        <v>Ecuador</v>
      </c>
      <c r="D1726" s="44" t="str">
        <f>+_xlfn.XLOOKUP(Tabla6[[#This Row],[ID CLIENTE]],'RESUMEN CLIENTES'!D:D,'RESUMEN CLIENTES'!M:M)</f>
        <v>OK</v>
      </c>
      <c r="E1726" s="72">
        <f>+_xlfn.XLOOKUP(Tabla6[[#This Row],[NOMBRE]],'RESUMEN CLIENTES'!A:A,'RESUMEN CLIENTES'!X:X)</f>
        <v>-0.16666666666666666</v>
      </c>
      <c r="F1726" s="72">
        <f>+_xlfn.XLOOKUP(Tabla6[[#This Row],[ID CLIENTE]],'RESUMEN CLIENTES'!D:D,'RESUMEN CLIENTES'!W:W)</f>
        <v>0</v>
      </c>
      <c r="G1726" s="17">
        <v>46295</v>
      </c>
      <c r="H1726" s="44" t="s">
        <v>81</v>
      </c>
      <c r="I1726" s="2">
        <v>1000</v>
      </c>
      <c r="J1726"/>
      <c r="K1726"/>
      <c r="L1726" s="44" t="str" cm="1">
        <f t="array" ref="L1726">+_xlfn.IFS(COUNTIF(INGRESOS!E:E,Tabla6[[#This Row],[ID FACTURA]])=1,"PAGADA",Tabla6[[#This Row],[ID FACTURA]]&lt;&gt;0,"EMITIDA",Tabla6[[#This Row],[ID FACTURA]]=0,"POR EMITIR")</f>
        <v>POR EMITIR</v>
      </c>
      <c r="M1726" s="55" t="str">
        <f>+IF(Tabla6[[#This Row],[ESTADO FACTURA]]="PAGADA",Tabla6[[#This Row],[FECHA]]-_xlfn.XLOOKUP(Tabla6[[#This Row],[N° FACTURA]],INGRESOS!F:F,INGRESOS!A:A),"-")</f>
        <v>-</v>
      </c>
      <c r="N1726" s="2"/>
      <c r="O1726"/>
    </row>
    <row r="1727" spans="1:15" ht="14.75" customHeight="1">
      <c r="A1727" s="320" t="s">
        <v>84</v>
      </c>
      <c r="B1727" t="str">
        <f>+_xlfn.XLOOKUP(Tabla6[[#This Row],[ID CLIENTE]],'RESUMEN CLIENTES'!D:D,'RESUMEN CLIENTES'!A:A)</f>
        <v>Andrea Corpeño López</v>
      </c>
      <c r="C1727" t="str">
        <f>+_xlfn.XLOOKUP(Tabla6[[#This Row],[ID CLIENTE]],'RESUMEN CLIENTES'!D:D,'RESUMEN CLIENTES'!C:C)</f>
        <v>El Salvador</v>
      </c>
      <c r="D1727" s="44" t="str">
        <f>+_xlfn.XLOOKUP(Tabla6[[#This Row],[ID CLIENTE]],'RESUMEN CLIENTES'!D:D,'RESUMEN CLIENTES'!M:M)</f>
        <v>OK</v>
      </c>
      <c r="E1727" s="72">
        <f>+_xlfn.XLOOKUP(Tabla6[[#This Row],[NOMBRE]],'RESUMEN CLIENTES'!A:A,'RESUMEN CLIENTES'!X:X)</f>
        <v>-0.81818181818181823</v>
      </c>
      <c r="F1727" s="72">
        <f>+_xlfn.XLOOKUP(Tabla6[[#This Row],[ID CLIENTE]],'RESUMEN CLIENTES'!D:D,'RESUMEN CLIENTES'!W:W)</f>
        <v>0</v>
      </c>
      <c r="G1727" s="17">
        <f>IF($H1727&lt;&gt;"ALEM","",IFERROR(
  DATE(
    YEAR(EDATE(
      _xlfn.XLOOKUP($A1727,'RESUMEN CLIENTES'!$D:$D,'RESUMEN CLIENTES'!$Y:$Y,""),
      7 + COUNTIFS(
            $A$2:INDEX($A:$A,ROW()), $A1727,
            $H$2:INDEX($H:$H,ROW()), "ALEM"
          )
    )),
    MONTH(EDATE(
      _xlfn.XLOOKUP($A1727,'RESUMEN CLIENTES'!$D:$D,'RESUMEN CLIENTES'!$Y:$Y,""),
      7 + COUNTIFS(
            $A$2:INDEX($A:$A,ROW()), $A1727,
            $H$2:INDEX($H:$H,ROW()), "ALEM"
          )
    )),
    1
  ),
"SIN FECHA MIG"))</f>
        <v>46296</v>
      </c>
      <c r="H1727" s="44" t="s">
        <v>1876</v>
      </c>
      <c r="I1727" s="2">
        <v>500</v>
      </c>
      <c r="J1727"/>
      <c r="K1727"/>
      <c r="L1727" s="44" t="str" cm="1">
        <f t="array" ref="L1727">+_xlfn.IFS(COUNTIF(INGRESOS!E:E,Tabla6[[#This Row],[ID FACTURA]])=1,"PAGADA",Tabla6[[#This Row],[ID FACTURA]]&lt;&gt;0,"EMITIDA",Tabla6[[#This Row],[ID FACTURA]]=0,"POR EMITIR")</f>
        <v>POR EMITIR</v>
      </c>
      <c r="M1727" s="55" t="str">
        <f>+IF(Tabla6[[#This Row],[ESTADO FACTURA]]="PAGADA",Tabla6[[#This Row],[FECHA]]-_xlfn.XLOOKUP(Tabla6[[#This Row],[N° FACTURA]],INGRESOS!F:F,INGRESOS!A:A),"-")</f>
        <v>-</v>
      </c>
      <c r="N1727" s="2"/>
      <c r="O1727" t="s">
        <v>2085</v>
      </c>
    </row>
    <row r="1728" spans="1:15" ht="14.75" customHeight="1">
      <c r="A1728" s="320" t="s">
        <v>325</v>
      </c>
      <c r="B1728" t="str">
        <f>+_xlfn.XLOOKUP(Tabla6[[#This Row],[ID CLIENTE]],'RESUMEN CLIENTES'!D:D,'RESUMEN CLIENTES'!A:A)</f>
        <v>Andrea Cristina Estrada Morocho</v>
      </c>
      <c r="C1728" t="str">
        <f>+_xlfn.XLOOKUP(Tabla6[[#This Row],[ID CLIENTE]],'RESUMEN CLIENTES'!D:D,'RESUMEN CLIENTES'!C:C)</f>
        <v>Ecuador</v>
      </c>
      <c r="D1728" s="44" t="str">
        <f>+_xlfn.XLOOKUP(Tabla6[[#This Row],[ID CLIENTE]],'RESUMEN CLIENTES'!D:D,'RESUMEN CLIENTES'!M:M)</f>
        <v>OK</v>
      </c>
      <c r="E1728" s="72">
        <f>+_xlfn.XLOOKUP(Tabla6[[#This Row],[NOMBRE]],'RESUMEN CLIENTES'!A:A,'RESUMEN CLIENTES'!X:X)</f>
        <v>-3.6666666666666665</v>
      </c>
      <c r="F1728" s="72">
        <f>+_xlfn.XLOOKUP(Tabla6[[#This Row],[ID CLIENTE]],'RESUMEN CLIENTES'!D:D,'RESUMEN CLIENTES'!W:W)</f>
        <v>1</v>
      </c>
      <c r="G1728" s="17">
        <f>IF($H1728&lt;&gt;"ALEM","",IFERROR(
  DATE(
    YEAR(EDATE(
      _xlfn.XLOOKUP($A1728,'RESUMEN CLIENTES'!$D:$D,'RESUMEN CLIENTES'!$Y:$Y,""),
      7 + COUNTIFS(
            $A$2:INDEX($A:$A,ROW()), $A1728,
            $H$2:INDEX($H:$H,ROW()), "ALEM"
          )
    )),
    MONTH(EDATE(
      _xlfn.XLOOKUP($A1728,'RESUMEN CLIENTES'!$D:$D,'RESUMEN CLIENTES'!$Y:$Y,""),
      7 + COUNTIFS(
            $A$2:INDEX($A:$A,ROW()), $A1728,
            $H$2:INDEX($H:$H,ROW()), "ALEM"
          )
    )),
    1
  ),
"SIN FECHA MIG"))</f>
        <v>46296</v>
      </c>
      <c r="H1728" s="44" t="s">
        <v>1876</v>
      </c>
      <c r="I1728" s="2">
        <v>1000</v>
      </c>
      <c r="J1728"/>
      <c r="K1728"/>
      <c r="L1728" s="44" t="str" cm="1">
        <f t="array" ref="L1728">+_xlfn.IFS(COUNTIF(INGRESOS!E:E,Tabla6[[#This Row],[ID FACTURA]])=1,"PAGADA",Tabla6[[#This Row],[ID FACTURA]]&lt;&gt;0,"EMITIDA",Tabla6[[#This Row],[ID FACTURA]]=0,"POR EMITIR")</f>
        <v>POR EMITIR</v>
      </c>
      <c r="M1728" s="55" t="str">
        <f>+IF(Tabla6[[#This Row],[ESTADO FACTURA]]="PAGADA",Tabla6[[#This Row],[FECHA]]-_xlfn.XLOOKUP(Tabla6[[#This Row],[N° FACTURA]],INGRESOS!F:F,INGRESOS!A:A),"-")</f>
        <v>-</v>
      </c>
      <c r="N1728" s="2"/>
      <c r="O1728"/>
    </row>
    <row r="1729" spans="1:15" ht="14.75" customHeight="1">
      <c r="A1729" s="320" t="s">
        <v>1357</v>
      </c>
      <c r="B1729" t="str">
        <f>+_xlfn.XLOOKUP(Tabla6[[#This Row],[ID CLIENTE]],'RESUMEN CLIENTES'!D:D,'RESUMEN CLIENTES'!A:A)</f>
        <v>Angel Andres Velastegui Huebla</v>
      </c>
      <c r="C1729" t="str">
        <f>+_xlfn.XLOOKUP(Tabla6[[#This Row],[ID CLIENTE]],'RESUMEN CLIENTES'!D:D,'RESUMEN CLIENTES'!C:C)</f>
        <v>Ecuador</v>
      </c>
      <c r="D1729" s="44" t="str">
        <f>+_xlfn.XLOOKUP(Tabla6[[#This Row],[ID CLIENTE]],'RESUMEN CLIENTES'!D:D,'RESUMEN CLIENTES'!M:M)</f>
        <v>OK</v>
      </c>
      <c r="E1729" s="71">
        <f>+_xlfn.XLOOKUP(Tabla6[[#This Row],[NOMBRE]],'RESUMEN CLIENTES'!A:A,'RESUMEN CLIENTES'!X:X)</f>
        <v>0</v>
      </c>
      <c r="F1729" s="71">
        <f>+_xlfn.XLOOKUP(Tabla6[[#This Row],[ID CLIENTE]],'RESUMEN CLIENTES'!D:D,'RESUMEN CLIENTES'!W:W)</f>
        <v>1</v>
      </c>
      <c r="G1729" s="17">
        <f>IF($H1729&lt;&gt;"ALEM","",IFERROR(
  DATE(
    YEAR(EDATE(
      _xlfn.XLOOKUP($A1729,'RESUMEN CLIENTES'!$D:$D,'RESUMEN CLIENTES'!$Y:$Y,""),
      7 + COUNTIFS(
            $A$2:INDEX($A:$A,ROW()), $A1729,
            $H$2:INDEX($H:$H,ROW()), "ALEM"
          )
    )),
    MONTH(EDATE(
      _xlfn.XLOOKUP($A1729,'RESUMEN CLIENTES'!$D:$D,'RESUMEN CLIENTES'!$Y:$Y,""),
      7 + COUNTIFS(
            $A$2:INDEX($A:$A,ROW()), $A1729,
            $H$2:INDEX($H:$H,ROW()), "ALEM"
          )
    )),
    1
  ),
"SIN FECHA MIG"))</f>
        <v>46296</v>
      </c>
      <c r="H1729" s="44" t="s">
        <v>1876</v>
      </c>
      <c r="I1729" s="2">
        <v>800</v>
      </c>
      <c r="J1729"/>
      <c r="K1729"/>
      <c r="L1729" s="44" t="str" cm="1">
        <f t="array" ref="L1729">+_xlfn.IFS(COUNTIF(INGRESOS!E:E,Tabla6[[#This Row],[ID FACTURA]])=1,"PAGADA",Tabla6[[#This Row],[ID FACTURA]]&lt;&gt;0,"EMITIDA",Tabla6[[#This Row],[ID FACTURA]]=0,"POR EMITIR")</f>
        <v>POR EMITIR</v>
      </c>
      <c r="M1729" s="55" t="str">
        <f>+IF(Tabla6[[#This Row],[ESTADO FACTURA]]="PAGADA",Tabla6[[#This Row],[FECHA]]-_xlfn.XLOOKUP(Tabla6[[#This Row],[N° FACTURA]],INGRESOS!F:F,INGRESOS!A:A),"-")</f>
        <v>-</v>
      </c>
      <c r="N1729" s="2"/>
      <c r="O1729"/>
    </row>
    <row r="1730" spans="1:15" ht="14.75" customHeight="1">
      <c r="A1730" s="320" t="s">
        <v>574</v>
      </c>
      <c r="B1730" t="str">
        <f>+_xlfn.XLOOKUP(Tabla6[[#This Row],[ID CLIENTE]],'RESUMEN CLIENTES'!D:D,'RESUMEN CLIENTES'!A:A)</f>
        <v>Astrid Mariam Enamorado Ortega</v>
      </c>
      <c r="C1730" t="str">
        <f>+_xlfn.XLOOKUP(Tabla6[[#This Row],[ID CLIENTE]],'RESUMEN CLIENTES'!D:D,'RESUMEN CLIENTES'!C:C)</f>
        <v>Honduras</v>
      </c>
      <c r="D1730" s="44" t="str">
        <f>+_xlfn.XLOOKUP(Tabla6[[#This Row],[ID CLIENTE]],'RESUMEN CLIENTES'!D:D,'RESUMEN CLIENTES'!M:M)</f>
        <v>OK</v>
      </c>
      <c r="E1730" s="72">
        <f>+_xlfn.XLOOKUP(Tabla6[[#This Row],[NOMBRE]],'RESUMEN CLIENTES'!A:A,'RESUMEN CLIENTES'!X:X)</f>
        <v>-1.75</v>
      </c>
      <c r="F1730" s="72">
        <f>+_xlfn.XLOOKUP(Tabla6[[#This Row],[ID CLIENTE]],'RESUMEN CLIENTES'!D:D,'RESUMEN CLIENTES'!W:W)</f>
        <v>0</v>
      </c>
      <c r="G1730" s="17">
        <f>IF($H1730&lt;&gt;"ALEM","",IFERROR(
  DATE(
    YEAR(EDATE(
      _xlfn.XLOOKUP($A1730,'RESUMEN CLIENTES'!$D:$D,'RESUMEN CLIENTES'!$Y:$Y,""),
      7 + COUNTIFS(
            $A$2:INDEX($A:$A,ROW()), $A1730,
            $H$2:INDEX($H:$H,ROW()), "ALEM"
          )
    )),
    MONTH(EDATE(
      _xlfn.XLOOKUP($A1730,'RESUMEN CLIENTES'!$D:$D,'RESUMEN CLIENTES'!$Y:$Y,""),
      7 + COUNTIFS(
            $A$2:INDEX($A:$A,ROW()), $A1730,
            $H$2:INDEX($H:$H,ROW()), "ALEM"
          )
    )),
    1
  ),
"SIN FECHA MIG"))</f>
        <v>46296</v>
      </c>
      <c r="H1730" s="44" t="s">
        <v>1876</v>
      </c>
      <c r="I1730" s="2">
        <v>1000</v>
      </c>
      <c r="J1730"/>
      <c r="K1730"/>
      <c r="L1730" s="44" t="str" cm="1">
        <f t="array" ref="L1730">+_xlfn.IFS(COUNTIF(INGRESOS!E:E,Tabla6[[#This Row],[ID FACTURA]])=1,"PAGADA",Tabla6[[#This Row],[ID FACTURA]]&lt;&gt;0,"EMITIDA",Tabla6[[#This Row],[ID FACTURA]]=0,"POR EMITIR")</f>
        <v>POR EMITIR</v>
      </c>
      <c r="M1730" s="55" t="str">
        <f>+IF(Tabla6[[#This Row],[ESTADO FACTURA]]="PAGADA",Tabla6[[#This Row],[FECHA]]-_xlfn.XLOOKUP(Tabla6[[#This Row],[N° FACTURA]],INGRESOS!F:F,INGRESOS!A:A),"-")</f>
        <v>-</v>
      </c>
      <c r="N1730" s="2"/>
      <c r="O1730"/>
    </row>
    <row r="1731" spans="1:15" ht="15" customHeight="1">
      <c r="A1731" s="320" t="s">
        <v>1206</v>
      </c>
      <c r="B1731" t="str">
        <f>+_xlfn.XLOOKUP(Tabla6[[#This Row],[ID CLIENTE]],'RESUMEN CLIENTES'!D:D,'RESUMEN CLIENTES'!A:A)</f>
        <v>Bryan Israel Jiménez Puente</v>
      </c>
      <c r="C1731" t="str">
        <f>+_xlfn.XLOOKUP(Tabla6[[#This Row],[ID CLIENTE]],'RESUMEN CLIENTES'!D:D,'RESUMEN CLIENTES'!C:C)</f>
        <v>Ecuador</v>
      </c>
      <c r="D1731" s="44" t="str">
        <f>+_xlfn.XLOOKUP(Tabla6[[#This Row],[ID CLIENTE]],'RESUMEN CLIENTES'!D:D,'RESUMEN CLIENTES'!M:M)</f>
        <v>OK</v>
      </c>
      <c r="E1731" s="72">
        <f>+_xlfn.XLOOKUP(Tabla6[[#This Row],[NOMBRE]],'RESUMEN CLIENTES'!A:A,'RESUMEN CLIENTES'!X:X)</f>
        <v>1</v>
      </c>
      <c r="F1731" s="72">
        <f>+_xlfn.XLOOKUP(Tabla6[[#This Row],[ID CLIENTE]],'RESUMEN CLIENTES'!D:D,'RESUMEN CLIENTES'!W:W)</f>
        <v>0</v>
      </c>
      <c r="G1731" s="17">
        <f>IF($H1731&lt;&gt;"ALEM","",IFERROR(
  DATE(
    YEAR(EDATE(
      _xlfn.XLOOKUP($A1731,'RESUMEN CLIENTES'!$D:$D,'RESUMEN CLIENTES'!$Y:$Y,""),
      7 + COUNTIFS(
            $A$2:INDEX($A:$A,ROW()), $A1731,
            $H$2:INDEX($H:$H,ROW()), "ALEM"
          )
    )),
    MONTH(EDATE(
      _xlfn.XLOOKUP($A1731,'RESUMEN CLIENTES'!$D:$D,'RESUMEN CLIENTES'!$Y:$Y,""),
      7 + COUNTIFS(
            $A$2:INDEX($A:$A,ROW()), $A1731,
            $H$2:INDEX($H:$H,ROW()), "ALEM"
          )
    )),
    1
  ),
"SIN FECHA MIG"))</f>
        <v>46296</v>
      </c>
      <c r="H1731" s="44" t="s">
        <v>1876</v>
      </c>
      <c r="I1731" s="2">
        <v>800</v>
      </c>
      <c r="J1731"/>
      <c r="K1731"/>
      <c r="L1731" s="44" t="str" cm="1">
        <f t="array" ref="L1731">+_xlfn.IFS(COUNTIF(INGRESOS!E:E,Tabla6[[#This Row],[ID FACTURA]])=1,"PAGADA",Tabla6[[#This Row],[ID FACTURA]]&lt;&gt;0,"EMITIDA",Tabla6[[#This Row],[ID FACTURA]]=0,"POR EMITIR")</f>
        <v>POR EMITIR</v>
      </c>
      <c r="M1731" s="55" t="str">
        <f>+IF(Tabla6[[#This Row],[ESTADO FACTURA]]="PAGADA",Tabla6[[#This Row],[FECHA]]-_xlfn.XLOOKUP(Tabla6[[#This Row],[N° FACTURA]],INGRESOS!F:F,INGRESOS!A:A),"-")</f>
        <v>-</v>
      </c>
      <c r="N1731" s="2"/>
      <c r="O1731" t="s">
        <v>2084</v>
      </c>
    </row>
    <row r="1732" spans="1:15" ht="14.75" customHeight="1">
      <c r="A1732" s="320" t="s">
        <v>1245</v>
      </c>
      <c r="B1732" t="str">
        <f>+_xlfn.XLOOKUP(Tabla6[[#This Row],[ID CLIENTE]],'RESUMEN CLIENTES'!D:D,'RESUMEN CLIENTES'!A:A)</f>
        <v>Constanza Andrea Águila Vergara</v>
      </c>
      <c r="C1732" t="str">
        <f>+_xlfn.XLOOKUP(Tabla6[[#This Row],[ID CLIENTE]],'RESUMEN CLIENTES'!D:D,'RESUMEN CLIENTES'!C:C)</f>
        <v>Chile</v>
      </c>
      <c r="D1732" s="44" t="str">
        <f>+_xlfn.XLOOKUP(Tabla6[[#This Row],[ID CLIENTE]],'RESUMEN CLIENTES'!D:D,'RESUMEN CLIENTES'!M:M)</f>
        <v>OK</v>
      </c>
      <c r="E1732" s="71">
        <f>+_xlfn.XLOOKUP(Tabla6[[#This Row],[NOMBRE]],'RESUMEN CLIENTES'!A:A,'RESUMEN CLIENTES'!X:X)</f>
        <v>-0.2</v>
      </c>
      <c r="F1732" s="71">
        <f>+_xlfn.XLOOKUP(Tabla6[[#This Row],[ID CLIENTE]],'RESUMEN CLIENTES'!D:D,'RESUMEN CLIENTES'!W:W)</f>
        <v>1</v>
      </c>
      <c r="G1732" s="17">
        <v>46296</v>
      </c>
      <c r="H1732" s="44" t="s">
        <v>81</v>
      </c>
      <c r="I1732" s="2">
        <v>1150</v>
      </c>
      <c r="J1732"/>
      <c r="K1732"/>
      <c r="L1732" s="44" t="str" cm="1">
        <f t="array" ref="L1732">+_xlfn.IFS(COUNTIF(INGRESOS!E:E,Tabla6[[#This Row],[ID FACTURA]])=1,"PAGADA",Tabla6[[#This Row],[ID FACTURA]]&lt;&gt;0,"EMITIDA",Tabla6[[#This Row],[ID FACTURA]]=0,"POR EMITIR")</f>
        <v>POR EMITIR</v>
      </c>
      <c r="M1732" s="55" t="str">
        <f>+IF(Tabla6[[#This Row],[ESTADO FACTURA]]="PAGADA",Tabla6[[#This Row],[FECHA]]-_xlfn.XLOOKUP(Tabla6[[#This Row],[N° FACTURA]],INGRESOS!F:F,INGRESOS!A:A),"-")</f>
        <v>-</v>
      </c>
      <c r="N1732" s="2"/>
      <c r="O1732"/>
    </row>
    <row r="1733" spans="1:15" ht="14.75" customHeight="1">
      <c r="A1733" s="320" t="s">
        <v>1178</v>
      </c>
      <c r="B1733" t="str">
        <f>+_xlfn.XLOOKUP(Tabla6[[#This Row],[ID CLIENTE]],'RESUMEN CLIENTES'!D:D,'RESUMEN CLIENTES'!A:A)</f>
        <v>Daniel Flores</v>
      </c>
      <c r="C1733" t="str">
        <f>+_xlfn.XLOOKUP(Tabla6[[#This Row],[ID CLIENTE]],'RESUMEN CLIENTES'!D:D,'RESUMEN CLIENTES'!C:C)</f>
        <v>Ecuador</v>
      </c>
      <c r="D1733" s="44" t="str">
        <f>+_xlfn.XLOOKUP(Tabla6[[#This Row],[ID CLIENTE]],'RESUMEN CLIENTES'!D:D,'RESUMEN CLIENTES'!M:M)</f>
        <v>OK</v>
      </c>
      <c r="E1733" s="72">
        <f>+_xlfn.XLOOKUP(Tabla6[[#This Row],[NOMBRE]],'RESUMEN CLIENTES'!A:A,'RESUMEN CLIENTES'!X:X)</f>
        <v>3.8333333333333335</v>
      </c>
      <c r="F1733" s="72">
        <f>+_xlfn.XLOOKUP(Tabla6[[#This Row],[ID CLIENTE]],'RESUMEN CLIENTES'!D:D,'RESUMEN CLIENTES'!W:W)</f>
        <v>1</v>
      </c>
      <c r="G1733" s="17">
        <v>46296</v>
      </c>
      <c r="H1733" s="44" t="s">
        <v>81</v>
      </c>
      <c r="I1733" s="2">
        <v>850</v>
      </c>
      <c r="J1733"/>
      <c r="K1733"/>
      <c r="L1733" s="44" t="str" cm="1">
        <f t="array" ref="L1733">+_xlfn.IFS(COUNTIF(INGRESOS!E:E,Tabla6[[#This Row],[ID FACTURA]])=1,"PAGADA",Tabla6[[#This Row],[ID FACTURA]]&lt;&gt;0,"EMITIDA",Tabla6[[#This Row],[ID FACTURA]]=0,"POR EMITIR")</f>
        <v>POR EMITIR</v>
      </c>
      <c r="M1733" s="55" t="str">
        <f>+IF(Tabla6[[#This Row],[ESTADO FACTURA]]="PAGADA",Tabla6[[#This Row],[FECHA]]-_xlfn.XLOOKUP(Tabla6[[#This Row],[N° FACTURA]],INGRESOS!F:F,INGRESOS!A:A),"-")</f>
        <v>-</v>
      </c>
      <c r="N1733" s="2"/>
      <c r="O1733"/>
    </row>
    <row r="1734" spans="1:15" ht="14.75" customHeight="1">
      <c r="A1734" s="320" t="s">
        <v>90</v>
      </c>
      <c r="B1734" t="str">
        <f>+_xlfn.XLOOKUP(Tabla6[[#This Row],[ID CLIENTE]],'RESUMEN CLIENTES'!D:D,'RESUMEN CLIENTES'!A:A)</f>
        <v>David Enrique Díaz Mejía</v>
      </c>
      <c r="C1734" t="str">
        <f>+_xlfn.XLOOKUP(Tabla6[[#This Row],[ID CLIENTE]],'RESUMEN CLIENTES'!D:D,'RESUMEN CLIENTES'!C:C)</f>
        <v>Honduras</v>
      </c>
      <c r="D1734" s="44" t="str">
        <f>+_xlfn.XLOOKUP(Tabla6[[#This Row],[ID CLIENTE]],'RESUMEN CLIENTES'!D:D,'RESUMEN CLIENTES'!M:M)</f>
        <v>OK</v>
      </c>
      <c r="E1734" s="72">
        <f>+_xlfn.XLOOKUP(Tabla6[[#This Row],[NOMBRE]],'RESUMEN CLIENTES'!A:A,'RESUMEN CLIENTES'!X:X)</f>
        <v>-15.217592592592862</v>
      </c>
      <c r="F1734" s="72">
        <f>+_xlfn.XLOOKUP(Tabla6[[#This Row],[ID CLIENTE]],'RESUMEN CLIENTES'!D:D,'RESUMEN CLIENTES'!W:W)</f>
        <v>1</v>
      </c>
      <c r="G1734" s="17">
        <f>IF($H1734&lt;&gt;"ALEM","",IFERROR(
  DATE(
    YEAR(EDATE(
      _xlfn.XLOOKUP($A1734,'RESUMEN CLIENTES'!$D:$D,'RESUMEN CLIENTES'!$Y:$Y,""),
      7 + COUNTIFS(
            $A$2:INDEX($A:$A,ROW()), $A1734,
            $H$2:INDEX($H:$H,ROW()), "ALEM"
          )
    )),
    MONTH(EDATE(
      _xlfn.XLOOKUP($A1734,'RESUMEN CLIENTES'!$D:$D,'RESUMEN CLIENTES'!$Y:$Y,""),
      7 + COUNTIFS(
            $A$2:INDEX($A:$A,ROW()), $A1734,
            $H$2:INDEX($H:$H,ROW()), "ALEM"
          )
    )),
    1
  ),
"SIN FECHA MIG"))</f>
        <v>46296</v>
      </c>
      <c r="H1734" s="44" t="s">
        <v>1876</v>
      </c>
      <c r="I1734" s="2">
        <v>1187</v>
      </c>
      <c r="J1734"/>
      <c r="K1734"/>
      <c r="L1734" s="44" t="str" cm="1">
        <f t="array" ref="L1734">+_xlfn.IFS(COUNTIF(INGRESOS!E:E,Tabla6[[#This Row],[ID FACTURA]])=1,"PAGADA",Tabla6[[#This Row],[ID FACTURA]]&lt;&gt;0,"EMITIDA",Tabla6[[#This Row],[ID FACTURA]]=0,"POR EMITIR")</f>
        <v>POR EMITIR</v>
      </c>
      <c r="M1734" s="55" t="str">
        <f>+IF(Tabla6[[#This Row],[ESTADO FACTURA]]="PAGADA",Tabla6[[#This Row],[FECHA]]-_xlfn.XLOOKUP(Tabla6[[#This Row],[N° FACTURA]],INGRESOS!F:F,INGRESOS!A:A),"-")</f>
        <v>-</v>
      </c>
      <c r="N1734" s="2"/>
      <c r="O1734"/>
    </row>
    <row r="1735" spans="1:15" ht="14.75" customHeight="1">
      <c r="A1735" s="320" t="s">
        <v>1674</v>
      </c>
      <c r="B1735" t="str">
        <f>+_xlfn.XLOOKUP(Tabla6[[#This Row],[ID CLIENTE]],'RESUMEN CLIENTES'!D:D,'RESUMEN CLIENTES'!A:A)</f>
        <v>Diego Alberto Ruiz Cifuentes</v>
      </c>
      <c r="C1735" t="str">
        <f>+_xlfn.XLOOKUP(Tabla6[[#This Row],[ID CLIENTE]],'RESUMEN CLIENTES'!D:D,'RESUMEN CLIENTES'!C:C)</f>
        <v>Chile</v>
      </c>
      <c r="D1735" s="169" t="str">
        <f>+_xlfn.XLOOKUP(Tabla6[[#This Row],[ID CLIENTE]],'RESUMEN CLIENTES'!D:D,'RESUMEN CLIENTES'!M:M)</f>
        <v>OK</v>
      </c>
      <c r="E1735" s="71">
        <f>+_xlfn.XLOOKUP(Tabla6[[#This Row],[NOMBRE]],'RESUMEN CLIENTES'!A:A,'RESUMEN CLIENTES'!X:X)</f>
        <v>5.75</v>
      </c>
      <c r="F1735" s="71">
        <f>+_xlfn.XLOOKUP(Tabla6[[#This Row],[ID CLIENTE]],'RESUMEN CLIENTES'!D:D,'RESUMEN CLIENTES'!W:W)</f>
        <v>0</v>
      </c>
      <c r="G1735" s="17">
        <f>IF($H1735&lt;&gt;"ALEM","",IFERROR(
  DATE(
    YEAR(EDATE(
      _xlfn.XLOOKUP($A1735,'RESUMEN CLIENTES'!$D:$D,'RESUMEN CLIENTES'!$Y:$Y,""),
      7 + COUNTIFS(
            $A$2:INDEX($A:$A,ROW()), $A1735,
            $H$2:INDEX($H:$H,ROW()), "ALEM"
          )
    )),
    MONTH(EDATE(
      _xlfn.XLOOKUP($A1735,'RESUMEN CLIENTES'!$D:$D,'RESUMEN CLIENTES'!$Y:$Y,""),
      7 + COUNTIFS(
            $A$2:INDEX($A:$A,ROW()), $A1735,
            $H$2:INDEX($H:$H,ROW()), "ALEM"
          )
    )),
    1
  ),
"SIN FECHA MIG"))</f>
        <v>46296</v>
      </c>
      <c r="H1735" s="169" t="s">
        <v>1876</v>
      </c>
      <c r="I1735" s="2">
        <v>800</v>
      </c>
      <c r="J1735"/>
      <c r="K1735"/>
      <c r="L1735" s="44" t="str" cm="1">
        <f t="array" ref="L1735">+_xlfn.IFS(COUNTIF(INGRESOS!E:E,Tabla6[[#This Row],[ID FACTURA]])=1,"PAGADA",Tabla6[[#This Row],[ID FACTURA]]&lt;&gt;0,"EMITIDA",Tabla6[[#This Row],[ID FACTURA]]=0,"POR EMITIR")</f>
        <v>POR EMITIR</v>
      </c>
      <c r="M1735" s="55" t="str">
        <f>+IF(Tabla6[[#This Row],[ESTADO FACTURA]]="PAGADA",Tabla6[[#This Row],[FECHA]]-_xlfn.XLOOKUP(Tabla6[[#This Row],[N° FACTURA]],INGRESOS!F:F,INGRESOS!A:A),"-")</f>
        <v>-</v>
      </c>
      <c r="N1735" s="2"/>
      <c r="O1735"/>
    </row>
    <row r="1736" spans="1:15" ht="14.75" customHeight="1">
      <c r="A1736" s="320" t="s">
        <v>194</v>
      </c>
      <c r="B1736" t="str">
        <f>+_xlfn.XLOOKUP(Tabla6[[#This Row],[ID CLIENTE]],'RESUMEN CLIENTES'!D:D,'RESUMEN CLIENTES'!A:A)</f>
        <v>Dinorah Gómez Castellanos</v>
      </c>
      <c r="C1736" t="str">
        <f>+_xlfn.XLOOKUP(Tabla6[[#This Row],[ID CLIENTE]],'RESUMEN CLIENTES'!D:D,'RESUMEN CLIENTES'!C:C)</f>
        <v>México</v>
      </c>
      <c r="D1736" s="44" t="str">
        <f>+_xlfn.XLOOKUP(Tabla6[[#This Row],[ID CLIENTE]],'RESUMEN CLIENTES'!D:D,'RESUMEN CLIENTES'!M:M)</f>
        <v>OK</v>
      </c>
      <c r="E1736" s="72">
        <f>+_xlfn.XLOOKUP(Tabla6[[#This Row],[NOMBRE]],'RESUMEN CLIENTES'!A:A,'RESUMEN CLIENTES'!X:X)</f>
        <v>2.75</v>
      </c>
      <c r="F1736" s="72">
        <f>+_xlfn.XLOOKUP(Tabla6[[#This Row],[ID CLIENTE]],'RESUMEN CLIENTES'!D:D,'RESUMEN CLIENTES'!W:W)</f>
        <v>0</v>
      </c>
      <c r="G1736" s="17">
        <f>IF($H1736&lt;&gt;"ALEM","",IFERROR(
  DATE(
    YEAR(EDATE(
      _xlfn.XLOOKUP($A1736,'RESUMEN CLIENTES'!$D:$D,'RESUMEN CLIENTES'!$Y:$Y,""),
      7 + COUNTIFS(
            $A$2:INDEX($A:$A,ROW()), $A1736,
            $H$2:INDEX($H:$H,ROW()), "ALEM"
          )
    )),
    MONTH(EDATE(
      _xlfn.XLOOKUP($A1736,'RESUMEN CLIENTES'!$D:$D,'RESUMEN CLIENTES'!$Y:$Y,""),
      7 + COUNTIFS(
            $A$2:INDEX($A:$A,ROW()), $A1736,
            $H$2:INDEX($H:$H,ROW()), "ALEM"
          )
    )),
    1
  ),
"SIN FECHA MIG"))</f>
        <v>46296</v>
      </c>
      <c r="H1736" s="44" t="s">
        <v>1876</v>
      </c>
      <c r="I1736" s="2">
        <v>900</v>
      </c>
      <c r="J1736"/>
      <c r="K1736"/>
      <c r="L1736" s="44" t="str" cm="1">
        <f t="array" ref="L1736">+_xlfn.IFS(COUNTIF(INGRESOS!E:E,Tabla6[[#This Row],[ID FACTURA]])=1,"PAGADA",Tabla6[[#This Row],[ID FACTURA]]&lt;&gt;0,"EMITIDA",Tabla6[[#This Row],[ID FACTURA]]=0,"POR EMITIR")</f>
        <v>POR EMITIR</v>
      </c>
      <c r="M1736" s="55" t="str">
        <f>+IF(Tabla6[[#This Row],[ESTADO FACTURA]]="PAGADA",Tabla6[[#This Row],[FECHA]]-_xlfn.XLOOKUP(Tabla6[[#This Row],[N° FACTURA]],INGRESOS!F:F,INGRESOS!A:A),"-")</f>
        <v>-</v>
      </c>
      <c r="N1736" s="2"/>
      <c r="O1736" t="s">
        <v>2086</v>
      </c>
    </row>
    <row r="1737" spans="1:15" ht="14.75" customHeight="1">
      <c r="A1737" s="320" t="s">
        <v>739</v>
      </c>
      <c r="B1737" t="str">
        <f>+_xlfn.XLOOKUP(Tabla6[[#This Row],[ID CLIENTE]],'RESUMEN CLIENTES'!D:D,'RESUMEN CLIENTES'!A:A)</f>
        <v>Gilberto Martiñon Torres</v>
      </c>
      <c r="C1737" t="str">
        <f>+_xlfn.XLOOKUP(Tabla6[[#This Row],[ID CLIENTE]],'RESUMEN CLIENTES'!D:D,'RESUMEN CLIENTES'!C:C)</f>
        <v>México</v>
      </c>
      <c r="D1737" s="44" t="str">
        <f>+_xlfn.XLOOKUP(Tabla6[[#This Row],[ID CLIENTE]],'RESUMEN CLIENTES'!D:D,'RESUMEN CLIENTES'!M:M)</f>
        <v>OK</v>
      </c>
      <c r="E1737" s="72">
        <f>+_xlfn.XLOOKUP(Tabla6[[#This Row],[NOMBRE]],'RESUMEN CLIENTES'!A:A,'RESUMEN CLIENTES'!X:X)</f>
        <v>-0.625</v>
      </c>
      <c r="F1737" s="72">
        <f>+_xlfn.XLOOKUP(Tabla6[[#This Row],[ID CLIENTE]],'RESUMEN CLIENTES'!D:D,'RESUMEN CLIENTES'!W:W)</f>
        <v>0</v>
      </c>
      <c r="G1737" s="17">
        <f>IF($H1737&lt;&gt;"ALEM","",IFERROR(
  DATE(
    YEAR(EDATE(
      _xlfn.XLOOKUP($A1737,'RESUMEN CLIENTES'!$D:$D,'RESUMEN CLIENTES'!$Y:$Y,""),
      7 + COUNTIFS(
            $A$2:INDEX($A:$A,ROW()), $A1737,
            $H$2:INDEX($H:$H,ROW()), "ALEM"
          )
    )),
    MONTH(EDATE(
      _xlfn.XLOOKUP($A1737,'RESUMEN CLIENTES'!$D:$D,'RESUMEN CLIENTES'!$Y:$Y,""),
      7 + COUNTIFS(
            $A$2:INDEX($A:$A,ROW()), $A1737,
            $H$2:INDEX($H:$H,ROW()), "ALEM"
          )
    )),
    1
  ),
"SIN FECHA MIG"))</f>
        <v>46296</v>
      </c>
      <c r="H1737" s="44" t="s">
        <v>1876</v>
      </c>
      <c r="I1737" s="2">
        <v>1000</v>
      </c>
      <c r="J1737"/>
      <c r="K1737"/>
      <c r="L1737" s="44" t="str" cm="1">
        <f t="array" ref="L1737">+_xlfn.IFS(COUNTIF(INGRESOS!E:E,Tabla6[[#This Row],[ID FACTURA]])=1,"PAGADA",Tabla6[[#This Row],[ID FACTURA]]&lt;&gt;0,"EMITIDA",Tabla6[[#This Row],[ID FACTURA]]=0,"POR EMITIR")</f>
        <v>POR EMITIR</v>
      </c>
      <c r="M1737" s="55" t="str">
        <f>+IF(Tabla6[[#This Row],[ESTADO FACTURA]]="PAGADA",Tabla6[[#This Row],[FECHA]]-_xlfn.XLOOKUP(Tabla6[[#This Row],[N° FACTURA]],INGRESOS!F:F,INGRESOS!A:A),"-")</f>
        <v>-</v>
      </c>
      <c r="N1737" s="2"/>
      <c r="O1737" t="s">
        <v>2084</v>
      </c>
    </row>
    <row r="1738" spans="1:15" ht="14.75" customHeight="1">
      <c r="A1738" s="320" t="s">
        <v>1428</v>
      </c>
      <c r="B1738" t="str">
        <f>+_xlfn.XLOOKUP(Tabla6[[#This Row],[ID CLIENTE]],'RESUMEN CLIENTES'!D:D,'RESUMEN CLIENTES'!A:A)</f>
        <v>Javier Bravo Castelo</v>
      </c>
      <c r="C1738" t="str">
        <f>+_xlfn.XLOOKUP(Tabla6[[#This Row],[ID CLIENTE]],'RESUMEN CLIENTES'!D:D,'RESUMEN CLIENTES'!C:C)</f>
        <v>Colombia</v>
      </c>
      <c r="D1738" s="44" t="str">
        <f>+_xlfn.XLOOKUP(Tabla6[[#This Row],[ID CLIENTE]],'RESUMEN CLIENTES'!D:D,'RESUMEN CLIENTES'!M:M)</f>
        <v>OK</v>
      </c>
      <c r="E1738" s="71">
        <f>+_xlfn.XLOOKUP(Tabla6[[#This Row],[NOMBRE]],'RESUMEN CLIENTES'!A:A,'RESUMEN CLIENTES'!X:X)</f>
        <v>-0.33333333333333331</v>
      </c>
      <c r="F1738" s="71">
        <f>+_xlfn.XLOOKUP(Tabla6[[#This Row],[ID CLIENTE]],'RESUMEN CLIENTES'!D:D,'RESUMEN CLIENTES'!W:W)</f>
        <v>0</v>
      </c>
      <c r="G1738" s="17">
        <f>IF($H1738&lt;&gt;"ALEM","",IFERROR(
  DATE(
    YEAR(EDATE(
      _xlfn.XLOOKUP($A1738,'RESUMEN CLIENTES'!$D:$D,'RESUMEN CLIENTES'!$Y:$Y,""),
      7 + COUNTIFS(
            $A$2:INDEX($A:$A,ROW()), $A1738,
            $H$2:INDEX($H:$H,ROW()), "ALEM"
          )
    )),
    MONTH(EDATE(
      _xlfn.XLOOKUP($A1738,'RESUMEN CLIENTES'!$D:$D,'RESUMEN CLIENTES'!$Y:$Y,""),
      7 + COUNTIFS(
            $A$2:INDEX($A:$A,ROW()), $A1738,
            $H$2:INDEX($H:$H,ROW()), "ALEM"
          )
    )),
    1
  ),
"SIN FECHA MIG"))</f>
        <v>46296</v>
      </c>
      <c r="H1738" s="169" t="s">
        <v>1876</v>
      </c>
      <c r="I1738" s="2">
        <v>800</v>
      </c>
      <c r="J1738"/>
      <c r="K1738"/>
      <c r="L1738" s="44" t="str" cm="1">
        <f t="array" ref="L1738">+_xlfn.IFS(COUNTIF(INGRESOS!E:E,Tabla6[[#This Row],[ID FACTURA]])=1,"PAGADA",Tabla6[[#This Row],[ID FACTURA]]&lt;&gt;0,"EMITIDA",Tabla6[[#This Row],[ID FACTURA]]=0,"POR EMITIR")</f>
        <v>POR EMITIR</v>
      </c>
      <c r="M1738" s="55" t="str">
        <f>+IF(Tabla6[[#This Row],[ESTADO FACTURA]]="PAGADA",Tabla6[[#This Row],[FECHA]]-_xlfn.XLOOKUP(Tabla6[[#This Row],[N° FACTURA]],INGRESOS!F:F,INGRESOS!A:A),"-")</f>
        <v>-</v>
      </c>
      <c r="N1738" s="2"/>
      <c r="O1738" t="s">
        <v>2084</v>
      </c>
    </row>
    <row r="1739" spans="1:15" ht="14.75" customHeight="1">
      <c r="A1739" s="321" t="s">
        <v>1899</v>
      </c>
      <c r="B1739" t="str">
        <f>+_xlfn.XLOOKUP(Tabla6[[#This Row],[ID CLIENTE]],'RESUMEN CLIENTES'!D:D,'RESUMEN CLIENTES'!A:A)</f>
        <v>Johan Martínez</v>
      </c>
      <c r="C1739" t="str">
        <f>+_xlfn.XLOOKUP(Tabla6[[#This Row],[ID CLIENTE]],'RESUMEN CLIENTES'!D:D,'RESUMEN CLIENTES'!C:C)</f>
        <v>Colombia</v>
      </c>
      <c r="D1739" s="169" t="str">
        <f>+_xlfn.XLOOKUP(Tabla6[[#This Row],[ID CLIENTE]],'RESUMEN CLIENTES'!D:D,'RESUMEN CLIENTES'!M:M)</f>
        <v>OK</v>
      </c>
      <c r="E1739" s="71">
        <f>+_xlfn.XLOOKUP(Tabla6[[#This Row],[NOMBRE]],'RESUMEN CLIENTES'!A:A,'RESUMEN CLIENTES'!X:X)</f>
        <v>-0.66666666666666663</v>
      </c>
      <c r="F1739" s="71">
        <f>+_xlfn.XLOOKUP(Tabla6[[#This Row],[ID CLIENTE]],'RESUMEN CLIENTES'!D:D,'RESUMEN CLIENTES'!W:W)</f>
        <v>0</v>
      </c>
      <c r="G1739" s="17">
        <v>46296</v>
      </c>
      <c r="H1739" s="169" t="s">
        <v>81</v>
      </c>
      <c r="I1739" s="2">
        <v>1000</v>
      </c>
      <c r="J1739"/>
      <c r="K1739"/>
      <c r="L1739" s="44" t="str" cm="1">
        <f t="array" ref="L1739">+_xlfn.IFS(COUNTIF(INGRESOS!E:E,Tabla6[[#This Row],[ID FACTURA]])=1,"PAGADA",Tabla6[[#This Row],[ID FACTURA]]&lt;&gt;0,"EMITIDA",Tabla6[[#This Row],[ID FACTURA]]=0,"POR EMITIR")</f>
        <v>POR EMITIR</v>
      </c>
      <c r="M1739" s="54" t="str">
        <f>+IF(Tabla6[[#This Row],[ESTADO FACTURA]]="PAGADA",Tabla6[[#This Row],[FECHA]]-_xlfn.XLOOKUP(Tabla6[[#This Row],[N° FACTURA]],INGRESOS!F:F,INGRESOS!A:A),"-")</f>
        <v>-</v>
      </c>
      <c r="O1739"/>
    </row>
    <row r="1740" spans="1:15" ht="14.75" customHeight="1">
      <c r="A1740" s="320" t="s">
        <v>333</v>
      </c>
      <c r="B1740" t="str">
        <f>+_xlfn.XLOOKUP(Tabla6[[#This Row],[ID CLIENTE]],'RESUMEN CLIENTES'!D:D,'RESUMEN CLIENTES'!A:A)</f>
        <v>Jorge Augusto Cámbara Vargas</v>
      </c>
      <c r="C1740" t="str">
        <f>+_xlfn.XLOOKUP(Tabla6[[#This Row],[ID CLIENTE]],'RESUMEN CLIENTES'!D:D,'RESUMEN CLIENTES'!C:C)</f>
        <v>Guatemala</v>
      </c>
      <c r="D1740" s="44" t="str">
        <f>+_xlfn.XLOOKUP(Tabla6[[#This Row],[ID CLIENTE]],'RESUMEN CLIENTES'!D:D,'RESUMEN CLIENTES'!M:M)</f>
        <v>OK</v>
      </c>
      <c r="E1740" s="72">
        <f>+_xlfn.XLOOKUP(Tabla6[[#This Row],[NOMBRE]],'RESUMEN CLIENTES'!A:A,'RESUMEN CLIENTES'!X:X)</f>
        <v>0.1157407407331953</v>
      </c>
      <c r="F1740" s="72">
        <f>+_xlfn.XLOOKUP(Tabla6[[#This Row],[ID CLIENTE]],'RESUMEN CLIENTES'!D:D,'RESUMEN CLIENTES'!W:W)</f>
        <v>1</v>
      </c>
      <c r="G1740" s="17">
        <f>IF($H1740&lt;&gt;"ALEM","",IFERROR(
  DATE(
    YEAR(EDATE(
      _xlfn.XLOOKUP($A1740,'RESUMEN CLIENTES'!$D:$D,'RESUMEN CLIENTES'!$Y:$Y,""),
      7 + COUNTIFS(
            $A$2:INDEX($A:$A,ROW()), $A1740,
            $H$2:INDEX($H:$H,ROW()), "ALEM"
          )
    )),
    MONTH(EDATE(
      _xlfn.XLOOKUP($A1740,'RESUMEN CLIENTES'!$D:$D,'RESUMEN CLIENTES'!$Y:$Y,""),
      7 + COUNTIFS(
            $A$2:INDEX($A:$A,ROW()), $A1740,
            $H$2:INDEX($H:$H,ROW()), "ALEM"
          )
    )),
    1
  ),
"SIN FECHA MIG"))</f>
        <v>46296</v>
      </c>
      <c r="H1740" s="44" t="s">
        <v>1876</v>
      </c>
      <c r="I1740" s="2">
        <f>900-Tabla6[[#This Row],[DCTO DOC]]</f>
        <v>876</v>
      </c>
      <c r="J1740"/>
      <c r="K1740"/>
      <c r="L1740" s="44" t="str" cm="1">
        <f t="array" ref="L1740">+_xlfn.IFS(COUNTIF(INGRESOS!E:E,Tabla6[[#This Row],[ID FACTURA]])=1,"PAGADA",Tabla6[[#This Row],[ID FACTURA]]&lt;&gt;0,"EMITIDA",Tabla6[[#This Row],[ID FACTURA]]=0,"POR EMITIR")</f>
        <v>POR EMITIR</v>
      </c>
      <c r="M1740" s="55" t="str">
        <f>+IF(Tabla6[[#This Row],[ESTADO FACTURA]]="PAGADA",Tabla6[[#This Row],[FECHA]]-_xlfn.XLOOKUP(Tabla6[[#This Row],[N° FACTURA]],INGRESOS!F:F,INGRESOS!A:A),"-")</f>
        <v>-</v>
      </c>
      <c r="N1740" s="2">
        <v>24</v>
      </c>
      <c r="O1740"/>
    </row>
    <row r="1741" spans="1:15" ht="14.75" customHeight="1">
      <c r="A1741" s="320" t="s">
        <v>87</v>
      </c>
      <c r="B1741" t="str">
        <f>+_xlfn.XLOOKUP(Tabla6[[#This Row],[ID CLIENTE]],'RESUMEN CLIENTES'!D:D,'RESUMEN CLIENTES'!A:A)</f>
        <v>Jose Marcelo Marroquín Guzmán</v>
      </c>
      <c r="C1741" t="str">
        <f>+_xlfn.XLOOKUP(Tabla6[[#This Row],[ID CLIENTE]],'RESUMEN CLIENTES'!D:D,'RESUMEN CLIENTES'!C:C)</f>
        <v>El Salvador</v>
      </c>
      <c r="D1741" s="44" t="str">
        <f>+_xlfn.XLOOKUP(Tabla6[[#This Row],[ID CLIENTE]],'RESUMEN CLIENTES'!D:D,'RESUMEN CLIENTES'!M:M)</f>
        <v>OK</v>
      </c>
      <c r="E1741" s="72">
        <f>+_xlfn.XLOOKUP(Tabla6[[#This Row],[NOMBRE]],'RESUMEN CLIENTES'!A:A,'RESUMEN CLIENTES'!X:X)</f>
        <v>-1.5833333333333333</v>
      </c>
      <c r="F1741" s="72">
        <f>+_xlfn.XLOOKUP(Tabla6[[#This Row],[ID CLIENTE]],'RESUMEN CLIENTES'!D:D,'RESUMEN CLIENTES'!W:W)</f>
        <v>1</v>
      </c>
      <c r="G1741" s="17">
        <f>IF($H1741&lt;&gt;"ALEM","",IFERROR(
  DATE(
    YEAR(EDATE(
      _xlfn.XLOOKUP($A1741,'RESUMEN CLIENTES'!$D:$D,'RESUMEN CLIENTES'!$Y:$Y,""),
      7 + COUNTIFS(
            $A$2:INDEX($A:$A,ROW()), $A1741,
            $H$2:INDEX($H:$H,ROW()), "ALEM"
          )
    )),
    MONTH(EDATE(
      _xlfn.XLOOKUP($A1741,'RESUMEN CLIENTES'!$D:$D,'RESUMEN CLIENTES'!$Y:$Y,""),
      7 + COUNTIFS(
            $A$2:INDEX($A:$A,ROW()), $A1741,
            $H$2:INDEX($H:$H,ROW()), "ALEM"
          )
    )),
    1
  ),
"SIN FECHA MIG"))</f>
        <v>46296</v>
      </c>
      <c r="H1741" s="44" t="s">
        <v>1876</v>
      </c>
      <c r="I1741" s="2">
        <v>500</v>
      </c>
      <c r="J1741"/>
      <c r="K1741"/>
      <c r="L1741" s="44" t="str" cm="1">
        <f t="array" ref="L1741">+_xlfn.IFS(COUNTIF(INGRESOS!E:E,Tabla6[[#This Row],[ID FACTURA]])=1,"PAGADA",Tabla6[[#This Row],[ID FACTURA]]&lt;&gt;0,"EMITIDA",Tabla6[[#This Row],[ID FACTURA]]=0,"POR EMITIR")</f>
        <v>POR EMITIR</v>
      </c>
      <c r="M1741" s="55" t="str">
        <f>+IF(Tabla6[[#This Row],[ESTADO FACTURA]]="PAGADA",Tabla6[[#This Row],[FECHA]]-_xlfn.XLOOKUP(Tabla6[[#This Row],[N° FACTURA]],INGRESOS!F:F,INGRESOS!A:A),"-")</f>
        <v>-</v>
      </c>
      <c r="N1741" s="2"/>
      <c r="O1741" t="s">
        <v>2085</v>
      </c>
    </row>
    <row r="1742" spans="1:15" ht="14.75" customHeight="1">
      <c r="A1742" s="320" t="s">
        <v>955</v>
      </c>
      <c r="B1742" t="str">
        <f>+_xlfn.XLOOKUP(Tabla6[[#This Row],[ID CLIENTE]],'RESUMEN CLIENTES'!D:D,'RESUMEN CLIENTES'!A:A)</f>
        <v>Judith Elizabeth Lopez Sanchez</v>
      </c>
      <c r="C1742" t="str">
        <f>+_xlfn.XLOOKUP(Tabla6[[#This Row],[ID CLIENTE]],'RESUMEN CLIENTES'!D:D,'RESUMEN CLIENTES'!C:C)</f>
        <v>Perú</v>
      </c>
      <c r="D1742" s="44" t="str">
        <f>+_xlfn.XLOOKUP(Tabla6[[#This Row],[ID CLIENTE]],'RESUMEN CLIENTES'!D:D,'RESUMEN CLIENTES'!M:M)</f>
        <v>OK</v>
      </c>
      <c r="E1742" s="72">
        <f>+_xlfn.XLOOKUP(Tabla6[[#This Row],[NOMBRE]],'RESUMEN CLIENTES'!A:A,'RESUMEN CLIENTES'!X:X)</f>
        <v>0.2857142857142857</v>
      </c>
      <c r="F1742" s="72">
        <f>+_xlfn.XLOOKUP(Tabla6[[#This Row],[ID CLIENTE]],'RESUMEN CLIENTES'!D:D,'RESUMEN CLIENTES'!W:W)</f>
        <v>1</v>
      </c>
      <c r="G1742" s="17">
        <f>IF($H1742&lt;&gt;"ALEM","",IFERROR(
  DATE(
    YEAR(EDATE(
      _xlfn.XLOOKUP($A1742,'RESUMEN CLIENTES'!$D:$D,'RESUMEN CLIENTES'!$Y:$Y,""),
      7 + COUNTIFS(
            $A$2:INDEX($A:$A,ROW()), $A1742,
            $H$2:INDEX($H:$H,ROW()), "ALEM"
          )
    )),
    MONTH(EDATE(
      _xlfn.XLOOKUP($A1742,'RESUMEN CLIENTES'!$D:$D,'RESUMEN CLIENTES'!$Y:$Y,""),
      7 + COUNTIFS(
            $A$2:INDEX($A:$A,ROW()), $A1742,
            $H$2:INDEX($H:$H,ROW()), "ALEM"
          )
    )),
    1
  ),
"SIN FECHA MIG"))</f>
        <v>46296</v>
      </c>
      <c r="H1742" s="44" t="s">
        <v>1876</v>
      </c>
      <c r="I1742" s="2">
        <v>1000</v>
      </c>
      <c r="J1742"/>
      <c r="K1742"/>
      <c r="L1742" s="44" t="str" cm="1">
        <f t="array" ref="L1742">+_xlfn.IFS(COUNTIF(INGRESOS!E:E,Tabla6[[#This Row],[ID FACTURA]])=1,"PAGADA",Tabla6[[#This Row],[ID FACTURA]]&lt;&gt;0,"EMITIDA",Tabla6[[#This Row],[ID FACTURA]]=0,"POR EMITIR")</f>
        <v>POR EMITIR</v>
      </c>
      <c r="M1742" s="55" t="str">
        <f>+IF(Tabla6[[#This Row],[ESTADO FACTURA]]="PAGADA",Tabla6[[#This Row],[FECHA]]-_xlfn.XLOOKUP(Tabla6[[#This Row],[N° FACTURA]],INGRESOS!F:F,INGRESOS!A:A),"-")</f>
        <v>-</v>
      </c>
      <c r="N1742" s="2"/>
      <c r="O1742" t="s">
        <v>2084</v>
      </c>
    </row>
    <row r="1743" spans="1:15" ht="14.75" customHeight="1">
      <c r="A1743" s="320" t="s">
        <v>468</v>
      </c>
      <c r="B1743" t="str">
        <f>+_xlfn.XLOOKUP(Tabla6[[#This Row],[ID CLIENTE]],'RESUMEN CLIENTES'!D:D,'RESUMEN CLIENTES'!A:A)</f>
        <v>Julian Medina</v>
      </c>
      <c r="C1743" t="str">
        <f>+_xlfn.XLOOKUP(Tabla6[[#This Row],[ID CLIENTE]],'RESUMEN CLIENTES'!D:D,'RESUMEN CLIENTES'!C:C)</f>
        <v>Ecuador</v>
      </c>
      <c r="D1743" s="44" t="str">
        <f>+_xlfn.XLOOKUP(Tabla6[[#This Row],[ID CLIENTE]],'RESUMEN CLIENTES'!D:D,'RESUMEN CLIENTES'!M:M)</f>
        <v>OK</v>
      </c>
      <c r="E1743" s="72">
        <f>+_xlfn.XLOOKUP(Tabla6[[#This Row],[NOMBRE]],'RESUMEN CLIENTES'!A:A,'RESUMEN CLIENTES'!X:X)</f>
        <v>-0.5</v>
      </c>
      <c r="F1743" s="72">
        <f>+_xlfn.XLOOKUP(Tabla6[[#This Row],[ID CLIENTE]],'RESUMEN CLIENTES'!D:D,'RESUMEN CLIENTES'!W:W)</f>
        <v>0</v>
      </c>
      <c r="G1743" s="17">
        <f>IF($H1743&lt;&gt;"ALEM","",IFERROR(
  DATE(
    YEAR(EDATE(
      _xlfn.XLOOKUP($A1743,'RESUMEN CLIENTES'!$D:$D,'RESUMEN CLIENTES'!$Y:$Y,""),
      7 + COUNTIFS(
            $A$2:INDEX($A:$A,ROW()), $A1743,
            $H$2:INDEX($H:$H,ROW()), "ALEM"
          )
    )),
    MONTH(EDATE(
      _xlfn.XLOOKUP($A1743,'RESUMEN CLIENTES'!$D:$D,'RESUMEN CLIENTES'!$Y:$Y,""),
      7 + COUNTIFS(
            $A$2:INDEX($A:$A,ROW()), $A1743,
            $H$2:INDEX($H:$H,ROW()), "ALEM"
          )
    )),
    1
  ),
"SIN FECHA MIG"))</f>
        <v>46296</v>
      </c>
      <c r="H1743" s="44" t="s">
        <v>1876</v>
      </c>
      <c r="I1743" s="2">
        <v>1000</v>
      </c>
      <c r="J1743"/>
      <c r="K1743"/>
      <c r="L1743" s="44" t="str" cm="1">
        <f t="array" ref="L1743">+_xlfn.IFS(COUNTIF(INGRESOS!E:E,Tabla6[[#This Row],[ID FACTURA]])=1,"PAGADA",Tabla6[[#This Row],[ID FACTURA]]&lt;&gt;0,"EMITIDA",Tabla6[[#This Row],[ID FACTURA]]=0,"POR EMITIR")</f>
        <v>POR EMITIR</v>
      </c>
      <c r="M1743" s="55" t="str">
        <f>+IF(Tabla6[[#This Row],[ESTADO FACTURA]]="PAGADA",Tabla6[[#This Row],[FECHA]]-_xlfn.XLOOKUP(Tabla6[[#This Row],[N° FACTURA]],INGRESOS!F:F,INGRESOS!A:A),"-")</f>
        <v>-</v>
      </c>
      <c r="N1743" s="2"/>
      <c r="O1743"/>
    </row>
    <row r="1744" spans="1:15" ht="14.75" customHeight="1">
      <c r="A1744" s="320" t="s">
        <v>587</v>
      </c>
      <c r="B1744" t="str">
        <f>+_xlfn.XLOOKUP(Tabla6[[#This Row],[ID CLIENTE]],'RESUMEN CLIENTES'!D:D,'RESUMEN CLIENTES'!A:A)</f>
        <v>Keidwin Perez</v>
      </c>
      <c r="C1744" t="str">
        <f>+_xlfn.XLOOKUP(Tabla6[[#This Row],[ID CLIENTE]],'RESUMEN CLIENTES'!D:D,'RESUMEN CLIENTES'!C:C)</f>
        <v>Colombia</v>
      </c>
      <c r="D1744" s="44" t="str">
        <f>+_xlfn.XLOOKUP(Tabla6[[#This Row],[ID CLIENTE]],'RESUMEN CLIENTES'!D:D,'RESUMEN CLIENTES'!M:M)</f>
        <v>OK</v>
      </c>
      <c r="E1744" s="72">
        <f>+_xlfn.XLOOKUP(Tabla6[[#This Row],[NOMBRE]],'RESUMEN CLIENTES'!A:A,'RESUMEN CLIENTES'!X:X)</f>
        <v>-4.25</v>
      </c>
      <c r="F1744" s="72">
        <f>+_xlfn.XLOOKUP(Tabla6[[#This Row],[ID CLIENTE]],'RESUMEN CLIENTES'!D:D,'RESUMEN CLIENTES'!W:W)</f>
        <v>1</v>
      </c>
      <c r="G1744" s="17">
        <f>IF($H1744&lt;&gt;"ALEM","",IFERROR(
  DATE(
    YEAR(EDATE(
      _xlfn.XLOOKUP($A1744,'RESUMEN CLIENTES'!$D:$D,'RESUMEN CLIENTES'!$Y:$Y,""),
      7 + COUNTIFS(
            $A$2:INDEX($A:$A,ROW()), $A1744,
            $H$2:INDEX($H:$H,ROW()), "ALEM"
          )
    )),
    MONTH(EDATE(
      _xlfn.XLOOKUP($A1744,'RESUMEN CLIENTES'!$D:$D,'RESUMEN CLIENTES'!$Y:$Y,""),
      7 + COUNTIFS(
            $A$2:INDEX($A:$A,ROW()), $A1744,
            $H$2:INDEX($H:$H,ROW()), "ALEM"
          )
    )),
    1
  ),
"SIN FECHA MIG"))</f>
        <v>46296</v>
      </c>
      <c r="H1744" s="44" t="s">
        <v>1876</v>
      </c>
      <c r="I1744" s="2">
        <v>1000</v>
      </c>
      <c r="J1744"/>
      <c r="K1744"/>
      <c r="L1744" s="44" t="str" cm="1">
        <f t="array" ref="L1744">+_xlfn.IFS(COUNTIF(INGRESOS!E:E,Tabla6[[#This Row],[ID FACTURA]])=1,"PAGADA",Tabla6[[#This Row],[ID FACTURA]]&lt;&gt;0,"EMITIDA",Tabla6[[#This Row],[ID FACTURA]]=0,"POR EMITIR")</f>
        <v>POR EMITIR</v>
      </c>
      <c r="M1744" s="55" t="str">
        <f>+IF(Tabla6[[#This Row],[ESTADO FACTURA]]="PAGADA",Tabla6[[#This Row],[FECHA]]-_xlfn.XLOOKUP(Tabla6[[#This Row],[N° FACTURA]],INGRESOS!F:F,INGRESOS!A:A),"-")</f>
        <v>-</v>
      </c>
      <c r="N1744" s="2"/>
      <c r="O1744"/>
    </row>
    <row r="1745" spans="1:15" ht="14.75" customHeight="1">
      <c r="A1745" s="320" t="s">
        <v>455</v>
      </c>
      <c r="B1745" t="str">
        <f>+_xlfn.XLOOKUP(Tabla6[[#This Row],[ID CLIENTE]],'RESUMEN CLIENTES'!D:D,'RESUMEN CLIENTES'!A:A)</f>
        <v>Paola Hitos</v>
      </c>
      <c r="C1745" t="str">
        <f>+_xlfn.XLOOKUP(Tabla6[[#This Row],[ID CLIENTE]],'RESUMEN CLIENTES'!D:D,'RESUMEN CLIENTES'!C:C)</f>
        <v>México</v>
      </c>
      <c r="D1745" s="44" t="str">
        <f>+_xlfn.XLOOKUP(Tabla6[[#This Row],[ID CLIENTE]],'RESUMEN CLIENTES'!D:D,'RESUMEN CLIENTES'!M:M)</f>
        <v>OK</v>
      </c>
      <c r="E1745" s="72">
        <f>+_xlfn.XLOOKUP(Tabla6[[#This Row],[NOMBRE]],'RESUMEN CLIENTES'!A:A,'RESUMEN CLIENTES'!X:X)</f>
        <v>-0.55555555555555558</v>
      </c>
      <c r="F1745" s="72">
        <f>+_xlfn.XLOOKUP(Tabla6[[#This Row],[ID CLIENTE]],'RESUMEN CLIENTES'!D:D,'RESUMEN CLIENTES'!W:W)</f>
        <v>1</v>
      </c>
      <c r="G1745" s="17">
        <f>IF($H1745&lt;&gt;"ALEM","",IFERROR(
  DATE(
    YEAR(EDATE(
      _xlfn.XLOOKUP($A1745,'RESUMEN CLIENTES'!$D:$D,'RESUMEN CLIENTES'!$Y:$Y,""),
      7 + COUNTIFS(
            $A$2:INDEX($A:$A,ROW()), $A1745,
            $H$2:INDEX($H:$H,ROW()), "ALEM"
          )
    )),
    MONTH(EDATE(
      _xlfn.XLOOKUP($A1745,'RESUMEN CLIENTES'!$D:$D,'RESUMEN CLIENTES'!$Y:$Y,""),
      7 + COUNTIFS(
            $A$2:INDEX($A:$A,ROW()), $A1745,
            $H$2:INDEX($H:$H,ROW()), "ALEM"
          )
    )),
    1
  ),
"SIN FECHA MIG"))</f>
        <v>46296</v>
      </c>
      <c r="H1745" s="44" t="s">
        <v>1876</v>
      </c>
      <c r="I1745" s="2">
        <v>1000</v>
      </c>
      <c r="J1745"/>
      <c r="K1745"/>
      <c r="L1745" s="44" t="str" cm="1">
        <f t="array" ref="L1745">+_xlfn.IFS(COUNTIF(INGRESOS!E:E,Tabla6[[#This Row],[ID FACTURA]])=1,"PAGADA",Tabla6[[#This Row],[ID FACTURA]]&lt;&gt;0,"EMITIDA",Tabla6[[#This Row],[ID FACTURA]]=0,"POR EMITIR")</f>
        <v>POR EMITIR</v>
      </c>
      <c r="M1745" s="55" t="str">
        <f>+IF(Tabla6[[#This Row],[ESTADO FACTURA]]="PAGADA",Tabla6[[#This Row],[FECHA]]-_xlfn.XLOOKUP(Tabla6[[#This Row],[N° FACTURA]],INGRESOS!F:F,INGRESOS!A:A),"-")</f>
        <v>-</v>
      </c>
      <c r="N1745" s="2"/>
      <c r="O1745"/>
    </row>
    <row r="1746" spans="1:15" ht="14.75" customHeight="1">
      <c r="A1746" s="320" t="s">
        <v>4442</v>
      </c>
      <c r="B1746" t="str">
        <f>+_xlfn.XLOOKUP(Tabla6[[#This Row],[ID CLIENTE]],'RESUMEN CLIENTES'!D:D,'RESUMEN CLIENTES'!A:A)</f>
        <v>Vicente Javier Campusano Banse</v>
      </c>
      <c r="C1746" t="str">
        <f>+_xlfn.XLOOKUP(Tabla6[[#This Row],[ID CLIENTE]],'RESUMEN CLIENTES'!D:D,'RESUMEN CLIENTES'!C:C)</f>
        <v>Chile</v>
      </c>
      <c r="D1746" s="169" t="str">
        <f>+_xlfn.XLOOKUP(Tabla6[[#This Row],[ID CLIENTE]],'RESUMEN CLIENTES'!D:D,'RESUMEN CLIENTES'!M:M)</f>
        <v>¡REGULARIZAR!</v>
      </c>
      <c r="E1746" s="71">
        <f>+_xlfn.XLOOKUP(Tabla6[[#This Row],[NOMBRE]],'RESUMEN CLIENTES'!A:A,'RESUMEN CLIENTES'!X:X)</f>
        <v>0</v>
      </c>
      <c r="F1746" s="71">
        <f>+_xlfn.XLOOKUP(Tabla6[[#This Row],[ID CLIENTE]],'RESUMEN CLIENTES'!D:D,'RESUMEN CLIENTES'!W:W)</f>
        <v>0</v>
      </c>
      <c r="G1746" s="428">
        <f>IF($H1746&lt;&gt;"ALEM","",IFERROR(
  DATE(
    YEAR(EDATE(
      _xlfn.XLOOKUP($A1746,'RESUMEN CLIENTES'!$D:$D,'RESUMEN CLIENTES'!$Y:$Y,""),
      7 + COUNTIFS(
            $A$2:INDEX($A:$A,ROW()), $A1746,
            $H$2:INDEX($H:$H,ROW()), "ALEM"
          )
    )),
    MONTH(EDATE(
      _xlfn.XLOOKUP($A1746,'RESUMEN CLIENTES'!$D:$D,'RESUMEN CLIENTES'!$Y:$Y,""),
      7 + COUNTIFS(
            $A$2:INDEX($A:$A,ROW()), $A1746,
            $H$2:INDEX($H:$H,ROW()), "ALEM"
          )
    )),
    1
  ),
"null"))</f>
        <v>46296</v>
      </c>
      <c r="H1746" s="169" t="s">
        <v>1876</v>
      </c>
      <c r="I1746" s="2">
        <v>750</v>
      </c>
      <c r="J1746"/>
      <c r="K1746"/>
      <c r="L1746" s="44" t="str" cm="1">
        <f t="array" ref="L1746">+_xlfn.IFS(COUNTIF(INGRESOS!E:E,Tabla6[[#This Row],[ID FACTURA]])=1,"PAGADA",Tabla6[[#This Row],[ID FACTURA]]&lt;&gt;0,"EMITIDA",Tabla6[[#This Row],[ID FACTURA]]=0,"POR EMITIR")</f>
        <v>POR EMITIR</v>
      </c>
      <c r="M1746" s="54" t="str">
        <f>+IF(Tabla6[[#This Row],[ESTADO FACTURA]]="PAGADA",Tabla6[[#This Row],[FECHA]]-_xlfn.XLOOKUP(Tabla6[[#This Row],[N° FACTURA]],INGRESOS!F:F,INGRESOS!A:A),"-")</f>
        <v>-</v>
      </c>
      <c r="O1746"/>
    </row>
    <row r="1747" spans="1:15" ht="14.75" customHeight="1">
      <c r="A1747" s="320" t="s">
        <v>6035</v>
      </c>
      <c r="B1747" t="str">
        <f>+_xlfn.XLOOKUP(Tabla6[[#This Row],[ID CLIENTE]],'RESUMEN CLIENTES'!D:D,'RESUMEN CLIENTES'!A:A)</f>
        <v>Ari Sifuentes Becerra</v>
      </c>
      <c r="C1747" s="15" t="str">
        <f>+_xlfn.XLOOKUP(Tabla6[[#This Row],[ID CLIENTE]],'RESUMEN CLIENTES'!D:D,'RESUMEN CLIENTES'!C:C)</f>
        <v>México</v>
      </c>
      <c r="D1747" s="169" t="str">
        <f>+_xlfn.XLOOKUP(Tabla6[[#This Row],[ID CLIENTE]],'RESUMEN CLIENTES'!D:D,'RESUMEN CLIENTES'!M:M)</f>
        <v>OK</v>
      </c>
      <c r="E1747" s="71">
        <f>+_xlfn.XLOOKUP(Tabla6[[#This Row],[NOMBRE]],'RESUMEN CLIENTES'!A:A,'RESUMEN CLIENTES'!X:X)</f>
        <v>-1</v>
      </c>
      <c r="F1747" s="71">
        <f>+_xlfn.XLOOKUP(Tabla6[[#This Row],[ID CLIENTE]],'RESUMEN CLIENTES'!D:D,'RESUMEN CLIENTES'!W:W)</f>
        <v>0</v>
      </c>
      <c r="G1747" s="17">
        <v>46297</v>
      </c>
      <c r="H1747" s="169" t="s">
        <v>81</v>
      </c>
      <c r="I1747" s="2">
        <v>1000</v>
      </c>
      <c r="J1747"/>
      <c r="K1747"/>
      <c r="L1747" s="44" t="str" cm="1">
        <f t="array" ref="L1747">+_xlfn.IFS(COUNTIF(INGRESOS!E:E,Tabla6[[#This Row],[ID FACTURA]])=1,"PAGADA",Tabla6[[#This Row],[ID FACTURA]]&lt;&gt;0,"EMITIDA",Tabla6[[#This Row],[ID FACTURA]]=0,"POR EMITIR")</f>
        <v>POR EMITIR</v>
      </c>
      <c r="M1747" s="54" t="str">
        <f>+IF(Tabla6[[#This Row],[ESTADO FACTURA]]="PAGADA",Tabla6[[#This Row],[FECHA]]-_xlfn.XLOOKUP(Tabla6[[#This Row],[N° FACTURA]],INGRESOS!F:F,INGRESOS!A:A),"-")</f>
        <v>-</v>
      </c>
      <c r="O1747"/>
    </row>
    <row r="1748" spans="1:15" ht="14.75" customHeight="1">
      <c r="A1748" s="320" t="s">
        <v>695</v>
      </c>
      <c r="B1748" t="str">
        <f>+_xlfn.XLOOKUP(Tabla6[[#This Row],[ID CLIENTE]],'RESUMEN CLIENTES'!D:D,'RESUMEN CLIENTES'!A:A)</f>
        <v>Olguer Ariel Pruna Herrera</v>
      </c>
      <c r="C1748" t="str">
        <f>+_xlfn.XLOOKUP(Tabla6[[#This Row],[ID CLIENTE]],'RESUMEN CLIENTES'!D:D,'RESUMEN CLIENTES'!C:C)</f>
        <v>Ecuador</v>
      </c>
      <c r="D1748" s="44" t="str">
        <f>+_xlfn.XLOOKUP(Tabla6[[#This Row],[ID CLIENTE]],'RESUMEN CLIENTES'!D:D,'RESUMEN CLIENTES'!M:M)</f>
        <v>OK</v>
      </c>
      <c r="E1748" s="72">
        <f>+_xlfn.XLOOKUP(Tabla6[[#This Row],[NOMBRE]],'RESUMEN CLIENTES'!A:A,'RESUMEN CLIENTES'!X:X)</f>
        <v>0.25</v>
      </c>
      <c r="F1748" s="72">
        <f>+_xlfn.XLOOKUP(Tabla6[[#This Row],[ID CLIENTE]],'RESUMEN CLIENTES'!D:D,'RESUMEN CLIENTES'!W:W)</f>
        <v>1</v>
      </c>
      <c r="G1748" s="17">
        <v>46297</v>
      </c>
      <c r="H1748" s="44" t="s">
        <v>81</v>
      </c>
      <c r="I1748" s="2">
        <v>1000</v>
      </c>
      <c r="J1748"/>
      <c r="K1748"/>
      <c r="L1748" s="44" t="str" cm="1">
        <f t="array" ref="L1748">+_xlfn.IFS(COUNTIF(INGRESOS!E:E,Tabla6[[#This Row],[ID FACTURA]])=1,"PAGADA",Tabla6[[#This Row],[ID FACTURA]]&lt;&gt;0,"EMITIDA",Tabla6[[#This Row],[ID FACTURA]]=0,"POR EMITIR")</f>
        <v>POR EMITIR</v>
      </c>
      <c r="M1748" s="55" t="str">
        <f>+IF(Tabla6[[#This Row],[ESTADO FACTURA]]="PAGADA",Tabla6[[#This Row],[FECHA]]-_xlfn.XLOOKUP(Tabla6[[#This Row],[N° FACTURA]],INGRESOS!F:F,INGRESOS!A:A),"-")</f>
        <v>-</v>
      </c>
      <c r="N1748" s="2"/>
      <c r="O1748"/>
    </row>
    <row r="1749" spans="1:15" ht="14.75" customHeight="1">
      <c r="A1749" s="320" t="s">
        <v>1248</v>
      </c>
      <c r="B1749" t="str">
        <f>+_xlfn.XLOOKUP(Tabla6[[#This Row],[ID CLIENTE]],'RESUMEN CLIENTES'!D:D,'RESUMEN CLIENTES'!A:A)</f>
        <v>Emily Vanessa Tapia Villalobos</v>
      </c>
      <c r="C1749" t="str">
        <f>+_xlfn.XLOOKUP(Tabla6[[#This Row],[ID CLIENTE]],'RESUMEN CLIENTES'!D:D,'RESUMEN CLIENTES'!C:C)</f>
        <v>Chile</v>
      </c>
      <c r="D1749" s="44" t="str">
        <f>+_xlfn.XLOOKUP(Tabla6[[#This Row],[ID CLIENTE]],'RESUMEN CLIENTES'!D:D,'RESUMEN CLIENTES'!M:M)</f>
        <v>OK</v>
      </c>
      <c r="E1749" s="71">
        <f>+_xlfn.XLOOKUP(Tabla6[[#This Row],[NOMBRE]],'RESUMEN CLIENTES'!A:A,'RESUMEN CLIENTES'!X:X)</f>
        <v>0.33333333333333331</v>
      </c>
      <c r="F1749" s="71">
        <f>+_xlfn.XLOOKUP(Tabla6[[#This Row],[ID CLIENTE]],'RESUMEN CLIENTES'!D:D,'RESUMEN CLIENTES'!W:W)</f>
        <v>0</v>
      </c>
      <c r="G1749" s="17">
        <v>46298</v>
      </c>
      <c r="H1749" s="44" t="s">
        <v>81</v>
      </c>
      <c r="I1749" s="2">
        <v>1000</v>
      </c>
      <c r="J1749"/>
      <c r="K1749"/>
      <c r="L1749" s="44" t="str" cm="1">
        <f t="array" ref="L1749">+_xlfn.IFS(COUNTIF(INGRESOS!E:E,Tabla6[[#This Row],[ID FACTURA]])=1,"PAGADA",Tabla6[[#This Row],[ID FACTURA]]&lt;&gt;0,"EMITIDA",Tabla6[[#This Row],[ID FACTURA]]=0,"POR EMITIR")</f>
        <v>POR EMITIR</v>
      </c>
      <c r="M1749" s="55" t="str">
        <f>+IF(Tabla6[[#This Row],[ESTADO FACTURA]]="PAGADA",Tabla6[[#This Row],[FECHA]]-_xlfn.XLOOKUP(Tabla6[[#This Row],[N° FACTURA]],INGRESOS!F:F,INGRESOS!A:A),"-")</f>
        <v>-</v>
      </c>
      <c r="N1749" s="2"/>
      <c r="O1749"/>
    </row>
    <row r="1750" spans="1:15" ht="14.75" customHeight="1">
      <c r="A1750" s="320" t="s">
        <v>1251</v>
      </c>
      <c r="B1750" t="str">
        <f>+_xlfn.XLOOKUP(Tabla6[[#This Row],[ID CLIENTE]],'RESUMEN CLIENTES'!D:D,'RESUMEN CLIENTES'!A:A)</f>
        <v>Erick Ernesto Angulo Campos</v>
      </c>
      <c r="C1750" t="str">
        <f>+_xlfn.XLOOKUP(Tabla6[[#This Row],[ID CLIENTE]],'RESUMEN CLIENTES'!D:D,'RESUMEN CLIENTES'!C:C)</f>
        <v>Chile</v>
      </c>
      <c r="D1750" s="44" t="str">
        <f>+_xlfn.XLOOKUP(Tabla6[[#This Row],[ID CLIENTE]],'RESUMEN CLIENTES'!D:D,'RESUMEN CLIENTES'!M:M)</f>
        <v>OK</v>
      </c>
      <c r="E1750" s="71">
        <f>+_xlfn.XLOOKUP(Tabla6[[#This Row],[NOMBRE]],'RESUMEN CLIENTES'!A:A,'RESUMEN CLIENTES'!X:X)</f>
        <v>-0.66666666666666663</v>
      </c>
      <c r="F1750" s="71">
        <f>+_xlfn.XLOOKUP(Tabla6[[#This Row],[ID CLIENTE]],'RESUMEN CLIENTES'!D:D,'RESUMEN CLIENTES'!W:W)</f>
        <v>0</v>
      </c>
      <c r="G1750" s="17">
        <v>46298</v>
      </c>
      <c r="H1750" s="44" t="s">
        <v>81</v>
      </c>
      <c r="I1750" s="2">
        <v>1000</v>
      </c>
      <c r="J1750"/>
      <c r="K1750"/>
      <c r="L1750" s="44" t="str" cm="1">
        <f t="array" ref="L1750">+_xlfn.IFS(COUNTIF(INGRESOS!E:E,Tabla6[[#This Row],[ID FACTURA]])=1,"PAGADA",Tabla6[[#This Row],[ID FACTURA]]&lt;&gt;0,"EMITIDA",Tabla6[[#This Row],[ID FACTURA]]=0,"POR EMITIR")</f>
        <v>POR EMITIR</v>
      </c>
      <c r="M1750" s="55" t="str">
        <f>+IF(Tabla6[[#This Row],[ESTADO FACTURA]]="PAGADA",Tabla6[[#This Row],[FECHA]]-_xlfn.XLOOKUP(Tabla6[[#This Row],[N° FACTURA]],INGRESOS!F:F,INGRESOS!A:A),"-")</f>
        <v>-</v>
      </c>
      <c r="N1750" s="2"/>
      <c r="O1750"/>
    </row>
    <row r="1751" spans="1:15" ht="14.75" customHeight="1">
      <c r="A1751" s="320" t="s">
        <v>203</v>
      </c>
      <c r="B1751" t="str">
        <f>+_xlfn.XLOOKUP(Tabla6[[#This Row],[ID CLIENTE]],'RESUMEN CLIENTES'!D:D,'RESUMEN CLIENTES'!A:A)</f>
        <v>Bernardita Lobo Zegers</v>
      </c>
      <c r="C1751" t="str">
        <f>+_xlfn.XLOOKUP(Tabla6[[#This Row],[ID CLIENTE]],'RESUMEN CLIENTES'!D:D,'RESUMEN CLIENTES'!C:C)</f>
        <v>México</v>
      </c>
      <c r="D1751" s="44" t="str">
        <f>+_xlfn.XLOOKUP(Tabla6[[#This Row],[ID CLIENTE]],'RESUMEN CLIENTES'!D:D,'RESUMEN CLIENTES'!M:M)</f>
        <v>OK</v>
      </c>
      <c r="E1751" s="72">
        <f>+_xlfn.XLOOKUP(Tabla6[[#This Row],[NOMBRE]],'RESUMEN CLIENTES'!A:A,'RESUMEN CLIENTES'!X:X)</f>
        <v>-0.8</v>
      </c>
      <c r="F1751" s="72">
        <f>+_xlfn.XLOOKUP(Tabla6[[#This Row],[ID CLIENTE]],'RESUMEN CLIENTES'!D:D,'RESUMEN CLIENTES'!W:W)</f>
        <v>1</v>
      </c>
      <c r="G1751" s="17">
        <v>46300</v>
      </c>
      <c r="H1751" s="44" t="s">
        <v>81</v>
      </c>
      <c r="I1751" s="2">
        <v>800</v>
      </c>
      <c r="J1751"/>
      <c r="K1751"/>
      <c r="L1751" s="44" t="str" cm="1">
        <f t="array" ref="L1751">+_xlfn.IFS(COUNTIF(INGRESOS!E:E,Tabla6[[#This Row],[ID FACTURA]])=1,"PAGADA",Tabla6[[#This Row],[ID FACTURA]]&lt;&gt;0,"EMITIDA",Tabla6[[#This Row],[ID FACTURA]]=0,"POR EMITIR")</f>
        <v>POR EMITIR</v>
      </c>
      <c r="M1751" s="55" t="str">
        <f>+IF(Tabla6[[#This Row],[ESTADO FACTURA]]="PAGADA",Tabla6[[#This Row],[FECHA]]-_xlfn.XLOOKUP(Tabla6[[#This Row],[N° FACTURA]],INGRESOS!F:F,INGRESOS!A:A),"-")</f>
        <v>-</v>
      </c>
      <c r="N1751" s="2"/>
      <c r="O1751"/>
    </row>
    <row r="1752" spans="1:15" ht="14.75" customHeight="1">
      <c r="A1752" s="320" t="s">
        <v>1206</v>
      </c>
      <c r="B1752" t="str">
        <f>+_xlfn.XLOOKUP(Tabla6[[#This Row],[ID CLIENTE]],'RESUMEN CLIENTES'!D:D,'RESUMEN CLIENTES'!A:A)</f>
        <v>Bryan Israel Jiménez Puente</v>
      </c>
      <c r="C1752" t="str">
        <f>+_xlfn.XLOOKUP(Tabla6[[#This Row],[ID CLIENTE]],'RESUMEN CLIENTES'!D:D,'RESUMEN CLIENTES'!C:C)</f>
        <v>Ecuador</v>
      </c>
      <c r="D1752" s="44" t="str">
        <f>+_xlfn.XLOOKUP(Tabla6[[#This Row],[ID CLIENTE]],'RESUMEN CLIENTES'!D:D,'RESUMEN CLIENTES'!M:M)</f>
        <v>OK</v>
      </c>
      <c r="E1752" s="72">
        <f>+_xlfn.XLOOKUP(Tabla6[[#This Row],[NOMBRE]],'RESUMEN CLIENTES'!A:A,'RESUMEN CLIENTES'!X:X)</f>
        <v>1</v>
      </c>
      <c r="F1752" s="72">
        <f>+_xlfn.XLOOKUP(Tabla6[[#This Row],[ID CLIENTE]],'RESUMEN CLIENTES'!D:D,'RESUMEN CLIENTES'!W:W)</f>
        <v>0</v>
      </c>
      <c r="G1752" s="17">
        <v>46300</v>
      </c>
      <c r="H1752" s="44" t="s">
        <v>81</v>
      </c>
      <c r="I1752" s="2">
        <v>1000</v>
      </c>
      <c r="J1752"/>
      <c r="K1752"/>
      <c r="L1752" s="44" t="str" cm="1">
        <f t="array" ref="L1752">+_xlfn.IFS(COUNTIF(INGRESOS!E:E,Tabla6[[#This Row],[ID FACTURA]])=1,"PAGADA",Tabla6[[#This Row],[ID FACTURA]]&lt;&gt;0,"EMITIDA",Tabla6[[#This Row],[ID FACTURA]]=0,"POR EMITIR")</f>
        <v>POR EMITIR</v>
      </c>
      <c r="M1752" s="55" t="str">
        <f>+IF(Tabla6[[#This Row],[ESTADO FACTURA]]="PAGADA",Tabla6[[#This Row],[FECHA]]-_xlfn.XLOOKUP(Tabla6[[#This Row],[N° FACTURA]],INGRESOS!F:F,INGRESOS!A:A),"-")</f>
        <v>-</v>
      </c>
      <c r="N1752" s="2"/>
      <c r="O1752"/>
    </row>
    <row r="1753" spans="1:15" ht="14.75" customHeight="1">
      <c r="A1753" s="320" t="s">
        <v>1674</v>
      </c>
      <c r="B1753" t="str">
        <f>+_xlfn.XLOOKUP(Tabla6[[#This Row],[ID CLIENTE]],'RESUMEN CLIENTES'!D:D,'RESUMEN CLIENTES'!A:A)</f>
        <v>Diego Alberto Ruiz Cifuentes</v>
      </c>
      <c r="C1753" t="str">
        <f>+_xlfn.XLOOKUP(Tabla6[[#This Row],[ID CLIENTE]],'RESUMEN CLIENTES'!D:D,'RESUMEN CLIENTES'!C:C)</f>
        <v>Chile</v>
      </c>
      <c r="D1753" s="169" t="str">
        <f>+_xlfn.XLOOKUP(Tabla6[[#This Row],[ID CLIENTE]],'RESUMEN CLIENTES'!D:D,'RESUMEN CLIENTES'!M:M)</f>
        <v>OK</v>
      </c>
      <c r="E1753" s="71">
        <f>+_xlfn.XLOOKUP(Tabla6[[#This Row],[NOMBRE]],'RESUMEN CLIENTES'!A:A,'RESUMEN CLIENTES'!X:X)</f>
        <v>5.75</v>
      </c>
      <c r="F1753" s="71">
        <f>+_xlfn.XLOOKUP(Tabla6[[#This Row],[ID CLIENTE]],'RESUMEN CLIENTES'!D:D,'RESUMEN CLIENTES'!W:W)</f>
        <v>0</v>
      </c>
      <c r="G1753" s="17">
        <v>46300</v>
      </c>
      <c r="H1753" s="169" t="s">
        <v>81</v>
      </c>
      <c r="I1753" s="2">
        <v>1000</v>
      </c>
      <c r="J1753"/>
      <c r="K1753"/>
      <c r="L1753" s="44" t="str" cm="1">
        <f t="array" ref="L1753">+_xlfn.IFS(COUNTIF(INGRESOS!E:E,Tabla6[[#This Row],[ID FACTURA]])=1,"PAGADA",Tabla6[[#This Row],[ID FACTURA]]&lt;&gt;0,"EMITIDA",Tabla6[[#This Row],[ID FACTURA]]=0,"POR EMITIR")</f>
        <v>POR EMITIR</v>
      </c>
      <c r="M1753" s="55" t="str">
        <f>+IF(Tabla6[[#This Row],[ESTADO FACTURA]]="PAGADA",Tabla6[[#This Row],[FECHA]]-_xlfn.XLOOKUP(Tabla6[[#This Row],[N° FACTURA]],INGRESOS!F:F,INGRESOS!A:A),"-")</f>
        <v>-</v>
      </c>
      <c r="N1753" s="2"/>
      <c r="O1753"/>
    </row>
    <row r="1754" spans="1:15" ht="14.75" customHeight="1">
      <c r="A1754" s="320" t="s">
        <v>2521</v>
      </c>
      <c r="B1754" t="str">
        <f>+_xlfn.XLOOKUP(Tabla6[[#This Row],[ID CLIENTE]],'RESUMEN CLIENTES'!D:D,'RESUMEN CLIENTES'!A:A)</f>
        <v>Fabián Andrés Sarmiento Auli</v>
      </c>
      <c r="C1754" t="str">
        <f>+_xlfn.XLOOKUP(Tabla6[[#This Row],[ID CLIENTE]],'RESUMEN CLIENTES'!D:D,'RESUMEN CLIENTES'!C:C)</f>
        <v>Colombia</v>
      </c>
      <c r="D1754" s="169" t="str">
        <f>+_xlfn.XLOOKUP(Tabla6[[#This Row],[ID CLIENTE]],'RESUMEN CLIENTES'!D:D,'RESUMEN CLIENTES'!M:M)</f>
        <v>OK</v>
      </c>
      <c r="E1754" s="71">
        <f>+_xlfn.XLOOKUP(Tabla6[[#This Row],[NOMBRE]],'RESUMEN CLIENTES'!A:A,'RESUMEN CLIENTES'!X:X)</f>
        <v>0</v>
      </c>
      <c r="F1754" s="71">
        <f>+_xlfn.XLOOKUP(Tabla6[[#This Row],[ID CLIENTE]],'RESUMEN CLIENTES'!D:D,'RESUMEN CLIENTES'!W:W)</f>
        <v>0</v>
      </c>
      <c r="G1754" s="17">
        <v>46300</v>
      </c>
      <c r="H1754" s="169" t="s">
        <v>81</v>
      </c>
      <c r="I1754" s="2">
        <v>911</v>
      </c>
      <c r="J1754"/>
      <c r="K1754"/>
      <c r="L1754" s="44" t="str" cm="1">
        <f t="array" ref="L1754">+_xlfn.IFS(COUNTIF(INGRESOS!E:E,Tabla6[[#This Row],[ID FACTURA]])=1,"PAGADA",Tabla6[[#This Row],[ID FACTURA]]&lt;&gt;0,"EMITIDA",Tabla6[[#This Row],[ID FACTURA]]=0,"POR EMITIR")</f>
        <v>POR EMITIR</v>
      </c>
      <c r="M1754" s="54" t="str">
        <f>+IF(Tabla6[[#This Row],[ESTADO FACTURA]]="PAGADA",Tabla6[[#This Row],[FECHA]]-_xlfn.XLOOKUP(Tabla6[[#This Row],[N° FACTURA]],INGRESOS!F:F,INGRESOS!A:A),"-")</f>
        <v>-</v>
      </c>
      <c r="O1754"/>
    </row>
    <row r="1755" spans="1:15" ht="14.75" customHeight="1">
      <c r="A1755" s="320" t="s">
        <v>787</v>
      </c>
      <c r="B1755" t="str">
        <f>+_xlfn.XLOOKUP(Tabla6[[#This Row],[ID CLIENTE]],'RESUMEN CLIENTES'!D:D,'RESUMEN CLIENTES'!A:A)</f>
        <v>Florencia Luján Sapia</v>
      </c>
      <c r="C1755" t="str">
        <f>+_xlfn.XLOOKUP(Tabla6[[#This Row],[ID CLIENTE]],'RESUMEN CLIENTES'!D:D,'RESUMEN CLIENTES'!C:C)</f>
        <v>Argentina</v>
      </c>
      <c r="D1755" s="44" t="str">
        <f>+_xlfn.XLOOKUP(Tabla6[[#This Row],[ID CLIENTE]],'RESUMEN CLIENTES'!D:D,'RESUMEN CLIENTES'!M:M)</f>
        <v>OK</v>
      </c>
      <c r="E1755" s="72">
        <f>+_xlfn.XLOOKUP(Tabla6[[#This Row],[NOMBRE]],'RESUMEN CLIENTES'!A:A,'RESUMEN CLIENTES'!X:X)</f>
        <v>-0.77777777777777779</v>
      </c>
      <c r="F1755" s="72">
        <f>+_xlfn.XLOOKUP(Tabla6[[#This Row],[ID CLIENTE]],'RESUMEN CLIENTES'!D:D,'RESUMEN CLIENTES'!W:W)</f>
        <v>1</v>
      </c>
      <c r="G1755" s="17">
        <v>46300</v>
      </c>
      <c r="H1755" s="44" t="s">
        <v>81</v>
      </c>
      <c r="I1755" s="2">
        <v>600</v>
      </c>
      <c r="J1755"/>
      <c r="K1755"/>
      <c r="L1755" s="44" t="str" cm="1">
        <f t="array" ref="L1755">+_xlfn.IFS(COUNTIF(INGRESOS!E:E,Tabla6[[#This Row],[ID FACTURA]])=1,"PAGADA",Tabla6[[#This Row],[ID FACTURA]]&lt;&gt;0,"EMITIDA",Tabla6[[#This Row],[ID FACTURA]]=0,"POR EMITIR")</f>
        <v>POR EMITIR</v>
      </c>
      <c r="M1755" s="55" t="str">
        <f>+IF(Tabla6[[#This Row],[ESTADO FACTURA]]="PAGADA",Tabla6[[#This Row],[FECHA]]-_xlfn.XLOOKUP(Tabla6[[#This Row],[N° FACTURA]],INGRESOS!F:F,INGRESOS!A:A),"-")</f>
        <v>-</v>
      </c>
      <c r="N1755" s="2"/>
      <c r="O1755"/>
    </row>
    <row r="1756" spans="1:15" ht="14.75" customHeight="1">
      <c r="A1756" s="320" t="s">
        <v>171</v>
      </c>
      <c r="B1756" t="str">
        <f>+_xlfn.XLOOKUP(Tabla6[[#This Row],[ID CLIENTE]],'RESUMEN CLIENTES'!D:D,'RESUMEN CLIENTES'!A:A)</f>
        <v>Guillermo Alfonso Garvalena Gaxiola</v>
      </c>
      <c r="C1756" t="str">
        <f>+_xlfn.XLOOKUP(Tabla6[[#This Row],[ID CLIENTE]],'RESUMEN CLIENTES'!D:D,'RESUMEN CLIENTES'!C:C)</f>
        <v>México</v>
      </c>
      <c r="D1756" s="44" t="str">
        <f>+_xlfn.XLOOKUP(Tabla6[[#This Row],[ID CLIENTE]],'RESUMEN CLIENTES'!D:D,'RESUMEN CLIENTES'!M:M)</f>
        <v>OK</v>
      </c>
      <c r="E1756" s="72">
        <f>+_xlfn.XLOOKUP(Tabla6[[#This Row],[NOMBRE]],'RESUMEN CLIENTES'!A:A,'RESUMEN CLIENTES'!X:X)</f>
        <v>1.173913043478261</v>
      </c>
      <c r="F1756" s="72">
        <f>+_xlfn.XLOOKUP(Tabla6[[#This Row],[ID CLIENTE]],'RESUMEN CLIENTES'!D:D,'RESUMEN CLIENTES'!W:W)</f>
        <v>1</v>
      </c>
      <c r="G1756" s="17">
        <v>46300</v>
      </c>
      <c r="H1756" s="44" t="s">
        <v>81</v>
      </c>
      <c r="I1756" s="2">
        <v>500</v>
      </c>
      <c r="J1756"/>
      <c r="K1756"/>
      <c r="L1756" s="44" t="str" cm="1">
        <f t="array" ref="L1756">+_xlfn.IFS(COUNTIF(INGRESOS!E:E,Tabla6[[#This Row],[ID FACTURA]])=1,"PAGADA",Tabla6[[#This Row],[ID FACTURA]]&lt;&gt;0,"EMITIDA",Tabla6[[#This Row],[ID FACTURA]]=0,"POR EMITIR")</f>
        <v>POR EMITIR</v>
      </c>
      <c r="M1756" s="55" t="str">
        <f>+IF(Tabla6[[#This Row],[ESTADO FACTURA]]="PAGADA",Tabla6[[#This Row],[FECHA]]-_xlfn.XLOOKUP(Tabla6[[#This Row],[N° FACTURA]],INGRESOS!F:F,INGRESOS!A:A),"-")</f>
        <v>-</v>
      </c>
      <c r="N1756" s="2"/>
      <c r="O1756"/>
    </row>
    <row r="1757" spans="1:15" ht="14.75" customHeight="1">
      <c r="A1757" s="320" t="s">
        <v>109</v>
      </c>
      <c r="B1757" t="str">
        <f>+_xlfn.XLOOKUP(Tabla6[[#This Row],[ID CLIENTE]],'RESUMEN CLIENTES'!D:D,'RESUMEN CLIENTES'!A:A)</f>
        <v>Ian Job Lino Durán</v>
      </c>
      <c r="C1757" t="str">
        <f>+_xlfn.XLOOKUP(Tabla6[[#This Row],[ID CLIENTE]],'RESUMEN CLIENTES'!D:D,'RESUMEN CLIENTES'!C:C)</f>
        <v>México</v>
      </c>
      <c r="D1757" s="44" t="str">
        <f>+_xlfn.XLOOKUP(Tabla6[[#This Row],[ID CLIENTE]],'RESUMEN CLIENTES'!D:D,'RESUMEN CLIENTES'!M:M)</f>
        <v>OK</v>
      </c>
      <c r="E1757" s="72">
        <f>+_xlfn.XLOOKUP(Tabla6[[#This Row],[NOMBRE]],'RESUMEN CLIENTES'!A:A,'RESUMEN CLIENTES'!X:X)</f>
        <v>0.1</v>
      </c>
      <c r="F1757" s="72">
        <f>+_xlfn.XLOOKUP(Tabla6[[#This Row],[ID CLIENTE]],'RESUMEN CLIENTES'!D:D,'RESUMEN CLIENTES'!W:W)</f>
        <v>1</v>
      </c>
      <c r="G1757" s="17">
        <v>46300</v>
      </c>
      <c r="H1757" s="44" t="s">
        <v>81</v>
      </c>
      <c r="I1757" s="2">
        <v>800</v>
      </c>
      <c r="J1757"/>
      <c r="K1757"/>
      <c r="L1757" s="44" t="str" cm="1">
        <f t="array" ref="L1757">+_xlfn.IFS(COUNTIF(INGRESOS!E:E,Tabla6[[#This Row],[ID FACTURA]])=1,"PAGADA",Tabla6[[#This Row],[ID FACTURA]]&lt;&gt;0,"EMITIDA",Tabla6[[#This Row],[ID FACTURA]]=0,"POR EMITIR")</f>
        <v>POR EMITIR</v>
      </c>
      <c r="M1757" s="55" t="str">
        <f>+IF(Tabla6[[#This Row],[ESTADO FACTURA]]="PAGADA",Tabla6[[#This Row],[FECHA]]-_xlfn.XLOOKUP(Tabla6[[#This Row],[N° FACTURA]],INGRESOS!F:F,INGRESOS!A:A),"-")</f>
        <v>-</v>
      </c>
      <c r="N1757" s="2"/>
      <c r="O1757"/>
    </row>
    <row r="1758" spans="1:15" ht="14.75" customHeight="1">
      <c r="A1758" s="320" t="s">
        <v>142</v>
      </c>
      <c r="B1758" t="str">
        <f>+_xlfn.XLOOKUP(Tabla6[[#This Row],[ID CLIENTE]],'RESUMEN CLIENTES'!D:D,'RESUMEN CLIENTES'!A:A)</f>
        <v>Jordan Eliecer Toledo Bravo</v>
      </c>
      <c r="C1758" t="str">
        <f>+_xlfn.XLOOKUP(Tabla6[[#This Row],[ID CLIENTE]],'RESUMEN CLIENTES'!D:D,'RESUMEN CLIENTES'!C:C)</f>
        <v>Chile</v>
      </c>
      <c r="D1758" s="169" t="str">
        <f>+_xlfn.XLOOKUP(Tabla6[[#This Row],[ID CLIENTE]],'RESUMEN CLIENTES'!D:D,'RESUMEN CLIENTES'!M:M)</f>
        <v>OK</v>
      </c>
      <c r="E1758" s="71">
        <f>+_xlfn.XLOOKUP(Tabla6[[#This Row],[NOMBRE]],'RESUMEN CLIENTES'!A:A,'RESUMEN CLIENTES'!X:X)</f>
        <v>-1.6153846153846154</v>
      </c>
      <c r="F1758" s="71">
        <f>+_xlfn.XLOOKUP(Tabla6[[#This Row],[ID CLIENTE]],'RESUMEN CLIENTES'!D:D,'RESUMEN CLIENTES'!W:W)</f>
        <v>0</v>
      </c>
      <c r="G1758" s="17">
        <v>46300</v>
      </c>
      <c r="H1758" s="169" t="s">
        <v>81</v>
      </c>
      <c r="I1758" s="2">
        <v>500</v>
      </c>
      <c r="J1758"/>
      <c r="K1758"/>
      <c r="L1758" s="44" t="str" cm="1">
        <f t="array" ref="L1758">+_xlfn.IFS(COUNTIF(INGRESOS!E:E,Tabla6[[#This Row],[ID FACTURA]])=1,"PAGADA",Tabla6[[#This Row],[ID FACTURA]]&lt;&gt;0,"EMITIDA",Tabla6[[#This Row],[ID FACTURA]]=0,"POR EMITIR")</f>
        <v>POR EMITIR</v>
      </c>
      <c r="M1758" s="54" t="str">
        <f>+IF(Tabla6[[#This Row],[ESTADO FACTURA]]="PAGADA",Tabla6[[#This Row],[FECHA]]-_xlfn.XLOOKUP(Tabla6[[#This Row],[N° FACTURA]],INGRESOS!F:F,INGRESOS!A:A),"-")</f>
        <v>-</v>
      </c>
      <c r="O1758"/>
    </row>
    <row r="1759" spans="1:15" ht="14.75" customHeight="1">
      <c r="A1759" s="320" t="s">
        <v>4454</v>
      </c>
      <c r="B1759" t="str">
        <f>+_xlfn.XLOOKUP(Tabla6[[#This Row],[ID CLIENTE]],'RESUMEN CLIENTES'!D:D,'RESUMEN CLIENTES'!A:A)</f>
        <v>Jose Luis Avilez Casas</v>
      </c>
      <c r="C1759" t="str">
        <f>+_xlfn.XLOOKUP(Tabla6[[#This Row],[ID CLIENTE]],'RESUMEN CLIENTES'!D:D,'RESUMEN CLIENTES'!C:C)</f>
        <v>México</v>
      </c>
      <c r="D1759" s="169" t="str">
        <f>+_xlfn.XLOOKUP(Tabla6[[#This Row],[ID CLIENTE]],'RESUMEN CLIENTES'!D:D,'RESUMEN CLIENTES'!M:M)</f>
        <v>OK</v>
      </c>
      <c r="E1759" s="71">
        <f>+_xlfn.XLOOKUP(Tabla6[[#This Row],[NOMBRE]],'RESUMEN CLIENTES'!A:A,'RESUMEN CLIENTES'!X:X)</f>
        <v>0.33333333333333331</v>
      </c>
      <c r="F1759" s="71">
        <f>+_xlfn.XLOOKUP(Tabla6[[#This Row],[ID CLIENTE]],'RESUMEN CLIENTES'!D:D,'RESUMEN CLIENTES'!W:W)</f>
        <v>0</v>
      </c>
      <c r="G1759" s="17">
        <v>46300</v>
      </c>
      <c r="H1759" s="169" t="s">
        <v>81</v>
      </c>
      <c r="I1759" s="2">
        <v>1000</v>
      </c>
      <c r="J1759"/>
      <c r="K1759"/>
      <c r="L1759" s="44" t="str" cm="1">
        <f t="array" ref="L1759">+_xlfn.IFS(COUNTIF(INGRESOS!E:E,Tabla6[[#This Row],[ID FACTURA]])=1,"PAGADA",Tabla6[[#This Row],[ID FACTURA]]&lt;&gt;0,"EMITIDA",Tabla6[[#This Row],[ID FACTURA]]=0,"POR EMITIR")</f>
        <v>POR EMITIR</v>
      </c>
      <c r="M1759" s="54" t="str">
        <f>+IF(Tabla6[[#This Row],[ESTADO FACTURA]]="PAGADA",Tabla6[[#This Row],[FECHA]]-_xlfn.XLOOKUP(Tabla6[[#This Row],[N° FACTURA]],INGRESOS!F:F,INGRESOS!A:A),"-")</f>
        <v>-</v>
      </c>
      <c r="O1759"/>
    </row>
    <row r="1760" spans="1:15" ht="14.75" customHeight="1">
      <c r="A1760" s="320" t="s">
        <v>798</v>
      </c>
      <c r="B1760" t="str">
        <f>+_xlfn.XLOOKUP(Tabla6[[#This Row],[ID CLIENTE]],'RESUMEN CLIENTES'!D:D,'RESUMEN CLIENTES'!A:A)</f>
        <v>Juan Manuel Paranzino</v>
      </c>
      <c r="C1760" t="str">
        <f>+_xlfn.XLOOKUP(Tabla6[[#This Row],[ID CLIENTE]],'RESUMEN CLIENTES'!D:D,'RESUMEN CLIENTES'!C:C)</f>
        <v>Argentina</v>
      </c>
      <c r="D1760" s="44" t="str">
        <f>+_xlfn.XLOOKUP(Tabla6[[#This Row],[ID CLIENTE]],'RESUMEN CLIENTES'!D:D,'RESUMEN CLIENTES'!M:M)</f>
        <v>OK</v>
      </c>
      <c r="E1760" s="72">
        <f>+_xlfn.XLOOKUP(Tabla6[[#This Row],[NOMBRE]],'RESUMEN CLIENTES'!A:A,'RESUMEN CLIENTES'!X:X)</f>
        <v>-1</v>
      </c>
      <c r="F1760" s="72">
        <f>+_xlfn.XLOOKUP(Tabla6[[#This Row],[ID CLIENTE]],'RESUMEN CLIENTES'!D:D,'RESUMEN CLIENTES'!W:W)</f>
        <v>0</v>
      </c>
      <c r="G1760" s="17">
        <v>46300</v>
      </c>
      <c r="H1760" s="44" t="s">
        <v>81</v>
      </c>
      <c r="I1760" s="2">
        <v>600</v>
      </c>
      <c r="J1760"/>
      <c r="K1760"/>
      <c r="L1760" s="44" t="str" cm="1">
        <f t="array" ref="L1760">+_xlfn.IFS(COUNTIF(INGRESOS!E:E,Tabla6[[#This Row],[ID FACTURA]])=1,"PAGADA",Tabla6[[#This Row],[ID FACTURA]]&lt;&gt;0,"EMITIDA",Tabla6[[#This Row],[ID FACTURA]]=0,"POR EMITIR")</f>
        <v>POR EMITIR</v>
      </c>
      <c r="M1760" s="55" t="str">
        <f>+IF(Tabla6[[#This Row],[ESTADO FACTURA]]="PAGADA",Tabla6[[#This Row],[FECHA]]-_xlfn.XLOOKUP(Tabla6[[#This Row],[N° FACTURA]],INGRESOS!F:F,INGRESOS!A:A),"-")</f>
        <v>-</v>
      </c>
      <c r="N1760" s="2"/>
      <c r="O1760"/>
    </row>
    <row r="1761" spans="1:15" ht="14.75" customHeight="1">
      <c r="A1761" s="320" t="s">
        <v>1416</v>
      </c>
      <c r="B1761" t="str">
        <f>+_xlfn.XLOOKUP(Tabla6[[#This Row],[ID CLIENTE]],'RESUMEN CLIENTES'!D:D,'RESUMEN CLIENTES'!A:A)</f>
        <v>Luis Armando Calderon Manzanera</v>
      </c>
      <c r="C1761" t="str">
        <f>+_xlfn.XLOOKUP(Tabla6[[#This Row],[ID CLIENTE]],'RESUMEN CLIENTES'!D:D,'RESUMEN CLIENTES'!C:C)</f>
        <v>México</v>
      </c>
      <c r="D1761" s="44" t="str">
        <f>+_xlfn.XLOOKUP(Tabla6[[#This Row],[ID CLIENTE]],'RESUMEN CLIENTES'!D:D,'RESUMEN CLIENTES'!M:M)</f>
        <v>OK</v>
      </c>
      <c r="E1761" s="71">
        <f>+_xlfn.XLOOKUP(Tabla6[[#This Row],[NOMBRE]],'RESUMEN CLIENTES'!A:A,'RESUMEN CLIENTES'!X:X)</f>
        <v>2</v>
      </c>
      <c r="F1761" s="71">
        <f>+_xlfn.XLOOKUP(Tabla6[[#This Row],[ID CLIENTE]],'RESUMEN CLIENTES'!D:D,'RESUMEN CLIENTES'!W:W)</f>
        <v>1</v>
      </c>
      <c r="G1761" s="17">
        <v>46300</v>
      </c>
      <c r="H1761" s="44" t="s">
        <v>81</v>
      </c>
      <c r="I1761" s="2">
        <v>650</v>
      </c>
      <c r="J1761"/>
      <c r="K1761"/>
      <c r="L1761" s="44" t="str" cm="1">
        <f t="array" ref="L1761">+_xlfn.IFS(COUNTIF(INGRESOS!E:E,Tabla6[[#This Row],[ID FACTURA]])=1,"PAGADA",Tabla6[[#This Row],[ID FACTURA]]&lt;&gt;0,"EMITIDA",Tabla6[[#This Row],[ID FACTURA]]=0,"POR EMITIR")</f>
        <v>POR EMITIR</v>
      </c>
      <c r="M1761" s="55" t="str">
        <f>+IF(Tabla6[[#This Row],[ESTADO FACTURA]]="PAGADA",Tabla6[[#This Row],[FECHA]]-_xlfn.XLOOKUP(Tabla6[[#This Row],[N° FACTURA]],INGRESOS!F:F,INGRESOS!A:A),"-")</f>
        <v>-</v>
      </c>
      <c r="N1761" s="2"/>
      <c r="O1761"/>
    </row>
    <row r="1762" spans="1:15" ht="14.75" customHeight="1">
      <c r="A1762" s="320" t="s">
        <v>703</v>
      </c>
      <c r="B1762" t="str">
        <f>+_xlfn.XLOOKUP(Tabla6[[#This Row],[ID CLIENTE]],'RESUMEN CLIENTES'!D:D,'RESUMEN CLIENTES'!A:A)</f>
        <v>Maira Paz Navas Sánchez</v>
      </c>
      <c r="C1762" t="str">
        <f>+_xlfn.XLOOKUP(Tabla6[[#This Row],[ID CLIENTE]],'RESUMEN CLIENTES'!D:D,'RESUMEN CLIENTES'!C:C)</f>
        <v>Chile</v>
      </c>
      <c r="D1762" s="44" t="str">
        <f>+_xlfn.XLOOKUP(Tabla6[[#This Row],[ID CLIENTE]],'RESUMEN CLIENTES'!D:D,'RESUMEN CLIENTES'!M:M)</f>
        <v>OK</v>
      </c>
      <c r="E1762" s="72">
        <f>+_xlfn.XLOOKUP(Tabla6[[#This Row],[NOMBRE]],'RESUMEN CLIENTES'!A:A,'RESUMEN CLIENTES'!X:X)</f>
        <v>-1.75</v>
      </c>
      <c r="F1762" s="72">
        <f>+_xlfn.XLOOKUP(Tabla6[[#This Row],[ID CLIENTE]],'RESUMEN CLIENTES'!D:D,'RESUMEN CLIENTES'!W:W)</f>
        <v>1</v>
      </c>
      <c r="G1762" s="17">
        <v>46300</v>
      </c>
      <c r="H1762" s="44" t="s">
        <v>81</v>
      </c>
      <c r="I1762" s="2">
        <v>700</v>
      </c>
      <c r="J1762"/>
      <c r="K1762"/>
      <c r="L1762" s="44" t="str" cm="1">
        <f t="array" ref="L1762">+_xlfn.IFS(COUNTIF(INGRESOS!E:E,Tabla6[[#This Row],[ID FACTURA]])=1,"PAGADA",Tabla6[[#This Row],[ID FACTURA]]&lt;&gt;0,"EMITIDA",Tabla6[[#This Row],[ID FACTURA]]=0,"POR EMITIR")</f>
        <v>POR EMITIR</v>
      </c>
      <c r="M1762" s="55" t="str">
        <f>+IF(Tabla6[[#This Row],[ESTADO FACTURA]]="PAGADA",Tabla6[[#This Row],[FECHA]]-_xlfn.XLOOKUP(Tabla6[[#This Row],[N° FACTURA]],INGRESOS!F:F,INGRESOS!A:A),"-")</f>
        <v>-</v>
      </c>
      <c r="N1762" s="2"/>
      <c r="O1762"/>
    </row>
    <row r="1763" spans="1:15" ht="14.75" customHeight="1">
      <c r="A1763" s="320" t="s">
        <v>80</v>
      </c>
      <c r="B1763" t="str">
        <f>+_xlfn.XLOOKUP(Tabla6[[#This Row],[ID CLIENTE]],'RESUMEN CLIENTES'!D:D,'RESUMEN CLIENTES'!A:A)</f>
        <v>María Fernanda Alvar Sepúlveda</v>
      </c>
      <c r="C1763" t="str">
        <f>+_xlfn.XLOOKUP(Tabla6[[#This Row],[ID CLIENTE]],'RESUMEN CLIENTES'!D:D,'RESUMEN CLIENTES'!C:C)</f>
        <v>Chile</v>
      </c>
      <c r="D1763" s="44" t="str">
        <f>+_xlfn.XLOOKUP(Tabla6[[#This Row],[ID CLIENTE]],'RESUMEN CLIENTES'!D:D,'RESUMEN CLIENTES'!M:M)</f>
        <v>OK</v>
      </c>
      <c r="E1763" s="72">
        <f>+_xlfn.XLOOKUP(Tabla6[[#This Row],[NOMBRE]],'RESUMEN CLIENTES'!A:A,'RESUMEN CLIENTES'!X:X)</f>
        <v>5</v>
      </c>
      <c r="F1763" s="71">
        <f>+_xlfn.XLOOKUP(Tabla6[[#This Row],[ID CLIENTE]],'RESUMEN CLIENTES'!D:D,'RESUMEN CLIENTES'!W:W)</f>
        <v>1</v>
      </c>
      <c r="G1763" s="17">
        <v>46300</v>
      </c>
      <c r="H1763" s="44" t="s">
        <v>81</v>
      </c>
      <c r="I1763" s="2">
        <v>800</v>
      </c>
      <c r="J1763"/>
      <c r="K1763"/>
      <c r="L1763" s="44" t="str" cm="1">
        <f t="array" ref="L1763">+_xlfn.IFS(COUNTIF(INGRESOS!E:E,Tabla6[[#This Row],[ID FACTURA]])=1,"PAGADA",Tabla6[[#This Row],[ID FACTURA]]&lt;&gt;0,"EMITIDA",Tabla6[[#This Row],[ID FACTURA]]=0,"POR EMITIR")</f>
        <v>POR EMITIR</v>
      </c>
      <c r="M1763" s="55" t="str">
        <f>+IF(Tabla6[[#This Row],[ESTADO FACTURA]]="PAGADA",Tabla6[[#This Row],[FECHA]]-_xlfn.XLOOKUP(Tabla6[[#This Row],[N° FACTURA]],INGRESOS!F:F,INGRESOS!A:A),"-")</f>
        <v>-</v>
      </c>
      <c r="N1763" s="214"/>
      <c r="O1763"/>
    </row>
    <row r="1764" spans="1:15" ht="14.75" customHeight="1">
      <c r="A1764" s="320" t="s">
        <v>1551</v>
      </c>
      <c r="B1764" t="str">
        <f>+_xlfn.XLOOKUP(Tabla6[[#This Row],[ID CLIENTE]],'RESUMEN CLIENTES'!D:D,'RESUMEN CLIENTES'!A:A)</f>
        <v>María Fernanda Cid Ramírez</v>
      </c>
      <c r="C1764" t="str">
        <f>+_xlfn.XLOOKUP(Tabla6[[#This Row],[ID CLIENTE]],'RESUMEN CLIENTES'!D:D,'RESUMEN CLIENTES'!C:C)</f>
        <v>México</v>
      </c>
      <c r="D1764" s="44" t="str">
        <f>+_xlfn.XLOOKUP(Tabla6[[#This Row],[ID CLIENTE]],'RESUMEN CLIENTES'!D:D,'RESUMEN CLIENTES'!M:M)</f>
        <v>OK</v>
      </c>
      <c r="E1764" s="71">
        <f>+_xlfn.XLOOKUP(Tabla6[[#This Row],[NOMBRE]],'RESUMEN CLIENTES'!A:A,'RESUMEN CLIENTES'!X:X)</f>
        <v>-0.8571428571428571</v>
      </c>
      <c r="F1764" s="71">
        <f>+_xlfn.XLOOKUP(Tabla6[[#This Row],[ID CLIENTE]],'RESUMEN CLIENTES'!D:D,'RESUMEN CLIENTES'!W:W)</f>
        <v>0</v>
      </c>
      <c r="G1764" s="17">
        <v>46300</v>
      </c>
      <c r="H1764" s="169" t="s">
        <v>81</v>
      </c>
      <c r="I1764" s="2">
        <v>850</v>
      </c>
      <c r="J1764"/>
      <c r="K1764"/>
      <c r="L1764" s="44" t="str" cm="1">
        <f t="array" ref="L1764">+_xlfn.IFS(COUNTIF(INGRESOS!E:E,Tabla6[[#This Row],[ID FACTURA]])=1,"PAGADA",Tabla6[[#This Row],[ID FACTURA]]&lt;&gt;0,"EMITIDA",Tabla6[[#This Row],[ID FACTURA]]=0,"POR EMITIR")</f>
        <v>POR EMITIR</v>
      </c>
      <c r="M1764" s="55" t="str">
        <f>+IF(Tabla6[[#This Row],[ESTADO FACTURA]]="PAGADA",Tabla6[[#This Row],[FECHA]]-_xlfn.XLOOKUP(Tabla6[[#This Row],[N° FACTURA]],INGRESOS!F:F,INGRESOS!A:A),"-")</f>
        <v>-</v>
      </c>
      <c r="N1764" s="2"/>
      <c r="O1764"/>
    </row>
    <row r="1765" spans="1:15" ht="14.75" customHeight="1">
      <c r="A1765" s="320" t="s">
        <v>1155</v>
      </c>
      <c r="B1765" t="str">
        <f>+_xlfn.XLOOKUP(Tabla6[[#This Row],[ID CLIENTE]],'RESUMEN CLIENTES'!D:D,'RESUMEN CLIENTES'!A:A)</f>
        <v>Mario Arciga Casián</v>
      </c>
      <c r="C1765" t="str">
        <f>+_xlfn.XLOOKUP(Tabla6[[#This Row],[ID CLIENTE]],'RESUMEN CLIENTES'!D:D,'RESUMEN CLIENTES'!C:C)</f>
        <v>México</v>
      </c>
      <c r="D1765" s="44" t="str">
        <f>+_xlfn.XLOOKUP(Tabla6[[#This Row],[ID CLIENTE]],'RESUMEN CLIENTES'!D:D,'RESUMEN CLIENTES'!M:M)</f>
        <v>OK</v>
      </c>
      <c r="E1765" s="72">
        <f>+_xlfn.XLOOKUP(Tabla6[[#This Row],[NOMBRE]],'RESUMEN CLIENTES'!A:A,'RESUMEN CLIENTES'!X:X)</f>
        <v>-0.66666666666666663</v>
      </c>
      <c r="F1765" s="72">
        <f>+_xlfn.XLOOKUP(Tabla6[[#This Row],[ID CLIENTE]],'RESUMEN CLIENTES'!D:D,'RESUMEN CLIENTES'!W:W)</f>
        <v>1</v>
      </c>
      <c r="G1765" s="17">
        <v>46300</v>
      </c>
      <c r="H1765" s="44" t="s">
        <v>81</v>
      </c>
      <c r="I1765" s="2">
        <v>1000</v>
      </c>
      <c r="J1765"/>
      <c r="K1765"/>
      <c r="L1765" s="44" t="str" cm="1">
        <f t="array" ref="L1765">+_xlfn.IFS(COUNTIF(INGRESOS!E:E,Tabla6[[#This Row],[ID FACTURA]])=1,"PAGADA",Tabla6[[#This Row],[ID FACTURA]]&lt;&gt;0,"EMITIDA",Tabla6[[#This Row],[ID FACTURA]]=0,"POR EMITIR")</f>
        <v>POR EMITIR</v>
      </c>
      <c r="M1765" s="55" t="str">
        <f>+IF(Tabla6[[#This Row],[ESTADO FACTURA]]="PAGADA",Tabla6[[#This Row],[FECHA]]-_xlfn.XLOOKUP(Tabla6[[#This Row],[N° FACTURA]],INGRESOS!F:F,INGRESOS!A:A),"-")</f>
        <v>-</v>
      </c>
      <c r="N1765" s="2"/>
      <c r="O1765"/>
    </row>
    <row r="1766" spans="1:15" ht="14.75" customHeight="1">
      <c r="A1766" s="320" t="s">
        <v>4509</v>
      </c>
      <c r="B1766" t="str">
        <f>+_xlfn.XLOOKUP(Tabla6[[#This Row],[ID CLIENTE]],'RESUMEN CLIENTES'!D:D,'RESUMEN CLIENTES'!A:A)</f>
        <v>Marisol Madeleine Ibáñez Paredes</v>
      </c>
      <c r="C1766" t="str">
        <f>+_xlfn.XLOOKUP(Tabla6[[#This Row],[ID CLIENTE]],'RESUMEN CLIENTES'!D:D,'RESUMEN CLIENTES'!C:C)</f>
        <v>Ecuador</v>
      </c>
      <c r="D1766" s="169" t="str">
        <f>+_xlfn.XLOOKUP(Tabla6[[#This Row],[ID CLIENTE]],'RESUMEN CLIENTES'!D:D,'RESUMEN CLIENTES'!M:M)</f>
        <v>OK</v>
      </c>
      <c r="E1766" s="71">
        <f>+_xlfn.XLOOKUP(Tabla6[[#This Row],[NOMBRE]],'RESUMEN CLIENTES'!A:A,'RESUMEN CLIENTES'!X:X)</f>
        <v>-3</v>
      </c>
      <c r="F1766" s="71">
        <f>+_xlfn.XLOOKUP(Tabla6[[#This Row],[ID CLIENTE]],'RESUMEN CLIENTES'!D:D,'RESUMEN CLIENTES'!W:W)</f>
        <v>0</v>
      </c>
      <c r="G1766" s="17">
        <v>46300</v>
      </c>
      <c r="H1766" s="169" t="s">
        <v>81</v>
      </c>
      <c r="I1766" s="2">
        <v>1000</v>
      </c>
      <c r="J1766"/>
      <c r="K1766"/>
      <c r="L1766" s="44" t="str" cm="1">
        <f t="array" ref="L1766">+_xlfn.IFS(COUNTIF(INGRESOS!E:E,Tabla6[[#This Row],[ID FACTURA]])=1,"PAGADA",Tabla6[[#This Row],[ID FACTURA]]&lt;&gt;0,"EMITIDA",Tabla6[[#This Row],[ID FACTURA]]=0,"POR EMITIR")</f>
        <v>POR EMITIR</v>
      </c>
      <c r="M1766" s="54" t="str">
        <f>+IF(Tabla6[[#This Row],[ESTADO FACTURA]]="PAGADA",Tabla6[[#This Row],[FECHA]]-_xlfn.XLOOKUP(Tabla6[[#This Row],[N° FACTURA]],INGRESOS!F:F,INGRESOS!A:A),"-")</f>
        <v>-</v>
      </c>
      <c r="O1766"/>
    </row>
    <row r="1767" spans="1:15" ht="14.75" customHeight="1">
      <c r="A1767" s="320" t="s">
        <v>159</v>
      </c>
      <c r="B1767" t="str">
        <f>+_xlfn.XLOOKUP(Tabla6[[#This Row],[ID CLIENTE]],'RESUMEN CLIENTES'!D:D,'RESUMEN CLIENTES'!A:A)</f>
        <v>Rodrigo Rivera Ruiz</v>
      </c>
      <c r="C1767" t="str">
        <f>+_xlfn.XLOOKUP(Tabla6[[#This Row],[ID CLIENTE]],'RESUMEN CLIENTES'!D:D,'RESUMEN CLIENTES'!C:C)</f>
        <v>Chile</v>
      </c>
      <c r="D1767" s="44" t="str">
        <f>+_xlfn.XLOOKUP(Tabla6[[#This Row],[ID CLIENTE]],'RESUMEN CLIENTES'!D:D,'RESUMEN CLIENTES'!M:M)</f>
        <v>OK</v>
      </c>
      <c r="E1767" s="72">
        <f>+_xlfn.XLOOKUP(Tabla6[[#This Row],[NOMBRE]],'RESUMEN CLIENTES'!A:A,'RESUMEN CLIENTES'!X:X)</f>
        <v>0.8</v>
      </c>
      <c r="F1767" s="72">
        <f>+_xlfn.XLOOKUP(Tabla6[[#This Row],[ID CLIENTE]],'RESUMEN CLIENTES'!D:D,'RESUMEN CLIENTES'!W:W)</f>
        <v>1</v>
      </c>
      <c r="G1767" s="17">
        <v>46300</v>
      </c>
      <c r="H1767" s="44" t="s">
        <v>81</v>
      </c>
      <c r="I1767" s="2">
        <v>800</v>
      </c>
      <c r="J1767"/>
      <c r="K1767"/>
      <c r="L1767" s="44" t="str" cm="1">
        <f t="array" ref="L1767">+_xlfn.IFS(COUNTIF(INGRESOS!E:E,Tabla6[[#This Row],[ID FACTURA]])=1,"PAGADA",Tabla6[[#This Row],[ID FACTURA]]&lt;&gt;0,"EMITIDA",Tabla6[[#This Row],[ID FACTURA]]=0,"POR EMITIR")</f>
        <v>POR EMITIR</v>
      </c>
      <c r="M1767" s="55" t="str">
        <f>+IF(Tabla6[[#This Row],[ESTADO FACTURA]]="PAGADA",Tabla6[[#This Row],[FECHA]]-_xlfn.XLOOKUP(Tabla6[[#This Row],[N° FACTURA]],INGRESOS!F:F,INGRESOS!A:A),"-")</f>
        <v>-</v>
      </c>
      <c r="N1767" s="2"/>
      <c r="O1767"/>
    </row>
    <row r="1768" spans="1:15" ht="14.75" customHeight="1">
      <c r="A1768" s="320" t="s">
        <v>281</v>
      </c>
      <c r="B1768" t="str">
        <f>+_xlfn.XLOOKUP(Tabla6[[#This Row],[ID CLIENTE]],'RESUMEN CLIENTES'!D:D,'RESUMEN CLIENTES'!A:A)</f>
        <v>Sergio Francisco Garcia Sandoval</v>
      </c>
      <c r="C1768" t="str">
        <f>+_xlfn.XLOOKUP(Tabla6[[#This Row],[ID CLIENTE]],'RESUMEN CLIENTES'!D:D,'RESUMEN CLIENTES'!C:C)</f>
        <v>Perú</v>
      </c>
      <c r="D1768" s="44" t="str">
        <f>+_xlfn.XLOOKUP(Tabla6[[#This Row],[ID CLIENTE]],'RESUMEN CLIENTES'!D:D,'RESUMEN CLIENTES'!M:M)</f>
        <v>OK</v>
      </c>
      <c r="E1768" s="72">
        <f>+_xlfn.XLOOKUP(Tabla6[[#This Row],[NOMBRE]],'RESUMEN CLIENTES'!A:A,'RESUMEN CLIENTES'!X:X)</f>
        <v>0.88888888888888884</v>
      </c>
      <c r="F1768" s="72">
        <f>+_xlfn.XLOOKUP(Tabla6[[#This Row],[ID CLIENTE]],'RESUMEN CLIENTES'!D:D,'RESUMEN CLIENTES'!W:W)</f>
        <v>1</v>
      </c>
      <c r="G1768" s="17">
        <v>46300</v>
      </c>
      <c r="H1768" s="44" t="s">
        <v>81</v>
      </c>
      <c r="I1768" s="2">
        <v>350</v>
      </c>
      <c r="J1768"/>
      <c r="K1768"/>
      <c r="L1768" s="44" t="str" cm="1">
        <f t="array" ref="L1768">+_xlfn.IFS(COUNTIF(INGRESOS!E:E,Tabla6[[#This Row],[ID FACTURA]])=1,"PAGADA",Tabla6[[#This Row],[ID FACTURA]]&lt;&gt;0,"EMITIDA",Tabla6[[#This Row],[ID FACTURA]]=0,"POR EMITIR")</f>
        <v>POR EMITIR</v>
      </c>
      <c r="M1768" s="55" t="str">
        <f>+IF(Tabla6[[#This Row],[ESTADO FACTURA]]="PAGADA",Tabla6[[#This Row],[FECHA]]-_xlfn.XLOOKUP(Tabla6[[#This Row],[N° FACTURA]],INGRESOS!F:F,INGRESOS!A:A),"-")</f>
        <v>-</v>
      </c>
      <c r="N1768" s="2"/>
      <c r="O1768"/>
    </row>
    <row r="1769" spans="1:15" ht="14.75" customHeight="1">
      <c r="A1769" s="320" t="s">
        <v>1152</v>
      </c>
      <c r="B1769" t="str">
        <f>+_xlfn.XLOOKUP(Tabla6[[#This Row],[ID CLIENTE]],'RESUMEN CLIENTES'!D:D,'RESUMEN CLIENTES'!A:A)</f>
        <v>Ricardo Ernesto Miño Valencia</v>
      </c>
      <c r="C1769" t="str">
        <f>+_xlfn.XLOOKUP(Tabla6[[#This Row],[ID CLIENTE]],'RESUMEN CLIENTES'!D:D,'RESUMEN CLIENTES'!C:C)</f>
        <v>Ecuador</v>
      </c>
      <c r="D1769" s="44" t="str">
        <f>+_xlfn.XLOOKUP(Tabla6[[#This Row],[ID CLIENTE]],'RESUMEN CLIENTES'!D:D,'RESUMEN CLIENTES'!M:M)</f>
        <v>OK</v>
      </c>
      <c r="E1769" s="72">
        <f>+_xlfn.XLOOKUP(Tabla6[[#This Row],[NOMBRE]],'RESUMEN CLIENTES'!A:A,'RESUMEN CLIENTES'!X:X)</f>
        <v>-3.2</v>
      </c>
      <c r="F1769" s="72">
        <f>+_xlfn.XLOOKUP(Tabla6[[#This Row],[ID CLIENTE]],'RESUMEN CLIENTES'!D:D,'RESUMEN CLIENTES'!W:W)</f>
        <v>1</v>
      </c>
      <c r="G1769" s="17">
        <v>46301</v>
      </c>
      <c r="H1769" s="44" t="s">
        <v>81</v>
      </c>
      <c r="I1769" s="2">
        <v>700</v>
      </c>
      <c r="J1769"/>
      <c r="K1769"/>
      <c r="L1769" s="44" t="str" cm="1">
        <f t="array" ref="L1769">+_xlfn.IFS(COUNTIF(INGRESOS!E:E,Tabla6[[#This Row],[ID FACTURA]])=1,"PAGADA",Tabla6[[#This Row],[ID FACTURA]]&lt;&gt;0,"EMITIDA",Tabla6[[#This Row],[ID FACTURA]]=0,"POR EMITIR")</f>
        <v>POR EMITIR</v>
      </c>
      <c r="M1769" s="55" t="str">
        <f>+IF(Tabla6[[#This Row],[ESTADO FACTURA]]="PAGADA",Tabla6[[#This Row],[FECHA]]-_xlfn.XLOOKUP(Tabla6[[#This Row],[N° FACTURA]],INGRESOS!F:F,INGRESOS!A:A),"-")</f>
        <v>-</v>
      </c>
      <c r="N1769" s="2"/>
      <c r="O1769"/>
    </row>
    <row r="1770" spans="1:15" ht="14.75" customHeight="1">
      <c r="A1770" s="320" t="s">
        <v>1645</v>
      </c>
      <c r="B1770" t="str">
        <f>+_xlfn.XLOOKUP(Tabla6[[#This Row],[ID CLIENTE]],'RESUMEN CLIENTES'!D:D,'RESUMEN CLIENTES'!A:A)</f>
        <v>Gerardo Abel Palacios Preciado</v>
      </c>
      <c r="C1770" t="str">
        <f>+_xlfn.XLOOKUP(Tabla6[[#This Row],[ID CLIENTE]],'RESUMEN CLIENTES'!D:D,'RESUMEN CLIENTES'!C:C)</f>
        <v>México</v>
      </c>
      <c r="D1770" s="169" t="str">
        <f>+_xlfn.XLOOKUP(Tabla6[[#This Row],[ID CLIENTE]],'RESUMEN CLIENTES'!D:D,'RESUMEN CLIENTES'!M:M)</f>
        <v>OK</v>
      </c>
      <c r="E1770" s="71">
        <f>+_xlfn.XLOOKUP(Tabla6[[#This Row],[NOMBRE]],'RESUMEN CLIENTES'!A:A,'RESUMEN CLIENTES'!X:X)</f>
        <v>-1.3333333333333333</v>
      </c>
      <c r="F1770" s="71">
        <f>+_xlfn.XLOOKUP(Tabla6[[#This Row],[ID CLIENTE]],'RESUMEN CLIENTES'!D:D,'RESUMEN CLIENTES'!W:W)</f>
        <v>1</v>
      </c>
      <c r="G1770" s="17">
        <v>46304</v>
      </c>
      <c r="H1770" s="169" t="s">
        <v>81</v>
      </c>
      <c r="I1770" s="2">
        <v>650</v>
      </c>
      <c r="J1770"/>
      <c r="K1770"/>
      <c r="L1770" s="44" t="str" cm="1">
        <f t="array" ref="L1770">+_xlfn.IFS(COUNTIF(INGRESOS!E:E,Tabla6[[#This Row],[ID FACTURA]])=1,"PAGADA",Tabla6[[#This Row],[ID FACTURA]]&lt;&gt;0,"EMITIDA",Tabla6[[#This Row],[ID FACTURA]]=0,"POR EMITIR")</f>
        <v>POR EMITIR</v>
      </c>
      <c r="M1770" s="55" t="str">
        <f>+IF(Tabla6[[#This Row],[ESTADO FACTURA]]="PAGADA",Tabla6[[#This Row],[FECHA]]-_xlfn.XLOOKUP(Tabla6[[#This Row],[N° FACTURA]],INGRESOS!F:F,INGRESOS!A:A),"-")</f>
        <v>-</v>
      </c>
      <c r="N1770" s="2"/>
      <c r="O1770"/>
    </row>
    <row r="1771" spans="1:15" ht="14.75" customHeight="1">
      <c r="A1771" s="320" t="s">
        <v>4768</v>
      </c>
      <c r="B1771" t="str">
        <f>+_xlfn.XLOOKUP(Tabla6[[#This Row],[ID CLIENTE]],'RESUMEN CLIENTES'!D:D,'RESUMEN CLIENTES'!A:A)</f>
        <v>Carla Elena Patínez Rondón</v>
      </c>
      <c r="C1771" s="15" t="str">
        <f>+_xlfn.XLOOKUP(Tabla6[[#This Row],[ID CLIENTE]],'RESUMEN CLIENTES'!D:D,'RESUMEN CLIENTES'!C:C)</f>
        <v>Venezuela</v>
      </c>
      <c r="D1771" s="169" t="str">
        <f>+_xlfn.XLOOKUP(Tabla6[[#This Row],[ID CLIENTE]],'RESUMEN CLIENTES'!D:D,'RESUMEN CLIENTES'!M:M)</f>
        <v>OK</v>
      </c>
      <c r="E1771" s="71">
        <f>+_xlfn.XLOOKUP(Tabla6[[#This Row],[NOMBRE]],'RESUMEN CLIENTES'!A:A,'RESUMEN CLIENTES'!X:X)</f>
        <v>-9</v>
      </c>
      <c r="F1771" s="71">
        <f>+_xlfn.XLOOKUP(Tabla6[[#This Row],[ID CLIENTE]],'RESUMEN CLIENTES'!D:D,'RESUMEN CLIENTES'!W:W)</f>
        <v>0</v>
      </c>
      <c r="G1771" s="17">
        <v>46310</v>
      </c>
      <c r="H1771" s="169" t="s">
        <v>1669</v>
      </c>
      <c r="I1771" s="2">
        <v>5000</v>
      </c>
      <c r="J1771"/>
      <c r="K1771"/>
      <c r="L1771" s="44" t="str" cm="1">
        <f t="array" ref="L1771">+_xlfn.IFS(COUNTIF(INGRESOS!E:E,Tabla6[[#This Row],[ID FACTURA]])=1,"PAGADA",Tabla6[[#This Row],[ID FACTURA]]&lt;&gt;0,"EMITIDA",Tabla6[[#This Row],[ID FACTURA]]=0,"POR EMITIR")</f>
        <v>POR EMITIR</v>
      </c>
      <c r="M1771" s="54" t="str">
        <f>+IF(Tabla6[[#This Row],[ESTADO FACTURA]]="PAGADA",Tabla6[[#This Row],[FECHA]]-_xlfn.XLOOKUP(Tabla6[[#This Row],[N° FACTURA]],INGRESOS!F:F,INGRESOS!A:A),"-")</f>
        <v>-</v>
      </c>
      <c r="O1771"/>
    </row>
    <row r="1772" spans="1:15" ht="14.75" customHeight="1">
      <c r="A1772" s="320" t="s">
        <v>1945</v>
      </c>
      <c r="B1772" t="str">
        <f>+_xlfn.XLOOKUP(Tabla6[[#This Row],[ID CLIENTE]],'RESUMEN CLIENTES'!D:D,'RESUMEN CLIENTES'!A:A)</f>
        <v>Fernanda Constanza Kompai Antu Arellano Guzmán</v>
      </c>
      <c r="C1772" t="str">
        <f>+_xlfn.XLOOKUP(Tabla6[[#This Row],[ID CLIENTE]],'RESUMEN CLIENTES'!D:D,'RESUMEN CLIENTES'!C:C)</f>
        <v>Chile</v>
      </c>
      <c r="D1772" s="169" t="str">
        <f>+_xlfn.XLOOKUP(Tabla6[[#This Row],[ID CLIENTE]],'RESUMEN CLIENTES'!D:D,'RESUMEN CLIENTES'!M:M)</f>
        <v>OK</v>
      </c>
      <c r="E1772" s="71">
        <f>+_xlfn.XLOOKUP(Tabla6[[#This Row],[NOMBRE]],'RESUMEN CLIENTES'!A:A,'RESUMEN CLIENTES'!X:X)</f>
        <v>0</v>
      </c>
      <c r="F1772" s="71">
        <f>+_xlfn.XLOOKUP(Tabla6[[#This Row],[ID CLIENTE]],'RESUMEN CLIENTES'!D:D,'RESUMEN CLIENTES'!W:W)</f>
        <v>0</v>
      </c>
      <c r="G1772" s="170">
        <v>46310</v>
      </c>
      <c r="H1772" s="170" t="s">
        <v>81</v>
      </c>
      <c r="I1772" s="2">
        <v>650</v>
      </c>
      <c r="J1772"/>
      <c r="K1772"/>
      <c r="L1772" s="44" t="str" cm="1">
        <f t="array" ref="L1772">+_xlfn.IFS(COUNTIF(INGRESOS!E:E,Tabla6[[#This Row],[ID FACTURA]])=1,"PAGADA",Tabla6[[#This Row],[ID FACTURA]]&lt;&gt;0,"EMITIDA",Tabla6[[#This Row],[ID FACTURA]]=0,"POR EMITIR")</f>
        <v>POR EMITIR</v>
      </c>
      <c r="M1772" s="54" t="str">
        <f>+IF(Tabla6[[#This Row],[ESTADO FACTURA]]="PAGADA",Tabla6[[#This Row],[FECHA]]-_xlfn.XLOOKUP(Tabla6[[#This Row],[N° FACTURA]],INGRESOS!F:F,INGRESOS!A:A),"-")</f>
        <v>-</v>
      </c>
      <c r="O1772"/>
    </row>
    <row r="1773" spans="1:15" ht="14.75" customHeight="1">
      <c r="A1773" s="320" t="s">
        <v>95</v>
      </c>
      <c r="B1773" t="str">
        <f>+_xlfn.XLOOKUP(Tabla6[[#This Row],[ID CLIENTE]],'RESUMEN CLIENTES'!D:D,'RESUMEN CLIENTES'!A:A)</f>
        <v>Gabriel Alejandro Ortega Moreno</v>
      </c>
      <c r="C1773" t="str">
        <f>+_xlfn.XLOOKUP(Tabla6[[#This Row],[ID CLIENTE]],'RESUMEN CLIENTES'!D:D,'RESUMEN CLIENTES'!C:C)</f>
        <v>Ecuador</v>
      </c>
      <c r="D1773" s="44" t="str">
        <f>+_xlfn.XLOOKUP(Tabla6[[#This Row],[ID CLIENTE]],'RESUMEN CLIENTES'!D:D,'RESUMEN CLIENTES'!M:M)</f>
        <v>OK</v>
      </c>
      <c r="E1773" s="72">
        <f>+_xlfn.XLOOKUP(Tabla6[[#This Row],[NOMBRE]],'RESUMEN CLIENTES'!A:A,'RESUMEN CLIENTES'!X:X)</f>
        <v>-0.1111111111111111</v>
      </c>
      <c r="F1773" s="72">
        <f>+_xlfn.XLOOKUP(Tabla6[[#This Row],[ID CLIENTE]],'RESUMEN CLIENTES'!D:D,'RESUMEN CLIENTES'!W:W)</f>
        <v>0</v>
      </c>
      <c r="G1773" s="17">
        <v>46310</v>
      </c>
      <c r="H1773" s="44" t="s">
        <v>81</v>
      </c>
      <c r="I1773" s="2">
        <v>600</v>
      </c>
      <c r="J1773"/>
      <c r="K1773"/>
      <c r="L1773" s="44" t="str" cm="1">
        <f t="array" ref="L1773">+_xlfn.IFS(COUNTIF(INGRESOS!E:E,Tabla6[[#This Row],[ID FACTURA]])=1,"PAGADA",Tabla6[[#This Row],[ID FACTURA]]&lt;&gt;0,"EMITIDA",Tabla6[[#This Row],[ID FACTURA]]=0,"POR EMITIR")</f>
        <v>POR EMITIR</v>
      </c>
      <c r="M1773" s="55" t="str">
        <f>+IF(Tabla6[[#This Row],[ESTADO FACTURA]]="PAGADA",Tabla6[[#This Row],[FECHA]]-_xlfn.XLOOKUP(Tabla6[[#This Row],[N° FACTURA]],INGRESOS!F:F,INGRESOS!A:A),"-")</f>
        <v>-</v>
      </c>
      <c r="N1773" s="2"/>
      <c r="O1773"/>
    </row>
    <row r="1774" spans="1:15" ht="14.75" customHeight="1">
      <c r="A1774" s="320" t="s">
        <v>103</v>
      </c>
      <c r="B1774" t="str">
        <f>+_xlfn.XLOOKUP(Tabla6[[#This Row],[ID CLIENTE]],'RESUMEN CLIENTES'!D:D,'RESUMEN CLIENTES'!A:A)</f>
        <v>Isaac Ricardo Jimenez Campos</v>
      </c>
      <c r="C1774" t="str">
        <f>+_xlfn.XLOOKUP(Tabla6[[#This Row],[ID CLIENTE]],'RESUMEN CLIENTES'!D:D,'RESUMEN CLIENTES'!C:C)</f>
        <v>México</v>
      </c>
      <c r="D1774" s="44" t="str">
        <f>+_xlfn.XLOOKUP(Tabla6[[#This Row],[ID CLIENTE]],'RESUMEN CLIENTES'!D:D,'RESUMEN CLIENTES'!M:M)</f>
        <v>OK</v>
      </c>
      <c r="E1774" s="72">
        <f>+_xlfn.XLOOKUP(Tabla6[[#This Row],[NOMBRE]],'RESUMEN CLIENTES'!A:A,'RESUMEN CLIENTES'!X:X)</f>
        <v>0.5</v>
      </c>
      <c r="F1774" s="72">
        <f>+_xlfn.XLOOKUP(Tabla6[[#This Row],[ID CLIENTE]],'RESUMEN CLIENTES'!D:D,'RESUMEN CLIENTES'!W:W)</f>
        <v>1</v>
      </c>
      <c r="G1774" s="17">
        <v>46310</v>
      </c>
      <c r="H1774" s="44" t="s">
        <v>81</v>
      </c>
      <c r="I1774" s="2">
        <v>654</v>
      </c>
      <c r="J1774"/>
      <c r="K1774"/>
      <c r="L1774" s="44" t="str" cm="1">
        <f t="array" ref="L1774">+_xlfn.IFS(COUNTIF(INGRESOS!E:E,Tabla6[[#This Row],[ID FACTURA]])=1,"PAGADA",Tabla6[[#This Row],[ID FACTURA]]&lt;&gt;0,"EMITIDA",Tabla6[[#This Row],[ID FACTURA]]=0,"POR EMITIR")</f>
        <v>POR EMITIR</v>
      </c>
      <c r="M1774" s="55" t="str">
        <f>+IF(Tabla6[[#This Row],[ESTADO FACTURA]]="PAGADA",Tabla6[[#This Row],[FECHA]]-_xlfn.XLOOKUP(Tabla6[[#This Row],[N° FACTURA]],INGRESOS!F:F,INGRESOS!A:A),"-")</f>
        <v>-</v>
      </c>
      <c r="N1774" s="2"/>
      <c r="O1774"/>
    </row>
    <row r="1775" spans="1:15" ht="14.75" customHeight="1">
      <c r="A1775" s="321" t="s">
        <v>1875</v>
      </c>
      <c r="B1775" t="str">
        <f>+_xlfn.XLOOKUP(Tabla6[[#This Row],[ID CLIENTE]],'RESUMEN CLIENTES'!D:D,'RESUMEN CLIENTES'!A:A)</f>
        <v>Laura Giraldo</v>
      </c>
      <c r="C1775" t="str">
        <f>+_xlfn.XLOOKUP(Tabla6[[#This Row],[ID CLIENTE]],'RESUMEN CLIENTES'!D:D,'RESUMEN CLIENTES'!C:C)</f>
        <v>Colombia</v>
      </c>
      <c r="D1775" s="169" t="str">
        <f>+_xlfn.XLOOKUP(Tabla6[[#This Row],[ID CLIENTE]],'RESUMEN CLIENTES'!D:D,'RESUMEN CLIENTES'!M:M)</f>
        <v>OK</v>
      </c>
      <c r="E1775" s="71">
        <f>+_xlfn.XLOOKUP(Tabla6[[#This Row],[NOMBRE]],'RESUMEN CLIENTES'!A:A,'RESUMEN CLIENTES'!X:X)</f>
        <v>-3.25</v>
      </c>
      <c r="F1775" s="71">
        <f>+_xlfn.XLOOKUP(Tabla6[[#This Row],[ID CLIENTE]],'RESUMEN CLIENTES'!D:D,'RESUMEN CLIENTES'!W:W)</f>
        <v>1</v>
      </c>
      <c r="G1775" s="17">
        <v>46310</v>
      </c>
      <c r="H1775" s="169" t="s">
        <v>1876</v>
      </c>
      <c r="I1775" s="2">
        <v>1000</v>
      </c>
      <c r="J1775"/>
      <c r="K1775"/>
      <c r="L1775" s="44" t="str" cm="1">
        <f t="array" ref="L1775">+_xlfn.IFS(COUNTIF(INGRESOS!E:E,Tabla6[[#This Row],[ID FACTURA]])=1,"PAGADA",Tabla6[[#This Row],[ID FACTURA]]&lt;&gt;0,"EMITIDA",Tabla6[[#This Row],[ID FACTURA]]=0,"POR EMITIR")</f>
        <v>POR EMITIR</v>
      </c>
      <c r="M1775" s="54" t="str">
        <f>+IF(Tabla6[[#This Row],[ESTADO FACTURA]]="PAGADA",Tabla6[[#This Row],[FECHA]]-_xlfn.XLOOKUP(Tabla6[[#This Row],[N° FACTURA]],INGRESOS!F:F,INGRESOS!A:A),"-")</f>
        <v>-</v>
      </c>
      <c r="O1775"/>
    </row>
    <row r="1776" spans="1:15" ht="14.75" customHeight="1">
      <c r="A1776" s="320" t="s">
        <v>242</v>
      </c>
      <c r="B1776" t="str">
        <f>+_xlfn.XLOOKUP(Tabla6[[#This Row],[ID CLIENTE]],'RESUMEN CLIENTES'!D:D,'RESUMEN CLIENTES'!A:A)</f>
        <v>Rodrigo Ignacio Rodriguez Frutos</v>
      </c>
      <c r="C1776" t="str">
        <f>+_xlfn.XLOOKUP(Tabla6[[#This Row],[ID CLIENTE]],'RESUMEN CLIENTES'!D:D,'RESUMEN CLIENTES'!C:C)</f>
        <v>México</v>
      </c>
      <c r="D1776" s="44" t="str">
        <f>+_xlfn.XLOOKUP(Tabla6[[#This Row],[ID CLIENTE]],'RESUMEN CLIENTES'!D:D,'RESUMEN CLIENTES'!M:M)</f>
        <v>OK</v>
      </c>
      <c r="E1776" s="72">
        <f>+_xlfn.XLOOKUP(Tabla6[[#This Row],[NOMBRE]],'RESUMEN CLIENTES'!A:A,'RESUMEN CLIENTES'!X:X)</f>
        <v>-1.4285714285714286</v>
      </c>
      <c r="F1776" s="72">
        <f>+_xlfn.XLOOKUP(Tabla6[[#This Row],[ID CLIENTE]],'RESUMEN CLIENTES'!D:D,'RESUMEN CLIENTES'!W:W)</f>
        <v>1</v>
      </c>
      <c r="G1776" s="17">
        <v>46310</v>
      </c>
      <c r="H1776" s="44" t="s">
        <v>81</v>
      </c>
      <c r="I1776" s="2">
        <v>630</v>
      </c>
      <c r="J1776"/>
      <c r="K1776"/>
      <c r="L1776" s="44" t="str" cm="1">
        <f t="array" ref="L1776">+_xlfn.IFS(COUNTIF(INGRESOS!E:E,Tabla6[[#This Row],[ID FACTURA]])=1,"PAGADA",Tabla6[[#This Row],[ID FACTURA]]&lt;&gt;0,"EMITIDA",Tabla6[[#This Row],[ID FACTURA]]=0,"POR EMITIR")</f>
        <v>POR EMITIR</v>
      </c>
      <c r="M1776" s="55" t="str">
        <f>+IF(Tabla6[[#This Row],[ESTADO FACTURA]]="PAGADA",Tabla6[[#This Row],[FECHA]]-_xlfn.XLOOKUP(Tabla6[[#This Row],[N° FACTURA]],INGRESOS!F:F,INGRESOS!A:A),"-")</f>
        <v>-</v>
      </c>
      <c r="N1776" s="2"/>
      <c r="O1776"/>
    </row>
    <row r="1777" spans="1:15" ht="14.75" customHeight="1">
      <c r="A1777" s="321" t="s">
        <v>1756</v>
      </c>
      <c r="B1777" t="str">
        <f>+_xlfn.XLOOKUP(Tabla6[[#This Row],[ID CLIENTE]],'RESUMEN CLIENTES'!D:D,'RESUMEN CLIENTES'!A:A)</f>
        <v>Aylin Micaela Ortiz Chiriboga</v>
      </c>
      <c r="C1777" t="str">
        <f>+_xlfn.XLOOKUP(Tabla6[[#This Row],[ID CLIENTE]],'RESUMEN CLIENTES'!D:D,'RESUMEN CLIENTES'!C:C)</f>
        <v>Ecuador</v>
      </c>
      <c r="D1777" s="169" t="str">
        <f>+_xlfn.XLOOKUP(Tabla6[[#This Row],[ID CLIENTE]],'RESUMEN CLIENTES'!D:D,'RESUMEN CLIENTES'!M:M)</f>
        <v>¡REGULARIZAR!</v>
      </c>
      <c r="E1777" s="71">
        <f>+_xlfn.XLOOKUP(Tabla6[[#This Row],[NOMBRE]],'RESUMEN CLIENTES'!A:A,'RESUMEN CLIENTES'!X:X)</f>
        <v>0</v>
      </c>
      <c r="F1777" s="71">
        <f>+_xlfn.XLOOKUP(Tabla6[[#This Row],[ID CLIENTE]],'RESUMEN CLIENTES'!D:D,'RESUMEN CLIENTES'!W:W)</f>
        <v>1</v>
      </c>
      <c r="G1777" s="170">
        <v>46311</v>
      </c>
      <c r="H1777" s="169" t="s">
        <v>81</v>
      </c>
      <c r="I1777" s="2">
        <v>650</v>
      </c>
      <c r="J1777"/>
      <c r="K1777"/>
      <c r="L1777" s="44" t="str" cm="1">
        <f t="array" ref="L1777">+_xlfn.IFS(COUNTIF(INGRESOS!E:E,Tabla6[[#This Row],[ID FACTURA]])=1,"PAGADA",Tabla6[[#This Row],[ID FACTURA]]&lt;&gt;0,"EMITIDA",Tabla6[[#This Row],[ID FACTURA]]=0,"POR EMITIR")</f>
        <v>POR EMITIR</v>
      </c>
      <c r="M1777" s="54" t="str">
        <f>+IF(Tabla6[[#This Row],[ESTADO FACTURA]]="PAGADA",Tabla6[[#This Row],[FECHA]]-_xlfn.XLOOKUP(Tabla6[[#This Row],[N° FACTURA]],INGRESOS!F:F,INGRESOS!A:A),"-")</f>
        <v>-</v>
      </c>
      <c r="O1777"/>
    </row>
    <row r="1778" spans="1:15" ht="14.75" customHeight="1">
      <c r="A1778" s="320" t="s">
        <v>1996</v>
      </c>
      <c r="B1778" t="str">
        <f>+_xlfn.XLOOKUP(Tabla6[[#This Row],[ID CLIENTE]],'RESUMEN CLIENTES'!D:D,'RESUMEN CLIENTES'!A:A)</f>
        <v>Ivan Gonzales Graus</v>
      </c>
      <c r="C1778" t="str">
        <f>+_xlfn.XLOOKUP(Tabla6[[#This Row],[ID CLIENTE]],'RESUMEN CLIENTES'!D:D,'RESUMEN CLIENTES'!C:C)</f>
        <v>Perú</v>
      </c>
      <c r="D1778" s="169" t="str">
        <f>+_xlfn.XLOOKUP(Tabla6[[#This Row],[ID CLIENTE]],'RESUMEN CLIENTES'!D:D,'RESUMEN CLIENTES'!M:M)</f>
        <v>OK</v>
      </c>
      <c r="E1778" s="71">
        <f>+_xlfn.XLOOKUP(Tabla6[[#This Row],[NOMBRE]],'RESUMEN CLIENTES'!A:A,'RESUMEN CLIENTES'!X:X)</f>
        <v>-2</v>
      </c>
      <c r="F1778" s="71">
        <f>+_xlfn.XLOOKUP(Tabla6[[#This Row],[ID CLIENTE]],'RESUMEN CLIENTES'!D:D,'RESUMEN CLIENTES'!W:W)</f>
        <v>1</v>
      </c>
      <c r="G1778" s="17">
        <v>46311</v>
      </c>
      <c r="H1778" s="169" t="s">
        <v>81</v>
      </c>
      <c r="I1778" s="2">
        <v>650</v>
      </c>
      <c r="J1778"/>
      <c r="K1778"/>
      <c r="L1778" s="44" t="str" cm="1">
        <f t="array" ref="L1778">+_xlfn.IFS(COUNTIF(INGRESOS!E:E,Tabla6[[#This Row],[ID FACTURA]])=1,"PAGADA",Tabla6[[#This Row],[ID FACTURA]]&lt;&gt;0,"EMITIDA",Tabla6[[#This Row],[ID FACTURA]]=0,"POR EMITIR")</f>
        <v>POR EMITIR</v>
      </c>
      <c r="M1778" s="54" t="str">
        <f>+IF(Tabla6[[#This Row],[ESTADO FACTURA]]="PAGADA",Tabla6[[#This Row],[FECHA]]-_xlfn.XLOOKUP(Tabla6[[#This Row],[N° FACTURA]],INGRESOS!F:F,INGRESOS!A:A),"-")</f>
        <v>-</v>
      </c>
      <c r="O1778"/>
    </row>
    <row r="1779" spans="1:15" ht="14.75" customHeight="1">
      <c r="A1779" s="320" t="s">
        <v>2046</v>
      </c>
      <c r="B1779" t="str">
        <f>+_xlfn.XLOOKUP(Tabla6[[#This Row],[ID CLIENTE]],'RESUMEN CLIENTES'!D:D,'RESUMEN CLIENTES'!A:A)</f>
        <v>Jesica Daniela Paredes Mendoza</v>
      </c>
      <c r="C1779" t="str">
        <f>+_xlfn.XLOOKUP(Tabla6[[#This Row],[ID CLIENTE]],'RESUMEN CLIENTES'!D:D,'RESUMEN CLIENTES'!C:C)</f>
        <v>México</v>
      </c>
      <c r="D1779" s="169" t="str">
        <f>+_xlfn.XLOOKUP(Tabla6[[#This Row],[ID CLIENTE]],'RESUMEN CLIENTES'!D:D,'RESUMEN CLIENTES'!M:M)</f>
        <v>OK</v>
      </c>
      <c r="E1779" s="71">
        <f>+_xlfn.XLOOKUP(Tabla6[[#This Row],[NOMBRE]],'RESUMEN CLIENTES'!A:A,'RESUMEN CLIENTES'!X:X)</f>
        <v>-2.75</v>
      </c>
      <c r="F1779" s="71">
        <f>+_xlfn.XLOOKUP(Tabla6[[#This Row],[ID CLIENTE]],'RESUMEN CLIENTES'!D:D,'RESUMEN CLIENTES'!W:W)</f>
        <v>1</v>
      </c>
      <c r="G1779" s="17">
        <v>46311</v>
      </c>
      <c r="H1779" s="169" t="s">
        <v>81</v>
      </c>
      <c r="I1779" s="2">
        <v>500</v>
      </c>
      <c r="J1779"/>
      <c r="K1779"/>
      <c r="L1779" s="44" t="str" cm="1">
        <f t="array" ref="L1779">+_xlfn.IFS(COUNTIF(INGRESOS!E:E,Tabla6[[#This Row],[ID FACTURA]])=1,"PAGADA",Tabla6[[#This Row],[ID FACTURA]]&lt;&gt;0,"EMITIDA",Tabla6[[#This Row],[ID FACTURA]]=0,"POR EMITIR")</f>
        <v>POR EMITIR</v>
      </c>
      <c r="M1779" s="54" t="str">
        <f>+IF(Tabla6[[#This Row],[ESTADO FACTURA]]="PAGADA",Tabla6[[#This Row],[FECHA]]-_xlfn.XLOOKUP(Tabla6[[#This Row],[N° FACTURA]],INGRESOS!F:F,INGRESOS!A:A),"-")</f>
        <v>-</v>
      </c>
      <c r="O1779"/>
    </row>
    <row r="1780" spans="1:15" ht="14.75" customHeight="1">
      <c r="A1780" s="320" t="s">
        <v>1001</v>
      </c>
      <c r="B1780" t="str">
        <f>+_xlfn.XLOOKUP(Tabla6[[#This Row],[ID CLIENTE]],'RESUMEN CLIENTES'!D:D,'RESUMEN CLIENTES'!A:A)</f>
        <v>Karenn Yadira Tavera Lara</v>
      </c>
      <c r="C1780" t="str">
        <f>+_xlfn.XLOOKUP(Tabla6[[#This Row],[ID CLIENTE]],'RESUMEN CLIENTES'!D:D,'RESUMEN CLIENTES'!C:C)</f>
        <v>México</v>
      </c>
      <c r="D1780" s="44" t="str">
        <f>+_xlfn.XLOOKUP(Tabla6[[#This Row],[ID CLIENTE]],'RESUMEN CLIENTES'!D:D,'RESUMEN CLIENTES'!M:M)</f>
        <v>OK</v>
      </c>
      <c r="E1780" s="72">
        <f>+_xlfn.XLOOKUP(Tabla6[[#This Row],[NOMBRE]],'RESUMEN CLIENTES'!A:A,'RESUMEN CLIENTES'!X:X)</f>
        <v>1.5</v>
      </c>
      <c r="F1780" s="72">
        <f>+_xlfn.XLOOKUP(Tabla6[[#This Row],[ID CLIENTE]],'RESUMEN CLIENTES'!D:D,'RESUMEN CLIENTES'!W:W)</f>
        <v>1</v>
      </c>
      <c r="G1780" s="17">
        <v>46314</v>
      </c>
      <c r="H1780" s="44" t="s">
        <v>81</v>
      </c>
      <c r="I1780" s="2">
        <v>1000</v>
      </c>
      <c r="J1780"/>
      <c r="K1780"/>
      <c r="L1780" s="44" t="str" cm="1">
        <f t="array" ref="L1780">+_xlfn.IFS(COUNTIF(INGRESOS!E:E,Tabla6[[#This Row],[ID FACTURA]])=1,"PAGADA",Tabla6[[#This Row],[ID FACTURA]]&lt;&gt;0,"EMITIDA",Tabla6[[#This Row],[ID FACTURA]]=0,"POR EMITIR")</f>
        <v>POR EMITIR</v>
      </c>
      <c r="M1780" s="55" t="str">
        <f>+IF(Tabla6[[#This Row],[ESTADO FACTURA]]="PAGADA",Tabla6[[#This Row],[FECHA]]-_xlfn.XLOOKUP(Tabla6[[#This Row],[N° FACTURA]],INGRESOS!F:F,INGRESOS!A:A),"-")</f>
        <v>-</v>
      </c>
      <c r="N1780" s="2"/>
      <c r="O1780"/>
    </row>
    <row r="1781" spans="1:15" ht="14.75" customHeight="1">
      <c r="A1781" s="320" t="s">
        <v>4660</v>
      </c>
      <c r="B1781" t="str">
        <f>+_xlfn.XLOOKUP(Tabla6[[#This Row],[ID CLIENTE]],'RESUMEN CLIENTES'!D:D,'RESUMEN CLIENTES'!A:A)</f>
        <v>Edipris Flores</v>
      </c>
      <c r="C1781" s="15" t="str">
        <f>+_xlfn.XLOOKUP(Tabla6[[#This Row],[ID CLIENTE]],'RESUMEN CLIENTES'!D:D,'RESUMEN CLIENTES'!C:C)</f>
        <v>Chile</v>
      </c>
      <c r="D1781" s="169" t="str">
        <f>+_xlfn.XLOOKUP(Tabla6[[#This Row],[ID CLIENTE]],'RESUMEN CLIENTES'!D:D,'RESUMEN CLIENTES'!M:M)</f>
        <v>OK</v>
      </c>
      <c r="E1781" s="71">
        <f>+_xlfn.XLOOKUP(Tabla6[[#This Row],[NOMBRE]],'RESUMEN CLIENTES'!A:A,'RESUMEN CLIENTES'!X:X)</f>
        <v>-4</v>
      </c>
      <c r="F1781" s="71">
        <f>+_xlfn.XLOOKUP(Tabla6[[#This Row],[ID CLIENTE]],'RESUMEN CLIENTES'!D:D,'RESUMEN CLIENTES'!W:W)</f>
        <v>0</v>
      </c>
      <c r="G1781" s="17">
        <v>46315</v>
      </c>
      <c r="H1781" s="169" t="s">
        <v>81</v>
      </c>
      <c r="I1781" s="2">
        <v>850</v>
      </c>
      <c r="J1781"/>
      <c r="K1781"/>
      <c r="L1781" s="44" t="str" cm="1">
        <f t="array" ref="L1781">+_xlfn.IFS(COUNTIF(INGRESOS!E:E,Tabla6[[#This Row],[ID FACTURA]])=1,"PAGADA",Tabla6[[#This Row],[ID FACTURA]]&lt;&gt;0,"EMITIDA",Tabla6[[#This Row],[ID FACTURA]]=0,"POR EMITIR")</f>
        <v>POR EMITIR</v>
      </c>
      <c r="M1781" s="54" t="str">
        <f>+IF(Tabla6[[#This Row],[ESTADO FACTURA]]="PAGADA",Tabla6[[#This Row],[FECHA]]-_xlfn.XLOOKUP(Tabla6[[#This Row],[N° FACTURA]],INGRESOS!F:F,INGRESOS!A:A),"-")</f>
        <v>-</v>
      </c>
      <c r="O1781"/>
    </row>
    <row r="1782" spans="1:15" ht="14.75" customHeight="1">
      <c r="A1782" s="320" t="s">
        <v>1936</v>
      </c>
      <c r="B1782" t="str">
        <f>+_xlfn.XLOOKUP(Tabla6[[#This Row],[ID CLIENTE]],'RESUMEN CLIENTES'!D:D,'RESUMEN CLIENTES'!A:A)</f>
        <v>Jaime Kevin Mendez Arias</v>
      </c>
      <c r="C1782" t="str">
        <f>+_xlfn.XLOOKUP(Tabla6[[#This Row],[ID CLIENTE]],'RESUMEN CLIENTES'!D:D,'RESUMEN CLIENTES'!C:C)</f>
        <v>México</v>
      </c>
      <c r="D1782" s="169" t="str">
        <f>+_xlfn.XLOOKUP(Tabla6[[#This Row],[ID CLIENTE]],'RESUMEN CLIENTES'!D:D,'RESUMEN CLIENTES'!M:M)</f>
        <v>OK</v>
      </c>
      <c r="E1782" s="71">
        <f>+_xlfn.XLOOKUP(Tabla6[[#This Row],[NOMBRE]],'RESUMEN CLIENTES'!A:A,'RESUMEN CLIENTES'!X:X)</f>
        <v>1.6666666666666667</v>
      </c>
      <c r="F1782" s="71">
        <f>+_xlfn.XLOOKUP(Tabla6[[#This Row],[ID CLIENTE]],'RESUMEN CLIENTES'!D:D,'RESUMEN CLIENTES'!W:W)</f>
        <v>0</v>
      </c>
      <c r="G1782" s="17">
        <v>46315</v>
      </c>
      <c r="H1782" s="169" t="s">
        <v>81</v>
      </c>
      <c r="I1782" s="2">
        <v>1000</v>
      </c>
      <c r="J1782"/>
      <c r="K1782"/>
      <c r="L1782" s="44" t="str" cm="1">
        <f t="array" ref="L1782">+_xlfn.IFS(COUNTIF(INGRESOS!E:E,Tabla6[[#This Row],[ID FACTURA]])=1,"PAGADA",Tabla6[[#This Row],[ID FACTURA]]&lt;&gt;0,"EMITIDA",Tabla6[[#This Row],[ID FACTURA]]=0,"POR EMITIR")</f>
        <v>POR EMITIR</v>
      </c>
      <c r="M1782" s="54" t="str">
        <f>+IF(Tabla6[[#This Row],[ESTADO FACTURA]]="PAGADA",Tabla6[[#This Row],[FECHA]]-_xlfn.XLOOKUP(Tabla6[[#This Row],[N° FACTURA]],INGRESOS!F:F,INGRESOS!A:A),"-")</f>
        <v>-</v>
      </c>
      <c r="O1782"/>
    </row>
    <row r="1783" spans="1:15" ht="15" customHeight="1">
      <c r="A1783" s="320" t="s">
        <v>587</v>
      </c>
      <c r="B1783" t="str">
        <f>+_xlfn.XLOOKUP(Tabla6[[#This Row],[ID CLIENTE]],'RESUMEN CLIENTES'!D:D,'RESUMEN CLIENTES'!A:A)</f>
        <v>Keidwin Perez</v>
      </c>
      <c r="C1783" t="str">
        <f>+_xlfn.XLOOKUP(Tabla6[[#This Row],[ID CLIENTE]],'RESUMEN CLIENTES'!D:D,'RESUMEN CLIENTES'!C:C)</f>
        <v>Colombia</v>
      </c>
      <c r="D1783" s="44" t="str">
        <f>+_xlfn.XLOOKUP(Tabla6[[#This Row],[ID CLIENTE]],'RESUMEN CLIENTES'!D:D,'RESUMEN CLIENTES'!M:M)</f>
        <v>OK</v>
      </c>
      <c r="E1783" s="72">
        <f>+_xlfn.XLOOKUP(Tabla6[[#This Row],[NOMBRE]],'RESUMEN CLIENTES'!A:A,'RESUMEN CLIENTES'!X:X)</f>
        <v>-4.25</v>
      </c>
      <c r="F1783" s="72">
        <f>+_xlfn.XLOOKUP(Tabla6[[#This Row],[ID CLIENTE]],'RESUMEN CLIENTES'!D:D,'RESUMEN CLIENTES'!W:W)</f>
        <v>1</v>
      </c>
      <c r="G1783" s="17">
        <v>46315</v>
      </c>
      <c r="H1783" s="44" t="s">
        <v>81</v>
      </c>
      <c r="I1783" s="2">
        <v>750</v>
      </c>
      <c r="J1783"/>
      <c r="K1783"/>
      <c r="L1783" s="44" t="str" cm="1">
        <f t="array" ref="L1783">+_xlfn.IFS(COUNTIF(INGRESOS!E:E,Tabla6[[#This Row],[ID FACTURA]])=1,"PAGADA",Tabla6[[#This Row],[ID FACTURA]]&lt;&gt;0,"EMITIDA",Tabla6[[#This Row],[ID FACTURA]]=0,"POR EMITIR")</f>
        <v>POR EMITIR</v>
      </c>
      <c r="M1783" s="55" t="str">
        <f>+IF(Tabla6[[#This Row],[ESTADO FACTURA]]="PAGADA",Tabla6[[#This Row],[FECHA]]-_xlfn.XLOOKUP(Tabla6[[#This Row],[N° FACTURA]],INGRESOS!F:F,INGRESOS!A:A),"-")</f>
        <v>-</v>
      </c>
      <c r="N1783" s="2"/>
      <c r="O1783"/>
    </row>
    <row r="1784" spans="1:15" ht="14.75" customHeight="1">
      <c r="A1784" s="320" t="s">
        <v>200</v>
      </c>
      <c r="B1784" t="str">
        <f>+_xlfn.XLOOKUP(Tabla6[[#This Row],[ID CLIENTE]],'RESUMEN CLIENTES'!D:D,'RESUMEN CLIENTES'!A:A)</f>
        <v>Mateo Gabriel Martinez Dávila</v>
      </c>
      <c r="C1784" t="str">
        <f>+_xlfn.XLOOKUP(Tabla6[[#This Row],[ID CLIENTE]],'RESUMEN CLIENTES'!D:D,'RESUMEN CLIENTES'!C:C)</f>
        <v>Bolivia</v>
      </c>
      <c r="D1784" s="169" t="str">
        <f>+_xlfn.XLOOKUP(Tabla6[[#This Row],[ID CLIENTE]],'RESUMEN CLIENTES'!D:D,'RESUMEN CLIENTES'!M:M)</f>
        <v>OK</v>
      </c>
      <c r="E1784" s="71">
        <f>+_xlfn.XLOOKUP(Tabla6[[#This Row],[NOMBRE]],'RESUMEN CLIENTES'!A:A,'RESUMEN CLIENTES'!X:X)</f>
        <v>-0.5</v>
      </c>
      <c r="F1784" s="71">
        <f>+_xlfn.XLOOKUP(Tabla6[[#This Row],[ID CLIENTE]],'RESUMEN CLIENTES'!D:D,'RESUMEN CLIENTES'!W:W)</f>
        <v>0</v>
      </c>
      <c r="G1784" s="17">
        <v>46315</v>
      </c>
      <c r="H1784" s="169" t="s">
        <v>81</v>
      </c>
      <c r="I1784" s="2">
        <v>500</v>
      </c>
      <c r="J1784"/>
      <c r="K1784"/>
      <c r="L1784" s="44" t="str" cm="1">
        <f t="array" ref="L1784">+_xlfn.IFS(COUNTIF(INGRESOS!E:E,Tabla6[[#This Row],[ID FACTURA]])=1,"PAGADA",Tabla6[[#This Row],[ID FACTURA]]&lt;&gt;0,"EMITIDA",Tabla6[[#This Row],[ID FACTURA]]=0,"POR EMITIR")</f>
        <v>POR EMITIR</v>
      </c>
      <c r="M1784" s="54" t="str">
        <f>+IF(Tabla6[[#This Row],[ESTADO FACTURA]]="PAGADA",Tabla6[[#This Row],[FECHA]]-_xlfn.XLOOKUP(Tabla6[[#This Row],[N° FACTURA]],INGRESOS!F:F,INGRESOS!A:A),"-")</f>
        <v>-</v>
      </c>
      <c r="O1784"/>
    </row>
    <row r="1785" spans="1:15" ht="14.75" customHeight="1">
      <c r="A1785" s="320" t="s">
        <v>1931</v>
      </c>
      <c r="B1785" t="str">
        <f>+_xlfn.XLOOKUP(Tabla6[[#This Row],[ID CLIENTE]],'RESUMEN CLIENTES'!D:D,'RESUMEN CLIENTES'!A:A)</f>
        <v>Josué Bernardo Reyes Flores</v>
      </c>
      <c r="C1785" t="str">
        <f>+_xlfn.XLOOKUP(Tabla6[[#This Row],[ID CLIENTE]],'RESUMEN CLIENTES'!D:D,'RESUMEN CLIENTES'!C:C)</f>
        <v>México</v>
      </c>
      <c r="D1785" s="169" t="str">
        <f>+_xlfn.XLOOKUP(Tabla6[[#This Row],[ID CLIENTE]],'RESUMEN CLIENTES'!D:D,'RESUMEN CLIENTES'!M:M)</f>
        <v>OK</v>
      </c>
      <c r="E1785" s="71">
        <f>+_xlfn.XLOOKUP(Tabla6[[#This Row],[NOMBRE]],'RESUMEN CLIENTES'!A:A,'RESUMEN CLIENTES'!X:X)</f>
        <v>0</v>
      </c>
      <c r="F1785" s="71">
        <f>+_xlfn.XLOOKUP(Tabla6[[#This Row],[ID CLIENTE]],'RESUMEN CLIENTES'!D:D,'RESUMEN CLIENTES'!W:W)</f>
        <v>1</v>
      </c>
      <c r="G1785" s="17">
        <v>46318</v>
      </c>
      <c r="H1785" s="169" t="s">
        <v>81</v>
      </c>
      <c r="I1785" s="2">
        <v>1000</v>
      </c>
      <c r="J1785"/>
      <c r="K1785"/>
      <c r="L1785" s="44" t="str" cm="1">
        <f t="array" ref="L1785">+_xlfn.IFS(COUNTIF(INGRESOS!E:E,Tabla6[[#This Row],[ID FACTURA]])=1,"PAGADA",Tabla6[[#This Row],[ID FACTURA]]&lt;&gt;0,"EMITIDA",Tabla6[[#This Row],[ID FACTURA]]=0,"POR EMITIR")</f>
        <v>POR EMITIR</v>
      </c>
      <c r="M1785" s="54" t="str">
        <f>+IF(Tabla6[[#This Row],[ESTADO FACTURA]]="PAGADA",Tabla6[[#This Row],[FECHA]]-_xlfn.XLOOKUP(Tabla6[[#This Row],[N° FACTURA]],INGRESOS!F:F,INGRESOS!A:A),"-")</f>
        <v>-</v>
      </c>
      <c r="O1785"/>
    </row>
    <row r="1786" spans="1:15" ht="14.75" customHeight="1">
      <c r="A1786" s="320" t="s">
        <v>994</v>
      </c>
      <c r="B1786" t="str">
        <f>+_xlfn.XLOOKUP(Tabla6[[#This Row],[ID CLIENTE]],'RESUMEN CLIENTES'!D:D,'RESUMEN CLIENTES'!A:A)</f>
        <v>Raúl Ernesto Martínez Orantes</v>
      </c>
      <c r="C1786" t="str">
        <f>+_xlfn.XLOOKUP(Tabla6[[#This Row],[ID CLIENTE]],'RESUMEN CLIENTES'!D:D,'RESUMEN CLIENTES'!C:C)</f>
        <v>El Salvador</v>
      </c>
      <c r="D1786" s="44" t="str">
        <f>+_xlfn.XLOOKUP(Tabla6[[#This Row],[ID CLIENTE]],'RESUMEN CLIENTES'!D:D,'RESUMEN CLIENTES'!M:M)</f>
        <v>OK</v>
      </c>
      <c r="E1786" s="72">
        <f>+_xlfn.XLOOKUP(Tabla6[[#This Row],[NOMBRE]],'RESUMEN CLIENTES'!A:A,'RESUMEN CLIENTES'!X:X)</f>
        <v>1.1428571428571428</v>
      </c>
      <c r="F1786" s="72">
        <f>+_xlfn.XLOOKUP(Tabla6[[#This Row],[ID CLIENTE]],'RESUMEN CLIENTES'!D:D,'RESUMEN CLIENTES'!W:W)</f>
        <v>1</v>
      </c>
      <c r="G1786" s="17">
        <v>46318</v>
      </c>
      <c r="H1786" s="44" t="s">
        <v>81</v>
      </c>
      <c r="I1786" s="2">
        <v>850</v>
      </c>
      <c r="J1786"/>
      <c r="K1786"/>
      <c r="L1786" s="44" t="str" cm="1">
        <f t="array" ref="L1786">+_xlfn.IFS(COUNTIF(INGRESOS!E:E,Tabla6[[#This Row],[ID FACTURA]])=1,"PAGADA",Tabla6[[#This Row],[ID FACTURA]]&lt;&gt;0,"EMITIDA",Tabla6[[#This Row],[ID FACTURA]]=0,"POR EMITIR")</f>
        <v>POR EMITIR</v>
      </c>
      <c r="M1786" s="55" t="str">
        <f>+IF(Tabla6[[#This Row],[ESTADO FACTURA]]="PAGADA",Tabla6[[#This Row],[FECHA]]-_xlfn.XLOOKUP(Tabla6[[#This Row],[N° FACTURA]],INGRESOS!F:F,INGRESOS!A:A),"-")</f>
        <v>-</v>
      </c>
      <c r="N1786" s="2"/>
      <c r="O1786"/>
    </row>
    <row r="1787" spans="1:15" ht="14.75" customHeight="1">
      <c r="A1787" s="320" t="s">
        <v>1437</v>
      </c>
      <c r="B1787" t="str">
        <f>+_xlfn.XLOOKUP(Tabla6[[#This Row],[ID CLIENTE]],'RESUMEN CLIENTES'!D:D,'RESUMEN CLIENTES'!A:A)</f>
        <v>Jorge Andres Galgani Muñoz</v>
      </c>
      <c r="C1787" t="str">
        <f>+_xlfn.XLOOKUP(Tabla6[[#This Row],[ID CLIENTE]],'RESUMEN CLIENTES'!D:D,'RESUMEN CLIENTES'!C:C)</f>
        <v>Chile</v>
      </c>
      <c r="D1787" s="44" t="str">
        <f>+_xlfn.XLOOKUP(Tabla6[[#This Row],[ID CLIENTE]],'RESUMEN CLIENTES'!D:D,'RESUMEN CLIENTES'!M:M)</f>
        <v>OK</v>
      </c>
      <c r="E1787" s="71">
        <f>+_xlfn.XLOOKUP(Tabla6[[#This Row],[NOMBRE]],'RESUMEN CLIENTES'!A:A,'RESUMEN CLIENTES'!X:X)</f>
        <v>-1.1428571428571428</v>
      </c>
      <c r="F1787" s="71">
        <f>+_xlfn.XLOOKUP(Tabla6[[#This Row],[ID CLIENTE]],'RESUMEN CLIENTES'!D:D,'RESUMEN CLIENTES'!W:W)</f>
        <v>1</v>
      </c>
      <c r="G1787" s="17">
        <v>46320</v>
      </c>
      <c r="H1787" s="169" t="s">
        <v>81</v>
      </c>
      <c r="I1787" s="2">
        <v>850</v>
      </c>
      <c r="J1787"/>
      <c r="K1787"/>
      <c r="L1787" s="44" t="str" cm="1">
        <f t="array" ref="L1787">+_xlfn.IFS(COUNTIF(INGRESOS!E:E,Tabla6[[#This Row],[ID FACTURA]])=1,"PAGADA",Tabla6[[#This Row],[ID FACTURA]]&lt;&gt;0,"EMITIDA",Tabla6[[#This Row],[ID FACTURA]]=0,"POR EMITIR")</f>
        <v>POR EMITIR</v>
      </c>
      <c r="M1787" s="55" t="str">
        <f>+IF(Tabla6[[#This Row],[ESTADO FACTURA]]="PAGADA",Tabla6[[#This Row],[FECHA]]-_xlfn.XLOOKUP(Tabla6[[#This Row],[N° FACTURA]],INGRESOS!F:F,INGRESOS!A:A),"-")</f>
        <v>-</v>
      </c>
      <c r="N1787" s="2"/>
      <c r="O1787"/>
    </row>
    <row r="1788" spans="1:15" ht="14.75" customHeight="1">
      <c r="A1788" s="320" t="s">
        <v>1658</v>
      </c>
      <c r="B1788" t="str">
        <f>+_xlfn.XLOOKUP(Tabla6[[#This Row],[ID CLIENTE]],'RESUMEN CLIENTES'!D:D,'RESUMEN CLIENTES'!A:A)</f>
        <v>Nadya Sofía García Carrasco</v>
      </c>
      <c r="C1788" t="str">
        <f>+_xlfn.XLOOKUP(Tabla6[[#This Row],[ID CLIENTE]],'RESUMEN CLIENTES'!D:D,'RESUMEN CLIENTES'!C:C)</f>
        <v>Ecuador</v>
      </c>
      <c r="D1788" s="169" t="str">
        <f>+_xlfn.XLOOKUP(Tabla6[[#This Row],[ID CLIENTE]],'RESUMEN CLIENTES'!D:D,'RESUMEN CLIENTES'!M:M)</f>
        <v>OK</v>
      </c>
      <c r="E1788" s="71">
        <f>+_xlfn.XLOOKUP(Tabla6[[#This Row],[NOMBRE]],'RESUMEN CLIENTES'!A:A,'RESUMEN CLIENTES'!X:X)</f>
        <v>0</v>
      </c>
      <c r="F1788" s="71">
        <f>+_xlfn.XLOOKUP(Tabla6[[#This Row],[ID CLIENTE]],'RESUMEN CLIENTES'!D:D,'RESUMEN CLIENTES'!W:W)</f>
        <v>1</v>
      </c>
      <c r="G1788" s="17">
        <v>46320</v>
      </c>
      <c r="H1788" s="169" t="s">
        <v>81</v>
      </c>
      <c r="I1788" s="2">
        <v>1000</v>
      </c>
      <c r="J1788"/>
      <c r="K1788"/>
      <c r="L1788" s="44" t="str" cm="1">
        <f t="array" ref="L1788">+_xlfn.IFS(COUNTIF(INGRESOS!E:E,Tabla6[[#This Row],[ID FACTURA]])=1,"PAGADA",Tabla6[[#This Row],[ID FACTURA]]&lt;&gt;0,"EMITIDA",Tabla6[[#This Row],[ID FACTURA]]=0,"POR EMITIR")</f>
        <v>POR EMITIR</v>
      </c>
      <c r="M1788" s="55" t="str">
        <f>+IF(Tabla6[[#This Row],[ESTADO FACTURA]]="PAGADA",Tabla6[[#This Row],[FECHA]]-_xlfn.XLOOKUP(Tabla6[[#This Row],[N° FACTURA]],INGRESOS!F:F,INGRESOS!A:A),"-")</f>
        <v>-</v>
      </c>
      <c r="O1788"/>
    </row>
    <row r="1789" spans="1:15" ht="14.75" customHeight="1">
      <c r="A1789" s="320" t="s">
        <v>1743</v>
      </c>
      <c r="B1789" t="str">
        <f>+_xlfn.XLOOKUP(Tabla6[[#This Row],[ID CLIENTE]],'RESUMEN CLIENTES'!D:D,'RESUMEN CLIENTES'!A:A)</f>
        <v>Fernando Alberto Lagos Belmar</v>
      </c>
      <c r="C1789" t="str">
        <f>+_xlfn.XLOOKUP(Tabla6[[#This Row],[ID CLIENTE]],'RESUMEN CLIENTES'!D:D,'RESUMEN CLIENTES'!C:C)</f>
        <v>Chile</v>
      </c>
      <c r="D1789" s="169" t="str">
        <f>+_xlfn.XLOOKUP(Tabla6[[#This Row],[ID CLIENTE]],'RESUMEN CLIENTES'!D:D,'RESUMEN CLIENTES'!M:M)</f>
        <v>OK</v>
      </c>
      <c r="E1789" s="71">
        <f>+_xlfn.XLOOKUP(Tabla6[[#This Row],[NOMBRE]],'RESUMEN CLIENTES'!A:A,'RESUMEN CLIENTES'!X:X)</f>
        <v>0.25</v>
      </c>
      <c r="F1789" s="71">
        <f>+_xlfn.XLOOKUP(Tabla6[[#This Row],[ID CLIENTE]],'RESUMEN CLIENTES'!D:D,'RESUMEN CLIENTES'!W:W)</f>
        <v>1</v>
      </c>
      <c r="G1789" s="17">
        <v>46321</v>
      </c>
      <c r="H1789" s="169" t="s">
        <v>81</v>
      </c>
      <c r="I1789" s="2">
        <v>1000</v>
      </c>
      <c r="J1789"/>
      <c r="K1789"/>
      <c r="L1789" s="44" t="str" cm="1">
        <f t="array" ref="L1789">+_xlfn.IFS(COUNTIF(INGRESOS!E:E,Tabla6[[#This Row],[ID FACTURA]])=1,"PAGADA",Tabla6[[#This Row],[ID FACTURA]]&lt;&gt;0,"EMITIDA",Tabla6[[#This Row],[ID FACTURA]]=0,"POR EMITIR")</f>
        <v>POR EMITIR</v>
      </c>
      <c r="M1789" s="55" t="str">
        <f>+IF(Tabla6[[#This Row],[ESTADO FACTURA]]="PAGADA",Tabla6[[#This Row],[FECHA]]-_xlfn.XLOOKUP(Tabla6[[#This Row],[N° FACTURA]],INGRESOS!F:F,INGRESOS!A:A),"-")</f>
        <v>-</v>
      </c>
      <c r="O1789"/>
    </row>
    <row r="1790" spans="1:15" ht="14.75" customHeight="1">
      <c r="A1790" s="321" t="s">
        <v>519</v>
      </c>
      <c r="B1790" t="str">
        <f>+_xlfn.XLOOKUP(Tabla6[[#This Row],[ID CLIENTE]],'RESUMEN CLIENTES'!D:D,'RESUMEN CLIENTES'!A:A)</f>
        <v>Elaine Acosta Cabrera</v>
      </c>
      <c r="C1790" t="str">
        <f>+_xlfn.XLOOKUP(Tabla6[[#This Row],[ID CLIENTE]],'RESUMEN CLIENTES'!D:D,'RESUMEN CLIENTES'!C:C)</f>
        <v>República Dominicana</v>
      </c>
      <c r="D1790" s="169" t="str">
        <f>+_xlfn.XLOOKUP(Tabla6[[#This Row],[ID CLIENTE]],'RESUMEN CLIENTES'!D:D,'RESUMEN CLIENTES'!M:M)</f>
        <v>OK</v>
      </c>
      <c r="E1790" s="71">
        <f>+_xlfn.XLOOKUP(Tabla6[[#This Row],[NOMBRE]],'RESUMEN CLIENTES'!A:A,'RESUMEN CLIENTES'!X:X)</f>
        <v>0</v>
      </c>
      <c r="F1790" s="71">
        <f>+_xlfn.XLOOKUP(Tabla6[[#This Row],[ID CLIENTE]],'RESUMEN CLIENTES'!D:D,'RESUMEN CLIENTES'!W:W)</f>
        <v>1</v>
      </c>
      <c r="G1790" s="17">
        <v>46322</v>
      </c>
      <c r="H1790" s="169" t="s">
        <v>81</v>
      </c>
      <c r="I1790" s="2">
        <v>1000</v>
      </c>
      <c r="J1790"/>
      <c r="K1790"/>
      <c r="L1790" s="44" t="str" cm="1">
        <f t="array" ref="L1790">+_xlfn.IFS(COUNTIF(INGRESOS!E:E,Tabla6[[#This Row],[ID FACTURA]])=1,"PAGADA",Tabla6[[#This Row],[ID FACTURA]]&lt;&gt;0,"EMITIDA",Tabla6[[#This Row],[ID FACTURA]]=0,"POR EMITIR")</f>
        <v>POR EMITIR</v>
      </c>
      <c r="M1790" s="54" t="str">
        <f>+IF(Tabla6[[#This Row],[ESTADO FACTURA]]="PAGADA",Tabla6[[#This Row],[FECHA]]-_xlfn.XLOOKUP(Tabla6[[#This Row],[N° FACTURA]],INGRESOS!F:F,INGRESOS!A:A),"-")</f>
        <v>-</v>
      </c>
      <c r="O1790"/>
    </row>
    <row r="1791" spans="1:15" ht="14.75" customHeight="1">
      <c r="A1791" s="321" t="s">
        <v>1870</v>
      </c>
      <c r="B1791" t="str">
        <f>+_xlfn.XLOOKUP(Tabla6[[#This Row],[ID CLIENTE]],'RESUMEN CLIENTES'!D:D,'RESUMEN CLIENTES'!A:A)</f>
        <v>Berenisse Shadia Yarango Garay</v>
      </c>
      <c r="C1791" t="str">
        <f>+_xlfn.XLOOKUP(Tabla6[[#This Row],[ID CLIENTE]],'RESUMEN CLIENTES'!D:D,'RESUMEN CLIENTES'!C:C)</f>
        <v>Perú</v>
      </c>
      <c r="D1791" s="169" t="str">
        <f>+_xlfn.XLOOKUP(Tabla6[[#This Row],[ID CLIENTE]],'RESUMEN CLIENTES'!D:D,'RESUMEN CLIENTES'!M:M)</f>
        <v>OK</v>
      </c>
      <c r="E1791" s="71">
        <f>+_xlfn.XLOOKUP(Tabla6[[#This Row],[NOMBRE]],'RESUMEN CLIENTES'!A:A,'RESUMEN CLIENTES'!X:X)</f>
        <v>-0.33333333333333331</v>
      </c>
      <c r="F1791" s="71">
        <f>+_xlfn.XLOOKUP(Tabla6[[#This Row],[ID CLIENTE]],'RESUMEN CLIENTES'!D:D,'RESUMEN CLIENTES'!W:W)</f>
        <v>0</v>
      </c>
      <c r="G1791" s="17">
        <v>46323</v>
      </c>
      <c r="H1791" s="169" t="s">
        <v>81</v>
      </c>
      <c r="I1791" s="2">
        <v>850</v>
      </c>
      <c r="J1791"/>
      <c r="K1791"/>
      <c r="L1791" s="44" t="str" cm="1">
        <f t="array" ref="L1791">+_xlfn.IFS(COUNTIF(INGRESOS!E:E,Tabla6[[#This Row],[ID FACTURA]])=1,"PAGADA",Tabla6[[#This Row],[ID FACTURA]]&lt;&gt;0,"EMITIDA",Tabla6[[#This Row],[ID FACTURA]]=0,"POR EMITIR")</f>
        <v>POR EMITIR</v>
      </c>
      <c r="M1791" s="54" t="str">
        <f>+IF(Tabla6[[#This Row],[ESTADO FACTURA]]="PAGADA",Tabla6[[#This Row],[FECHA]]-_xlfn.XLOOKUP(Tabla6[[#This Row],[N° FACTURA]],INGRESOS!F:F,INGRESOS!A:A),"-")</f>
        <v>-</v>
      </c>
      <c r="O1791"/>
    </row>
    <row r="1792" spans="1:15" ht="14.75" customHeight="1">
      <c r="A1792" s="320" t="s">
        <v>1461</v>
      </c>
      <c r="B1792" t="str">
        <f>+_xlfn.XLOOKUP(Tabla6[[#This Row],[ID CLIENTE]],'RESUMEN CLIENTES'!D:D,'RESUMEN CLIENTES'!A:A)</f>
        <v>Katerine Marianela Verastegui Mendoza</v>
      </c>
      <c r="C1792" t="str">
        <f>+_xlfn.XLOOKUP(Tabla6[[#This Row],[ID CLIENTE]],'RESUMEN CLIENTES'!D:D,'RESUMEN CLIENTES'!C:C)</f>
        <v>Perú</v>
      </c>
      <c r="D1792" s="44" t="str">
        <f>+_xlfn.XLOOKUP(Tabla6[[#This Row],[ID CLIENTE]],'RESUMEN CLIENTES'!D:D,'RESUMEN CLIENTES'!M:M)</f>
        <v>OK</v>
      </c>
      <c r="E1792" s="71">
        <f>+_xlfn.XLOOKUP(Tabla6[[#This Row],[NOMBRE]],'RESUMEN CLIENTES'!A:A,'RESUMEN CLIENTES'!X:X)</f>
        <v>-2</v>
      </c>
      <c r="F1792" s="71">
        <f>+_xlfn.XLOOKUP(Tabla6[[#This Row],[ID CLIENTE]],'RESUMEN CLIENTES'!D:D,'RESUMEN CLIENTES'!W:W)</f>
        <v>0</v>
      </c>
      <c r="G1792" s="17">
        <v>46323</v>
      </c>
      <c r="H1792" s="169" t="s">
        <v>81</v>
      </c>
      <c r="I1792" s="2">
        <v>1000</v>
      </c>
      <c r="J1792"/>
      <c r="K1792"/>
      <c r="L1792" s="44" t="str" cm="1">
        <f t="array" ref="L1792">+_xlfn.IFS(COUNTIF(INGRESOS!E:E,Tabla6[[#This Row],[ID FACTURA]])=1,"PAGADA",Tabla6[[#This Row],[ID FACTURA]]&lt;&gt;0,"EMITIDA",Tabla6[[#This Row],[ID FACTURA]]=0,"POR EMITIR")</f>
        <v>POR EMITIR</v>
      </c>
      <c r="M1792" s="55" t="str">
        <f>+IF(Tabla6[[#This Row],[ESTADO FACTURA]]="PAGADA",Tabla6[[#This Row],[FECHA]]-_xlfn.XLOOKUP(Tabla6[[#This Row],[N° FACTURA]],INGRESOS!F:F,INGRESOS!A:A),"-")</f>
        <v>-</v>
      </c>
      <c r="N1792" s="2"/>
      <c r="O1792"/>
    </row>
    <row r="1793" spans="1:15" ht="14.75" customHeight="1">
      <c r="A1793" s="320" t="s">
        <v>1482</v>
      </c>
      <c r="B1793" t="str">
        <f>+_xlfn.XLOOKUP(Tabla6[[#This Row],[ID CLIENTE]],'RESUMEN CLIENTES'!D:D,'RESUMEN CLIENTES'!A:A)</f>
        <v>Laxmi Davi Patel Flores</v>
      </c>
      <c r="C1793" t="str">
        <f>+_xlfn.XLOOKUP(Tabla6[[#This Row],[ID CLIENTE]],'RESUMEN CLIENTES'!D:D,'RESUMEN CLIENTES'!C:C)</f>
        <v>Ecuador</v>
      </c>
      <c r="D1793" s="44" t="str">
        <f>+_xlfn.XLOOKUP(Tabla6[[#This Row],[ID CLIENTE]],'RESUMEN CLIENTES'!D:D,'RESUMEN CLIENTES'!M:M)</f>
        <v>OK</v>
      </c>
      <c r="E1793" s="71">
        <f>+_xlfn.XLOOKUP(Tabla6[[#This Row],[NOMBRE]],'RESUMEN CLIENTES'!A:A,'RESUMEN CLIENTES'!X:X)</f>
        <v>-1.5714285714285714</v>
      </c>
      <c r="F1793" s="71">
        <f>+_xlfn.XLOOKUP(Tabla6[[#This Row],[ID CLIENTE]],'RESUMEN CLIENTES'!D:D,'RESUMEN CLIENTES'!W:W)</f>
        <v>0</v>
      </c>
      <c r="G1793" s="17">
        <v>46323</v>
      </c>
      <c r="H1793" s="169" t="s">
        <v>81</v>
      </c>
      <c r="I1793" s="2">
        <v>2750</v>
      </c>
      <c r="J1793"/>
      <c r="K1793"/>
      <c r="L1793" s="44" t="str" cm="1">
        <f t="array" ref="L1793">+_xlfn.IFS(COUNTIF(INGRESOS!E:E,Tabla6[[#This Row],[ID FACTURA]])=1,"PAGADA",Tabla6[[#This Row],[ID FACTURA]]&lt;&gt;0,"EMITIDA",Tabla6[[#This Row],[ID FACTURA]]=0,"POR EMITIR")</f>
        <v>POR EMITIR</v>
      </c>
      <c r="M1793" s="55" t="str">
        <f>+IF(Tabla6[[#This Row],[ESTADO FACTURA]]="PAGADA",Tabla6[[#This Row],[FECHA]]-_xlfn.XLOOKUP(Tabla6[[#This Row],[N° FACTURA]],INGRESOS!F:F,INGRESOS!A:A),"-")</f>
        <v>-</v>
      </c>
      <c r="N1793" s="2"/>
      <c r="O1793"/>
    </row>
    <row r="1794" spans="1:15" ht="14.75" customHeight="1">
      <c r="A1794" s="320" t="s">
        <v>1374</v>
      </c>
      <c r="B1794" t="str">
        <f>+_xlfn.XLOOKUP(Tabla6[[#This Row],[ID CLIENTE]],'RESUMEN CLIENTES'!D:D,'RESUMEN CLIENTES'!A:A)</f>
        <v>Samuel Sebastián Marmolejo Saldarriaga</v>
      </c>
      <c r="C1794" t="str">
        <f>+_xlfn.XLOOKUP(Tabla6[[#This Row],[ID CLIENTE]],'RESUMEN CLIENTES'!D:D,'RESUMEN CLIENTES'!C:C)</f>
        <v>Perú</v>
      </c>
      <c r="D1794" s="44" t="str">
        <f>+_xlfn.XLOOKUP(Tabla6[[#This Row],[ID CLIENTE]],'RESUMEN CLIENTES'!D:D,'RESUMEN CLIENTES'!M:M)</f>
        <v>OK</v>
      </c>
      <c r="E1794" s="71">
        <f>+_xlfn.XLOOKUP(Tabla6[[#This Row],[NOMBRE]],'RESUMEN CLIENTES'!A:A,'RESUMEN CLIENTES'!X:X)</f>
        <v>-0.5</v>
      </c>
      <c r="F1794" s="71">
        <f>+_xlfn.XLOOKUP(Tabla6[[#This Row],[ID CLIENTE]],'RESUMEN CLIENTES'!D:D,'RESUMEN CLIENTES'!W:W)</f>
        <v>0</v>
      </c>
      <c r="G1794" s="17">
        <v>46323</v>
      </c>
      <c r="H1794" s="44" t="s">
        <v>81</v>
      </c>
      <c r="I1794" s="2">
        <v>1500</v>
      </c>
      <c r="J1794"/>
      <c r="K1794"/>
      <c r="L1794" s="44" t="str" cm="1">
        <f t="array" ref="L1794">+_xlfn.IFS(COUNTIF(INGRESOS!E:E,Tabla6[[#This Row],[ID FACTURA]])=1,"PAGADA",Tabla6[[#This Row],[ID FACTURA]]&lt;&gt;0,"EMITIDA",Tabla6[[#This Row],[ID FACTURA]]=0,"POR EMITIR")</f>
        <v>POR EMITIR</v>
      </c>
      <c r="M1794" s="55" t="str">
        <f>+IF(Tabla6[[#This Row],[ESTADO FACTURA]]="PAGADA",Tabla6[[#This Row],[FECHA]]-_xlfn.XLOOKUP(Tabla6[[#This Row],[N° FACTURA]],INGRESOS!F:F,INGRESOS!A:A),"-")</f>
        <v>-</v>
      </c>
      <c r="N1794" s="2"/>
      <c r="O1794"/>
    </row>
    <row r="1795" spans="1:15" ht="14.75" customHeight="1">
      <c r="A1795" s="320" t="s">
        <v>450</v>
      </c>
      <c r="B1795" t="str">
        <f>+_xlfn.XLOOKUP(Tabla6[[#This Row],[ID CLIENTE]],'RESUMEN CLIENTES'!D:D,'RESUMEN CLIENTES'!A:A)</f>
        <v>Alexandra Carolina Ordoñez Cuotto</v>
      </c>
      <c r="C1795" t="str">
        <f>+_xlfn.XLOOKUP(Tabla6[[#This Row],[ID CLIENTE]],'RESUMEN CLIENTES'!D:D,'RESUMEN CLIENTES'!C:C)</f>
        <v>Venezuela</v>
      </c>
      <c r="D1795" s="44" t="str">
        <f>+_xlfn.XLOOKUP(Tabla6[[#This Row],[ID CLIENTE]],'RESUMEN CLIENTES'!D:D,'RESUMEN CLIENTES'!M:M)</f>
        <v>¡REGULARIZAR!</v>
      </c>
      <c r="E1795" s="72">
        <f>+_xlfn.XLOOKUP(Tabla6[[#This Row],[NOMBRE]],'RESUMEN CLIENTES'!A:A,'RESUMEN CLIENTES'!X:X)</f>
        <v>-2</v>
      </c>
      <c r="F1795" s="72">
        <f>+_xlfn.XLOOKUP(Tabla6[[#This Row],[ID CLIENTE]],'RESUMEN CLIENTES'!D:D,'RESUMEN CLIENTES'!W:W)</f>
        <v>0</v>
      </c>
      <c r="G1795" s="17">
        <v>46324</v>
      </c>
      <c r="H1795" s="44" t="s">
        <v>81</v>
      </c>
      <c r="I1795" s="2">
        <v>1000</v>
      </c>
      <c r="J1795"/>
      <c r="K1795"/>
      <c r="L1795" s="44" t="str" cm="1">
        <f t="array" ref="L1795">+_xlfn.IFS(COUNTIF(INGRESOS!E:E,Tabla6[[#This Row],[ID FACTURA]])=1,"PAGADA",Tabla6[[#This Row],[ID FACTURA]]&lt;&gt;0,"EMITIDA",Tabla6[[#This Row],[ID FACTURA]]=0,"POR EMITIR")</f>
        <v>POR EMITIR</v>
      </c>
      <c r="M1795" s="55" t="str">
        <f>+IF(Tabla6[[#This Row],[ESTADO FACTURA]]="PAGADA",Tabla6[[#This Row],[FECHA]]-_xlfn.XLOOKUP(Tabla6[[#This Row],[N° FACTURA]],INGRESOS!F:F,INGRESOS!A:A),"-")</f>
        <v>-</v>
      </c>
      <c r="N1795" s="2"/>
      <c r="O1795"/>
    </row>
    <row r="1796" spans="1:15" ht="14.75" customHeight="1">
      <c r="A1796" s="320" t="s">
        <v>221</v>
      </c>
      <c r="B1796" t="str">
        <f>+_xlfn.XLOOKUP(Tabla6[[#This Row],[ID CLIENTE]],'RESUMEN CLIENTES'!D:D,'RESUMEN CLIENTES'!A:A)</f>
        <v>Angel Martin Alarcon Macias</v>
      </c>
      <c r="C1796" t="str">
        <f>+_xlfn.XLOOKUP(Tabla6[[#This Row],[ID CLIENTE]],'RESUMEN CLIENTES'!D:D,'RESUMEN CLIENTES'!C:C)</f>
        <v>Ecuador</v>
      </c>
      <c r="D1796" s="44" t="str">
        <f>+_xlfn.XLOOKUP(Tabla6[[#This Row],[ID CLIENTE]],'RESUMEN CLIENTES'!D:D,'RESUMEN CLIENTES'!M:M)</f>
        <v>¡REGULARIZAR!</v>
      </c>
      <c r="E1796" s="72">
        <f>+_xlfn.XLOOKUP(Tabla6[[#This Row],[NOMBRE]],'RESUMEN CLIENTES'!A:A,'RESUMEN CLIENTES'!X:X)</f>
        <v>-0.5</v>
      </c>
      <c r="F1796" s="72">
        <f>+_xlfn.XLOOKUP(Tabla6[[#This Row],[ID CLIENTE]],'RESUMEN CLIENTES'!D:D,'RESUMEN CLIENTES'!W:W)</f>
        <v>0</v>
      </c>
      <c r="G1796" s="17">
        <v>46325</v>
      </c>
      <c r="H1796" s="44" t="s">
        <v>81</v>
      </c>
      <c r="I1796" s="2">
        <v>1000</v>
      </c>
      <c r="J1796"/>
      <c r="K1796"/>
      <c r="L1796" s="44" t="str" cm="1">
        <f t="array" ref="L1796">+_xlfn.IFS(COUNTIF(INGRESOS!E:E,Tabla6[[#This Row],[ID FACTURA]])=1,"PAGADA",Tabla6[[#This Row],[ID FACTURA]]&lt;&gt;0,"EMITIDA",Tabla6[[#This Row],[ID FACTURA]]=0,"POR EMITIR")</f>
        <v>POR EMITIR</v>
      </c>
      <c r="M1796" s="55" t="str">
        <f>+IF(Tabla6[[#This Row],[ESTADO FACTURA]]="PAGADA",Tabla6[[#This Row],[FECHA]]-_xlfn.XLOOKUP(Tabla6[[#This Row],[N° FACTURA]],INGRESOS!F:F,INGRESOS!A:A),"-")</f>
        <v>-</v>
      </c>
      <c r="N1796" s="2"/>
      <c r="O1796"/>
    </row>
    <row r="1797" spans="1:15" ht="14.75" customHeight="1">
      <c r="A1797" s="320" t="s">
        <v>1761</v>
      </c>
      <c r="B1797" t="str">
        <f>+_xlfn.XLOOKUP(Tabla6[[#This Row],[ID CLIENTE]],'RESUMEN CLIENTES'!D:D,'RESUMEN CLIENTES'!A:A)</f>
        <v>Francisco Salas Barrera</v>
      </c>
      <c r="C1797" t="str">
        <f>+_xlfn.XLOOKUP(Tabla6[[#This Row],[ID CLIENTE]],'RESUMEN CLIENTES'!D:D,'RESUMEN CLIENTES'!C:C)</f>
        <v>México</v>
      </c>
      <c r="D1797" s="169" t="str">
        <f>+_xlfn.XLOOKUP(Tabla6[[#This Row],[ID CLIENTE]],'RESUMEN CLIENTES'!D:D,'RESUMEN CLIENTES'!M:M)</f>
        <v>OK</v>
      </c>
      <c r="E1797" s="71">
        <f>+_xlfn.XLOOKUP(Tabla6[[#This Row],[NOMBRE]],'RESUMEN CLIENTES'!A:A,'RESUMEN CLIENTES'!X:X)</f>
        <v>-0.75</v>
      </c>
      <c r="F1797" s="71">
        <f>+_xlfn.XLOOKUP(Tabla6[[#This Row],[ID CLIENTE]],'RESUMEN CLIENTES'!D:D,'RESUMEN CLIENTES'!W:W)</f>
        <v>0</v>
      </c>
      <c r="G1797" s="17">
        <v>46325</v>
      </c>
      <c r="H1797" s="169" t="s">
        <v>81</v>
      </c>
      <c r="I1797" s="2">
        <v>1000</v>
      </c>
      <c r="J1797"/>
      <c r="K1797"/>
      <c r="L1797" s="44" t="str" cm="1">
        <f t="array" ref="L1797">+_xlfn.IFS(COUNTIF(INGRESOS!E:E,Tabla6[[#This Row],[ID FACTURA]])=1,"PAGADA",Tabla6[[#This Row],[ID FACTURA]]&lt;&gt;0,"EMITIDA",Tabla6[[#This Row],[ID FACTURA]]=0,"POR EMITIR")</f>
        <v>POR EMITIR</v>
      </c>
      <c r="M1797" s="55" t="str">
        <f>+IF(Tabla6[[#This Row],[ESTADO FACTURA]]="PAGADA",Tabla6[[#This Row],[FECHA]]-_xlfn.XLOOKUP(Tabla6[[#This Row],[N° FACTURA]],INGRESOS!F:F,INGRESOS!A:A),"-")</f>
        <v>-</v>
      </c>
      <c r="O1797"/>
    </row>
    <row r="1798" spans="1:15" ht="14.75" customHeight="1">
      <c r="A1798" s="320" t="s">
        <v>739</v>
      </c>
      <c r="B1798" t="str">
        <f>+_xlfn.XLOOKUP(Tabla6[[#This Row],[ID CLIENTE]],'RESUMEN CLIENTES'!D:D,'RESUMEN CLIENTES'!A:A)</f>
        <v>Gilberto Martiñon Torres</v>
      </c>
      <c r="C1798" t="str">
        <f>+_xlfn.XLOOKUP(Tabla6[[#This Row],[ID CLIENTE]],'RESUMEN CLIENTES'!D:D,'RESUMEN CLIENTES'!C:C)</f>
        <v>México</v>
      </c>
      <c r="D1798" s="44" t="str">
        <f>+_xlfn.XLOOKUP(Tabla6[[#This Row],[ID CLIENTE]],'RESUMEN CLIENTES'!D:D,'RESUMEN CLIENTES'!M:M)</f>
        <v>OK</v>
      </c>
      <c r="E1798" s="72">
        <f>+_xlfn.XLOOKUP(Tabla6[[#This Row],[NOMBRE]],'RESUMEN CLIENTES'!A:A,'RESUMEN CLIENTES'!X:X)</f>
        <v>-0.625</v>
      </c>
      <c r="F1798" s="72">
        <f>+_xlfn.XLOOKUP(Tabla6[[#This Row],[ID CLIENTE]],'RESUMEN CLIENTES'!D:D,'RESUMEN CLIENTES'!W:W)</f>
        <v>0</v>
      </c>
      <c r="G1798" s="17">
        <v>46325</v>
      </c>
      <c r="H1798" s="44" t="s">
        <v>81</v>
      </c>
      <c r="I1798" s="2">
        <v>700</v>
      </c>
      <c r="J1798"/>
      <c r="K1798"/>
      <c r="L1798" s="44" t="str" cm="1">
        <f t="array" ref="L1798">+_xlfn.IFS(COUNTIF(INGRESOS!E:E,Tabla6[[#This Row],[ID FACTURA]])=1,"PAGADA",Tabla6[[#This Row],[ID FACTURA]]&lt;&gt;0,"EMITIDA",Tabla6[[#This Row],[ID FACTURA]]=0,"POR EMITIR")</f>
        <v>POR EMITIR</v>
      </c>
      <c r="M1798" s="55" t="str">
        <f>+IF(Tabla6[[#This Row],[ESTADO FACTURA]]="PAGADA",Tabla6[[#This Row],[FECHA]]-_xlfn.XLOOKUP(Tabla6[[#This Row],[N° FACTURA]],INGRESOS!F:F,INGRESOS!A:A),"-")</f>
        <v>-</v>
      </c>
      <c r="N1798" s="2"/>
      <c r="O1798"/>
    </row>
    <row r="1799" spans="1:15" ht="14.75" customHeight="1">
      <c r="A1799" s="320" t="s">
        <v>139</v>
      </c>
      <c r="B1799" t="str">
        <f>+_xlfn.XLOOKUP(Tabla6[[#This Row],[ID CLIENTE]],'RESUMEN CLIENTES'!D:D,'RESUMEN CLIENTES'!A:A)</f>
        <v>Hugo Nicolás Trávez Morales</v>
      </c>
      <c r="C1799" t="str">
        <f>+_xlfn.XLOOKUP(Tabla6[[#This Row],[ID CLIENTE]],'RESUMEN CLIENTES'!D:D,'RESUMEN CLIENTES'!C:C)</f>
        <v>Ecuador</v>
      </c>
      <c r="D1799" s="169" t="str">
        <f>+_xlfn.XLOOKUP(Tabla6[[#This Row],[ID CLIENTE]],'RESUMEN CLIENTES'!D:D,'RESUMEN CLIENTES'!M:M)</f>
        <v>OK</v>
      </c>
      <c r="E1799" s="71">
        <f>+_xlfn.XLOOKUP(Tabla6[[#This Row],[NOMBRE]],'RESUMEN CLIENTES'!A:A,'RESUMEN CLIENTES'!X:X)</f>
        <v>0</v>
      </c>
      <c r="F1799" s="71">
        <f>+_xlfn.XLOOKUP(Tabla6[[#This Row],[ID CLIENTE]],'RESUMEN CLIENTES'!D:D,'RESUMEN CLIENTES'!W:W)</f>
        <v>0</v>
      </c>
      <c r="G1799" s="17">
        <v>46325</v>
      </c>
      <c r="H1799" s="44" t="s">
        <v>81</v>
      </c>
      <c r="I1799" s="2">
        <v>1000</v>
      </c>
      <c r="J1799"/>
      <c r="K1799"/>
      <c r="L1799" s="44" t="str" cm="1">
        <f t="array" ref="L1799">+_xlfn.IFS(COUNTIF(INGRESOS!E:E,Tabla6[[#This Row],[ID FACTURA]])=1,"PAGADA",Tabla6[[#This Row],[ID FACTURA]]&lt;&gt;0,"EMITIDA",Tabla6[[#This Row],[ID FACTURA]]=0,"POR EMITIR")</f>
        <v>POR EMITIR</v>
      </c>
      <c r="M1799" s="54" t="str">
        <f>+IF(Tabla6[[#This Row],[ESTADO FACTURA]]="PAGADA",Tabla6[[#This Row],[FECHA]]-_xlfn.XLOOKUP(Tabla6[[#This Row],[N° FACTURA]],INGRESOS!F:F,INGRESOS!A:A),"-")</f>
        <v>-</v>
      </c>
      <c r="O1799"/>
    </row>
    <row r="1800" spans="1:15" ht="14.75" customHeight="1">
      <c r="A1800" s="320" t="s">
        <v>590</v>
      </c>
      <c r="B1800" t="str">
        <f>+_xlfn.XLOOKUP(Tabla6[[#This Row],[ID CLIENTE]],'RESUMEN CLIENTES'!D:D,'RESUMEN CLIENTES'!A:A)</f>
        <v>María Lucero de Jesús Barrios Sazo</v>
      </c>
      <c r="C1800" t="str">
        <f>+_xlfn.XLOOKUP(Tabla6[[#This Row],[ID CLIENTE]],'RESUMEN CLIENTES'!D:D,'RESUMEN CLIENTES'!C:C)</f>
        <v>Guatemala</v>
      </c>
      <c r="D1800" s="44" t="str">
        <f>+_xlfn.XLOOKUP(Tabla6[[#This Row],[ID CLIENTE]],'RESUMEN CLIENTES'!D:D,'RESUMEN CLIENTES'!M:M)</f>
        <v>OK</v>
      </c>
      <c r="E1800" s="72">
        <f>+_xlfn.XLOOKUP(Tabla6[[#This Row],[NOMBRE]],'RESUMEN CLIENTES'!A:A,'RESUMEN CLIENTES'!X:X)</f>
        <v>1.25</v>
      </c>
      <c r="F1800" s="72">
        <f>+_xlfn.XLOOKUP(Tabla6[[#This Row],[ID CLIENTE]],'RESUMEN CLIENTES'!D:D,'RESUMEN CLIENTES'!W:W)</f>
        <v>0</v>
      </c>
      <c r="G1800" s="17">
        <v>46325</v>
      </c>
      <c r="H1800" s="44" t="s">
        <v>81</v>
      </c>
      <c r="I1800" s="2">
        <v>700</v>
      </c>
      <c r="J1800"/>
      <c r="K1800"/>
      <c r="L1800" s="44" t="str" cm="1">
        <f t="array" ref="L1800">+_xlfn.IFS(COUNTIF(INGRESOS!E:E,Tabla6[[#This Row],[ID FACTURA]])=1,"PAGADA",Tabla6[[#This Row],[ID FACTURA]]&lt;&gt;0,"EMITIDA",Tabla6[[#This Row],[ID FACTURA]]=0,"POR EMITIR")</f>
        <v>POR EMITIR</v>
      </c>
      <c r="M1800" s="55" t="str">
        <f>+IF(Tabla6[[#This Row],[ESTADO FACTURA]]="PAGADA",Tabla6[[#This Row],[FECHA]]-_xlfn.XLOOKUP(Tabla6[[#This Row],[N° FACTURA]],INGRESOS!F:F,INGRESOS!A:A),"-")</f>
        <v>-</v>
      </c>
      <c r="N1800" s="2"/>
      <c r="O1800"/>
    </row>
    <row r="1801" spans="1:15" ht="14.75" customHeight="1">
      <c r="A1801" s="320" t="s">
        <v>1201</v>
      </c>
      <c r="B1801" t="str">
        <f>+_xlfn.XLOOKUP(Tabla6[[#This Row],[ID CLIENTE]],'RESUMEN CLIENTES'!D:D,'RESUMEN CLIENTES'!A:A)</f>
        <v>María Soledad Tituana Asanza</v>
      </c>
      <c r="C1801" t="str">
        <f>+_xlfn.XLOOKUP(Tabla6[[#This Row],[ID CLIENTE]],'RESUMEN CLIENTES'!D:D,'RESUMEN CLIENTES'!C:C)</f>
        <v>Ecuador</v>
      </c>
      <c r="D1801" s="44" t="str">
        <f>+_xlfn.XLOOKUP(Tabla6[[#This Row],[ID CLIENTE]],'RESUMEN CLIENTES'!D:D,'RESUMEN CLIENTES'!M:M)</f>
        <v>OK</v>
      </c>
      <c r="E1801" s="72">
        <f>+_xlfn.XLOOKUP(Tabla6[[#This Row],[NOMBRE]],'RESUMEN CLIENTES'!A:A,'RESUMEN CLIENTES'!X:X)</f>
        <v>-0.16666666666666666</v>
      </c>
      <c r="F1801" s="72">
        <f>+_xlfn.XLOOKUP(Tabla6[[#This Row],[ID CLIENTE]],'RESUMEN CLIENTES'!D:D,'RESUMEN CLIENTES'!W:W)</f>
        <v>0</v>
      </c>
      <c r="G1801" s="17">
        <v>46325</v>
      </c>
      <c r="H1801" s="44" t="s">
        <v>81</v>
      </c>
      <c r="I1801" s="2">
        <v>1000</v>
      </c>
      <c r="J1801"/>
      <c r="K1801"/>
      <c r="L1801" s="44" t="str" cm="1">
        <f t="array" ref="L1801">+_xlfn.IFS(COUNTIF(INGRESOS!E:E,Tabla6[[#This Row],[ID FACTURA]])=1,"PAGADA",Tabla6[[#This Row],[ID FACTURA]]&lt;&gt;0,"EMITIDA",Tabla6[[#This Row],[ID FACTURA]]=0,"POR EMITIR")</f>
        <v>POR EMITIR</v>
      </c>
      <c r="M1801" s="55" t="str">
        <f>+IF(Tabla6[[#This Row],[ESTADO FACTURA]]="PAGADA",Tabla6[[#This Row],[FECHA]]-_xlfn.XLOOKUP(Tabla6[[#This Row],[N° FACTURA]],INGRESOS!F:F,INGRESOS!A:A),"-")</f>
        <v>-</v>
      </c>
      <c r="N1801" s="2"/>
      <c r="O1801"/>
    </row>
    <row r="1802" spans="1:15" ht="14.75" customHeight="1">
      <c r="A1802" s="320" t="s">
        <v>4464</v>
      </c>
      <c r="B1802" t="str">
        <f>+_xlfn.XLOOKUP(Tabla6[[#This Row],[ID CLIENTE]],'RESUMEN CLIENTES'!D:D,'RESUMEN CLIENTES'!A:A)</f>
        <v>Alan Diego Titiro Casone</v>
      </c>
      <c r="C1802" t="str">
        <f>+_xlfn.XLOOKUP(Tabla6[[#This Row],[ID CLIENTE]],'RESUMEN CLIENTES'!D:D,'RESUMEN CLIENTES'!C:C)</f>
        <v>Chile</v>
      </c>
      <c r="D1802" s="44" t="str">
        <f>+_xlfn.XLOOKUP(Tabla6[[#This Row],[ID CLIENTE]],'RESUMEN CLIENTES'!D:D,'RESUMEN CLIENTES'!M:M)</f>
        <v>OK</v>
      </c>
      <c r="E1802" s="72">
        <f>+_xlfn.XLOOKUP(Tabla6[[#This Row],[NOMBRE]],'RESUMEN CLIENTES'!A:A,'RESUMEN CLIENTES'!X:X)</f>
        <v>0</v>
      </c>
      <c r="F1802" s="72">
        <f>+_xlfn.XLOOKUP(Tabla6[[#This Row],[ID CLIENTE]],'RESUMEN CLIENTES'!D:D,'RESUMEN CLIENTES'!W:W)</f>
        <v>0</v>
      </c>
      <c r="G1802" s="17">
        <f>IF($H1802&lt;&gt;"ALEM","",IFERROR(
  DATE(
    YEAR(EDATE(
      _xlfn.XLOOKUP($A1802,'RESUMEN CLIENTES'!$D:$D,'RESUMEN CLIENTES'!$Y:$Y,""),
      7 + COUNTIFS(
            $A$2:INDEX($A:$A,ROW()), $A1802,
            $H$2:INDEX($H:$H,ROW()), "ALEM"
          )
    )),
    MONTH(EDATE(
      _xlfn.XLOOKUP($A1802,'RESUMEN CLIENTES'!$D:$D,'RESUMEN CLIENTES'!$Y:$Y,""),
      7 + COUNTIFS(
            $A$2:INDEX($A:$A,ROW()), $A1802,
            $H$2:INDEX($H:$H,ROW()), "ALEM"
          )
    )),
    1
  ),
"SIN FECHA MIG"))</f>
        <v>46327</v>
      </c>
      <c r="H1802" s="44" t="s">
        <v>1876</v>
      </c>
      <c r="I1802" s="2">
        <v>1000</v>
      </c>
      <c r="J1802"/>
      <c r="K1802"/>
      <c r="L1802" s="44" t="str" cm="1">
        <f t="array" ref="L1802">+_xlfn.IFS(COUNTIF(INGRESOS!E:E,Tabla6[[#This Row],[ID FACTURA]])=1,"PAGADA",Tabla6[[#This Row],[ID FACTURA]]&lt;&gt;0,"EMITIDA",Tabla6[[#This Row],[ID FACTURA]]=0,"POR EMITIR")</f>
        <v>POR EMITIR</v>
      </c>
      <c r="M1802" s="55" t="str">
        <f>+IF(Tabla6[[#This Row],[ESTADO FACTURA]]="PAGADA",Tabla6[[#This Row],[FECHA]]-_xlfn.XLOOKUP(Tabla6[[#This Row],[N° FACTURA]],INGRESOS!F:F,INGRESOS!A:A),"-")</f>
        <v>-</v>
      </c>
      <c r="N1802" s="2"/>
      <c r="O1802"/>
    </row>
    <row r="1803" spans="1:15" ht="14.75" customHeight="1">
      <c r="A1803" s="320" t="s">
        <v>541</v>
      </c>
      <c r="B1803" t="str">
        <f>+_xlfn.XLOOKUP(Tabla6[[#This Row],[ID CLIENTE]],'RESUMEN CLIENTES'!D:D,'RESUMEN CLIENTES'!A:A)</f>
        <v>Alejandra Goretti Figueroa Romo</v>
      </c>
      <c r="C1803" t="str">
        <f>+_xlfn.XLOOKUP(Tabla6[[#This Row],[ID CLIENTE]],'RESUMEN CLIENTES'!D:D,'RESUMEN CLIENTES'!C:C)</f>
        <v>México</v>
      </c>
      <c r="D1803" s="44" t="str">
        <f>+_xlfn.XLOOKUP(Tabla6[[#This Row],[ID CLIENTE]],'RESUMEN CLIENTES'!D:D,'RESUMEN CLIENTES'!M:M)</f>
        <v>OK</v>
      </c>
      <c r="E1803" s="72">
        <f>+_xlfn.XLOOKUP(Tabla6[[#This Row],[NOMBRE]],'RESUMEN CLIENTES'!A:A,'RESUMEN CLIENTES'!X:X)</f>
        <v>0.75</v>
      </c>
      <c r="F1803" s="72">
        <f>+_xlfn.XLOOKUP(Tabla6[[#This Row],[ID CLIENTE]],'RESUMEN CLIENTES'!D:D,'RESUMEN CLIENTES'!W:W)</f>
        <v>0</v>
      </c>
      <c r="G1803" s="17">
        <f>IF($H1803&lt;&gt;"ALEM","",IFERROR(
  DATE(
    YEAR(EDATE(
      _xlfn.XLOOKUP($A1803,'RESUMEN CLIENTES'!$D:$D,'RESUMEN CLIENTES'!$Y:$Y,""),
      7 + COUNTIFS(
            $A$2:INDEX($A:$A,ROW()), $A1803,
            $H$2:INDEX($H:$H,ROW()), "ALEM"
          )
    )),
    MONTH(EDATE(
      _xlfn.XLOOKUP($A1803,'RESUMEN CLIENTES'!$D:$D,'RESUMEN CLIENTES'!$Y:$Y,""),
      7 + COUNTIFS(
            $A$2:INDEX($A:$A,ROW()), $A1803,
            $H$2:INDEX($H:$H,ROW()), "ALEM"
          )
    )),
    1
  ),
"SIN FECHA MIG"))</f>
        <v>46327</v>
      </c>
      <c r="H1803" s="44" t="s">
        <v>1876</v>
      </c>
      <c r="I1803" s="2">
        <v>1000</v>
      </c>
      <c r="J1803"/>
      <c r="K1803"/>
      <c r="L1803" s="44" t="str" cm="1">
        <f t="array" ref="L1803">+_xlfn.IFS(COUNTIF(INGRESOS!E:E,Tabla6[[#This Row],[ID FACTURA]])=1,"PAGADA",Tabla6[[#This Row],[ID FACTURA]]&lt;&gt;0,"EMITIDA",Tabla6[[#This Row],[ID FACTURA]]=0,"POR EMITIR")</f>
        <v>POR EMITIR</v>
      </c>
      <c r="M1803" s="55" t="str">
        <f>+IF(Tabla6[[#This Row],[ESTADO FACTURA]]="PAGADA",Tabla6[[#This Row],[FECHA]]-_xlfn.XLOOKUP(Tabla6[[#This Row],[N° FACTURA]],INGRESOS!F:F,INGRESOS!A:A),"-")</f>
        <v>-</v>
      </c>
      <c r="N1803" s="2"/>
      <c r="O1803"/>
    </row>
    <row r="1804" spans="1:15" ht="14.75" customHeight="1">
      <c r="A1804" s="320" t="s">
        <v>84</v>
      </c>
      <c r="B1804" t="str">
        <f>+_xlfn.XLOOKUP(Tabla6[[#This Row],[ID CLIENTE]],'RESUMEN CLIENTES'!D:D,'RESUMEN CLIENTES'!A:A)</f>
        <v>Andrea Corpeño López</v>
      </c>
      <c r="C1804" t="str">
        <f>+_xlfn.XLOOKUP(Tabla6[[#This Row],[ID CLIENTE]],'RESUMEN CLIENTES'!D:D,'RESUMEN CLIENTES'!C:C)</f>
        <v>El Salvador</v>
      </c>
      <c r="D1804" s="44" t="str">
        <f>+_xlfn.XLOOKUP(Tabla6[[#This Row],[ID CLIENTE]],'RESUMEN CLIENTES'!D:D,'RESUMEN CLIENTES'!M:M)</f>
        <v>OK</v>
      </c>
      <c r="E1804" s="72">
        <f>+_xlfn.XLOOKUP(Tabla6[[#This Row],[NOMBRE]],'RESUMEN CLIENTES'!A:A,'RESUMEN CLIENTES'!X:X)</f>
        <v>-0.81818181818181823</v>
      </c>
      <c r="F1804" s="72">
        <f>+_xlfn.XLOOKUP(Tabla6[[#This Row],[ID CLIENTE]],'RESUMEN CLIENTES'!D:D,'RESUMEN CLIENTES'!W:W)</f>
        <v>0</v>
      </c>
      <c r="G1804" s="17">
        <f>IF($H1804&lt;&gt;"ALEM","",IFERROR(
  DATE(
    YEAR(EDATE(
      _xlfn.XLOOKUP($A1804,'RESUMEN CLIENTES'!$D:$D,'RESUMEN CLIENTES'!$Y:$Y,""),
      7 + COUNTIFS(
            $A$2:INDEX($A:$A,ROW()), $A1804,
            $H$2:INDEX($H:$H,ROW()), "ALEM"
          )
    )),
    MONTH(EDATE(
      _xlfn.XLOOKUP($A1804,'RESUMEN CLIENTES'!$D:$D,'RESUMEN CLIENTES'!$Y:$Y,""),
      7 + COUNTIFS(
            $A$2:INDEX($A:$A,ROW()), $A1804,
            $H$2:INDEX($H:$H,ROW()), "ALEM"
          )
    )),
    1
  ),
"SIN FECHA MIG"))</f>
        <v>46327</v>
      </c>
      <c r="H1804" s="44" t="s">
        <v>1876</v>
      </c>
      <c r="I1804" s="2">
        <v>800</v>
      </c>
      <c r="J1804"/>
      <c r="K1804"/>
      <c r="L1804" s="44" t="str" cm="1">
        <f t="array" ref="L1804">+_xlfn.IFS(COUNTIF(INGRESOS!E:E,Tabla6[[#This Row],[ID FACTURA]])=1,"PAGADA",Tabla6[[#This Row],[ID FACTURA]]&lt;&gt;0,"EMITIDA",Tabla6[[#This Row],[ID FACTURA]]=0,"POR EMITIR")</f>
        <v>POR EMITIR</v>
      </c>
      <c r="M1804" s="55" t="str">
        <f>+IF(Tabla6[[#This Row],[ESTADO FACTURA]]="PAGADA",Tabla6[[#This Row],[FECHA]]-_xlfn.XLOOKUP(Tabla6[[#This Row],[N° FACTURA]],INGRESOS!F:F,INGRESOS!A:A),"-")</f>
        <v>-</v>
      </c>
      <c r="N1804" s="2"/>
      <c r="O1804" t="s">
        <v>2085</v>
      </c>
    </row>
    <row r="1805" spans="1:15" ht="14.75" customHeight="1">
      <c r="A1805" s="320" t="s">
        <v>325</v>
      </c>
      <c r="B1805" t="str">
        <f>+_xlfn.XLOOKUP(Tabla6[[#This Row],[ID CLIENTE]],'RESUMEN CLIENTES'!D:D,'RESUMEN CLIENTES'!A:A)</f>
        <v>Andrea Cristina Estrada Morocho</v>
      </c>
      <c r="C1805" t="str">
        <f>+_xlfn.XLOOKUP(Tabla6[[#This Row],[ID CLIENTE]],'RESUMEN CLIENTES'!D:D,'RESUMEN CLIENTES'!C:C)</f>
        <v>Ecuador</v>
      </c>
      <c r="D1805" s="44" t="str">
        <f>+_xlfn.XLOOKUP(Tabla6[[#This Row],[ID CLIENTE]],'RESUMEN CLIENTES'!D:D,'RESUMEN CLIENTES'!M:M)</f>
        <v>OK</v>
      </c>
      <c r="E1805" s="72">
        <f>+_xlfn.XLOOKUP(Tabla6[[#This Row],[NOMBRE]],'RESUMEN CLIENTES'!A:A,'RESUMEN CLIENTES'!X:X)</f>
        <v>-3.6666666666666665</v>
      </c>
      <c r="F1805" s="72">
        <f>+_xlfn.XLOOKUP(Tabla6[[#This Row],[ID CLIENTE]],'RESUMEN CLIENTES'!D:D,'RESUMEN CLIENTES'!W:W)</f>
        <v>1</v>
      </c>
      <c r="G1805" s="17">
        <f>IF($H1805&lt;&gt;"ALEM","",IFERROR(
  DATE(
    YEAR(EDATE(
      _xlfn.XLOOKUP($A1805,'RESUMEN CLIENTES'!$D:$D,'RESUMEN CLIENTES'!$Y:$Y,""),
      7 + COUNTIFS(
            $A$2:INDEX($A:$A,ROW()), $A1805,
            $H$2:INDEX($H:$H,ROW()), "ALEM"
          )
    )),
    MONTH(EDATE(
      _xlfn.XLOOKUP($A1805,'RESUMEN CLIENTES'!$D:$D,'RESUMEN CLIENTES'!$Y:$Y,""),
      7 + COUNTIFS(
            $A$2:INDEX($A:$A,ROW()), $A1805,
            $H$2:INDEX($H:$H,ROW()), "ALEM"
          )
    )),
    1
  ),
"SIN FECHA MIG"))</f>
        <v>46327</v>
      </c>
      <c r="H1805" s="44" t="s">
        <v>1876</v>
      </c>
      <c r="I1805" s="2">
        <v>1000</v>
      </c>
      <c r="J1805"/>
      <c r="K1805"/>
      <c r="L1805" s="44" t="str" cm="1">
        <f t="array" ref="L1805">+_xlfn.IFS(COUNTIF(INGRESOS!E:E,Tabla6[[#This Row],[ID FACTURA]])=1,"PAGADA",Tabla6[[#This Row],[ID FACTURA]]&lt;&gt;0,"EMITIDA",Tabla6[[#This Row],[ID FACTURA]]=0,"POR EMITIR")</f>
        <v>POR EMITIR</v>
      </c>
      <c r="M1805" s="55" t="str">
        <f>+IF(Tabla6[[#This Row],[ESTADO FACTURA]]="PAGADA",Tabla6[[#This Row],[FECHA]]-_xlfn.XLOOKUP(Tabla6[[#This Row],[N° FACTURA]],INGRESOS!F:F,INGRESOS!A:A),"-")</f>
        <v>-</v>
      </c>
      <c r="N1805" s="2"/>
      <c r="O1805"/>
    </row>
    <row r="1806" spans="1:15" ht="14.75" customHeight="1">
      <c r="A1806" s="320" t="s">
        <v>1357</v>
      </c>
      <c r="B1806" t="str">
        <f>+_xlfn.XLOOKUP(Tabla6[[#This Row],[ID CLIENTE]],'RESUMEN CLIENTES'!D:D,'RESUMEN CLIENTES'!A:A)</f>
        <v>Angel Andres Velastegui Huebla</v>
      </c>
      <c r="C1806" t="str">
        <f>+_xlfn.XLOOKUP(Tabla6[[#This Row],[ID CLIENTE]],'RESUMEN CLIENTES'!D:D,'RESUMEN CLIENTES'!C:C)</f>
        <v>Ecuador</v>
      </c>
      <c r="D1806" s="44" t="str">
        <f>+_xlfn.XLOOKUP(Tabla6[[#This Row],[ID CLIENTE]],'RESUMEN CLIENTES'!D:D,'RESUMEN CLIENTES'!M:M)</f>
        <v>OK</v>
      </c>
      <c r="E1806" s="71">
        <f>+_xlfn.XLOOKUP(Tabla6[[#This Row],[NOMBRE]],'RESUMEN CLIENTES'!A:A,'RESUMEN CLIENTES'!X:X)</f>
        <v>0</v>
      </c>
      <c r="F1806" s="71">
        <f>+_xlfn.XLOOKUP(Tabla6[[#This Row],[ID CLIENTE]],'RESUMEN CLIENTES'!D:D,'RESUMEN CLIENTES'!W:W)</f>
        <v>1</v>
      </c>
      <c r="G1806" s="17">
        <f>IF($H1806&lt;&gt;"ALEM","",IFERROR(
  DATE(
    YEAR(EDATE(
      _xlfn.XLOOKUP($A1806,'RESUMEN CLIENTES'!$D:$D,'RESUMEN CLIENTES'!$Y:$Y,""),
      7 + COUNTIFS(
            $A$2:INDEX($A:$A,ROW()), $A1806,
            $H$2:INDEX($H:$H,ROW()), "ALEM"
          )
    )),
    MONTH(EDATE(
      _xlfn.XLOOKUP($A1806,'RESUMEN CLIENTES'!$D:$D,'RESUMEN CLIENTES'!$Y:$Y,""),
      7 + COUNTIFS(
            $A$2:INDEX($A:$A,ROW()), $A1806,
            $H$2:INDEX($H:$H,ROW()), "ALEM"
          )
    )),
    1
  ),
"SIN FECHA MIG"))</f>
        <v>46327</v>
      </c>
      <c r="H1806" s="44" t="s">
        <v>1876</v>
      </c>
      <c r="I1806" s="2">
        <v>800</v>
      </c>
      <c r="J1806"/>
      <c r="K1806"/>
      <c r="L1806" s="44" t="str" cm="1">
        <f t="array" ref="L1806">+_xlfn.IFS(COUNTIF(INGRESOS!E:E,Tabla6[[#This Row],[ID FACTURA]])=1,"PAGADA",Tabla6[[#This Row],[ID FACTURA]]&lt;&gt;0,"EMITIDA",Tabla6[[#This Row],[ID FACTURA]]=0,"POR EMITIR")</f>
        <v>POR EMITIR</v>
      </c>
      <c r="M1806" s="55" t="str">
        <f>+IF(Tabla6[[#This Row],[ESTADO FACTURA]]="PAGADA",Tabla6[[#This Row],[FECHA]]-_xlfn.XLOOKUP(Tabla6[[#This Row],[N° FACTURA]],INGRESOS!F:F,INGRESOS!A:A),"-")</f>
        <v>-</v>
      </c>
      <c r="N1806" s="2"/>
      <c r="O1806"/>
    </row>
    <row r="1807" spans="1:15" ht="14.75" customHeight="1">
      <c r="A1807" s="320" t="s">
        <v>574</v>
      </c>
      <c r="B1807" t="str">
        <f>+_xlfn.XLOOKUP(Tabla6[[#This Row],[ID CLIENTE]],'RESUMEN CLIENTES'!D:D,'RESUMEN CLIENTES'!A:A)</f>
        <v>Astrid Mariam Enamorado Ortega</v>
      </c>
      <c r="C1807" t="str">
        <f>+_xlfn.XLOOKUP(Tabla6[[#This Row],[ID CLIENTE]],'RESUMEN CLIENTES'!D:D,'RESUMEN CLIENTES'!C:C)</f>
        <v>Honduras</v>
      </c>
      <c r="D1807" s="44" t="str">
        <f>+_xlfn.XLOOKUP(Tabla6[[#This Row],[ID CLIENTE]],'RESUMEN CLIENTES'!D:D,'RESUMEN CLIENTES'!M:M)</f>
        <v>OK</v>
      </c>
      <c r="E1807" s="72">
        <f>+_xlfn.XLOOKUP(Tabla6[[#This Row],[NOMBRE]],'RESUMEN CLIENTES'!A:A,'RESUMEN CLIENTES'!X:X)</f>
        <v>-1.75</v>
      </c>
      <c r="F1807" s="72">
        <f>+_xlfn.XLOOKUP(Tabla6[[#This Row],[ID CLIENTE]],'RESUMEN CLIENTES'!D:D,'RESUMEN CLIENTES'!W:W)</f>
        <v>0</v>
      </c>
      <c r="G1807" s="17">
        <f>IF($H1807&lt;&gt;"ALEM","",IFERROR(
  DATE(
    YEAR(EDATE(
      _xlfn.XLOOKUP($A1807,'RESUMEN CLIENTES'!$D:$D,'RESUMEN CLIENTES'!$Y:$Y,""),
      7 + COUNTIFS(
            $A$2:INDEX($A:$A,ROW()), $A1807,
            $H$2:INDEX($H:$H,ROW()), "ALEM"
          )
    )),
    MONTH(EDATE(
      _xlfn.XLOOKUP($A1807,'RESUMEN CLIENTES'!$D:$D,'RESUMEN CLIENTES'!$Y:$Y,""),
      7 + COUNTIFS(
            $A$2:INDEX($A:$A,ROW()), $A1807,
            $H$2:INDEX($H:$H,ROW()), "ALEM"
          )
    )),
    1
  ),
"SIN FECHA MIG"))</f>
        <v>46327</v>
      </c>
      <c r="H1807" s="44" t="s">
        <v>1876</v>
      </c>
      <c r="I1807" s="2">
        <v>1000</v>
      </c>
      <c r="J1807"/>
      <c r="K1807"/>
      <c r="L1807" s="44" t="str" cm="1">
        <f t="array" ref="L1807">+_xlfn.IFS(COUNTIF(INGRESOS!E:E,Tabla6[[#This Row],[ID FACTURA]])=1,"PAGADA",Tabla6[[#This Row],[ID FACTURA]]&lt;&gt;0,"EMITIDA",Tabla6[[#This Row],[ID FACTURA]]=0,"POR EMITIR")</f>
        <v>POR EMITIR</v>
      </c>
      <c r="M1807" s="55" t="str">
        <f>+IF(Tabla6[[#This Row],[ESTADO FACTURA]]="PAGADA",Tabla6[[#This Row],[FECHA]]-_xlfn.XLOOKUP(Tabla6[[#This Row],[N° FACTURA]],INGRESOS!F:F,INGRESOS!A:A),"-")</f>
        <v>-</v>
      </c>
      <c r="N1807" s="2"/>
      <c r="O1807"/>
    </row>
    <row r="1808" spans="1:15" ht="14.75" customHeight="1">
      <c r="A1808" s="320" t="s">
        <v>162</v>
      </c>
      <c r="B1808" t="str">
        <f>+_xlfn.XLOOKUP(Tabla6[[#This Row],[ID CLIENTE]],'RESUMEN CLIENTES'!D:D,'RESUMEN CLIENTES'!A:A)</f>
        <v>Bastian Sofjer Peralta</v>
      </c>
      <c r="C1808" t="str">
        <f>+_xlfn.XLOOKUP(Tabla6[[#This Row],[ID CLIENTE]],'RESUMEN CLIENTES'!D:D,'RESUMEN CLIENTES'!C:C)</f>
        <v>Chile</v>
      </c>
      <c r="D1808" s="44" t="str">
        <f>+_xlfn.XLOOKUP(Tabla6[[#This Row],[ID CLIENTE]],'RESUMEN CLIENTES'!D:D,'RESUMEN CLIENTES'!M:M)</f>
        <v>OK</v>
      </c>
      <c r="E1808" s="72">
        <f>+_xlfn.XLOOKUP(Tabla6[[#This Row],[NOMBRE]],'RESUMEN CLIENTES'!A:A,'RESUMEN CLIENTES'!X:X)</f>
        <v>4.125</v>
      </c>
      <c r="F1808" s="72">
        <f>+_xlfn.XLOOKUP(Tabla6[[#This Row],[ID CLIENTE]],'RESUMEN CLIENTES'!D:D,'RESUMEN CLIENTES'!W:W)</f>
        <v>1</v>
      </c>
      <c r="G1808" s="17">
        <f>IF($H1808&lt;&gt;"ALEM","",IFERROR(
  DATE(
    YEAR(EDATE(
      _xlfn.XLOOKUP($A1808,'RESUMEN CLIENTES'!$D:$D,'RESUMEN CLIENTES'!$Y:$Y,""),
      7 + COUNTIFS(
            $A$2:INDEX($A:$A,ROW()), $A1808,
            $H$2:INDEX($H:$H,ROW()), "ALEM"
          )
    )),
    MONTH(EDATE(
      _xlfn.XLOOKUP($A1808,'RESUMEN CLIENTES'!$D:$D,'RESUMEN CLIENTES'!$Y:$Y,""),
      7 + COUNTIFS(
            $A$2:INDEX($A:$A,ROW()), $A1808,
            $H$2:INDEX($H:$H,ROW()), "ALEM"
          )
    )),
    1
  ),
"SIN FECHA MIG"))</f>
        <v>46327</v>
      </c>
      <c r="H1808" s="44" t="s">
        <v>1876</v>
      </c>
      <c r="I1808" s="2">
        <v>1000</v>
      </c>
      <c r="J1808"/>
      <c r="K1808"/>
      <c r="L1808" s="44" t="str" cm="1">
        <f t="array" ref="L1808">+_xlfn.IFS(COUNTIF(INGRESOS!E:E,Tabla6[[#This Row],[ID FACTURA]])=1,"PAGADA",Tabla6[[#This Row],[ID FACTURA]]&lt;&gt;0,"EMITIDA",Tabla6[[#This Row],[ID FACTURA]]=0,"POR EMITIR")</f>
        <v>POR EMITIR</v>
      </c>
      <c r="M1808" s="55" t="str">
        <f>+IF(Tabla6[[#This Row],[ESTADO FACTURA]]="PAGADA",Tabla6[[#This Row],[FECHA]]-_xlfn.XLOOKUP(Tabla6[[#This Row],[N° FACTURA]],INGRESOS!F:F,INGRESOS!A:A),"-")</f>
        <v>-</v>
      </c>
      <c r="N1808" s="2"/>
      <c r="O1808" t="s">
        <v>2086</v>
      </c>
    </row>
    <row r="1809" spans="1:15" ht="14.75" customHeight="1">
      <c r="A1809" s="320" t="s">
        <v>184</v>
      </c>
      <c r="B1809" t="str">
        <f>+_xlfn.XLOOKUP(Tabla6[[#This Row],[ID CLIENTE]],'RESUMEN CLIENTES'!D:D,'RESUMEN CLIENTES'!A:A)</f>
        <v>Boris Andrés Silva Véliz</v>
      </c>
      <c r="C1809" t="str">
        <f>+_xlfn.XLOOKUP(Tabla6[[#This Row],[ID CLIENTE]],'RESUMEN CLIENTES'!D:D,'RESUMEN CLIENTES'!C:C)</f>
        <v>Chile</v>
      </c>
      <c r="D1809" s="44" t="str">
        <f>+_xlfn.XLOOKUP(Tabla6[[#This Row],[ID CLIENTE]],'RESUMEN CLIENTES'!D:D,'RESUMEN CLIENTES'!M:M)</f>
        <v>OK</v>
      </c>
      <c r="E1809" s="72">
        <f>+_xlfn.XLOOKUP(Tabla6[[#This Row],[NOMBRE]],'RESUMEN CLIENTES'!A:A,'RESUMEN CLIENTES'!X:X)</f>
        <v>2.1111111111111112</v>
      </c>
      <c r="F1809" s="72">
        <f>+_xlfn.XLOOKUP(Tabla6[[#This Row],[ID CLIENTE]],'RESUMEN CLIENTES'!D:D,'RESUMEN CLIENTES'!W:W)</f>
        <v>0</v>
      </c>
      <c r="G1809" s="17">
        <f>IF($H1809&lt;&gt;"ALEM","",IFERROR(
  DATE(
    YEAR(EDATE(
      _xlfn.XLOOKUP($A1809,'RESUMEN CLIENTES'!$D:$D,'RESUMEN CLIENTES'!$Y:$Y,""),
      7 + COUNTIFS(
            $A$2:INDEX($A:$A,ROW()), $A1809,
            $H$2:INDEX($H:$H,ROW()), "ALEM"
          )
    )),
    MONTH(EDATE(
      _xlfn.XLOOKUP($A1809,'RESUMEN CLIENTES'!$D:$D,'RESUMEN CLIENTES'!$Y:$Y,""),
      7 + COUNTIFS(
            $A$2:INDEX($A:$A,ROW()), $A1809,
            $H$2:INDEX($H:$H,ROW()), "ALEM"
          )
    )),
    1
  ),
"SIN FECHA MIG"))</f>
        <v>46327</v>
      </c>
      <c r="H1809" s="44" t="s">
        <v>1876</v>
      </c>
      <c r="I1809" s="2">
        <v>458</v>
      </c>
      <c r="J1809"/>
      <c r="K1809"/>
      <c r="L1809" s="44" t="str" cm="1">
        <f t="array" ref="L1809">+_xlfn.IFS(COUNTIF(INGRESOS!E:E,Tabla6[[#This Row],[ID FACTURA]])=1,"PAGADA",Tabla6[[#This Row],[ID FACTURA]]&lt;&gt;0,"EMITIDA",Tabla6[[#This Row],[ID FACTURA]]=0,"POR EMITIR")</f>
        <v>POR EMITIR</v>
      </c>
      <c r="M1809" s="55" t="str">
        <f>+IF(Tabla6[[#This Row],[ESTADO FACTURA]]="PAGADA",Tabla6[[#This Row],[FECHA]]-_xlfn.XLOOKUP(Tabla6[[#This Row],[N° FACTURA]],INGRESOS!F:F,INGRESOS!A:A),"-")</f>
        <v>-</v>
      </c>
      <c r="N1809" s="2"/>
      <c r="O1809"/>
    </row>
    <row r="1810" spans="1:15" ht="14.75" customHeight="1">
      <c r="A1810" s="320" t="s">
        <v>1206</v>
      </c>
      <c r="B1810" t="str">
        <f>+_xlfn.XLOOKUP(Tabla6[[#This Row],[ID CLIENTE]],'RESUMEN CLIENTES'!D:D,'RESUMEN CLIENTES'!A:A)</f>
        <v>Bryan Israel Jiménez Puente</v>
      </c>
      <c r="C1810" t="str">
        <f>+_xlfn.XLOOKUP(Tabla6[[#This Row],[ID CLIENTE]],'RESUMEN CLIENTES'!D:D,'RESUMEN CLIENTES'!C:C)</f>
        <v>Ecuador</v>
      </c>
      <c r="D1810" s="44" t="str">
        <f>+_xlfn.XLOOKUP(Tabla6[[#This Row],[ID CLIENTE]],'RESUMEN CLIENTES'!D:D,'RESUMEN CLIENTES'!M:M)</f>
        <v>OK</v>
      </c>
      <c r="E1810" s="72">
        <f>+_xlfn.XLOOKUP(Tabla6[[#This Row],[NOMBRE]],'RESUMEN CLIENTES'!A:A,'RESUMEN CLIENTES'!X:X)</f>
        <v>1</v>
      </c>
      <c r="F1810" s="72">
        <f>+_xlfn.XLOOKUP(Tabla6[[#This Row],[ID CLIENTE]],'RESUMEN CLIENTES'!D:D,'RESUMEN CLIENTES'!W:W)</f>
        <v>0</v>
      </c>
      <c r="G1810" s="17">
        <f>IF($H1810&lt;&gt;"ALEM","",IFERROR(
  DATE(
    YEAR(EDATE(
      _xlfn.XLOOKUP($A1810,'RESUMEN CLIENTES'!$D:$D,'RESUMEN CLIENTES'!$Y:$Y,""),
      7 + COUNTIFS(
            $A$2:INDEX($A:$A,ROW()), $A1810,
            $H$2:INDEX($H:$H,ROW()), "ALEM"
          )
    )),
    MONTH(EDATE(
      _xlfn.XLOOKUP($A1810,'RESUMEN CLIENTES'!$D:$D,'RESUMEN CLIENTES'!$Y:$Y,""),
      7 + COUNTIFS(
            $A$2:INDEX($A:$A,ROW()), $A1810,
            $H$2:INDEX($H:$H,ROW()), "ALEM"
          )
    )),
    1
  ),
"SIN FECHA MIG"))</f>
        <v>46327</v>
      </c>
      <c r="H1810" s="44" t="s">
        <v>1876</v>
      </c>
      <c r="I1810" s="2">
        <v>800</v>
      </c>
      <c r="J1810"/>
      <c r="K1810"/>
      <c r="L1810" s="44" t="str" cm="1">
        <f t="array" ref="L1810">+_xlfn.IFS(COUNTIF(INGRESOS!E:E,Tabla6[[#This Row],[ID FACTURA]])=1,"PAGADA",Tabla6[[#This Row],[ID FACTURA]]&lt;&gt;0,"EMITIDA",Tabla6[[#This Row],[ID FACTURA]]=0,"POR EMITIR")</f>
        <v>POR EMITIR</v>
      </c>
      <c r="M1810" s="55" t="str">
        <f>+IF(Tabla6[[#This Row],[ESTADO FACTURA]]="PAGADA",Tabla6[[#This Row],[FECHA]]-_xlfn.XLOOKUP(Tabla6[[#This Row],[N° FACTURA]],INGRESOS!F:F,INGRESOS!A:A),"-")</f>
        <v>-</v>
      </c>
      <c r="N1810" s="2"/>
      <c r="O1810" t="s">
        <v>2084</v>
      </c>
    </row>
    <row r="1811" spans="1:15" ht="14.75" customHeight="1">
      <c r="A1811" s="320" t="s">
        <v>226</v>
      </c>
      <c r="B1811" t="str">
        <f>+_xlfn.XLOOKUP(Tabla6[[#This Row],[ID CLIENTE]],'RESUMEN CLIENTES'!D:D,'RESUMEN CLIENTES'!A:A)</f>
        <v>Carlos Josue Escobar Morán</v>
      </c>
      <c r="C1811" t="str">
        <f>+_xlfn.XLOOKUP(Tabla6[[#This Row],[ID CLIENTE]],'RESUMEN CLIENTES'!D:D,'RESUMEN CLIENTES'!C:C)</f>
        <v>El Salvador</v>
      </c>
      <c r="D1811" s="44" t="str">
        <f>+_xlfn.XLOOKUP(Tabla6[[#This Row],[ID CLIENTE]],'RESUMEN CLIENTES'!D:D,'RESUMEN CLIENTES'!M:M)</f>
        <v>OK</v>
      </c>
      <c r="E1811" s="72">
        <f>+_xlfn.XLOOKUP(Tabla6[[#This Row],[NOMBRE]],'RESUMEN CLIENTES'!A:A,'RESUMEN CLIENTES'!X:X)</f>
        <v>0.8</v>
      </c>
      <c r="F1811" s="72">
        <f>+_xlfn.XLOOKUP(Tabla6[[#This Row],[ID CLIENTE]],'RESUMEN CLIENTES'!D:D,'RESUMEN CLIENTES'!W:W)</f>
        <v>0</v>
      </c>
      <c r="G1811" s="17">
        <f>IF($H1811&lt;&gt;"ALEM","",IFERROR(
  DATE(
    YEAR(EDATE(
      _xlfn.XLOOKUP($A1811,'RESUMEN CLIENTES'!$D:$D,'RESUMEN CLIENTES'!$Y:$Y,""),
      7 + COUNTIFS(
            $A$2:INDEX($A:$A,ROW()), $A1811,
            $H$2:INDEX($H:$H,ROW()), "ALEM"
          )
    )),
    MONTH(EDATE(
      _xlfn.XLOOKUP($A1811,'RESUMEN CLIENTES'!$D:$D,'RESUMEN CLIENTES'!$Y:$Y,""),
      7 + COUNTIFS(
            $A$2:INDEX($A:$A,ROW()), $A1811,
            $H$2:INDEX($H:$H,ROW()), "ALEM"
          )
    )),
    1
  ),
"SIN FECHA MIG"))</f>
        <v>46327</v>
      </c>
      <c r="H1811" s="44" t="s">
        <v>1876</v>
      </c>
      <c r="I1811" s="2">
        <v>500</v>
      </c>
      <c r="J1811"/>
      <c r="K1811"/>
      <c r="L1811" s="44" t="str" cm="1">
        <f t="array" ref="L1811">+_xlfn.IFS(COUNTIF(INGRESOS!E:E,Tabla6[[#This Row],[ID FACTURA]])=1,"PAGADA",Tabla6[[#This Row],[ID FACTURA]]&lt;&gt;0,"EMITIDA",Tabla6[[#This Row],[ID FACTURA]]=0,"POR EMITIR")</f>
        <v>POR EMITIR</v>
      </c>
      <c r="M1811" s="55" t="str">
        <f>+IF(Tabla6[[#This Row],[ESTADO FACTURA]]="PAGADA",Tabla6[[#This Row],[FECHA]]-_xlfn.XLOOKUP(Tabla6[[#This Row],[N° FACTURA]],INGRESOS!F:F,INGRESOS!A:A),"-")</f>
        <v>-</v>
      </c>
      <c r="N1811" s="2"/>
      <c r="O1811"/>
    </row>
    <row r="1812" spans="1:15" ht="14.75" customHeight="1">
      <c r="A1812" s="320" t="s">
        <v>1245</v>
      </c>
      <c r="B1812" t="str">
        <f>+_xlfn.XLOOKUP(Tabla6[[#This Row],[ID CLIENTE]],'RESUMEN CLIENTES'!D:D,'RESUMEN CLIENTES'!A:A)</f>
        <v>Constanza Andrea Águila Vergara</v>
      </c>
      <c r="C1812" t="str">
        <f>+_xlfn.XLOOKUP(Tabla6[[#This Row],[ID CLIENTE]],'RESUMEN CLIENTES'!D:D,'RESUMEN CLIENTES'!C:C)</f>
        <v>Chile</v>
      </c>
      <c r="D1812" s="44" t="str">
        <f>+_xlfn.XLOOKUP(Tabla6[[#This Row],[ID CLIENTE]],'RESUMEN CLIENTES'!D:D,'RESUMEN CLIENTES'!M:M)</f>
        <v>OK</v>
      </c>
      <c r="E1812" s="71">
        <f>+_xlfn.XLOOKUP(Tabla6[[#This Row],[NOMBRE]],'RESUMEN CLIENTES'!A:A,'RESUMEN CLIENTES'!X:X)</f>
        <v>-0.2</v>
      </c>
      <c r="F1812" s="71">
        <f>+_xlfn.XLOOKUP(Tabla6[[#This Row],[ID CLIENTE]],'RESUMEN CLIENTES'!D:D,'RESUMEN CLIENTES'!W:W)</f>
        <v>1</v>
      </c>
      <c r="G1812" s="17">
        <v>46327</v>
      </c>
      <c r="H1812" s="44" t="s">
        <v>81</v>
      </c>
      <c r="I1812" s="2">
        <v>1150</v>
      </c>
      <c r="J1812"/>
      <c r="K1812"/>
      <c r="L1812" s="44" t="str" cm="1">
        <f t="array" ref="L1812">+_xlfn.IFS(COUNTIF(INGRESOS!E:E,Tabla6[[#This Row],[ID FACTURA]])=1,"PAGADA",Tabla6[[#This Row],[ID FACTURA]]&lt;&gt;0,"EMITIDA",Tabla6[[#This Row],[ID FACTURA]]=0,"POR EMITIR")</f>
        <v>POR EMITIR</v>
      </c>
      <c r="M1812" s="55" t="str">
        <f>+IF(Tabla6[[#This Row],[ESTADO FACTURA]]="PAGADA",Tabla6[[#This Row],[FECHA]]-_xlfn.XLOOKUP(Tabla6[[#This Row],[N° FACTURA]],INGRESOS!F:F,INGRESOS!A:A),"-")</f>
        <v>-</v>
      </c>
      <c r="N1812" s="2"/>
      <c r="O1812"/>
    </row>
    <row r="1813" spans="1:15" ht="14.75" customHeight="1">
      <c r="A1813" s="320" t="s">
        <v>1178</v>
      </c>
      <c r="B1813" t="str">
        <f>+_xlfn.XLOOKUP(Tabla6[[#This Row],[ID CLIENTE]],'RESUMEN CLIENTES'!D:D,'RESUMEN CLIENTES'!A:A)</f>
        <v>Daniel Flores</v>
      </c>
      <c r="C1813" t="str">
        <f>+_xlfn.XLOOKUP(Tabla6[[#This Row],[ID CLIENTE]],'RESUMEN CLIENTES'!D:D,'RESUMEN CLIENTES'!C:C)</f>
        <v>Ecuador</v>
      </c>
      <c r="D1813" s="44" t="str">
        <f>+_xlfn.XLOOKUP(Tabla6[[#This Row],[ID CLIENTE]],'RESUMEN CLIENTES'!D:D,'RESUMEN CLIENTES'!M:M)</f>
        <v>OK</v>
      </c>
      <c r="E1813" s="72">
        <f>+_xlfn.XLOOKUP(Tabla6[[#This Row],[NOMBRE]],'RESUMEN CLIENTES'!A:A,'RESUMEN CLIENTES'!X:X)</f>
        <v>3.8333333333333335</v>
      </c>
      <c r="F1813" s="72">
        <f>+_xlfn.XLOOKUP(Tabla6[[#This Row],[ID CLIENTE]],'RESUMEN CLIENTES'!D:D,'RESUMEN CLIENTES'!W:W)</f>
        <v>1</v>
      </c>
      <c r="G1813" s="17">
        <v>46327</v>
      </c>
      <c r="H1813" s="44" t="s">
        <v>81</v>
      </c>
      <c r="I1813" s="2">
        <v>850</v>
      </c>
      <c r="J1813"/>
      <c r="K1813"/>
      <c r="L1813" s="44" t="str" cm="1">
        <f t="array" ref="L1813">+_xlfn.IFS(COUNTIF(INGRESOS!E:E,Tabla6[[#This Row],[ID FACTURA]])=1,"PAGADA",Tabla6[[#This Row],[ID FACTURA]]&lt;&gt;0,"EMITIDA",Tabla6[[#This Row],[ID FACTURA]]=0,"POR EMITIR")</f>
        <v>POR EMITIR</v>
      </c>
      <c r="M1813" s="55" t="str">
        <f>+IF(Tabla6[[#This Row],[ESTADO FACTURA]]="PAGADA",Tabla6[[#This Row],[FECHA]]-_xlfn.XLOOKUP(Tabla6[[#This Row],[N° FACTURA]],INGRESOS!F:F,INGRESOS!A:A),"-")</f>
        <v>-</v>
      </c>
      <c r="N1813" s="2"/>
      <c r="O1813"/>
    </row>
    <row r="1814" spans="1:15" ht="14.75" customHeight="1">
      <c r="A1814" s="320" t="s">
        <v>90</v>
      </c>
      <c r="B1814" t="str">
        <f>+_xlfn.XLOOKUP(Tabla6[[#This Row],[ID CLIENTE]],'RESUMEN CLIENTES'!D:D,'RESUMEN CLIENTES'!A:A)</f>
        <v>David Enrique Díaz Mejía</v>
      </c>
      <c r="C1814" t="str">
        <f>+_xlfn.XLOOKUP(Tabla6[[#This Row],[ID CLIENTE]],'RESUMEN CLIENTES'!D:D,'RESUMEN CLIENTES'!C:C)</f>
        <v>Honduras</v>
      </c>
      <c r="D1814" s="44" t="str">
        <f>+_xlfn.XLOOKUP(Tabla6[[#This Row],[ID CLIENTE]],'RESUMEN CLIENTES'!D:D,'RESUMEN CLIENTES'!M:M)</f>
        <v>OK</v>
      </c>
      <c r="E1814" s="72">
        <f>+_xlfn.XLOOKUP(Tabla6[[#This Row],[NOMBRE]],'RESUMEN CLIENTES'!A:A,'RESUMEN CLIENTES'!X:X)</f>
        <v>-15.217592592592862</v>
      </c>
      <c r="F1814" s="72">
        <f>+_xlfn.XLOOKUP(Tabla6[[#This Row],[ID CLIENTE]],'RESUMEN CLIENTES'!D:D,'RESUMEN CLIENTES'!W:W)</f>
        <v>1</v>
      </c>
      <c r="G1814" s="17">
        <f>IF($H1814&lt;&gt;"ALEM","",IFERROR(
  DATE(
    YEAR(EDATE(
      _xlfn.XLOOKUP($A1814,'RESUMEN CLIENTES'!$D:$D,'RESUMEN CLIENTES'!$Y:$Y,""),
      7 + COUNTIFS(
            $A$2:INDEX($A:$A,ROW()), $A1814,
            $H$2:INDEX($H:$H,ROW()), "ALEM"
          )
    )),
    MONTH(EDATE(
      _xlfn.XLOOKUP($A1814,'RESUMEN CLIENTES'!$D:$D,'RESUMEN CLIENTES'!$Y:$Y,""),
      7 + COUNTIFS(
            $A$2:INDEX($A:$A,ROW()), $A1814,
            $H$2:INDEX($H:$H,ROW()), "ALEM"
          )
    )),
    1
  ),
"SIN FECHA MIG"))</f>
        <v>46327</v>
      </c>
      <c r="H1814" s="44" t="s">
        <v>1876</v>
      </c>
      <c r="I1814" s="2">
        <v>1187</v>
      </c>
      <c r="J1814"/>
      <c r="K1814"/>
      <c r="L1814" s="44" t="str" cm="1">
        <f t="array" ref="L1814">+_xlfn.IFS(COUNTIF(INGRESOS!E:E,Tabla6[[#This Row],[ID FACTURA]])=1,"PAGADA",Tabla6[[#This Row],[ID FACTURA]]&lt;&gt;0,"EMITIDA",Tabla6[[#This Row],[ID FACTURA]]=0,"POR EMITIR")</f>
        <v>POR EMITIR</v>
      </c>
      <c r="M1814" s="55" t="str">
        <f>+IF(Tabla6[[#This Row],[ESTADO FACTURA]]="PAGADA",Tabla6[[#This Row],[FECHA]]-_xlfn.XLOOKUP(Tabla6[[#This Row],[N° FACTURA]],INGRESOS!F:F,INGRESOS!A:A),"-")</f>
        <v>-</v>
      </c>
      <c r="N1814" s="2"/>
      <c r="O1814"/>
    </row>
    <row r="1815" spans="1:15" ht="14.75" customHeight="1">
      <c r="A1815" s="320" t="s">
        <v>1674</v>
      </c>
      <c r="B1815" t="str">
        <f>+_xlfn.XLOOKUP(Tabla6[[#This Row],[ID CLIENTE]],'RESUMEN CLIENTES'!D:D,'RESUMEN CLIENTES'!A:A)</f>
        <v>Diego Alberto Ruiz Cifuentes</v>
      </c>
      <c r="C1815" t="str">
        <f>+_xlfn.XLOOKUP(Tabla6[[#This Row],[ID CLIENTE]],'RESUMEN CLIENTES'!D:D,'RESUMEN CLIENTES'!C:C)</f>
        <v>Chile</v>
      </c>
      <c r="D1815" s="169" t="str">
        <f>+_xlfn.XLOOKUP(Tabla6[[#This Row],[ID CLIENTE]],'RESUMEN CLIENTES'!D:D,'RESUMEN CLIENTES'!M:M)</f>
        <v>OK</v>
      </c>
      <c r="E1815" s="71">
        <f>+_xlfn.XLOOKUP(Tabla6[[#This Row],[NOMBRE]],'RESUMEN CLIENTES'!A:A,'RESUMEN CLIENTES'!X:X)</f>
        <v>5.75</v>
      </c>
      <c r="F1815" s="71">
        <f>+_xlfn.XLOOKUP(Tabla6[[#This Row],[ID CLIENTE]],'RESUMEN CLIENTES'!D:D,'RESUMEN CLIENTES'!W:W)</f>
        <v>0</v>
      </c>
      <c r="G1815" s="17">
        <f>IF($H1815&lt;&gt;"ALEM","",IFERROR(
  DATE(
    YEAR(EDATE(
      _xlfn.XLOOKUP($A1815,'RESUMEN CLIENTES'!$D:$D,'RESUMEN CLIENTES'!$Y:$Y,""),
      7 + COUNTIFS(
            $A$2:INDEX($A:$A,ROW()), $A1815,
            $H$2:INDEX($H:$H,ROW()), "ALEM"
          )
    )),
    MONTH(EDATE(
      _xlfn.XLOOKUP($A1815,'RESUMEN CLIENTES'!$D:$D,'RESUMEN CLIENTES'!$Y:$Y,""),
      7 + COUNTIFS(
            $A$2:INDEX($A:$A,ROW()), $A1815,
            $H$2:INDEX($H:$H,ROW()), "ALEM"
          )
    )),
    1
  ),
"SIN FECHA MIG"))</f>
        <v>46327</v>
      </c>
      <c r="H1815" s="169" t="s">
        <v>1876</v>
      </c>
      <c r="I1815" s="2">
        <v>800</v>
      </c>
      <c r="J1815"/>
      <c r="K1815"/>
      <c r="L1815" s="44" t="str" cm="1">
        <f t="array" ref="L1815">+_xlfn.IFS(COUNTIF(INGRESOS!E:E,Tabla6[[#This Row],[ID FACTURA]])=1,"PAGADA",Tabla6[[#This Row],[ID FACTURA]]&lt;&gt;0,"EMITIDA",Tabla6[[#This Row],[ID FACTURA]]=0,"POR EMITIR")</f>
        <v>POR EMITIR</v>
      </c>
      <c r="M1815" s="55" t="str">
        <f>+IF(Tabla6[[#This Row],[ESTADO FACTURA]]="PAGADA",Tabla6[[#This Row],[FECHA]]-_xlfn.XLOOKUP(Tabla6[[#This Row],[N° FACTURA]],INGRESOS!F:F,INGRESOS!A:A),"-")</f>
        <v>-</v>
      </c>
      <c r="N1815" s="2"/>
      <c r="O1815"/>
    </row>
    <row r="1816" spans="1:15" ht="14.75" customHeight="1">
      <c r="A1816" s="320" t="s">
        <v>253</v>
      </c>
      <c r="B1816" t="str">
        <f>+_xlfn.XLOOKUP(Tabla6[[#This Row],[ID CLIENTE]],'RESUMEN CLIENTES'!D:D,'RESUMEN CLIENTES'!A:A)</f>
        <v>Diego Alonso Salazar Palacios</v>
      </c>
      <c r="C1816" t="str">
        <f>+_xlfn.XLOOKUP(Tabla6[[#This Row],[ID CLIENTE]],'RESUMEN CLIENTES'!D:D,'RESUMEN CLIENTES'!C:C)</f>
        <v>Perú</v>
      </c>
      <c r="D1816" s="44" t="str">
        <f>+_xlfn.XLOOKUP(Tabla6[[#This Row],[ID CLIENTE]],'RESUMEN CLIENTES'!D:D,'RESUMEN CLIENTES'!M:M)</f>
        <v>OK</v>
      </c>
      <c r="E1816" s="72">
        <f>+_xlfn.XLOOKUP(Tabla6[[#This Row],[NOMBRE]],'RESUMEN CLIENTES'!A:A,'RESUMEN CLIENTES'!X:X)</f>
        <v>0.18560606059988707</v>
      </c>
      <c r="F1816" s="72">
        <f>+_xlfn.XLOOKUP(Tabla6[[#This Row],[ID CLIENTE]],'RESUMEN CLIENTES'!D:D,'RESUMEN CLIENTES'!W:W)</f>
        <v>1</v>
      </c>
      <c r="G1816" s="17">
        <f>IF($H1816&lt;&gt;"ALEM","",IFERROR(
  DATE(
    YEAR(EDATE(
      _xlfn.XLOOKUP($A1816,'RESUMEN CLIENTES'!$D:$D,'RESUMEN CLIENTES'!$Y:$Y,""),
      7 + COUNTIFS(
            $A$2:INDEX($A:$A,ROW()), $A1816,
            $H$2:INDEX($H:$H,ROW()), "ALEM"
          )
    )),
    MONTH(EDATE(
      _xlfn.XLOOKUP($A1816,'RESUMEN CLIENTES'!$D:$D,'RESUMEN CLIENTES'!$Y:$Y,""),
      7 + COUNTIFS(
            $A$2:INDEX($A:$A,ROW()), $A1816,
            $H$2:INDEX($H:$H,ROW()), "ALEM"
          )
    )),
    1
  ),
"SIN FECHA MIG"))</f>
        <v>46327</v>
      </c>
      <c r="H1816" s="44" t="s">
        <v>1876</v>
      </c>
      <c r="I1816" s="2">
        <v>1000</v>
      </c>
      <c r="J1816"/>
      <c r="K1816"/>
      <c r="L1816" s="44" t="str" cm="1">
        <f t="array" ref="L1816">+_xlfn.IFS(COUNTIF(INGRESOS!E:E,Tabla6[[#This Row],[ID FACTURA]])=1,"PAGADA",Tabla6[[#This Row],[ID FACTURA]]&lt;&gt;0,"EMITIDA",Tabla6[[#This Row],[ID FACTURA]]=0,"POR EMITIR")</f>
        <v>POR EMITIR</v>
      </c>
      <c r="M1816" s="55" t="str">
        <f>+IF(Tabla6[[#This Row],[ESTADO FACTURA]]="PAGADA",Tabla6[[#This Row],[FECHA]]-_xlfn.XLOOKUP(Tabla6[[#This Row],[N° FACTURA]],INGRESOS!F:F,INGRESOS!A:A),"-")</f>
        <v>-</v>
      </c>
      <c r="N1816" s="2"/>
      <c r="O1816"/>
    </row>
    <row r="1817" spans="1:15" ht="14.75" customHeight="1">
      <c r="A1817" s="320" t="s">
        <v>739</v>
      </c>
      <c r="B1817" t="str">
        <f>+_xlfn.XLOOKUP(Tabla6[[#This Row],[ID CLIENTE]],'RESUMEN CLIENTES'!D:D,'RESUMEN CLIENTES'!A:A)</f>
        <v>Gilberto Martiñon Torres</v>
      </c>
      <c r="C1817" t="str">
        <f>+_xlfn.XLOOKUP(Tabla6[[#This Row],[ID CLIENTE]],'RESUMEN CLIENTES'!D:D,'RESUMEN CLIENTES'!C:C)</f>
        <v>México</v>
      </c>
      <c r="D1817" s="44" t="str">
        <f>+_xlfn.XLOOKUP(Tabla6[[#This Row],[ID CLIENTE]],'RESUMEN CLIENTES'!D:D,'RESUMEN CLIENTES'!M:M)</f>
        <v>OK</v>
      </c>
      <c r="E1817" s="72">
        <f>+_xlfn.XLOOKUP(Tabla6[[#This Row],[NOMBRE]],'RESUMEN CLIENTES'!A:A,'RESUMEN CLIENTES'!X:X)</f>
        <v>-0.625</v>
      </c>
      <c r="F1817" s="72">
        <f>+_xlfn.XLOOKUP(Tabla6[[#This Row],[ID CLIENTE]],'RESUMEN CLIENTES'!D:D,'RESUMEN CLIENTES'!W:W)</f>
        <v>0</v>
      </c>
      <c r="G1817" s="17">
        <f>IF($H1817&lt;&gt;"ALEM","",IFERROR(
  DATE(
    YEAR(EDATE(
      _xlfn.XLOOKUP($A1817,'RESUMEN CLIENTES'!$D:$D,'RESUMEN CLIENTES'!$Y:$Y,""),
      7 + COUNTIFS(
            $A$2:INDEX($A:$A,ROW()), $A1817,
            $H$2:INDEX($H:$H,ROW()), "ALEM"
          )
    )),
    MONTH(EDATE(
      _xlfn.XLOOKUP($A1817,'RESUMEN CLIENTES'!$D:$D,'RESUMEN CLIENTES'!$Y:$Y,""),
      7 + COUNTIFS(
            $A$2:INDEX($A:$A,ROW()), $A1817,
            $H$2:INDEX($H:$H,ROW()), "ALEM"
          )
    )),
    1
  ),
"SIN FECHA MIG"))</f>
        <v>46327</v>
      </c>
      <c r="H1817" s="44" t="s">
        <v>1876</v>
      </c>
      <c r="I1817" s="2">
        <v>1000</v>
      </c>
      <c r="J1817"/>
      <c r="K1817"/>
      <c r="L1817" s="44" t="str" cm="1">
        <f t="array" ref="L1817">+_xlfn.IFS(COUNTIF(INGRESOS!E:E,Tabla6[[#This Row],[ID FACTURA]])=1,"PAGADA",Tabla6[[#This Row],[ID FACTURA]]&lt;&gt;0,"EMITIDA",Tabla6[[#This Row],[ID FACTURA]]=0,"POR EMITIR")</f>
        <v>POR EMITIR</v>
      </c>
      <c r="M1817" s="55" t="str">
        <f>+IF(Tabla6[[#This Row],[ESTADO FACTURA]]="PAGADA",Tabla6[[#This Row],[FECHA]]-_xlfn.XLOOKUP(Tabla6[[#This Row],[N° FACTURA]],INGRESOS!F:F,INGRESOS!A:A),"-")</f>
        <v>-</v>
      </c>
      <c r="N1817" s="2"/>
      <c r="O1817" t="s">
        <v>2084</v>
      </c>
    </row>
    <row r="1818" spans="1:15" ht="14.75" customHeight="1">
      <c r="A1818" s="320" t="s">
        <v>1428</v>
      </c>
      <c r="B1818" t="str">
        <f>+_xlfn.XLOOKUP(Tabla6[[#This Row],[ID CLIENTE]],'RESUMEN CLIENTES'!D:D,'RESUMEN CLIENTES'!A:A)</f>
        <v>Javier Bravo Castelo</v>
      </c>
      <c r="C1818" t="str">
        <f>+_xlfn.XLOOKUP(Tabla6[[#This Row],[ID CLIENTE]],'RESUMEN CLIENTES'!D:D,'RESUMEN CLIENTES'!C:C)</f>
        <v>Colombia</v>
      </c>
      <c r="D1818" s="44" t="str">
        <f>+_xlfn.XLOOKUP(Tabla6[[#This Row],[ID CLIENTE]],'RESUMEN CLIENTES'!D:D,'RESUMEN CLIENTES'!M:M)</f>
        <v>OK</v>
      </c>
      <c r="E1818" s="71">
        <f>+_xlfn.XLOOKUP(Tabla6[[#This Row],[NOMBRE]],'RESUMEN CLIENTES'!A:A,'RESUMEN CLIENTES'!X:X)</f>
        <v>-0.33333333333333331</v>
      </c>
      <c r="F1818" s="71">
        <f>+_xlfn.XLOOKUP(Tabla6[[#This Row],[ID CLIENTE]],'RESUMEN CLIENTES'!D:D,'RESUMEN CLIENTES'!W:W)</f>
        <v>0</v>
      </c>
      <c r="G1818" s="17">
        <f>IF($H1818&lt;&gt;"ALEM","",IFERROR(
  DATE(
    YEAR(EDATE(
      _xlfn.XLOOKUP($A1818,'RESUMEN CLIENTES'!$D:$D,'RESUMEN CLIENTES'!$Y:$Y,""),
      7 + COUNTIFS(
            $A$2:INDEX($A:$A,ROW()), $A1818,
            $H$2:INDEX($H:$H,ROW()), "ALEM"
          )
    )),
    MONTH(EDATE(
      _xlfn.XLOOKUP($A1818,'RESUMEN CLIENTES'!$D:$D,'RESUMEN CLIENTES'!$Y:$Y,""),
      7 + COUNTIFS(
            $A$2:INDEX($A:$A,ROW()), $A1818,
            $H$2:INDEX($H:$H,ROW()), "ALEM"
          )
    )),
    1
  ),
"SIN FECHA MIG"))</f>
        <v>46327</v>
      </c>
      <c r="H1818" s="169" t="s">
        <v>1876</v>
      </c>
      <c r="I1818" s="2">
        <v>800</v>
      </c>
      <c r="J1818"/>
      <c r="K1818"/>
      <c r="L1818" s="44" t="str" cm="1">
        <f t="array" ref="L1818">+_xlfn.IFS(COUNTIF(INGRESOS!E:E,Tabla6[[#This Row],[ID FACTURA]])=1,"PAGADA",Tabla6[[#This Row],[ID FACTURA]]&lt;&gt;0,"EMITIDA",Tabla6[[#This Row],[ID FACTURA]]=0,"POR EMITIR")</f>
        <v>POR EMITIR</v>
      </c>
      <c r="M1818" s="55" t="str">
        <f>+IF(Tabla6[[#This Row],[ESTADO FACTURA]]="PAGADA",Tabla6[[#This Row],[FECHA]]-_xlfn.XLOOKUP(Tabla6[[#This Row],[N° FACTURA]],INGRESOS!F:F,INGRESOS!A:A),"-")</f>
        <v>-</v>
      </c>
      <c r="N1818" s="2"/>
      <c r="O1818" t="s">
        <v>2084</v>
      </c>
    </row>
    <row r="1819" spans="1:15" ht="14.75" customHeight="1">
      <c r="A1819" s="321" t="s">
        <v>1899</v>
      </c>
      <c r="B1819" t="str">
        <f>+_xlfn.XLOOKUP(Tabla6[[#This Row],[ID CLIENTE]],'RESUMEN CLIENTES'!D:D,'RESUMEN CLIENTES'!A:A)</f>
        <v>Johan Martínez</v>
      </c>
      <c r="C1819" t="str">
        <f>+_xlfn.XLOOKUP(Tabla6[[#This Row],[ID CLIENTE]],'RESUMEN CLIENTES'!D:D,'RESUMEN CLIENTES'!C:C)</f>
        <v>Colombia</v>
      </c>
      <c r="D1819" s="169" t="str">
        <f>+_xlfn.XLOOKUP(Tabla6[[#This Row],[ID CLIENTE]],'RESUMEN CLIENTES'!D:D,'RESUMEN CLIENTES'!M:M)</f>
        <v>OK</v>
      </c>
      <c r="E1819" s="71">
        <f>+_xlfn.XLOOKUP(Tabla6[[#This Row],[NOMBRE]],'RESUMEN CLIENTES'!A:A,'RESUMEN CLIENTES'!X:X)</f>
        <v>-0.66666666666666663</v>
      </c>
      <c r="F1819" s="71">
        <f>+_xlfn.XLOOKUP(Tabla6[[#This Row],[ID CLIENTE]],'RESUMEN CLIENTES'!D:D,'RESUMEN CLIENTES'!W:W)</f>
        <v>0</v>
      </c>
      <c r="G1819" s="17">
        <v>46327</v>
      </c>
      <c r="H1819" s="169" t="s">
        <v>81</v>
      </c>
      <c r="I1819" s="2">
        <v>1000</v>
      </c>
      <c r="J1819"/>
      <c r="K1819"/>
      <c r="L1819" s="44" t="str" cm="1">
        <f t="array" ref="L1819">+_xlfn.IFS(COUNTIF(INGRESOS!E:E,Tabla6[[#This Row],[ID FACTURA]])=1,"PAGADA",Tabla6[[#This Row],[ID FACTURA]]&lt;&gt;0,"EMITIDA",Tabla6[[#This Row],[ID FACTURA]]=0,"POR EMITIR")</f>
        <v>POR EMITIR</v>
      </c>
      <c r="M1819" s="54" t="str">
        <f>+IF(Tabla6[[#This Row],[ESTADO FACTURA]]="PAGADA",Tabla6[[#This Row],[FECHA]]-_xlfn.XLOOKUP(Tabla6[[#This Row],[N° FACTURA]],INGRESOS!F:F,INGRESOS!A:A),"-")</f>
        <v>-</v>
      </c>
      <c r="O1819"/>
    </row>
    <row r="1820" spans="1:15" ht="14.75" customHeight="1">
      <c r="A1820" s="320" t="s">
        <v>333</v>
      </c>
      <c r="B1820" t="str">
        <f>+_xlfn.XLOOKUP(Tabla6[[#This Row],[ID CLIENTE]],'RESUMEN CLIENTES'!D:D,'RESUMEN CLIENTES'!A:A)</f>
        <v>Jorge Augusto Cámbara Vargas</v>
      </c>
      <c r="C1820" t="str">
        <f>+_xlfn.XLOOKUP(Tabla6[[#This Row],[ID CLIENTE]],'RESUMEN CLIENTES'!D:D,'RESUMEN CLIENTES'!C:C)</f>
        <v>Guatemala</v>
      </c>
      <c r="D1820" s="44" t="str">
        <f>+_xlfn.XLOOKUP(Tabla6[[#This Row],[ID CLIENTE]],'RESUMEN CLIENTES'!D:D,'RESUMEN CLIENTES'!M:M)</f>
        <v>OK</v>
      </c>
      <c r="E1820" s="72">
        <f>+_xlfn.XLOOKUP(Tabla6[[#This Row],[NOMBRE]],'RESUMEN CLIENTES'!A:A,'RESUMEN CLIENTES'!X:X)</f>
        <v>0.1157407407331953</v>
      </c>
      <c r="F1820" s="72">
        <f>+_xlfn.XLOOKUP(Tabla6[[#This Row],[ID CLIENTE]],'RESUMEN CLIENTES'!D:D,'RESUMEN CLIENTES'!W:W)</f>
        <v>1</v>
      </c>
      <c r="G1820" s="17">
        <f>IF($H1820&lt;&gt;"ALEM","",IFERROR(
  DATE(
    YEAR(EDATE(
      _xlfn.XLOOKUP($A1820,'RESUMEN CLIENTES'!$D:$D,'RESUMEN CLIENTES'!$Y:$Y,""),
      7 + COUNTIFS(
            $A$2:INDEX($A:$A,ROW()), $A1820,
            $H$2:INDEX($H:$H,ROW()), "ALEM"
          )
    )),
    MONTH(EDATE(
      _xlfn.XLOOKUP($A1820,'RESUMEN CLIENTES'!$D:$D,'RESUMEN CLIENTES'!$Y:$Y,""),
      7 + COUNTIFS(
            $A$2:INDEX($A:$A,ROW()), $A1820,
            $H$2:INDEX($H:$H,ROW()), "ALEM"
          )
    )),
    1
  ),
"SIN FECHA MIG"))</f>
        <v>46327</v>
      </c>
      <c r="H1820" s="44" t="s">
        <v>1876</v>
      </c>
      <c r="I1820" s="2">
        <v>900</v>
      </c>
      <c r="J1820"/>
      <c r="K1820"/>
      <c r="L1820" s="44" t="str" cm="1">
        <f t="array" ref="L1820">+_xlfn.IFS(COUNTIF(INGRESOS!E:E,Tabla6[[#This Row],[ID FACTURA]])=1,"PAGADA",Tabla6[[#This Row],[ID FACTURA]]&lt;&gt;0,"EMITIDA",Tabla6[[#This Row],[ID FACTURA]]=0,"POR EMITIR")</f>
        <v>POR EMITIR</v>
      </c>
      <c r="M1820" s="55" t="str">
        <f>+IF(Tabla6[[#This Row],[ESTADO FACTURA]]="PAGADA",Tabla6[[#This Row],[FECHA]]-_xlfn.XLOOKUP(Tabla6[[#This Row],[N° FACTURA]],INGRESOS!F:F,INGRESOS!A:A),"-")</f>
        <v>-</v>
      </c>
      <c r="N1820" s="2"/>
      <c r="O1820"/>
    </row>
    <row r="1821" spans="1:15" ht="14.75" customHeight="1">
      <c r="A1821" s="320" t="s">
        <v>87</v>
      </c>
      <c r="B1821" t="str">
        <f>+_xlfn.XLOOKUP(Tabla6[[#This Row],[ID CLIENTE]],'RESUMEN CLIENTES'!D:D,'RESUMEN CLIENTES'!A:A)</f>
        <v>Jose Marcelo Marroquín Guzmán</v>
      </c>
      <c r="C1821" t="str">
        <f>+_xlfn.XLOOKUP(Tabla6[[#This Row],[ID CLIENTE]],'RESUMEN CLIENTES'!D:D,'RESUMEN CLIENTES'!C:C)</f>
        <v>El Salvador</v>
      </c>
      <c r="D1821" s="44" t="str">
        <f>+_xlfn.XLOOKUP(Tabla6[[#This Row],[ID CLIENTE]],'RESUMEN CLIENTES'!D:D,'RESUMEN CLIENTES'!M:M)</f>
        <v>OK</v>
      </c>
      <c r="E1821" s="72">
        <f>+_xlfn.XLOOKUP(Tabla6[[#This Row],[NOMBRE]],'RESUMEN CLIENTES'!A:A,'RESUMEN CLIENTES'!X:X)</f>
        <v>-1.5833333333333333</v>
      </c>
      <c r="F1821" s="72">
        <f>+_xlfn.XLOOKUP(Tabla6[[#This Row],[ID CLIENTE]],'RESUMEN CLIENTES'!D:D,'RESUMEN CLIENTES'!W:W)</f>
        <v>1</v>
      </c>
      <c r="G1821" s="17">
        <f>IF($H1821&lt;&gt;"ALEM","",IFERROR(
  DATE(
    YEAR(EDATE(
      _xlfn.XLOOKUP($A1821,'RESUMEN CLIENTES'!$D:$D,'RESUMEN CLIENTES'!$Y:$Y,""),
      7 + COUNTIFS(
            $A$2:INDEX($A:$A,ROW()), $A1821,
            $H$2:INDEX($H:$H,ROW()), "ALEM"
          )
    )),
    MONTH(EDATE(
      _xlfn.XLOOKUP($A1821,'RESUMEN CLIENTES'!$D:$D,'RESUMEN CLIENTES'!$Y:$Y,""),
      7 + COUNTIFS(
            $A$2:INDEX($A:$A,ROW()), $A1821,
            $H$2:INDEX($H:$H,ROW()), "ALEM"
          )
    )),
    1
  ),
"SIN FECHA MIG"))</f>
        <v>46327</v>
      </c>
      <c r="H1821" s="44" t="s">
        <v>1876</v>
      </c>
      <c r="I1821" s="2">
        <v>800</v>
      </c>
      <c r="J1821"/>
      <c r="K1821"/>
      <c r="L1821" s="44" t="str" cm="1">
        <f t="array" ref="L1821">+_xlfn.IFS(COUNTIF(INGRESOS!E:E,Tabla6[[#This Row],[ID FACTURA]])=1,"PAGADA",Tabla6[[#This Row],[ID FACTURA]]&lt;&gt;0,"EMITIDA",Tabla6[[#This Row],[ID FACTURA]]=0,"POR EMITIR")</f>
        <v>POR EMITIR</v>
      </c>
      <c r="M1821" s="55" t="str">
        <f>+IF(Tabla6[[#This Row],[ESTADO FACTURA]]="PAGADA",Tabla6[[#This Row],[FECHA]]-_xlfn.XLOOKUP(Tabla6[[#This Row],[N° FACTURA]],INGRESOS!F:F,INGRESOS!A:A),"-")</f>
        <v>-</v>
      </c>
      <c r="N1821" s="2"/>
      <c r="O1821" t="s">
        <v>2085</v>
      </c>
    </row>
    <row r="1822" spans="1:15" ht="14.75" customHeight="1">
      <c r="A1822" s="320" t="s">
        <v>955</v>
      </c>
      <c r="B1822" t="str">
        <f>+_xlfn.XLOOKUP(Tabla6[[#This Row],[ID CLIENTE]],'RESUMEN CLIENTES'!D:D,'RESUMEN CLIENTES'!A:A)</f>
        <v>Judith Elizabeth Lopez Sanchez</v>
      </c>
      <c r="C1822" t="str">
        <f>+_xlfn.XLOOKUP(Tabla6[[#This Row],[ID CLIENTE]],'RESUMEN CLIENTES'!D:D,'RESUMEN CLIENTES'!C:C)</f>
        <v>Perú</v>
      </c>
      <c r="D1822" s="44" t="str">
        <f>+_xlfn.XLOOKUP(Tabla6[[#This Row],[ID CLIENTE]],'RESUMEN CLIENTES'!D:D,'RESUMEN CLIENTES'!M:M)</f>
        <v>OK</v>
      </c>
      <c r="E1822" s="72">
        <f>+_xlfn.XLOOKUP(Tabla6[[#This Row],[NOMBRE]],'RESUMEN CLIENTES'!A:A,'RESUMEN CLIENTES'!X:X)</f>
        <v>0.2857142857142857</v>
      </c>
      <c r="F1822" s="72">
        <f>+_xlfn.XLOOKUP(Tabla6[[#This Row],[ID CLIENTE]],'RESUMEN CLIENTES'!D:D,'RESUMEN CLIENTES'!W:W)</f>
        <v>1</v>
      </c>
      <c r="G1822" s="17">
        <f>IF($H1822&lt;&gt;"ALEM","",IFERROR(
  DATE(
    YEAR(EDATE(
      _xlfn.XLOOKUP($A1822,'RESUMEN CLIENTES'!$D:$D,'RESUMEN CLIENTES'!$Y:$Y,""),
      7 + COUNTIFS(
            $A$2:INDEX($A:$A,ROW()), $A1822,
            $H$2:INDEX($H:$H,ROW()), "ALEM"
          )
    )),
    MONTH(EDATE(
      _xlfn.XLOOKUP($A1822,'RESUMEN CLIENTES'!$D:$D,'RESUMEN CLIENTES'!$Y:$Y,""),
      7 + COUNTIFS(
            $A$2:INDEX($A:$A,ROW()), $A1822,
            $H$2:INDEX($H:$H,ROW()), "ALEM"
          )
    )),
    1
  ),
"SIN FECHA MIG"))</f>
        <v>46327</v>
      </c>
      <c r="H1822" s="44" t="s">
        <v>1876</v>
      </c>
      <c r="I1822" s="2">
        <v>1000</v>
      </c>
      <c r="J1822"/>
      <c r="K1822"/>
      <c r="L1822" s="44" t="str" cm="1">
        <f t="array" ref="L1822">+_xlfn.IFS(COUNTIF(INGRESOS!E:E,Tabla6[[#This Row],[ID FACTURA]])=1,"PAGADA",Tabla6[[#This Row],[ID FACTURA]]&lt;&gt;0,"EMITIDA",Tabla6[[#This Row],[ID FACTURA]]=0,"POR EMITIR")</f>
        <v>POR EMITIR</v>
      </c>
      <c r="M1822" s="55" t="str">
        <f>+IF(Tabla6[[#This Row],[ESTADO FACTURA]]="PAGADA",Tabla6[[#This Row],[FECHA]]-_xlfn.XLOOKUP(Tabla6[[#This Row],[N° FACTURA]],INGRESOS!F:F,INGRESOS!A:A),"-")</f>
        <v>-</v>
      </c>
      <c r="N1822" s="2"/>
      <c r="O1822" t="s">
        <v>2084</v>
      </c>
    </row>
    <row r="1823" spans="1:15" ht="14.75" customHeight="1">
      <c r="A1823" s="320" t="s">
        <v>468</v>
      </c>
      <c r="B1823" t="str">
        <f>+_xlfn.XLOOKUP(Tabla6[[#This Row],[ID CLIENTE]],'RESUMEN CLIENTES'!D:D,'RESUMEN CLIENTES'!A:A)</f>
        <v>Julian Medina</v>
      </c>
      <c r="C1823" t="str">
        <f>+_xlfn.XLOOKUP(Tabla6[[#This Row],[ID CLIENTE]],'RESUMEN CLIENTES'!D:D,'RESUMEN CLIENTES'!C:C)</f>
        <v>Ecuador</v>
      </c>
      <c r="D1823" s="44" t="str">
        <f>+_xlfn.XLOOKUP(Tabla6[[#This Row],[ID CLIENTE]],'RESUMEN CLIENTES'!D:D,'RESUMEN CLIENTES'!M:M)</f>
        <v>OK</v>
      </c>
      <c r="E1823" s="72">
        <f>+_xlfn.XLOOKUP(Tabla6[[#This Row],[NOMBRE]],'RESUMEN CLIENTES'!A:A,'RESUMEN CLIENTES'!X:X)</f>
        <v>-0.5</v>
      </c>
      <c r="F1823" s="72">
        <f>+_xlfn.XLOOKUP(Tabla6[[#This Row],[ID CLIENTE]],'RESUMEN CLIENTES'!D:D,'RESUMEN CLIENTES'!W:W)</f>
        <v>0</v>
      </c>
      <c r="G1823" s="17">
        <f>IF($H1823&lt;&gt;"ALEM","",IFERROR(
  DATE(
    YEAR(EDATE(
      _xlfn.XLOOKUP($A1823,'RESUMEN CLIENTES'!$D:$D,'RESUMEN CLIENTES'!$Y:$Y,""),
      7 + COUNTIFS(
            $A$2:INDEX($A:$A,ROW()), $A1823,
            $H$2:INDEX($H:$H,ROW()), "ALEM"
          )
    )),
    MONTH(EDATE(
      _xlfn.XLOOKUP($A1823,'RESUMEN CLIENTES'!$D:$D,'RESUMEN CLIENTES'!$Y:$Y,""),
      7 + COUNTIFS(
            $A$2:INDEX($A:$A,ROW()), $A1823,
            $H$2:INDEX($H:$H,ROW()), "ALEM"
          )
    )),
    1
  ),
"SIN FECHA MIG"))</f>
        <v>46327</v>
      </c>
      <c r="H1823" s="44" t="s">
        <v>1876</v>
      </c>
      <c r="I1823" s="2">
        <v>1000</v>
      </c>
      <c r="J1823"/>
      <c r="K1823"/>
      <c r="L1823" s="44" t="str" cm="1">
        <f t="array" ref="L1823">+_xlfn.IFS(COUNTIF(INGRESOS!E:E,Tabla6[[#This Row],[ID FACTURA]])=1,"PAGADA",Tabla6[[#This Row],[ID FACTURA]]&lt;&gt;0,"EMITIDA",Tabla6[[#This Row],[ID FACTURA]]=0,"POR EMITIR")</f>
        <v>POR EMITIR</v>
      </c>
      <c r="M1823" s="55" t="str">
        <f>+IF(Tabla6[[#This Row],[ESTADO FACTURA]]="PAGADA",Tabla6[[#This Row],[FECHA]]-_xlfn.XLOOKUP(Tabla6[[#This Row],[N° FACTURA]],INGRESOS!F:F,INGRESOS!A:A),"-")</f>
        <v>-</v>
      </c>
      <c r="N1823" s="2"/>
      <c r="O1823"/>
    </row>
    <row r="1824" spans="1:15" ht="14.75" customHeight="1">
      <c r="A1824" s="320" t="s">
        <v>587</v>
      </c>
      <c r="B1824" t="str">
        <f>+_xlfn.XLOOKUP(Tabla6[[#This Row],[ID CLIENTE]],'RESUMEN CLIENTES'!D:D,'RESUMEN CLIENTES'!A:A)</f>
        <v>Keidwin Perez</v>
      </c>
      <c r="C1824" t="str">
        <f>+_xlfn.XLOOKUP(Tabla6[[#This Row],[ID CLIENTE]],'RESUMEN CLIENTES'!D:D,'RESUMEN CLIENTES'!C:C)</f>
        <v>Colombia</v>
      </c>
      <c r="D1824" s="44" t="str">
        <f>+_xlfn.XLOOKUP(Tabla6[[#This Row],[ID CLIENTE]],'RESUMEN CLIENTES'!D:D,'RESUMEN CLIENTES'!M:M)</f>
        <v>OK</v>
      </c>
      <c r="E1824" s="72">
        <f>+_xlfn.XLOOKUP(Tabla6[[#This Row],[NOMBRE]],'RESUMEN CLIENTES'!A:A,'RESUMEN CLIENTES'!X:X)</f>
        <v>-4.25</v>
      </c>
      <c r="F1824" s="72">
        <f>+_xlfn.XLOOKUP(Tabla6[[#This Row],[ID CLIENTE]],'RESUMEN CLIENTES'!D:D,'RESUMEN CLIENTES'!W:W)</f>
        <v>1</v>
      </c>
      <c r="G1824" s="17">
        <f>IF($H1824&lt;&gt;"ALEM","",IFERROR(
  DATE(
    YEAR(EDATE(
      _xlfn.XLOOKUP($A1824,'RESUMEN CLIENTES'!$D:$D,'RESUMEN CLIENTES'!$Y:$Y,""),
      7 + COUNTIFS(
            $A$2:INDEX($A:$A,ROW()), $A1824,
            $H$2:INDEX($H:$H,ROW()), "ALEM"
          )
    )),
    MONTH(EDATE(
      _xlfn.XLOOKUP($A1824,'RESUMEN CLIENTES'!$D:$D,'RESUMEN CLIENTES'!$Y:$Y,""),
      7 + COUNTIFS(
            $A$2:INDEX($A:$A,ROW()), $A1824,
            $H$2:INDEX($H:$H,ROW()), "ALEM"
          )
    )),
    1
  ),
"SIN FECHA MIG"))</f>
        <v>46327</v>
      </c>
      <c r="H1824" s="44" t="s">
        <v>1876</v>
      </c>
      <c r="I1824" s="2">
        <v>1000</v>
      </c>
      <c r="J1824"/>
      <c r="K1824"/>
      <c r="L1824" s="44" t="str" cm="1">
        <f t="array" ref="L1824">+_xlfn.IFS(COUNTIF(INGRESOS!E:E,Tabla6[[#This Row],[ID FACTURA]])=1,"PAGADA",Tabla6[[#This Row],[ID FACTURA]]&lt;&gt;0,"EMITIDA",Tabla6[[#This Row],[ID FACTURA]]=0,"POR EMITIR")</f>
        <v>POR EMITIR</v>
      </c>
      <c r="M1824" s="55" t="str">
        <f>+IF(Tabla6[[#This Row],[ESTADO FACTURA]]="PAGADA",Tabla6[[#This Row],[FECHA]]-_xlfn.XLOOKUP(Tabla6[[#This Row],[N° FACTURA]],INGRESOS!F:F,INGRESOS!A:A),"-")</f>
        <v>-</v>
      </c>
      <c r="N1824" s="2"/>
      <c r="O1824"/>
    </row>
    <row r="1825" spans="1:15" ht="14.75" customHeight="1">
      <c r="A1825" s="320" t="s">
        <v>441</v>
      </c>
      <c r="B1825" t="str">
        <f>+_xlfn.XLOOKUP(Tabla6[[#This Row],[ID CLIENTE]],'RESUMEN CLIENTES'!D:D,'RESUMEN CLIENTES'!A:A)</f>
        <v>Luis Manuel Villanueva Contreras</v>
      </c>
      <c r="C1825" t="str">
        <f>+_xlfn.XLOOKUP(Tabla6[[#This Row],[ID CLIENTE]],'RESUMEN CLIENTES'!D:D,'RESUMEN CLIENTES'!C:C)</f>
        <v>México</v>
      </c>
      <c r="D1825" s="44" t="str">
        <f>+_xlfn.XLOOKUP(Tabla6[[#This Row],[ID CLIENTE]],'RESUMEN CLIENTES'!D:D,'RESUMEN CLIENTES'!M:M)</f>
        <v>OK</v>
      </c>
      <c r="E1825" s="72">
        <f>+_xlfn.XLOOKUP(Tabla6[[#This Row],[NOMBRE]],'RESUMEN CLIENTES'!A:A,'RESUMEN CLIENTES'!X:X)</f>
        <v>0.55555555555555558</v>
      </c>
      <c r="F1825" s="72">
        <f>+_xlfn.XLOOKUP(Tabla6[[#This Row],[ID CLIENTE]],'RESUMEN CLIENTES'!D:D,'RESUMEN CLIENTES'!W:W)</f>
        <v>0</v>
      </c>
      <c r="G1825" s="17">
        <f>IF($H1825&lt;&gt;"ALEM","",IFERROR(
  DATE(
    YEAR(EDATE(
      _xlfn.XLOOKUP($A1825,'RESUMEN CLIENTES'!$D:$D,'RESUMEN CLIENTES'!$Y:$Y,""),
      7 + COUNTIFS(
            $A$2:INDEX($A:$A,ROW()), $A1825,
            $H$2:INDEX($H:$H,ROW()), "ALEM"
          )
    )),
    MONTH(EDATE(
      _xlfn.XLOOKUP($A1825,'RESUMEN CLIENTES'!$D:$D,'RESUMEN CLIENTES'!$Y:$Y,""),
      7 + COUNTIFS(
            $A$2:INDEX($A:$A,ROW()), $A1825,
            $H$2:INDEX($H:$H,ROW()), "ALEM"
          )
    )),
    1
  ),
"SIN FECHA MIG"))</f>
        <v>46327</v>
      </c>
      <c r="H1825" s="44" t="s">
        <v>1876</v>
      </c>
      <c r="I1825" s="2">
        <v>1000</v>
      </c>
      <c r="J1825"/>
      <c r="K1825"/>
      <c r="L1825" s="44" t="str" cm="1">
        <f t="array" ref="L1825">+_xlfn.IFS(COUNTIF(INGRESOS!E:E,Tabla6[[#This Row],[ID FACTURA]])=1,"PAGADA",Tabla6[[#This Row],[ID FACTURA]]&lt;&gt;0,"EMITIDA",Tabla6[[#This Row],[ID FACTURA]]=0,"POR EMITIR")</f>
        <v>POR EMITIR</v>
      </c>
      <c r="M1825" s="55" t="str">
        <f>+IF(Tabla6[[#This Row],[ESTADO FACTURA]]="PAGADA",Tabla6[[#This Row],[FECHA]]-_xlfn.XLOOKUP(Tabla6[[#This Row],[N° FACTURA]],INGRESOS!F:F,INGRESOS!A:A),"-")</f>
        <v>-</v>
      </c>
      <c r="N1825" s="2"/>
      <c r="O1825"/>
    </row>
    <row r="1826" spans="1:15" ht="14.75" customHeight="1">
      <c r="A1826" s="320" t="s">
        <v>274</v>
      </c>
      <c r="B1826" s="677" t="str">
        <f>+_xlfn.XLOOKUP(Tabla6[[#This Row],[ID CLIENTE]],'RESUMEN CLIENTES'!D:D,'RESUMEN CLIENTES'!A:A)</f>
        <v>María de los Ángeles Gutiérrez Quevedo</v>
      </c>
      <c r="C1826" t="str">
        <f>+_xlfn.XLOOKUP(Tabla6[[#This Row],[ID CLIENTE]],'RESUMEN CLIENTES'!D:D,'RESUMEN CLIENTES'!C:C)</f>
        <v>Chile</v>
      </c>
      <c r="D1826" s="44" t="str">
        <f>+_xlfn.XLOOKUP(Tabla6[[#This Row],[ID CLIENTE]],'RESUMEN CLIENTES'!D:D,'RESUMEN CLIENTES'!M:M)</f>
        <v>OK</v>
      </c>
      <c r="E1826" s="72">
        <f>+_xlfn.XLOOKUP(Tabla6[[#This Row],[NOMBRE]],'RESUMEN CLIENTES'!A:A,'RESUMEN CLIENTES'!X:X)</f>
        <v>0.22222222222222221</v>
      </c>
      <c r="F1826" s="72">
        <f>+_xlfn.XLOOKUP(Tabla6[[#This Row],[ID CLIENTE]],'RESUMEN CLIENTES'!D:D,'RESUMEN CLIENTES'!W:W)</f>
        <v>1</v>
      </c>
      <c r="G1826" s="17">
        <f>IF($H1826&lt;&gt;"ALEM","",IFERROR(
  DATE(
    YEAR(EDATE(
      _xlfn.XLOOKUP($A1826,'RESUMEN CLIENTES'!$D:$D,'RESUMEN CLIENTES'!$Y:$Y,""),
      7 + COUNTIFS(
            $A$2:INDEX($A:$A,ROW()), $A1826,
            $H$2:INDEX($H:$H,ROW()), "ALEM"
          )
    )),
    MONTH(EDATE(
      _xlfn.XLOOKUP($A1826,'RESUMEN CLIENTES'!$D:$D,'RESUMEN CLIENTES'!$Y:$Y,""),
      7 + COUNTIFS(
            $A$2:INDEX($A:$A,ROW()), $A1826,
            $H$2:INDEX($H:$H,ROW()), "ALEM"
          )
    )),
    1
  ),
"SIN FECHA MIG"))</f>
        <v>46327</v>
      </c>
      <c r="H1826" s="44" t="s">
        <v>1876</v>
      </c>
      <c r="I1826" s="2">
        <v>1000</v>
      </c>
      <c r="J1826"/>
      <c r="K1826"/>
      <c r="L1826" s="44" t="str" cm="1">
        <f t="array" ref="L1826">+_xlfn.IFS(COUNTIF(INGRESOS!E:E,Tabla6[[#This Row],[ID FACTURA]])=1,"PAGADA",Tabla6[[#This Row],[ID FACTURA]]&lt;&gt;0,"EMITIDA",Tabla6[[#This Row],[ID FACTURA]]=0,"POR EMITIR")</f>
        <v>POR EMITIR</v>
      </c>
      <c r="M1826" s="55" t="str">
        <f>+IF(Tabla6[[#This Row],[ESTADO FACTURA]]="PAGADA",Tabla6[[#This Row],[FECHA]]-_xlfn.XLOOKUP(Tabla6[[#This Row],[N° FACTURA]],INGRESOS!F:F,INGRESOS!A:A),"-")</f>
        <v>-</v>
      </c>
      <c r="N1826" s="2"/>
      <c r="O1826" t="s">
        <v>2084</v>
      </c>
    </row>
    <row r="1827" spans="1:15" ht="14.75" customHeight="1">
      <c r="A1827" s="320" t="s">
        <v>455</v>
      </c>
      <c r="B1827" t="str">
        <f>+_xlfn.XLOOKUP(Tabla6[[#This Row],[ID CLIENTE]],'RESUMEN CLIENTES'!D:D,'RESUMEN CLIENTES'!A:A)</f>
        <v>Paola Hitos</v>
      </c>
      <c r="C1827" t="str">
        <f>+_xlfn.XLOOKUP(Tabla6[[#This Row],[ID CLIENTE]],'RESUMEN CLIENTES'!D:D,'RESUMEN CLIENTES'!C:C)</f>
        <v>México</v>
      </c>
      <c r="D1827" s="44" t="str">
        <f>+_xlfn.XLOOKUP(Tabla6[[#This Row],[ID CLIENTE]],'RESUMEN CLIENTES'!D:D,'RESUMEN CLIENTES'!M:M)</f>
        <v>OK</v>
      </c>
      <c r="E1827" s="72">
        <f>+_xlfn.XLOOKUP(Tabla6[[#This Row],[NOMBRE]],'RESUMEN CLIENTES'!A:A,'RESUMEN CLIENTES'!X:X)</f>
        <v>-0.55555555555555558</v>
      </c>
      <c r="F1827" s="72">
        <f>+_xlfn.XLOOKUP(Tabla6[[#This Row],[ID CLIENTE]],'RESUMEN CLIENTES'!D:D,'RESUMEN CLIENTES'!W:W)</f>
        <v>1</v>
      </c>
      <c r="G1827" s="17">
        <f>IF($H1827&lt;&gt;"ALEM","",IFERROR(
  DATE(
    YEAR(EDATE(
      _xlfn.XLOOKUP($A1827,'RESUMEN CLIENTES'!$D:$D,'RESUMEN CLIENTES'!$Y:$Y,""),
      7 + COUNTIFS(
            $A$2:INDEX($A:$A,ROW()), $A1827,
            $H$2:INDEX($H:$H,ROW()), "ALEM"
          )
    )),
    MONTH(EDATE(
      _xlfn.XLOOKUP($A1827,'RESUMEN CLIENTES'!$D:$D,'RESUMEN CLIENTES'!$Y:$Y,""),
      7 + COUNTIFS(
            $A$2:INDEX($A:$A,ROW()), $A1827,
            $H$2:INDEX($H:$H,ROW()), "ALEM"
          )
    )),
    1
  ),
"SIN FECHA MIG"))</f>
        <v>46327</v>
      </c>
      <c r="H1827" s="44" t="s">
        <v>1876</v>
      </c>
      <c r="I1827" s="2">
        <v>1000</v>
      </c>
      <c r="J1827"/>
      <c r="K1827"/>
      <c r="L1827" s="44" t="str" cm="1">
        <f t="array" ref="L1827">+_xlfn.IFS(COUNTIF(INGRESOS!E:E,Tabla6[[#This Row],[ID FACTURA]])=1,"PAGADA",Tabla6[[#This Row],[ID FACTURA]]&lt;&gt;0,"EMITIDA",Tabla6[[#This Row],[ID FACTURA]]=0,"POR EMITIR")</f>
        <v>POR EMITIR</v>
      </c>
      <c r="M1827" s="55" t="str">
        <f>+IF(Tabla6[[#This Row],[ESTADO FACTURA]]="PAGADA",Tabla6[[#This Row],[FECHA]]-_xlfn.XLOOKUP(Tabla6[[#This Row],[N° FACTURA]],INGRESOS!F:F,INGRESOS!A:A),"-")</f>
        <v>-</v>
      </c>
      <c r="N1827" s="2"/>
      <c r="O1827"/>
    </row>
    <row r="1828" spans="1:15" ht="14.75" customHeight="1">
      <c r="A1828" s="320" t="s">
        <v>275</v>
      </c>
      <c r="B1828" t="str">
        <f>+_xlfn.XLOOKUP(Tabla6[[#This Row],[ID CLIENTE]],'RESUMEN CLIENTES'!D:D,'RESUMEN CLIENTES'!A:A)</f>
        <v>Rodrigo Alfonso Busse Hernández</v>
      </c>
      <c r="C1828" t="str">
        <f>+_xlfn.XLOOKUP(Tabla6[[#This Row],[ID CLIENTE]],'RESUMEN CLIENTES'!D:D,'RESUMEN CLIENTES'!C:C)</f>
        <v>Chile</v>
      </c>
      <c r="D1828" s="44" t="str">
        <f>+_xlfn.XLOOKUP(Tabla6[[#This Row],[ID CLIENTE]],'RESUMEN CLIENTES'!D:D,'RESUMEN CLIENTES'!M:M)</f>
        <v>OK</v>
      </c>
      <c r="E1828" s="72">
        <f>+_xlfn.XLOOKUP(Tabla6[[#This Row],[NOMBRE]],'RESUMEN CLIENTES'!A:A,'RESUMEN CLIENTES'!X:X)</f>
        <v>0.33333333333333331</v>
      </c>
      <c r="F1828" s="72">
        <f>+_xlfn.XLOOKUP(Tabla6[[#This Row],[ID CLIENTE]],'RESUMEN CLIENTES'!D:D,'RESUMEN CLIENTES'!W:W)</f>
        <v>1</v>
      </c>
      <c r="G1828" s="17">
        <f>IF($H1828&lt;&gt;"ALEM","",IFERROR(
  DATE(
    YEAR(EDATE(
      _xlfn.XLOOKUP($A1828,'RESUMEN CLIENTES'!$D:$D,'RESUMEN CLIENTES'!$Y:$Y,""),
      7 + COUNTIFS(
            $A$2:INDEX($A:$A,ROW()), $A1828,
            $H$2:INDEX($H:$H,ROW()), "ALEM"
          )
    )),
    MONTH(EDATE(
      _xlfn.XLOOKUP($A1828,'RESUMEN CLIENTES'!$D:$D,'RESUMEN CLIENTES'!$Y:$Y,""),
      7 + COUNTIFS(
            $A$2:INDEX($A:$A,ROW()), $A1828,
            $H$2:INDEX($H:$H,ROW()), "ALEM"
          )
    )),
    1
  ),
"SIN FECHA MIG"))</f>
        <v>46327</v>
      </c>
      <c r="H1828" s="44" t="s">
        <v>1876</v>
      </c>
      <c r="I1828" s="2">
        <v>750</v>
      </c>
      <c r="J1828"/>
      <c r="K1828"/>
      <c r="L1828" s="44" t="str" cm="1">
        <f t="array" ref="L1828">+_xlfn.IFS(COUNTIF(INGRESOS!E:E,Tabla6[[#This Row],[ID FACTURA]])=1,"PAGADA",Tabla6[[#This Row],[ID FACTURA]]&lt;&gt;0,"EMITIDA",Tabla6[[#This Row],[ID FACTURA]]=0,"POR EMITIR")</f>
        <v>POR EMITIR</v>
      </c>
      <c r="M1828" s="55" t="str">
        <f>+IF(Tabla6[[#This Row],[ESTADO FACTURA]]="PAGADA",Tabla6[[#This Row],[FECHA]]-_xlfn.XLOOKUP(Tabla6[[#This Row],[N° FACTURA]],INGRESOS!F:F,INGRESOS!A:A),"-")</f>
        <v>-</v>
      </c>
      <c r="N1828" s="2"/>
      <c r="O1828" t="s">
        <v>2084</v>
      </c>
    </row>
    <row r="1829" spans="1:15" ht="15" customHeight="1">
      <c r="A1829" s="320" t="s">
        <v>4442</v>
      </c>
      <c r="B1829" t="str">
        <f>+_xlfn.XLOOKUP(Tabla6[[#This Row],[ID CLIENTE]],'RESUMEN CLIENTES'!D:D,'RESUMEN CLIENTES'!A:A)</f>
        <v>Vicente Javier Campusano Banse</v>
      </c>
      <c r="C1829" t="str">
        <f>+_xlfn.XLOOKUP(Tabla6[[#This Row],[ID CLIENTE]],'RESUMEN CLIENTES'!D:D,'RESUMEN CLIENTES'!C:C)</f>
        <v>Chile</v>
      </c>
      <c r="D1829" s="169" t="str">
        <f>+_xlfn.XLOOKUP(Tabla6[[#This Row],[ID CLIENTE]],'RESUMEN CLIENTES'!D:D,'RESUMEN CLIENTES'!M:M)</f>
        <v>¡REGULARIZAR!</v>
      </c>
      <c r="E1829" s="71">
        <f>+_xlfn.XLOOKUP(Tabla6[[#This Row],[NOMBRE]],'RESUMEN CLIENTES'!A:A,'RESUMEN CLIENTES'!X:X)</f>
        <v>0</v>
      </c>
      <c r="F1829" s="71">
        <f>+_xlfn.XLOOKUP(Tabla6[[#This Row],[ID CLIENTE]],'RESUMEN CLIENTES'!D:D,'RESUMEN CLIENTES'!W:W)</f>
        <v>0</v>
      </c>
      <c r="G1829" s="428">
        <f>IF($H1829&lt;&gt;"ALEM","",IFERROR(
  DATE(
    YEAR(EDATE(
      _xlfn.XLOOKUP($A1829,'RESUMEN CLIENTES'!$D:$D,'RESUMEN CLIENTES'!$Y:$Y,""),
      7 + COUNTIFS(
            $A$2:INDEX($A:$A,ROW()), $A1829,
            $H$2:INDEX($H:$H,ROW()), "ALEM"
          )
    )),
    MONTH(EDATE(
      _xlfn.XLOOKUP($A1829,'RESUMEN CLIENTES'!$D:$D,'RESUMEN CLIENTES'!$Y:$Y,""),
      7 + COUNTIFS(
            $A$2:INDEX($A:$A,ROW()), $A1829,
            $H$2:INDEX($H:$H,ROW()), "ALEM"
          )
    )),
    1
  ),
"null"))</f>
        <v>46327</v>
      </c>
      <c r="H1829" s="169" t="s">
        <v>1876</v>
      </c>
      <c r="I1829" s="2">
        <v>750</v>
      </c>
      <c r="J1829"/>
      <c r="K1829"/>
      <c r="L1829" s="44" t="str" cm="1">
        <f t="array" ref="L1829">+_xlfn.IFS(COUNTIF(INGRESOS!E:E,Tabla6[[#This Row],[ID FACTURA]])=1,"PAGADA",Tabla6[[#This Row],[ID FACTURA]]&lt;&gt;0,"EMITIDA",Tabla6[[#This Row],[ID FACTURA]]=0,"POR EMITIR")</f>
        <v>POR EMITIR</v>
      </c>
      <c r="M1829" s="54" t="str">
        <f>+IF(Tabla6[[#This Row],[ESTADO FACTURA]]="PAGADA",Tabla6[[#This Row],[FECHA]]-_xlfn.XLOOKUP(Tabla6[[#This Row],[N° FACTURA]],INGRESOS!F:F,INGRESOS!A:A),"-")</f>
        <v>-</v>
      </c>
      <c r="O1829"/>
    </row>
    <row r="1830" spans="1:15" ht="14.75" customHeight="1">
      <c r="A1830" s="320" t="s">
        <v>706</v>
      </c>
      <c r="B1830" t="str">
        <f>+_xlfn.XLOOKUP(Tabla6[[#This Row],[ID CLIENTE]],'RESUMEN CLIENTES'!D:D,'RESUMEN CLIENTES'!A:A)</f>
        <v>Virna Nathaly Montenegro Samaniego</v>
      </c>
      <c r="C1830" t="str">
        <f>+_xlfn.XLOOKUP(Tabla6[[#This Row],[ID CLIENTE]],'RESUMEN CLIENTES'!D:D,'RESUMEN CLIENTES'!C:C)</f>
        <v>Ecuador</v>
      </c>
      <c r="D1830" s="44" t="str">
        <f>+_xlfn.XLOOKUP(Tabla6[[#This Row],[ID CLIENTE]],'RESUMEN CLIENTES'!D:D,'RESUMEN CLIENTES'!M:M)</f>
        <v>OK</v>
      </c>
      <c r="E1830" s="72">
        <f>+_xlfn.XLOOKUP(Tabla6[[#This Row],[NOMBRE]],'RESUMEN CLIENTES'!A:A,'RESUMEN CLIENTES'!X:X)</f>
        <v>7.375</v>
      </c>
      <c r="F1830" s="72">
        <f>+_xlfn.XLOOKUP(Tabla6[[#This Row],[ID CLIENTE]],'RESUMEN CLIENTES'!D:D,'RESUMEN CLIENTES'!W:W)</f>
        <v>0</v>
      </c>
      <c r="G1830" s="17">
        <f>IF($H1830&lt;&gt;"ALEM","",IFERROR(
  DATE(
    YEAR(EDATE(
      _xlfn.XLOOKUP($A1830,'RESUMEN CLIENTES'!$D:$D,'RESUMEN CLIENTES'!$Y:$Y,""),
      7 + COUNTIFS(
            $A$2:INDEX($A:$A,ROW()), $A1830,
            $H$2:INDEX($H:$H,ROW()), "ALEM"
          )
    )),
    MONTH(EDATE(
      _xlfn.XLOOKUP($A1830,'RESUMEN CLIENTES'!$D:$D,'RESUMEN CLIENTES'!$Y:$Y,""),
      7 + COUNTIFS(
            $A$2:INDEX($A:$A,ROW()), $A1830,
            $H$2:INDEX($H:$H,ROW()), "ALEM"
          )
    )),
    1
  ),
"SIN FECHA MIG"))</f>
        <v>46327</v>
      </c>
      <c r="H1830" s="44" t="s">
        <v>1876</v>
      </c>
      <c r="I1830" s="2">
        <v>1000</v>
      </c>
      <c r="J1830"/>
      <c r="K1830"/>
      <c r="L1830" s="44" t="str" cm="1">
        <f t="array" ref="L1830">+_xlfn.IFS(COUNTIF(INGRESOS!E:E,Tabla6[[#This Row],[ID FACTURA]])=1,"PAGADA",Tabla6[[#This Row],[ID FACTURA]]&lt;&gt;0,"EMITIDA",Tabla6[[#This Row],[ID FACTURA]]=0,"POR EMITIR")</f>
        <v>POR EMITIR</v>
      </c>
      <c r="M1830" s="55" t="str">
        <f>+IF(Tabla6[[#This Row],[ESTADO FACTURA]]="PAGADA",Tabla6[[#This Row],[FECHA]]-_xlfn.XLOOKUP(Tabla6[[#This Row],[N° FACTURA]],INGRESOS!F:F,INGRESOS!A:A),"-")</f>
        <v>-</v>
      </c>
      <c r="N1830" s="2"/>
      <c r="O1830"/>
    </row>
    <row r="1831" spans="1:15" ht="14.75" customHeight="1">
      <c r="A1831" s="320" t="s">
        <v>447</v>
      </c>
      <c r="B1831" t="str">
        <f>+_xlfn.XLOOKUP(Tabla6[[#This Row],[ID CLIENTE]],'RESUMEN CLIENTES'!D:D,'RESUMEN CLIENTES'!A:A)</f>
        <v>Yefry Onil Santana Marte</v>
      </c>
      <c r="C1831" t="str">
        <f>+_xlfn.XLOOKUP(Tabla6[[#This Row],[ID CLIENTE]],'RESUMEN CLIENTES'!D:D,'RESUMEN CLIENTES'!C:C)</f>
        <v>República Dominicana</v>
      </c>
      <c r="D1831" s="44" t="str">
        <f>+_xlfn.XLOOKUP(Tabla6[[#This Row],[ID CLIENTE]],'RESUMEN CLIENTES'!D:D,'RESUMEN CLIENTES'!M:M)</f>
        <v>OK</v>
      </c>
      <c r="E1831" s="72">
        <f>+_xlfn.XLOOKUP(Tabla6[[#This Row],[NOMBRE]],'RESUMEN CLIENTES'!A:A,'RESUMEN CLIENTES'!X:X)</f>
        <v>-0.90909090909090906</v>
      </c>
      <c r="F1831" s="72">
        <f>+_xlfn.XLOOKUP(Tabla6[[#This Row],[ID CLIENTE]],'RESUMEN CLIENTES'!D:D,'RESUMEN CLIENTES'!W:W)</f>
        <v>0</v>
      </c>
      <c r="G1831" s="17">
        <f>IF($H1831&lt;&gt;"ALEM","",IFERROR(
  DATE(
    YEAR(EDATE(
      _xlfn.XLOOKUP($A1831,'RESUMEN CLIENTES'!$D:$D,'RESUMEN CLIENTES'!$Y:$Y,""),
      7 + COUNTIFS(
            $A$2:INDEX($A:$A,ROW()), $A1831,
            $H$2:INDEX($H:$H,ROW()), "ALEM"
          )
    )),
    MONTH(EDATE(
      _xlfn.XLOOKUP($A1831,'RESUMEN CLIENTES'!$D:$D,'RESUMEN CLIENTES'!$Y:$Y,""),
      7 + COUNTIFS(
            $A$2:INDEX($A:$A,ROW()), $A1831,
            $H$2:INDEX($H:$H,ROW()), "ALEM"
          )
    )),
    1
  ),
"SIN FECHA MIG"))</f>
        <v>46327</v>
      </c>
      <c r="H1831" s="44" t="s">
        <v>1876</v>
      </c>
      <c r="I1831" s="2">
        <v>1000</v>
      </c>
      <c r="J1831"/>
      <c r="K1831"/>
      <c r="L1831" s="44" t="str" cm="1">
        <f t="array" ref="L1831">+_xlfn.IFS(COUNTIF(INGRESOS!E:E,Tabla6[[#This Row],[ID FACTURA]])=1,"PAGADA",Tabla6[[#This Row],[ID FACTURA]]&lt;&gt;0,"EMITIDA",Tabla6[[#This Row],[ID FACTURA]]=0,"POR EMITIR")</f>
        <v>POR EMITIR</v>
      </c>
      <c r="M1831" s="55" t="str">
        <f>+IF(Tabla6[[#This Row],[ESTADO FACTURA]]="PAGADA",Tabla6[[#This Row],[FECHA]]-_xlfn.XLOOKUP(Tabla6[[#This Row],[N° FACTURA]],INGRESOS!F:F,INGRESOS!A:A),"-")</f>
        <v>-</v>
      </c>
      <c r="N1831" s="2"/>
      <c r="O1831"/>
    </row>
    <row r="1832" spans="1:15" ht="14.75" customHeight="1">
      <c r="A1832" s="320" t="s">
        <v>6035</v>
      </c>
      <c r="B1832" t="str">
        <f>+_xlfn.XLOOKUP(Tabla6[[#This Row],[ID CLIENTE]],'RESUMEN CLIENTES'!D:D,'RESUMEN CLIENTES'!A:A)</f>
        <v>Ari Sifuentes Becerra</v>
      </c>
      <c r="C1832" s="15" t="str">
        <f>+_xlfn.XLOOKUP(Tabla6[[#This Row],[ID CLIENTE]],'RESUMEN CLIENTES'!D:D,'RESUMEN CLIENTES'!C:C)</f>
        <v>México</v>
      </c>
      <c r="D1832" s="169" t="str">
        <f>+_xlfn.XLOOKUP(Tabla6[[#This Row],[ID CLIENTE]],'RESUMEN CLIENTES'!D:D,'RESUMEN CLIENTES'!M:M)</f>
        <v>OK</v>
      </c>
      <c r="E1832" s="71">
        <f>+_xlfn.XLOOKUP(Tabla6[[#This Row],[NOMBRE]],'RESUMEN CLIENTES'!A:A,'RESUMEN CLIENTES'!X:X)</f>
        <v>-1</v>
      </c>
      <c r="F1832" s="71">
        <f>+_xlfn.XLOOKUP(Tabla6[[#This Row],[ID CLIENTE]],'RESUMEN CLIENTES'!D:D,'RESUMEN CLIENTES'!W:W)</f>
        <v>0</v>
      </c>
      <c r="G1832" s="17">
        <v>46328</v>
      </c>
      <c r="H1832" s="169" t="s">
        <v>81</v>
      </c>
      <c r="I1832" s="2">
        <v>1000</v>
      </c>
      <c r="J1832"/>
      <c r="K1832"/>
      <c r="L1832" s="44" t="str" cm="1">
        <f t="array" ref="L1832">+_xlfn.IFS(COUNTIF(INGRESOS!E:E,Tabla6[[#This Row],[ID FACTURA]])=1,"PAGADA",Tabla6[[#This Row],[ID FACTURA]]&lt;&gt;0,"EMITIDA",Tabla6[[#This Row],[ID FACTURA]]=0,"POR EMITIR")</f>
        <v>POR EMITIR</v>
      </c>
      <c r="M1832" s="54" t="str">
        <f>+IF(Tabla6[[#This Row],[ESTADO FACTURA]]="PAGADA",Tabla6[[#This Row],[FECHA]]-_xlfn.XLOOKUP(Tabla6[[#This Row],[N° FACTURA]],INGRESOS!F:F,INGRESOS!A:A),"-")</f>
        <v>-</v>
      </c>
      <c r="O1832"/>
    </row>
    <row r="1833" spans="1:15" ht="14.75" customHeight="1">
      <c r="A1833" s="320" t="s">
        <v>695</v>
      </c>
      <c r="B1833" t="str">
        <f>+_xlfn.XLOOKUP(Tabla6[[#This Row],[ID CLIENTE]],'RESUMEN CLIENTES'!D:D,'RESUMEN CLIENTES'!A:A)</f>
        <v>Olguer Ariel Pruna Herrera</v>
      </c>
      <c r="C1833" t="str">
        <f>+_xlfn.XLOOKUP(Tabla6[[#This Row],[ID CLIENTE]],'RESUMEN CLIENTES'!D:D,'RESUMEN CLIENTES'!C:C)</f>
        <v>Ecuador</v>
      </c>
      <c r="D1833" s="44" t="str">
        <f>+_xlfn.XLOOKUP(Tabla6[[#This Row],[ID CLIENTE]],'RESUMEN CLIENTES'!D:D,'RESUMEN CLIENTES'!M:M)</f>
        <v>OK</v>
      </c>
      <c r="E1833" s="72">
        <f>+_xlfn.XLOOKUP(Tabla6[[#This Row],[NOMBRE]],'RESUMEN CLIENTES'!A:A,'RESUMEN CLIENTES'!X:X)</f>
        <v>0.25</v>
      </c>
      <c r="F1833" s="72">
        <f>+_xlfn.XLOOKUP(Tabla6[[#This Row],[ID CLIENTE]],'RESUMEN CLIENTES'!D:D,'RESUMEN CLIENTES'!W:W)</f>
        <v>1</v>
      </c>
      <c r="G1833" s="17">
        <v>46328</v>
      </c>
      <c r="H1833" s="44" t="s">
        <v>81</v>
      </c>
      <c r="I1833" s="2">
        <v>1000</v>
      </c>
      <c r="J1833"/>
      <c r="K1833"/>
      <c r="L1833" s="44" t="str" cm="1">
        <f t="array" ref="L1833">+_xlfn.IFS(COUNTIF(INGRESOS!E:E,Tabla6[[#This Row],[ID FACTURA]])=1,"PAGADA",Tabla6[[#This Row],[ID FACTURA]]&lt;&gt;0,"EMITIDA",Tabla6[[#This Row],[ID FACTURA]]=0,"POR EMITIR")</f>
        <v>POR EMITIR</v>
      </c>
      <c r="M1833" s="55" t="str">
        <f>+IF(Tabla6[[#This Row],[ESTADO FACTURA]]="PAGADA",Tabla6[[#This Row],[FECHA]]-_xlfn.XLOOKUP(Tabla6[[#This Row],[N° FACTURA]],INGRESOS!F:F,INGRESOS!A:A),"-")</f>
        <v>-</v>
      </c>
      <c r="N1833" s="2"/>
      <c r="O1833"/>
    </row>
    <row r="1834" spans="1:15" ht="14.75" customHeight="1">
      <c r="A1834" s="320" t="s">
        <v>1248</v>
      </c>
      <c r="B1834" t="str">
        <f>+_xlfn.XLOOKUP(Tabla6[[#This Row],[ID CLIENTE]],'RESUMEN CLIENTES'!D:D,'RESUMEN CLIENTES'!A:A)</f>
        <v>Emily Vanessa Tapia Villalobos</v>
      </c>
      <c r="C1834" t="str">
        <f>+_xlfn.XLOOKUP(Tabla6[[#This Row],[ID CLIENTE]],'RESUMEN CLIENTES'!D:D,'RESUMEN CLIENTES'!C:C)</f>
        <v>Chile</v>
      </c>
      <c r="D1834" s="44" t="str">
        <f>+_xlfn.XLOOKUP(Tabla6[[#This Row],[ID CLIENTE]],'RESUMEN CLIENTES'!D:D,'RESUMEN CLIENTES'!M:M)</f>
        <v>OK</v>
      </c>
      <c r="E1834" s="71">
        <f>+_xlfn.XLOOKUP(Tabla6[[#This Row],[NOMBRE]],'RESUMEN CLIENTES'!A:A,'RESUMEN CLIENTES'!X:X)</f>
        <v>0.33333333333333331</v>
      </c>
      <c r="F1834" s="71">
        <f>+_xlfn.XLOOKUP(Tabla6[[#This Row],[ID CLIENTE]],'RESUMEN CLIENTES'!D:D,'RESUMEN CLIENTES'!W:W)</f>
        <v>0</v>
      </c>
      <c r="G1834" s="17">
        <v>46329</v>
      </c>
      <c r="H1834" s="44" t="s">
        <v>81</v>
      </c>
      <c r="I1834" s="2">
        <v>1000</v>
      </c>
      <c r="J1834"/>
      <c r="K1834"/>
      <c r="L1834" s="44" t="str" cm="1">
        <f t="array" ref="L1834">+_xlfn.IFS(COUNTIF(INGRESOS!E:E,Tabla6[[#This Row],[ID FACTURA]])=1,"PAGADA",Tabla6[[#This Row],[ID FACTURA]]&lt;&gt;0,"EMITIDA",Tabla6[[#This Row],[ID FACTURA]]=0,"POR EMITIR")</f>
        <v>POR EMITIR</v>
      </c>
      <c r="M1834" s="55" t="str">
        <f>+IF(Tabla6[[#This Row],[ESTADO FACTURA]]="PAGADA",Tabla6[[#This Row],[FECHA]]-_xlfn.XLOOKUP(Tabla6[[#This Row],[N° FACTURA]],INGRESOS!F:F,INGRESOS!A:A),"-")</f>
        <v>-</v>
      </c>
      <c r="N1834" s="2"/>
      <c r="O1834"/>
    </row>
    <row r="1835" spans="1:15" ht="14.75" customHeight="1">
      <c r="A1835" s="320" t="s">
        <v>1251</v>
      </c>
      <c r="B1835" t="str">
        <f>+_xlfn.XLOOKUP(Tabla6[[#This Row],[ID CLIENTE]],'RESUMEN CLIENTES'!D:D,'RESUMEN CLIENTES'!A:A)</f>
        <v>Erick Ernesto Angulo Campos</v>
      </c>
      <c r="C1835" t="str">
        <f>+_xlfn.XLOOKUP(Tabla6[[#This Row],[ID CLIENTE]],'RESUMEN CLIENTES'!D:D,'RESUMEN CLIENTES'!C:C)</f>
        <v>Chile</v>
      </c>
      <c r="D1835" s="44" t="str">
        <f>+_xlfn.XLOOKUP(Tabla6[[#This Row],[ID CLIENTE]],'RESUMEN CLIENTES'!D:D,'RESUMEN CLIENTES'!M:M)</f>
        <v>OK</v>
      </c>
      <c r="E1835" s="71">
        <f>+_xlfn.XLOOKUP(Tabla6[[#This Row],[NOMBRE]],'RESUMEN CLIENTES'!A:A,'RESUMEN CLIENTES'!X:X)</f>
        <v>-0.66666666666666663</v>
      </c>
      <c r="F1835" s="71">
        <f>+_xlfn.XLOOKUP(Tabla6[[#This Row],[ID CLIENTE]],'RESUMEN CLIENTES'!D:D,'RESUMEN CLIENTES'!W:W)</f>
        <v>0</v>
      </c>
      <c r="G1835" s="17">
        <v>46329</v>
      </c>
      <c r="H1835" s="44" t="s">
        <v>81</v>
      </c>
      <c r="I1835" s="2">
        <v>1000</v>
      </c>
      <c r="J1835"/>
      <c r="K1835"/>
      <c r="L1835" s="44" t="str" cm="1">
        <f t="array" ref="L1835">+_xlfn.IFS(COUNTIF(INGRESOS!E:E,Tabla6[[#This Row],[ID FACTURA]])=1,"PAGADA",Tabla6[[#This Row],[ID FACTURA]]&lt;&gt;0,"EMITIDA",Tabla6[[#This Row],[ID FACTURA]]=0,"POR EMITIR")</f>
        <v>POR EMITIR</v>
      </c>
      <c r="M1835" s="55" t="str">
        <f>+IF(Tabla6[[#This Row],[ESTADO FACTURA]]="PAGADA",Tabla6[[#This Row],[FECHA]]-_xlfn.XLOOKUP(Tabla6[[#This Row],[N° FACTURA]],INGRESOS!F:F,INGRESOS!A:A),"-")</f>
        <v>-</v>
      </c>
      <c r="N1835" s="2"/>
      <c r="O1835"/>
    </row>
    <row r="1836" spans="1:15" ht="14.75" customHeight="1">
      <c r="A1836" s="320" t="s">
        <v>203</v>
      </c>
      <c r="B1836" t="str">
        <f>+_xlfn.XLOOKUP(Tabla6[[#This Row],[ID CLIENTE]],'RESUMEN CLIENTES'!D:D,'RESUMEN CLIENTES'!A:A)</f>
        <v>Bernardita Lobo Zegers</v>
      </c>
      <c r="C1836" t="str">
        <f>+_xlfn.XLOOKUP(Tabla6[[#This Row],[ID CLIENTE]],'RESUMEN CLIENTES'!D:D,'RESUMEN CLIENTES'!C:C)</f>
        <v>México</v>
      </c>
      <c r="D1836" s="44" t="str">
        <f>+_xlfn.XLOOKUP(Tabla6[[#This Row],[ID CLIENTE]],'RESUMEN CLIENTES'!D:D,'RESUMEN CLIENTES'!M:M)</f>
        <v>OK</v>
      </c>
      <c r="E1836" s="72">
        <f>+_xlfn.XLOOKUP(Tabla6[[#This Row],[NOMBRE]],'RESUMEN CLIENTES'!A:A,'RESUMEN CLIENTES'!X:X)</f>
        <v>-0.8</v>
      </c>
      <c r="F1836" s="72">
        <f>+_xlfn.XLOOKUP(Tabla6[[#This Row],[ID CLIENTE]],'RESUMEN CLIENTES'!D:D,'RESUMEN CLIENTES'!W:W)</f>
        <v>1</v>
      </c>
      <c r="G1836" s="17">
        <v>46331</v>
      </c>
      <c r="H1836" s="44" t="s">
        <v>81</v>
      </c>
      <c r="I1836" s="2">
        <v>800</v>
      </c>
      <c r="J1836"/>
      <c r="K1836"/>
      <c r="L1836" s="44" t="str" cm="1">
        <f t="array" ref="L1836">+_xlfn.IFS(COUNTIF(INGRESOS!E:E,Tabla6[[#This Row],[ID FACTURA]])=1,"PAGADA",Tabla6[[#This Row],[ID FACTURA]]&lt;&gt;0,"EMITIDA",Tabla6[[#This Row],[ID FACTURA]]=0,"POR EMITIR")</f>
        <v>POR EMITIR</v>
      </c>
      <c r="M1836" s="55" t="str">
        <f>+IF(Tabla6[[#This Row],[ESTADO FACTURA]]="PAGADA",Tabla6[[#This Row],[FECHA]]-_xlfn.XLOOKUP(Tabla6[[#This Row],[N° FACTURA]],INGRESOS!F:F,INGRESOS!A:A),"-")</f>
        <v>-</v>
      </c>
      <c r="N1836" s="2"/>
      <c r="O1836"/>
    </row>
    <row r="1837" spans="1:15" ht="14.75" customHeight="1">
      <c r="A1837" s="320" t="s">
        <v>1674</v>
      </c>
      <c r="B1837" t="str">
        <f>+_xlfn.XLOOKUP(Tabla6[[#This Row],[ID CLIENTE]],'RESUMEN CLIENTES'!D:D,'RESUMEN CLIENTES'!A:A)</f>
        <v>Diego Alberto Ruiz Cifuentes</v>
      </c>
      <c r="C1837" t="str">
        <f>+_xlfn.XLOOKUP(Tabla6[[#This Row],[ID CLIENTE]],'RESUMEN CLIENTES'!D:D,'RESUMEN CLIENTES'!C:C)</f>
        <v>Chile</v>
      </c>
      <c r="D1837" s="169" t="str">
        <f>+_xlfn.XLOOKUP(Tabla6[[#This Row],[ID CLIENTE]],'RESUMEN CLIENTES'!D:D,'RESUMEN CLIENTES'!M:M)</f>
        <v>OK</v>
      </c>
      <c r="E1837" s="71">
        <f>+_xlfn.XLOOKUP(Tabla6[[#This Row],[NOMBRE]],'RESUMEN CLIENTES'!A:A,'RESUMEN CLIENTES'!X:X)</f>
        <v>5.75</v>
      </c>
      <c r="F1837" s="71">
        <f>+_xlfn.XLOOKUP(Tabla6[[#This Row],[ID CLIENTE]],'RESUMEN CLIENTES'!D:D,'RESUMEN CLIENTES'!W:W)</f>
        <v>0</v>
      </c>
      <c r="G1837" s="17">
        <v>46331</v>
      </c>
      <c r="H1837" s="169" t="s">
        <v>81</v>
      </c>
      <c r="I1837" s="2">
        <v>1000</v>
      </c>
      <c r="J1837"/>
      <c r="K1837"/>
      <c r="L1837" s="44" t="str" cm="1">
        <f t="array" ref="L1837">+_xlfn.IFS(COUNTIF(INGRESOS!E:E,Tabla6[[#This Row],[ID FACTURA]])=1,"PAGADA",Tabla6[[#This Row],[ID FACTURA]]&lt;&gt;0,"EMITIDA",Tabla6[[#This Row],[ID FACTURA]]=0,"POR EMITIR")</f>
        <v>POR EMITIR</v>
      </c>
      <c r="M1837" s="55" t="str">
        <f>+IF(Tabla6[[#This Row],[ESTADO FACTURA]]="PAGADA",Tabla6[[#This Row],[FECHA]]-_xlfn.XLOOKUP(Tabla6[[#This Row],[N° FACTURA]],INGRESOS!F:F,INGRESOS!A:A),"-")</f>
        <v>-</v>
      </c>
      <c r="N1837" s="2"/>
      <c r="O1837"/>
    </row>
    <row r="1838" spans="1:15" ht="14.75" customHeight="1">
      <c r="A1838" s="320" t="s">
        <v>2521</v>
      </c>
      <c r="B1838" t="str">
        <f>+_xlfn.XLOOKUP(Tabla6[[#This Row],[ID CLIENTE]],'RESUMEN CLIENTES'!D:D,'RESUMEN CLIENTES'!A:A)</f>
        <v>Fabián Andrés Sarmiento Auli</v>
      </c>
      <c r="C1838" t="str">
        <f>+_xlfn.XLOOKUP(Tabla6[[#This Row],[ID CLIENTE]],'RESUMEN CLIENTES'!D:D,'RESUMEN CLIENTES'!C:C)</f>
        <v>Colombia</v>
      </c>
      <c r="D1838" s="169" t="str">
        <f>+_xlfn.XLOOKUP(Tabla6[[#This Row],[ID CLIENTE]],'RESUMEN CLIENTES'!D:D,'RESUMEN CLIENTES'!M:M)</f>
        <v>OK</v>
      </c>
      <c r="E1838" s="71">
        <f>+_xlfn.XLOOKUP(Tabla6[[#This Row],[NOMBRE]],'RESUMEN CLIENTES'!A:A,'RESUMEN CLIENTES'!X:X)</f>
        <v>0</v>
      </c>
      <c r="F1838" s="71">
        <f>+_xlfn.XLOOKUP(Tabla6[[#This Row],[ID CLIENTE]],'RESUMEN CLIENTES'!D:D,'RESUMEN CLIENTES'!W:W)</f>
        <v>0</v>
      </c>
      <c r="G1838" s="17">
        <v>46331</v>
      </c>
      <c r="H1838" s="169" t="s">
        <v>81</v>
      </c>
      <c r="I1838" s="2">
        <v>650</v>
      </c>
      <c r="J1838"/>
      <c r="K1838"/>
      <c r="L1838" s="44" t="str" cm="1">
        <f t="array" ref="L1838">+_xlfn.IFS(COUNTIF(INGRESOS!E:E,Tabla6[[#This Row],[ID FACTURA]])=1,"PAGADA",Tabla6[[#This Row],[ID FACTURA]]&lt;&gt;0,"EMITIDA",Tabla6[[#This Row],[ID FACTURA]]=0,"POR EMITIR")</f>
        <v>POR EMITIR</v>
      </c>
      <c r="M1838" s="54" t="str">
        <f>+IF(Tabla6[[#This Row],[ESTADO FACTURA]]="PAGADA",Tabla6[[#This Row],[FECHA]]-_xlfn.XLOOKUP(Tabla6[[#This Row],[N° FACTURA]],INGRESOS!F:F,INGRESOS!A:A),"-")</f>
        <v>-</v>
      </c>
      <c r="O1838"/>
    </row>
    <row r="1839" spans="1:15" ht="14.75" customHeight="1">
      <c r="A1839" s="320" t="s">
        <v>787</v>
      </c>
      <c r="B1839" t="str">
        <f>+_xlfn.XLOOKUP(Tabla6[[#This Row],[ID CLIENTE]],'RESUMEN CLIENTES'!D:D,'RESUMEN CLIENTES'!A:A)</f>
        <v>Florencia Luján Sapia</v>
      </c>
      <c r="C1839" t="str">
        <f>+_xlfn.XLOOKUP(Tabla6[[#This Row],[ID CLIENTE]],'RESUMEN CLIENTES'!D:D,'RESUMEN CLIENTES'!C:C)</f>
        <v>Argentina</v>
      </c>
      <c r="D1839" s="44" t="str">
        <f>+_xlfn.XLOOKUP(Tabla6[[#This Row],[ID CLIENTE]],'RESUMEN CLIENTES'!D:D,'RESUMEN CLIENTES'!M:M)</f>
        <v>OK</v>
      </c>
      <c r="E1839" s="72">
        <f>+_xlfn.XLOOKUP(Tabla6[[#This Row],[NOMBRE]],'RESUMEN CLIENTES'!A:A,'RESUMEN CLIENTES'!X:X)</f>
        <v>-0.77777777777777779</v>
      </c>
      <c r="F1839" s="72">
        <f>+_xlfn.XLOOKUP(Tabla6[[#This Row],[ID CLIENTE]],'RESUMEN CLIENTES'!D:D,'RESUMEN CLIENTES'!W:W)</f>
        <v>1</v>
      </c>
      <c r="G1839" s="17">
        <v>46331</v>
      </c>
      <c r="H1839" s="44" t="s">
        <v>81</v>
      </c>
      <c r="I1839" s="2">
        <v>600</v>
      </c>
      <c r="J1839"/>
      <c r="K1839"/>
      <c r="L1839" s="44" t="str" cm="1">
        <f t="array" ref="L1839">+_xlfn.IFS(COUNTIF(INGRESOS!E:E,Tabla6[[#This Row],[ID FACTURA]])=1,"PAGADA",Tabla6[[#This Row],[ID FACTURA]]&lt;&gt;0,"EMITIDA",Tabla6[[#This Row],[ID FACTURA]]=0,"POR EMITIR")</f>
        <v>POR EMITIR</v>
      </c>
      <c r="M1839" s="55" t="str">
        <f>+IF(Tabla6[[#This Row],[ESTADO FACTURA]]="PAGADA",Tabla6[[#This Row],[FECHA]]-_xlfn.XLOOKUP(Tabla6[[#This Row],[N° FACTURA]],INGRESOS!F:F,INGRESOS!A:A),"-")</f>
        <v>-</v>
      </c>
      <c r="N1839" s="2"/>
      <c r="O1839"/>
    </row>
    <row r="1840" spans="1:15" ht="14.75" customHeight="1">
      <c r="A1840" s="320" t="s">
        <v>142</v>
      </c>
      <c r="B1840" t="str">
        <f>+_xlfn.XLOOKUP(Tabla6[[#This Row],[ID CLIENTE]],'RESUMEN CLIENTES'!D:D,'RESUMEN CLIENTES'!A:A)</f>
        <v>Jordan Eliecer Toledo Bravo</v>
      </c>
      <c r="C1840" t="str">
        <f>+_xlfn.XLOOKUP(Tabla6[[#This Row],[ID CLIENTE]],'RESUMEN CLIENTES'!D:D,'RESUMEN CLIENTES'!C:C)</f>
        <v>Chile</v>
      </c>
      <c r="D1840" s="169" t="str">
        <f>+_xlfn.XLOOKUP(Tabla6[[#This Row],[ID CLIENTE]],'RESUMEN CLIENTES'!D:D,'RESUMEN CLIENTES'!M:M)</f>
        <v>OK</v>
      </c>
      <c r="E1840" s="71">
        <f>+_xlfn.XLOOKUP(Tabla6[[#This Row],[NOMBRE]],'RESUMEN CLIENTES'!A:A,'RESUMEN CLIENTES'!X:X)</f>
        <v>-1.6153846153846154</v>
      </c>
      <c r="F1840" s="71">
        <f>+_xlfn.XLOOKUP(Tabla6[[#This Row],[ID CLIENTE]],'RESUMEN CLIENTES'!D:D,'RESUMEN CLIENTES'!W:W)</f>
        <v>0</v>
      </c>
      <c r="G1840" s="17">
        <v>46331</v>
      </c>
      <c r="H1840" s="169" t="s">
        <v>81</v>
      </c>
      <c r="I1840" s="2">
        <v>521</v>
      </c>
      <c r="J1840"/>
      <c r="K1840"/>
      <c r="L1840" s="44" t="str" cm="1">
        <f t="array" ref="L1840">+_xlfn.IFS(COUNTIF(INGRESOS!E:E,Tabla6[[#This Row],[ID FACTURA]])=1,"PAGADA",Tabla6[[#This Row],[ID FACTURA]]&lt;&gt;0,"EMITIDA",Tabla6[[#This Row],[ID FACTURA]]=0,"POR EMITIR")</f>
        <v>POR EMITIR</v>
      </c>
      <c r="M1840" s="54" t="str">
        <f>+IF(Tabla6[[#This Row],[ESTADO FACTURA]]="PAGADA",Tabla6[[#This Row],[FECHA]]-_xlfn.XLOOKUP(Tabla6[[#This Row],[N° FACTURA]],INGRESOS!F:F,INGRESOS!A:A),"-")</f>
        <v>-</v>
      </c>
      <c r="O1840"/>
    </row>
    <row r="1841" spans="1:15" ht="14.75" customHeight="1">
      <c r="A1841" s="320" t="s">
        <v>4454</v>
      </c>
      <c r="B1841" t="str">
        <f>+_xlfn.XLOOKUP(Tabla6[[#This Row],[ID CLIENTE]],'RESUMEN CLIENTES'!D:D,'RESUMEN CLIENTES'!A:A)</f>
        <v>Jose Luis Avilez Casas</v>
      </c>
      <c r="C1841" t="str">
        <f>+_xlfn.XLOOKUP(Tabla6[[#This Row],[ID CLIENTE]],'RESUMEN CLIENTES'!D:D,'RESUMEN CLIENTES'!C:C)</f>
        <v>México</v>
      </c>
      <c r="D1841" s="169" t="str">
        <f>+_xlfn.XLOOKUP(Tabla6[[#This Row],[ID CLIENTE]],'RESUMEN CLIENTES'!D:D,'RESUMEN CLIENTES'!M:M)</f>
        <v>OK</v>
      </c>
      <c r="E1841" s="71">
        <f>+_xlfn.XLOOKUP(Tabla6[[#This Row],[NOMBRE]],'RESUMEN CLIENTES'!A:A,'RESUMEN CLIENTES'!X:X)</f>
        <v>0.33333333333333331</v>
      </c>
      <c r="F1841" s="71">
        <f>+_xlfn.XLOOKUP(Tabla6[[#This Row],[ID CLIENTE]],'RESUMEN CLIENTES'!D:D,'RESUMEN CLIENTES'!W:W)</f>
        <v>0</v>
      </c>
      <c r="G1841" s="17">
        <v>46331</v>
      </c>
      <c r="H1841" s="169" t="s">
        <v>81</v>
      </c>
      <c r="I1841" s="2">
        <v>1000</v>
      </c>
      <c r="J1841"/>
      <c r="K1841"/>
      <c r="L1841" s="44" t="str" cm="1">
        <f t="array" ref="L1841">+_xlfn.IFS(COUNTIF(INGRESOS!E:E,Tabla6[[#This Row],[ID FACTURA]])=1,"PAGADA",Tabla6[[#This Row],[ID FACTURA]]&lt;&gt;0,"EMITIDA",Tabla6[[#This Row],[ID FACTURA]]=0,"POR EMITIR")</f>
        <v>POR EMITIR</v>
      </c>
      <c r="M1841" s="54" t="str">
        <f>+IF(Tabla6[[#This Row],[ESTADO FACTURA]]="PAGADA",Tabla6[[#This Row],[FECHA]]-_xlfn.XLOOKUP(Tabla6[[#This Row],[N° FACTURA]],INGRESOS!F:F,INGRESOS!A:A),"-")</f>
        <v>-</v>
      </c>
      <c r="O1841"/>
    </row>
    <row r="1842" spans="1:15" ht="14.75" customHeight="1">
      <c r="A1842" s="320" t="s">
        <v>798</v>
      </c>
      <c r="B1842" t="str">
        <f>+_xlfn.XLOOKUP(Tabla6[[#This Row],[ID CLIENTE]],'RESUMEN CLIENTES'!D:D,'RESUMEN CLIENTES'!A:A)</f>
        <v>Juan Manuel Paranzino</v>
      </c>
      <c r="C1842" t="str">
        <f>+_xlfn.XLOOKUP(Tabla6[[#This Row],[ID CLIENTE]],'RESUMEN CLIENTES'!D:D,'RESUMEN CLIENTES'!C:C)</f>
        <v>Argentina</v>
      </c>
      <c r="D1842" s="44" t="str">
        <f>+_xlfn.XLOOKUP(Tabla6[[#This Row],[ID CLIENTE]],'RESUMEN CLIENTES'!D:D,'RESUMEN CLIENTES'!M:M)</f>
        <v>OK</v>
      </c>
      <c r="E1842" s="72">
        <f>+_xlfn.XLOOKUP(Tabla6[[#This Row],[NOMBRE]],'RESUMEN CLIENTES'!A:A,'RESUMEN CLIENTES'!X:X)</f>
        <v>-1</v>
      </c>
      <c r="F1842" s="72">
        <f>+_xlfn.XLOOKUP(Tabla6[[#This Row],[ID CLIENTE]],'RESUMEN CLIENTES'!D:D,'RESUMEN CLIENTES'!W:W)</f>
        <v>0</v>
      </c>
      <c r="G1842" s="17">
        <v>46331</v>
      </c>
      <c r="H1842" s="44" t="s">
        <v>81</v>
      </c>
      <c r="I1842" s="2">
        <v>600</v>
      </c>
      <c r="J1842"/>
      <c r="K1842"/>
      <c r="L1842" s="44" t="str" cm="1">
        <f t="array" ref="L1842">+_xlfn.IFS(COUNTIF(INGRESOS!E:E,Tabla6[[#This Row],[ID FACTURA]])=1,"PAGADA",Tabla6[[#This Row],[ID FACTURA]]&lt;&gt;0,"EMITIDA",Tabla6[[#This Row],[ID FACTURA]]=0,"POR EMITIR")</f>
        <v>POR EMITIR</v>
      </c>
      <c r="M1842" s="55" t="str">
        <f>+IF(Tabla6[[#This Row],[ESTADO FACTURA]]="PAGADA",Tabla6[[#This Row],[FECHA]]-_xlfn.XLOOKUP(Tabla6[[#This Row],[N° FACTURA]],INGRESOS!F:F,INGRESOS!A:A),"-")</f>
        <v>-</v>
      </c>
      <c r="N1842" s="2"/>
      <c r="O1842"/>
    </row>
    <row r="1843" spans="1:15" ht="14.75" customHeight="1">
      <c r="A1843" s="320" t="s">
        <v>1416</v>
      </c>
      <c r="B1843" t="str">
        <f>+_xlfn.XLOOKUP(Tabla6[[#This Row],[ID CLIENTE]],'RESUMEN CLIENTES'!D:D,'RESUMEN CLIENTES'!A:A)</f>
        <v>Luis Armando Calderon Manzanera</v>
      </c>
      <c r="C1843" t="str">
        <f>+_xlfn.XLOOKUP(Tabla6[[#This Row],[ID CLIENTE]],'RESUMEN CLIENTES'!D:D,'RESUMEN CLIENTES'!C:C)</f>
        <v>México</v>
      </c>
      <c r="D1843" s="44" t="str">
        <f>+_xlfn.XLOOKUP(Tabla6[[#This Row],[ID CLIENTE]],'RESUMEN CLIENTES'!D:D,'RESUMEN CLIENTES'!M:M)</f>
        <v>OK</v>
      </c>
      <c r="E1843" s="71">
        <f>+_xlfn.XLOOKUP(Tabla6[[#This Row],[NOMBRE]],'RESUMEN CLIENTES'!A:A,'RESUMEN CLIENTES'!X:X)</f>
        <v>2</v>
      </c>
      <c r="F1843" s="71">
        <f>+_xlfn.XLOOKUP(Tabla6[[#This Row],[ID CLIENTE]],'RESUMEN CLIENTES'!D:D,'RESUMEN CLIENTES'!W:W)</f>
        <v>1</v>
      </c>
      <c r="G1843" s="17">
        <v>46331</v>
      </c>
      <c r="H1843" s="44" t="s">
        <v>81</v>
      </c>
      <c r="I1843" s="2">
        <v>650</v>
      </c>
      <c r="J1843"/>
      <c r="K1843"/>
      <c r="L1843" s="44" t="str" cm="1">
        <f t="array" ref="L1843">+_xlfn.IFS(COUNTIF(INGRESOS!E:E,Tabla6[[#This Row],[ID FACTURA]])=1,"PAGADA",Tabla6[[#This Row],[ID FACTURA]]&lt;&gt;0,"EMITIDA",Tabla6[[#This Row],[ID FACTURA]]=0,"POR EMITIR")</f>
        <v>POR EMITIR</v>
      </c>
      <c r="M1843" s="55" t="str">
        <f>+IF(Tabla6[[#This Row],[ESTADO FACTURA]]="PAGADA",Tabla6[[#This Row],[FECHA]]-_xlfn.XLOOKUP(Tabla6[[#This Row],[N° FACTURA]],INGRESOS!F:F,INGRESOS!A:A),"-")</f>
        <v>-</v>
      </c>
      <c r="N1843" s="2"/>
      <c r="O1843"/>
    </row>
    <row r="1844" spans="1:15" ht="14.75" customHeight="1">
      <c r="A1844" s="320" t="s">
        <v>703</v>
      </c>
      <c r="B1844" t="str">
        <f>+_xlfn.XLOOKUP(Tabla6[[#This Row],[ID CLIENTE]],'RESUMEN CLIENTES'!D:D,'RESUMEN CLIENTES'!A:A)</f>
        <v>Maira Paz Navas Sánchez</v>
      </c>
      <c r="C1844" t="str">
        <f>+_xlfn.XLOOKUP(Tabla6[[#This Row],[ID CLIENTE]],'RESUMEN CLIENTES'!D:D,'RESUMEN CLIENTES'!C:C)</f>
        <v>Chile</v>
      </c>
      <c r="D1844" s="44" t="str">
        <f>+_xlfn.XLOOKUP(Tabla6[[#This Row],[ID CLIENTE]],'RESUMEN CLIENTES'!D:D,'RESUMEN CLIENTES'!M:M)</f>
        <v>OK</v>
      </c>
      <c r="E1844" s="72">
        <f>+_xlfn.XLOOKUP(Tabla6[[#This Row],[NOMBRE]],'RESUMEN CLIENTES'!A:A,'RESUMEN CLIENTES'!X:X)</f>
        <v>-1.75</v>
      </c>
      <c r="F1844" s="72">
        <f>+_xlfn.XLOOKUP(Tabla6[[#This Row],[ID CLIENTE]],'RESUMEN CLIENTES'!D:D,'RESUMEN CLIENTES'!W:W)</f>
        <v>1</v>
      </c>
      <c r="G1844" s="17">
        <v>46331</v>
      </c>
      <c r="H1844" s="44" t="s">
        <v>81</v>
      </c>
      <c r="I1844" s="2">
        <v>700</v>
      </c>
      <c r="J1844"/>
      <c r="K1844"/>
      <c r="L1844" s="44" t="str" cm="1">
        <f t="array" ref="L1844">+_xlfn.IFS(COUNTIF(INGRESOS!E:E,Tabla6[[#This Row],[ID FACTURA]])=1,"PAGADA",Tabla6[[#This Row],[ID FACTURA]]&lt;&gt;0,"EMITIDA",Tabla6[[#This Row],[ID FACTURA]]=0,"POR EMITIR")</f>
        <v>POR EMITIR</v>
      </c>
      <c r="M1844" s="55" t="str">
        <f>+IF(Tabla6[[#This Row],[ESTADO FACTURA]]="PAGADA",Tabla6[[#This Row],[FECHA]]-_xlfn.XLOOKUP(Tabla6[[#This Row],[N° FACTURA]],INGRESOS!F:F,INGRESOS!A:A),"-")</f>
        <v>-</v>
      </c>
      <c r="N1844" s="2"/>
      <c r="O1844"/>
    </row>
    <row r="1845" spans="1:15" ht="14.75" customHeight="1">
      <c r="A1845" s="320" t="s">
        <v>80</v>
      </c>
      <c r="B1845" t="str">
        <f>+_xlfn.XLOOKUP(Tabla6[[#This Row],[ID CLIENTE]],'RESUMEN CLIENTES'!D:D,'RESUMEN CLIENTES'!A:A)</f>
        <v>María Fernanda Alvar Sepúlveda</v>
      </c>
      <c r="C1845" t="str">
        <f>+_xlfn.XLOOKUP(Tabla6[[#This Row],[ID CLIENTE]],'RESUMEN CLIENTES'!D:D,'RESUMEN CLIENTES'!C:C)</f>
        <v>Chile</v>
      </c>
      <c r="D1845" s="44" t="str">
        <f>+_xlfn.XLOOKUP(Tabla6[[#This Row],[ID CLIENTE]],'RESUMEN CLIENTES'!D:D,'RESUMEN CLIENTES'!M:M)</f>
        <v>OK</v>
      </c>
      <c r="E1845" s="72">
        <f>+_xlfn.XLOOKUP(Tabla6[[#This Row],[NOMBRE]],'RESUMEN CLIENTES'!A:A,'RESUMEN CLIENTES'!X:X)</f>
        <v>5</v>
      </c>
      <c r="F1845" s="71">
        <f>+_xlfn.XLOOKUP(Tabla6[[#This Row],[ID CLIENTE]],'RESUMEN CLIENTES'!D:D,'RESUMEN CLIENTES'!W:W)</f>
        <v>1</v>
      </c>
      <c r="G1845" s="17">
        <v>46331</v>
      </c>
      <c r="H1845" s="44" t="s">
        <v>81</v>
      </c>
      <c r="I1845" s="2">
        <v>800</v>
      </c>
      <c r="J1845"/>
      <c r="K1845"/>
      <c r="L1845" s="44" t="str" cm="1">
        <f t="array" ref="L1845">+_xlfn.IFS(COUNTIF(INGRESOS!E:E,Tabla6[[#This Row],[ID FACTURA]])=1,"PAGADA",Tabla6[[#This Row],[ID FACTURA]]&lt;&gt;0,"EMITIDA",Tabla6[[#This Row],[ID FACTURA]]=0,"POR EMITIR")</f>
        <v>POR EMITIR</v>
      </c>
      <c r="M1845" s="55" t="str">
        <f>+IF(Tabla6[[#This Row],[ESTADO FACTURA]]="PAGADA",Tabla6[[#This Row],[FECHA]]-_xlfn.XLOOKUP(Tabla6[[#This Row],[N° FACTURA]],INGRESOS!F:F,INGRESOS!A:A),"-")</f>
        <v>-</v>
      </c>
      <c r="N1845" s="214"/>
      <c r="O1845"/>
    </row>
    <row r="1846" spans="1:15" ht="14.75" customHeight="1">
      <c r="A1846" s="320" t="s">
        <v>1551</v>
      </c>
      <c r="B1846" t="str">
        <f>+_xlfn.XLOOKUP(Tabla6[[#This Row],[ID CLIENTE]],'RESUMEN CLIENTES'!D:D,'RESUMEN CLIENTES'!A:A)</f>
        <v>María Fernanda Cid Ramírez</v>
      </c>
      <c r="C1846" t="str">
        <f>+_xlfn.XLOOKUP(Tabla6[[#This Row],[ID CLIENTE]],'RESUMEN CLIENTES'!D:D,'RESUMEN CLIENTES'!C:C)</f>
        <v>México</v>
      </c>
      <c r="D1846" s="44" t="str">
        <f>+_xlfn.XLOOKUP(Tabla6[[#This Row],[ID CLIENTE]],'RESUMEN CLIENTES'!D:D,'RESUMEN CLIENTES'!M:M)</f>
        <v>OK</v>
      </c>
      <c r="E1846" s="71">
        <f>+_xlfn.XLOOKUP(Tabla6[[#This Row],[NOMBRE]],'RESUMEN CLIENTES'!A:A,'RESUMEN CLIENTES'!X:X)</f>
        <v>-0.8571428571428571</v>
      </c>
      <c r="F1846" s="71">
        <f>+_xlfn.XLOOKUP(Tabla6[[#This Row],[ID CLIENTE]],'RESUMEN CLIENTES'!D:D,'RESUMEN CLIENTES'!W:W)</f>
        <v>0</v>
      </c>
      <c r="G1846" s="17">
        <v>46331</v>
      </c>
      <c r="H1846" s="169" t="s">
        <v>81</v>
      </c>
      <c r="I1846" s="2">
        <v>850</v>
      </c>
      <c r="J1846"/>
      <c r="K1846"/>
      <c r="L1846" s="44" t="str" cm="1">
        <f t="array" ref="L1846">+_xlfn.IFS(COUNTIF(INGRESOS!E:E,Tabla6[[#This Row],[ID FACTURA]])=1,"PAGADA",Tabla6[[#This Row],[ID FACTURA]]&lt;&gt;0,"EMITIDA",Tabla6[[#This Row],[ID FACTURA]]=0,"POR EMITIR")</f>
        <v>POR EMITIR</v>
      </c>
      <c r="M1846" s="55" t="str">
        <f>+IF(Tabla6[[#This Row],[ESTADO FACTURA]]="PAGADA",Tabla6[[#This Row],[FECHA]]-_xlfn.XLOOKUP(Tabla6[[#This Row],[N° FACTURA]],INGRESOS!F:F,INGRESOS!A:A),"-")</f>
        <v>-</v>
      </c>
      <c r="N1846" s="2"/>
      <c r="O1846"/>
    </row>
    <row r="1847" spans="1:15" ht="14.75" customHeight="1">
      <c r="A1847" s="320" t="s">
        <v>4509</v>
      </c>
      <c r="B1847" t="str">
        <f>+_xlfn.XLOOKUP(Tabla6[[#This Row],[ID CLIENTE]],'RESUMEN CLIENTES'!D:D,'RESUMEN CLIENTES'!A:A)</f>
        <v>Marisol Madeleine Ibáñez Paredes</v>
      </c>
      <c r="C1847" t="str">
        <f>+_xlfn.XLOOKUP(Tabla6[[#This Row],[ID CLIENTE]],'RESUMEN CLIENTES'!D:D,'RESUMEN CLIENTES'!C:C)</f>
        <v>Ecuador</v>
      </c>
      <c r="D1847" s="169" t="str">
        <f>+_xlfn.XLOOKUP(Tabla6[[#This Row],[ID CLIENTE]],'RESUMEN CLIENTES'!D:D,'RESUMEN CLIENTES'!M:M)</f>
        <v>OK</v>
      </c>
      <c r="E1847" s="71">
        <f>+_xlfn.XLOOKUP(Tabla6[[#This Row],[NOMBRE]],'RESUMEN CLIENTES'!A:A,'RESUMEN CLIENTES'!X:X)</f>
        <v>-3</v>
      </c>
      <c r="F1847" s="71">
        <f>+_xlfn.XLOOKUP(Tabla6[[#This Row],[ID CLIENTE]],'RESUMEN CLIENTES'!D:D,'RESUMEN CLIENTES'!W:W)</f>
        <v>0</v>
      </c>
      <c r="G1847" s="17">
        <v>46331</v>
      </c>
      <c r="H1847" s="169" t="s">
        <v>1669</v>
      </c>
      <c r="I1847" s="2">
        <v>5000</v>
      </c>
      <c r="J1847"/>
      <c r="K1847"/>
      <c r="L1847" s="44" t="str" cm="1">
        <f t="array" ref="L1847">+_xlfn.IFS(COUNTIF(INGRESOS!E:E,Tabla6[[#This Row],[ID FACTURA]])=1,"PAGADA",Tabla6[[#This Row],[ID FACTURA]]&lt;&gt;0,"EMITIDA",Tabla6[[#This Row],[ID FACTURA]]=0,"POR EMITIR")</f>
        <v>POR EMITIR</v>
      </c>
      <c r="M1847" s="54" t="str">
        <f>+IF(Tabla6[[#This Row],[ESTADO FACTURA]]="PAGADA",Tabla6[[#This Row],[FECHA]]-_xlfn.XLOOKUP(Tabla6[[#This Row],[N° FACTURA]],INGRESOS!F:F,INGRESOS!A:A),"-")</f>
        <v>-</v>
      </c>
      <c r="O1847"/>
    </row>
    <row r="1848" spans="1:15" ht="14.75" customHeight="1">
      <c r="A1848" s="320" t="s">
        <v>159</v>
      </c>
      <c r="B1848" t="str">
        <f>+_xlfn.XLOOKUP(Tabla6[[#This Row],[ID CLIENTE]],'RESUMEN CLIENTES'!D:D,'RESUMEN CLIENTES'!A:A)</f>
        <v>Rodrigo Rivera Ruiz</v>
      </c>
      <c r="C1848" t="str">
        <f>+_xlfn.XLOOKUP(Tabla6[[#This Row],[ID CLIENTE]],'RESUMEN CLIENTES'!D:D,'RESUMEN CLIENTES'!C:C)</f>
        <v>Chile</v>
      </c>
      <c r="D1848" s="44" t="str">
        <f>+_xlfn.XLOOKUP(Tabla6[[#This Row],[ID CLIENTE]],'RESUMEN CLIENTES'!D:D,'RESUMEN CLIENTES'!M:M)</f>
        <v>OK</v>
      </c>
      <c r="E1848" s="72">
        <f>+_xlfn.XLOOKUP(Tabla6[[#This Row],[NOMBRE]],'RESUMEN CLIENTES'!A:A,'RESUMEN CLIENTES'!X:X)</f>
        <v>0.8</v>
      </c>
      <c r="F1848" s="72">
        <f>+_xlfn.XLOOKUP(Tabla6[[#This Row],[ID CLIENTE]],'RESUMEN CLIENTES'!D:D,'RESUMEN CLIENTES'!W:W)</f>
        <v>1</v>
      </c>
      <c r="G1848" s="17">
        <v>46331</v>
      </c>
      <c r="H1848" s="44" t="s">
        <v>81</v>
      </c>
      <c r="I1848" s="2">
        <v>800</v>
      </c>
      <c r="J1848"/>
      <c r="K1848"/>
      <c r="L1848" s="44" t="str" cm="1">
        <f t="array" ref="L1848">+_xlfn.IFS(COUNTIF(INGRESOS!E:E,Tabla6[[#This Row],[ID FACTURA]])=1,"PAGADA",Tabla6[[#This Row],[ID FACTURA]]&lt;&gt;0,"EMITIDA",Tabla6[[#This Row],[ID FACTURA]]=0,"POR EMITIR")</f>
        <v>POR EMITIR</v>
      </c>
      <c r="M1848" s="55" t="str">
        <f>+IF(Tabla6[[#This Row],[ESTADO FACTURA]]="PAGADA",Tabla6[[#This Row],[FECHA]]-_xlfn.XLOOKUP(Tabla6[[#This Row],[N° FACTURA]],INGRESOS!F:F,INGRESOS!A:A),"-")</f>
        <v>-</v>
      </c>
      <c r="N1848" s="2"/>
      <c r="O1848"/>
    </row>
    <row r="1849" spans="1:15" ht="14.75" customHeight="1">
      <c r="A1849" s="320" t="s">
        <v>281</v>
      </c>
      <c r="B1849" t="str">
        <f>+_xlfn.XLOOKUP(Tabla6[[#This Row],[ID CLIENTE]],'RESUMEN CLIENTES'!D:D,'RESUMEN CLIENTES'!A:A)</f>
        <v>Sergio Francisco Garcia Sandoval</v>
      </c>
      <c r="C1849" t="str">
        <f>+_xlfn.XLOOKUP(Tabla6[[#This Row],[ID CLIENTE]],'RESUMEN CLIENTES'!D:D,'RESUMEN CLIENTES'!C:C)</f>
        <v>Perú</v>
      </c>
      <c r="D1849" s="44" t="str">
        <f>+_xlfn.XLOOKUP(Tabla6[[#This Row],[ID CLIENTE]],'RESUMEN CLIENTES'!D:D,'RESUMEN CLIENTES'!M:M)</f>
        <v>OK</v>
      </c>
      <c r="E1849" s="72">
        <f>+_xlfn.XLOOKUP(Tabla6[[#This Row],[NOMBRE]],'RESUMEN CLIENTES'!A:A,'RESUMEN CLIENTES'!X:X)</f>
        <v>0.88888888888888884</v>
      </c>
      <c r="F1849" s="72">
        <f>+_xlfn.XLOOKUP(Tabla6[[#This Row],[ID CLIENTE]],'RESUMEN CLIENTES'!D:D,'RESUMEN CLIENTES'!W:W)</f>
        <v>1</v>
      </c>
      <c r="G1849" s="17">
        <v>46331</v>
      </c>
      <c r="H1849" s="44" t="s">
        <v>81</v>
      </c>
      <c r="I1849" s="2">
        <v>350</v>
      </c>
      <c r="J1849"/>
      <c r="K1849"/>
      <c r="L1849" s="44" t="str" cm="1">
        <f t="array" ref="L1849">+_xlfn.IFS(COUNTIF(INGRESOS!E:E,Tabla6[[#This Row],[ID FACTURA]])=1,"PAGADA",Tabla6[[#This Row],[ID FACTURA]]&lt;&gt;0,"EMITIDA",Tabla6[[#This Row],[ID FACTURA]]=0,"POR EMITIR")</f>
        <v>POR EMITIR</v>
      </c>
      <c r="M1849" s="55" t="str">
        <f>+IF(Tabla6[[#This Row],[ESTADO FACTURA]]="PAGADA",Tabla6[[#This Row],[FECHA]]-_xlfn.XLOOKUP(Tabla6[[#This Row],[N° FACTURA]],INGRESOS!F:F,INGRESOS!A:A),"-")</f>
        <v>-</v>
      </c>
      <c r="N1849" s="2"/>
      <c r="O1849"/>
    </row>
    <row r="1850" spans="1:15" ht="14.75" customHeight="1">
      <c r="A1850" s="320" t="s">
        <v>1152</v>
      </c>
      <c r="B1850" t="str">
        <f>+_xlfn.XLOOKUP(Tabla6[[#This Row],[ID CLIENTE]],'RESUMEN CLIENTES'!D:D,'RESUMEN CLIENTES'!A:A)</f>
        <v>Ricardo Ernesto Miño Valencia</v>
      </c>
      <c r="C1850" t="str">
        <f>+_xlfn.XLOOKUP(Tabla6[[#This Row],[ID CLIENTE]],'RESUMEN CLIENTES'!D:D,'RESUMEN CLIENTES'!C:C)</f>
        <v>Ecuador</v>
      </c>
      <c r="D1850" s="44" t="str">
        <f>+_xlfn.XLOOKUP(Tabla6[[#This Row],[ID CLIENTE]],'RESUMEN CLIENTES'!D:D,'RESUMEN CLIENTES'!M:M)</f>
        <v>OK</v>
      </c>
      <c r="E1850" s="72">
        <f>+_xlfn.XLOOKUP(Tabla6[[#This Row],[NOMBRE]],'RESUMEN CLIENTES'!A:A,'RESUMEN CLIENTES'!X:X)</f>
        <v>-3.2</v>
      </c>
      <c r="F1850" s="72">
        <f>+_xlfn.XLOOKUP(Tabla6[[#This Row],[ID CLIENTE]],'RESUMEN CLIENTES'!D:D,'RESUMEN CLIENTES'!W:W)</f>
        <v>1</v>
      </c>
      <c r="G1850" s="17">
        <v>46332</v>
      </c>
      <c r="H1850" s="44" t="s">
        <v>81</v>
      </c>
      <c r="I1850" s="2">
        <v>700</v>
      </c>
      <c r="J1850"/>
      <c r="K1850"/>
      <c r="L1850" s="44" t="str" cm="1">
        <f t="array" ref="L1850">+_xlfn.IFS(COUNTIF(INGRESOS!E:E,Tabla6[[#This Row],[ID FACTURA]])=1,"PAGADA",Tabla6[[#This Row],[ID FACTURA]]&lt;&gt;0,"EMITIDA",Tabla6[[#This Row],[ID FACTURA]]=0,"POR EMITIR")</f>
        <v>POR EMITIR</v>
      </c>
      <c r="M1850" s="55" t="str">
        <f>+IF(Tabla6[[#This Row],[ESTADO FACTURA]]="PAGADA",Tabla6[[#This Row],[FECHA]]-_xlfn.XLOOKUP(Tabla6[[#This Row],[N° FACTURA]],INGRESOS!F:F,INGRESOS!A:A),"-")</f>
        <v>-</v>
      </c>
      <c r="N1850" s="2"/>
      <c r="O1850"/>
    </row>
    <row r="1851" spans="1:15" ht="14.75" customHeight="1">
      <c r="A1851" s="320" t="s">
        <v>1645</v>
      </c>
      <c r="B1851" t="str">
        <f>+_xlfn.XLOOKUP(Tabla6[[#This Row],[ID CLIENTE]],'RESUMEN CLIENTES'!D:D,'RESUMEN CLIENTES'!A:A)</f>
        <v>Gerardo Abel Palacios Preciado</v>
      </c>
      <c r="C1851" t="str">
        <f>+_xlfn.XLOOKUP(Tabla6[[#This Row],[ID CLIENTE]],'RESUMEN CLIENTES'!D:D,'RESUMEN CLIENTES'!C:C)</f>
        <v>México</v>
      </c>
      <c r="D1851" s="169" t="str">
        <f>+_xlfn.XLOOKUP(Tabla6[[#This Row],[ID CLIENTE]],'RESUMEN CLIENTES'!D:D,'RESUMEN CLIENTES'!M:M)</f>
        <v>OK</v>
      </c>
      <c r="E1851" s="71">
        <f>+_xlfn.XLOOKUP(Tabla6[[#This Row],[NOMBRE]],'RESUMEN CLIENTES'!A:A,'RESUMEN CLIENTES'!X:X)</f>
        <v>-1.3333333333333333</v>
      </c>
      <c r="F1851" s="71">
        <f>+_xlfn.XLOOKUP(Tabla6[[#This Row],[ID CLIENTE]],'RESUMEN CLIENTES'!D:D,'RESUMEN CLIENTES'!W:W)</f>
        <v>1</v>
      </c>
      <c r="G1851" s="17">
        <v>46335</v>
      </c>
      <c r="H1851" s="169" t="s">
        <v>81</v>
      </c>
      <c r="I1851" s="2">
        <v>650</v>
      </c>
      <c r="J1851"/>
      <c r="K1851"/>
      <c r="L1851" s="44" t="str" cm="1">
        <f t="array" ref="L1851">+_xlfn.IFS(COUNTIF(INGRESOS!E:E,Tabla6[[#This Row],[ID FACTURA]])=1,"PAGADA",Tabla6[[#This Row],[ID FACTURA]]&lt;&gt;0,"EMITIDA",Tabla6[[#This Row],[ID FACTURA]]=0,"POR EMITIR")</f>
        <v>POR EMITIR</v>
      </c>
      <c r="M1851" s="55" t="str">
        <f>+IF(Tabla6[[#This Row],[ESTADO FACTURA]]="PAGADA",Tabla6[[#This Row],[FECHA]]-_xlfn.XLOOKUP(Tabla6[[#This Row],[N° FACTURA]],INGRESOS!F:F,INGRESOS!A:A),"-")</f>
        <v>-</v>
      </c>
      <c r="N1851" s="2"/>
      <c r="O1851"/>
    </row>
    <row r="1852" spans="1:15" ht="14.75" customHeight="1">
      <c r="A1852" s="320" t="s">
        <v>1945</v>
      </c>
      <c r="B1852" t="str">
        <f>+_xlfn.XLOOKUP(Tabla6[[#This Row],[ID CLIENTE]],'RESUMEN CLIENTES'!D:D,'RESUMEN CLIENTES'!A:A)</f>
        <v>Fernanda Constanza Kompai Antu Arellano Guzmán</v>
      </c>
      <c r="C1852" t="str">
        <f>+_xlfn.XLOOKUP(Tabla6[[#This Row],[ID CLIENTE]],'RESUMEN CLIENTES'!D:D,'RESUMEN CLIENTES'!C:C)</f>
        <v>Chile</v>
      </c>
      <c r="D1852" s="169" t="str">
        <f>+_xlfn.XLOOKUP(Tabla6[[#This Row],[ID CLIENTE]],'RESUMEN CLIENTES'!D:D,'RESUMEN CLIENTES'!M:M)</f>
        <v>OK</v>
      </c>
      <c r="E1852" s="71">
        <f>+_xlfn.XLOOKUP(Tabla6[[#This Row],[NOMBRE]],'RESUMEN CLIENTES'!A:A,'RESUMEN CLIENTES'!X:X)</f>
        <v>0</v>
      </c>
      <c r="F1852" s="71">
        <f>+_xlfn.XLOOKUP(Tabla6[[#This Row],[ID CLIENTE]],'RESUMEN CLIENTES'!D:D,'RESUMEN CLIENTES'!W:W)</f>
        <v>0</v>
      </c>
      <c r="G1852" s="170">
        <v>46341</v>
      </c>
      <c r="H1852" s="170" t="s">
        <v>81</v>
      </c>
      <c r="I1852" s="2">
        <v>650</v>
      </c>
      <c r="J1852"/>
      <c r="K1852"/>
      <c r="L1852" s="44" t="str" cm="1">
        <f t="array" ref="L1852">+_xlfn.IFS(COUNTIF(INGRESOS!E:E,Tabla6[[#This Row],[ID FACTURA]])=1,"PAGADA",Tabla6[[#This Row],[ID FACTURA]]&lt;&gt;0,"EMITIDA",Tabla6[[#This Row],[ID FACTURA]]=0,"POR EMITIR")</f>
        <v>POR EMITIR</v>
      </c>
      <c r="M1852" s="54" t="str">
        <f>+IF(Tabla6[[#This Row],[ESTADO FACTURA]]="PAGADA",Tabla6[[#This Row],[FECHA]]-_xlfn.XLOOKUP(Tabla6[[#This Row],[N° FACTURA]],INGRESOS!F:F,INGRESOS!A:A),"-")</f>
        <v>-</v>
      </c>
      <c r="O1852"/>
    </row>
    <row r="1853" spans="1:15" ht="14.75" customHeight="1">
      <c r="A1853" s="320" t="s">
        <v>95</v>
      </c>
      <c r="B1853" t="str">
        <f>+_xlfn.XLOOKUP(Tabla6[[#This Row],[ID CLIENTE]],'RESUMEN CLIENTES'!D:D,'RESUMEN CLIENTES'!A:A)</f>
        <v>Gabriel Alejandro Ortega Moreno</v>
      </c>
      <c r="C1853" t="str">
        <f>+_xlfn.XLOOKUP(Tabla6[[#This Row],[ID CLIENTE]],'RESUMEN CLIENTES'!D:D,'RESUMEN CLIENTES'!C:C)</f>
        <v>Ecuador</v>
      </c>
      <c r="D1853" s="44" t="str">
        <f>+_xlfn.XLOOKUP(Tabla6[[#This Row],[ID CLIENTE]],'RESUMEN CLIENTES'!D:D,'RESUMEN CLIENTES'!M:M)</f>
        <v>OK</v>
      </c>
      <c r="E1853" s="72">
        <f>+_xlfn.XLOOKUP(Tabla6[[#This Row],[NOMBRE]],'RESUMEN CLIENTES'!A:A,'RESUMEN CLIENTES'!X:X)</f>
        <v>-0.1111111111111111</v>
      </c>
      <c r="F1853" s="72">
        <f>+_xlfn.XLOOKUP(Tabla6[[#This Row],[ID CLIENTE]],'RESUMEN CLIENTES'!D:D,'RESUMEN CLIENTES'!W:W)</f>
        <v>0</v>
      </c>
      <c r="G1853" s="17">
        <v>46341</v>
      </c>
      <c r="H1853" s="44" t="s">
        <v>81</v>
      </c>
      <c r="I1853" s="2">
        <v>600</v>
      </c>
      <c r="J1853"/>
      <c r="K1853"/>
      <c r="L1853" s="44" t="str" cm="1">
        <f t="array" ref="L1853">+_xlfn.IFS(COUNTIF(INGRESOS!E:E,Tabla6[[#This Row],[ID FACTURA]])=1,"PAGADA",Tabla6[[#This Row],[ID FACTURA]]&lt;&gt;0,"EMITIDA",Tabla6[[#This Row],[ID FACTURA]]=0,"POR EMITIR")</f>
        <v>POR EMITIR</v>
      </c>
      <c r="M1853" s="55" t="str">
        <f>+IF(Tabla6[[#This Row],[ESTADO FACTURA]]="PAGADA",Tabla6[[#This Row],[FECHA]]-_xlfn.XLOOKUP(Tabla6[[#This Row],[N° FACTURA]],INGRESOS!F:F,INGRESOS!A:A),"-")</f>
        <v>-</v>
      </c>
      <c r="N1853" s="2"/>
      <c r="O1853"/>
    </row>
    <row r="1854" spans="1:15" ht="14.75" customHeight="1">
      <c r="A1854" s="320" t="s">
        <v>103</v>
      </c>
      <c r="B1854" t="str">
        <f>+_xlfn.XLOOKUP(Tabla6[[#This Row],[ID CLIENTE]],'RESUMEN CLIENTES'!D:D,'RESUMEN CLIENTES'!A:A)</f>
        <v>Isaac Ricardo Jimenez Campos</v>
      </c>
      <c r="C1854" t="str">
        <f>+_xlfn.XLOOKUP(Tabla6[[#This Row],[ID CLIENTE]],'RESUMEN CLIENTES'!D:D,'RESUMEN CLIENTES'!C:C)</f>
        <v>México</v>
      </c>
      <c r="D1854" s="44" t="str">
        <f>+_xlfn.XLOOKUP(Tabla6[[#This Row],[ID CLIENTE]],'RESUMEN CLIENTES'!D:D,'RESUMEN CLIENTES'!M:M)</f>
        <v>OK</v>
      </c>
      <c r="E1854" s="72">
        <f>+_xlfn.XLOOKUP(Tabla6[[#This Row],[NOMBRE]],'RESUMEN CLIENTES'!A:A,'RESUMEN CLIENTES'!X:X)</f>
        <v>0.5</v>
      </c>
      <c r="F1854" s="72">
        <f>+_xlfn.XLOOKUP(Tabla6[[#This Row],[ID CLIENTE]],'RESUMEN CLIENTES'!D:D,'RESUMEN CLIENTES'!W:W)</f>
        <v>1</v>
      </c>
      <c r="G1854" s="17">
        <v>46341</v>
      </c>
      <c r="H1854" s="44" t="s">
        <v>81</v>
      </c>
      <c r="I1854" s="2">
        <v>654</v>
      </c>
      <c r="J1854"/>
      <c r="K1854"/>
      <c r="L1854" s="44" t="str" cm="1">
        <f t="array" ref="L1854">+_xlfn.IFS(COUNTIF(INGRESOS!E:E,Tabla6[[#This Row],[ID FACTURA]])=1,"PAGADA",Tabla6[[#This Row],[ID FACTURA]]&lt;&gt;0,"EMITIDA",Tabla6[[#This Row],[ID FACTURA]]=0,"POR EMITIR")</f>
        <v>POR EMITIR</v>
      </c>
      <c r="M1854" s="55" t="str">
        <f>+IF(Tabla6[[#This Row],[ESTADO FACTURA]]="PAGADA",Tabla6[[#This Row],[FECHA]]-_xlfn.XLOOKUP(Tabla6[[#This Row],[N° FACTURA]],INGRESOS!F:F,INGRESOS!A:A),"-")</f>
        <v>-</v>
      </c>
      <c r="N1854" s="2"/>
      <c r="O1854"/>
    </row>
    <row r="1855" spans="1:15" ht="14.75" customHeight="1">
      <c r="A1855" s="321" t="s">
        <v>1875</v>
      </c>
      <c r="B1855" t="str">
        <f>+_xlfn.XLOOKUP(Tabla6[[#This Row],[ID CLIENTE]],'RESUMEN CLIENTES'!D:D,'RESUMEN CLIENTES'!A:A)</f>
        <v>Laura Giraldo</v>
      </c>
      <c r="C1855" t="str">
        <f>+_xlfn.XLOOKUP(Tabla6[[#This Row],[ID CLIENTE]],'RESUMEN CLIENTES'!D:D,'RESUMEN CLIENTES'!C:C)</f>
        <v>Colombia</v>
      </c>
      <c r="D1855" s="169" t="str">
        <f>+_xlfn.XLOOKUP(Tabla6[[#This Row],[ID CLIENTE]],'RESUMEN CLIENTES'!D:D,'RESUMEN CLIENTES'!M:M)</f>
        <v>OK</v>
      </c>
      <c r="E1855" s="71">
        <f>+_xlfn.XLOOKUP(Tabla6[[#This Row],[NOMBRE]],'RESUMEN CLIENTES'!A:A,'RESUMEN CLIENTES'!X:X)</f>
        <v>-3.25</v>
      </c>
      <c r="F1855" s="71">
        <f>+_xlfn.XLOOKUP(Tabla6[[#This Row],[ID CLIENTE]],'RESUMEN CLIENTES'!D:D,'RESUMEN CLIENTES'!W:W)</f>
        <v>1</v>
      </c>
      <c r="G1855" s="17">
        <v>46341</v>
      </c>
      <c r="H1855" s="169" t="s">
        <v>1876</v>
      </c>
      <c r="I1855" s="2">
        <v>1000</v>
      </c>
      <c r="J1855"/>
      <c r="K1855"/>
      <c r="L1855" s="44" t="str" cm="1">
        <f t="array" ref="L1855">+_xlfn.IFS(COUNTIF(INGRESOS!E:E,Tabla6[[#This Row],[ID FACTURA]])=1,"PAGADA",Tabla6[[#This Row],[ID FACTURA]]&lt;&gt;0,"EMITIDA",Tabla6[[#This Row],[ID FACTURA]]=0,"POR EMITIR")</f>
        <v>POR EMITIR</v>
      </c>
      <c r="M1855" s="54" t="str">
        <f>+IF(Tabla6[[#This Row],[ESTADO FACTURA]]="PAGADA",Tabla6[[#This Row],[FECHA]]-_xlfn.XLOOKUP(Tabla6[[#This Row],[N° FACTURA]],INGRESOS!F:F,INGRESOS!A:A),"-")</f>
        <v>-</v>
      </c>
      <c r="O1855"/>
    </row>
    <row r="1856" spans="1:15" ht="14.75" customHeight="1">
      <c r="A1856" s="320" t="s">
        <v>242</v>
      </c>
      <c r="B1856" t="str">
        <f>+_xlfn.XLOOKUP(Tabla6[[#This Row],[ID CLIENTE]],'RESUMEN CLIENTES'!D:D,'RESUMEN CLIENTES'!A:A)</f>
        <v>Rodrigo Ignacio Rodriguez Frutos</v>
      </c>
      <c r="C1856" t="str">
        <f>+_xlfn.XLOOKUP(Tabla6[[#This Row],[ID CLIENTE]],'RESUMEN CLIENTES'!D:D,'RESUMEN CLIENTES'!C:C)</f>
        <v>México</v>
      </c>
      <c r="D1856" s="44" t="str">
        <f>+_xlfn.XLOOKUP(Tabla6[[#This Row],[ID CLIENTE]],'RESUMEN CLIENTES'!D:D,'RESUMEN CLIENTES'!M:M)</f>
        <v>OK</v>
      </c>
      <c r="E1856" s="72">
        <f>+_xlfn.XLOOKUP(Tabla6[[#This Row],[NOMBRE]],'RESUMEN CLIENTES'!A:A,'RESUMEN CLIENTES'!X:X)</f>
        <v>-1.4285714285714286</v>
      </c>
      <c r="F1856" s="72">
        <f>+_xlfn.XLOOKUP(Tabla6[[#This Row],[ID CLIENTE]],'RESUMEN CLIENTES'!D:D,'RESUMEN CLIENTES'!W:W)</f>
        <v>1</v>
      </c>
      <c r="G1856" s="17">
        <v>46341</v>
      </c>
      <c r="H1856" s="44" t="s">
        <v>81</v>
      </c>
      <c r="I1856" s="2">
        <v>630</v>
      </c>
      <c r="J1856"/>
      <c r="K1856"/>
      <c r="L1856" s="44" t="str" cm="1">
        <f t="array" ref="L1856">+_xlfn.IFS(COUNTIF(INGRESOS!E:E,Tabla6[[#This Row],[ID FACTURA]])=1,"PAGADA",Tabla6[[#This Row],[ID FACTURA]]&lt;&gt;0,"EMITIDA",Tabla6[[#This Row],[ID FACTURA]]=0,"POR EMITIR")</f>
        <v>POR EMITIR</v>
      </c>
      <c r="M1856" s="55" t="str">
        <f>+IF(Tabla6[[#This Row],[ESTADO FACTURA]]="PAGADA",Tabla6[[#This Row],[FECHA]]-_xlfn.XLOOKUP(Tabla6[[#This Row],[N° FACTURA]],INGRESOS!F:F,INGRESOS!A:A),"-")</f>
        <v>-</v>
      </c>
      <c r="N1856" s="2"/>
      <c r="O1856"/>
    </row>
    <row r="1857" spans="1:15" ht="14.75" customHeight="1">
      <c r="A1857" s="321" t="s">
        <v>1756</v>
      </c>
      <c r="B1857" t="str">
        <f>+_xlfn.XLOOKUP(Tabla6[[#This Row],[ID CLIENTE]],'RESUMEN CLIENTES'!D:D,'RESUMEN CLIENTES'!A:A)</f>
        <v>Aylin Micaela Ortiz Chiriboga</v>
      </c>
      <c r="C1857" t="str">
        <f>+_xlfn.XLOOKUP(Tabla6[[#This Row],[ID CLIENTE]],'RESUMEN CLIENTES'!D:D,'RESUMEN CLIENTES'!C:C)</f>
        <v>Ecuador</v>
      </c>
      <c r="D1857" s="169" t="str">
        <f>+_xlfn.XLOOKUP(Tabla6[[#This Row],[ID CLIENTE]],'RESUMEN CLIENTES'!D:D,'RESUMEN CLIENTES'!M:M)</f>
        <v>¡REGULARIZAR!</v>
      </c>
      <c r="E1857" s="71">
        <f>+_xlfn.XLOOKUP(Tabla6[[#This Row],[NOMBRE]],'RESUMEN CLIENTES'!A:A,'RESUMEN CLIENTES'!X:X)</f>
        <v>0</v>
      </c>
      <c r="F1857" s="71">
        <f>+_xlfn.XLOOKUP(Tabla6[[#This Row],[ID CLIENTE]],'RESUMEN CLIENTES'!D:D,'RESUMEN CLIENTES'!W:W)</f>
        <v>1</v>
      </c>
      <c r="G1857" s="170">
        <v>46342</v>
      </c>
      <c r="H1857" s="169" t="s">
        <v>81</v>
      </c>
      <c r="I1857" s="2">
        <v>650</v>
      </c>
      <c r="J1857"/>
      <c r="K1857"/>
      <c r="L1857" s="44" t="str" cm="1">
        <f t="array" ref="L1857">+_xlfn.IFS(COUNTIF(INGRESOS!E:E,Tabla6[[#This Row],[ID FACTURA]])=1,"PAGADA",Tabla6[[#This Row],[ID FACTURA]]&lt;&gt;0,"EMITIDA",Tabla6[[#This Row],[ID FACTURA]]=0,"POR EMITIR")</f>
        <v>POR EMITIR</v>
      </c>
      <c r="M1857" s="54" t="str">
        <f>+IF(Tabla6[[#This Row],[ESTADO FACTURA]]="PAGADA",Tabla6[[#This Row],[FECHA]]-_xlfn.XLOOKUP(Tabla6[[#This Row],[N° FACTURA]],INGRESOS!F:F,INGRESOS!A:A),"-")</f>
        <v>-</v>
      </c>
      <c r="O1857"/>
    </row>
    <row r="1858" spans="1:15" ht="14.75" customHeight="1">
      <c r="A1858" s="320" t="s">
        <v>1996</v>
      </c>
      <c r="B1858" t="str">
        <f>+_xlfn.XLOOKUP(Tabla6[[#This Row],[ID CLIENTE]],'RESUMEN CLIENTES'!D:D,'RESUMEN CLIENTES'!A:A)</f>
        <v>Ivan Gonzales Graus</v>
      </c>
      <c r="C1858" t="str">
        <f>+_xlfn.XLOOKUP(Tabla6[[#This Row],[ID CLIENTE]],'RESUMEN CLIENTES'!D:D,'RESUMEN CLIENTES'!C:C)</f>
        <v>Perú</v>
      </c>
      <c r="D1858" s="169" t="str">
        <f>+_xlfn.XLOOKUP(Tabla6[[#This Row],[ID CLIENTE]],'RESUMEN CLIENTES'!D:D,'RESUMEN CLIENTES'!M:M)</f>
        <v>OK</v>
      </c>
      <c r="E1858" s="71">
        <f>+_xlfn.XLOOKUP(Tabla6[[#This Row],[NOMBRE]],'RESUMEN CLIENTES'!A:A,'RESUMEN CLIENTES'!X:X)</f>
        <v>-2</v>
      </c>
      <c r="F1858" s="71">
        <f>+_xlfn.XLOOKUP(Tabla6[[#This Row],[ID CLIENTE]],'RESUMEN CLIENTES'!D:D,'RESUMEN CLIENTES'!W:W)</f>
        <v>1</v>
      </c>
      <c r="G1858" s="17">
        <v>46342</v>
      </c>
      <c r="H1858" s="169" t="s">
        <v>81</v>
      </c>
      <c r="I1858" s="2">
        <v>650</v>
      </c>
      <c r="J1858"/>
      <c r="K1858"/>
      <c r="L1858" s="44" t="str" cm="1">
        <f t="array" ref="L1858">+_xlfn.IFS(COUNTIF(INGRESOS!E:E,Tabla6[[#This Row],[ID FACTURA]])=1,"PAGADA",Tabla6[[#This Row],[ID FACTURA]]&lt;&gt;0,"EMITIDA",Tabla6[[#This Row],[ID FACTURA]]=0,"POR EMITIR")</f>
        <v>POR EMITIR</v>
      </c>
      <c r="M1858" s="54" t="str">
        <f>+IF(Tabla6[[#This Row],[ESTADO FACTURA]]="PAGADA",Tabla6[[#This Row],[FECHA]]-_xlfn.XLOOKUP(Tabla6[[#This Row],[N° FACTURA]],INGRESOS!F:F,INGRESOS!A:A),"-")</f>
        <v>-</v>
      </c>
      <c r="O1858"/>
    </row>
    <row r="1859" spans="1:15" ht="14.75" customHeight="1">
      <c r="A1859" s="320" t="s">
        <v>2046</v>
      </c>
      <c r="B1859" t="str">
        <f>+_xlfn.XLOOKUP(Tabla6[[#This Row],[ID CLIENTE]],'RESUMEN CLIENTES'!D:D,'RESUMEN CLIENTES'!A:A)</f>
        <v>Jesica Daniela Paredes Mendoza</v>
      </c>
      <c r="C1859" t="str">
        <f>+_xlfn.XLOOKUP(Tabla6[[#This Row],[ID CLIENTE]],'RESUMEN CLIENTES'!D:D,'RESUMEN CLIENTES'!C:C)</f>
        <v>México</v>
      </c>
      <c r="D1859" s="169" t="str">
        <f>+_xlfn.XLOOKUP(Tabla6[[#This Row],[ID CLIENTE]],'RESUMEN CLIENTES'!D:D,'RESUMEN CLIENTES'!M:M)</f>
        <v>OK</v>
      </c>
      <c r="E1859" s="71">
        <f>+_xlfn.XLOOKUP(Tabla6[[#This Row],[NOMBRE]],'RESUMEN CLIENTES'!A:A,'RESUMEN CLIENTES'!X:X)</f>
        <v>-2.75</v>
      </c>
      <c r="F1859" s="71">
        <f>+_xlfn.XLOOKUP(Tabla6[[#This Row],[ID CLIENTE]],'RESUMEN CLIENTES'!D:D,'RESUMEN CLIENTES'!W:W)</f>
        <v>1</v>
      </c>
      <c r="G1859" s="17">
        <v>46342</v>
      </c>
      <c r="H1859" s="169" t="s">
        <v>81</v>
      </c>
      <c r="I1859" s="2">
        <v>500</v>
      </c>
      <c r="J1859"/>
      <c r="K1859"/>
      <c r="L1859" s="44" t="str" cm="1">
        <f t="array" ref="L1859">+_xlfn.IFS(COUNTIF(INGRESOS!E:E,Tabla6[[#This Row],[ID FACTURA]])=1,"PAGADA",Tabla6[[#This Row],[ID FACTURA]]&lt;&gt;0,"EMITIDA",Tabla6[[#This Row],[ID FACTURA]]=0,"POR EMITIR")</f>
        <v>POR EMITIR</v>
      </c>
      <c r="M1859" s="54" t="str">
        <f>+IF(Tabla6[[#This Row],[ESTADO FACTURA]]="PAGADA",Tabla6[[#This Row],[FECHA]]-_xlfn.XLOOKUP(Tabla6[[#This Row],[N° FACTURA]],INGRESOS!F:F,INGRESOS!A:A),"-")</f>
        <v>-</v>
      </c>
      <c r="O1859"/>
    </row>
    <row r="1860" spans="1:15" ht="14.75" customHeight="1">
      <c r="A1860" s="320" t="s">
        <v>1001</v>
      </c>
      <c r="B1860" t="str">
        <f>+_xlfn.XLOOKUP(Tabla6[[#This Row],[ID CLIENTE]],'RESUMEN CLIENTES'!D:D,'RESUMEN CLIENTES'!A:A)</f>
        <v>Karenn Yadira Tavera Lara</v>
      </c>
      <c r="C1860" t="str">
        <f>+_xlfn.XLOOKUP(Tabla6[[#This Row],[ID CLIENTE]],'RESUMEN CLIENTES'!D:D,'RESUMEN CLIENTES'!C:C)</f>
        <v>México</v>
      </c>
      <c r="D1860" s="44" t="str">
        <f>+_xlfn.XLOOKUP(Tabla6[[#This Row],[ID CLIENTE]],'RESUMEN CLIENTES'!D:D,'RESUMEN CLIENTES'!M:M)</f>
        <v>OK</v>
      </c>
      <c r="E1860" s="72">
        <f>+_xlfn.XLOOKUP(Tabla6[[#This Row],[NOMBRE]],'RESUMEN CLIENTES'!A:A,'RESUMEN CLIENTES'!X:X)</f>
        <v>1.5</v>
      </c>
      <c r="F1860" s="72">
        <f>+_xlfn.XLOOKUP(Tabla6[[#This Row],[ID CLIENTE]],'RESUMEN CLIENTES'!D:D,'RESUMEN CLIENTES'!W:W)</f>
        <v>1</v>
      </c>
      <c r="G1860" s="17">
        <v>46345</v>
      </c>
      <c r="H1860" s="44" t="s">
        <v>81</v>
      </c>
      <c r="I1860" s="2">
        <v>1000</v>
      </c>
      <c r="J1860"/>
      <c r="K1860"/>
      <c r="L1860" s="44" t="str" cm="1">
        <f t="array" ref="L1860">+_xlfn.IFS(COUNTIF(INGRESOS!E:E,Tabla6[[#This Row],[ID FACTURA]])=1,"PAGADA",Tabla6[[#This Row],[ID FACTURA]]&lt;&gt;0,"EMITIDA",Tabla6[[#This Row],[ID FACTURA]]=0,"POR EMITIR")</f>
        <v>POR EMITIR</v>
      </c>
      <c r="M1860" s="55" t="str">
        <f>+IF(Tabla6[[#This Row],[ESTADO FACTURA]]="PAGADA",Tabla6[[#This Row],[FECHA]]-_xlfn.XLOOKUP(Tabla6[[#This Row],[N° FACTURA]],INGRESOS!F:F,INGRESOS!A:A),"-")</f>
        <v>-</v>
      </c>
      <c r="N1860" s="2"/>
      <c r="O1860"/>
    </row>
    <row r="1861" spans="1:15" ht="14.75" customHeight="1">
      <c r="A1861" s="320" t="s">
        <v>4660</v>
      </c>
      <c r="B1861" t="str">
        <f>+_xlfn.XLOOKUP(Tabla6[[#This Row],[ID CLIENTE]],'RESUMEN CLIENTES'!D:D,'RESUMEN CLIENTES'!A:A)</f>
        <v>Edipris Flores</v>
      </c>
      <c r="C1861" s="15" t="str">
        <f>+_xlfn.XLOOKUP(Tabla6[[#This Row],[ID CLIENTE]],'RESUMEN CLIENTES'!D:D,'RESUMEN CLIENTES'!C:C)</f>
        <v>Chile</v>
      </c>
      <c r="D1861" s="169" t="str">
        <f>+_xlfn.XLOOKUP(Tabla6[[#This Row],[ID CLIENTE]],'RESUMEN CLIENTES'!D:D,'RESUMEN CLIENTES'!M:M)</f>
        <v>OK</v>
      </c>
      <c r="E1861" s="71">
        <f>+_xlfn.XLOOKUP(Tabla6[[#This Row],[NOMBRE]],'RESUMEN CLIENTES'!A:A,'RESUMEN CLIENTES'!X:X)</f>
        <v>-4</v>
      </c>
      <c r="F1861" s="71">
        <f>+_xlfn.XLOOKUP(Tabla6[[#This Row],[ID CLIENTE]],'RESUMEN CLIENTES'!D:D,'RESUMEN CLIENTES'!W:W)</f>
        <v>0</v>
      </c>
      <c r="G1861" s="17">
        <v>46346</v>
      </c>
      <c r="H1861" s="169" t="s">
        <v>81</v>
      </c>
      <c r="I1861" s="2">
        <v>850</v>
      </c>
      <c r="J1861"/>
      <c r="K1861"/>
      <c r="L1861" s="44" t="str" cm="1">
        <f t="array" ref="L1861">+_xlfn.IFS(COUNTIF(INGRESOS!E:E,Tabla6[[#This Row],[ID FACTURA]])=1,"PAGADA",Tabla6[[#This Row],[ID FACTURA]]&lt;&gt;0,"EMITIDA",Tabla6[[#This Row],[ID FACTURA]]=0,"POR EMITIR")</f>
        <v>POR EMITIR</v>
      </c>
      <c r="M1861" s="54" t="str">
        <f>+IF(Tabla6[[#This Row],[ESTADO FACTURA]]="PAGADA",Tabla6[[#This Row],[FECHA]]-_xlfn.XLOOKUP(Tabla6[[#This Row],[N° FACTURA]],INGRESOS!F:F,INGRESOS!A:A),"-")</f>
        <v>-</v>
      </c>
      <c r="O1861"/>
    </row>
    <row r="1862" spans="1:15" ht="14.75" customHeight="1">
      <c r="A1862" s="320" t="s">
        <v>1936</v>
      </c>
      <c r="B1862" t="str">
        <f>+_xlfn.XLOOKUP(Tabla6[[#This Row],[ID CLIENTE]],'RESUMEN CLIENTES'!D:D,'RESUMEN CLIENTES'!A:A)</f>
        <v>Jaime Kevin Mendez Arias</v>
      </c>
      <c r="C1862" t="str">
        <f>+_xlfn.XLOOKUP(Tabla6[[#This Row],[ID CLIENTE]],'RESUMEN CLIENTES'!D:D,'RESUMEN CLIENTES'!C:C)</f>
        <v>México</v>
      </c>
      <c r="D1862" s="169" t="str">
        <f>+_xlfn.XLOOKUP(Tabla6[[#This Row],[ID CLIENTE]],'RESUMEN CLIENTES'!D:D,'RESUMEN CLIENTES'!M:M)</f>
        <v>OK</v>
      </c>
      <c r="E1862" s="71">
        <f>+_xlfn.XLOOKUP(Tabla6[[#This Row],[NOMBRE]],'RESUMEN CLIENTES'!A:A,'RESUMEN CLIENTES'!X:X)</f>
        <v>1.6666666666666667</v>
      </c>
      <c r="F1862" s="71">
        <f>+_xlfn.XLOOKUP(Tabla6[[#This Row],[ID CLIENTE]],'RESUMEN CLIENTES'!D:D,'RESUMEN CLIENTES'!W:W)</f>
        <v>0</v>
      </c>
      <c r="G1862" s="17">
        <v>46346</v>
      </c>
      <c r="H1862" s="169" t="s">
        <v>81</v>
      </c>
      <c r="I1862" s="2">
        <v>1000</v>
      </c>
      <c r="J1862"/>
      <c r="K1862"/>
      <c r="L1862" s="44" t="str" cm="1">
        <f t="array" ref="L1862">+_xlfn.IFS(COUNTIF(INGRESOS!E:E,Tabla6[[#This Row],[ID FACTURA]])=1,"PAGADA",Tabla6[[#This Row],[ID FACTURA]]&lt;&gt;0,"EMITIDA",Tabla6[[#This Row],[ID FACTURA]]=0,"POR EMITIR")</f>
        <v>POR EMITIR</v>
      </c>
      <c r="M1862" s="54" t="str">
        <f>+IF(Tabla6[[#This Row],[ESTADO FACTURA]]="PAGADA",Tabla6[[#This Row],[FECHA]]-_xlfn.XLOOKUP(Tabla6[[#This Row],[N° FACTURA]],INGRESOS!F:F,INGRESOS!A:A),"-")</f>
        <v>-</v>
      </c>
      <c r="O1862"/>
    </row>
    <row r="1863" spans="1:15" ht="14.75" customHeight="1">
      <c r="A1863" s="320" t="s">
        <v>587</v>
      </c>
      <c r="B1863" t="str">
        <f>+_xlfn.XLOOKUP(Tabla6[[#This Row],[ID CLIENTE]],'RESUMEN CLIENTES'!D:D,'RESUMEN CLIENTES'!A:A)</f>
        <v>Keidwin Perez</v>
      </c>
      <c r="C1863" t="str">
        <f>+_xlfn.XLOOKUP(Tabla6[[#This Row],[ID CLIENTE]],'RESUMEN CLIENTES'!D:D,'RESUMEN CLIENTES'!C:C)</f>
        <v>Colombia</v>
      </c>
      <c r="D1863" s="44" t="str">
        <f>+_xlfn.XLOOKUP(Tabla6[[#This Row],[ID CLIENTE]],'RESUMEN CLIENTES'!D:D,'RESUMEN CLIENTES'!M:M)</f>
        <v>OK</v>
      </c>
      <c r="E1863" s="72">
        <f>+_xlfn.XLOOKUP(Tabla6[[#This Row],[NOMBRE]],'RESUMEN CLIENTES'!A:A,'RESUMEN CLIENTES'!X:X)</f>
        <v>-4.25</v>
      </c>
      <c r="F1863" s="72">
        <f>+_xlfn.XLOOKUP(Tabla6[[#This Row],[ID CLIENTE]],'RESUMEN CLIENTES'!D:D,'RESUMEN CLIENTES'!W:W)</f>
        <v>1</v>
      </c>
      <c r="G1863" s="17">
        <v>46346</v>
      </c>
      <c r="H1863" s="44" t="s">
        <v>81</v>
      </c>
      <c r="I1863" s="2">
        <v>750</v>
      </c>
      <c r="J1863"/>
      <c r="K1863"/>
      <c r="L1863" s="44" t="str" cm="1">
        <f t="array" ref="L1863">+_xlfn.IFS(COUNTIF(INGRESOS!E:E,Tabla6[[#This Row],[ID FACTURA]])=1,"PAGADA",Tabla6[[#This Row],[ID FACTURA]]&lt;&gt;0,"EMITIDA",Tabla6[[#This Row],[ID FACTURA]]=0,"POR EMITIR")</f>
        <v>POR EMITIR</v>
      </c>
      <c r="M1863" s="55" t="str">
        <f>+IF(Tabla6[[#This Row],[ESTADO FACTURA]]="PAGADA",Tabla6[[#This Row],[FECHA]]-_xlfn.XLOOKUP(Tabla6[[#This Row],[N° FACTURA]],INGRESOS!F:F,INGRESOS!A:A),"-")</f>
        <v>-</v>
      </c>
      <c r="N1863" s="2"/>
      <c r="O1863"/>
    </row>
    <row r="1864" spans="1:15" ht="14.75" customHeight="1">
      <c r="A1864" s="320" t="s">
        <v>200</v>
      </c>
      <c r="B1864" t="str">
        <f>+_xlfn.XLOOKUP(Tabla6[[#This Row],[ID CLIENTE]],'RESUMEN CLIENTES'!D:D,'RESUMEN CLIENTES'!A:A)</f>
        <v>Mateo Gabriel Martinez Dávila</v>
      </c>
      <c r="C1864" t="str">
        <f>+_xlfn.XLOOKUP(Tabla6[[#This Row],[ID CLIENTE]],'RESUMEN CLIENTES'!D:D,'RESUMEN CLIENTES'!C:C)</f>
        <v>Bolivia</v>
      </c>
      <c r="D1864" s="169" t="str">
        <f>+_xlfn.XLOOKUP(Tabla6[[#This Row],[ID CLIENTE]],'RESUMEN CLIENTES'!D:D,'RESUMEN CLIENTES'!M:M)</f>
        <v>OK</v>
      </c>
      <c r="E1864" s="71">
        <f>+_xlfn.XLOOKUP(Tabla6[[#This Row],[NOMBRE]],'RESUMEN CLIENTES'!A:A,'RESUMEN CLIENTES'!X:X)</f>
        <v>-0.5</v>
      </c>
      <c r="F1864" s="71">
        <f>+_xlfn.XLOOKUP(Tabla6[[#This Row],[ID CLIENTE]],'RESUMEN CLIENTES'!D:D,'RESUMEN CLIENTES'!W:W)</f>
        <v>0</v>
      </c>
      <c r="G1864" s="17">
        <v>46346</v>
      </c>
      <c r="H1864" s="169" t="s">
        <v>81</v>
      </c>
      <c r="I1864" s="2">
        <v>500</v>
      </c>
      <c r="J1864"/>
      <c r="K1864"/>
      <c r="L1864" s="44" t="str" cm="1">
        <f t="array" ref="L1864">+_xlfn.IFS(COUNTIF(INGRESOS!E:E,Tabla6[[#This Row],[ID FACTURA]])=1,"PAGADA",Tabla6[[#This Row],[ID FACTURA]]&lt;&gt;0,"EMITIDA",Tabla6[[#This Row],[ID FACTURA]]=0,"POR EMITIR")</f>
        <v>POR EMITIR</v>
      </c>
      <c r="M1864" s="54" t="str">
        <f>+IF(Tabla6[[#This Row],[ESTADO FACTURA]]="PAGADA",Tabla6[[#This Row],[FECHA]]-_xlfn.XLOOKUP(Tabla6[[#This Row],[N° FACTURA]],INGRESOS!F:F,INGRESOS!A:A),"-")</f>
        <v>-</v>
      </c>
      <c r="O1864"/>
    </row>
    <row r="1865" spans="1:15" ht="14.75" customHeight="1">
      <c r="A1865" s="320" t="s">
        <v>1931</v>
      </c>
      <c r="B1865" t="str">
        <f>+_xlfn.XLOOKUP(Tabla6[[#This Row],[ID CLIENTE]],'RESUMEN CLIENTES'!D:D,'RESUMEN CLIENTES'!A:A)</f>
        <v>Josué Bernardo Reyes Flores</v>
      </c>
      <c r="C1865" t="str">
        <f>+_xlfn.XLOOKUP(Tabla6[[#This Row],[ID CLIENTE]],'RESUMEN CLIENTES'!D:D,'RESUMEN CLIENTES'!C:C)</f>
        <v>México</v>
      </c>
      <c r="D1865" s="169" t="str">
        <f>+_xlfn.XLOOKUP(Tabla6[[#This Row],[ID CLIENTE]],'RESUMEN CLIENTES'!D:D,'RESUMEN CLIENTES'!M:M)</f>
        <v>OK</v>
      </c>
      <c r="E1865" s="71">
        <f>+_xlfn.XLOOKUP(Tabla6[[#This Row],[NOMBRE]],'RESUMEN CLIENTES'!A:A,'RESUMEN CLIENTES'!X:X)</f>
        <v>0</v>
      </c>
      <c r="F1865" s="71">
        <f>+_xlfn.XLOOKUP(Tabla6[[#This Row],[ID CLIENTE]],'RESUMEN CLIENTES'!D:D,'RESUMEN CLIENTES'!W:W)</f>
        <v>1</v>
      </c>
      <c r="G1865" s="17">
        <v>46349</v>
      </c>
      <c r="H1865" s="169" t="s">
        <v>81</v>
      </c>
      <c r="I1865" s="2">
        <v>1000</v>
      </c>
      <c r="J1865"/>
      <c r="K1865"/>
      <c r="L1865" s="44" t="str" cm="1">
        <f t="array" ref="L1865">+_xlfn.IFS(COUNTIF(INGRESOS!E:E,Tabla6[[#This Row],[ID FACTURA]])=1,"PAGADA",Tabla6[[#This Row],[ID FACTURA]]&lt;&gt;0,"EMITIDA",Tabla6[[#This Row],[ID FACTURA]]=0,"POR EMITIR")</f>
        <v>POR EMITIR</v>
      </c>
      <c r="M1865" s="54" t="str">
        <f>+IF(Tabla6[[#This Row],[ESTADO FACTURA]]="PAGADA",Tabla6[[#This Row],[FECHA]]-_xlfn.XLOOKUP(Tabla6[[#This Row],[N° FACTURA]],INGRESOS!F:F,INGRESOS!A:A),"-")</f>
        <v>-</v>
      </c>
      <c r="O1865"/>
    </row>
    <row r="1866" spans="1:15" ht="14.75" customHeight="1">
      <c r="A1866" s="320" t="s">
        <v>994</v>
      </c>
      <c r="B1866" t="str">
        <f>+_xlfn.XLOOKUP(Tabla6[[#This Row],[ID CLIENTE]],'RESUMEN CLIENTES'!D:D,'RESUMEN CLIENTES'!A:A)</f>
        <v>Raúl Ernesto Martínez Orantes</v>
      </c>
      <c r="C1866" t="str">
        <f>+_xlfn.XLOOKUP(Tabla6[[#This Row],[ID CLIENTE]],'RESUMEN CLIENTES'!D:D,'RESUMEN CLIENTES'!C:C)</f>
        <v>El Salvador</v>
      </c>
      <c r="D1866" s="44" t="str">
        <f>+_xlfn.XLOOKUP(Tabla6[[#This Row],[ID CLIENTE]],'RESUMEN CLIENTES'!D:D,'RESUMEN CLIENTES'!M:M)</f>
        <v>OK</v>
      </c>
      <c r="E1866" s="72">
        <f>+_xlfn.XLOOKUP(Tabla6[[#This Row],[NOMBRE]],'RESUMEN CLIENTES'!A:A,'RESUMEN CLIENTES'!X:X)</f>
        <v>1.1428571428571428</v>
      </c>
      <c r="F1866" s="72">
        <f>+_xlfn.XLOOKUP(Tabla6[[#This Row],[ID CLIENTE]],'RESUMEN CLIENTES'!D:D,'RESUMEN CLIENTES'!W:W)</f>
        <v>1</v>
      </c>
      <c r="G1866" s="17">
        <v>46349</v>
      </c>
      <c r="H1866" s="44" t="s">
        <v>81</v>
      </c>
      <c r="I1866" s="2">
        <v>850</v>
      </c>
      <c r="J1866"/>
      <c r="K1866"/>
      <c r="L1866" s="44" t="str" cm="1">
        <f t="array" ref="L1866">+_xlfn.IFS(COUNTIF(INGRESOS!E:E,Tabla6[[#This Row],[ID FACTURA]])=1,"PAGADA",Tabla6[[#This Row],[ID FACTURA]]&lt;&gt;0,"EMITIDA",Tabla6[[#This Row],[ID FACTURA]]=0,"POR EMITIR")</f>
        <v>POR EMITIR</v>
      </c>
      <c r="M1866" s="55" t="str">
        <f>+IF(Tabla6[[#This Row],[ESTADO FACTURA]]="PAGADA",Tabla6[[#This Row],[FECHA]]-_xlfn.XLOOKUP(Tabla6[[#This Row],[N° FACTURA]],INGRESOS!F:F,INGRESOS!A:A),"-")</f>
        <v>-</v>
      </c>
      <c r="N1866" s="2"/>
      <c r="O1866"/>
    </row>
    <row r="1867" spans="1:15" ht="14.75" customHeight="1">
      <c r="A1867" s="320" t="s">
        <v>1437</v>
      </c>
      <c r="B1867" t="str">
        <f>+_xlfn.XLOOKUP(Tabla6[[#This Row],[ID CLIENTE]],'RESUMEN CLIENTES'!D:D,'RESUMEN CLIENTES'!A:A)</f>
        <v>Jorge Andres Galgani Muñoz</v>
      </c>
      <c r="C1867" t="str">
        <f>+_xlfn.XLOOKUP(Tabla6[[#This Row],[ID CLIENTE]],'RESUMEN CLIENTES'!D:D,'RESUMEN CLIENTES'!C:C)</f>
        <v>Chile</v>
      </c>
      <c r="D1867" s="44" t="str">
        <f>+_xlfn.XLOOKUP(Tabla6[[#This Row],[ID CLIENTE]],'RESUMEN CLIENTES'!D:D,'RESUMEN CLIENTES'!M:M)</f>
        <v>OK</v>
      </c>
      <c r="E1867" s="71">
        <f>+_xlfn.XLOOKUP(Tabla6[[#This Row],[NOMBRE]],'RESUMEN CLIENTES'!A:A,'RESUMEN CLIENTES'!X:X)</f>
        <v>-1.1428571428571428</v>
      </c>
      <c r="F1867" s="71">
        <f>+_xlfn.XLOOKUP(Tabla6[[#This Row],[ID CLIENTE]],'RESUMEN CLIENTES'!D:D,'RESUMEN CLIENTES'!W:W)</f>
        <v>1</v>
      </c>
      <c r="G1867" s="17">
        <v>46351</v>
      </c>
      <c r="H1867" s="169" t="s">
        <v>81</v>
      </c>
      <c r="I1867" s="2">
        <v>850</v>
      </c>
      <c r="J1867"/>
      <c r="K1867"/>
      <c r="L1867" s="44" t="str" cm="1">
        <f t="array" ref="L1867">+_xlfn.IFS(COUNTIF(INGRESOS!E:E,Tabla6[[#This Row],[ID FACTURA]])=1,"PAGADA",Tabla6[[#This Row],[ID FACTURA]]&lt;&gt;0,"EMITIDA",Tabla6[[#This Row],[ID FACTURA]]=0,"POR EMITIR")</f>
        <v>POR EMITIR</v>
      </c>
      <c r="M1867" s="55" t="str">
        <f>+IF(Tabla6[[#This Row],[ESTADO FACTURA]]="PAGADA",Tabla6[[#This Row],[FECHA]]-_xlfn.XLOOKUP(Tabla6[[#This Row],[N° FACTURA]],INGRESOS!F:F,INGRESOS!A:A),"-")</f>
        <v>-</v>
      </c>
      <c r="N1867" s="2"/>
      <c r="O1867"/>
    </row>
    <row r="1868" spans="1:15" ht="14.75" customHeight="1">
      <c r="A1868" s="320" t="s">
        <v>1658</v>
      </c>
      <c r="B1868" t="str">
        <f>+_xlfn.XLOOKUP(Tabla6[[#This Row],[ID CLIENTE]],'RESUMEN CLIENTES'!D:D,'RESUMEN CLIENTES'!A:A)</f>
        <v>Nadya Sofía García Carrasco</v>
      </c>
      <c r="C1868" t="str">
        <f>+_xlfn.XLOOKUP(Tabla6[[#This Row],[ID CLIENTE]],'RESUMEN CLIENTES'!D:D,'RESUMEN CLIENTES'!C:C)</f>
        <v>Ecuador</v>
      </c>
      <c r="D1868" s="169" t="str">
        <f>+_xlfn.XLOOKUP(Tabla6[[#This Row],[ID CLIENTE]],'RESUMEN CLIENTES'!D:D,'RESUMEN CLIENTES'!M:M)</f>
        <v>OK</v>
      </c>
      <c r="E1868" s="71">
        <f>+_xlfn.XLOOKUP(Tabla6[[#This Row],[NOMBRE]],'RESUMEN CLIENTES'!A:A,'RESUMEN CLIENTES'!X:X)</f>
        <v>0</v>
      </c>
      <c r="F1868" s="71">
        <f>+_xlfn.XLOOKUP(Tabla6[[#This Row],[ID CLIENTE]],'RESUMEN CLIENTES'!D:D,'RESUMEN CLIENTES'!W:W)</f>
        <v>1</v>
      </c>
      <c r="G1868" s="17">
        <v>46351</v>
      </c>
      <c r="H1868" s="169" t="s">
        <v>81</v>
      </c>
      <c r="I1868" s="2">
        <v>1000</v>
      </c>
      <c r="J1868"/>
      <c r="K1868"/>
      <c r="L1868" s="44" t="str" cm="1">
        <f t="array" ref="L1868">+_xlfn.IFS(COUNTIF(INGRESOS!E:E,Tabla6[[#This Row],[ID FACTURA]])=1,"PAGADA",Tabla6[[#This Row],[ID FACTURA]]&lt;&gt;0,"EMITIDA",Tabla6[[#This Row],[ID FACTURA]]=0,"POR EMITIR")</f>
        <v>POR EMITIR</v>
      </c>
      <c r="M1868" s="55" t="str">
        <f>+IF(Tabla6[[#This Row],[ESTADO FACTURA]]="PAGADA",Tabla6[[#This Row],[FECHA]]-_xlfn.XLOOKUP(Tabla6[[#This Row],[N° FACTURA]],INGRESOS!F:F,INGRESOS!A:A),"-")</f>
        <v>-</v>
      </c>
      <c r="O1868"/>
    </row>
    <row r="1869" spans="1:15" ht="14.75" customHeight="1">
      <c r="A1869" s="320" t="s">
        <v>1743</v>
      </c>
      <c r="B1869" t="str">
        <f>+_xlfn.XLOOKUP(Tabla6[[#This Row],[ID CLIENTE]],'RESUMEN CLIENTES'!D:D,'RESUMEN CLIENTES'!A:A)</f>
        <v>Fernando Alberto Lagos Belmar</v>
      </c>
      <c r="C1869" t="str">
        <f>+_xlfn.XLOOKUP(Tabla6[[#This Row],[ID CLIENTE]],'RESUMEN CLIENTES'!D:D,'RESUMEN CLIENTES'!C:C)</f>
        <v>Chile</v>
      </c>
      <c r="D1869" s="169" t="str">
        <f>+_xlfn.XLOOKUP(Tabla6[[#This Row],[ID CLIENTE]],'RESUMEN CLIENTES'!D:D,'RESUMEN CLIENTES'!M:M)</f>
        <v>OK</v>
      </c>
      <c r="E1869" s="71">
        <f>+_xlfn.XLOOKUP(Tabla6[[#This Row],[NOMBRE]],'RESUMEN CLIENTES'!A:A,'RESUMEN CLIENTES'!X:X)</f>
        <v>0.25</v>
      </c>
      <c r="F1869" s="71">
        <f>+_xlfn.XLOOKUP(Tabla6[[#This Row],[ID CLIENTE]],'RESUMEN CLIENTES'!D:D,'RESUMEN CLIENTES'!W:W)</f>
        <v>1</v>
      </c>
      <c r="G1869" s="17">
        <v>46352</v>
      </c>
      <c r="H1869" s="169" t="s">
        <v>81</v>
      </c>
      <c r="I1869" s="2">
        <v>1000</v>
      </c>
      <c r="J1869"/>
      <c r="K1869"/>
      <c r="L1869" s="44" t="str" cm="1">
        <f t="array" ref="L1869">+_xlfn.IFS(COUNTIF(INGRESOS!E:E,Tabla6[[#This Row],[ID FACTURA]])=1,"PAGADA",Tabla6[[#This Row],[ID FACTURA]]&lt;&gt;0,"EMITIDA",Tabla6[[#This Row],[ID FACTURA]]=0,"POR EMITIR")</f>
        <v>POR EMITIR</v>
      </c>
      <c r="M1869" s="55" t="str">
        <f>+IF(Tabla6[[#This Row],[ESTADO FACTURA]]="PAGADA",Tabla6[[#This Row],[FECHA]]-_xlfn.XLOOKUP(Tabla6[[#This Row],[N° FACTURA]],INGRESOS!F:F,INGRESOS!A:A),"-")</f>
        <v>-</v>
      </c>
      <c r="O1869"/>
    </row>
    <row r="1870" spans="1:15" ht="14.75" customHeight="1">
      <c r="A1870" s="321" t="s">
        <v>519</v>
      </c>
      <c r="B1870" t="str">
        <f>+_xlfn.XLOOKUP(Tabla6[[#This Row],[ID CLIENTE]],'RESUMEN CLIENTES'!D:D,'RESUMEN CLIENTES'!A:A)</f>
        <v>Elaine Acosta Cabrera</v>
      </c>
      <c r="C1870" t="str">
        <f>+_xlfn.XLOOKUP(Tabla6[[#This Row],[ID CLIENTE]],'RESUMEN CLIENTES'!D:D,'RESUMEN CLIENTES'!C:C)</f>
        <v>República Dominicana</v>
      </c>
      <c r="D1870" s="169" t="str">
        <f>+_xlfn.XLOOKUP(Tabla6[[#This Row],[ID CLIENTE]],'RESUMEN CLIENTES'!D:D,'RESUMEN CLIENTES'!M:M)</f>
        <v>OK</v>
      </c>
      <c r="E1870" s="71">
        <f>+_xlfn.XLOOKUP(Tabla6[[#This Row],[NOMBRE]],'RESUMEN CLIENTES'!A:A,'RESUMEN CLIENTES'!X:X)</f>
        <v>0</v>
      </c>
      <c r="F1870" s="71">
        <f>+_xlfn.XLOOKUP(Tabla6[[#This Row],[ID CLIENTE]],'RESUMEN CLIENTES'!D:D,'RESUMEN CLIENTES'!W:W)</f>
        <v>1</v>
      </c>
      <c r="G1870" s="17">
        <v>46353</v>
      </c>
      <c r="H1870" s="169" t="s">
        <v>81</v>
      </c>
      <c r="I1870" s="2">
        <v>1000</v>
      </c>
      <c r="J1870"/>
      <c r="K1870"/>
      <c r="L1870" s="44" t="str" cm="1">
        <f t="array" ref="L1870">+_xlfn.IFS(COUNTIF(INGRESOS!E:E,Tabla6[[#This Row],[ID FACTURA]])=1,"PAGADA",Tabla6[[#This Row],[ID FACTURA]]&lt;&gt;0,"EMITIDA",Tabla6[[#This Row],[ID FACTURA]]=0,"POR EMITIR")</f>
        <v>POR EMITIR</v>
      </c>
      <c r="M1870" s="54" t="str">
        <f>+IF(Tabla6[[#This Row],[ESTADO FACTURA]]="PAGADA",Tabla6[[#This Row],[FECHA]]-_xlfn.XLOOKUP(Tabla6[[#This Row],[N° FACTURA]],INGRESOS!F:F,INGRESOS!A:A),"-")</f>
        <v>-</v>
      </c>
      <c r="O1870"/>
    </row>
    <row r="1871" spans="1:15" ht="14.75" customHeight="1">
      <c r="A1871" s="321" t="s">
        <v>1870</v>
      </c>
      <c r="B1871" t="str">
        <f>+_xlfn.XLOOKUP(Tabla6[[#This Row],[ID CLIENTE]],'RESUMEN CLIENTES'!D:D,'RESUMEN CLIENTES'!A:A)</f>
        <v>Berenisse Shadia Yarango Garay</v>
      </c>
      <c r="C1871" t="str">
        <f>+_xlfn.XLOOKUP(Tabla6[[#This Row],[ID CLIENTE]],'RESUMEN CLIENTES'!D:D,'RESUMEN CLIENTES'!C:C)</f>
        <v>Perú</v>
      </c>
      <c r="D1871" s="169" t="str">
        <f>+_xlfn.XLOOKUP(Tabla6[[#This Row],[ID CLIENTE]],'RESUMEN CLIENTES'!D:D,'RESUMEN CLIENTES'!M:M)</f>
        <v>OK</v>
      </c>
      <c r="E1871" s="71">
        <f>+_xlfn.XLOOKUP(Tabla6[[#This Row],[NOMBRE]],'RESUMEN CLIENTES'!A:A,'RESUMEN CLIENTES'!X:X)</f>
        <v>-0.33333333333333331</v>
      </c>
      <c r="F1871" s="71">
        <f>+_xlfn.XLOOKUP(Tabla6[[#This Row],[ID CLIENTE]],'RESUMEN CLIENTES'!D:D,'RESUMEN CLIENTES'!W:W)</f>
        <v>0</v>
      </c>
      <c r="G1871" s="17">
        <v>46354</v>
      </c>
      <c r="H1871" s="169" t="s">
        <v>81</v>
      </c>
      <c r="I1871" s="2">
        <v>850</v>
      </c>
      <c r="J1871"/>
      <c r="K1871"/>
      <c r="L1871" s="44" t="str" cm="1">
        <f t="array" ref="L1871">+_xlfn.IFS(COUNTIF(INGRESOS!E:E,Tabla6[[#This Row],[ID FACTURA]])=1,"PAGADA",Tabla6[[#This Row],[ID FACTURA]]&lt;&gt;0,"EMITIDA",Tabla6[[#This Row],[ID FACTURA]]=0,"POR EMITIR")</f>
        <v>POR EMITIR</v>
      </c>
      <c r="M1871" s="54" t="str">
        <f>+IF(Tabla6[[#This Row],[ESTADO FACTURA]]="PAGADA",Tabla6[[#This Row],[FECHA]]-_xlfn.XLOOKUP(Tabla6[[#This Row],[N° FACTURA]],INGRESOS!F:F,INGRESOS!A:A),"-")</f>
        <v>-</v>
      </c>
      <c r="O1871"/>
    </row>
    <row r="1872" spans="1:15" ht="14.75" customHeight="1">
      <c r="A1872" s="320" t="s">
        <v>1461</v>
      </c>
      <c r="B1872" t="str">
        <f>+_xlfn.XLOOKUP(Tabla6[[#This Row],[ID CLIENTE]],'RESUMEN CLIENTES'!D:D,'RESUMEN CLIENTES'!A:A)</f>
        <v>Katerine Marianela Verastegui Mendoza</v>
      </c>
      <c r="C1872" t="str">
        <f>+_xlfn.XLOOKUP(Tabla6[[#This Row],[ID CLIENTE]],'RESUMEN CLIENTES'!D:D,'RESUMEN CLIENTES'!C:C)</f>
        <v>Perú</v>
      </c>
      <c r="D1872" s="44" t="str">
        <f>+_xlfn.XLOOKUP(Tabla6[[#This Row],[ID CLIENTE]],'RESUMEN CLIENTES'!D:D,'RESUMEN CLIENTES'!M:M)</f>
        <v>OK</v>
      </c>
      <c r="E1872" s="71">
        <f>+_xlfn.XLOOKUP(Tabla6[[#This Row],[NOMBRE]],'RESUMEN CLIENTES'!A:A,'RESUMEN CLIENTES'!X:X)</f>
        <v>-2</v>
      </c>
      <c r="F1872" s="71">
        <f>+_xlfn.XLOOKUP(Tabla6[[#This Row],[ID CLIENTE]],'RESUMEN CLIENTES'!D:D,'RESUMEN CLIENTES'!W:W)</f>
        <v>0</v>
      </c>
      <c r="G1872" s="17">
        <v>46354</v>
      </c>
      <c r="H1872" s="169" t="s">
        <v>81</v>
      </c>
      <c r="I1872" s="2">
        <v>1000</v>
      </c>
      <c r="J1872"/>
      <c r="K1872"/>
      <c r="L1872" s="44" t="str" cm="1">
        <f t="array" ref="L1872">+_xlfn.IFS(COUNTIF(INGRESOS!E:E,Tabla6[[#This Row],[ID FACTURA]])=1,"PAGADA",Tabla6[[#This Row],[ID FACTURA]]&lt;&gt;0,"EMITIDA",Tabla6[[#This Row],[ID FACTURA]]=0,"POR EMITIR")</f>
        <v>POR EMITIR</v>
      </c>
      <c r="M1872" s="55" t="str">
        <f>+IF(Tabla6[[#This Row],[ESTADO FACTURA]]="PAGADA",Tabla6[[#This Row],[FECHA]]-_xlfn.XLOOKUP(Tabla6[[#This Row],[N° FACTURA]],INGRESOS!F:F,INGRESOS!A:A),"-")</f>
        <v>-</v>
      </c>
      <c r="N1872" s="2"/>
      <c r="O1872"/>
    </row>
    <row r="1873" spans="1:15" ht="14.75" customHeight="1">
      <c r="A1873" s="320" t="s">
        <v>1374</v>
      </c>
      <c r="B1873" t="str">
        <f>+_xlfn.XLOOKUP(Tabla6[[#This Row],[ID CLIENTE]],'RESUMEN CLIENTES'!D:D,'RESUMEN CLIENTES'!A:A)</f>
        <v>Samuel Sebastián Marmolejo Saldarriaga</v>
      </c>
      <c r="C1873" t="str">
        <f>+_xlfn.XLOOKUP(Tabla6[[#This Row],[ID CLIENTE]],'RESUMEN CLIENTES'!D:D,'RESUMEN CLIENTES'!C:C)</f>
        <v>Perú</v>
      </c>
      <c r="D1873" s="44" t="str">
        <f>+_xlfn.XLOOKUP(Tabla6[[#This Row],[ID CLIENTE]],'RESUMEN CLIENTES'!D:D,'RESUMEN CLIENTES'!M:M)</f>
        <v>OK</v>
      </c>
      <c r="E1873" s="71">
        <f>+_xlfn.XLOOKUP(Tabla6[[#This Row],[NOMBRE]],'RESUMEN CLIENTES'!A:A,'RESUMEN CLIENTES'!X:X)</f>
        <v>-0.5</v>
      </c>
      <c r="F1873" s="71">
        <f>+_xlfn.XLOOKUP(Tabla6[[#This Row],[ID CLIENTE]],'RESUMEN CLIENTES'!D:D,'RESUMEN CLIENTES'!W:W)</f>
        <v>0</v>
      </c>
      <c r="G1873" s="17">
        <v>46354</v>
      </c>
      <c r="H1873" s="44" t="s">
        <v>81</v>
      </c>
      <c r="I1873" s="2">
        <v>1500</v>
      </c>
      <c r="J1873"/>
      <c r="K1873"/>
      <c r="L1873" s="44" t="str" cm="1">
        <f t="array" ref="L1873">+_xlfn.IFS(COUNTIF(INGRESOS!E:E,Tabla6[[#This Row],[ID FACTURA]])=1,"PAGADA",Tabla6[[#This Row],[ID FACTURA]]&lt;&gt;0,"EMITIDA",Tabla6[[#This Row],[ID FACTURA]]=0,"POR EMITIR")</f>
        <v>POR EMITIR</v>
      </c>
      <c r="M1873" s="55" t="str">
        <f>+IF(Tabla6[[#This Row],[ESTADO FACTURA]]="PAGADA",Tabla6[[#This Row],[FECHA]]-_xlfn.XLOOKUP(Tabla6[[#This Row],[N° FACTURA]],INGRESOS!F:F,INGRESOS!A:A),"-")</f>
        <v>-</v>
      </c>
      <c r="N1873" s="2"/>
      <c r="O1873"/>
    </row>
    <row r="1874" spans="1:15" ht="15" customHeight="1">
      <c r="A1874" s="320" t="s">
        <v>450</v>
      </c>
      <c r="B1874" t="str">
        <f>+_xlfn.XLOOKUP(Tabla6[[#This Row],[ID CLIENTE]],'RESUMEN CLIENTES'!D:D,'RESUMEN CLIENTES'!A:A)</f>
        <v>Alexandra Carolina Ordoñez Cuotto</v>
      </c>
      <c r="C1874" t="str">
        <f>+_xlfn.XLOOKUP(Tabla6[[#This Row],[ID CLIENTE]],'RESUMEN CLIENTES'!D:D,'RESUMEN CLIENTES'!C:C)</f>
        <v>Venezuela</v>
      </c>
      <c r="D1874" s="44" t="str">
        <f>+_xlfn.XLOOKUP(Tabla6[[#This Row],[ID CLIENTE]],'RESUMEN CLIENTES'!D:D,'RESUMEN CLIENTES'!M:M)</f>
        <v>¡REGULARIZAR!</v>
      </c>
      <c r="E1874" s="72">
        <f>+_xlfn.XLOOKUP(Tabla6[[#This Row],[NOMBRE]],'RESUMEN CLIENTES'!A:A,'RESUMEN CLIENTES'!X:X)</f>
        <v>-2</v>
      </c>
      <c r="F1874" s="72">
        <f>+_xlfn.XLOOKUP(Tabla6[[#This Row],[ID CLIENTE]],'RESUMEN CLIENTES'!D:D,'RESUMEN CLIENTES'!W:W)</f>
        <v>0</v>
      </c>
      <c r="G1874" s="17">
        <v>46355</v>
      </c>
      <c r="H1874" s="44" t="s">
        <v>81</v>
      </c>
      <c r="I1874" s="2">
        <v>1000</v>
      </c>
      <c r="J1874"/>
      <c r="K1874"/>
      <c r="L1874" s="44" t="str" cm="1">
        <f t="array" ref="L1874">+_xlfn.IFS(COUNTIF(INGRESOS!E:E,Tabla6[[#This Row],[ID FACTURA]])=1,"PAGADA",Tabla6[[#This Row],[ID FACTURA]]&lt;&gt;0,"EMITIDA",Tabla6[[#This Row],[ID FACTURA]]=0,"POR EMITIR")</f>
        <v>POR EMITIR</v>
      </c>
      <c r="M1874" s="55" t="str">
        <f>+IF(Tabla6[[#This Row],[ESTADO FACTURA]]="PAGADA",Tabla6[[#This Row],[FECHA]]-_xlfn.XLOOKUP(Tabla6[[#This Row],[N° FACTURA]],INGRESOS!F:F,INGRESOS!A:A),"-")</f>
        <v>-</v>
      </c>
      <c r="N1874" s="2"/>
      <c r="O1874"/>
    </row>
    <row r="1875" spans="1:15" ht="14.75" customHeight="1">
      <c r="A1875" s="320" t="s">
        <v>221</v>
      </c>
      <c r="B1875" t="str">
        <f>+_xlfn.XLOOKUP(Tabla6[[#This Row],[ID CLIENTE]],'RESUMEN CLIENTES'!D:D,'RESUMEN CLIENTES'!A:A)</f>
        <v>Angel Martin Alarcon Macias</v>
      </c>
      <c r="C1875" t="str">
        <f>+_xlfn.XLOOKUP(Tabla6[[#This Row],[ID CLIENTE]],'RESUMEN CLIENTES'!D:D,'RESUMEN CLIENTES'!C:C)</f>
        <v>Ecuador</v>
      </c>
      <c r="D1875" s="44" t="str">
        <f>+_xlfn.XLOOKUP(Tabla6[[#This Row],[ID CLIENTE]],'RESUMEN CLIENTES'!D:D,'RESUMEN CLIENTES'!M:M)</f>
        <v>¡REGULARIZAR!</v>
      </c>
      <c r="E1875" s="72">
        <f>+_xlfn.XLOOKUP(Tabla6[[#This Row],[NOMBRE]],'RESUMEN CLIENTES'!A:A,'RESUMEN CLIENTES'!X:X)</f>
        <v>-0.5</v>
      </c>
      <c r="F1875" s="72">
        <f>+_xlfn.XLOOKUP(Tabla6[[#This Row],[ID CLIENTE]],'RESUMEN CLIENTES'!D:D,'RESUMEN CLIENTES'!W:W)</f>
        <v>0</v>
      </c>
      <c r="G1875" s="17">
        <v>46356</v>
      </c>
      <c r="H1875" s="44" t="s">
        <v>81</v>
      </c>
      <c r="I1875" s="2">
        <v>1000</v>
      </c>
      <c r="J1875"/>
      <c r="K1875"/>
      <c r="L1875" s="44" t="str" cm="1">
        <f t="array" ref="L1875">+_xlfn.IFS(COUNTIF(INGRESOS!E:E,Tabla6[[#This Row],[ID FACTURA]])=1,"PAGADA",Tabla6[[#This Row],[ID FACTURA]]&lt;&gt;0,"EMITIDA",Tabla6[[#This Row],[ID FACTURA]]=0,"POR EMITIR")</f>
        <v>POR EMITIR</v>
      </c>
      <c r="M1875" s="55" t="str">
        <f>+IF(Tabla6[[#This Row],[ESTADO FACTURA]]="PAGADA",Tabla6[[#This Row],[FECHA]]-_xlfn.XLOOKUP(Tabla6[[#This Row],[N° FACTURA]],INGRESOS!F:F,INGRESOS!A:A),"-")</f>
        <v>-</v>
      </c>
      <c r="N1875" s="2"/>
      <c r="O1875"/>
    </row>
    <row r="1876" spans="1:15" ht="14.75" customHeight="1">
      <c r="A1876" s="320" t="s">
        <v>1761</v>
      </c>
      <c r="B1876" t="str">
        <f>+_xlfn.XLOOKUP(Tabla6[[#This Row],[ID CLIENTE]],'RESUMEN CLIENTES'!D:D,'RESUMEN CLIENTES'!A:A)</f>
        <v>Francisco Salas Barrera</v>
      </c>
      <c r="C1876" t="str">
        <f>+_xlfn.XLOOKUP(Tabla6[[#This Row],[ID CLIENTE]],'RESUMEN CLIENTES'!D:D,'RESUMEN CLIENTES'!C:C)</f>
        <v>México</v>
      </c>
      <c r="D1876" s="169" t="str">
        <f>+_xlfn.XLOOKUP(Tabla6[[#This Row],[ID CLIENTE]],'RESUMEN CLIENTES'!D:D,'RESUMEN CLIENTES'!M:M)</f>
        <v>OK</v>
      </c>
      <c r="E1876" s="71">
        <f>+_xlfn.XLOOKUP(Tabla6[[#This Row],[NOMBRE]],'RESUMEN CLIENTES'!A:A,'RESUMEN CLIENTES'!X:X)</f>
        <v>-0.75</v>
      </c>
      <c r="F1876" s="71">
        <f>+_xlfn.XLOOKUP(Tabla6[[#This Row],[ID CLIENTE]],'RESUMEN CLIENTES'!D:D,'RESUMEN CLIENTES'!W:W)</f>
        <v>0</v>
      </c>
      <c r="G1876" s="17">
        <v>46356</v>
      </c>
      <c r="H1876" s="169" t="s">
        <v>81</v>
      </c>
      <c r="I1876" s="2">
        <v>1000</v>
      </c>
      <c r="J1876"/>
      <c r="K1876"/>
      <c r="L1876" s="44" t="str" cm="1">
        <f t="array" ref="L1876">+_xlfn.IFS(COUNTIF(INGRESOS!E:E,Tabla6[[#This Row],[ID FACTURA]])=1,"PAGADA",Tabla6[[#This Row],[ID FACTURA]]&lt;&gt;0,"EMITIDA",Tabla6[[#This Row],[ID FACTURA]]=0,"POR EMITIR")</f>
        <v>POR EMITIR</v>
      </c>
      <c r="M1876" s="55" t="str">
        <f>+IF(Tabla6[[#This Row],[ESTADO FACTURA]]="PAGADA",Tabla6[[#This Row],[FECHA]]-_xlfn.XLOOKUP(Tabla6[[#This Row],[N° FACTURA]],INGRESOS!F:F,INGRESOS!A:A),"-")</f>
        <v>-</v>
      </c>
      <c r="O1876"/>
    </row>
    <row r="1877" spans="1:15" ht="14.75" customHeight="1">
      <c r="A1877" s="320" t="s">
        <v>739</v>
      </c>
      <c r="B1877" t="str">
        <f>+_xlfn.XLOOKUP(Tabla6[[#This Row],[ID CLIENTE]],'RESUMEN CLIENTES'!D:D,'RESUMEN CLIENTES'!A:A)</f>
        <v>Gilberto Martiñon Torres</v>
      </c>
      <c r="C1877" t="str">
        <f>+_xlfn.XLOOKUP(Tabla6[[#This Row],[ID CLIENTE]],'RESUMEN CLIENTES'!D:D,'RESUMEN CLIENTES'!C:C)</f>
        <v>México</v>
      </c>
      <c r="D1877" s="44" t="str">
        <f>+_xlfn.XLOOKUP(Tabla6[[#This Row],[ID CLIENTE]],'RESUMEN CLIENTES'!D:D,'RESUMEN CLIENTES'!M:M)</f>
        <v>OK</v>
      </c>
      <c r="E1877" s="72">
        <f>+_xlfn.XLOOKUP(Tabla6[[#This Row],[NOMBRE]],'RESUMEN CLIENTES'!A:A,'RESUMEN CLIENTES'!X:X)</f>
        <v>-0.625</v>
      </c>
      <c r="F1877" s="72">
        <f>+_xlfn.XLOOKUP(Tabla6[[#This Row],[ID CLIENTE]],'RESUMEN CLIENTES'!D:D,'RESUMEN CLIENTES'!W:W)</f>
        <v>0</v>
      </c>
      <c r="G1877" s="17">
        <v>46356</v>
      </c>
      <c r="H1877" s="44" t="s">
        <v>81</v>
      </c>
      <c r="I1877" s="2">
        <v>700</v>
      </c>
      <c r="J1877"/>
      <c r="K1877"/>
      <c r="L1877" s="44" t="str" cm="1">
        <f t="array" ref="L1877">+_xlfn.IFS(COUNTIF(INGRESOS!E:E,Tabla6[[#This Row],[ID FACTURA]])=1,"PAGADA",Tabla6[[#This Row],[ID FACTURA]]&lt;&gt;0,"EMITIDA",Tabla6[[#This Row],[ID FACTURA]]=0,"POR EMITIR")</f>
        <v>POR EMITIR</v>
      </c>
      <c r="M1877" s="55" t="str">
        <f>+IF(Tabla6[[#This Row],[ESTADO FACTURA]]="PAGADA",Tabla6[[#This Row],[FECHA]]-_xlfn.XLOOKUP(Tabla6[[#This Row],[N° FACTURA]],INGRESOS!F:F,INGRESOS!A:A),"-")</f>
        <v>-</v>
      </c>
      <c r="N1877" s="2"/>
      <c r="O1877"/>
    </row>
    <row r="1878" spans="1:15" ht="14.75" customHeight="1">
      <c r="A1878" s="320" t="s">
        <v>139</v>
      </c>
      <c r="B1878" t="str">
        <f>+_xlfn.XLOOKUP(Tabla6[[#This Row],[ID CLIENTE]],'RESUMEN CLIENTES'!D:D,'RESUMEN CLIENTES'!A:A)</f>
        <v>Hugo Nicolás Trávez Morales</v>
      </c>
      <c r="C1878" t="str">
        <f>+_xlfn.XLOOKUP(Tabla6[[#This Row],[ID CLIENTE]],'RESUMEN CLIENTES'!D:D,'RESUMEN CLIENTES'!C:C)</f>
        <v>Ecuador</v>
      </c>
      <c r="D1878" s="169" t="str">
        <f>+_xlfn.XLOOKUP(Tabla6[[#This Row],[ID CLIENTE]],'RESUMEN CLIENTES'!D:D,'RESUMEN CLIENTES'!M:M)</f>
        <v>OK</v>
      </c>
      <c r="E1878" s="71">
        <f>+_xlfn.XLOOKUP(Tabla6[[#This Row],[NOMBRE]],'RESUMEN CLIENTES'!A:A,'RESUMEN CLIENTES'!X:X)</f>
        <v>0</v>
      </c>
      <c r="F1878" s="71">
        <f>+_xlfn.XLOOKUP(Tabla6[[#This Row],[ID CLIENTE]],'RESUMEN CLIENTES'!D:D,'RESUMEN CLIENTES'!W:W)</f>
        <v>0</v>
      </c>
      <c r="G1878" s="17">
        <v>46356</v>
      </c>
      <c r="H1878" s="44" t="s">
        <v>81</v>
      </c>
      <c r="I1878" s="2">
        <v>1000</v>
      </c>
      <c r="J1878"/>
      <c r="K1878"/>
      <c r="L1878" s="44" t="str" cm="1">
        <f t="array" ref="L1878">+_xlfn.IFS(COUNTIF(INGRESOS!E:E,Tabla6[[#This Row],[ID FACTURA]])=1,"PAGADA",Tabla6[[#This Row],[ID FACTURA]]&lt;&gt;0,"EMITIDA",Tabla6[[#This Row],[ID FACTURA]]=0,"POR EMITIR")</f>
        <v>POR EMITIR</v>
      </c>
      <c r="M1878" s="54" t="str">
        <f>+IF(Tabla6[[#This Row],[ESTADO FACTURA]]="PAGADA",Tabla6[[#This Row],[FECHA]]-_xlfn.XLOOKUP(Tabla6[[#This Row],[N° FACTURA]],INGRESOS!F:F,INGRESOS!A:A),"-")</f>
        <v>-</v>
      </c>
      <c r="O1878"/>
    </row>
    <row r="1879" spans="1:15" ht="14.75" customHeight="1">
      <c r="A1879" s="320" t="s">
        <v>590</v>
      </c>
      <c r="B1879" t="str">
        <f>+_xlfn.XLOOKUP(Tabla6[[#This Row],[ID CLIENTE]],'RESUMEN CLIENTES'!D:D,'RESUMEN CLIENTES'!A:A)</f>
        <v>María Lucero de Jesús Barrios Sazo</v>
      </c>
      <c r="C1879" t="str">
        <f>+_xlfn.XLOOKUP(Tabla6[[#This Row],[ID CLIENTE]],'RESUMEN CLIENTES'!D:D,'RESUMEN CLIENTES'!C:C)</f>
        <v>Guatemala</v>
      </c>
      <c r="D1879" s="44" t="str">
        <f>+_xlfn.XLOOKUP(Tabla6[[#This Row],[ID CLIENTE]],'RESUMEN CLIENTES'!D:D,'RESUMEN CLIENTES'!M:M)</f>
        <v>OK</v>
      </c>
      <c r="E1879" s="72">
        <f>+_xlfn.XLOOKUP(Tabla6[[#This Row],[NOMBRE]],'RESUMEN CLIENTES'!A:A,'RESUMEN CLIENTES'!X:X)</f>
        <v>1.25</v>
      </c>
      <c r="F1879" s="72">
        <f>+_xlfn.XLOOKUP(Tabla6[[#This Row],[ID CLIENTE]],'RESUMEN CLIENTES'!D:D,'RESUMEN CLIENTES'!W:W)</f>
        <v>0</v>
      </c>
      <c r="G1879" s="17">
        <v>46356</v>
      </c>
      <c r="H1879" s="44" t="s">
        <v>81</v>
      </c>
      <c r="I1879" s="2">
        <v>700</v>
      </c>
      <c r="J1879"/>
      <c r="K1879"/>
      <c r="L1879" s="44" t="str" cm="1">
        <f t="array" ref="L1879">+_xlfn.IFS(COUNTIF(INGRESOS!E:E,Tabla6[[#This Row],[ID FACTURA]])=1,"PAGADA",Tabla6[[#This Row],[ID FACTURA]]&lt;&gt;0,"EMITIDA",Tabla6[[#This Row],[ID FACTURA]]=0,"POR EMITIR")</f>
        <v>POR EMITIR</v>
      </c>
      <c r="M1879" s="55" t="str">
        <f>+IF(Tabla6[[#This Row],[ESTADO FACTURA]]="PAGADA",Tabla6[[#This Row],[FECHA]]-_xlfn.XLOOKUP(Tabla6[[#This Row],[N° FACTURA]],INGRESOS!F:F,INGRESOS!A:A),"-")</f>
        <v>-</v>
      </c>
      <c r="N1879" s="2"/>
      <c r="O1879"/>
    </row>
    <row r="1880" spans="1:15" ht="14.75" customHeight="1">
      <c r="A1880" s="320" t="s">
        <v>1201</v>
      </c>
      <c r="B1880" t="str">
        <f>+_xlfn.XLOOKUP(Tabla6[[#This Row],[ID CLIENTE]],'RESUMEN CLIENTES'!D:D,'RESUMEN CLIENTES'!A:A)</f>
        <v>María Soledad Tituana Asanza</v>
      </c>
      <c r="C1880" t="str">
        <f>+_xlfn.XLOOKUP(Tabla6[[#This Row],[ID CLIENTE]],'RESUMEN CLIENTES'!D:D,'RESUMEN CLIENTES'!C:C)</f>
        <v>Ecuador</v>
      </c>
      <c r="D1880" s="44" t="str">
        <f>+_xlfn.XLOOKUP(Tabla6[[#This Row],[ID CLIENTE]],'RESUMEN CLIENTES'!D:D,'RESUMEN CLIENTES'!M:M)</f>
        <v>OK</v>
      </c>
      <c r="E1880" s="72">
        <f>+_xlfn.XLOOKUP(Tabla6[[#This Row],[NOMBRE]],'RESUMEN CLIENTES'!A:A,'RESUMEN CLIENTES'!X:X)</f>
        <v>-0.16666666666666666</v>
      </c>
      <c r="F1880" s="72">
        <f>+_xlfn.XLOOKUP(Tabla6[[#This Row],[ID CLIENTE]],'RESUMEN CLIENTES'!D:D,'RESUMEN CLIENTES'!W:W)</f>
        <v>0</v>
      </c>
      <c r="G1880" s="17">
        <v>46356</v>
      </c>
      <c r="H1880" s="44" t="s">
        <v>81</v>
      </c>
      <c r="I1880" s="2">
        <v>1000</v>
      </c>
      <c r="J1880"/>
      <c r="K1880"/>
      <c r="L1880" s="44" t="str" cm="1">
        <f t="array" ref="L1880">+_xlfn.IFS(COUNTIF(INGRESOS!E:E,Tabla6[[#This Row],[ID FACTURA]])=1,"PAGADA",Tabla6[[#This Row],[ID FACTURA]]&lt;&gt;0,"EMITIDA",Tabla6[[#This Row],[ID FACTURA]]=0,"POR EMITIR")</f>
        <v>POR EMITIR</v>
      </c>
      <c r="M1880" s="55" t="str">
        <f>+IF(Tabla6[[#This Row],[ESTADO FACTURA]]="PAGADA",Tabla6[[#This Row],[FECHA]]-_xlfn.XLOOKUP(Tabla6[[#This Row],[N° FACTURA]],INGRESOS!F:F,INGRESOS!A:A),"-")</f>
        <v>-</v>
      </c>
      <c r="N1880" s="2"/>
      <c r="O1880"/>
    </row>
    <row r="1881" spans="1:15" ht="14.75" customHeight="1">
      <c r="A1881" s="320" t="s">
        <v>4464</v>
      </c>
      <c r="B1881" t="str">
        <f>+_xlfn.XLOOKUP(Tabla6[[#This Row],[ID CLIENTE]],'RESUMEN CLIENTES'!D:D,'RESUMEN CLIENTES'!A:A)</f>
        <v>Alan Diego Titiro Casone</v>
      </c>
      <c r="C1881" t="str">
        <f>+_xlfn.XLOOKUP(Tabla6[[#This Row],[ID CLIENTE]],'RESUMEN CLIENTES'!D:D,'RESUMEN CLIENTES'!C:C)</f>
        <v>Chile</v>
      </c>
      <c r="D1881" s="44" t="str">
        <f>+_xlfn.XLOOKUP(Tabla6[[#This Row],[ID CLIENTE]],'RESUMEN CLIENTES'!D:D,'RESUMEN CLIENTES'!M:M)</f>
        <v>OK</v>
      </c>
      <c r="E1881" s="72">
        <f>+_xlfn.XLOOKUP(Tabla6[[#This Row],[NOMBRE]],'RESUMEN CLIENTES'!A:A,'RESUMEN CLIENTES'!X:X)</f>
        <v>0</v>
      </c>
      <c r="F1881" s="72">
        <f>+_xlfn.XLOOKUP(Tabla6[[#This Row],[ID CLIENTE]],'RESUMEN CLIENTES'!D:D,'RESUMEN CLIENTES'!W:W)</f>
        <v>0</v>
      </c>
      <c r="G1881" s="17">
        <f>IF($H1881&lt;&gt;"ALEM","",IFERROR(
  DATE(
    YEAR(EDATE(
      _xlfn.XLOOKUP($A1881,'RESUMEN CLIENTES'!$D:$D,'RESUMEN CLIENTES'!$Y:$Y,""),
      7 + COUNTIFS(
            $A$2:INDEX($A:$A,ROW()), $A1881,
            $H$2:INDEX($H:$H,ROW()), "ALEM"
          )
    )),
    MONTH(EDATE(
      _xlfn.XLOOKUP($A1881,'RESUMEN CLIENTES'!$D:$D,'RESUMEN CLIENTES'!$Y:$Y,""),
      7 + COUNTIFS(
            $A$2:INDEX($A:$A,ROW()), $A1881,
            $H$2:INDEX($H:$H,ROW()), "ALEM"
          )
    )),
    1
  ),
"SIN FECHA MIG"))</f>
        <v>46357</v>
      </c>
      <c r="H1881" s="44" t="s">
        <v>1876</v>
      </c>
      <c r="I1881" s="2">
        <v>1000</v>
      </c>
      <c r="J1881"/>
      <c r="K1881"/>
      <c r="L1881" s="44" t="str" cm="1">
        <f t="array" ref="L1881">+_xlfn.IFS(COUNTIF(INGRESOS!E:E,Tabla6[[#This Row],[ID FACTURA]])=1,"PAGADA",Tabla6[[#This Row],[ID FACTURA]]&lt;&gt;0,"EMITIDA",Tabla6[[#This Row],[ID FACTURA]]=0,"POR EMITIR")</f>
        <v>POR EMITIR</v>
      </c>
      <c r="M1881" s="55" t="str">
        <f>+IF(Tabla6[[#This Row],[ESTADO FACTURA]]="PAGADA",Tabla6[[#This Row],[FECHA]]-_xlfn.XLOOKUP(Tabla6[[#This Row],[N° FACTURA]],INGRESOS!F:F,INGRESOS!A:A),"-")</f>
        <v>-</v>
      </c>
      <c r="N1881" s="2"/>
      <c r="O1881"/>
    </row>
    <row r="1882" spans="1:15" ht="14.75" customHeight="1">
      <c r="A1882" s="320" t="s">
        <v>541</v>
      </c>
      <c r="B1882" t="str">
        <f>+_xlfn.XLOOKUP(Tabla6[[#This Row],[ID CLIENTE]],'RESUMEN CLIENTES'!D:D,'RESUMEN CLIENTES'!A:A)</f>
        <v>Alejandra Goretti Figueroa Romo</v>
      </c>
      <c r="C1882" t="str">
        <f>+_xlfn.XLOOKUP(Tabla6[[#This Row],[ID CLIENTE]],'RESUMEN CLIENTES'!D:D,'RESUMEN CLIENTES'!C:C)</f>
        <v>México</v>
      </c>
      <c r="D1882" s="44" t="str">
        <f>+_xlfn.XLOOKUP(Tabla6[[#This Row],[ID CLIENTE]],'RESUMEN CLIENTES'!D:D,'RESUMEN CLIENTES'!M:M)</f>
        <v>OK</v>
      </c>
      <c r="E1882" s="72">
        <f>+_xlfn.XLOOKUP(Tabla6[[#This Row],[NOMBRE]],'RESUMEN CLIENTES'!A:A,'RESUMEN CLIENTES'!X:X)</f>
        <v>0.75</v>
      </c>
      <c r="F1882" s="72">
        <f>+_xlfn.XLOOKUP(Tabla6[[#This Row],[ID CLIENTE]],'RESUMEN CLIENTES'!D:D,'RESUMEN CLIENTES'!W:W)</f>
        <v>0</v>
      </c>
      <c r="G1882" s="17">
        <f>IF($H1882&lt;&gt;"ALEM","",IFERROR(
  DATE(
    YEAR(EDATE(
      _xlfn.XLOOKUP($A1882,'RESUMEN CLIENTES'!$D:$D,'RESUMEN CLIENTES'!$Y:$Y,""),
      7 + COUNTIFS(
            $A$2:INDEX($A:$A,ROW()), $A1882,
            $H$2:INDEX($H:$H,ROW()), "ALEM"
          )
    )),
    MONTH(EDATE(
      _xlfn.XLOOKUP($A1882,'RESUMEN CLIENTES'!$D:$D,'RESUMEN CLIENTES'!$Y:$Y,""),
      7 + COUNTIFS(
            $A$2:INDEX($A:$A,ROW()), $A1882,
            $H$2:INDEX($H:$H,ROW()), "ALEM"
          )
    )),
    1
  ),
"SIN FECHA MIG"))</f>
        <v>46357</v>
      </c>
      <c r="H1882" s="44" t="s">
        <v>1876</v>
      </c>
      <c r="I1882" s="2">
        <v>1000</v>
      </c>
      <c r="J1882"/>
      <c r="K1882"/>
      <c r="L1882" s="44" t="str" cm="1">
        <f t="array" ref="L1882">+_xlfn.IFS(COUNTIF(INGRESOS!E:E,Tabla6[[#This Row],[ID FACTURA]])=1,"PAGADA",Tabla6[[#This Row],[ID FACTURA]]&lt;&gt;0,"EMITIDA",Tabla6[[#This Row],[ID FACTURA]]=0,"POR EMITIR")</f>
        <v>POR EMITIR</v>
      </c>
      <c r="M1882" s="55" t="str">
        <f>+IF(Tabla6[[#This Row],[ESTADO FACTURA]]="PAGADA",Tabla6[[#This Row],[FECHA]]-_xlfn.XLOOKUP(Tabla6[[#This Row],[N° FACTURA]],INGRESOS!F:F,INGRESOS!A:A),"-")</f>
        <v>-</v>
      </c>
      <c r="N1882" s="2"/>
      <c r="O1882"/>
    </row>
    <row r="1883" spans="1:15" ht="14.75" customHeight="1">
      <c r="A1883" s="320" t="s">
        <v>84</v>
      </c>
      <c r="B1883" t="str">
        <f>+_xlfn.XLOOKUP(Tabla6[[#This Row],[ID CLIENTE]],'RESUMEN CLIENTES'!D:D,'RESUMEN CLIENTES'!A:A)</f>
        <v>Andrea Corpeño López</v>
      </c>
      <c r="C1883" t="str">
        <f>+_xlfn.XLOOKUP(Tabla6[[#This Row],[ID CLIENTE]],'RESUMEN CLIENTES'!D:D,'RESUMEN CLIENTES'!C:C)</f>
        <v>El Salvador</v>
      </c>
      <c r="D1883" s="44" t="str">
        <f>+_xlfn.XLOOKUP(Tabla6[[#This Row],[ID CLIENTE]],'RESUMEN CLIENTES'!D:D,'RESUMEN CLIENTES'!M:M)</f>
        <v>OK</v>
      </c>
      <c r="E1883" s="72">
        <f>+_xlfn.XLOOKUP(Tabla6[[#This Row],[NOMBRE]],'RESUMEN CLIENTES'!A:A,'RESUMEN CLIENTES'!X:X)</f>
        <v>-0.81818181818181823</v>
      </c>
      <c r="F1883" s="72">
        <f>+_xlfn.XLOOKUP(Tabla6[[#This Row],[ID CLIENTE]],'RESUMEN CLIENTES'!D:D,'RESUMEN CLIENTES'!W:W)</f>
        <v>0</v>
      </c>
      <c r="G1883" s="17">
        <f>IF($H1883&lt;&gt;"ALEM","",IFERROR(
  DATE(
    YEAR(EDATE(
      _xlfn.XLOOKUP($A1883,'RESUMEN CLIENTES'!$D:$D,'RESUMEN CLIENTES'!$Y:$Y,""),
      7 + COUNTIFS(
            $A$2:INDEX($A:$A,ROW()), $A1883,
            $H$2:INDEX($H:$H,ROW()), "ALEM"
          )
    )),
    MONTH(EDATE(
      _xlfn.XLOOKUP($A1883,'RESUMEN CLIENTES'!$D:$D,'RESUMEN CLIENTES'!$Y:$Y,""),
      7 + COUNTIFS(
            $A$2:INDEX($A:$A,ROW()), $A1883,
            $H$2:INDEX($H:$H,ROW()), "ALEM"
          )
    )),
    1
  ),
"SIN FECHA MIG"))</f>
        <v>46357</v>
      </c>
      <c r="H1883" s="44" t="s">
        <v>1876</v>
      </c>
      <c r="I1883" s="2">
        <v>800</v>
      </c>
      <c r="J1883"/>
      <c r="K1883"/>
      <c r="L1883" s="44" t="str" cm="1">
        <f t="array" ref="L1883">+_xlfn.IFS(COUNTIF(INGRESOS!E:E,Tabla6[[#This Row],[ID FACTURA]])=1,"PAGADA",Tabla6[[#This Row],[ID FACTURA]]&lt;&gt;0,"EMITIDA",Tabla6[[#This Row],[ID FACTURA]]=0,"POR EMITIR")</f>
        <v>POR EMITIR</v>
      </c>
      <c r="M1883" s="55" t="str">
        <f>+IF(Tabla6[[#This Row],[ESTADO FACTURA]]="PAGADA",Tabla6[[#This Row],[FECHA]]-_xlfn.XLOOKUP(Tabla6[[#This Row],[N° FACTURA]],INGRESOS!F:F,INGRESOS!A:A),"-")</f>
        <v>-</v>
      </c>
      <c r="N1883" s="2"/>
      <c r="O1883" t="s">
        <v>2085</v>
      </c>
    </row>
    <row r="1884" spans="1:15" ht="14.75" customHeight="1">
      <c r="A1884" s="320" t="s">
        <v>325</v>
      </c>
      <c r="B1884" t="str">
        <f>+_xlfn.XLOOKUP(Tabla6[[#This Row],[ID CLIENTE]],'RESUMEN CLIENTES'!D:D,'RESUMEN CLIENTES'!A:A)</f>
        <v>Andrea Cristina Estrada Morocho</v>
      </c>
      <c r="C1884" t="str">
        <f>+_xlfn.XLOOKUP(Tabla6[[#This Row],[ID CLIENTE]],'RESUMEN CLIENTES'!D:D,'RESUMEN CLIENTES'!C:C)</f>
        <v>Ecuador</v>
      </c>
      <c r="D1884" s="44" t="str">
        <f>+_xlfn.XLOOKUP(Tabla6[[#This Row],[ID CLIENTE]],'RESUMEN CLIENTES'!D:D,'RESUMEN CLIENTES'!M:M)</f>
        <v>OK</v>
      </c>
      <c r="E1884" s="72">
        <f>+_xlfn.XLOOKUP(Tabla6[[#This Row],[NOMBRE]],'RESUMEN CLIENTES'!A:A,'RESUMEN CLIENTES'!X:X)</f>
        <v>-3.6666666666666665</v>
      </c>
      <c r="F1884" s="72">
        <f>+_xlfn.XLOOKUP(Tabla6[[#This Row],[ID CLIENTE]],'RESUMEN CLIENTES'!D:D,'RESUMEN CLIENTES'!W:W)</f>
        <v>1</v>
      </c>
      <c r="G1884" s="17">
        <f>IF($H1884&lt;&gt;"ALEM","",IFERROR(
  DATE(
    YEAR(EDATE(
      _xlfn.XLOOKUP($A1884,'RESUMEN CLIENTES'!$D:$D,'RESUMEN CLIENTES'!$Y:$Y,""),
      7 + COUNTIFS(
            $A$2:INDEX($A:$A,ROW()), $A1884,
            $H$2:INDEX($H:$H,ROW()), "ALEM"
          )
    )),
    MONTH(EDATE(
      _xlfn.XLOOKUP($A1884,'RESUMEN CLIENTES'!$D:$D,'RESUMEN CLIENTES'!$Y:$Y,""),
      7 + COUNTIFS(
            $A$2:INDEX($A:$A,ROW()), $A1884,
            $H$2:INDEX($H:$H,ROW()), "ALEM"
          )
    )),
    1
  ),
"SIN FECHA MIG"))</f>
        <v>46357</v>
      </c>
      <c r="H1884" s="44" t="s">
        <v>1876</v>
      </c>
      <c r="I1884" s="2">
        <v>1000</v>
      </c>
      <c r="J1884"/>
      <c r="K1884"/>
      <c r="L1884" s="44" t="str" cm="1">
        <f t="array" ref="L1884">+_xlfn.IFS(COUNTIF(INGRESOS!E:E,Tabla6[[#This Row],[ID FACTURA]])=1,"PAGADA",Tabla6[[#This Row],[ID FACTURA]]&lt;&gt;0,"EMITIDA",Tabla6[[#This Row],[ID FACTURA]]=0,"POR EMITIR")</f>
        <v>POR EMITIR</v>
      </c>
      <c r="M1884" s="55" t="str">
        <f>+IF(Tabla6[[#This Row],[ESTADO FACTURA]]="PAGADA",Tabla6[[#This Row],[FECHA]]-_xlfn.XLOOKUP(Tabla6[[#This Row],[N° FACTURA]],INGRESOS!F:F,INGRESOS!A:A),"-")</f>
        <v>-</v>
      </c>
      <c r="N1884" s="2"/>
      <c r="O1884"/>
    </row>
    <row r="1885" spans="1:15" ht="14.75" customHeight="1">
      <c r="A1885" s="320" t="s">
        <v>1357</v>
      </c>
      <c r="B1885" t="str">
        <f>+_xlfn.XLOOKUP(Tabla6[[#This Row],[ID CLIENTE]],'RESUMEN CLIENTES'!D:D,'RESUMEN CLIENTES'!A:A)</f>
        <v>Angel Andres Velastegui Huebla</v>
      </c>
      <c r="C1885" t="str">
        <f>+_xlfn.XLOOKUP(Tabla6[[#This Row],[ID CLIENTE]],'RESUMEN CLIENTES'!D:D,'RESUMEN CLIENTES'!C:C)</f>
        <v>Ecuador</v>
      </c>
      <c r="D1885" s="44" t="str">
        <f>+_xlfn.XLOOKUP(Tabla6[[#This Row],[ID CLIENTE]],'RESUMEN CLIENTES'!D:D,'RESUMEN CLIENTES'!M:M)</f>
        <v>OK</v>
      </c>
      <c r="E1885" s="71">
        <f>+_xlfn.XLOOKUP(Tabla6[[#This Row],[NOMBRE]],'RESUMEN CLIENTES'!A:A,'RESUMEN CLIENTES'!X:X)</f>
        <v>0</v>
      </c>
      <c r="F1885" s="71">
        <f>+_xlfn.XLOOKUP(Tabla6[[#This Row],[ID CLIENTE]],'RESUMEN CLIENTES'!D:D,'RESUMEN CLIENTES'!W:W)</f>
        <v>1</v>
      </c>
      <c r="G1885" s="17">
        <f>IF($H1885&lt;&gt;"ALEM","",IFERROR(
  DATE(
    YEAR(EDATE(
      _xlfn.XLOOKUP($A1885,'RESUMEN CLIENTES'!$D:$D,'RESUMEN CLIENTES'!$Y:$Y,""),
      7 + COUNTIFS(
            $A$2:INDEX($A:$A,ROW()), $A1885,
            $H$2:INDEX($H:$H,ROW()), "ALEM"
          )
    )),
    MONTH(EDATE(
      _xlfn.XLOOKUP($A1885,'RESUMEN CLIENTES'!$D:$D,'RESUMEN CLIENTES'!$Y:$Y,""),
      7 + COUNTIFS(
            $A$2:INDEX($A:$A,ROW()), $A1885,
            $H$2:INDEX($H:$H,ROW()), "ALEM"
          )
    )),
    1
  ),
"SIN FECHA MIG"))</f>
        <v>46357</v>
      </c>
      <c r="H1885" s="44" t="s">
        <v>1876</v>
      </c>
      <c r="I1885" s="2">
        <v>800</v>
      </c>
      <c r="J1885"/>
      <c r="K1885"/>
      <c r="L1885" s="44" t="str" cm="1">
        <f t="array" ref="L1885">+_xlfn.IFS(COUNTIF(INGRESOS!E:E,Tabla6[[#This Row],[ID FACTURA]])=1,"PAGADA",Tabla6[[#This Row],[ID FACTURA]]&lt;&gt;0,"EMITIDA",Tabla6[[#This Row],[ID FACTURA]]=0,"POR EMITIR")</f>
        <v>POR EMITIR</v>
      </c>
      <c r="M1885" s="55" t="str">
        <f>+IF(Tabla6[[#This Row],[ESTADO FACTURA]]="PAGADA",Tabla6[[#This Row],[FECHA]]-_xlfn.XLOOKUP(Tabla6[[#This Row],[N° FACTURA]],INGRESOS!F:F,INGRESOS!A:A),"-")</f>
        <v>-</v>
      </c>
      <c r="N1885" s="2"/>
      <c r="O1885"/>
    </row>
    <row r="1886" spans="1:15" ht="14.75" customHeight="1">
      <c r="A1886" s="320" t="s">
        <v>574</v>
      </c>
      <c r="B1886" t="str">
        <f>+_xlfn.XLOOKUP(Tabla6[[#This Row],[ID CLIENTE]],'RESUMEN CLIENTES'!D:D,'RESUMEN CLIENTES'!A:A)</f>
        <v>Astrid Mariam Enamorado Ortega</v>
      </c>
      <c r="C1886" t="str">
        <f>+_xlfn.XLOOKUP(Tabla6[[#This Row],[ID CLIENTE]],'RESUMEN CLIENTES'!D:D,'RESUMEN CLIENTES'!C:C)</f>
        <v>Honduras</v>
      </c>
      <c r="D1886" s="44" t="str">
        <f>+_xlfn.XLOOKUP(Tabla6[[#This Row],[ID CLIENTE]],'RESUMEN CLIENTES'!D:D,'RESUMEN CLIENTES'!M:M)</f>
        <v>OK</v>
      </c>
      <c r="E1886" s="72">
        <f>+_xlfn.XLOOKUP(Tabla6[[#This Row],[NOMBRE]],'RESUMEN CLIENTES'!A:A,'RESUMEN CLIENTES'!X:X)</f>
        <v>-1.75</v>
      </c>
      <c r="F1886" s="72">
        <f>+_xlfn.XLOOKUP(Tabla6[[#This Row],[ID CLIENTE]],'RESUMEN CLIENTES'!D:D,'RESUMEN CLIENTES'!W:W)</f>
        <v>0</v>
      </c>
      <c r="G1886" s="17">
        <f>IF($H1886&lt;&gt;"ALEM","",IFERROR(
  DATE(
    YEAR(EDATE(
      _xlfn.XLOOKUP($A1886,'RESUMEN CLIENTES'!$D:$D,'RESUMEN CLIENTES'!$Y:$Y,""),
      7 + COUNTIFS(
            $A$2:INDEX($A:$A,ROW()), $A1886,
            $H$2:INDEX($H:$H,ROW()), "ALEM"
          )
    )),
    MONTH(EDATE(
      _xlfn.XLOOKUP($A1886,'RESUMEN CLIENTES'!$D:$D,'RESUMEN CLIENTES'!$Y:$Y,""),
      7 + COUNTIFS(
            $A$2:INDEX($A:$A,ROW()), $A1886,
            $H$2:INDEX($H:$H,ROW()), "ALEM"
          )
    )),
    1
  ),
"SIN FECHA MIG"))</f>
        <v>46357</v>
      </c>
      <c r="H1886" s="44" t="s">
        <v>1876</v>
      </c>
      <c r="I1886" s="2">
        <v>1000</v>
      </c>
      <c r="J1886"/>
      <c r="K1886"/>
      <c r="L1886" s="44" t="str" cm="1">
        <f t="array" ref="L1886">+_xlfn.IFS(COUNTIF(INGRESOS!E:E,Tabla6[[#This Row],[ID FACTURA]])=1,"PAGADA",Tabla6[[#This Row],[ID FACTURA]]&lt;&gt;0,"EMITIDA",Tabla6[[#This Row],[ID FACTURA]]=0,"POR EMITIR")</f>
        <v>POR EMITIR</v>
      </c>
      <c r="M1886" s="55" t="str">
        <f>+IF(Tabla6[[#This Row],[ESTADO FACTURA]]="PAGADA",Tabla6[[#This Row],[FECHA]]-_xlfn.XLOOKUP(Tabla6[[#This Row],[N° FACTURA]],INGRESOS!F:F,INGRESOS!A:A),"-")</f>
        <v>-</v>
      </c>
      <c r="N1886" s="2"/>
      <c r="O1886"/>
    </row>
    <row r="1887" spans="1:15" ht="14.75" customHeight="1">
      <c r="A1887" s="320" t="s">
        <v>162</v>
      </c>
      <c r="B1887" t="str">
        <f>+_xlfn.XLOOKUP(Tabla6[[#This Row],[ID CLIENTE]],'RESUMEN CLIENTES'!D:D,'RESUMEN CLIENTES'!A:A)</f>
        <v>Bastian Sofjer Peralta</v>
      </c>
      <c r="C1887" t="str">
        <f>+_xlfn.XLOOKUP(Tabla6[[#This Row],[ID CLIENTE]],'RESUMEN CLIENTES'!D:D,'RESUMEN CLIENTES'!C:C)</f>
        <v>Chile</v>
      </c>
      <c r="D1887" s="44" t="str">
        <f>+_xlfn.XLOOKUP(Tabla6[[#This Row],[ID CLIENTE]],'RESUMEN CLIENTES'!D:D,'RESUMEN CLIENTES'!M:M)</f>
        <v>OK</v>
      </c>
      <c r="E1887" s="72">
        <f>+_xlfn.XLOOKUP(Tabla6[[#This Row],[NOMBRE]],'RESUMEN CLIENTES'!A:A,'RESUMEN CLIENTES'!X:X)</f>
        <v>4.125</v>
      </c>
      <c r="F1887" s="72">
        <f>+_xlfn.XLOOKUP(Tabla6[[#This Row],[ID CLIENTE]],'RESUMEN CLIENTES'!D:D,'RESUMEN CLIENTES'!W:W)</f>
        <v>1</v>
      </c>
      <c r="G1887" s="17">
        <f>IF($H1887&lt;&gt;"ALEM","",IFERROR(
  DATE(
    YEAR(EDATE(
      _xlfn.XLOOKUP($A1887,'RESUMEN CLIENTES'!$D:$D,'RESUMEN CLIENTES'!$Y:$Y,""),
      7 + COUNTIFS(
            $A$2:INDEX($A:$A,ROW()), $A1887,
            $H$2:INDEX($H:$H,ROW()), "ALEM"
          )
    )),
    MONTH(EDATE(
      _xlfn.XLOOKUP($A1887,'RESUMEN CLIENTES'!$D:$D,'RESUMEN CLIENTES'!$Y:$Y,""),
      7 + COUNTIFS(
            $A$2:INDEX($A:$A,ROW()), $A1887,
            $H$2:INDEX($H:$H,ROW()), "ALEM"
          )
    )),
    1
  ),
"SIN FECHA MIG"))</f>
        <v>46357</v>
      </c>
      <c r="H1887" s="44" t="s">
        <v>1876</v>
      </c>
      <c r="I1887" s="2">
        <v>1000</v>
      </c>
      <c r="J1887"/>
      <c r="K1887"/>
      <c r="L1887" s="44" t="str" cm="1">
        <f t="array" ref="L1887">+_xlfn.IFS(COUNTIF(INGRESOS!E:E,Tabla6[[#This Row],[ID FACTURA]])=1,"PAGADA",Tabla6[[#This Row],[ID FACTURA]]&lt;&gt;0,"EMITIDA",Tabla6[[#This Row],[ID FACTURA]]=0,"POR EMITIR")</f>
        <v>POR EMITIR</v>
      </c>
      <c r="M1887" s="55" t="str">
        <f>+IF(Tabla6[[#This Row],[ESTADO FACTURA]]="PAGADA",Tabla6[[#This Row],[FECHA]]-_xlfn.XLOOKUP(Tabla6[[#This Row],[N° FACTURA]],INGRESOS!F:F,INGRESOS!A:A),"-")</f>
        <v>-</v>
      </c>
      <c r="N1887" s="2"/>
      <c r="O1887" t="s">
        <v>2086</v>
      </c>
    </row>
    <row r="1888" spans="1:15" ht="14.75" customHeight="1">
      <c r="A1888" s="320" t="s">
        <v>184</v>
      </c>
      <c r="B1888" t="str">
        <f>+_xlfn.XLOOKUP(Tabla6[[#This Row],[ID CLIENTE]],'RESUMEN CLIENTES'!D:D,'RESUMEN CLIENTES'!A:A)</f>
        <v>Boris Andrés Silva Véliz</v>
      </c>
      <c r="C1888" t="str">
        <f>+_xlfn.XLOOKUP(Tabla6[[#This Row],[ID CLIENTE]],'RESUMEN CLIENTES'!D:D,'RESUMEN CLIENTES'!C:C)</f>
        <v>Chile</v>
      </c>
      <c r="D1888" s="44" t="str">
        <f>+_xlfn.XLOOKUP(Tabla6[[#This Row],[ID CLIENTE]],'RESUMEN CLIENTES'!D:D,'RESUMEN CLIENTES'!M:M)</f>
        <v>OK</v>
      </c>
      <c r="E1888" s="72">
        <f>+_xlfn.XLOOKUP(Tabla6[[#This Row],[NOMBRE]],'RESUMEN CLIENTES'!A:A,'RESUMEN CLIENTES'!X:X)</f>
        <v>2.1111111111111112</v>
      </c>
      <c r="F1888" s="72">
        <f>+_xlfn.XLOOKUP(Tabla6[[#This Row],[ID CLIENTE]],'RESUMEN CLIENTES'!D:D,'RESUMEN CLIENTES'!W:W)</f>
        <v>0</v>
      </c>
      <c r="G1888" s="17">
        <f>IF($H1888&lt;&gt;"ALEM","",IFERROR(
  DATE(
    YEAR(EDATE(
      _xlfn.XLOOKUP($A1888,'RESUMEN CLIENTES'!$D:$D,'RESUMEN CLIENTES'!$Y:$Y,""),
      7 + COUNTIFS(
            $A$2:INDEX($A:$A,ROW()), $A1888,
            $H$2:INDEX($H:$H,ROW()), "ALEM"
          )
    )),
    MONTH(EDATE(
      _xlfn.XLOOKUP($A1888,'RESUMEN CLIENTES'!$D:$D,'RESUMEN CLIENTES'!$Y:$Y,""),
      7 + COUNTIFS(
            $A$2:INDEX($A:$A,ROW()), $A1888,
            $H$2:INDEX($H:$H,ROW()), "ALEM"
          )
    )),
    1
  ),
"SIN FECHA MIG"))</f>
        <v>46357</v>
      </c>
      <c r="H1888" s="44" t="s">
        <v>1876</v>
      </c>
      <c r="I1888" s="2">
        <v>458</v>
      </c>
      <c r="J1888"/>
      <c r="K1888"/>
      <c r="L1888" s="44" t="str" cm="1">
        <f t="array" ref="L1888">+_xlfn.IFS(COUNTIF(INGRESOS!E:E,Tabla6[[#This Row],[ID FACTURA]])=1,"PAGADA",Tabla6[[#This Row],[ID FACTURA]]&lt;&gt;0,"EMITIDA",Tabla6[[#This Row],[ID FACTURA]]=0,"POR EMITIR")</f>
        <v>POR EMITIR</v>
      </c>
      <c r="M1888" s="55" t="str">
        <f>+IF(Tabla6[[#This Row],[ESTADO FACTURA]]="PAGADA",Tabla6[[#This Row],[FECHA]]-_xlfn.XLOOKUP(Tabla6[[#This Row],[N° FACTURA]],INGRESOS!F:F,INGRESOS!A:A),"-")</f>
        <v>-</v>
      </c>
      <c r="N1888" s="2"/>
      <c r="O1888"/>
    </row>
    <row r="1889" spans="1:15" ht="14.75" customHeight="1">
      <c r="A1889" s="320" t="s">
        <v>1206</v>
      </c>
      <c r="B1889" t="str">
        <f>+_xlfn.XLOOKUP(Tabla6[[#This Row],[ID CLIENTE]],'RESUMEN CLIENTES'!D:D,'RESUMEN CLIENTES'!A:A)</f>
        <v>Bryan Israel Jiménez Puente</v>
      </c>
      <c r="C1889" t="str">
        <f>+_xlfn.XLOOKUP(Tabla6[[#This Row],[ID CLIENTE]],'RESUMEN CLIENTES'!D:D,'RESUMEN CLIENTES'!C:C)</f>
        <v>Ecuador</v>
      </c>
      <c r="D1889" s="44" t="str">
        <f>+_xlfn.XLOOKUP(Tabla6[[#This Row],[ID CLIENTE]],'RESUMEN CLIENTES'!D:D,'RESUMEN CLIENTES'!M:M)</f>
        <v>OK</v>
      </c>
      <c r="E1889" s="72">
        <f>+_xlfn.XLOOKUP(Tabla6[[#This Row],[NOMBRE]],'RESUMEN CLIENTES'!A:A,'RESUMEN CLIENTES'!X:X)</f>
        <v>1</v>
      </c>
      <c r="F1889" s="72">
        <f>+_xlfn.XLOOKUP(Tabla6[[#This Row],[ID CLIENTE]],'RESUMEN CLIENTES'!D:D,'RESUMEN CLIENTES'!W:W)</f>
        <v>0</v>
      </c>
      <c r="G1889" s="17">
        <f>IF($H1889&lt;&gt;"ALEM","",IFERROR(
  DATE(
    YEAR(EDATE(
      _xlfn.XLOOKUP($A1889,'RESUMEN CLIENTES'!$D:$D,'RESUMEN CLIENTES'!$Y:$Y,""),
      7 + COUNTIFS(
            $A$2:INDEX($A:$A,ROW()), $A1889,
            $H$2:INDEX($H:$H,ROW()), "ALEM"
          )
    )),
    MONTH(EDATE(
      _xlfn.XLOOKUP($A1889,'RESUMEN CLIENTES'!$D:$D,'RESUMEN CLIENTES'!$Y:$Y,""),
      7 + COUNTIFS(
            $A$2:INDEX($A:$A,ROW()), $A1889,
            $H$2:INDEX($H:$H,ROW()), "ALEM"
          )
    )),
    1
  ),
"SIN FECHA MIG"))</f>
        <v>46357</v>
      </c>
      <c r="H1889" s="44" t="s">
        <v>1876</v>
      </c>
      <c r="I1889" s="2">
        <v>800</v>
      </c>
      <c r="J1889"/>
      <c r="K1889"/>
      <c r="L1889" s="44" t="str" cm="1">
        <f t="array" ref="L1889">+_xlfn.IFS(COUNTIF(INGRESOS!E:E,Tabla6[[#This Row],[ID FACTURA]])=1,"PAGADA",Tabla6[[#This Row],[ID FACTURA]]&lt;&gt;0,"EMITIDA",Tabla6[[#This Row],[ID FACTURA]]=0,"POR EMITIR")</f>
        <v>POR EMITIR</v>
      </c>
      <c r="M1889" s="55" t="str">
        <f>+IF(Tabla6[[#This Row],[ESTADO FACTURA]]="PAGADA",Tabla6[[#This Row],[FECHA]]-_xlfn.XLOOKUP(Tabla6[[#This Row],[N° FACTURA]],INGRESOS!F:F,INGRESOS!A:A),"-")</f>
        <v>-</v>
      </c>
      <c r="N1889" s="2"/>
      <c r="O1889" t="s">
        <v>2084</v>
      </c>
    </row>
    <row r="1890" spans="1:15" ht="14.75" customHeight="1">
      <c r="A1890" s="320" t="s">
        <v>226</v>
      </c>
      <c r="B1890" t="str">
        <f>+_xlfn.XLOOKUP(Tabla6[[#This Row],[ID CLIENTE]],'RESUMEN CLIENTES'!D:D,'RESUMEN CLIENTES'!A:A)</f>
        <v>Carlos Josue Escobar Morán</v>
      </c>
      <c r="C1890" t="str">
        <f>+_xlfn.XLOOKUP(Tabla6[[#This Row],[ID CLIENTE]],'RESUMEN CLIENTES'!D:D,'RESUMEN CLIENTES'!C:C)</f>
        <v>El Salvador</v>
      </c>
      <c r="D1890" s="44" t="str">
        <f>+_xlfn.XLOOKUP(Tabla6[[#This Row],[ID CLIENTE]],'RESUMEN CLIENTES'!D:D,'RESUMEN CLIENTES'!M:M)</f>
        <v>OK</v>
      </c>
      <c r="E1890" s="72">
        <f>+_xlfn.XLOOKUP(Tabla6[[#This Row],[NOMBRE]],'RESUMEN CLIENTES'!A:A,'RESUMEN CLIENTES'!X:X)</f>
        <v>0.8</v>
      </c>
      <c r="F1890" s="72">
        <f>+_xlfn.XLOOKUP(Tabla6[[#This Row],[ID CLIENTE]],'RESUMEN CLIENTES'!D:D,'RESUMEN CLIENTES'!W:W)</f>
        <v>0</v>
      </c>
      <c r="G1890" s="17">
        <f>IF($H1890&lt;&gt;"ALEM","",IFERROR(
  DATE(
    YEAR(EDATE(
      _xlfn.XLOOKUP($A1890,'RESUMEN CLIENTES'!$D:$D,'RESUMEN CLIENTES'!$Y:$Y,""),
      7 + COUNTIFS(
            $A$2:INDEX($A:$A,ROW()), $A1890,
            $H$2:INDEX($H:$H,ROW()), "ALEM"
          )
    )),
    MONTH(EDATE(
      _xlfn.XLOOKUP($A1890,'RESUMEN CLIENTES'!$D:$D,'RESUMEN CLIENTES'!$Y:$Y,""),
      7 + COUNTIFS(
            $A$2:INDEX($A:$A,ROW()), $A1890,
            $H$2:INDEX($H:$H,ROW()), "ALEM"
          )
    )),
    1
  ),
"SIN FECHA MIG"))</f>
        <v>46357</v>
      </c>
      <c r="H1890" s="44" t="s">
        <v>1876</v>
      </c>
      <c r="I1890" s="2">
        <v>500</v>
      </c>
      <c r="J1890"/>
      <c r="K1890"/>
      <c r="L1890" s="44" t="str" cm="1">
        <f t="array" ref="L1890">+_xlfn.IFS(COUNTIF(INGRESOS!E:E,Tabla6[[#This Row],[ID FACTURA]])=1,"PAGADA",Tabla6[[#This Row],[ID FACTURA]]&lt;&gt;0,"EMITIDA",Tabla6[[#This Row],[ID FACTURA]]=0,"POR EMITIR")</f>
        <v>POR EMITIR</v>
      </c>
      <c r="M1890" s="55" t="str">
        <f>+IF(Tabla6[[#This Row],[ESTADO FACTURA]]="PAGADA",Tabla6[[#This Row],[FECHA]]-_xlfn.XLOOKUP(Tabla6[[#This Row],[N° FACTURA]],INGRESOS!F:F,INGRESOS!A:A),"-")</f>
        <v>-</v>
      </c>
      <c r="N1890" s="2"/>
      <c r="O1890"/>
    </row>
    <row r="1891" spans="1:15" ht="14.75" customHeight="1">
      <c r="A1891" s="320" t="s">
        <v>1245</v>
      </c>
      <c r="B1891" t="str">
        <f>+_xlfn.XLOOKUP(Tabla6[[#This Row],[ID CLIENTE]],'RESUMEN CLIENTES'!D:D,'RESUMEN CLIENTES'!A:A)</f>
        <v>Constanza Andrea Águila Vergara</v>
      </c>
      <c r="C1891" t="str">
        <f>+_xlfn.XLOOKUP(Tabla6[[#This Row],[ID CLIENTE]],'RESUMEN CLIENTES'!D:D,'RESUMEN CLIENTES'!C:C)</f>
        <v>Chile</v>
      </c>
      <c r="D1891" s="44" t="str">
        <f>+_xlfn.XLOOKUP(Tabla6[[#This Row],[ID CLIENTE]],'RESUMEN CLIENTES'!D:D,'RESUMEN CLIENTES'!M:M)</f>
        <v>OK</v>
      </c>
      <c r="E1891" s="71">
        <f>+_xlfn.XLOOKUP(Tabla6[[#This Row],[NOMBRE]],'RESUMEN CLIENTES'!A:A,'RESUMEN CLIENTES'!X:X)</f>
        <v>-0.2</v>
      </c>
      <c r="F1891" s="71">
        <f>+_xlfn.XLOOKUP(Tabla6[[#This Row],[ID CLIENTE]],'RESUMEN CLIENTES'!D:D,'RESUMEN CLIENTES'!W:W)</f>
        <v>1</v>
      </c>
      <c r="G1891" s="17">
        <f>IF($H1891&lt;&gt;"ALEM","",IFERROR(
  DATE(
    YEAR(EDATE(
      _xlfn.XLOOKUP($A1891,'RESUMEN CLIENTES'!$D:$D,'RESUMEN CLIENTES'!$Y:$Y,""),
      7 + COUNTIFS(
            $A$2:INDEX($A:$A,ROW()), $A1891,
            $H$2:INDEX($H:$H,ROW()), "ALEM"
          )
    )),
    MONTH(EDATE(
      _xlfn.XLOOKUP($A1891,'RESUMEN CLIENTES'!$D:$D,'RESUMEN CLIENTES'!$Y:$Y,""),
      7 + COUNTIFS(
            $A$2:INDEX($A:$A,ROW()), $A1891,
            $H$2:INDEX($H:$H,ROW()), "ALEM"
          )
    )),
    1
  ),
"SIN FECHA MIG"))</f>
        <v>46357</v>
      </c>
      <c r="H1891" s="44" t="s">
        <v>1876</v>
      </c>
      <c r="I1891" s="2">
        <v>800</v>
      </c>
      <c r="J1891"/>
      <c r="K1891"/>
      <c r="L1891" s="44" t="str" cm="1">
        <f t="array" ref="L1891">+_xlfn.IFS(COUNTIF(INGRESOS!E:E,Tabla6[[#This Row],[ID FACTURA]])=1,"PAGADA",Tabla6[[#This Row],[ID FACTURA]]&lt;&gt;0,"EMITIDA",Tabla6[[#This Row],[ID FACTURA]]=0,"POR EMITIR")</f>
        <v>POR EMITIR</v>
      </c>
      <c r="M1891" s="55" t="str">
        <f>+IF(Tabla6[[#This Row],[ESTADO FACTURA]]="PAGADA",Tabla6[[#This Row],[FECHA]]-_xlfn.XLOOKUP(Tabla6[[#This Row],[N° FACTURA]],INGRESOS!F:F,INGRESOS!A:A),"-")</f>
        <v>-</v>
      </c>
      <c r="N1891" s="2"/>
      <c r="O1891"/>
    </row>
    <row r="1892" spans="1:15" ht="14.75" customHeight="1">
      <c r="A1892" s="320" t="s">
        <v>1178</v>
      </c>
      <c r="B1892" t="str">
        <f>+_xlfn.XLOOKUP(Tabla6[[#This Row],[ID CLIENTE]],'RESUMEN CLIENTES'!D:D,'RESUMEN CLIENTES'!A:A)</f>
        <v>Daniel Flores</v>
      </c>
      <c r="C1892" t="str">
        <f>+_xlfn.XLOOKUP(Tabla6[[#This Row],[ID CLIENTE]],'RESUMEN CLIENTES'!D:D,'RESUMEN CLIENTES'!C:C)</f>
        <v>Ecuador</v>
      </c>
      <c r="D1892" s="44" t="str">
        <f>+_xlfn.XLOOKUP(Tabla6[[#This Row],[ID CLIENTE]],'RESUMEN CLIENTES'!D:D,'RESUMEN CLIENTES'!M:M)</f>
        <v>OK</v>
      </c>
      <c r="E1892" s="72">
        <f>+_xlfn.XLOOKUP(Tabla6[[#This Row],[NOMBRE]],'RESUMEN CLIENTES'!A:A,'RESUMEN CLIENTES'!X:X)</f>
        <v>3.8333333333333335</v>
      </c>
      <c r="F1892" s="72">
        <f>+_xlfn.XLOOKUP(Tabla6[[#This Row],[ID CLIENTE]],'RESUMEN CLIENTES'!D:D,'RESUMEN CLIENTES'!W:W)</f>
        <v>1</v>
      </c>
      <c r="G1892" s="17">
        <v>46357</v>
      </c>
      <c r="H1892" s="44" t="s">
        <v>81</v>
      </c>
      <c r="I1892" s="2">
        <v>850</v>
      </c>
      <c r="J1892"/>
      <c r="K1892"/>
      <c r="L1892" s="44" t="str" cm="1">
        <f t="array" ref="L1892">+_xlfn.IFS(COUNTIF(INGRESOS!E:E,Tabla6[[#This Row],[ID FACTURA]])=1,"PAGADA",Tabla6[[#This Row],[ID FACTURA]]&lt;&gt;0,"EMITIDA",Tabla6[[#This Row],[ID FACTURA]]=0,"POR EMITIR")</f>
        <v>POR EMITIR</v>
      </c>
      <c r="M1892" s="55" t="str">
        <f>+IF(Tabla6[[#This Row],[ESTADO FACTURA]]="PAGADA",Tabla6[[#This Row],[FECHA]]-_xlfn.XLOOKUP(Tabla6[[#This Row],[N° FACTURA]],INGRESOS!F:F,INGRESOS!A:A),"-")</f>
        <v>-</v>
      </c>
      <c r="N1892" s="2"/>
      <c r="O1892"/>
    </row>
    <row r="1893" spans="1:15" ht="14.75" customHeight="1">
      <c r="A1893" s="320" t="s">
        <v>90</v>
      </c>
      <c r="B1893" t="str">
        <f>+_xlfn.XLOOKUP(Tabla6[[#This Row],[ID CLIENTE]],'RESUMEN CLIENTES'!D:D,'RESUMEN CLIENTES'!A:A)</f>
        <v>David Enrique Díaz Mejía</v>
      </c>
      <c r="C1893" t="str">
        <f>+_xlfn.XLOOKUP(Tabla6[[#This Row],[ID CLIENTE]],'RESUMEN CLIENTES'!D:D,'RESUMEN CLIENTES'!C:C)</f>
        <v>Honduras</v>
      </c>
      <c r="D1893" s="44" t="str">
        <f>+_xlfn.XLOOKUP(Tabla6[[#This Row],[ID CLIENTE]],'RESUMEN CLIENTES'!D:D,'RESUMEN CLIENTES'!M:M)</f>
        <v>OK</v>
      </c>
      <c r="E1893" s="72">
        <f>+_xlfn.XLOOKUP(Tabla6[[#This Row],[NOMBRE]],'RESUMEN CLIENTES'!A:A,'RESUMEN CLIENTES'!X:X)</f>
        <v>-15.217592592592862</v>
      </c>
      <c r="F1893" s="72">
        <f>+_xlfn.XLOOKUP(Tabla6[[#This Row],[ID CLIENTE]],'RESUMEN CLIENTES'!D:D,'RESUMEN CLIENTES'!W:W)</f>
        <v>1</v>
      </c>
      <c r="G1893" s="17">
        <f>IF($H1893&lt;&gt;"ALEM","",IFERROR(
  DATE(
    YEAR(EDATE(
      _xlfn.XLOOKUP($A1893,'RESUMEN CLIENTES'!$D:$D,'RESUMEN CLIENTES'!$Y:$Y,""),
      7 + COUNTIFS(
            $A$2:INDEX($A:$A,ROW()), $A1893,
            $H$2:INDEX($H:$H,ROW()), "ALEM"
          )
    )),
    MONTH(EDATE(
      _xlfn.XLOOKUP($A1893,'RESUMEN CLIENTES'!$D:$D,'RESUMEN CLIENTES'!$Y:$Y,""),
      7 + COUNTIFS(
            $A$2:INDEX($A:$A,ROW()), $A1893,
            $H$2:INDEX($H:$H,ROW()), "ALEM"
          )
    )),
    1
  ),
"SIN FECHA MIG"))</f>
        <v>46357</v>
      </c>
      <c r="H1893" s="44" t="s">
        <v>1876</v>
      </c>
      <c r="I1893" s="2">
        <v>1187</v>
      </c>
      <c r="J1893"/>
      <c r="K1893"/>
      <c r="L1893" s="44" t="str" cm="1">
        <f t="array" ref="L1893">+_xlfn.IFS(COUNTIF(INGRESOS!E:E,Tabla6[[#This Row],[ID FACTURA]])=1,"PAGADA",Tabla6[[#This Row],[ID FACTURA]]&lt;&gt;0,"EMITIDA",Tabla6[[#This Row],[ID FACTURA]]=0,"POR EMITIR")</f>
        <v>POR EMITIR</v>
      </c>
      <c r="M1893" s="55" t="str">
        <f>+IF(Tabla6[[#This Row],[ESTADO FACTURA]]="PAGADA",Tabla6[[#This Row],[FECHA]]-_xlfn.XLOOKUP(Tabla6[[#This Row],[N° FACTURA]],INGRESOS!F:F,INGRESOS!A:A),"-")</f>
        <v>-</v>
      </c>
      <c r="N1893" s="2"/>
      <c r="O1893"/>
    </row>
    <row r="1894" spans="1:15" ht="14.75" customHeight="1">
      <c r="A1894" s="320" t="s">
        <v>1674</v>
      </c>
      <c r="B1894" t="str">
        <f>+_xlfn.XLOOKUP(Tabla6[[#This Row],[ID CLIENTE]],'RESUMEN CLIENTES'!D:D,'RESUMEN CLIENTES'!A:A)</f>
        <v>Diego Alberto Ruiz Cifuentes</v>
      </c>
      <c r="C1894" t="str">
        <f>+_xlfn.XLOOKUP(Tabla6[[#This Row],[ID CLIENTE]],'RESUMEN CLIENTES'!D:D,'RESUMEN CLIENTES'!C:C)</f>
        <v>Chile</v>
      </c>
      <c r="D1894" s="169" t="str">
        <f>+_xlfn.XLOOKUP(Tabla6[[#This Row],[ID CLIENTE]],'RESUMEN CLIENTES'!D:D,'RESUMEN CLIENTES'!M:M)</f>
        <v>OK</v>
      </c>
      <c r="E1894" s="71">
        <f>+_xlfn.XLOOKUP(Tabla6[[#This Row],[NOMBRE]],'RESUMEN CLIENTES'!A:A,'RESUMEN CLIENTES'!X:X)</f>
        <v>5.75</v>
      </c>
      <c r="F1894" s="71">
        <f>+_xlfn.XLOOKUP(Tabla6[[#This Row],[ID CLIENTE]],'RESUMEN CLIENTES'!D:D,'RESUMEN CLIENTES'!W:W)</f>
        <v>0</v>
      </c>
      <c r="G1894" s="17">
        <f>IF($H1894&lt;&gt;"ALEM","",IFERROR(
  DATE(
    YEAR(EDATE(
      _xlfn.XLOOKUP($A1894,'RESUMEN CLIENTES'!$D:$D,'RESUMEN CLIENTES'!$Y:$Y,""),
      7 + COUNTIFS(
            $A$2:INDEX($A:$A,ROW()), $A1894,
            $H$2:INDEX($H:$H,ROW()), "ALEM"
          )
    )),
    MONTH(EDATE(
      _xlfn.XLOOKUP($A1894,'RESUMEN CLIENTES'!$D:$D,'RESUMEN CLIENTES'!$Y:$Y,""),
      7 + COUNTIFS(
            $A$2:INDEX($A:$A,ROW()), $A1894,
            $H$2:INDEX($H:$H,ROW()), "ALEM"
          )
    )),
    1
  ),
"SIN FECHA MIG"))</f>
        <v>46357</v>
      </c>
      <c r="H1894" s="169" t="s">
        <v>1876</v>
      </c>
      <c r="I1894" s="2">
        <v>800</v>
      </c>
      <c r="J1894"/>
      <c r="K1894"/>
      <c r="L1894" s="44" t="str" cm="1">
        <f t="array" ref="L1894">+_xlfn.IFS(COUNTIF(INGRESOS!E:E,Tabla6[[#This Row],[ID FACTURA]])=1,"PAGADA",Tabla6[[#This Row],[ID FACTURA]]&lt;&gt;0,"EMITIDA",Tabla6[[#This Row],[ID FACTURA]]=0,"POR EMITIR")</f>
        <v>POR EMITIR</v>
      </c>
      <c r="M1894" s="55" t="str">
        <f>+IF(Tabla6[[#This Row],[ESTADO FACTURA]]="PAGADA",Tabla6[[#This Row],[FECHA]]-_xlfn.XLOOKUP(Tabla6[[#This Row],[N° FACTURA]],INGRESOS!F:F,INGRESOS!A:A),"-")</f>
        <v>-</v>
      </c>
      <c r="N1894" s="2"/>
      <c r="O1894"/>
    </row>
    <row r="1895" spans="1:15" ht="14.75" customHeight="1">
      <c r="A1895" s="320" t="s">
        <v>253</v>
      </c>
      <c r="B1895" t="str">
        <f>+_xlfn.XLOOKUP(Tabla6[[#This Row],[ID CLIENTE]],'RESUMEN CLIENTES'!D:D,'RESUMEN CLIENTES'!A:A)</f>
        <v>Diego Alonso Salazar Palacios</v>
      </c>
      <c r="C1895" t="str">
        <f>+_xlfn.XLOOKUP(Tabla6[[#This Row],[ID CLIENTE]],'RESUMEN CLIENTES'!D:D,'RESUMEN CLIENTES'!C:C)</f>
        <v>Perú</v>
      </c>
      <c r="D1895" s="44" t="str">
        <f>+_xlfn.XLOOKUP(Tabla6[[#This Row],[ID CLIENTE]],'RESUMEN CLIENTES'!D:D,'RESUMEN CLIENTES'!M:M)</f>
        <v>OK</v>
      </c>
      <c r="E1895" s="72">
        <f>+_xlfn.XLOOKUP(Tabla6[[#This Row],[NOMBRE]],'RESUMEN CLIENTES'!A:A,'RESUMEN CLIENTES'!X:X)</f>
        <v>0.18560606059988707</v>
      </c>
      <c r="F1895" s="72">
        <f>+_xlfn.XLOOKUP(Tabla6[[#This Row],[ID CLIENTE]],'RESUMEN CLIENTES'!D:D,'RESUMEN CLIENTES'!W:W)</f>
        <v>1</v>
      </c>
      <c r="G1895" s="17">
        <f>IF($H1895&lt;&gt;"ALEM","",IFERROR(
  DATE(
    YEAR(EDATE(
      _xlfn.XLOOKUP($A1895,'RESUMEN CLIENTES'!$D:$D,'RESUMEN CLIENTES'!$Y:$Y,""),
      7 + COUNTIFS(
            $A$2:INDEX($A:$A,ROW()), $A1895,
            $H$2:INDEX($H:$H,ROW()), "ALEM"
          )
    )),
    MONTH(EDATE(
      _xlfn.XLOOKUP($A1895,'RESUMEN CLIENTES'!$D:$D,'RESUMEN CLIENTES'!$Y:$Y,""),
      7 + COUNTIFS(
            $A$2:INDEX($A:$A,ROW()), $A1895,
            $H$2:INDEX($H:$H,ROW()), "ALEM"
          )
    )),
    1
  ),
"SIN FECHA MIG"))</f>
        <v>46357</v>
      </c>
      <c r="H1895" s="44" t="s">
        <v>1876</v>
      </c>
      <c r="I1895" s="2">
        <v>1000</v>
      </c>
      <c r="J1895"/>
      <c r="K1895"/>
      <c r="L1895" s="44" t="str" cm="1">
        <f t="array" ref="L1895">+_xlfn.IFS(COUNTIF(INGRESOS!E:E,Tabla6[[#This Row],[ID FACTURA]])=1,"PAGADA",Tabla6[[#This Row],[ID FACTURA]]&lt;&gt;0,"EMITIDA",Tabla6[[#This Row],[ID FACTURA]]=0,"POR EMITIR")</f>
        <v>POR EMITIR</v>
      </c>
      <c r="M1895" s="55" t="str">
        <f>+IF(Tabla6[[#This Row],[ESTADO FACTURA]]="PAGADA",Tabla6[[#This Row],[FECHA]]-_xlfn.XLOOKUP(Tabla6[[#This Row],[N° FACTURA]],INGRESOS!F:F,INGRESOS!A:A),"-")</f>
        <v>-</v>
      </c>
      <c r="N1895" s="2"/>
      <c r="O1895"/>
    </row>
    <row r="1896" spans="1:15" ht="14.75" customHeight="1">
      <c r="A1896" s="320" t="s">
        <v>739</v>
      </c>
      <c r="B1896" t="str">
        <f>+_xlfn.XLOOKUP(Tabla6[[#This Row],[ID CLIENTE]],'RESUMEN CLIENTES'!D:D,'RESUMEN CLIENTES'!A:A)</f>
        <v>Gilberto Martiñon Torres</v>
      </c>
      <c r="C1896" t="str">
        <f>+_xlfn.XLOOKUP(Tabla6[[#This Row],[ID CLIENTE]],'RESUMEN CLIENTES'!D:D,'RESUMEN CLIENTES'!C:C)</f>
        <v>México</v>
      </c>
      <c r="D1896" s="44" t="str">
        <f>+_xlfn.XLOOKUP(Tabla6[[#This Row],[ID CLIENTE]],'RESUMEN CLIENTES'!D:D,'RESUMEN CLIENTES'!M:M)</f>
        <v>OK</v>
      </c>
      <c r="E1896" s="72">
        <f>+_xlfn.XLOOKUP(Tabla6[[#This Row],[NOMBRE]],'RESUMEN CLIENTES'!A:A,'RESUMEN CLIENTES'!X:X)</f>
        <v>-0.625</v>
      </c>
      <c r="F1896" s="72">
        <f>+_xlfn.XLOOKUP(Tabla6[[#This Row],[ID CLIENTE]],'RESUMEN CLIENTES'!D:D,'RESUMEN CLIENTES'!W:W)</f>
        <v>0</v>
      </c>
      <c r="G1896" s="17">
        <f>IF($H1896&lt;&gt;"ALEM","",IFERROR(
  DATE(
    YEAR(EDATE(
      _xlfn.XLOOKUP($A1896,'RESUMEN CLIENTES'!$D:$D,'RESUMEN CLIENTES'!$Y:$Y,""),
      7 + COUNTIFS(
            $A$2:INDEX($A:$A,ROW()), $A1896,
            $H$2:INDEX($H:$H,ROW()), "ALEM"
          )
    )),
    MONTH(EDATE(
      _xlfn.XLOOKUP($A1896,'RESUMEN CLIENTES'!$D:$D,'RESUMEN CLIENTES'!$Y:$Y,""),
      7 + COUNTIFS(
            $A$2:INDEX($A:$A,ROW()), $A1896,
            $H$2:INDEX($H:$H,ROW()), "ALEM"
          )
    )),
    1
  ),
"SIN FECHA MIG"))</f>
        <v>46357</v>
      </c>
      <c r="H1896" s="44" t="s">
        <v>1876</v>
      </c>
      <c r="I1896" s="2">
        <v>1000</v>
      </c>
      <c r="J1896"/>
      <c r="K1896"/>
      <c r="L1896" s="44" t="str" cm="1">
        <f t="array" ref="L1896">+_xlfn.IFS(COUNTIF(INGRESOS!E:E,Tabla6[[#This Row],[ID FACTURA]])=1,"PAGADA",Tabla6[[#This Row],[ID FACTURA]]&lt;&gt;0,"EMITIDA",Tabla6[[#This Row],[ID FACTURA]]=0,"POR EMITIR")</f>
        <v>POR EMITIR</v>
      </c>
      <c r="M1896" s="55" t="str">
        <f>+IF(Tabla6[[#This Row],[ESTADO FACTURA]]="PAGADA",Tabla6[[#This Row],[FECHA]]-_xlfn.XLOOKUP(Tabla6[[#This Row],[N° FACTURA]],INGRESOS!F:F,INGRESOS!A:A),"-")</f>
        <v>-</v>
      </c>
      <c r="N1896" s="2"/>
      <c r="O1896" t="s">
        <v>2084</v>
      </c>
    </row>
    <row r="1897" spans="1:15" ht="14.75" customHeight="1">
      <c r="A1897" s="320" t="s">
        <v>1428</v>
      </c>
      <c r="B1897" t="str">
        <f>+_xlfn.XLOOKUP(Tabla6[[#This Row],[ID CLIENTE]],'RESUMEN CLIENTES'!D:D,'RESUMEN CLIENTES'!A:A)</f>
        <v>Javier Bravo Castelo</v>
      </c>
      <c r="C1897" t="str">
        <f>+_xlfn.XLOOKUP(Tabla6[[#This Row],[ID CLIENTE]],'RESUMEN CLIENTES'!D:D,'RESUMEN CLIENTES'!C:C)</f>
        <v>Colombia</v>
      </c>
      <c r="D1897" s="44" t="str">
        <f>+_xlfn.XLOOKUP(Tabla6[[#This Row],[ID CLIENTE]],'RESUMEN CLIENTES'!D:D,'RESUMEN CLIENTES'!M:M)</f>
        <v>OK</v>
      </c>
      <c r="E1897" s="71">
        <f>+_xlfn.XLOOKUP(Tabla6[[#This Row],[NOMBRE]],'RESUMEN CLIENTES'!A:A,'RESUMEN CLIENTES'!X:X)</f>
        <v>-0.33333333333333331</v>
      </c>
      <c r="F1897" s="71">
        <f>+_xlfn.XLOOKUP(Tabla6[[#This Row],[ID CLIENTE]],'RESUMEN CLIENTES'!D:D,'RESUMEN CLIENTES'!W:W)</f>
        <v>0</v>
      </c>
      <c r="G1897" s="17">
        <f>IF($H1897&lt;&gt;"ALEM","",IFERROR(
  DATE(
    YEAR(EDATE(
      _xlfn.XLOOKUP($A1897,'RESUMEN CLIENTES'!$D:$D,'RESUMEN CLIENTES'!$Y:$Y,""),
      7 + COUNTIFS(
            $A$2:INDEX($A:$A,ROW()), $A1897,
            $H$2:INDEX($H:$H,ROW()), "ALEM"
          )
    )),
    MONTH(EDATE(
      _xlfn.XLOOKUP($A1897,'RESUMEN CLIENTES'!$D:$D,'RESUMEN CLIENTES'!$Y:$Y,""),
      7 + COUNTIFS(
            $A$2:INDEX($A:$A,ROW()), $A1897,
            $H$2:INDEX($H:$H,ROW()), "ALEM"
          )
    )),
    1
  ),
"SIN FECHA MIG"))</f>
        <v>46357</v>
      </c>
      <c r="H1897" s="169" t="s">
        <v>1876</v>
      </c>
      <c r="I1897" s="2">
        <v>800</v>
      </c>
      <c r="J1897"/>
      <c r="K1897"/>
      <c r="L1897" s="44" t="str" cm="1">
        <f t="array" ref="L1897">+_xlfn.IFS(COUNTIF(INGRESOS!E:E,Tabla6[[#This Row],[ID FACTURA]])=1,"PAGADA",Tabla6[[#This Row],[ID FACTURA]]&lt;&gt;0,"EMITIDA",Tabla6[[#This Row],[ID FACTURA]]=0,"POR EMITIR")</f>
        <v>POR EMITIR</v>
      </c>
      <c r="M1897" s="55" t="str">
        <f>+IF(Tabla6[[#This Row],[ESTADO FACTURA]]="PAGADA",Tabla6[[#This Row],[FECHA]]-_xlfn.XLOOKUP(Tabla6[[#This Row],[N° FACTURA]],INGRESOS!F:F,INGRESOS!A:A),"-")</f>
        <v>-</v>
      </c>
      <c r="N1897" s="2"/>
      <c r="O1897" t="s">
        <v>2084</v>
      </c>
    </row>
    <row r="1898" spans="1:15" ht="14.75" customHeight="1">
      <c r="A1898" s="321" t="s">
        <v>1899</v>
      </c>
      <c r="B1898" t="str">
        <f>+_xlfn.XLOOKUP(Tabla6[[#This Row],[ID CLIENTE]],'RESUMEN CLIENTES'!D:D,'RESUMEN CLIENTES'!A:A)</f>
        <v>Johan Martínez</v>
      </c>
      <c r="C1898" t="str">
        <f>+_xlfn.XLOOKUP(Tabla6[[#This Row],[ID CLIENTE]],'RESUMEN CLIENTES'!D:D,'RESUMEN CLIENTES'!C:C)</f>
        <v>Colombia</v>
      </c>
      <c r="D1898" s="169" t="str">
        <f>+_xlfn.XLOOKUP(Tabla6[[#This Row],[ID CLIENTE]],'RESUMEN CLIENTES'!D:D,'RESUMEN CLIENTES'!M:M)</f>
        <v>OK</v>
      </c>
      <c r="E1898" s="71">
        <f>+_xlfn.XLOOKUP(Tabla6[[#This Row],[NOMBRE]],'RESUMEN CLIENTES'!A:A,'RESUMEN CLIENTES'!X:X)</f>
        <v>-0.66666666666666663</v>
      </c>
      <c r="F1898" s="71">
        <f>+_xlfn.XLOOKUP(Tabla6[[#This Row],[ID CLIENTE]],'RESUMEN CLIENTES'!D:D,'RESUMEN CLIENTES'!W:W)</f>
        <v>0</v>
      </c>
      <c r="G1898" s="17">
        <v>46357</v>
      </c>
      <c r="H1898" s="169" t="s">
        <v>81</v>
      </c>
      <c r="I1898" s="2">
        <v>1000</v>
      </c>
      <c r="J1898"/>
      <c r="K1898"/>
      <c r="L1898" s="44" t="str" cm="1">
        <f t="array" ref="L1898">+_xlfn.IFS(COUNTIF(INGRESOS!E:E,Tabla6[[#This Row],[ID FACTURA]])=1,"PAGADA",Tabla6[[#This Row],[ID FACTURA]]&lt;&gt;0,"EMITIDA",Tabla6[[#This Row],[ID FACTURA]]=0,"POR EMITIR")</f>
        <v>POR EMITIR</v>
      </c>
      <c r="M1898" s="54" t="str">
        <f>+IF(Tabla6[[#This Row],[ESTADO FACTURA]]="PAGADA",Tabla6[[#This Row],[FECHA]]-_xlfn.XLOOKUP(Tabla6[[#This Row],[N° FACTURA]],INGRESOS!F:F,INGRESOS!A:A),"-")</f>
        <v>-</v>
      </c>
      <c r="O1898"/>
    </row>
    <row r="1899" spans="1:15" ht="14.75" customHeight="1">
      <c r="A1899" s="320" t="s">
        <v>333</v>
      </c>
      <c r="B1899" t="str">
        <f>+_xlfn.XLOOKUP(Tabla6[[#This Row],[ID CLIENTE]],'RESUMEN CLIENTES'!D:D,'RESUMEN CLIENTES'!A:A)</f>
        <v>Jorge Augusto Cámbara Vargas</v>
      </c>
      <c r="C1899" t="str">
        <f>+_xlfn.XLOOKUP(Tabla6[[#This Row],[ID CLIENTE]],'RESUMEN CLIENTES'!D:D,'RESUMEN CLIENTES'!C:C)</f>
        <v>Guatemala</v>
      </c>
      <c r="D1899" s="44" t="str">
        <f>+_xlfn.XLOOKUP(Tabla6[[#This Row],[ID CLIENTE]],'RESUMEN CLIENTES'!D:D,'RESUMEN CLIENTES'!M:M)</f>
        <v>OK</v>
      </c>
      <c r="E1899" s="72">
        <f>+_xlfn.XLOOKUP(Tabla6[[#This Row],[NOMBRE]],'RESUMEN CLIENTES'!A:A,'RESUMEN CLIENTES'!X:X)</f>
        <v>0.1157407407331953</v>
      </c>
      <c r="F1899" s="72">
        <f>+_xlfn.XLOOKUP(Tabla6[[#This Row],[ID CLIENTE]],'RESUMEN CLIENTES'!D:D,'RESUMEN CLIENTES'!W:W)</f>
        <v>1</v>
      </c>
      <c r="G1899" s="17">
        <f>IF($H1899&lt;&gt;"ALEM","",IFERROR(
  DATE(
    YEAR(EDATE(
      _xlfn.XLOOKUP($A1899,'RESUMEN CLIENTES'!$D:$D,'RESUMEN CLIENTES'!$Y:$Y,""),
      7 + COUNTIFS(
            $A$2:INDEX($A:$A,ROW()), $A1899,
            $H$2:INDEX($H:$H,ROW()), "ALEM"
          )
    )),
    MONTH(EDATE(
      _xlfn.XLOOKUP($A1899,'RESUMEN CLIENTES'!$D:$D,'RESUMEN CLIENTES'!$Y:$Y,""),
      7 + COUNTIFS(
            $A$2:INDEX($A:$A,ROW()), $A1899,
            $H$2:INDEX($H:$H,ROW()), "ALEM"
          )
    )),
    1
  ),
"SIN FECHA MIG"))</f>
        <v>46357</v>
      </c>
      <c r="H1899" s="44" t="s">
        <v>1876</v>
      </c>
      <c r="I1899" s="2">
        <v>900</v>
      </c>
      <c r="J1899"/>
      <c r="K1899"/>
      <c r="L1899" s="44" t="str" cm="1">
        <f t="array" ref="L1899">+_xlfn.IFS(COUNTIF(INGRESOS!E:E,Tabla6[[#This Row],[ID FACTURA]])=1,"PAGADA",Tabla6[[#This Row],[ID FACTURA]]&lt;&gt;0,"EMITIDA",Tabla6[[#This Row],[ID FACTURA]]=0,"POR EMITIR")</f>
        <v>POR EMITIR</v>
      </c>
      <c r="M1899" s="55" t="str">
        <f>+IF(Tabla6[[#This Row],[ESTADO FACTURA]]="PAGADA",Tabla6[[#This Row],[FECHA]]-_xlfn.XLOOKUP(Tabla6[[#This Row],[N° FACTURA]],INGRESOS!F:F,INGRESOS!A:A),"-")</f>
        <v>-</v>
      </c>
      <c r="N1899" s="2"/>
      <c r="O1899"/>
    </row>
    <row r="1900" spans="1:15" ht="14.75" customHeight="1">
      <c r="A1900" s="320" t="s">
        <v>87</v>
      </c>
      <c r="B1900" t="str">
        <f>+_xlfn.XLOOKUP(Tabla6[[#This Row],[ID CLIENTE]],'RESUMEN CLIENTES'!D:D,'RESUMEN CLIENTES'!A:A)</f>
        <v>Jose Marcelo Marroquín Guzmán</v>
      </c>
      <c r="C1900" t="str">
        <f>+_xlfn.XLOOKUP(Tabla6[[#This Row],[ID CLIENTE]],'RESUMEN CLIENTES'!D:D,'RESUMEN CLIENTES'!C:C)</f>
        <v>El Salvador</v>
      </c>
      <c r="D1900" s="44" t="str">
        <f>+_xlfn.XLOOKUP(Tabla6[[#This Row],[ID CLIENTE]],'RESUMEN CLIENTES'!D:D,'RESUMEN CLIENTES'!M:M)</f>
        <v>OK</v>
      </c>
      <c r="E1900" s="72">
        <f>+_xlfn.XLOOKUP(Tabla6[[#This Row],[NOMBRE]],'RESUMEN CLIENTES'!A:A,'RESUMEN CLIENTES'!X:X)</f>
        <v>-1.5833333333333333</v>
      </c>
      <c r="F1900" s="72">
        <f>+_xlfn.XLOOKUP(Tabla6[[#This Row],[ID CLIENTE]],'RESUMEN CLIENTES'!D:D,'RESUMEN CLIENTES'!W:W)</f>
        <v>1</v>
      </c>
      <c r="G1900" s="17">
        <f>IF($H1900&lt;&gt;"ALEM","",IFERROR(
  DATE(
    YEAR(EDATE(
      _xlfn.XLOOKUP($A1900,'RESUMEN CLIENTES'!$D:$D,'RESUMEN CLIENTES'!$Y:$Y,""),
      7 + COUNTIFS(
            $A$2:INDEX($A:$A,ROW()), $A1900,
            $H$2:INDEX($H:$H,ROW()), "ALEM"
          )
    )),
    MONTH(EDATE(
      _xlfn.XLOOKUP($A1900,'RESUMEN CLIENTES'!$D:$D,'RESUMEN CLIENTES'!$Y:$Y,""),
      7 + COUNTIFS(
            $A$2:INDEX($A:$A,ROW()), $A1900,
            $H$2:INDEX($H:$H,ROW()), "ALEM"
          )
    )),
    1
  ),
"SIN FECHA MIG"))</f>
        <v>46357</v>
      </c>
      <c r="H1900" s="44" t="s">
        <v>1876</v>
      </c>
      <c r="I1900" s="2">
        <v>800</v>
      </c>
      <c r="J1900"/>
      <c r="K1900"/>
      <c r="L1900" s="44" t="str" cm="1">
        <f t="array" ref="L1900">+_xlfn.IFS(COUNTIF(INGRESOS!E:E,Tabla6[[#This Row],[ID FACTURA]])=1,"PAGADA",Tabla6[[#This Row],[ID FACTURA]]&lt;&gt;0,"EMITIDA",Tabla6[[#This Row],[ID FACTURA]]=0,"POR EMITIR")</f>
        <v>POR EMITIR</v>
      </c>
      <c r="M1900" s="55" t="str">
        <f>+IF(Tabla6[[#This Row],[ESTADO FACTURA]]="PAGADA",Tabla6[[#This Row],[FECHA]]-_xlfn.XLOOKUP(Tabla6[[#This Row],[N° FACTURA]],INGRESOS!F:F,INGRESOS!A:A),"-")</f>
        <v>-</v>
      </c>
      <c r="N1900" s="2"/>
      <c r="O1900" t="s">
        <v>2085</v>
      </c>
    </row>
    <row r="1901" spans="1:15" ht="14.75" customHeight="1">
      <c r="A1901" s="320" t="s">
        <v>955</v>
      </c>
      <c r="B1901" t="str">
        <f>+_xlfn.XLOOKUP(Tabla6[[#This Row],[ID CLIENTE]],'RESUMEN CLIENTES'!D:D,'RESUMEN CLIENTES'!A:A)</f>
        <v>Judith Elizabeth Lopez Sanchez</v>
      </c>
      <c r="C1901" t="str">
        <f>+_xlfn.XLOOKUP(Tabla6[[#This Row],[ID CLIENTE]],'RESUMEN CLIENTES'!D:D,'RESUMEN CLIENTES'!C:C)</f>
        <v>Perú</v>
      </c>
      <c r="D1901" s="44" t="str">
        <f>+_xlfn.XLOOKUP(Tabla6[[#This Row],[ID CLIENTE]],'RESUMEN CLIENTES'!D:D,'RESUMEN CLIENTES'!M:M)</f>
        <v>OK</v>
      </c>
      <c r="E1901" s="72">
        <f>+_xlfn.XLOOKUP(Tabla6[[#This Row],[NOMBRE]],'RESUMEN CLIENTES'!A:A,'RESUMEN CLIENTES'!X:X)</f>
        <v>0.2857142857142857</v>
      </c>
      <c r="F1901" s="72">
        <f>+_xlfn.XLOOKUP(Tabla6[[#This Row],[ID CLIENTE]],'RESUMEN CLIENTES'!D:D,'RESUMEN CLIENTES'!W:W)</f>
        <v>1</v>
      </c>
      <c r="G1901" s="17">
        <f>IF($H1901&lt;&gt;"ALEM","",IFERROR(
  DATE(
    YEAR(EDATE(
      _xlfn.XLOOKUP($A1901,'RESUMEN CLIENTES'!$D:$D,'RESUMEN CLIENTES'!$Y:$Y,""),
      7 + COUNTIFS(
            $A$2:INDEX($A:$A,ROW()), $A1901,
            $H$2:INDEX($H:$H,ROW()), "ALEM"
          )
    )),
    MONTH(EDATE(
      _xlfn.XLOOKUP($A1901,'RESUMEN CLIENTES'!$D:$D,'RESUMEN CLIENTES'!$Y:$Y,""),
      7 + COUNTIFS(
            $A$2:INDEX($A:$A,ROW()), $A1901,
            $H$2:INDEX($H:$H,ROW()), "ALEM"
          )
    )),
    1
  ),
"SIN FECHA MIG"))</f>
        <v>46357</v>
      </c>
      <c r="H1901" s="44" t="s">
        <v>1876</v>
      </c>
      <c r="I1901" s="2">
        <v>1000</v>
      </c>
      <c r="J1901"/>
      <c r="K1901"/>
      <c r="L1901" s="44" t="str" cm="1">
        <f t="array" ref="L1901">+_xlfn.IFS(COUNTIF(INGRESOS!E:E,Tabla6[[#This Row],[ID FACTURA]])=1,"PAGADA",Tabla6[[#This Row],[ID FACTURA]]&lt;&gt;0,"EMITIDA",Tabla6[[#This Row],[ID FACTURA]]=0,"POR EMITIR")</f>
        <v>POR EMITIR</v>
      </c>
      <c r="M1901" s="55" t="str">
        <f>+IF(Tabla6[[#This Row],[ESTADO FACTURA]]="PAGADA",Tabla6[[#This Row],[FECHA]]-_xlfn.XLOOKUP(Tabla6[[#This Row],[N° FACTURA]],INGRESOS!F:F,INGRESOS!A:A),"-")</f>
        <v>-</v>
      </c>
      <c r="N1901" s="2"/>
      <c r="O1901" t="s">
        <v>2084</v>
      </c>
    </row>
    <row r="1902" spans="1:15" ht="14.75" customHeight="1">
      <c r="A1902" s="320" t="s">
        <v>468</v>
      </c>
      <c r="B1902" t="str">
        <f>+_xlfn.XLOOKUP(Tabla6[[#This Row],[ID CLIENTE]],'RESUMEN CLIENTES'!D:D,'RESUMEN CLIENTES'!A:A)</f>
        <v>Julian Medina</v>
      </c>
      <c r="C1902" t="str">
        <f>+_xlfn.XLOOKUP(Tabla6[[#This Row],[ID CLIENTE]],'RESUMEN CLIENTES'!D:D,'RESUMEN CLIENTES'!C:C)</f>
        <v>Ecuador</v>
      </c>
      <c r="D1902" s="44" t="str">
        <f>+_xlfn.XLOOKUP(Tabla6[[#This Row],[ID CLIENTE]],'RESUMEN CLIENTES'!D:D,'RESUMEN CLIENTES'!M:M)</f>
        <v>OK</v>
      </c>
      <c r="E1902" s="72">
        <f>+_xlfn.XLOOKUP(Tabla6[[#This Row],[NOMBRE]],'RESUMEN CLIENTES'!A:A,'RESUMEN CLIENTES'!X:X)</f>
        <v>-0.5</v>
      </c>
      <c r="F1902" s="72">
        <f>+_xlfn.XLOOKUP(Tabla6[[#This Row],[ID CLIENTE]],'RESUMEN CLIENTES'!D:D,'RESUMEN CLIENTES'!W:W)</f>
        <v>0</v>
      </c>
      <c r="G1902" s="17">
        <f>IF($H1902&lt;&gt;"ALEM","",IFERROR(
  DATE(
    YEAR(EDATE(
      _xlfn.XLOOKUP($A1902,'RESUMEN CLIENTES'!$D:$D,'RESUMEN CLIENTES'!$Y:$Y,""),
      7 + COUNTIFS(
            $A$2:INDEX($A:$A,ROW()), $A1902,
            $H$2:INDEX($H:$H,ROW()), "ALEM"
          )
    )),
    MONTH(EDATE(
      _xlfn.XLOOKUP($A1902,'RESUMEN CLIENTES'!$D:$D,'RESUMEN CLIENTES'!$Y:$Y,""),
      7 + COUNTIFS(
            $A$2:INDEX($A:$A,ROW()), $A1902,
            $H$2:INDEX($H:$H,ROW()), "ALEM"
          )
    )),
    1
  ),
"SIN FECHA MIG"))</f>
        <v>46357</v>
      </c>
      <c r="H1902" s="44" t="s">
        <v>1876</v>
      </c>
      <c r="I1902" s="2">
        <v>1000</v>
      </c>
      <c r="J1902"/>
      <c r="K1902"/>
      <c r="L1902" s="44" t="str" cm="1">
        <f t="array" ref="L1902">+_xlfn.IFS(COUNTIF(INGRESOS!E:E,Tabla6[[#This Row],[ID FACTURA]])=1,"PAGADA",Tabla6[[#This Row],[ID FACTURA]]&lt;&gt;0,"EMITIDA",Tabla6[[#This Row],[ID FACTURA]]=0,"POR EMITIR")</f>
        <v>POR EMITIR</v>
      </c>
      <c r="M1902" s="55" t="str">
        <f>+IF(Tabla6[[#This Row],[ESTADO FACTURA]]="PAGADA",Tabla6[[#This Row],[FECHA]]-_xlfn.XLOOKUP(Tabla6[[#This Row],[N° FACTURA]],INGRESOS!F:F,INGRESOS!A:A),"-")</f>
        <v>-</v>
      </c>
      <c r="N1902" s="2"/>
      <c r="O1902"/>
    </row>
    <row r="1903" spans="1:15" ht="14.75" customHeight="1">
      <c r="A1903" s="320" t="s">
        <v>372</v>
      </c>
      <c r="B1903" t="str">
        <f>+_xlfn.XLOOKUP(Tabla6[[#This Row],[ID CLIENTE]],'RESUMEN CLIENTES'!D:D,'RESUMEN CLIENTES'!A:A)</f>
        <v>Julio Nelson Adaros Moraga</v>
      </c>
      <c r="C1903" t="str">
        <f>+_xlfn.XLOOKUP(Tabla6[[#This Row],[ID CLIENTE]],'RESUMEN CLIENTES'!D:D,'RESUMEN CLIENTES'!C:C)</f>
        <v>Chile</v>
      </c>
      <c r="D1903" s="44" t="str">
        <f>+_xlfn.XLOOKUP(Tabla6[[#This Row],[ID CLIENTE]],'RESUMEN CLIENTES'!D:D,'RESUMEN CLIENTES'!M:M)</f>
        <v>OK</v>
      </c>
      <c r="E1903" s="72">
        <f>+_xlfn.XLOOKUP(Tabla6[[#This Row],[NOMBRE]],'RESUMEN CLIENTES'!A:A,'RESUMEN CLIENTES'!X:X)</f>
        <v>1</v>
      </c>
      <c r="F1903" s="72">
        <f>+_xlfn.XLOOKUP(Tabla6[[#This Row],[ID CLIENTE]],'RESUMEN CLIENTES'!D:D,'RESUMEN CLIENTES'!W:W)</f>
        <v>1</v>
      </c>
      <c r="G1903" s="17">
        <f>IF($H1903&lt;&gt;"ALEM","",IFERROR(
  DATE(
    YEAR(EDATE(
      _xlfn.XLOOKUP($A1903,'RESUMEN CLIENTES'!$D:$D,'RESUMEN CLIENTES'!$Y:$Y,""),
      7 + COUNTIFS(
            $A$2:INDEX($A:$A,ROW()), $A1903,
            $H$2:INDEX($H:$H,ROW()), "ALEM"
          )
    )),
    MONTH(EDATE(
      _xlfn.XLOOKUP($A1903,'RESUMEN CLIENTES'!$D:$D,'RESUMEN CLIENTES'!$Y:$Y,""),
      7 + COUNTIFS(
            $A$2:INDEX($A:$A,ROW()), $A1903,
            $H$2:INDEX($H:$H,ROW()), "ALEM"
          )
    )),
    1
  ),
"SIN FECHA MIG"))</f>
        <v>46357</v>
      </c>
      <c r="H1903" s="44" t="s">
        <v>1876</v>
      </c>
      <c r="I1903" s="2">
        <v>1000</v>
      </c>
      <c r="J1903"/>
      <c r="K1903"/>
      <c r="L1903" s="44" t="str" cm="1">
        <f t="array" ref="L1903">+_xlfn.IFS(COUNTIF(INGRESOS!E:E,Tabla6[[#This Row],[ID FACTURA]])=1,"PAGADA",Tabla6[[#This Row],[ID FACTURA]]&lt;&gt;0,"EMITIDA",Tabla6[[#This Row],[ID FACTURA]]=0,"POR EMITIR")</f>
        <v>POR EMITIR</v>
      </c>
      <c r="M1903" s="55" t="str">
        <f>+IF(Tabla6[[#This Row],[ESTADO FACTURA]]="PAGADA",Tabla6[[#This Row],[FECHA]]-_xlfn.XLOOKUP(Tabla6[[#This Row],[N° FACTURA]],INGRESOS!F:F,INGRESOS!A:A),"-")</f>
        <v>-</v>
      </c>
      <c r="N1903" s="2"/>
      <c r="O1903"/>
    </row>
    <row r="1904" spans="1:15" ht="14.75" customHeight="1">
      <c r="A1904" s="320" t="s">
        <v>587</v>
      </c>
      <c r="B1904" t="str">
        <f>+_xlfn.XLOOKUP(Tabla6[[#This Row],[ID CLIENTE]],'RESUMEN CLIENTES'!D:D,'RESUMEN CLIENTES'!A:A)</f>
        <v>Keidwin Perez</v>
      </c>
      <c r="C1904" t="str">
        <f>+_xlfn.XLOOKUP(Tabla6[[#This Row],[ID CLIENTE]],'RESUMEN CLIENTES'!D:D,'RESUMEN CLIENTES'!C:C)</f>
        <v>Colombia</v>
      </c>
      <c r="D1904" s="44" t="str">
        <f>+_xlfn.XLOOKUP(Tabla6[[#This Row],[ID CLIENTE]],'RESUMEN CLIENTES'!D:D,'RESUMEN CLIENTES'!M:M)</f>
        <v>OK</v>
      </c>
      <c r="E1904" s="72">
        <f>+_xlfn.XLOOKUP(Tabla6[[#This Row],[NOMBRE]],'RESUMEN CLIENTES'!A:A,'RESUMEN CLIENTES'!X:X)</f>
        <v>-4.25</v>
      </c>
      <c r="F1904" s="72">
        <f>+_xlfn.XLOOKUP(Tabla6[[#This Row],[ID CLIENTE]],'RESUMEN CLIENTES'!D:D,'RESUMEN CLIENTES'!W:W)</f>
        <v>1</v>
      </c>
      <c r="G1904" s="17">
        <f>IF($H1904&lt;&gt;"ALEM","",IFERROR(
  DATE(
    YEAR(EDATE(
      _xlfn.XLOOKUP($A1904,'RESUMEN CLIENTES'!$D:$D,'RESUMEN CLIENTES'!$Y:$Y,""),
      7 + COUNTIFS(
            $A$2:INDEX($A:$A,ROW()), $A1904,
            $H$2:INDEX($H:$H,ROW()), "ALEM"
          )
    )),
    MONTH(EDATE(
      _xlfn.XLOOKUP($A1904,'RESUMEN CLIENTES'!$D:$D,'RESUMEN CLIENTES'!$Y:$Y,""),
      7 + COUNTIFS(
            $A$2:INDEX($A:$A,ROW()), $A1904,
            $H$2:INDEX($H:$H,ROW()), "ALEM"
          )
    )),
    1
  ),
"SIN FECHA MIG"))</f>
        <v>46357</v>
      </c>
      <c r="H1904" s="44" t="s">
        <v>1876</v>
      </c>
      <c r="I1904" s="2">
        <v>1000</v>
      </c>
      <c r="J1904"/>
      <c r="K1904"/>
      <c r="L1904" s="44" t="str" cm="1">
        <f t="array" ref="L1904">+_xlfn.IFS(COUNTIF(INGRESOS!E:E,Tabla6[[#This Row],[ID FACTURA]])=1,"PAGADA",Tabla6[[#This Row],[ID FACTURA]]&lt;&gt;0,"EMITIDA",Tabla6[[#This Row],[ID FACTURA]]=0,"POR EMITIR")</f>
        <v>POR EMITIR</v>
      </c>
      <c r="M1904" s="55" t="str">
        <f>+IF(Tabla6[[#This Row],[ESTADO FACTURA]]="PAGADA",Tabla6[[#This Row],[FECHA]]-_xlfn.XLOOKUP(Tabla6[[#This Row],[N° FACTURA]],INGRESOS!F:F,INGRESOS!A:A),"-")</f>
        <v>-</v>
      </c>
      <c r="N1904" s="2"/>
      <c r="O1904"/>
    </row>
    <row r="1905" spans="1:15" ht="14.75" customHeight="1">
      <c r="A1905" s="320" t="s">
        <v>441</v>
      </c>
      <c r="B1905" t="str">
        <f>+_xlfn.XLOOKUP(Tabla6[[#This Row],[ID CLIENTE]],'RESUMEN CLIENTES'!D:D,'RESUMEN CLIENTES'!A:A)</f>
        <v>Luis Manuel Villanueva Contreras</v>
      </c>
      <c r="C1905" t="str">
        <f>+_xlfn.XLOOKUP(Tabla6[[#This Row],[ID CLIENTE]],'RESUMEN CLIENTES'!D:D,'RESUMEN CLIENTES'!C:C)</f>
        <v>México</v>
      </c>
      <c r="D1905" s="44" t="str">
        <f>+_xlfn.XLOOKUP(Tabla6[[#This Row],[ID CLIENTE]],'RESUMEN CLIENTES'!D:D,'RESUMEN CLIENTES'!M:M)</f>
        <v>OK</v>
      </c>
      <c r="E1905" s="72">
        <f>+_xlfn.XLOOKUP(Tabla6[[#This Row],[NOMBRE]],'RESUMEN CLIENTES'!A:A,'RESUMEN CLIENTES'!X:X)</f>
        <v>0.55555555555555558</v>
      </c>
      <c r="F1905" s="72">
        <f>+_xlfn.XLOOKUP(Tabla6[[#This Row],[ID CLIENTE]],'RESUMEN CLIENTES'!D:D,'RESUMEN CLIENTES'!W:W)</f>
        <v>0</v>
      </c>
      <c r="G1905" s="17">
        <f>IF($H1905&lt;&gt;"ALEM","",IFERROR(
  DATE(
    YEAR(EDATE(
      _xlfn.XLOOKUP($A1905,'RESUMEN CLIENTES'!$D:$D,'RESUMEN CLIENTES'!$Y:$Y,""),
      7 + COUNTIFS(
            $A$2:INDEX($A:$A,ROW()), $A1905,
            $H$2:INDEX($H:$H,ROW()), "ALEM"
          )
    )),
    MONTH(EDATE(
      _xlfn.XLOOKUP($A1905,'RESUMEN CLIENTES'!$D:$D,'RESUMEN CLIENTES'!$Y:$Y,""),
      7 + COUNTIFS(
            $A$2:INDEX($A:$A,ROW()), $A1905,
            $H$2:INDEX($H:$H,ROW()), "ALEM"
          )
    )),
    1
  ),
"SIN FECHA MIG"))</f>
        <v>46357</v>
      </c>
      <c r="H1905" s="44" t="s">
        <v>1876</v>
      </c>
      <c r="I1905" s="2">
        <v>1000</v>
      </c>
      <c r="J1905"/>
      <c r="K1905"/>
      <c r="L1905" s="44" t="str" cm="1">
        <f t="array" ref="L1905">+_xlfn.IFS(COUNTIF(INGRESOS!E:E,Tabla6[[#This Row],[ID FACTURA]])=1,"PAGADA",Tabla6[[#This Row],[ID FACTURA]]&lt;&gt;0,"EMITIDA",Tabla6[[#This Row],[ID FACTURA]]=0,"POR EMITIR")</f>
        <v>POR EMITIR</v>
      </c>
      <c r="M1905" s="55" t="str">
        <f>+IF(Tabla6[[#This Row],[ESTADO FACTURA]]="PAGADA",Tabla6[[#This Row],[FECHA]]-_xlfn.XLOOKUP(Tabla6[[#This Row],[N° FACTURA]],INGRESOS!F:F,INGRESOS!A:A),"-")</f>
        <v>-</v>
      </c>
      <c r="N1905" s="2"/>
      <c r="O1905"/>
    </row>
    <row r="1906" spans="1:15" ht="14.75" customHeight="1">
      <c r="A1906" s="320" t="s">
        <v>274</v>
      </c>
      <c r="B1906" t="str">
        <f>+_xlfn.XLOOKUP(Tabla6[[#This Row],[ID CLIENTE]],'RESUMEN CLIENTES'!D:D,'RESUMEN CLIENTES'!A:A)</f>
        <v>María de los Ángeles Gutiérrez Quevedo</v>
      </c>
      <c r="C1906" t="str">
        <f>+_xlfn.XLOOKUP(Tabla6[[#This Row],[ID CLIENTE]],'RESUMEN CLIENTES'!D:D,'RESUMEN CLIENTES'!C:C)</f>
        <v>Chile</v>
      </c>
      <c r="D1906" s="44" t="str">
        <f>+_xlfn.XLOOKUP(Tabla6[[#This Row],[ID CLIENTE]],'RESUMEN CLIENTES'!D:D,'RESUMEN CLIENTES'!M:M)</f>
        <v>OK</v>
      </c>
      <c r="E1906" s="72">
        <f>+_xlfn.XLOOKUP(Tabla6[[#This Row],[NOMBRE]],'RESUMEN CLIENTES'!A:A,'RESUMEN CLIENTES'!X:X)</f>
        <v>0.22222222222222221</v>
      </c>
      <c r="F1906" s="72">
        <f>+_xlfn.XLOOKUP(Tabla6[[#This Row],[ID CLIENTE]],'RESUMEN CLIENTES'!D:D,'RESUMEN CLIENTES'!W:W)</f>
        <v>1</v>
      </c>
      <c r="G1906" s="17">
        <f>IF($H1906&lt;&gt;"ALEM","",IFERROR(
  DATE(
    YEAR(EDATE(
      _xlfn.XLOOKUP($A1906,'RESUMEN CLIENTES'!$D:$D,'RESUMEN CLIENTES'!$Y:$Y,""),
      7 + COUNTIFS(
            $A$2:INDEX($A:$A,ROW()), $A1906,
            $H$2:INDEX($H:$H,ROW()), "ALEM"
          )
    )),
    MONTH(EDATE(
      _xlfn.XLOOKUP($A1906,'RESUMEN CLIENTES'!$D:$D,'RESUMEN CLIENTES'!$Y:$Y,""),
      7 + COUNTIFS(
            $A$2:INDEX($A:$A,ROW()), $A1906,
            $H$2:INDEX($H:$H,ROW()), "ALEM"
          )
    )),
    1
  ),
"SIN FECHA MIG"))</f>
        <v>46357</v>
      </c>
      <c r="H1906" s="44" t="s">
        <v>1876</v>
      </c>
      <c r="I1906" s="2">
        <v>1000</v>
      </c>
      <c r="J1906"/>
      <c r="K1906"/>
      <c r="L1906" s="44" t="str" cm="1">
        <f t="array" ref="L1906">+_xlfn.IFS(COUNTIF(INGRESOS!E:E,Tabla6[[#This Row],[ID FACTURA]])=1,"PAGADA",Tabla6[[#This Row],[ID FACTURA]]&lt;&gt;0,"EMITIDA",Tabla6[[#This Row],[ID FACTURA]]=0,"POR EMITIR")</f>
        <v>POR EMITIR</v>
      </c>
      <c r="M1906" s="55" t="str">
        <f>+IF(Tabla6[[#This Row],[ESTADO FACTURA]]="PAGADA",Tabla6[[#This Row],[FECHA]]-_xlfn.XLOOKUP(Tabla6[[#This Row],[N° FACTURA]],INGRESOS!F:F,INGRESOS!A:A),"-")</f>
        <v>-</v>
      </c>
      <c r="N1906" s="2"/>
      <c r="O1906" t="s">
        <v>2084</v>
      </c>
    </row>
    <row r="1907" spans="1:15" ht="14.75" customHeight="1">
      <c r="A1907" s="320" t="s">
        <v>247</v>
      </c>
      <c r="B1907" t="str">
        <f>+_xlfn.XLOOKUP(Tabla6[[#This Row],[ID CLIENTE]],'RESUMEN CLIENTES'!D:D,'RESUMEN CLIENTES'!A:A)</f>
        <v>Nancy Gisselle Molinari Cheme</v>
      </c>
      <c r="C1907" t="str">
        <f>+_xlfn.XLOOKUP(Tabla6[[#This Row],[ID CLIENTE]],'RESUMEN CLIENTES'!D:D,'RESUMEN CLIENTES'!C:C)</f>
        <v>Perú</v>
      </c>
      <c r="D1907" s="44" t="str">
        <f>+_xlfn.XLOOKUP(Tabla6[[#This Row],[ID CLIENTE]],'RESUMEN CLIENTES'!D:D,'RESUMEN CLIENTES'!M:M)</f>
        <v>OK</v>
      </c>
      <c r="E1907" s="72">
        <f>+_xlfn.XLOOKUP(Tabla6[[#This Row],[NOMBRE]],'RESUMEN CLIENTES'!A:A,'RESUMEN CLIENTES'!X:X)</f>
        <v>0.9</v>
      </c>
      <c r="F1907" s="72">
        <f>+_xlfn.XLOOKUP(Tabla6[[#This Row],[ID CLIENTE]],'RESUMEN CLIENTES'!D:D,'RESUMEN CLIENTES'!W:W)</f>
        <v>1</v>
      </c>
      <c r="G1907" s="17">
        <f>IF($H1907&lt;&gt;"ALEM","",IFERROR(
  DATE(
    YEAR(EDATE(
      _xlfn.XLOOKUP($A1907,'RESUMEN CLIENTES'!$D:$D,'RESUMEN CLIENTES'!$Y:$Y,""),
      7 + COUNTIFS(
            $A$2:INDEX($A:$A,ROW()), $A1907,
            $H$2:INDEX($H:$H,ROW()), "ALEM"
          )
    )),
    MONTH(EDATE(
      _xlfn.XLOOKUP($A1907,'RESUMEN CLIENTES'!$D:$D,'RESUMEN CLIENTES'!$Y:$Y,""),
      7 + COUNTIFS(
            $A$2:INDEX($A:$A,ROW()), $A1907,
            $H$2:INDEX($H:$H,ROW()), "ALEM"
          )
    )),
    1
  ),
"SIN FECHA MIG"))</f>
        <v>46357</v>
      </c>
      <c r="H1907" s="44" t="s">
        <v>1876</v>
      </c>
      <c r="I1907" s="2">
        <v>1000</v>
      </c>
      <c r="J1907"/>
      <c r="K1907"/>
      <c r="L1907" s="44" t="str" cm="1">
        <f t="array" ref="L1907">+_xlfn.IFS(COUNTIF(INGRESOS!E:E,Tabla6[[#This Row],[ID FACTURA]])=1,"PAGADA",Tabla6[[#This Row],[ID FACTURA]]&lt;&gt;0,"EMITIDA",Tabla6[[#This Row],[ID FACTURA]]=0,"POR EMITIR")</f>
        <v>POR EMITIR</v>
      </c>
      <c r="M1907" s="55" t="str">
        <f>+IF(Tabla6[[#This Row],[ESTADO FACTURA]]="PAGADA",Tabla6[[#This Row],[FECHA]]-_xlfn.XLOOKUP(Tabla6[[#This Row],[N° FACTURA]],INGRESOS!F:F,INGRESOS!A:A),"-")</f>
        <v>-</v>
      </c>
      <c r="N1907" s="2"/>
      <c r="O1907"/>
    </row>
    <row r="1908" spans="1:15" ht="14.75" customHeight="1">
      <c r="A1908" s="320" t="s">
        <v>455</v>
      </c>
      <c r="B1908" t="str">
        <f>+_xlfn.XLOOKUP(Tabla6[[#This Row],[ID CLIENTE]],'RESUMEN CLIENTES'!D:D,'RESUMEN CLIENTES'!A:A)</f>
        <v>Paola Hitos</v>
      </c>
      <c r="C1908" t="str">
        <f>+_xlfn.XLOOKUP(Tabla6[[#This Row],[ID CLIENTE]],'RESUMEN CLIENTES'!D:D,'RESUMEN CLIENTES'!C:C)</f>
        <v>México</v>
      </c>
      <c r="D1908" s="44" t="str">
        <f>+_xlfn.XLOOKUP(Tabla6[[#This Row],[ID CLIENTE]],'RESUMEN CLIENTES'!D:D,'RESUMEN CLIENTES'!M:M)</f>
        <v>OK</v>
      </c>
      <c r="E1908" s="72">
        <f>+_xlfn.XLOOKUP(Tabla6[[#This Row],[NOMBRE]],'RESUMEN CLIENTES'!A:A,'RESUMEN CLIENTES'!X:X)</f>
        <v>-0.55555555555555558</v>
      </c>
      <c r="F1908" s="72">
        <f>+_xlfn.XLOOKUP(Tabla6[[#This Row],[ID CLIENTE]],'RESUMEN CLIENTES'!D:D,'RESUMEN CLIENTES'!W:W)</f>
        <v>1</v>
      </c>
      <c r="G1908" s="17">
        <f>IF($H1908&lt;&gt;"ALEM","",IFERROR(
  DATE(
    YEAR(EDATE(
      _xlfn.XLOOKUP($A1908,'RESUMEN CLIENTES'!$D:$D,'RESUMEN CLIENTES'!$Y:$Y,""),
      7 + COUNTIFS(
            $A$2:INDEX($A:$A,ROW()), $A1908,
            $H$2:INDEX($H:$H,ROW()), "ALEM"
          )
    )),
    MONTH(EDATE(
      _xlfn.XLOOKUP($A1908,'RESUMEN CLIENTES'!$D:$D,'RESUMEN CLIENTES'!$Y:$Y,""),
      7 + COUNTIFS(
            $A$2:INDEX($A:$A,ROW()), $A1908,
            $H$2:INDEX($H:$H,ROW()), "ALEM"
          )
    )),
    1
  ),
"SIN FECHA MIG"))</f>
        <v>46357</v>
      </c>
      <c r="H1908" s="44" t="s">
        <v>1876</v>
      </c>
      <c r="I1908" s="2">
        <v>1000</v>
      </c>
      <c r="J1908"/>
      <c r="K1908"/>
      <c r="L1908" s="44" t="str" cm="1">
        <f t="array" ref="L1908">+_xlfn.IFS(COUNTIF(INGRESOS!E:E,Tabla6[[#This Row],[ID FACTURA]])=1,"PAGADA",Tabla6[[#This Row],[ID FACTURA]]&lt;&gt;0,"EMITIDA",Tabla6[[#This Row],[ID FACTURA]]=0,"POR EMITIR")</f>
        <v>POR EMITIR</v>
      </c>
      <c r="M1908" s="55" t="str">
        <f>+IF(Tabla6[[#This Row],[ESTADO FACTURA]]="PAGADA",Tabla6[[#This Row],[FECHA]]-_xlfn.XLOOKUP(Tabla6[[#This Row],[N° FACTURA]],INGRESOS!F:F,INGRESOS!A:A),"-")</f>
        <v>-</v>
      </c>
      <c r="N1908" s="2"/>
      <c r="O1908"/>
    </row>
    <row r="1909" spans="1:15" ht="14.75" customHeight="1">
      <c r="A1909" s="320" t="s">
        <v>275</v>
      </c>
      <c r="B1909" t="str">
        <f>+_xlfn.XLOOKUP(Tabla6[[#This Row],[ID CLIENTE]],'RESUMEN CLIENTES'!D:D,'RESUMEN CLIENTES'!A:A)</f>
        <v>Rodrigo Alfonso Busse Hernández</v>
      </c>
      <c r="C1909" t="str">
        <f>+_xlfn.XLOOKUP(Tabla6[[#This Row],[ID CLIENTE]],'RESUMEN CLIENTES'!D:D,'RESUMEN CLIENTES'!C:C)</f>
        <v>Chile</v>
      </c>
      <c r="D1909" s="44" t="str">
        <f>+_xlfn.XLOOKUP(Tabla6[[#This Row],[ID CLIENTE]],'RESUMEN CLIENTES'!D:D,'RESUMEN CLIENTES'!M:M)</f>
        <v>OK</v>
      </c>
      <c r="E1909" s="72">
        <f>+_xlfn.XLOOKUP(Tabla6[[#This Row],[NOMBRE]],'RESUMEN CLIENTES'!A:A,'RESUMEN CLIENTES'!X:X)</f>
        <v>0.33333333333333331</v>
      </c>
      <c r="F1909" s="72">
        <f>+_xlfn.XLOOKUP(Tabla6[[#This Row],[ID CLIENTE]],'RESUMEN CLIENTES'!D:D,'RESUMEN CLIENTES'!W:W)</f>
        <v>1</v>
      </c>
      <c r="G1909" s="17">
        <f>IF($H1909&lt;&gt;"ALEM","",IFERROR(
  DATE(
    YEAR(EDATE(
      _xlfn.XLOOKUP($A1909,'RESUMEN CLIENTES'!$D:$D,'RESUMEN CLIENTES'!$Y:$Y,""),
      7 + COUNTIFS(
            $A$2:INDEX($A:$A,ROW()), $A1909,
            $H$2:INDEX($H:$H,ROW()), "ALEM"
          )
    )),
    MONTH(EDATE(
      _xlfn.XLOOKUP($A1909,'RESUMEN CLIENTES'!$D:$D,'RESUMEN CLIENTES'!$Y:$Y,""),
      7 + COUNTIFS(
            $A$2:INDEX($A:$A,ROW()), $A1909,
            $H$2:INDEX($H:$H,ROW()), "ALEM"
          )
    )),
    1
  ),
"SIN FECHA MIG"))</f>
        <v>46357</v>
      </c>
      <c r="H1909" s="44" t="s">
        <v>1876</v>
      </c>
      <c r="I1909" s="2">
        <v>750</v>
      </c>
      <c r="J1909"/>
      <c r="K1909"/>
      <c r="L1909" s="44" t="str" cm="1">
        <f t="array" ref="L1909">+_xlfn.IFS(COUNTIF(INGRESOS!E:E,Tabla6[[#This Row],[ID FACTURA]])=1,"PAGADA",Tabla6[[#This Row],[ID FACTURA]]&lt;&gt;0,"EMITIDA",Tabla6[[#This Row],[ID FACTURA]]=0,"POR EMITIR")</f>
        <v>POR EMITIR</v>
      </c>
      <c r="M1909" s="55" t="str">
        <f>+IF(Tabla6[[#This Row],[ESTADO FACTURA]]="PAGADA",Tabla6[[#This Row],[FECHA]]-_xlfn.XLOOKUP(Tabla6[[#This Row],[N° FACTURA]],INGRESOS!F:F,INGRESOS!A:A),"-")</f>
        <v>-</v>
      </c>
      <c r="N1909" s="2"/>
      <c r="O1909" t="s">
        <v>2084</v>
      </c>
    </row>
    <row r="1910" spans="1:15" ht="14.75" customHeight="1">
      <c r="A1910" s="320" t="s">
        <v>4442</v>
      </c>
      <c r="B1910" t="str">
        <f>+_xlfn.XLOOKUP(Tabla6[[#This Row],[ID CLIENTE]],'RESUMEN CLIENTES'!D:D,'RESUMEN CLIENTES'!A:A)</f>
        <v>Vicente Javier Campusano Banse</v>
      </c>
      <c r="C1910" t="str">
        <f>+_xlfn.XLOOKUP(Tabla6[[#This Row],[ID CLIENTE]],'RESUMEN CLIENTES'!D:D,'RESUMEN CLIENTES'!C:C)</f>
        <v>Chile</v>
      </c>
      <c r="D1910" s="169" t="str">
        <f>+_xlfn.XLOOKUP(Tabla6[[#This Row],[ID CLIENTE]],'RESUMEN CLIENTES'!D:D,'RESUMEN CLIENTES'!M:M)</f>
        <v>¡REGULARIZAR!</v>
      </c>
      <c r="E1910" s="71">
        <f>+_xlfn.XLOOKUP(Tabla6[[#This Row],[NOMBRE]],'RESUMEN CLIENTES'!A:A,'RESUMEN CLIENTES'!X:X)</f>
        <v>0</v>
      </c>
      <c r="F1910" s="71">
        <f>+_xlfn.XLOOKUP(Tabla6[[#This Row],[ID CLIENTE]],'RESUMEN CLIENTES'!D:D,'RESUMEN CLIENTES'!W:W)</f>
        <v>0</v>
      </c>
      <c r="G1910" s="428">
        <f>IF($H1910&lt;&gt;"ALEM","",IFERROR(
  DATE(
    YEAR(EDATE(
      _xlfn.XLOOKUP($A1910,'RESUMEN CLIENTES'!$D:$D,'RESUMEN CLIENTES'!$Y:$Y,""),
      7 + COUNTIFS(
            $A$2:INDEX($A:$A,ROW()), $A1910,
            $H$2:INDEX($H:$H,ROW()), "ALEM"
          )
    )),
    MONTH(EDATE(
      _xlfn.XLOOKUP($A1910,'RESUMEN CLIENTES'!$D:$D,'RESUMEN CLIENTES'!$Y:$Y,""),
      7 + COUNTIFS(
            $A$2:INDEX($A:$A,ROW()), $A1910,
            $H$2:INDEX($H:$H,ROW()), "ALEM"
          )
    )),
    1
  ),
"null"))</f>
        <v>46357</v>
      </c>
      <c r="H1910" s="169" t="s">
        <v>1876</v>
      </c>
      <c r="I1910" s="2">
        <v>750</v>
      </c>
      <c r="J1910"/>
      <c r="K1910"/>
      <c r="L1910" s="44" t="str" cm="1">
        <f t="array" ref="L1910">+_xlfn.IFS(COUNTIF(INGRESOS!E:E,Tabla6[[#This Row],[ID FACTURA]])=1,"PAGADA",Tabla6[[#This Row],[ID FACTURA]]&lt;&gt;0,"EMITIDA",Tabla6[[#This Row],[ID FACTURA]]=0,"POR EMITIR")</f>
        <v>POR EMITIR</v>
      </c>
      <c r="M1910" s="54" t="str">
        <f>+IF(Tabla6[[#This Row],[ESTADO FACTURA]]="PAGADA",Tabla6[[#This Row],[FECHA]]-_xlfn.XLOOKUP(Tabla6[[#This Row],[N° FACTURA]],INGRESOS!F:F,INGRESOS!A:A),"-")</f>
        <v>-</v>
      </c>
      <c r="O1910"/>
    </row>
    <row r="1911" spans="1:15" ht="14.75" customHeight="1">
      <c r="A1911" s="320" t="s">
        <v>706</v>
      </c>
      <c r="B1911" t="str">
        <f>+_xlfn.XLOOKUP(Tabla6[[#This Row],[ID CLIENTE]],'RESUMEN CLIENTES'!D:D,'RESUMEN CLIENTES'!A:A)</f>
        <v>Virna Nathaly Montenegro Samaniego</v>
      </c>
      <c r="C1911" t="str">
        <f>+_xlfn.XLOOKUP(Tabla6[[#This Row],[ID CLIENTE]],'RESUMEN CLIENTES'!D:D,'RESUMEN CLIENTES'!C:C)</f>
        <v>Ecuador</v>
      </c>
      <c r="D1911" s="44" t="str">
        <f>+_xlfn.XLOOKUP(Tabla6[[#This Row],[ID CLIENTE]],'RESUMEN CLIENTES'!D:D,'RESUMEN CLIENTES'!M:M)</f>
        <v>OK</v>
      </c>
      <c r="E1911" s="72">
        <f>+_xlfn.XLOOKUP(Tabla6[[#This Row],[NOMBRE]],'RESUMEN CLIENTES'!A:A,'RESUMEN CLIENTES'!X:X)</f>
        <v>7.375</v>
      </c>
      <c r="F1911" s="72">
        <f>+_xlfn.XLOOKUP(Tabla6[[#This Row],[ID CLIENTE]],'RESUMEN CLIENTES'!D:D,'RESUMEN CLIENTES'!W:W)</f>
        <v>0</v>
      </c>
      <c r="G1911" s="17">
        <f>IF($H1911&lt;&gt;"ALEM","",IFERROR(
  DATE(
    YEAR(EDATE(
      _xlfn.XLOOKUP($A1911,'RESUMEN CLIENTES'!$D:$D,'RESUMEN CLIENTES'!$Y:$Y,""),
      7 + COUNTIFS(
            $A$2:INDEX($A:$A,ROW()), $A1911,
            $H$2:INDEX($H:$H,ROW()), "ALEM"
          )
    )),
    MONTH(EDATE(
      _xlfn.XLOOKUP($A1911,'RESUMEN CLIENTES'!$D:$D,'RESUMEN CLIENTES'!$Y:$Y,""),
      7 + COUNTIFS(
            $A$2:INDEX($A:$A,ROW()), $A1911,
            $H$2:INDEX($H:$H,ROW()), "ALEM"
          )
    )),
    1
  ),
"SIN FECHA MIG"))</f>
        <v>46357</v>
      </c>
      <c r="H1911" s="44" t="s">
        <v>1876</v>
      </c>
      <c r="I1911" s="2">
        <v>1000</v>
      </c>
      <c r="J1911"/>
      <c r="K1911"/>
      <c r="L1911" s="44" t="str" cm="1">
        <f t="array" ref="L1911">+_xlfn.IFS(COUNTIF(INGRESOS!E:E,Tabla6[[#This Row],[ID FACTURA]])=1,"PAGADA",Tabla6[[#This Row],[ID FACTURA]]&lt;&gt;0,"EMITIDA",Tabla6[[#This Row],[ID FACTURA]]=0,"POR EMITIR")</f>
        <v>POR EMITIR</v>
      </c>
      <c r="M1911" s="55" t="str">
        <f>+IF(Tabla6[[#This Row],[ESTADO FACTURA]]="PAGADA",Tabla6[[#This Row],[FECHA]]-_xlfn.XLOOKUP(Tabla6[[#This Row],[N° FACTURA]],INGRESOS!F:F,INGRESOS!A:A),"-")</f>
        <v>-</v>
      </c>
      <c r="N1911" s="2"/>
      <c r="O1911"/>
    </row>
    <row r="1912" spans="1:15" ht="14.75" customHeight="1">
      <c r="A1912" s="320" t="s">
        <v>447</v>
      </c>
      <c r="B1912" t="str">
        <f>+_xlfn.XLOOKUP(Tabla6[[#This Row],[ID CLIENTE]],'RESUMEN CLIENTES'!D:D,'RESUMEN CLIENTES'!A:A)</f>
        <v>Yefry Onil Santana Marte</v>
      </c>
      <c r="C1912" t="str">
        <f>+_xlfn.XLOOKUP(Tabla6[[#This Row],[ID CLIENTE]],'RESUMEN CLIENTES'!D:D,'RESUMEN CLIENTES'!C:C)</f>
        <v>República Dominicana</v>
      </c>
      <c r="D1912" s="44" t="str">
        <f>+_xlfn.XLOOKUP(Tabla6[[#This Row],[ID CLIENTE]],'RESUMEN CLIENTES'!D:D,'RESUMEN CLIENTES'!M:M)</f>
        <v>OK</v>
      </c>
      <c r="E1912" s="72">
        <f>+_xlfn.XLOOKUP(Tabla6[[#This Row],[NOMBRE]],'RESUMEN CLIENTES'!A:A,'RESUMEN CLIENTES'!X:X)</f>
        <v>-0.90909090909090906</v>
      </c>
      <c r="F1912" s="72">
        <f>+_xlfn.XLOOKUP(Tabla6[[#This Row],[ID CLIENTE]],'RESUMEN CLIENTES'!D:D,'RESUMEN CLIENTES'!W:W)</f>
        <v>0</v>
      </c>
      <c r="G1912" s="17">
        <f>IF($H1912&lt;&gt;"ALEM","",IFERROR(
  DATE(
    YEAR(EDATE(
      _xlfn.XLOOKUP($A1912,'RESUMEN CLIENTES'!$D:$D,'RESUMEN CLIENTES'!$Y:$Y,""),
      7 + COUNTIFS(
            $A$2:INDEX($A:$A,ROW()), $A1912,
            $H$2:INDEX($H:$H,ROW()), "ALEM"
          )
    )),
    MONTH(EDATE(
      _xlfn.XLOOKUP($A1912,'RESUMEN CLIENTES'!$D:$D,'RESUMEN CLIENTES'!$Y:$Y,""),
      7 + COUNTIFS(
            $A$2:INDEX($A:$A,ROW()), $A1912,
            $H$2:INDEX($H:$H,ROW()), "ALEM"
          )
    )),
    1
  ),
"SIN FECHA MIG"))</f>
        <v>46357</v>
      </c>
      <c r="H1912" s="44" t="s">
        <v>1876</v>
      </c>
      <c r="I1912" s="2">
        <v>1000</v>
      </c>
      <c r="J1912"/>
      <c r="K1912"/>
      <c r="L1912" s="44" t="str" cm="1">
        <f t="array" ref="L1912">+_xlfn.IFS(COUNTIF(INGRESOS!E:E,Tabla6[[#This Row],[ID FACTURA]])=1,"PAGADA",Tabla6[[#This Row],[ID FACTURA]]&lt;&gt;0,"EMITIDA",Tabla6[[#This Row],[ID FACTURA]]=0,"POR EMITIR")</f>
        <v>POR EMITIR</v>
      </c>
      <c r="M1912" s="55" t="str">
        <f>+IF(Tabla6[[#This Row],[ESTADO FACTURA]]="PAGADA",Tabla6[[#This Row],[FECHA]]-_xlfn.XLOOKUP(Tabla6[[#This Row],[N° FACTURA]],INGRESOS!F:F,INGRESOS!A:A),"-")</f>
        <v>-</v>
      </c>
      <c r="N1912" s="2"/>
      <c r="O1912"/>
    </row>
    <row r="1913" spans="1:15" ht="14.75" customHeight="1">
      <c r="A1913" s="320" t="s">
        <v>6035</v>
      </c>
      <c r="B1913" t="str">
        <f>+_xlfn.XLOOKUP(Tabla6[[#This Row],[ID CLIENTE]],'RESUMEN CLIENTES'!D:D,'RESUMEN CLIENTES'!A:A)</f>
        <v>Ari Sifuentes Becerra</v>
      </c>
      <c r="C1913" s="15" t="str">
        <f>+_xlfn.XLOOKUP(Tabla6[[#This Row],[ID CLIENTE]],'RESUMEN CLIENTES'!D:D,'RESUMEN CLIENTES'!C:C)</f>
        <v>México</v>
      </c>
      <c r="D1913" s="169" t="str">
        <f>+_xlfn.XLOOKUP(Tabla6[[#This Row],[ID CLIENTE]],'RESUMEN CLIENTES'!D:D,'RESUMEN CLIENTES'!M:M)</f>
        <v>OK</v>
      </c>
      <c r="E1913" s="71">
        <f>+_xlfn.XLOOKUP(Tabla6[[#This Row],[NOMBRE]],'RESUMEN CLIENTES'!A:A,'RESUMEN CLIENTES'!X:X)</f>
        <v>-1</v>
      </c>
      <c r="F1913" s="71">
        <f>+_xlfn.XLOOKUP(Tabla6[[#This Row],[ID CLIENTE]],'RESUMEN CLIENTES'!D:D,'RESUMEN CLIENTES'!W:W)</f>
        <v>0</v>
      </c>
      <c r="G1913" s="17">
        <v>46358</v>
      </c>
      <c r="H1913" s="169" t="s">
        <v>81</v>
      </c>
      <c r="I1913" s="2">
        <v>1000</v>
      </c>
      <c r="J1913"/>
      <c r="K1913"/>
      <c r="L1913" s="44" t="str" cm="1">
        <f t="array" ref="L1913">+_xlfn.IFS(COUNTIF(INGRESOS!E:E,Tabla6[[#This Row],[ID FACTURA]])=1,"PAGADA",Tabla6[[#This Row],[ID FACTURA]]&lt;&gt;0,"EMITIDA",Tabla6[[#This Row],[ID FACTURA]]=0,"POR EMITIR")</f>
        <v>POR EMITIR</v>
      </c>
      <c r="M1913" s="54" t="str">
        <f>+IF(Tabla6[[#This Row],[ESTADO FACTURA]]="PAGADA",Tabla6[[#This Row],[FECHA]]-_xlfn.XLOOKUP(Tabla6[[#This Row],[N° FACTURA]],INGRESOS!F:F,INGRESOS!A:A),"-")</f>
        <v>-</v>
      </c>
      <c r="O1913"/>
    </row>
    <row r="1914" spans="1:15" ht="14.75" customHeight="1">
      <c r="A1914" s="320" t="s">
        <v>695</v>
      </c>
      <c r="B1914" t="str">
        <f>+_xlfn.XLOOKUP(Tabla6[[#This Row],[ID CLIENTE]],'RESUMEN CLIENTES'!D:D,'RESUMEN CLIENTES'!A:A)</f>
        <v>Olguer Ariel Pruna Herrera</v>
      </c>
      <c r="C1914" t="str">
        <f>+_xlfn.XLOOKUP(Tabla6[[#This Row],[ID CLIENTE]],'RESUMEN CLIENTES'!D:D,'RESUMEN CLIENTES'!C:C)</f>
        <v>Ecuador</v>
      </c>
      <c r="D1914" s="44" t="str">
        <f>+_xlfn.XLOOKUP(Tabla6[[#This Row],[ID CLIENTE]],'RESUMEN CLIENTES'!D:D,'RESUMEN CLIENTES'!M:M)</f>
        <v>OK</v>
      </c>
      <c r="E1914" s="72">
        <f>+_xlfn.XLOOKUP(Tabla6[[#This Row],[NOMBRE]],'RESUMEN CLIENTES'!A:A,'RESUMEN CLIENTES'!X:X)</f>
        <v>0.25</v>
      </c>
      <c r="F1914" s="72">
        <f>+_xlfn.XLOOKUP(Tabla6[[#This Row],[ID CLIENTE]],'RESUMEN CLIENTES'!D:D,'RESUMEN CLIENTES'!W:W)</f>
        <v>1</v>
      </c>
      <c r="G1914" s="17">
        <v>46358</v>
      </c>
      <c r="H1914" s="44" t="s">
        <v>81</v>
      </c>
      <c r="I1914" s="2">
        <v>1000</v>
      </c>
      <c r="J1914"/>
      <c r="K1914"/>
      <c r="L1914" s="44" t="str" cm="1">
        <f t="array" ref="L1914">+_xlfn.IFS(COUNTIF(INGRESOS!E:E,Tabla6[[#This Row],[ID FACTURA]])=1,"PAGADA",Tabla6[[#This Row],[ID FACTURA]]&lt;&gt;0,"EMITIDA",Tabla6[[#This Row],[ID FACTURA]]=0,"POR EMITIR")</f>
        <v>POR EMITIR</v>
      </c>
      <c r="M1914" s="55" t="str">
        <f>+IF(Tabla6[[#This Row],[ESTADO FACTURA]]="PAGADA",Tabla6[[#This Row],[FECHA]]-_xlfn.XLOOKUP(Tabla6[[#This Row],[N° FACTURA]],INGRESOS!F:F,INGRESOS!A:A),"-")</f>
        <v>-</v>
      </c>
      <c r="N1914" s="2"/>
      <c r="O1914"/>
    </row>
    <row r="1915" spans="1:15" ht="14.75" customHeight="1">
      <c r="A1915" s="320" t="s">
        <v>1248</v>
      </c>
      <c r="B1915" t="str">
        <f>+_xlfn.XLOOKUP(Tabla6[[#This Row],[ID CLIENTE]],'RESUMEN CLIENTES'!D:D,'RESUMEN CLIENTES'!A:A)</f>
        <v>Emily Vanessa Tapia Villalobos</v>
      </c>
      <c r="C1915" t="str">
        <f>+_xlfn.XLOOKUP(Tabla6[[#This Row],[ID CLIENTE]],'RESUMEN CLIENTES'!D:D,'RESUMEN CLIENTES'!C:C)</f>
        <v>Chile</v>
      </c>
      <c r="D1915" s="44" t="str">
        <f>+_xlfn.XLOOKUP(Tabla6[[#This Row],[ID CLIENTE]],'RESUMEN CLIENTES'!D:D,'RESUMEN CLIENTES'!M:M)</f>
        <v>OK</v>
      </c>
      <c r="E1915" s="71">
        <f>+_xlfn.XLOOKUP(Tabla6[[#This Row],[NOMBRE]],'RESUMEN CLIENTES'!A:A,'RESUMEN CLIENTES'!X:X)</f>
        <v>0.33333333333333331</v>
      </c>
      <c r="F1915" s="71">
        <f>+_xlfn.XLOOKUP(Tabla6[[#This Row],[ID CLIENTE]],'RESUMEN CLIENTES'!D:D,'RESUMEN CLIENTES'!W:W)</f>
        <v>0</v>
      </c>
      <c r="G1915" s="17">
        <v>46359</v>
      </c>
      <c r="H1915" s="44" t="s">
        <v>81</v>
      </c>
      <c r="I1915" s="2">
        <v>1000</v>
      </c>
      <c r="J1915"/>
      <c r="K1915"/>
      <c r="L1915" s="44" t="str" cm="1">
        <f t="array" ref="L1915">+_xlfn.IFS(COUNTIF(INGRESOS!E:E,Tabla6[[#This Row],[ID FACTURA]])=1,"PAGADA",Tabla6[[#This Row],[ID FACTURA]]&lt;&gt;0,"EMITIDA",Tabla6[[#This Row],[ID FACTURA]]=0,"POR EMITIR")</f>
        <v>POR EMITIR</v>
      </c>
      <c r="M1915" s="55" t="str">
        <f>+IF(Tabla6[[#This Row],[ESTADO FACTURA]]="PAGADA",Tabla6[[#This Row],[FECHA]]-_xlfn.XLOOKUP(Tabla6[[#This Row],[N° FACTURA]],INGRESOS!F:F,INGRESOS!A:A),"-")</f>
        <v>-</v>
      </c>
      <c r="N1915" s="2"/>
      <c r="O1915"/>
    </row>
    <row r="1916" spans="1:15" ht="15" customHeight="1">
      <c r="A1916" s="320" t="s">
        <v>1251</v>
      </c>
      <c r="B1916" t="str">
        <f>+_xlfn.XLOOKUP(Tabla6[[#This Row],[ID CLIENTE]],'RESUMEN CLIENTES'!D:D,'RESUMEN CLIENTES'!A:A)</f>
        <v>Erick Ernesto Angulo Campos</v>
      </c>
      <c r="C1916" t="str">
        <f>+_xlfn.XLOOKUP(Tabla6[[#This Row],[ID CLIENTE]],'RESUMEN CLIENTES'!D:D,'RESUMEN CLIENTES'!C:C)</f>
        <v>Chile</v>
      </c>
      <c r="D1916" s="44" t="str">
        <f>+_xlfn.XLOOKUP(Tabla6[[#This Row],[ID CLIENTE]],'RESUMEN CLIENTES'!D:D,'RESUMEN CLIENTES'!M:M)</f>
        <v>OK</v>
      </c>
      <c r="E1916" s="71">
        <f>+_xlfn.XLOOKUP(Tabla6[[#This Row],[NOMBRE]],'RESUMEN CLIENTES'!A:A,'RESUMEN CLIENTES'!X:X)</f>
        <v>-0.66666666666666663</v>
      </c>
      <c r="F1916" s="71">
        <f>+_xlfn.XLOOKUP(Tabla6[[#This Row],[ID CLIENTE]],'RESUMEN CLIENTES'!D:D,'RESUMEN CLIENTES'!W:W)</f>
        <v>0</v>
      </c>
      <c r="G1916" s="17">
        <v>46359</v>
      </c>
      <c r="H1916" s="44" t="s">
        <v>81</v>
      </c>
      <c r="I1916" s="2">
        <v>1000</v>
      </c>
      <c r="J1916"/>
      <c r="K1916"/>
      <c r="L1916" s="44" t="str" cm="1">
        <f t="array" ref="L1916">+_xlfn.IFS(COUNTIF(INGRESOS!E:E,Tabla6[[#This Row],[ID FACTURA]])=1,"PAGADA",Tabla6[[#This Row],[ID FACTURA]]&lt;&gt;0,"EMITIDA",Tabla6[[#This Row],[ID FACTURA]]=0,"POR EMITIR")</f>
        <v>POR EMITIR</v>
      </c>
      <c r="M1916" s="55" t="str">
        <f>+IF(Tabla6[[#This Row],[ESTADO FACTURA]]="PAGADA",Tabla6[[#This Row],[FECHA]]-_xlfn.XLOOKUP(Tabla6[[#This Row],[N° FACTURA]],INGRESOS!F:F,INGRESOS!A:A),"-")</f>
        <v>-</v>
      </c>
      <c r="N1916" s="2"/>
      <c r="O1916"/>
    </row>
    <row r="1917" spans="1:15" ht="14.75" customHeight="1">
      <c r="A1917" s="320" t="s">
        <v>203</v>
      </c>
      <c r="B1917" t="str">
        <f>+_xlfn.XLOOKUP(Tabla6[[#This Row],[ID CLIENTE]],'RESUMEN CLIENTES'!D:D,'RESUMEN CLIENTES'!A:A)</f>
        <v>Bernardita Lobo Zegers</v>
      </c>
      <c r="C1917" t="str">
        <f>+_xlfn.XLOOKUP(Tabla6[[#This Row],[ID CLIENTE]],'RESUMEN CLIENTES'!D:D,'RESUMEN CLIENTES'!C:C)</f>
        <v>México</v>
      </c>
      <c r="D1917" s="44" t="str">
        <f>+_xlfn.XLOOKUP(Tabla6[[#This Row],[ID CLIENTE]],'RESUMEN CLIENTES'!D:D,'RESUMEN CLIENTES'!M:M)</f>
        <v>OK</v>
      </c>
      <c r="E1917" s="72">
        <f>+_xlfn.XLOOKUP(Tabla6[[#This Row],[NOMBRE]],'RESUMEN CLIENTES'!A:A,'RESUMEN CLIENTES'!X:X)</f>
        <v>-0.8</v>
      </c>
      <c r="F1917" s="72">
        <f>+_xlfn.XLOOKUP(Tabla6[[#This Row],[ID CLIENTE]],'RESUMEN CLIENTES'!D:D,'RESUMEN CLIENTES'!W:W)</f>
        <v>1</v>
      </c>
      <c r="G1917" s="17">
        <v>46361</v>
      </c>
      <c r="H1917" s="44" t="s">
        <v>81</v>
      </c>
      <c r="I1917" s="2">
        <v>800</v>
      </c>
      <c r="J1917"/>
      <c r="K1917"/>
      <c r="L1917" s="44" t="str" cm="1">
        <f t="array" ref="L1917">+_xlfn.IFS(COUNTIF(INGRESOS!E:E,Tabla6[[#This Row],[ID FACTURA]])=1,"PAGADA",Tabla6[[#This Row],[ID FACTURA]]&lt;&gt;0,"EMITIDA",Tabla6[[#This Row],[ID FACTURA]]=0,"POR EMITIR")</f>
        <v>POR EMITIR</v>
      </c>
      <c r="M1917" s="55" t="str">
        <f>+IF(Tabla6[[#This Row],[ESTADO FACTURA]]="PAGADA",Tabla6[[#This Row],[FECHA]]-_xlfn.XLOOKUP(Tabla6[[#This Row],[N° FACTURA]],INGRESOS!F:F,INGRESOS!A:A),"-")</f>
        <v>-</v>
      </c>
      <c r="N1917" s="2"/>
      <c r="O1917"/>
    </row>
    <row r="1918" spans="1:15" ht="14.75" customHeight="1">
      <c r="A1918" s="320" t="s">
        <v>1674</v>
      </c>
      <c r="B1918" t="str">
        <f>+_xlfn.XLOOKUP(Tabla6[[#This Row],[ID CLIENTE]],'RESUMEN CLIENTES'!D:D,'RESUMEN CLIENTES'!A:A)</f>
        <v>Diego Alberto Ruiz Cifuentes</v>
      </c>
      <c r="C1918" t="str">
        <f>+_xlfn.XLOOKUP(Tabla6[[#This Row],[ID CLIENTE]],'RESUMEN CLIENTES'!D:D,'RESUMEN CLIENTES'!C:C)</f>
        <v>Chile</v>
      </c>
      <c r="D1918" s="169" t="str">
        <f>+_xlfn.XLOOKUP(Tabla6[[#This Row],[ID CLIENTE]],'RESUMEN CLIENTES'!D:D,'RESUMEN CLIENTES'!M:M)</f>
        <v>OK</v>
      </c>
      <c r="E1918" s="71">
        <f>+_xlfn.XLOOKUP(Tabla6[[#This Row],[NOMBRE]],'RESUMEN CLIENTES'!A:A,'RESUMEN CLIENTES'!X:X)</f>
        <v>5.75</v>
      </c>
      <c r="F1918" s="71">
        <f>+_xlfn.XLOOKUP(Tabla6[[#This Row],[ID CLIENTE]],'RESUMEN CLIENTES'!D:D,'RESUMEN CLIENTES'!W:W)</f>
        <v>0</v>
      </c>
      <c r="G1918" s="17">
        <v>46361</v>
      </c>
      <c r="H1918" s="169" t="s">
        <v>81</v>
      </c>
      <c r="I1918" s="2">
        <v>1000</v>
      </c>
      <c r="J1918"/>
      <c r="K1918"/>
      <c r="L1918" s="44" t="str" cm="1">
        <f t="array" ref="L1918">+_xlfn.IFS(COUNTIF(INGRESOS!E:E,Tabla6[[#This Row],[ID FACTURA]])=1,"PAGADA",Tabla6[[#This Row],[ID FACTURA]]&lt;&gt;0,"EMITIDA",Tabla6[[#This Row],[ID FACTURA]]=0,"POR EMITIR")</f>
        <v>POR EMITIR</v>
      </c>
      <c r="M1918" s="55" t="str">
        <f>+IF(Tabla6[[#This Row],[ESTADO FACTURA]]="PAGADA",Tabla6[[#This Row],[FECHA]]-_xlfn.XLOOKUP(Tabla6[[#This Row],[N° FACTURA]],INGRESOS!F:F,INGRESOS!A:A),"-")</f>
        <v>-</v>
      </c>
      <c r="N1918" s="2"/>
      <c r="O1918"/>
    </row>
    <row r="1919" spans="1:15" ht="14.75" customHeight="1">
      <c r="A1919" s="320" t="s">
        <v>2521</v>
      </c>
      <c r="B1919" t="str">
        <f>+_xlfn.XLOOKUP(Tabla6[[#This Row],[ID CLIENTE]],'RESUMEN CLIENTES'!D:D,'RESUMEN CLIENTES'!A:A)</f>
        <v>Fabián Andrés Sarmiento Auli</v>
      </c>
      <c r="C1919" t="str">
        <f>+_xlfn.XLOOKUP(Tabla6[[#This Row],[ID CLIENTE]],'RESUMEN CLIENTES'!D:D,'RESUMEN CLIENTES'!C:C)</f>
        <v>Colombia</v>
      </c>
      <c r="D1919" s="169" t="str">
        <f>+_xlfn.XLOOKUP(Tabla6[[#This Row],[ID CLIENTE]],'RESUMEN CLIENTES'!D:D,'RESUMEN CLIENTES'!M:M)</f>
        <v>OK</v>
      </c>
      <c r="E1919" s="71">
        <f>+_xlfn.XLOOKUP(Tabla6[[#This Row],[NOMBRE]],'RESUMEN CLIENTES'!A:A,'RESUMEN CLIENTES'!X:X)</f>
        <v>0</v>
      </c>
      <c r="F1919" s="71">
        <f>+_xlfn.XLOOKUP(Tabla6[[#This Row],[ID CLIENTE]],'RESUMEN CLIENTES'!D:D,'RESUMEN CLIENTES'!W:W)</f>
        <v>0</v>
      </c>
      <c r="G1919" s="17">
        <v>46361</v>
      </c>
      <c r="H1919" s="169" t="s">
        <v>81</v>
      </c>
      <c r="I1919" s="2">
        <v>650</v>
      </c>
      <c r="J1919"/>
      <c r="K1919"/>
      <c r="L1919" s="44" t="str" cm="1">
        <f t="array" ref="L1919">+_xlfn.IFS(COUNTIF(INGRESOS!E:E,Tabla6[[#This Row],[ID FACTURA]])=1,"PAGADA",Tabla6[[#This Row],[ID FACTURA]]&lt;&gt;0,"EMITIDA",Tabla6[[#This Row],[ID FACTURA]]=0,"POR EMITIR")</f>
        <v>POR EMITIR</v>
      </c>
      <c r="M1919" s="54" t="str">
        <f>+IF(Tabla6[[#This Row],[ESTADO FACTURA]]="PAGADA",Tabla6[[#This Row],[FECHA]]-_xlfn.XLOOKUP(Tabla6[[#This Row],[N° FACTURA]],INGRESOS!F:F,INGRESOS!A:A),"-")</f>
        <v>-</v>
      </c>
      <c r="O1919"/>
    </row>
    <row r="1920" spans="1:15" ht="14.75" customHeight="1">
      <c r="A1920" s="320" t="s">
        <v>787</v>
      </c>
      <c r="B1920" t="str">
        <f>+_xlfn.XLOOKUP(Tabla6[[#This Row],[ID CLIENTE]],'RESUMEN CLIENTES'!D:D,'RESUMEN CLIENTES'!A:A)</f>
        <v>Florencia Luján Sapia</v>
      </c>
      <c r="C1920" t="str">
        <f>+_xlfn.XLOOKUP(Tabla6[[#This Row],[ID CLIENTE]],'RESUMEN CLIENTES'!D:D,'RESUMEN CLIENTES'!C:C)</f>
        <v>Argentina</v>
      </c>
      <c r="D1920" s="44" t="str">
        <f>+_xlfn.XLOOKUP(Tabla6[[#This Row],[ID CLIENTE]],'RESUMEN CLIENTES'!D:D,'RESUMEN CLIENTES'!M:M)</f>
        <v>OK</v>
      </c>
      <c r="E1920" s="72">
        <f>+_xlfn.XLOOKUP(Tabla6[[#This Row],[NOMBRE]],'RESUMEN CLIENTES'!A:A,'RESUMEN CLIENTES'!X:X)</f>
        <v>-0.77777777777777779</v>
      </c>
      <c r="F1920" s="72">
        <f>+_xlfn.XLOOKUP(Tabla6[[#This Row],[ID CLIENTE]],'RESUMEN CLIENTES'!D:D,'RESUMEN CLIENTES'!W:W)</f>
        <v>1</v>
      </c>
      <c r="G1920" s="17">
        <v>46361</v>
      </c>
      <c r="H1920" s="44" t="s">
        <v>81</v>
      </c>
      <c r="I1920" s="2">
        <v>600</v>
      </c>
      <c r="J1920"/>
      <c r="K1920"/>
      <c r="L1920" s="44" t="str" cm="1">
        <f t="array" ref="L1920">+_xlfn.IFS(COUNTIF(INGRESOS!E:E,Tabla6[[#This Row],[ID FACTURA]])=1,"PAGADA",Tabla6[[#This Row],[ID FACTURA]]&lt;&gt;0,"EMITIDA",Tabla6[[#This Row],[ID FACTURA]]=0,"POR EMITIR")</f>
        <v>POR EMITIR</v>
      </c>
      <c r="M1920" s="55" t="str">
        <f>+IF(Tabla6[[#This Row],[ESTADO FACTURA]]="PAGADA",Tabla6[[#This Row],[FECHA]]-_xlfn.XLOOKUP(Tabla6[[#This Row],[N° FACTURA]],INGRESOS!F:F,INGRESOS!A:A),"-")</f>
        <v>-</v>
      </c>
      <c r="N1920" s="2"/>
      <c r="O1920"/>
    </row>
    <row r="1921" spans="1:15" ht="14.75" customHeight="1">
      <c r="A1921" s="320" t="s">
        <v>142</v>
      </c>
      <c r="B1921" t="str">
        <f>+_xlfn.XLOOKUP(Tabla6[[#This Row],[ID CLIENTE]],'RESUMEN CLIENTES'!D:D,'RESUMEN CLIENTES'!A:A)</f>
        <v>Jordan Eliecer Toledo Bravo</v>
      </c>
      <c r="C1921" t="str">
        <f>+_xlfn.XLOOKUP(Tabla6[[#This Row],[ID CLIENTE]],'RESUMEN CLIENTES'!D:D,'RESUMEN CLIENTES'!C:C)</f>
        <v>Chile</v>
      </c>
      <c r="D1921" s="169" t="str">
        <f>+_xlfn.XLOOKUP(Tabla6[[#This Row],[ID CLIENTE]],'RESUMEN CLIENTES'!D:D,'RESUMEN CLIENTES'!M:M)</f>
        <v>OK</v>
      </c>
      <c r="E1921" s="71">
        <f>+_xlfn.XLOOKUP(Tabla6[[#This Row],[NOMBRE]],'RESUMEN CLIENTES'!A:A,'RESUMEN CLIENTES'!X:X)</f>
        <v>-1.6153846153846154</v>
      </c>
      <c r="F1921" s="71">
        <f>+_xlfn.XLOOKUP(Tabla6[[#This Row],[ID CLIENTE]],'RESUMEN CLIENTES'!D:D,'RESUMEN CLIENTES'!W:W)</f>
        <v>0</v>
      </c>
      <c r="G1921" s="17">
        <v>46361</v>
      </c>
      <c r="H1921" s="169" t="s">
        <v>81</v>
      </c>
      <c r="I1921" s="2">
        <v>11000</v>
      </c>
      <c r="J1921"/>
      <c r="K1921"/>
      <c r="L1921" s="44" t="str" cm="1">
        <f t="array" ref="L1921">+_xlfn.IFS(COUNTIF(INGRESOS!E:E,Tabla6[[#This Row],[ID FACTURA]])=1,"PAGADA",Tabla6[[#This Row],[ID FACTURA]]&lt;&gt;0,"EMITIDA",Tabla6[[#This Row],[ID FACTURA]]=0,"POR EMITIR")</f>
        <v>POR EMITIR</v>
      </c>
      <c r="M1921" s="54" t="str">
        <f>+IF(Tabla6[[#This Row],[ESTADO FACTURA]]="PAGADA",Tabla6[[#This Row],[FECHA]]-_xlfn.XLOOKUP(Tabla6[[#This Row],[N° FACTURA]],INGRESOS!F:F,INGRESOS!A:A),"-")</f>
        <v>-</v>
      </c>
      <c r="O1921" t="s">
        <v>2087</v>
      </c>
    </row>
    <row r="1922" spans="1:15" ht="14.75" customHeight="1">
      <c r="A1922" s="320" t="s">
        <v>4454</v>
      </c>
      <c r="B1922" t="str">
        <f>+_xlfn.XLOOKUP(Tabla6[[#This Row],[ID CLIENTE]],'RESUMEN CLIENTES'!D:D,'RESUMEN CLIENTES'!A:A)</f>
        <v>Jose Luis Avilez Casas</v>
      </c>
      <c r="C1922" t="str">
        <f>+_xlfn.XLOOKUP(Tabla6[[#This Row],[ID CLIENTE]],'RESUMEN CLIENTES'!D:D,'RESUMEN CLIENTES'!C:C)</f>
        <v>México</v>
      </c>
      <c r="D1922" s="169" t="str">
        <f>+_xlfn.XLOOKUP(Tabla6[[#This Row],[ID CLIENTE]],'RESUMEN CLIENTES'!D:D,'RESUMEN CLIENTES'!M:M)</f>
        <v>OK</v>
      </c>
      <c r="E1922" s="71">
        <f>+_xlfn.XLOOKUP(Tabla6[[#This Row],[NOMBRE]],'RESUMEN CLIENTES'!A:A,'RESUMEN CLIENTES'!X:X)</f>
        <v>0.33333333333333331</v>
      </c>
      <c r="F1922" s="71">
        <f>+_xlfn.XLOOKUP(Tabla6[[#This Row],[ID CLIENTE]],'RESUMEN CLIENTES'!D:D,'RESUMEN CLIENTES'!W:W)</f>
        <v>0</v>
      </c>
      <c r="G1922" s="17">
        <v>46361</v>
      </c>
      <c r="H1922" s="169" t="s">
        <v>81</v>
      </c>
      <c r="I1922" s="2">
        <v>1000</v>
      </c>
      <c r="J1922"/>
      <c r="K1922"/>
      <c r="L1922" s="44" t="str" cm="1">
        <f t="array" ref="L1922">+_xlfn.IFS(COUNTIF(INGRESOS!E:E,Tabla6[[#This Row],[ID FACTURA]])=1,"PAGADA",Tabla6[[#This Row],[ID FACTURA]]&lt;&gt;0,"EMITIDA",Tabla6[[#This Row],[ID FACTURA]]=0,"POR EMITIR")</f>
        <v>POR EMITIR</v>
      </c>
      <c r="M1922" s="54" t="str">
        <f>+IF(Tabla6[[#This Row],[ESTADO FACTURA]]="PAGADA",Tabla6[[#This Row],[FECHA]]-_xlfn.XLOOKUP(Tabla6[[#This Row],[N° FACTURA]],INGRESOS!F:F,INGRESOS!A:A),"-")</f>
        <v>-</v>
      </c>
      <c r="O1922"/>
    </row>
    <row r="1923" spans="1:15" ht="14.75" customHeight="1">
      <c r="A1923" s="320" t="s">
        <v>798</v>
      </c>
      <c r="B1923" t="str">
        <f>+_xlfn.XLOOKUP(Tabla6[[#This Row],[ID CLIENTE]],'RESUMEN CLIENTES'!D:D,'RESUMEN CLIENTES'!A:A)</f>
        <v>Juan Manuel Paranzino</v>
      </c>
      <c r="C1923" t="str">
        <f>+_xlfn.XLOOKUP(Tabla6[[#This Row],[ID CLIENTE]],'RESUMEN CLIENTES'!D:D,'RESUMEN CLIENTES'!C:C)</f>
        <v>Argentina</v>
      </c>
      <c r="D1923" s="44" t="str">
        <f>+_xlfn.XLOOKUP(Tabla6[[#This Row],[ID CLIENTE]],'RESUMEN CLIENTES'!D:D,'RESUMEN CLIENTES'!M:M)</f>
        <v>OK</v>
      </c>
      <c r="E1923" s="72">
        <f>+_xlfn.XLOOKUP(Tabla6[[#This Row],[NOMBRE]],'RESUMEN CLIENTES'!A:A,'RESUMEN CLIENTES'!X:X)</f>
        <v>-1</v>
      </c>
      <c r="F1923" s="72">
        <f>+_xlfn.XLOOKUP(Tabla6[[#This Row],[ID CLIENTE]],'RESUMEN CLIENTES'!D:D,'RESUMEN CLIENTES'!W:W)</f>
        <v>0</v>
      </c>
      <c r="G1923" s="17">
        <v>46361</v>
      </c>
      <c r="H1923" s="44" t="s">
        <v>81</v>
      </c>
      <c r="I1923" s="2">
        <v>600</v>
      </c>
      <c r="J1923"/>
      <c r="K1923"/>
      <c r="L1923" s="44" t="str" cm="1">
        <f t="array" ref="L1923">+_xlfn.IFS(COUNTIF(INGRESOS!E:E,Tabla6[[#This Row],[ID FACTURA]])=1,"PAGADA",Tabla6[[#This Row],[ID FACTURA]]&lt;&gt;0,"EMITIDA",Tabla6[[#This Row],[ID FACTURA]]=0,"POR EMITIR")</f>
        <v>POR EMITIR</v>
      </c>
      <c r="M1923" s="55" t="str">
        <f>+IF(Tabla6[[#This Row],[ESTADO FACTURA]]="PAGADA",Tabla6[[#This Row],[FECHA]]-_xlfn.XLOOKUP(Tabla6[[#This Row],[N° FACTURA]],INGRESOS!F:F,INGRESOS!A:A),"-")</f>
        <v>-</v>
      </c>
      <c r="N1923" s="2"/>
      <c r="O1923"/>
    </row>
    <row r="1924" spans="1:15" ht="14.75" customHeight="1">
      <c r="A1924" s="320" t="s">
        <v>1416</v>
      </c>
      <c r="B1924" t="str">
        <f>+_xlfn.XLOOKUP(Tabla6[[#This Row],[ID CLIENTE]],'RESUMEN CLIENTES'!D:D,'RESUMEN CLIENTES'!A:A)</f>
        <v>Luis Armando Calderon Manzanera</v>
      </c>
      <c r="C1924" t="str">
        <f>+_xlfn.XLOOKUP(Tabla6[[#This Row],[ID CLIENTE]],'RESUMEN CLIENTES'!D:D,'RESUMEN CLIENTES'!C:C)</f>
        <v>México</v>
      </c>
      <c r="D1924" s="44" t="str">
        <f>+_xlfn.XLOOKUP(Tabla6[[#This Row],[ID CLIENTE]],'RESUMEN CLIENTES'!D:D,'RESUMEN CLIENTES'!M:M)</f>
        <v>OK</v>
      </c>
      <c r="E1924" s="71">
        <f>+_xlfn.XLOOKUP(Tabla6[[#This Row],[NOMBRE]],'RESUMEN CLIENTES'!A:A,'RESUMEN CLIENTES'!X:X)</f>
        <v>2</v>
      </c>
      <c r="F1924" s="71">
        <f>+_xlfn.XLOOKUP(Tabla6[[#This Row],[ID CLIENTE]],'RESUMEN CLIENTES'!D:D,'RESUMEN CLIENTES'!W:W)</f>
        <v>1</v>
      </c>
      <c r="G1924" s="17">
        <v>46361</v>
      </c>
      <c r="H1924" s="44" t="s">
        <v>81</v>
      </c>
      <c r="I1924" s="2">
        <v>650</v>
      </c>
      <c r="J1924"/>
      <c r="K1924"/>
      <c r="L1924" s="44" t="str" cm="1">
        <f t="array" ref="L1924">+_xlfn.IFS(COUNTIF(INGRESOS!E:E,Tabla6[[#This Row],[ID FACTURA]])=1,"PAGADA",Tabla6[[#This Row],[ID FACTURA]]&lt;&gt;0,"EMITIDA",Tabla6[[#This Row],[ID FACTURA]]=0,"POR EMITIR")</f>
        <v>POR EMITIR</v>
      </c>
      <c r="M1924" s="55" t="str">
        <f>+IF(Tabla6[[#This Row],[ESTADO FACTURA]]="PAGADA",Tabla6[[#This Row],[FECHA]]-_xlfn.XLOOKUP(Tabla6[[#This Row],[N° FACTURA]],INGRESOS!F:F,INGRESOS!A:A),"-")</f>
        <v>-</v>
      </c>
      <c r="N1924" s="2"/>
      <c r="O1924"/>
    </row>
    <row r="1925" spans="1:15" ht="14.75" customHeight="1">
      <c r="A1925" s="320" t="s">
        <v>703</v>
      </c>
      <c r="B1925" t="str">
        <f>+_xlfn.XLOOKUP(Tabla6[[#This Row],[ID CLIENTE]],'RESUMEN CLIENTES'!D:D,'RESUMEN CLIENTES'!A:A)</f>
        <v>Maira Paz Navas Sánchez</v>
      </c>
      <c r="C1925" t="str">
        <f>+_xlfn.XLOOKUP(Tabla6[[#This Row],[ID CLIENTE]],'RESUMEN CLIENTES'!D:D,'RESUMEN CLIENTES'!C:C)</f>
        <v>Chile</v>
      </c>
      <c r="D1925" s="44" t="str">
        <f>+_xlfn.XLOOKUP(Tabla6[[#This Row],[ID CLIENTE]],'RESUMEN CLIENTES'!D:D,'RESUMEN CLIENTES'!M:M)</f>
        <v>OK</v>
      </c>
      <c r="E1925" s="72">
        <f>+_xlfn.XLOOKUP(Tabla6[[#This Row],[NOMBRE]],'RESUMEN CLIENTES'!A:A,'RESUMEN CLIENTES'!X:X)</f>
        <v>-1.75</v>
      </c>
      <c r="F1925" s="72">
        <f>+_xlfn.XLOOKUP(Tabla6[[#This Row],[ID CLIENTE]],'RESUMEN CLIENTES'!D:D,'RESUMEN CLIENTES'!W:W)</f>
        <v>1</v>
      </c>
      <c r="G1925" s="17">
        <v>46361</v>
      </c>
      <c r="H1925" s="44" t="s">
        <v>81</v>
      </c>
      <c r="I1925" s="2">
        <v>700</v>
      </c>
      <c r="J1925"/>
      <c r="K1925"/>
      <c r="L1925" s="44" t="str" cm="1">
        <f t="array" ref="L1925">+_xlfn.IFS(COUNTIF(INGRESOS!E:E,Tabla6[[#This Row],[ID FACTURA]])=1,"PAGADA",Tabla6[[#This Row],[ID FACTURA]]&lt;&gt;0,"EMITIDA",Tabla6[[#This Row],[ID FACTURA]]=0,"POR EMITIR")</f>
        <v>POR EMITIR</v>
      </c>
      <c r="M1925" s="55" t="str">
        <f>+IF(Tabla6[[#This Row],[ESTADO FACTURA]]="PAGADA",Tabla6[[#This Row],[FECHA]]-_xlfn.XLOOKUP(Tabla6[[#This Row],[N° FACTURA]],INGRESOS!F:F,INGRESOS!A:A),"-")</f>
        <v>-</v>
      </c>
      <c r="N1925" s="2"/>
      <c r="O1925"/>
    </row>
    <row r="1926" spans="1:15" ht="14.75" customHeight="1">
      <c r="A1926" s="320" t="s">
        <v>80</v>
      </c>
      <c r="B1926" t="str">
        <f>+_xlfn.XLOOKUP(Tabla6[[#This Row],[ID CLIENTE]],'RESUMEN CLIENTES'!D:D,'RESUMEN CLIENTES'!A:A)</f>
        <v>María Fernanda Alvar Sepúlveda</v>
      </c>
      <c r="C1926" t="str">
        <f>+_xlfn.XLOOKUP(Tabla6[[#This Row],[ID CLIENTE]],'RESUMEN CLIENTES'!D:D,'RESUMEN CLIENTES'!C:C)</f>
        <v>Chile</v>
      </c>
      <c r="D1926" s="44" t="str">
        <f>+_xlfn.XLOOKUP(Tabla6[[#This Row],[ID CLIENTE]],'RESUMEN CLIENTES'!D:D,'RESUMEN CLIENTES'!M:M)</f>
        <v>OK</v>
      </c>
      <c r="E1926" s="72">
        <f>+_xlfn.XLOOKUP(Tabla6[[#This Row],[NOMBRE]],'RESUMEN CLIENTES'!A:A,'RESUMEN CLIENTES'!X:X)</f>
        <v>5</v>
      </c>
      <c r="F1926" s="71">
        <f>+_xlfn.XLOOKUP(Tabla6[[#This Row],[ID CLIENTE]],'RESUMEN CLIENTES'!D:D,'RESUMEN CLIENTES'!W:W)</f>
        <v>1</v>
      </c>
      <c r="G1926" s="17">
        <v>46361</v>
      </c>
      <c r="H1926" s="44" t="s">
        <v>81</v>
      </c>
      <c r="I1926" s="2">
        <v>630</v>
      </c>
      <c r="J1926"/>
      <c r="K1926"/>
      <c r="L1926" s="44" t="str" cm="1">
        <f t="array" ref="L1926">+_xlfn.IFS(COUNTIF(INGRESOS!E:E,Tabla6[[#This Row],[ID FACTURA]])=1,"PAGADA",Tabla6[[#This Row],[ID FACTURA]]&lt;&gt;0,"EMITIDA",Tabla6[[#This Row],[ID FACTURA]]=0,"POR EMITIR")</f>
        <v>POR EMITIR</v>
      </c>
      <c r="M1926" s="55" t="str">
        <f>+IF(Tabla6[[#This Row],[ESTADO FACTURA]]="PAGADA",Tabla6[[#This Row],[FECHA]]-_xlfn.XLOOKUP(Tabla6[[#This Row],[N° FACTURA]],INGRESOS!F:F,INGRESOS!A:A),"-")</f>
        <v>-</v>
      </c>
      <c r="N1926" s="214"/>
      <c r="O1926"/>
    </row>
    <row r="1927" spans="1:15" ht="14.75" customHeight="1">
      <c r="A1927" s="320" t="s">
        <v>1551</v>
      </c>
      <c r="B1927" t="str">
        <f>+_xlfn.XLOOKUP(Tabla6[[#This Row],[ID CLIENTE]],'RESUMEN CLIENTES'!D:D,'RESUMEN CLIENTES'!A:A)</f>
        <v>María Fernanda Cid Ramírez</v>
      </c>
      <c r="C1927" t="str">
        <f>+_xlfn.XLOOKUP(Tabla6[[#This Row],[ID CLIENTE]],'RESUMEN CLIENTES'!D:D,'RESUMEN CLIENTES'!C:C)</f>
        <v>México</v>
      </c>
      <c r="D1927" s="44" t="str">
        <f>+_xlfn.XLOOKUP(Tabla6[[#This Row],[ID CLIENTE]],'RESUMEN CLIENTES'!D:D,'RESUMEN CLIENTES'!M:M)</f>
        <v>OK</v>
      </c>
      <c r="E1927" s="71">
        <f>+_xlfn.XLOOKUP(Tabla6[[#This Row],[NOMBRE]],'RESUMEN CLIENTES'!A:A,'RESUMEN CLIENTES'!X:X)</f>
        <v>-0.8571428571428571</v>
      </c>
      <c r="F1927" s="71">
        <f>+_xlfn.XLOOKUP(Tabla6[[#This Row],[ID CLIENTE]],'RESUMEN CLIENTES'!D:D,'RESUMEN CLIENTES'!W:W)</f>
        <v>0</v>
      </c>
      <c r="G1927" s="17">
        <v>46361</v>
      </c>
      <c r="H1927" s="169" t="s">
        <v>81</v>
      </c>
      <c r="I1927" s="2">
        <v>850</v>
      </c>
      <c r="J1927"/>
      <c r="K1927"/>
      <c r="L1927" s="44" t="str" cm="1">
        <f t="array" ref="L1927">+_xlfn.IFS(COUNTIF(INGRESOS!E:E,Tabla6[[#This Row],[ID FACTURA]])=1,"PAGADA",Tabla6[[#This Row],[ID FACTURA]]&lt;&gt;0,"EMITIDA",Tabla6[[#This Row],[ID FACTURA]]=0,"POR EMITIR")</f>
        <v>POR EMITIR</v>
      </c>
      <c r="M1927" s="55" t="str">
        <f>+IF(Tabla6[[#This Row],[ESTADO FACTURA]]="PAGADA",Tabla6[[#This Row],[FECHA]]-_xlfn.XLOOKUP(Tabla6[[#This Row],[N° FACTURA]],INGRESOS!F:F,INGRESOS!A:A),"-")</f>
        <v>-</v>
      </c>
      <c r="N1927" s="2"/>
      <c r="O1927"/>
    </row>
    <row r="1928" spans="1:15" ht="14.75" customHeight="1">
      <c r="A1928" s="320" t="s">
        <v>159</v>
      </c>
      <c r="B1928" t="str">
        <f>+_xlfn.XLOOKUP(Tabla6[[#This Row],[ID CLIENTE]],'RESUMEN CLIENTES'!D:D,'RESUMEN CLIENTES'!A:A)</f>
        <v>Rodrigo Rivera Ruiz</v>
      </c>
      <c r="C1928" t="str">
        <f>+_xlfn.XLOOKUP(Tabla6[[#This Row],[ID CLIENTE]],'RESUMEN CLIENTES'!D:D,'RESUMEN CLIENTES'!C:C)</f>
        <v>Chile</v>
      </c>
      <c r="D1928" s="44" t="str">
        <f>+_xlfn.XLOOKUP(Tabla6[[#This Row],[ID CLIENTE]],'RESUMEN CLIENTES'!D:D,'RESUMEN CLIENTES'!M:M)</f>
        <v>OK</v>
      </c>
      <c r="E1928" s="72">
        <f>+_xlfn.XLOOKUP(Tabla6[[#This Row],[NOMBRE]],'RESUMEN CLIENTES'!A:A,'RESUMEN CLIENTES'!X:X)</f>
        <v>0.8</v>
      </c>
      <c r="F1928" s="72">
        <f>+_xlfn.XLOOKUP(Tabla6[[#This Row],[ID CLIENTE]],'RESUMEN CLIENTES'!D:D,'RESUMEN CLIENTES'!W:W)</f>
        <v>1</v>
      </c>
      <c r="G1928" s="17">
        <v>46361</v>
      </c>
      <c r="H1928" s="44" t="s">
        <v>81</v>
      </c>
      <c r="I1928" s="2">
        <v>800</v>
      </c>
      <c r="J1928"/>
      <c r="K1928"/>
      <c r="L1928" s="44" t="str" cm="1">
        <f t="array" ref="L1928">+_xlfn.IFS(COUNTIF(INGRESOS!E:E,Tabla6[[#This Row],[ID FACTURA]])=1,"PAGADA",Tabla6[[#This Row],[ID FACTURA]]&lt;&gt;0,"EMITIDA",Tabla6[[#This Row],[ID FACTURA]]=0,"POR EMITIR")</f>
        <v>POR EMITIR</v>
      </c>
      <c r="M1928" s="55" t="str">
        <f>+IF(Tabla6[[#This Row],[ESTADO FACTURA]]="PAGADA",Tabla6[[#This Row],[FECHA]]-_xlfn.XLOOKUP(Tabla6[[#This Row],[N° FACTURA]],INGRESOS!F:F,INGRESOS!A:A),"-")</f>
        <v>-</v>
      </c>
      <c r="N1928" s="2"/>
      <c r="O1928"/>
    </row>
    <row r="1929" spans="1:15" ht="14.75" customHeight="1">
      <c r="A1929" s="320" t="s">
        <v>281</v>
      </c>
      <c r="B1929" t="str">
        <f>+_xlfn.XLOOKUP(Tabla6[[#This Row],[ID CLIENTE]],'RESUMEN CLIENTES'!D:D,'RESUMEN CLIENTES'!A:A)</f>
        <v>Sergio Francisco Garcia Sandoval</v>
      </c>
      <c r="C1929" t="str">
        <f>+_xlfn.XLOOKUP(Tabla6[[#This Row],[ID CLIENTE]],'RESUMEN CLIENTES'!D:D,'RESUMEN CLIENTES'!C:C)</f>
        <v>Perú</v>
      </c>
      <c r="D1929" s="44" t="str">
        <f>+_xlfn.XLOOKUP(Tabla6[[#This Row],[ID CLIENTE]],'RESUMEN CLIENTES'!D:D,'RESUMEN CLIENTES'!M:M)</f>
        <v>OK</v>
      </c>
      <c r="E1929" s="72">
        <f>+_xlfn.XLOOKUP(Tabla6[[#This Row],[NOMBRE]],'RESUMEN CLIENTES'!A:A,'RESUMEN CLIENTES'!X:X)</f>
        <v>0.88888888888888884</v>
      </c>
      <c r="F1929" s="72">
        <f>+_xlfn.XLOOKUP(Tabla6[[#This Row],[ID CLIENTE]],'RESUMEN CLIENTES'!D:D,'RESUMEN CLIENTES'!W:W)</f>
        <v>1</v>
      </c>
      <c r="G1929" s="17">
        <v>46361</v>
      </c>
      <c r="H1929" s="44" t="s">
        <v>81</v>
      </c>
      <c r="I1929" s="2">
        <v>350</v>
      </c>
      <c r="J1929"/>
      <c r="K1929"/>
      <c r="L1929" s="44" t="str" cm="1">
        <f t="array" ref="L1929">+_xlfn.IFS(COUNTIF(INGRESOS!E:E,Tabla6[[#This Row],[ID FACTURA]])=1,"PAGADA",Tabla6[[#This Row],[ID FACTURA]]&lt;&gt;0,"EMITIDA",Tabla6[[#This Row],[ID FACTURA]]=0,"POR EMITIR")</f>
        <v>POR EMITIR</v>
      </c>
      <c r="M1929" s="55" t="str">
        <f>+IF(Tabla6[[#This Row],[ESTADO FACTURA]]="PAGADA",Tabla6[[#This Row],[FECHA]]-_xlfn.XLOOKUP(Tabla6[[#This Row],[N° FACTURA]],INGRESOS!F:F,INGRESOS!A:A),"-")</f>
        <v>-</v>
      </c>
      <c r="N1929" s="2"/>
      <c r="O1929"/>
    </row>
    <row r="1930" spans="1:15" ht="14.75" customHeight="1">
      <c r="A1930" s="320" t="s">
        <v>1152</v>
      </c>
      <c r="B1930" t="str">
        <f>+_xlfn.XLOOKUP(Tabla6[[#This Row],[ID CLIENTE]],'RESUMEN CLIENTES'!D:D,'RESUMEN CLIENTES'!A:A)</f>
        <v>Ricardo Ernesto Miño Valencia</v>
      </c>
      <c r="C1930" t="str">
        <f>+_xlfn.XLOOKUP(Tabla6[[#This Row],[ID CLIENTE]],'RESUMEN CLIENTES'!D:D,'RESUMEN CLIENTES'!C:C)</f>
        <v>Ecuador</v>
      </c>
      <c r="D1930" s="44" t="str">
        <f>+_xlfn.XLOOKUP(Tabla6[[#This Row],[ID CLIENTE]],'RESUMEN CLIENTES'!D:D,'RESUMEN CLIENTES'!M:M)</f>
        <v>OK</v>
      </c>
      <c r="E1930" s="72">
        <f>+_xlfn.XLOOKUP(Tabla6[[#This Row],[NOMBRE]],'RESUMEN CLIENTES'!A:A,'RESUMEN CLIENTES'!X:X)</f>
        <v>-3.2</v>
      </c>
      <c r="F1930" s="72">
        <f>+_xlfn.XLOOKUP(Tabla6[[#This Row],[ID CLIENTE]],'RESUMEN CLIENTES'!D:D,'RESUMEN CLIENTES'!W:W)</f>
        <v>1</v>
      </c>
      <c r="G1930" s="17">
        <v>46362</v>
      </c>
      <c r="H1930" s="44" t="s">
        <v>81</v>
      </c>
      <c r="I1930" s="2">
        <v>700</v>
      </c>
      <c r="J1930"/>
      <c r="K1930"/>
      <c r="L1930" s="44" t="str" cm="1">
        <f t="array" ref="L1930">+_xlfn.IFS(COUNTIF(INGRESOS!E:E,Tabla6[[#This Row],[ID FACTURA]])=1,"PAGADA",Tabla6[[#This Row],[ID FACTURA]]&lt;&gt;0,"EMITIDA",Tabla6[[#This Row],[ID FACTURA]]=0,"POR EMITIR")</f>
        <v>POR EMITIR</v>
      </c>
      <c r="M1930" s="55" t="str">
        <f>+IF(Tabla6[[#This Row],[ESTADO FACTURA]]="PAGADA",Tabla6[[#This Row],[FECHA]]-_xlfn.XLOOKUP(Tabla6[[#This Row],[N° FACTURA]],INGRESOS!F:F,INGRESOS!A:A),"-")</f>
        <v>-</v>
      </c>
      <c r="N1930" s="2"/>
      <c r="O1930"/>
    </row>
    <row r="1931" spans="1:15" ht="14.75" customHeight="1">
      <c r="A1931" s="320" t="s">
        <v>1645</v>
      </c>
      <c r="B1931" t="str">
        <f>+_xlfn.XLOOKUP(Tabla6[[#This Row],[ID CLIENTE]],'RESUMEN CLIENTES'!D:D,'RESUMEN CLIENTES'!A:A)</f>
        <v>Gerardo Abel Palacios Preciado</v>
      </c>
      <c r="C1931" t="str">
        <f>+_xlfn.XLOOKUP(Tabla6[[#This Row],[ID CLIENTE]],'RESUMEN CLIENTES'!D:D,'RESUMEN CLIENTES'!C:C)</f>
        <v>México</v>
      </c>
      <c r="D1931" s="169" t="str">
        <f>+_xlfn.XLOOKUP(Tabla6[[#This Row],[ID CLIENTE]],'RESUMEN CLIENTES'!D:D,'RESUMEN CLIENTES'!M:M)</f>
        <v>OK</v>
      </c>
      <c r="E1931" s="71">
        <f>+_xlfn.XLOOKUP(Tabla6[[#This Row],[NOMBRE]],'RESUMEN CLIENTES'!A:A,'RESUMEN CLIENTES'!X:X)</f>
        <v>-1.3333333333333333</v>
      </c>
      <c r="F1931" s="71">
        <f>+_xlfn.XLOOKUP(Tabla6[[#This Row],[ID CLIENTE]],'RESUMEN CLIENTES'!D:D,'RESUMEN CLIENTES'!W:W)</f>
        <v>1</v>
      </c>
      <c r="G1931" s="17">
        <v>46365</v>
      </c>
      <c r="H1931" s="169" t="s">
        <v>81</v>
      </c>
      <c r="I1931" s="2">
        <v>650</v>
      </c>
      <c r="J1931"/>
      <c r="K1931"/>
      <c r="L1931" s="44" t="str" cm="1">
        <f t="array" ref="L1931">+_xlfn.IFS(COUNTIF(INGRESOS!E:E,Tabla6[[#This Row],[ID FACTURA]])=1,"PAGADA",Tabla6[[#This Row],[ID FACTURA]]&lt;&gt;0,"EMITIDA",Tabla6[[#This Row],[ID FACTURA]]=0,"POR EMITIR")</f>
        <v>POR EMITIR</v>
      </c>
      <c r="M1931" s="55" t="str">
        <f>+IF(Tabla6[[#This Row],[ESTADO FACTURA]]="PAGADA",Tabla6[[#This Row],[FECHA]]-_xlfn.XLOOKUP(Tabla6[[#This Row],[N° FACTURA]],INGRESOS!F:F,INGRESOS!A:A),"-")</f>
        <v>-</v>
      </c>
      <c r="N1931" s="2"/>
      <c r="O1931"/>
    </row>
    <row r="1932" spans="1:15" ht="14.75" customHeight="1">
      <c r="A1932" s="320" t="s">
        <v>1945</v>
      </c>
      <c r="B1932" t="str">
        <f>+_xlfn.XLOOKUP(Tabla6[[#This Row],[ID CLIENTE]],'RESUMEN CLIENTES'!D:D,'RESUMEN CLIENTES'!A:A)</f>
        <v>Fernanda Constanza Kompai Antu Arellano Guzmán</v>
      </c>
      <c r="C1932" t="str">
        <f>+_xlfn.XLOOKUP(Tabla6[[#This Row],[ID CLIENTE]],'RESUMEN CLIENTES'!D:D,'RESUMEN CLIENTES'!C:C)</f>
        <v>Chile</v>
      </c>
      <c r="D1932" s="169" t="str">
        <f>+_xlfn.XLOOKUP(Tabla6[[#This Row],[ID CLIENTE]],'RESUMEN CLIENTES'!D:D,'RESUMEN CLIENTES'!M:M)</f>
        <v>OK</v>
      </c>
      <c r="E1932" s="71">
        <f>+_xlfn.XLOOKUP(Tabla6[[#This Row],[NOMBRE]],'RESUMEN CLIENTES'!A:A,'RESUMEN CLIENTES'!X:X)</f>
        <v>0</v>
      </c>
      <c r="F1932" s="71">
        <f>+_xlfn.XLOOKUP(Tabla6[[#This Row],[ID CLIENTE]],'RESUMEN CLIENTES'!D:D,'RESUMEN CLIENTES'!W:W)</f>
        <v>0</v>
      </c>
      <c r="G1932" s="170">
        <v>46371</v>
      </c>
      <c r="H1932" s="170" t="s">
        <v>81</v>
      </c>
      <c r="I1932" s="2">
        <v>650</v>
      </c>
      <c r="J1932"/>
      <c r="K1932"/>
      <c r="L1932" s="44" t="str" cm="1">
        <f t="array" ref="L1932">+_xlfn.IFS(COUNTIF(INGRESOS!E:E,Tabla6[[#This Row],[ID FACTURA]])=1,"PAGADA",Tabla6[[#This Row],[ID FACTURA]]&lt;&gt;0,"EMITIDA",Tabla6[[#This Row],[ID FACTURA]]=0,"POR EMITIR")</f>
        <v>POR EMITIR</v>
      </c>
      <c r="M1932" s="54" t="str">
        <f>+IF(Tabla6[[#This Row],[ESTADO FACTURA]]="PAGADA",Tabla6[[#This Row],[FECHA]]-_xlfn.XLOOKUP(Tabla6[[#This Row],[N° FACTURA]],INGRESOS!F:F,INGRESOS!A:A),"-")</f>
        <v>-</v>
      </c>
      <c r="O1932"/>
    </row>
    <row r="1933" spans="1:15" ht="14.75" customHeight="1">
      <c r="A1933" s="320" t="s">
        <v>103</v>
      </c>
      <c r="B1933" t="str">
        <f>+_xlfn.XLOOKUP(Tabla6[[#This Row],[ID CLIENTE]],'RESUMEN CLIENTES'!D:D,'RESUMEN CLIENTES'!A:A)</f>
        <v>Isaac Ricardo Jimenez Campos</v>
      </c>
      <c r="C1933" t="str">
        <f>+_xlfn.XLOOKUP(Tabla6[[#This Row],[ID CLIENTE]],'RESUMEN CLIENTES'!D:D,'RESUMEN CLIENTES'!C:C)</f>
        <v>México</v>
      </c>
      <c r="D1933" s="44" t="str">
        <f>+_xlfn.XLOOKUP(Tabla6[[#This Row],[ID CLIENTE]],'RESUMEN CLIENTES'!D:D,'RESUMEN CLIENTES'!M:M)</f>
        <v>OK</v>
      </c>
      <c r="E1933" s="72">
        <f>+_xlfn.XLOOKUP(Tabla6[[#This Row],[NOMBRE]],'RESUMEN CLIENTES'!A:A,'RESUMEN CLIENTES'!X:X)</f>
        <v>0.5</v>
      </c>
      <c r="F1933" s="72">
        <f>+_xlfn.XLOOKUP(Tabla6[[#This Row],[ID CLIENTE]],'RESUMEN CLIENTES'!D:D,'RESUMEN CLIENTES'!W:W)</f>
        <v>1</v>
      </c>
      <c r="G1933" s="17">
        <v>46371</v>
      </c>
      <c r="H1933" s="44" t="s">
        <v>81</v>
      </c>
      <c r="I1933" s="2">
        <v>654</v>
      </c>
      <c r="J1933"/>
      <c r="K1933"/>
      <c r="L1933" s="44" t="str" cm="1">
        <f t="array" ref="L1933">+_xlfn.IFS(COUNTIF(INGRESOS!E:E,Tabla6[[#This Row],[ID FACTURA]])=1,"PAGADA",Tabla6[[#This Row],[ID FACTURA]]&lt;&gt;0,"EMITIDA",Tabla6[[#This Row],[ID FACTURA]]=0,"POR EMITIR")</f>
        <v>POR EMITIR</v>
      </c>
      <c r="M1933" s="55" t="str">
        <f>+IF(Tabla6[[#This Row],[ESTADO FACTURA]]="PAGADA",Tabla6[[#This Row],[FECHA]]-_xlfn.XLOOKUP(Tabla6[[#This Row],[N° FACTURA]],INGRESOS!F:F,INGRESOS!A:A),"-")</f>
        <v>-</v>
      </c>
      <c r="N1933" s="2"/>
      <c r="O1933"/>
    </row>
    <row r="1934" spans="1:15" ht="14.75" customHeight="1">
      <c r="A1934" s="321" t="s">
        <v>1875</v>
      </c>
      <c r="B1934" t="str">
        <f>+_xlfn.XLOOKUP(Tabla6[[#This Row],[ID CLIENTE]],'RESUMEN CLIENTES'!D:D,'RESUMEN CLIENTES'!A:A)</f>
        <v>Laura Giraldo</v>
      </c>
      <c r="C1934" t="str">
        <f>+_xlfn.XLOOKUP(Tabla6[[#This Row],[ID CLIENTE]],'RESUMEN CLIENTES'!D:D,'RESUMEN CLIENTES'!C:C)</f>
        <v>Colombia</v>
      </c>
      <c r="D1934" s="169" t="str">
        <f>+_xlfn.XLOOKUP(Tabla6[[#This Row],[ID CLIENTE]],'RESUMEN CLIENTES'!D:D,'RESUMEN CLIENTES'!M:M)</f>
        <v>OK</v>
      </c>
      <c r="E1934" s="71">
        <f>+_xlfn.XLOOKUP(Tabla6[[#This Row],[NOMBRE]],'RESUMEN CLIENTES'!A:A,'RESUMEN CLIENTES'!X:X)</f>
        <v>-3.25</v>
      </c>
      <c r="F1934" s="71">
        <f>+_xlfn.XLOOKUP(Tabla6[[#This Row],[ID CLIENTE]],'RESUMEN CLIENTES'!D:D,'RESUMEN CLIENTES'!W:W)</f>
        <v>1</v>
      </c>
      <c r="G1934" s="17">
        <v>46371</v>
      </c>
      <c r="H1934" s="169" t="s">
        <v>1876</v>
      </c>
      <c r="I1934" s="2">
        <v>1000</v>
      </c>
      <c r="J1934"/>
      <c r="K1934"/>
      <c r="L1934" s="44" t="str" cm="1">
        <f t="array" ref="L1934">+_xlfn.IFS(COUNTIF(INGRESOS!E:E,Tabla6[[#This Row],[ID FACTURA]])=1,"PAGADA",Tabla6[[#This Row],[ID FACTURA]]&lt;&gt;0,"EMITIDA",Tabla6[[#This Row],[ID FACTURA]]=0,"POR EMITIR")</f>
        <v>POR EMITIR</v>
      </c>
      <c r="M1934" s="54" t="str">
        <f>+IF(Tabla6[[#This Row],[ESTADO FACTURA]]="PAGADA",Tabla6[[#This Row],[FECHA]]-_xlfn.XLOOKUP(Tabla6[[#This Row],[N° FACTURA]],INGRESOS!F:F,INGRESOS!A:A),"-")</f>
        <v>-</v>
      </c>
      <c r="O1934"/>
    </row>
    <row r="1935" spans="1:15" ht="14.75" customHeight="1">
      <c r="A1935" s="321" t="s">
        <v>1756</v>
      </c>
      <c r="B1935" t="str">
        <f>+_xlfn.XLOOKUP(Tabla6[[#This Row],[ID CLIENTE]],'RESUMEN CLIENTES'!D:D,'RESUMEN CLIENTES'!A:A)</f>
        <v>Aylin Micaela Ortiz Chiriboga</v>
      </c>
      <c r="C1935" t="str">
        <f>+_xlfn.XLOOKUP(Tabla6[[#This Row],[ID CLIENTE]],'RESUMEN CLIENTES'!D:D,'RESUMEN CLIENTES'!C:C)</f>
        <v>Ecuador</v>
      </c>
      <c r="D1935" s="169" t="str">
        <f>+_xlfn.XLOOKUP(Tabla6[[#This Row],[ID CLIENTE]],'RESUMEN CLIENTES'!D:D,'RESUMEN CLIENTES'!M:M)</f>
        <v>¡REGULARIZAR!</v>
      </c>
      <c r="E1935" s="71">
        <f>+_xlfn.XLOOKUP(Tabla6[[#This Row],[NOMBRE]],'RESUMEN CLIENTES'!A:A,'RESUMEN CLIENTES'!X:X)</f>
        <v>0</v>
      </c>
      <c r="F1935" s="71">
        <f>+_xlfn.XLOOKUP(Tabla6[[#This Row],[ID CLIENTE]],'RESUMEN CLIENTES'!D:D,'RESUMEN CLIENTES'!W:W)</f>
        <v>1</v>
      </c>
      <c r="G1935" s="170">
        <v>46372</v>
      </c>
      <c r="H1935" s="169" t="s">
        <v>81</v>
      </c>
      <c r="I1935" s="2">
        <v>650</v>
      </c>
      <c r="J1935"/>
      <c r="K1935"/>
      <c r="L1935" s="44" t="str" cm="1">
        <f t="array" ref="L1935">+_xlfn.IFS(COUNTIF(INGRESOS!E:E,Tabla6[[#This Row],[ID FACTURA]])=1,"PAGADA",Tabla6[[#This Row],[ID FACTURA]]&lt;&gt;0,"EMITIDA",Tabla6[[#This Row],[ID FACTURA]]=0,"POR EMITIR")</f>
        <v>POR EMITIR</v>
      </c>
      <c r="M1935" s="54" t="str">
        <f>+IF(Tabla6[[#This Row],[ESTADO FACTURA]]="PAGADA",Tabla6[[#This Row],[FECHA]]-_xlfn.XLOOKUP(Tabla6[[#This Row],[N° FACTURA]],INGRESOS!F:F,INGRESOS!A:A),"-")</f>
        <v>-</v>
      </c>
      <c r="O1935"/>
    </row>
    <row r="1936" spans="1:15" ht="14.75" customHeight="1">
      <c r="A1936" s="320" t="s">
        <v>1996</v>
      </c>
      <c r="B1936" t="str">
        <f>+_xlfn.XLOOKUP(Tabla6[[#This Row],[ID CLIENTE]],'RESUMEN CLIENTES'!D:D,'RESUMEN CLIENTES'!A:A)</f>
        <v>Ivan Gonzales Graus</v>
      </c>
      <c r="C1936" t="str">
        <f>+_xlfn.XLOOKUP(Tabla6[[#This Row],[ID CLIENTE]],'RESUMEN CLIENTES'!D:D,'RESUMEN CLIENTES'!C:C)</f>
        <v>Perú</v>
      </c>
      <c r="D1936" s="169" t="str">
        <f>+_xlfn.XLOOKUP(Tabla6[[#This Row],[ID CLIENTE]],'RESUMEN CLIENTES'!D:D,'RESUMEN CLIENTES'!M:M)</f>
        <v>OK</v>
      </c>
      <c r="E1936" s="71">
        <f>+_xlfn.XLOOKUP(Tabla6[[#This Row],[NOMBRE]],'RESUMEN CLIENTES'!A:A,'RESUMEN CLIENTES'!X:X)</f>
        <v>-2</v>
      </c>
      <c r="F1936" s="71">
        <f>+_xlfn.XLOOKUP(Tabla6[[#This Row],[ID CLIENTE]],'RESUMEN CLIENTES'!D:D,'RESUMEN CLIENTES'!W:W)</f>
        <v>1</v>
      </c>
      <c r="G1936" s="17">
        <v>46372</v>
      </c>
      <c r="H1936" s="169" t="s">
        <v>81</v>
      </c>
      <c r="I1936" s="2">
        <v>650</v>
      </c>
      <c r="J1936"/>
      <c r="K1936"/>
      <c r="L1936" s="44" t="str" cm="1">
        <f t="array" ref="L1936">+_xlfn.IFS(COUNTIF(INGRESOS!E:E,Tabla6[[#This Row],[ID FACTURA]])=1,"PAGADA",Tabla6[[#This Row],[ID FACTURA]]&lt;&gt;0,"EMITIDA",Tabla6[[#This Row],[ID FACTURA]]=0,"POR EMITIR")</f>
        <v>POR EMITIR</v>
      </c>
      <c r="M1936" s="54" t="str">
        <f>+IF(Tabla6[[#This Row],[ESTADO FACTURA]]="PAGADA",Tabla6[[#This Row],[FECHA]]-_xlfn.XLOOKUP(Tabla6[[#This Row],[N° FACTURA]],INGRESOS!F:F,INGRESOS!A:A),"-")</f>
        <v>-</v>
      </c>
      <c r="O1936"/>
    </row>
    <row r="1937" spans="1:15" ht="14.75" customHeight="1">
      <c r="A1937" s="320" t="s">
        <v>2046</v>
      </c>
      <c r="B1937" t="str">
        <f>+_xlfn.XLOOKUP(Tabla6[[#This Row],[ID CLIENTE]],'RESUMEN CLIENTES'!D:D,'RESUMEN CLIENTES'!A:A)</f>
        <v>Jesica Daniela Paredes Mendoza</v>
      </c>
      <c r="C1937" t="str">
        <f>+_xlfn.XLOOKUP(Tabla6[[#This Row],[ID CLIENTE]],'RESUMEN CLIENTES'!D:D,'RESUMEN CLIENTES'!C:C)</f>
        <v>México</v>
      </c>
      <c r="D1937" s="169" t="str">
        <f>+_xlfn.XLOOKUP(Tabla6[[#This Row],[ID CLIENTE]],'RESUMEN CLIENTES'!D:D,'RESUMEN CLIENTES'!M:M)</f>
        <v>OK</v>
      </c>
      <c r="E1937" s="71">
        <f>+_xlfn.XLOOKUP(Tabla6[[#This Row],[NOMBRE]],'RESUMEN CLIENTES'!A:A,'RESUMEN CLIENTES'!X:X)</f>
        <v>-2.75</v>
      </c>
      <c r="F1937" s="71">
        <f>+_xlfn.XLOOKUP(Tabla6[[#This Row],[ID CLIENTE]],'RESUMEN CLIENTES'!D:D,'RESUMEN CLIENTES'!W:W)</f>
        <v>1</v>
      </c>
      <c r="G1937" s="17">
        <v>46372</v>
      </c>
      <c r="H1937" s="169" t="s">
        <v>81</v>
      </c>
      <c r="I1937" s="2">
        <v>500</v>
      </c>
      <c r="J1937"/>
      <c r="K1937"/>
      <c r="L1937" s="44" t="str" cm="1">
        <f t="array" ref="L1937">+_xlfn.IFS(COUNTIF(INGRESOS!E:E,Tabla6[[#This Row],[ID FACTURA]])=1,"PAGADA",Tabla6[[#This Row],[ID FACTURA]]&lt;&gt;0,"EMITIDA",Tabla6[[#This Row],[ID FACTURA]]=0,"POR EMITIR")</f>
        <v>POR EMITIR</v>
      </c>
      <c r="M1937" s="54" t="str">
        <f>+IF(Tabla6[[#This Row],[ESTADO FACTURA]]="PAGADA",Tabla6[[#This Row],[FECHA]]-_xlfn.XLOOKUP(Tabla6[[#This Row],[N° FACTURA]],INGRESOS!F:F,INGRESOS!A:A),"-")</f>
        <v>-</v>
      </c>
      <c r="O1937"/>
    </row>
    <row r="1938" spans="1:15" ht="14.75" customHeight="1">
      <c r="A1938" s="320" t="s">
        <v>1001</v>
      </c>
      <c r="B1938" t="str">
        <f>+_xlfn.XLOOKUP(Tabla6[[#This Row],[ID CLIENTE]],'RESUMEN CLIENTES'!D:D,'RESUMEN CLIENTES'!A:A)</f>
        <v>Karenn Yadira Tavera Lara</v>
      </c>
      <c r="C1938" t="str">
        <f>+_xlfn.XLOOKUP(Tabla6[[#This Row],[ID CLIENTE]],'RESUMEN CLIENTES'!D:D,'RESUMEN CLIENTES'!C:C)</f>
        <v>México</v>
      </c>
      <c r="D1938" s="44" t="str">
        <f>+_xlfn.XLOOKUP(Tabla6[[#This Row],[ID CLIENTE]],'RESUMEN CLIENTES'!D:D,'RESUMEN CLIENTES'!M:M)</f>
        <v>OK</v>
      </c>
      <c r="E1938" s="72">
        <f>+_xlfn.XLOOKUP(Tabla6[[#This Row],[NOMBRE]],'RESUMEN CLIENTES'!A:A,'RESUMEN CLIENTES'!X:X)</f>
        <v>1.5</v>
      </c>
      <c r="F1938" s="72">
        <f>+_xlfn.XLOOKUP(Tabla6[[#This Row],[ID CLIENTE]],'RESUMEN CLIENTES'!D:D,'RESUMEN CLIENTES'!W:W)</f>
        <v>1</v>
      </c>
      <c r="G1938" s="17">
        <v>46375</v>
      </c>
      <c r="H1938" s="44" t="s">
        <v>81</v>
      </c>
      <c r="I1938" s="2">
        <v>1000</v>
      </c>
      <c r="J1938"/>
      <c r="K1938"/>
      <c r="L1938" s="44" t="str" cm="1">
        <f t="array" ref="L1938">+_xlfn.IFS(COUNTIF(INGRESOS!E:E,Tabla6[[#This Row],[ID FACTURA]])=1,"PAGADA",Tabla6[[#This Row],[ID FACTURA]]&lt;&gt;0,"EMITIDA",Tabla6[[#This Row],[ID FACTURA]]=0,"POR EMITIR")</f>
        <v>POR EMITIR</v>
      </c>
      <c r="M1938" s="55" t="str">
        <f>+IF(Tabla6[[#This Row],[ESTADO FACTURA]]="PAGADA",Tabla6[[#This Row],[FECHA]]-_xlfn.XLOOKUP(Tabla6[[#This Row],[N° FACTURA]],INGRESOS!F:F,INGRESOS!A:A),"-")</f>
        <v>-</v>
      </c>
      <c r="N1938" s="2"/>
      <c r="O1938"/>
    </row>
    <row r="1939" spans="1:15" ht="14.75" customHeight="1">
      <c r="A1939" s="320" t="s">
        <v>4660</v>
      </c>
      <c r="B1939" t="str">
        <f>+_xlfn.XLOOKUP(Tabla6[[#This Row],[ID CLIENTE]],'RESUMEN CLIENTES'!D:D,'RESUMEN CLIENTES'!A:A)</f>
        <v>Edipris Flores</v>
      </c>
      <c r="C1939" s="15" t="str">
        <f>+_xlfn.XLOOKUP(Tabla6[[#This Row],[ID CLIENTE]],'RESUMEN CLIENTES'!D:D,'RESUMEN CLIENTES'!C:C)</f>
        <v>Chile</v>
      </c>
      <c r="D1939" s="169" t="str">
        <f>+_xlfn.XLOOKUP(Tabla6[[#This Row],[ID CLIENTE]],'RESUMEN CLIENTES'!D:D,'RESUMEN CLIENTES'!M:M)</f>
        <v>OK</v>
      </c>
      <c r="E1939" s="71">
        <f>+_xlfn.XLOOKUP(Tabla6[[#This Row],[NOMBRE]],'RESUMEN CLIENTES'!A:A,'RESUMEN CLIENTES'!X:X)</f>
        <v>-4</v>
      </c>
      <c r="F1939" s="71">
        <f>+_xlfn.XLOOKUP(Tabla6[[#This Row],[ID CLIENTE]],'RESUMEN CLIENTES'!D:D,'RESUMEN CLIENTES'!W:W)</f>
        <v>0</v>
      </c>
      <c r="G1939" s="17">
        <v>46376</v>
      </c>
      <c r="H1939" s="169" t="s">
        <v>81</v>
      </c>
      <c r="I1939" s="2">
        <v>850</v>
      </c>
      <c r="J1939"/>
      <c r="K1939"/>
      <c r="L1939" s="44" t="str" cm="1">
        <f t="array" ref="L1939">+_xlfn.IFS(COUNTIF(INGRESOS!E:E,Tabla6[[#This Row],[ID FACTURA]])=1,"PAGADA",Tabla6[[#This Row],[ID FACTURA]]&lt;&gt;0,"EMITIDA",Tabla6[[#This Row],[ID FACTURA]]=0,"POR EMITIR")</f>
        <v>POR EMITIR</v>
      </c>
      <c r="M1939" s="54" t="str">
        <f>+IF(Tabla6[[#This Row],[ESTADO FACTURA]]="PAGADA",Tabla6[[#This Row],[FECHA]]-_xlfn.XLOOKUP(Tabla6[[#This Row],[N° FACTURA]],INGRESOS!F:F,INGRESOS!A:A),"-")</f>
        <v>-</v>
      </c>
      <c r="O1939"/>
    </row>
    <row r="1940" spans="1:15" ht="14.75" customHeight="1">
      <c r="A1940" s="320" t="s">
        <v>587</v>
      </c>
      <c r="B1940" t="str">
        <f>+_xlfn.XLOOKUP(Tabla6[[#This Row],[ID CLIENTE]],'RESUMEN CLIENTES'!D:D,'RESUMEN CLIENTES'!A:A)</f>
        <v>Keidwin Perez</v>
      </c>
      <c r="C1940" t="str">
        <f>+_xlfn.XLOOKUP(Tabla6[[#This Row],[ID CLIENTE]],'RESUMEN CLIENTES'!D:D,'RESUMEN CLIENTES'!C:C)</f>
        <v>Colombia</v>
      </c>
      <c r="D1940" s="44" t="str">
        <f>+_xlfn.XLOOKUP(Tabla6[[#This Row],[ID CLIENTE]],'RESUMEN CLIENTES'!D:D,'RESUMEN CLIENTES'!M:M)</f>
        <v>OK</v>
      </c>
      <c r="E1940" s="72">
        <f>+_xlfn.XLOOKUP(Tabla6[[#This Row],[NOMBRE]],'RESUMEN CLIENTES'!A:A,'RESUMEN CLIENTES'!X:X)</f>
        <v>-4.25</v>
      </c>
      <c r="F1940" s="72">
        <f>+_xlfn.XLOOKUP(Tabla6[[#This Row],[ID CLIENTE]],'RESUMEN CLIENTES'!D:D,'RESUMEN CLIENTES'!W:W)</f>
        <v>1</v>
      </c>
      <c r="G1940" s="17">
        <v>46376</v>
      </c>
      <c r="H1940" s="44" t="s">
        <v>81</v>
      </c>
      <c r="I1940" s="2">
        <v>750</v>
      </c>
      <c r="J1940"/>
      <c r="K1940"/>
      <c r="L1940" s="44" t="str" cm="1">
        <f t="array" ref="L1940">+_xlfn.IFS(COUNTIF(INGRESOS!E:E,Tabla6[[#This Row],[ID FACTURA]])=1,"PAGADA",Tabla6[[#This Row],[ID FACTURA]]&lt;&gt;0,"EMITIDA",Tabla6[[#This Row],[ID FACTURA]]=0,"POR EMITIR")</f>
        <v>POR EMITIR</v>
      </c>
      <c r="M1940" s="55" t="str">
        <f>+IF(Tabla6[[#This Row],[ESTADO FACTURA]]="PAGADA",Tabla6[[#This Row],[FECHA]]-_xlfn.XLOOKUP(Tabla6[[#This Row],[N° FACTURA]],INGRESOS!F:F,INGRESOS!A:A),"-")</f>
        <v>-</v>
      </c>
      <c r="N1940" s="2"/>
      <c r="O1940"/>
    </row>
    <row r="1941" spans="1:15" ht="14.75" customHeight="1">
      <c r="A1941" s="320" t="s">
        <v>200</v>
      </c>
      <c r="B1941" t="str">
        <f>+_xlfn.XLOOKUP(Tabla6[[#This Row],[ID CLIENTE]],'RESUMEN CLIENTES'!D:D,'RESUMEN CLIENTES'!A:A)</f>
        <v>Mateo Gabriel Martinez Dávila</v>
      </c>
      <c r="C1941" t="str">
        <f>+_xlfn.XLOOKUP(Tabla6[[#This Row],[ID CLIENTE]],'RESUMEN CLIENTES'!D:D,'RESUMEN CLIENTES'!C:C)</f>
        <v>Bolivia</v>
      </c>
      <c r="D1941" s="169" t="str">
        <f>+_xlfn.XLOOKUP(Tabla6[[#This Row],[ID CLIENTE]],'RESUMEN CLIENTES'!D:D,'RESUMEN CLIENTES'!M:M)</f>
        <v>OK</v>
      </c>
      <c r="E1941" s="71">
        <f>+_xlfn.XLOOKUP(Tabla6[[#This Row],[NOMBRE]],'RESUMEN CLIENTES'!A:A,'RESUMEN CLIENTES'!X:X)</f>
        <v>-0.5</v>
      </c>
      <c r="F1941" s="71">
        <f>+_xlfn.XLOOKUP(Tabla6[[#This Row],[ID CLIENTE]],'RESUMEN CLIENTES'!D:D,'RESUMEN CLIENTES'!W:W)</f>
        <v>0</v>
      </c>
      <c r="G1941" s="17">
        <v>46376</v>
      </c>
      <c r="H1941" s="169" t="s">
        <v>81</v>
      </c>
      <c r="I1941" s="2">
        <v>2741</v>
      </c>
      <c r="J1941"/>
      <c r="K1941"/>
      <c r="L1941" s="44" t="str" cm="1">
        <f t="array" ref="L1941">+_xlfn.IFS(COUNTIF(INGRESOS!E:E,Tabla6[[#This Row],[ID FACTURA]])=1,"PAGADA",Tabla6[[#This Row],[ID FACTURA]]&lt;&gt;0,"EMITIDA",Tabla6[[#This Row],[ID FACTURA]]=0,"POR EMITIR")</f>
        <v>POR EMITIR</v>
      </c>
      <c r="M1941" s="54" t="str">
        <f>+IF(Tabla6[[#This Row],[ESTADO FACTURA]]="PAGADA",Tabla6[[#This Row],[FECHA]]-_xlfn.XLOOKUP(Tabla6[[#This Row],[N° FACTURA]],INGRESOS!F:F,INGRESOS!A:A),"-")</f>
        <v>-</v>
      </c>
      <c r="O1941"/>
    </row>
    <row r="1942" spans="1:15" ht="14.75" customHeight="1">
      <c r="A1942" s="320" t="s">
        <v>994</v>
      </c>
      <c r="B1942" t="str">
        <f>+_xlfn.XLOOKUP(Tabla6[[#This Row],[ID CLIENTE]],'RESUMEN CLIENTES'!D:D,'RESUMEN CLIENTES'!A:A)</f>
        <v>Raúl Ernesto Martínez Orantes</v>
      </c>
      <c r="C1942" t="str">
        <f>+_xlfn.XLOOKUP(Tabla6[[#This Row],[ID CLIENTE]],'RESUMEN CLIENTES'!D:D,'RESUMEN CLIENTES'!C:C)</f>
        <v>El Salvador</v>
      </c>
      <c r="D1942" s="44" t="str">
        <f>+_xlfn.XLOOKUP(Tabla6[[#This Row],[ID CLIENTE]],'RESUMEN CLIENTES'!D:D,'RESUMEN CLIENTES'!M:M)</f>
        <v>OK</v>
      </c>
      <c r="E1942" s="72">
        <f>+_xlfn.XLOOKUP(Tabla6[[#This Row],[NOMBRE]],'RESUMEN CLIENTES'!A:A,'RESUMEN CLIENTES'!X:X)</f>
        <v>1.1428571428571428</v>
      </c>
      <c r="F1942" s="72">
        <f>+_xlfn.XLOOKUP(Tabla6[[#This Row],[ID CLIENTE]],'RESUMEN CLIENTES'!D:D,'RESUMEN CLIENTES'!W:W)</f>
        <v>1</v>
      </c>
      <c r="G1942" s="17">
        <v>46379</v>
      </c>
      <c r="H1942" s="44" t="s">
        <v>81</v>
      </c>
      <c r="I1942" s="2">
        <v>850</v>
      </c>
      <c r="J1942"/>
      <c r="K1942"/>
      <c r="L1942" s="44" t="str" cm="1">
        <f t="array" ref="L1942">+_xlfn.IFS(COUNTIF(INGRESOS!E:E,Tabla6[[#This Row],[ID FACTURA]])=1,"PAGADA",Tabla6[[#This Row],[ID FACTURA]]&lt;&gt;0,"EMITIDA",Tabla6[[#This Row],[ID FACTURA]]=0,"POR EMITIR")</f>
        <v>POR EMITIR</v>
      </c>
      <c r="M1942" s="55" t="str">
        <f>+IF(Tabla6[[#This Row],[ESTADO FACTURA]]="PAGADA",Tabla6[[#This Row],[FECHA]]-_xlfn.XLOOKUP(Tabla6[[#This Row],[N° FACTURA]],INGRESOS!F:F,INGRESOS!A:A),"-")</f>
        <v>-</v>
      </c>
      <c r="N1942" s="2"/>
      <c r="O1942"/>
    </row>
    <row r="1943" spans="1:15" ht="14.75" customHeight="1">
      <c r="A1943" s="320" t="s">
        <v>1437</v>
      </c>
      <c r="B1943" t="str">
        <f>+_xlfn.XLOOKUP(Tabla6[[#This Row],[ID CLIENTE]],'RESUMEN CLIENTES'!D:D,'RESUMEN CLIENTES'!A:A)</f>
        <v>Jorge Andres Galgani Muñoz</v>
      </c>
      <c r="C1943" t="str">
        <f>+_xlfn.XLOOKUP(Tabla6[[#This Row],[ID CLIENTE]],'RESUMEN CLIENTES'!D:D,'RESUMEN CLIENTES'!C:C)</f>
        <v>Chile</v>
      </c>
      <c r="D1943" s="44" t="str">
        <f>+_xlfn.XLOOKUP(Tabla6[[#This Row],[ID CLIENTE]],'RESUMEN CLIENTES'!D:D,'RESUMEN CLIENTES'!M:M)</f>
        <v>OK</v>
      </c>
      <c r="E1943" s="71">
        <f>+_xlfn.XLOOKUP(Tabla6[[#This Row],[NOMBRE]],'RESUMEN CLIENTES'!A:A,'RESUMEN CLIENTES'!X:X)</f>
        <v>-1.1428571428571428</v>
      </c>
      <c r="F1943" s="71">
        <f>+_xlfn.XLOOKUP(Tabla6[[#This Row],[ID CLIENTE]],'RESUMEN CLIENTES'!D:D,'RESUMEN CLIENTES'!W:W)</f>
        <v>1</v>
      </c>
      <c r="G1943" s="17">
        <v>46381</v>
      </c>
      <c r="H1943" s="169" t="s">
        <v>81</v>
      </c>
      <c r="I1943" s="2">
        <v>850</v>
      </c>
      <c r="J1943"/>
      <c r="K1943"/>
      <c r="L1943" s="44" t="str" cm="1">
        <f t="array" ref="L1943">+_xlfn.IFS(COUNTIF(INGRESOS!E:E,Tabla6[[#This Row],[ID FACTURA]])=1,"PAGADA",Tabla6[[#This Row],[ID FACTURA]]&lt;&gt;0,"EMITIDA",Tabla6[[#This Row],[ID FACTURA]]=0,"POR EMITIR")</f>
        <v>POR EMITIR</v>
      </c>
      <c r="M1943" s="55" t="str">
        <f>+IF(Tabla6[[#This Row],[ESTADO FACTURA]]="PAGADA",Tabla6[[#This Row],[FECHA]]-_xlfn.XLOOKUP(Tabla6[[#This Row],[N° FACTURA]],INGRESOS!F:F,INGRESOS!A:A),"-")</f>
        <v>-</v>
      </c>
      <c r="N1943" s="2"/>
      <c r="O1943"/>
    </row>
    <row r="1944" spans="1:15" ht="14.75" customHeight="1">
      <c r="A1944" s="320" t="s">
        <v>1658</v>
      </c>
      <c r="B1944" t="str">
        <f>+_xlfn.XLOOKUP(Tabla6[[#This Row],[ID CLIENTE]],'RESUMEN CLIENTES'!D:D,'RESUMEN CLIENTES'!A:A)</f>
        <v>Nadya Sofía García Carrasco</v>
      </c>
      <c r="C1944" t="str">
        <f>+_xlfn.XLOOKUP(Tabla6[[#This Row],[ID CLIENTE]],'RESUMEN CLIENTES'!D:D,'RESUMEN CLIENTES'!C:C)</f>
        <v>Ecuador</v>
      </c>
      <c r="D1944" s="169" t="str">
        <f>+_xlfn.XLOOKUP(Tabla6[[#This Row],[ID CLIENTE]],'RESUMEN CLIENTES'!D:D,'RESUMEN CLIENTES'!M:M)</f>
        <v>OK</v>
      </c>
      <c r="E1944" s="71">
        <f>+_xlfn.XLOOKUP(Tabla6[[#This Row],[NOMBRE]],'RESUMEN CLIENTES'!A:A,'RESUMEN CLIENTES'!X:X)</f>
        <v>0</v>
      </c>
      <c r="F1944" s="71">
        <f>+_xlfn.XLOOKUP(Tabla6[[#This Row],[ID CLIENTE]],'RESUMEN CLIENTES'!D:D,'RESUMEN CLIENTES'!W:W)</f>
        <v>1</v>
      </c>
      <c r="G1944" s="17">
        <v>46381</v>
      </c>
      <c r="H1944" s="169" t="s">
        <v>81</v>
      </c>
      <c r="I1944" s="2">
        <v>1000</v>
      </c>
      <c r="J1944"/>
      <c r="K1944"/>
      <c r="L1944" s="44" t="str" cm="1">
        <f t="array" ref="L1944">+_xlfn.IFS(COUNTIF(INGRESOS!E:E,Tabla6[[#This Row],[ID FACTURA]])=1,"PAGADA",Tabla6[[#This Row],[ID FACTURA]]&lt;&gt;0,"EMITIDA",Tabla6[[#This Row],[ID FACTURA]]=0,"POR EMITIR")</f>
        <v>POR EMITIR</v>
      </c>
      <c r="M1944" s="55" t="str">
        <f>+IF(Tabla6[[#This Row],[ESTADO FACTURA]]="PAGADA",Tabla6[[#This Row],[FECHA]]-_xlfn.XLOOKUP(Tabla6[[#This Row],[N° FACTURA]],INGRESOS!F:F,INGRESOS!A:A),"-")</f>
        <v>-</v>
      </c>
      <c r="O1944"/>
    </row>
    <row r="1945" spans="1:15" ht="14.75" customHeight="1">
      <c r="A1945" s="320" t="s">
        <v>1743</v>
      </c>
      <c r="B1945" t="str">
        <f>+_xlfn.XLOOKUP(Tabla6[[#This Row],[ID CLIENTE]],'RESUMEN CLIENTES'!D:D,'RESUMEN CLIENTES'!A:A)</f>
        <v>Fernando Alberto Lagos Belmar</v>
      </c>
      <c r="C1945" t="str">
        <f>+_xlfn.XLOOKUP(Tabla6[[#This Row],[ID CLIENTE]],'RESUMEN CLIENTES'!D:D,'RESUMEN CLIENTES'!C:C)</f>
        <v>Chile</v>
      </c>
      <c r="D1945" s="169" t="str">
        <f>+_xlfn.XLOOKUP(Tabla6[[#This Row],[ID CLIENTE]],'RESUMEN CLIENTES'!D:D,'RESUMEN CLIENTES'!M:M)</f>
        <v>OK</v>
      </c>
      <c r="E1945" s="71">
        <f>+_xlfn.XLOOKUP(Tabla6[[#This Row],[NOMBRE]],'RESUMEN CLIENTES'!A:A,'RESUMEN CLIENTES'!X:X)</f>
        <v>0.25</v>
      </c>
      <c r="F1945" s="71">
        <f>+_xlfn.XLOOKUP(Tabla6[[#This Row],[ID CLIENTE]],'RESUMEN CLIENTES'!D:D,'RESUMEN CLIENTES'!W:W)</f>
        <v>1</v>
      </c>
      <c r="G1945" s="17">
        <v>46382</v>
      </c>
      <c r="H1945" s="169" t="s">
        <v>81</v>
      </c>
      <c r="I1945" s="2">
        <v>1000</v>
      </c>
      <c r="J1945"/>
      <c r="K1945"/>
      <c r="L1945" s="44" t="str" cm="1">
        <f t="array" ref="L1945">+_xlfn.IFS(COUNTIF(INGRESOS!E:E,Tabla6[[#This Row],[ID FACTURA]])=1,"PAGADA",Tabla6[[#This Row],[ID FACTURA]]&lt;&gt;0,"EMITIDA",Tabla6[[#This Row],[ID FACTURA]]=0,"POR EMITIR")</f>
        <v>POR EMITIR</v>
      </c>
      <c r="M1945" s="55" t="str">
        <f>+IF(Tabla6[[#This Row],[ESTADO FACTURA]]="PAGADA",Tabla6[[#This Row],[FECHA]]-_xlfn.XLOOKUP(Tabla6[[#This Row],[N° FACTURA]],INGRESOS!F:F,INGRESOS!A:A),"-")</f>
        <v>-</v>
      </c>
      <c r="O1945"/>
    </row>
    <row r="1946" spans="1:15" ht="14.75" customHeight="1">
      <c r="A1946" s="321" t="s">
        <v>519</v>
      </c>
      <c r="B1946" t="str">
        <f>+_xlfn.XLOOKUP(Tabla6[[#This Row],[ID CLIENTE]],'RESUMEN CLIENTES'!D:D,'RESUMEN CLIENTES'!A:A)</f>
        <v>Elaine Acosta Cabrera</v>
      </c>
      <c r="C1946" t="str">
        <f>+_xlfn.XLOOKUP(Tabla6[[#This Row],[ID CLIENTE]],'RESUMEN CLIENTES'!D:D,'RESUMEN CLIENTES'!C:C)</f>
        <v>República Dominicana</v>
      </c>
      <c r="D1946" s="169" t="str">
        <f>+_xlfn.XLOOKUP(Tabla6[[#This Row],[ID CLIENTE]],'RESUMEN CLIENTES'!D:D,'RESUMEN CLIENTES'!M:M)</f>
        <v>OK</v>
      </c>
      <c r="E1946" s="71">
        <f>+_xlfn.XLOOKUP(Tabla6[[#This Row],[NOMBRE]],'RESUMEN CLIENTES'!A:A,'RESUMEN CLIENTES'!X:X)</f>
        <v>0</v>
      </c>
      <c r="F1946" s="71">
        <f>+_xlfn.XLOOKUP(Tabla6[[#This Row],[ID CLIENTE]],'RESUMEN CLIENTES'!D:D,'RESUMEN CLIENTES'!W:W)</f>
        <v>1</v>
      </c>
      <c r="G1946" s="17">
        <v>46383</v>
      </c>
      <c r="H1946" s="169" t="s">
        <v>81</v>
      </c>
      <c r="I1946" s="2">
        <v>1000</v>
      </c>
      <c r="J1946"/>
      <c r="K1946"/>
      <c r="L1946" s="44" t="str" cm="1">
        <f t="array" ref="L1946">+_xlfn.IFS(COUNTIF(INGRESOS!E:E,Tabla6[[#This Row],[ID FACTURA]])=1,"PAGADA",Tabla6[[#This Row],[ID FACTURA]]&lt;&gt;0,"EMITIDA",Tabla6[[#This Row],[ID FACTURA]]=0,"POR EMITIR")</f>
        <v>POR EMITIR</v>
      </c>
      <c r="M1946" s="54" t="str">
        <f>+IF(Tabla6[[#This Row],[ESTADO FACTURA]]="PAGADA",Tabla6[[#This Row],[FECHA]]-_xlfn.XLOOKUP(Tabla6[[#This Row],[N° FACTURA]],INGRESOS!F:F,INGRESOS!A:A),"-")</f>
        <v>-</v>
      </c>
      <c r="O1946"/>
    </row>
    <row r="1947" spans="1:15" ht="14.75" customHeight="1">
      <c r="A1947" s="321" t="s">
        <v>1870</v>
      </c>
      <c r="B1947" t="str">
        <f>+_xlfn.XLOOKUP(Tabla6[[#This Row],[ID CLIENTE]],'RESUMEN CLIENTES'!D:D,'RESUMEN CLIENTES'!A:A)</f>
        <v>Berenisse Shadia Yarango Garay</v>
      </c>
      <c r="C1947" t="str">
        <f>+_xlfn.XLOOKUP(Tabla6[[#This Row],[ID CLIENTE]],'RESUMEN CLIENTES'!D:D,'RESUMEN CLIENTES'!C:C)</f>
        <v>Perú</v>
      </c>
      <c r="D1947" s="169" t="str">
        <f>+_xlfn.XLOOKUP(Tabla6[[#This Row],[ID CLIENTE]],'RESUMEN CLIENTES'!D:D,'RESUMEN CLIENTES'!M:M)</f>
        <v>OK</v>
      </c>
      <c r="E1947" s="71">
        <f>+_xlfn.XLOOKUP(Tabla6[[#This Row],[NOMBRE]],'RESUMEN CLIENTES'!A:A,'RESUMEN CLIENTES'!X:X)</f>
        <v>-0.33333333333333331</v>
      </c>
      <c r="F1947" s="71">
        <f>+_xlfn.XLOOKUP(Tabla6[[#This Row],[ID CLIENTE]],'RESUMEN CLIENTES'!D:D,'RESUMEN CLIENTES'!W:W)</f>
        <v>0</v>
      </c>
      <c r="G1947" s="17">
        <v>46384</v>
      </c>
      <c r="H1947" s="169" t="s">
        <v>81</v>
      </c>
      <c r="I1947" s="2">
        <v>850</v>
      </c>
      <c r="J1947"/>
      <c r="K1947"/>
      <c r="L1947" s="44" t="str" cm="1">
        <f t="array" ref="L1947">+_xlfn.IFS(COUNTIF(INGRESOS!E:E,Tabla6[[#This Row],[ID FACTURA]])=1,"PAGADA",Tabla6[[#This Row],[ID FACTURA]]&lt;&gt;0,"EMITIDA",Tabla6[[#This Row],[ID FACTURA]]=0,"POR EMITIR")</f>
        <v>POR EMITIR</v>
      </c>
      <c r="M1947" s="54" t="str">
        <f>+IF(Tabla6[[#This Row],[ESTADO FACTURA]]="PAGADA",Tabla6[[#This Row],[FECHA]]-_xlfn.XLOOKUP(Tabla6[[#This Row],[N° FACTURA]],INGRESOS!F:F,INGRESOS!A:A),"-")</f>
        <v>-</v>
      </c>
      <c r="O1947"/>
    </row>
    <row r="1948" spans="1:15" ht="14.75" customHeight="1">
      <c r="A1948" s="320" t="s">
        <v>1461</v>
      </c>
      <c r="B1948" t="str">
        <f>+_xlfn.XLOOKUP(Tabla6[[#This Row],[ID CLIENTE]],'RESUMEN CLIENTES'!D:D,'RESUMEN CLIENTES'!A:A)</f>
        <v>Katerine Marianela Verastegui Mendoza</v>
      </c>
      <c r="C1948" t="str">
        <f>+_xlfn.XLOOKUP(Tabla6[[#This Row],[ID CLIENTE]],'RESUMEN CLIENTES'!D:D,'RESUMEN CLIENTES'!C:C)</f>
        <v>Perú</v>
      </c>
      <c r="D1948" s="44" t="str">
        <f>+_xlfn.XLOOKUP(Tabla6[[#This Row],[ID CLIENTE]],'RESUMEN CLIENTES'!D:D,'RESUMEN CLIENTES'!M:M)</f>
        <v>OK</v>
      </c>
      <c r="E1948" s="71">
        <f>+_xlfn.XLOOKUP(Tabla6[[#This Row],[NOMBRE]],'RESUMEN CLIENTES'!A:A,'RESUMEN CLIENTES'!X:X)</f>
        <v>-2</v>
      </c>
      <c r="F1948" s="71">
        <f>+_xlfn.XLOOKUP(Tabla6[[#This Row],[ID CLIENTE]],'RESUMEN CLIENTES'!D:D,'RESUMEN CLIENTES'!W:W)</f>
        <v>0</v>
      </c>
      <c r="G1948" s="17">
        <v>46384</v>
      </c>
      <c r="H1948" s="169" t="s">
        <v>81</v>
      </c>
      <c r="I1948" s="2">
        <v>2000</v>
      </c>
      <c r="J1948"/>
      <c r="K1948"/>
      <c r="L1948" s="44" t="str" cm="1">
        <f t="array" ref="L1948">+_xlfn.IFS(COUNTIF(INGRESOS!E:E,Tabla6[[#This Row],[ID FACTURA]])=1,"PAGADA",Tabla6[[#This Row],[ID FACTURA]]&lt;&gt;0,"EMITIDA",Tabla6[[#This Row],[ID FACTURA]]=0,"POR EMITIR")</f>
        <v>POR EMITIR</v>
      </c>
      <c r="M1948" s="55" t="str">
        <f>+IF(Tabla6[[#This Row],[ESTADO FACTURA]]="PAGADA",Tabla6[[#This Row],[FECHA]]-_xlfn.XLOOKUP(Tabla6[[#This Row],[N° FACTURA]],INGRESOS!F:F,INGRESOS!A:A),"-")</f>
        <v>-</v>
      </c>
      <c r="N1948" s="2"/>
      <c r="O1948"/>
    </row>
    <row r="1949" spans="1:15" ht="14.75" customHeight="1">
      <c r="A1949" s="320" t="s">
        <v>1374</v>
      </c>
      <c r="B1949" t="str">
        <f>+_xlfn.XLOOKUP(Tabla6[[#This Row],[ID CLIENTE]],'RESUMEN CLIENTES'!D:D,'RESUMEN CLIENTES'!A:A)</f>
        <v>Samuel Sebastián Marmolejo Saldarriaga</v>
      </c>
      <c r="C1949" t="str">
        <f>+_xlfn.XLOOKUP(Tabla6[[#This Row],[ID CLIENTE]],'RESUMEN CLIENTES'!D:D,'RESUMEN CLIENTES'!C:C)</f>
        <v>Perú</v>
      </c>
      <c r="D1949" s="44" t="str">
        <f>+_xlfn.XLOOKUP(Tabla6[[#This Row],[ID CLIENTE]],'RESUMEN CLIENTES'!D:D,'RESUMEN CLIENTES'!M:M)</f>
        <v>OK</v>
      </c>
      <c r="E1949" s="71">
        <f>+_xlfn.XLOOKUP(Tabla6[[#This Row],[NOMBRE]],'RESUMEN CLIENTES'!A:A,'RESUMEN CLIENTES'!X:X)</f>
        <v>-0.5</v>
      </c>
      <c r="F1949" s="71">
        <f>+_xlfn.XLOOKUP(Tabla6[[#This Row],[ID CLIENTE]],'RESUMEN CLIENTES'!D:D,'RESUMEN CLIENTES'!W:W)</f>
        <v>0</v>
      </c>
      <c r="G1949" s="17">
        <v>46384</v>
      </c>
      <c r="H1949" s="44" t="s">
        <v>81</v>
      </c>
      <c r="I1949" s="2">
        <v>1500</v>
      </c>
      <c r="J1949"/>
      <c r="K1949"/>
      <c r="L1949" s="44" t="str" cm="1">
        <f t="array" ref="L1949">+_xlfn.IFS(COUNTIF(INGRESOS!E:E,Tabla6[[#This Row],[ID FACTURA]])=1,"PAGADA",Tabla6[[#This Row],[ID FACTURA]]&lt;&gt;0,"EMITIDA",Tabla6[[#This Row],[ID FACTURA]]=0,"POR EMITIR")</f>
        <v>POR EMITIR</v>
      </c>
      <c r="M1949" s="55" t="str">
        <f>+IF(Tabla6[[#This Row],[ESTADO FACTURA]]="PAGADA",Tabla6[[#This Row],[FECHA]]-_xlfn.XLOOKUP(Tabla6[[#This Row],[N° FACTURA]],INGRESOS!F:F,INGRESOS!A:A),"-")</f>
        <v>-</v>
      </c>
      <c r="N1949" s="2"/>
      <c r="O1949"/>
    </row>
    <row r="1950" spans="1:15" ht="14.75" customHeight="1">
      <c r="A1950" s="320" t="s">
        <v>221</v>
      </c>
      <c r="B1950" t="str">
        <f>+_xlfn.XLOOKUP(Tabla6[[#This Row],[ID CLIENTE]],'RESUMEN CLIENTES'!D:D,'RESUMEN CLIENTES'!A:A)</f>
        <v>Angel Martin Alarcon Macias</v>
      </c>
      <c r="C1950" t="str">
        <f>+_xlfn.XLOOKUP(Tabla6[[#This Row],[ID CLIENTE]],'RESUMEN CLIENTES'!D:D,'RESUMEN CLIENTES'!C:C)</f>
        <v>Ecuador</v>
      </c>
      <c r="D1950" s="44" t="str">
        <f>+_xlfn.XLOOKUP(Tabla6[[#This Row],[ID CLIENTE]],'RESUMEN CLIENTES'!D:D,'RESUMEN CLIENTES'!M:M)</f>
        <v>¡REGULARIZAR!</v>
      </c>
      <c r="E1950" s="72">
        <f>+_xlfn.XLOOKUP(Tabla6[[#This Row],[NOMBRE]],'RESUMEN CLIENTES'!A:A,'RESUMEN CLIENTES'!X:X)</f>
        <v>-0.5</v>
      </c>
      <c r="F1950" s="72">
        <f>+_xlfn.XLOOKUP(Tabla6[[#This Row],[ID CLIENTE]],'RESUMEN CLIENTES'!D:D,'RESUMEN CLIENTES'!W:W)</f>
        <v>0</v>
      </c>
      <c r="G1950" s="17">
        <v>46386</v>
      </c>
      <c r="H1950" s="44" t="s">
        <v>81</v>
      </c>
      <c r="I1950" s="2">
        <v>1000</v>
      </c>
      <c r="J1950"/>
      <c r="K1950"/>
      <c r="L1950" s="44" t="str" cm="1">
        <f t="array" ref="L1950">+_xlfn.IFS(COUNTIF(INGRESOS!E:E,Tabla6[[#This Row],[ID FACTURA]])=1,"PAGADA",Tabla6[[#This Row],[ID FACTURA]]&lt;&gt;0,"EMITIDA",Tabla6[[#This Row],[ID FACTURA]]=0,"POR EMITIR")</f>
        <v>POR EMITIR</v>
      </c>
      <c r="M1950" s="55" t="str">
        <f>+IF(Tabla6[[#This Row],[ESTADO FACTURA]]="PAGADA",Tabla6[[#This Row],[FECHA]]-_xlfn.XLOOKUP(Tabla6[[#This Row],[N° FACTURA]],INGRESOS!F:F,INGRESOS!A:A),"-")</f>
        <v>-</v>
      </c>
      <c r="N1950" s="2"/>
      <c r="O1950"/>
    </row>
    <row r="1951" spans="1:15" ht="14.75" customHeight="1">
      <c r="A1951" s="320" t="s">
        <v>1761</v>
      </c>
      <c r="B1951" t="str">
        <f>+_xlfn.XLOOKUP(Tabla6[[#This Row],[ID CLIENTE]],'RESUMEN CLIENTES'!D:D,'RESUMEN CLIENTES'!A:A)</f>
        <v>Francisco Salas Barrera</v>
      </c>
      <c r="C1951" t="str">
        <f>+_xlfn.XLOOKUP(Tabla6[[#This Row],[ID CLIENTE]],'RESUMEN CLIENTES'!D:D,'RESUMEN CLIENTES'!C:C)</f>
        <v>México</v>
      </c>
      <c r="D1951" s="169" t="str">
        <f>+_xlfn.XLOOKUP(Tabla6[[#This Row],[ID CLIENTE]],'RESUMEN CLIENTES'!D:D,'RESUMEN CLIENTES'!M:M)</f>
        <v>OK</v>
      </c>
      <c r="E1951" s="71">
        <f>+_xlfn.XLOOKUP(Tabla6[[#This Row],[NOMBRE]],'RESUMEN CLIENTES'!A:A,'RESUMEN CLIENTES'!X:X)</f>
        <v>-0.75</v>
      </c>
      <c r="F1951" s="71">
        <f>+_xlfn.XLOOKUP(Tabla6[[#This Row],[ID CLIENTE]],'RESUMEN CLIENTES'!D:D,'RESUMEN CLIENTES'!W:W)</f>
        <v>0</v>
      </c>
      <c r="G1951" s="17">
        <v>46386</v>
      </c>
      <c r="H1951" s="169" t="s">
        <v>81</v>
      </c>
      <c r="I1951" s="2">
        <v>1000</v>
      </c>
      <c r="J1951"/>
      <c r="K1951"/>
      <c r="L1951" s="44" t="str" cm="1">
        <f t="array" ref="L1951">+_xlfn.IFS(COUNTIF(INGRESOS!E:E,Tabla6[[#This Row],[ID FACTURA]])=1,"PAGADA",Tabla6[[#This Row],[ID FACTURA]]&lt;&gt;0,"EMITIDA",Tabla6[[#This Row],[ID FACTURA]]=0,"POR EMITIR")</f>
        <v>POR EMITIR</v>
      </c>
      <c r="M1951" s="55" t="str">
        <f>+IF(Tabla6[[#This Row],[ESTADO FACTURA]]="PAGADA",Tabla6[[#This Row],[FECHA]]-_xlfn.XLOOKUP(Tabla6[[#This Row],[N° FACTURA]],INGRESOS!F:F,INGRESOS!A:A),"-")</f>
        <v>-</v>
      </c>
      <c r="O1951"/>
    </row>
    <row r="1952" spans="1:15" ht="15" customHeight="1">
      <c r="A1952" s="320" t="s">
        <v>739</v>
      </c>
      <c r="B1952" t="str">
        <f>+_xlfn.XLOOKUP(Tabla6[[#This Row],[ID CLIENTE]],'RESUMEN CLIENTES'!D:D,'RESUMEN CLIENTES'!A:A)</f>
        <v>Gilberto Martiñon Torres</v>
      </c>
      <c r="C1952" t="str">
        <f>+_xlfn.XLOOKUP(Tabla6[[#This Row],[ID CLIENTE]],'RESUMEN CLIENTES'!D:D,'RESUMEN CLIENTES'!C:C)</f>
        <v>México</v>
      </c>
      <c r="D1952" s="44" t="str">
        <f>+_xlfn.XLOOKUP(Tabla6[[#This Row],[ID CLIENTE]],'RESUMEN CLIENTES'!D:D,'RESUMEN CLIENTES'!M:M)</f>
        <v>OK</v>
      </c>
      <c r="E1952" s="72">
        <f>+_xlfn.XLOOKUP(Tabla6[[#This Row],[NOMBRE]],'RESUMEN CLIENTES'!A:A,'RESUMEN CLIENTES'!X:X)</f>
        <v>-0.625</v>
      </c>
      <c r="F1952" s="72">
        <f>+_xlfn.XLOOKUP(Tabla6[[#This Row],[ID CLIENTE]],'RESUMEN CLIENTES'!D:D,'RESUMEN CLIENTES'!W:W)</f>
        <v>0</v>
      </c>
      <c r="G1952" s="17">
        <v>46386</v>
      </c>
      <c r="H1952" s="44" t="s">
        <v>81</v>
      </c>
      <c r="I1952" s="2">
        <v>700</v>
      </c>
      <c r="J1952"/>
      <c r="K1952"/>
      <c r="L1952" s="44" t="str" cm="1">
        <f t="array" ref="L1952">+_xlfn.IFS(COUNTIF(INGRESOS!E:E,Tabla6[[#This Row],[ID FACTURA]])=1,"PAGADA",Tabla6[[#This Row],[ID FACTURA]]&lt;&gt;0,"EMITIDA",Tabla6[[#This Row],[ID FACTURA]]=0,"POR EMITIR")</f>
        <v>POR EMITIR</v>
      </c>
      <c r="M1952" s="55" t="str">
        <f>+IF(Tabla6[[#This Row],[ESTADO FACTURA]]="PAGADA",Tabla6[[#This Row],[FECHA]]-_xlfn.XLOOKUP(Tabla6[[#This Row],[N° FACTURA]],INGRESOS!F:F,INGRESOS!A:A),"-")</f>
        <v>-</v>
      </c>
      <c r="N1952" s="2"/>
      <c r="O1952"/>
    </row>
    <row r="1953" spans="1:15" ht="14.75" customHeight="1">
      <c r="A1953" s="320" t="s">
        <v>139</v>
      </c>
      <c r="B1953" t="str">
        <f>+_xlfn.XLOOKUP(Tabla6[[#This Row],[ID CLIENTE]],'RESUMEN CLIENTES'!D:D,'RESUMEN CLIENTES'!A:A)</f>
        <v>Hugo Nicolás Trávez Morales</v>
      </c>
      <c r="C1953" t="str">
        <f>+_xlfn.XLOOKUP(Tabla6[[#This Row],[ID CLIENTE]],'RESUMEN CLIENTES'!D:D,'RESUMEN CLIENTES'!C:C)</f>
        <v>Ecuador</v>
      </c>
      <c r="D1953" s="169" t="str">
        <f>+_xlfn.XLOOKUP(Tabla6[[#This Row],[ID CLIENTE]],'RESUMEN CLIENTES'!D:D,'RESUMEN CLIENTES'!M:M)</f>
        <v>OK</v>
      </c>
      <c r="E1953" s="71">
        <f>+_xlfn.XLOOKUP(Tabla6[[#This Row],[NOMBRE]],'RESUMEN CLIENTES'!A:A,'RESUMEN CLIENTES'!X:X)</f>
        <v>0</v>
      </c>
      <c r="F1953" s="71">
        <f>+_xlfn.XLOOKUP(Tabla6[[#This Row],[ID CLIENTE]],'RESUMEN CLIENTES'!D:D,'RESUMEN CLIENTES'!W:W)</f>
        <v>0</v>
      </c>
      <c r="G1953" s="17">
        <v>46386</v>
      </c>
      <c r="H1953" s="44" t="s">
        <v>81</v>
      </c>
      <c r="I1953" s="2">
        <v>1000</v>
      </c>
      <c r="J1953"/>
      <c r="K1953"/>
      <c r="L1953" s="44" t="str" cm="1">
        <f t="array" ref="L1953">+_xlfn.IFS(COUNTIF(INGRESOS!E:E,Tabla6[[#This Row],[ID FACTURA]])=1,"PAGADA",Tabla6[[#This Row],[ID FACTURA]]&lt;&gt;0,"EMITIDA",Tabla6[[#This Row],[ID FACTURA]]=0,"POR EMITIR")</f>
        <v>POR EMITIR</v>
      </c>
      <c r="M1953" s="54" t="str">
        <f>+IF(Tabla6[[#This Row],[ESTADO FACTURA]]="PAGADA",Tabla6[[#This Row],[FECHA]]-_xlfn.XLOOKUP(Tabla6[[#This Row],[N° FACTURA]],INGRESOS!F:F,INGRESOS!A:A),"-")</f>
        <v>-</v>
      </c>
      <c r="O1953"/>
    </row>
    <row r="1954" spans="1:15" ht="14.75" customHeight="1">
      <c r="A1954" s="320" t="s">
        <v>590</v>
      </c>
      <c r="B1954" t="str">
        <f>+_xlfn.XLOOKUP(Tabla6[[#This Row],[ID CLIENTE]],'RESUMEN CLIENTES'!D:D,'RESUMEN CLIENTES'!A:A)</f>
        <v>María Lucero de Jesús Barrios Sazo</v>
      </c>
      <c r="C1954" t="str">
        <f>+_xlfn.XLOOKUP(Tabla6[[#This Row],[ID CLIENTE]],'RESUMEN CLIENTES'!D:D,'RESUMEN CLIENTES'!C:C)</f>
        <v>Guatemala</v>
      </c>
      <c r="D1954" s="44" t="str">
        <f>+_xlfn.XLOOKUP(Tabla6[[#This Row],[ID CLIENTE]],'RESUMEN CLIENTES'!D:D,'RESUMEN CLIENTES'!M:M)</f>
        <v>OK</v>
      </c>
      <c r="E1954" s="72">
        <f>+_xlfn.XLOOKUP(Tabla6[[#This Row],[NOMBRE]],'RESUMEN CLIENTES'!A:A,'RESUMEN CLIENTES'!X:X)</f>
        <v>1.25</v>
      </c>
      <c r="F1954" s="72">
        <f>+_xlfn.XLOOKUP(Tabla6[[#This Row],[ID CLIENTE]],'RESUMEN CLIENTES'!D:D,'RESUMEN CLIENTES'!W:W)</f>
        <v>0</v>
      </c>
      <c r="G1954" s="17">
        <v>46386</v>
      </c>
      <c r="H1954" s="44" t="s">
        <v>81</v>
      </c>
      <c r="I1954" s="2">
        <v>700</v>
      </c>
      <c r="J1954"/>
      <c r="K1954"/>
      <c r="L1954" s="44" t="str" cm="1">
        <f t="array" ref="L1954">+_xlfn.IFS(COUNTIF(INGRESOS!E:E,Tabla6[[#This Row],[ID FACTURA]])=1,"PAGADA",Tabla6[[#This Row],[ID FACTURA]]&lt;&gt;0,"EMITIDA",Tabla6[[#This Row],[ID FACTURA]]=0,"POR EMITIR")</f>
        <v>POR EMITIR</v>
      </c>
      <c r="M1954" s="55" t="str">
        <f>+IF(Tabla6[[#This Row],[ESTADO FACTURA]]="PAGADA",Tabla6[[#This Row],[FECHA]]-_xlfn.XLOOKUP(Tabla6[[#This Row],[N° FACTURA]],INGRESOS!F:F,INGRESOS!A:A),"-")</f>
        <v>-</v>
      </c>
      <c r="N1954" s="2"/>
      <c r="O1954"/>
    </row>
    <row r="1955" spans="1:15" ht="14.75" customHeight="1">
      <c r="A1955" s="320" t="s">
        <v>1201</v>
      </c>
      <c r="B1955" t="str">
        <f>+_xlfn.XLOOKUP(Tabla6[[#This Row],[ID CLIENTE]],'RESUMEN CLIENTES'!D:D,'RESUMEN CLIENTES'!A:A)</f>
        <v>María Soledad Tituana Asanza</v>
      </c>
      <c r="C1955" t="str">
        <f>+_xlfn.XLOOKUP(Tabla6[[#This Row],[ID CLIENTE]],'RESUMEN CLIENTES'!D:D,'RESUMEN CLIENTES'!C:C)</f>
        <v>Ecuador</v>
      </c>
      <c r="D1955" s="44" t="str">
        <f>+_xlfn.XLOOKUP(Tabla6[[#This Row],[ID CLIENTE]],'RESUMEN CLIENTES'!D:D,'RESUMEN CLIENTES'!M:M)</f>
        <v>OK</v>
      </c>
      <c r="E1955" s="72">
        <f>+_xlfn.XLOOKUP(Tabla6[[#This Row],[NOMBRE]],'RESUMEN CLIENTES'!A:A,'RESUMEN CLIENTES'!X:X)</f>
        <v>-0.16666666666666666</v>
      </c>
      <c r="F1955" s="72">
        <f>+_xlfn.XLOOKUP(Tabla6[[#This Row],[ID CLIENTE]],'RESUMEN CLIENTES'!D:D,'RESUMEN CLIENTES'!W:W)</f>
        <v>0</v>
      </c>
      <c r="G1955" s="17">
        <v>46386</v>
      </c>
      <c r="H1955" s="44" t="s">
        <v>81</v>
      </c>
      <c r="I1955" s="2">
        <v>1000</v>
      </c>
      <c r="J1955"/>
      <c r="K1955"/>
      <c r="L1955" s="44" t="str" cm="1">
        <f t="array" ref="L1955">+_xlfn.IFS(COUNTIF(INGRESOS!E:E,Tabla6[[#This Row],[ID FACTURA]])=1,"PAGADA",Tabla6[[#This Row],[ID FACTURA]]&lt;&gt;0,"EMITIDA",Tabla6[[#This Row],[ID FACTURA]]=0,"POR EMITIR")</f>
        <v>POR EMITIR</v>
      </c>
      <c r="M1955" s="55" t="str">
        <f>+IF(Tabla6[[#This Row],[ESTADO FACTURA]]="PAGADA",Tabla6[[#This Row],[FECHA]]-_xlfn.XLOOKUP(Tabla6[[#This Row],[N° FACTURA]],INGRESOS!F:F,INGRESOS!A:A),"-")</f>
        <v>-</v>
      </c>
      <c r="N1955" s="2"/>
      <c r="O1955"/>
    </row>
    <row r="1956" spans="1:15" ht="14.75" customHeight="1">
      <c r="A1956" s="320" t="s">
        <v>4464</v>
      </c>
      <c r="B1956" t="str">
        <f>+_xlfn.XLOOKUP(Tabla6[[#This Row],[ID CLIENTE]],'RESUMEN CLIENTES'!D:D,'RESUMEN CLIENTES'!A:A)</f>
        <v>Alan Diego Titiro Casone</v>
      </c>
      <c r="C1956" t="str">
        <f>+_xlfn.XLOOKUP(Tabla6[[#This Row],[ID CLIENTE]],'RESUMEN CLIENTES'!D:D,'RESUMEN CLIENTES'!C:C)</f>
        <v>Chile</v>
      </c>
      <c r="D1956" s="44" t="str">
        <f>+_xlfn.XLOOKUP(Tabla6[[#This Row],[ID CLIENTE]],'RESUMEN CLIENTES'!D:D,'RESUMEN CLIENTES'!M:M)</f>
        <v>OK</v>
      </c>
      <c r="E1956" s="72">
        <f>+_xlfn.XLOOKUP(Tabla6[[#This Row],[NOMBRE]],'RESUMEN CLIENTES'!A:A,'RESUMEN CLIENTES'!X:X)</f>
        <v>0</v>
      </c>
      <c r="F1956" s="72">
        <f>+_xlfn.XLOOKUP(Tabla6[[#This Row],[ID CLIENTE]],'RESUMEN CLIENTES'!D:D,'RESUMEN CLIENTES'!W:W)</f>
        <v>0</v>
      </c>
      <c r="G1956" s="17">
        <f>IF($H1956&lt;&gt;"ALEM","",IFERROR(
  DATE(
    YEAR(EDATE(
      _xlfn.XLOOKUP($A1956,'RESUMEN CLIENTES'!$D:$D,'RESUMEN CLIENTES'!$Y:$Y,""),
      7 + COUNTIFS(
            $A$2:INDEX($A:$A,ROW()), $A1956,
            $H$2:INDEX($H:$H,ROW()), "ALEM"
          )
    )),
    MONTH(EDATE(
      _xlfn.XLOOKUP($A1956,'RESUMEN CLIENTES'!$D:$D,'RESUMEN CLIENTES'!$Y:$Y,""),
      7 + COUNTIFS(
            $A$2:INDEX($A:$A,ROW()), $A1956,
            $H$2:INDEX($H:$H,ROW()), "ALEM"
          )
    )),
    1
  ),
"SIN FECHA MIG"))</f>
        <v>46388</v>
      </c>
      <c r="H1956" s="44" t="s">
        <v>1876</v>
      </c>
      <c r="I1956" s="2">
        <v>1000</v>
      </c>
      <c r="J1956"/>
      <c r="K1956"/>
      <c r="L1956" s="44" t="str" cm="1">
        <f t="array" ref="L1956">+_xlfn.IFS(COUNTIF(INGRESOS!E:E,Tabla6[[#This Row],[ID FACTURA]])=1,"PAGADA",Tabla6[[#This Row],[ID FACTURA]]&lt;&gt;0,"EMITIDA",Tabla6[[#This Row],[ID FACTURA]]=0,"POR EMITIR")</f>
        <v>POR EMITIR</v>
      </c>
      <c r="M1956" s="55" t="str">
        <f>+IF(Tabla6[[#This Row],[ESTADO FACTURA]]="PAGADA",Tabla6[[#This Row],[FECHA]]-_xlfn.XLOOKUP(Tabla6[[#This Row],[N° FACTURA]],INGRESOS!F:F,INGRESOS!A:A),"-")</f>
        <v>-</v>
      </c>
      <c r="N1956" s="2"/>
      <c r="O1956"/>
    </row>
    <row r="1957" spans="1:15" ht="14.75" customHeight="1">
      <c r="A1957" s="320" t="s">
        <v>541</v>
      </c>
      <c r="B1957" t="str">
        <f>+_xlfn.XLOOKUP(Tabla6[[#This Row],[ID CLIENTE]],'RESUMEN CLIENTES'!D:D,'RESUMEN CLIENTES'!A:A)</f>
        <v>Alejandra Goretti Figueroa Romo</v>
      </c>
      <c r="C1957" t="str">
        <f>+_xlfn.XLOOKUP(Tabla6[[#This Row],[ID CLIENTE]],'RESUMEN CLIENTES'!D:D,'RESUMEN CLIENTES'!C:C)</f>
        <v>México</v>
      </c>
      <c r="D1957" s="44" t="str">
        <f>+_xlfn.XLOOKUP(Tabla6[[#This Row],[ID CLIENTE]],'RESUMEN CLIENTES'!D:D,'RESUMEN CLIENTES'!M:M)</f>
        <v>OK</v>
      </c>
      <c r="E1957" s="72">
        <f>+_xlfn.XLOOKUP(Tabla6[[#This Row],[NOMBRE]],'RESUMEN CLIENTES'!A:A,'RESUMEN CLIENTES'!X:X)</f>
        <v>0.75</v>
      </c>
      <c r="F1957" s="72">
        <f>+_xlfn.XLOOKUP(Tabla6[[#This Row],[ID CLIENTE]],'RESUMEN CLIENTES'!D:D,'RESUMEN CLIENTES'!W:W)</f>
        <v>0</v>
      </c>
      <c r="G1957" s="17">
        <f>IF($H1957&lt;&gt;"ALEM","",IFERROR(
  DATE(
    YEAR(EDATE(
      _xlfn.XLOOKUP($A1957,'RESUMEN CLIENTES'!$D:$D,'RESUMEN CLIENTES'!$Y:$Y,""),
      7 + COUNTIFS(
            $A$2:INDEX($A:$A,ROW()), $A1957,
            $H$2:INDEX($H:$H,ROW()), "ALEM"
          )
    )),
    MONTH(EDATE(
      _xlfn.XLOOKUP($A1957,'RESUMEN CLIENTES'!$D:$D,'RESUMEN CLIENTES'!$Y:$Y,""),
      7 + COUNTIFS(
            $A$2:INDEX($A:$A,ROW()), $A1957,
            $H$2:INDEX($H:$H,ROW()), "ALEM"
          )
    )),
    1
  ),
"SIN FECHA MIG"))</f>
        <v>46388</v>
      </c>
      <c r="H1957" s="44" t="s">
        <v>1876</v>
      </c>
      <c r="I1957" s="2">
        <v>1000</v>
      </c>
      <c r="J1957"/>
      <c r="K1957"/>
      <c r="L1957" s="44" t="str" cm="1">
        <f t="array" ref="L1957">+_xlfn.IFS(COUNTIF(INGRESOS!E:E,Tabla6[[#This Row],[ID FACTURA]])=1,"PAGADA",Tabla6[[#This Row],[ID FACTURA]]&lt;&gt;0,"EMITIDA",Tabla6[[#This Row],[ID FACTURA]]=0,"POR EMITIR")</f>
        <v>POR EMITIR</v>
      </c>
      <c r="M1957" s="55" t="str">
        <f>+IF(Tabla6[[#This Row],[ESTADO FACTURA]]="PAGADA",Tabla6[[#This Row],[FECHA]]-_xlfn.XLOOKUP(Tabla6[[#This Row],[N° FACTURA]],INGRESOS!F:F,INGRESOS!A:A),"-")</f>
        <v>-</v>
      </c>
      <c r="N1957" s="2"/>
      <c r="O1957"/>
    </row>
    <row r="1958" spans="1:15" ht="14.75" customHeight="1">
      <c r="A1958" s="320" t="s">
        <v>84</v>
      </c>
      <c r="B1958" t="str">
        <f>+_xlfn.XLOOKUP(Tabla6[[#This Row],[ID CLIENTE]],'RESUMEN CLIENTES'!D:D,'RESUMEN CLIENTES'!A:A)</f>
        <v>Andrea Corpeño López</v>
      </c>
      <c r="C1958" t="str">
        <f>+_xlfn.XLOOKUP(Tabla6[[#This Row],[ID CLIENTE]],'RESUMEN CLIENTES'!D:D,'RESUMEN CLIENTES'!C:C)</f>
        <v>El Salvador</v>
      </c>
      <c r="D1958" s="44" t="str">
        <f>+_xlfn.XLOOKUP(Tabla6[[#This Row],[ID CLIENTE]],'RESUMEN CLIENTES'!D:D,'RESUMEN CLIENTES'!M:M)</f>
        <v>OK</v>
      </c>
      <c r="E1958" s="72">
        <f>+_xlfn.XLOOKUP(Tabla6[[#This Row],[NOMBRE]],'RESUMEN CLIENTES'!A:A,'RESUMEN CLIENTES'!X:X)</f>
        <v>-0.81818181818181823</v>
      </c>
      <c r="F1958" s="72">
        <f>+_xlfn.XLOOKUP(Tabla6[[#This Row],[ID CLIENTE]],'RESUMEN CLIENTES'!D:D,'RESUMEN CLIENTES'!W:W)</f>
        <v>0</v>
      </c>
      <c r="G1958" s="17">
        <f>IF($H1958&lt;&gt;"ALEM","",IFERROR(
  DATE(
    YEAR(EDATE(
      _xlfn.XLOOKUP($A1958,'RESUMEN CLIENTES'!$D:$D,'RESUMEN CLIENTES'!$Y:$Y,""),
      7 + COUNTIFS(
            $A$2:INDEX($A:$A,ROW()), $A1958,
            $H$2:INDEX($H:$H,ROW()), "ALEM"
          )
    )),
    MONTH(EDATE(
      _xlfn.XLOOKUP($A1958,'RESUMEN CLIENTES'!$D:$D,'RESUMEN CLIENTES'!$Y:$Y,""),
      7 + COUNTIFS(
            $A$2:INDEX($A:$A,ROW()), $A1958,
            $H$2:INDEX($H:$H,ROW()), "ALEM"
          )
    )),
    1
  ),
"SIN FECHA MIG"))</f>
        <v>46388</v>
      </c>
      <c r="H1958" s="44" t="s">
        <v>1876</v>
      </c>
      <c r="I1958" s="2">
        <v>800</v>
      </c>
      <c r="J1958"/>
      <c r="K1958"/>
      <c r="L1958" s="44" t="str" cm="1">
        <f t="array" ref="L1958">+_xlfn.IFS(COUNTIF(INGRESOS!E:E,Tabla6[[#This Row],[ID FACTURA]])=1,"PAGADA",Tabla6[[#This Row],[ID FACTURA]]&lt;&gt;0,"EMITIDA",Tabla6[[#This Row],[ID FACTURA]]=0,"POR EMITIR")</f>
        <v>POR EMITIR</v>
      </c>
      <c r="M1958" s="55" t="str">
        <f>+IF(Tabla6[[#This Row],[ESTADO FACTURA]]="PAGADA",Tabla6[[#This Row],[FECHA]]-_xlfn.XLOOKUP(Tabla6[[#This Row],[N° FACTURA]],INGRESOS!F:F,INGRESOS!A:A),"-")</f>
        <v>-</v>
      </c>
      <c r="N1958" s="2"/>
      <c r="O1958" t="s">
        <v>2085</v>
      </c>
    </row>
    <row r="1959" spans="1:15" ht="14.75" customHeight="1">
      <c r="A1959" s="320" t="s">
        <v>325</v>
      </c>
      <c r="B1959" t="str">
        <f>+_xlfn.XLOOKUP(Tabla6[[#This Row],[ID CLIENTE]],'RESUMEN CLIENTES'!D:D,'RESUMEN CLIENTES'!A:A)</f>
        <v>Andrea Cristina Estrada Morocho</v>
      </c>
      <c r="C1959" t="str">
        <f>+_xlfn.XLOOKUP(Tabla6[[#This Row],[ID CLIENTE]],'RESUMEN CLIENTES'!D:D,'RESUMEN CLIENTES'!C:C)</f>
        <v>Ecuador</v>
      </c>
      <c r="D1959" s="44" t="str">
        <f>+_xlfn.XLOOKUP(Tabla6[[#This Row],[ID CLIENTE]],'RESUMEN CLIENTES'!D:D,'RESUMEN CLIENTES'!M:M)</f>
        <v>OK</v>
      </c>
      <c r="E1959" s="72">
        <f>+_xlfn.XLOOKUP(Tabla6[[#This Row],[NOMBRE]],'RESUMEN CLIENTES'!A:A,'RESUMEN CLIENTES'!X:X)</f>
        <v>-3.6666666666666665</v>
      </c>
      <c r="F1959" s="72">
        <f>+_xlfn.XLOOKUP(Tabla6[[#This Row],[ID CLIENTE]],'RESUMEN CLIENTES'!D:D,'RESUMEN CLIENTES'!W:W)</f>
        <v>1</v>
      </c>
      <c r="G1959" s="17">
        <f>IF($H1959&lt;&gt;"ALEM","",IFERROR(
  DATE(
    YEAR(EDATE(
      _xlfn.XLOOKUP($A1959,'RESUMEN CLIENTES'!$D:$D,'RESUMEN CLIENTES'!$Y:$Y,""),
      7 + COUNTIFS(
            $A$2:INDEX($A:$A,ROW()), $A1959,
            $H$2:INDEX($H:$H,ROW()), "ALEM"
          )
    )),
    MONTH(EDATE(
      _xlfn.XLOOKUP($A1959,'RESUMEN CLIENTES'!$D:$D,'RESUMEN CLIENTES'!$Y:$Y,""),
      7 + COUNTIFS(
            $A$2:INDEX($A:$A,ROW()), $A1959,
            $H$2:INDEX($H:$H,ROW()), "ALEM"
          )
    )),
    1
  ),
"SIN FECHA MIG"))</f>
        <v>46388</v>
      </c>
      <c r="H1959" s="44" t="s">
        <v>1876</v>
      </c>
      <c r="I1959" s="2">
        <v>1000</v>
      </c>
      <c r="J1959"/>
      <c r="K1959"/>
      <c r="L1959" s="44" t="str" cm="1">
        <f t="array" ref="L1959">+_xlfn.IFS(COUNTIF(INGRESOS!E:E,Tabla6[[#This Row],[ID FACTURA]])=1,"PAGADA",Tabla6[[#This Row],[ID FACTURA]]&lt;&gt;0,"EMITIDA",Tabla6[[#This Row],[ID FACTURA]]=0,"POR EMITIR")</f>
        <v>POR EMITIR</v>
      </c>
      <c r="M1959" s="55" t="str">
        <f>+IF(Tabla6[[#This Row],[ESTADO FACTURA]]="PAGADA",Tabla6[[#This Row],[FECHA]]-_xlfn.XLOOKUP(Tabla6[[#This Row],[N° FACTURA]],INGRESOS!F:F,INGRESOS!A:A),"-")</f>
        <v>-</v>
      </c>
      <c r="N1959" s="2"/>
      <c r="O1959"/>
    </row>
    <row r="1960" spans="1:15" ht="14.75" customHeight="1">
      <c r="A1960" s="320" t="s">
        <v>1357</v>
      </c>
      <c r="B1960" t="str">
        <f>+_xlfn.XLOOKUP(Tabla6[[#This Row],[ID CLIENTE]],'RESUMEN CLIENTES'!D:D,'RESUMEN CLIENTES'!A:A)</f>
        <v>Angel Andres Velastegui Huebla</v>
      </c>
      <c r="C1960" t="str">
        <f>+_xlfn.XLOOKUP(Tabla6[[#This Row],[ID CLIENTE]],'RESUMEN CLIENTES'!D:D,'RESUMEN CLIENTES'!C:C)</f>
        <v>Ecuador</v>
      </c>
      <c r="D1960" s="44" t="str">
        <f>+_xlfn.XLOOKUP(Tabla6[[#This Row],[ID CLIENTE]],'RESUMEN CLIENTES'!D:D,'RESUMEN CLIENTES'!M:M)</f>
        <v>OK</v>
      </c>
      <c r="E1960" s="71">
        <f>+_xlfn.XLOOKUP(Tabla6[[#This Row],[NOMBRE]],'RESUMEN CLIENTES'!A:A,'RESUMEN CLIENTES'!X:X)</f>
        <v>0</v>
      </c>
      <c r="F1960" s="71">
        <f>+_xlfn.XLOOKUP(Tabla6[[#This Row],[ID CLIENTE]],'RESUMEN CLIENTES'!D:D,'RESUMEN CLIENTES'!W:W)</f>
        <v>1</v>
      </c>
      <c r="G1960" s="17">
        <f>IF($H1960&lt;&gt;"ALEM","",IFERROR(
  DATE(
    YEAR(EDATE(
      _xlfn.XLOOKUP($A1960,'RESUMEN CLIENTES'!$D:$D,'RESUMEN CLIENTES'!$Y:$Y,""),
      7 + COUNTIFS(
            $A$2:INDEX($A:$A,ROW()), $A1960,
            $H$2:INDEX($H:$H,ROW()), "ALEM"
          )
    )),
    MONTH(EDATE(
      _xlfn.XLOOKUP($A1960,'RESUMEN CLIENTES'!$D:$D,'RESUMEN CLIENTES'!$Y:$Y,""),
      7 + COUNTIFS(
            $A$2:INDEX($A:$A,ROW()), $A1960,
            $H$2:INDEX($H:$H,ROW()), "ALEM"
          )
    )),
    1
  ),
"SIN FECHA MIG"))</f>
        <v>46388</v>
      </c>
      <c r="H1960" s="44" t="s">
        <v>1876</v>
      </c>
      <c r="I1960" s="2">
        <v>800</v>
      </c>
      <c r="J1960"/>
      <c r="K1960"/>
      <c r="L1960" s="44" t="str" cm="1">
        <f t="array" ref="L1960">+_xlfn.IFS(COUNTIF(INGRESOS!E:E,Tabla6[[#This Row],[ID FACTURA]])=1,"PAGADA",Tabla6[[#This Row],[ID FACTURA]]&lt;&gt;0,"EMITIDA",Tabla6[[#This Row],[ID FACTURA]]=0,"POR EMITIR")</f>
        <v>POR EMITIR</v>
      </c>
      <c r="M1960" s="55" t="str">
        <f>+IF(Tabla6[[#This Row],[ESTADO FACTURA]]="PAGADA",Tabla6[[#This Row],[FECHA]]-_xlfn.XLOOKUP(Tabla6[[#This Row],[N° FACTURA]],INGRESOS!F:F,INGRESOS!A:A),"-")</f>
        <v>-</v>
      </c>
      <c r="N1960" s="2"/>
      <c r="O1960"/>
    </row>
    <row r="1961" spans="1:15" ht="14.75" customHeight="1">
      <c r="A1961" s="320" t="s">
        <v>574</v>
      </c>
      <c r="B1961" t="str">
        <f>+_xlfn.XLOOKUP(Tabla6[[#This Row],[ID CLIENTE]],'RESUMEN CLIENTES'!D:D,'RESUMEN CLIENTES'!A:A)</f>
        <v>Astrid Mariam Enamorado Ortega</v>
      </c>
      <c r="C1961" t="str">
        <f>+_xlfn.XLOOKUP(Tabla6[[#This Row],[ID CLIENTE]],'RESUMEN CLIENTES'!D:D,'RESUMEN CLIENTES'!C:C)</f>
        <v>Honduras</v>
      </c>
      <c r="D1961" s="44" t="str">
        <f>+_xlfn.XLOOKUP(Tabla6[[#This Row],[ID CLIENTE]],'RESUMEN CLIENTES'!D:D,'RESUMEN CLIENTES'!M:M)</f>
        <v>OK</v>
      </c>
      <c r="E1961" s="72">
        <f>+_xlfn.XLOOKUP(Tabla6[[#This Row],[NOMBRE]],'RESUMEN CLIENTES'!A:A,'RESUMEN CLIENTES'!X:X)</f>
        <v>-1.75</v>
      </c>
      <c r="F1961" s="72">
        <f>+_xlfn.XLOOKUP(Tabla6[[#This Row],[ID CLIENTE]],'RESUMEN CLIENTES'!D:D,'RESUMEN CLIENTES'!W:W)</f>
        <v>0</v>
      </c>
      <c r="G1961" s="17">
        <f>IF($H1961&lt;&gt;"ALEM","",IFERROR(
  DATE(
    YEAR(EDATE(
      _xlfn.XLOOKUP($A1961,'RESUMEN CLIENTES'!$D:$D,'RESUMEN CLIENTES'!$Y:$Y,""),
      7 + COUNTIFS(
            $A$2:INDEX($A:$A,ROW()), $A1961,
            $H$2:INDEX($H:$H,ROW()), "ALEM"
          )
    )),
    MONTH(EDATE(
      _xlfn.XLOOKUP($A1961,'RESUMEN CLIENTES'!$D:$D,'RESUMEN CLIENTES'!$Y:$Y,""),
      7 + COUNTIFS(
            $A$2:INDEX($A:$A,ROW()), $A1961,
            $H$2:INDEX($H:$H,ROW()), "ALEM"
          )
    )),
    1
  ),
"SIN FECHA MIG"))</f>
        <v>46388</v>
      </c>
      <c r="H1961" s="44" t="s">
        <v>1876</v>
      </c>
      <c r="I1961" s="2">
        <v>1000</v>
      </c>
      <c r="J1961"/>
      <c r="K1961"/>
      <c r="L1961" s="44" t="str" cm="1">
        <f t="array" ref="L1961">+_xlfn.IFS(COUNTIF(INGRESOS!E:E,Tabla6[[#This Row],[ID FACTURA]])=1,"PAGADA",Tabla6[[#This Row],[ID FACTURA]]&lt;&gt;0,"EMITIDA",Tabla6[[#This Row],[ID FACTURA]]=0,"POR EMITIR")</f>
        <v>POR EMITIR</v>
      </c>
      <c r="M1961" s="55" t="str">
        <f>+IF(Tabla6[[#This Row],[ESTADO FACTURA]]="PAGADA",Tabla6[[#This Row],[FECHA]]-_xlfn.XLOOKUP(Tabla6[[#This Row],[N° FACTURA]],INGRESOS!F:F,INGRESOS!A:A),"-")</f>
        <v>-</v>
      </c>
      <c r="N1961" s="2"/>
      <c r="O1961"/>
    </row>
    <row r="1962" spans="1:15" ht="14.75" customHeight="1">
      <c r="A1962" s="320" t="s">
        <v>2011</v>
      </c>
      <c r="B1962" t="str">
        <f>+_xlfn.XLOOKUP(Tabla6[[#This Row],[ID CLIENTE]],'RESUMEN CLIENTES'!D:D,'RESUMEN CLIENTES'!A:A)</f>
        <v>Bárbara Fuentes</v>
      </c>
      <c r="C1962" t="str">
        <f>+_xlfn.XLOOKUP(Tabla6[[#This Row],[ID CLIENTE]],'RESUMEN CLIENTES'!D:D,'RESUMEN CLIENTES'!C:C)</f>
        <v>Chile</v>
      </c>
      <c r="D1962" s="169" t="str">
        <f>+_xlfn.XLOOKUP(Tabla6[[#This Row],[ID CLIENTE]],'RESUMEN CLIENTES'!D:D,'RESUMEN CLIENTES'!M:M)</f>
        <v>OK</v>
      </c>
      <c r="E1962" s="71">
        <f>+_xlfn.XLOOKUP(Tabla6[[#This Row],[NOMBRE]],'RESUMEN CLIENTES'!A:A,'RESUMEN CLIENTES'!X:X)</f>
        <v>-0.33333333333333331</v>
      </c>
      <c r="F1962" s="71">
        <f>+_xlfn.XLOOKUP(Tabla6[[#This Row],[ID CLIENTE]],'RESUMEN CLIENTES'!D:D,'RESUMEN CLIENTES'!W:W)</f>
        <v>0</v>
      </c>
      <c r="G1962" s="17">
        <f>IF($H1962&lt;&gt;"ALEM","",IFERROR(
  DATE(
    YEAR(EDATE(
      _xlfn.XLOOKUP($A1962,'RESUMEN CLIENTES'!$D:$D,'RESUMEN CLIENTES'!$Y:$Y,""),
      7 + COUNTIFS(
            $A$2:INDEX($A:$A,ROW()), $A1962,
            $H$2:INDEX($H:$H,ROW()), "ALEM"
          )
    )),
    MONTH(EDATE(
      _xlfn.XLOOKUP($A1962,'RESUMEN CLIENTES'!$D:$D,'RESUMEN CLIENTES'!$Y:$Y,""),
      7 + COUNTIFS(
            $A$2:INDEX($A:$A,ROW()), $A1962,
            $H$2:INDEX($H:$H,ROW()), "ALEM"
          )
    )),
    1
  ),
"null"))</f>
        <v>46388</v>
      </c>
      <c r="H1962" s="169" t="s">
        <v>1876</v>
      </c>
      <c r="I1962" s="2">
        <v>1000</v>
      </c>
      <c r="J1962"/>
      <c r="K1962"/>
      <c r="L1962" s="44" t="str" cm="1">
        <f t="array" ref="L1962">+_xlfn.IFS(COUNTIF(INGRESOS!E:E,Tabla6[[#This Row],[ID FACTURA]])=1,"PAGADA",Tabla6[[#This Row],[ID FACTURA]]&lt;&gt;0,"EMITIDA",Tabla6[[#This Row],[ID FACTURA]]=0,"POR EMITIR")</f>
        <v>POR EMITIR</v>
      </c>
      <c r="M1962" s="54" t="str">
        <f>+IF(Tabla6[[#This Row],[ESTADO FACTURA]]="PAGADA",Tabla6[[#This Row],[FECHA]]-_xlfn.XLOOKUP(Tabla6[[#This Row],[N° FACTURA]],INGRESOS!F:F,INGRESOS!A:A),"-")</f>
        <v>-</v>
      </c>
      <c r="O1962"/>
    </row>
    <row r="1963" spans="1:15" ht="14.75" customHeight="1">
      <c r="A1963" s="320" t="s">
        <v>162</v>
      </c>
      <c r="B1963" t="str">
        <f>+_xlfn.XLOOKUP(Tabla6[[#This Row],[ID CLIENTE]],'RESUMEN CLIENTES'!D:D,'RESUMEN CLIENTES'!A:A)</f>
        <v>Bastian Sofjer Peralta</v>
      </c>
      <c r="C1963" t="str">
        <f>+_xlfn.XLOOKUP(Tabla6[[#This Row],[ID CLIENTE]],'RESUMEN CLIENTES'!D:D,'RESUMEN CLIENTES'!C:C)</f>
        <v>Chile</v>
      </c>
      <c r="D1963" s="44" t="str">
        <f>+_xlfn.XLOOKUP(Tabla6[[#This Row],[ID CLIENTE]],'RESUMEN CLIENTES'!D:D,'RESUMEN CLIENTES'!M:M)</f>
        <v>OK</v>
      </c>
      <c r="E1963" s="72">
        <f>+_xlfn.XLOOKUP(Tabla6[[#This Row],[NOMBRE]],'RESUMEN CLIENTES'!A:A,'RESUMEN CLIENTES'!X:X)</f>
        <v>4.125</v>
      </c>
      <c r="F1963" s="72">
        <f>+_xlfn.XLOOKUP(Tabla6[[#This Row],[ID CLIENTE]],'RESUMEN CLIENTES'!D:D,'RESUMEN CLIENTES'!W:W)</f>
        <v>1</v>
      </c>
      <c r="G1963" s="17">
        <f>IF($H1963&lt;&gt;"ALEM","",IFERROR(
  DATE(
    YEAR(EDATE(
      _xlfn.XLOOKUP($A1963,'RESUMEN CLIENTES'!$D:$D,'RESUMEN CLIENTES'!$Y:$Y,""),
      7 + COUNTIFS(
            $A$2:INDEX($A:$A,ROW()), $A1963,
            $H$2:INDEX($H:$H,ROW()), "ALEM"
          )
    )),
    MONTH(EDATE(
      _xlfn.XLOOKUP($A1963,'RESUMEN CLIENTES'!$D:$D,'RESUMEN CLIENTES'!$Y:$Y,""),
      7 + COUNTIFS(
            $A$2:INDEX($A:$A,ROW()), $A1963,
            $H$2:INDEX($H:$H,ROW()), "ALEM"
          )
    )),
    1
  ),
"SIN FECHA MIG"))</f>
        <v>46388</v>
      </c>
      <c r="H1963" s="44" t="s">
        <v>1876</v>
      </c>
      <c r="I1963" s="2">
        <v>1000</v>
      </c>
      <c r="J1963"/>
      <c r="K1963"/>
      <c r="L1963" s="44" t="str" cm="1">
        <f t="array" ref="L1963">+_xlfn.IFS(COUNTIF(INGRESOS!E:E,Tabla6[[#This Row],[ID FACTURA]])=1,"PAGADA",Tabla6[[#This Row],[ID FACTURA]]&lt;&gt;0,"EMITIDA",Tabla6[[#This Row],[ID FACTURA]]=0,"POR EMITIR")</f>
        <v>POR EMITIR</v>
      </c>
      <c r="M1963" s="55" t="str">
        <f>+IF(Tabla6[[#This Row],[ESTADO FACTURA]]="PAGADA",Tabla6[[#This Row],[FECHA]]-_xlfn.XLOOKUP(Tabla6[[#This Row],[N° FACTURA]],INGRESOS!F:F,INGRESOS!A:A),"-")</f>
        <v>-</v>
      </c>
      <c r="N1963" s="2"/>
      <c r="O1963" t="s">
        <v>2086</v>
      </c>
    </row>
    <row r="1964" spans="1:15" ht="14.75" customHeight="1">
      <c r="A1964" s="320" t="s">
        <v>184</v>
      </c>
      <c r="B1964" t="str">
        <f>+_xlfn.XLOOKUP(Tabla6[[#This Row],[ID CLIENTE]],'RESUMEN CLIENTES'!D:D,'RESUMEN CLIENTES'!A:A)</f>
        <v>Boris Andrés Silva Véliz</v>
      </c>
      <c r="C1964" t="str">
        <f>+_xlfn.XLOOKUP(Tabla6[[#This Row],[ID CLIENTE]],'RESUMEN CLIENTES'!D:D,'RESUMEN CLIENTES'!C:C)</f>
        <v>Chile</v>
      </c>
      <c r="D1964" s="44" t="str">
        <f>+_xlfn.XLOOKUP(Tabla6[[#This Row],[ID CLIENTE]],'RESUMEN CLIENTES'!D:D,'RESUMEN CLIENTES'!M:M)</f>
        <v>OK</v>
      </c>
      <c r="E1964" s="72">
        <f>+_xlfn.XLOOKUP(Tabla6[[#This Row],[NOMBRE]],'RESUMEN CLIENTES'!A:A,'RESUMEN CLIENTES'!X:X)</f>
        <v>2.1111111111111112</v>
      </c>
      <c r="F1964" s="72">
        <f>+_xlfn.XLOOKUP(Tabla6[[#This Row],[ID CLIENTE]],'RESUMEN CLIENTES'!D:D,'RESUMEN CLIENTES'!W:W)</f>
        <v>0</v>
      </c>
      <c r="G1964" s="17">
        <f>IF($H1964&lt;&gt;"ALEM","",IFERROR(
  DATE(
    YEAR(EDATE(
      _xlfn.XLOOKUP($A1964,'RESUMEN CLIENTES'!$D:$D,'RESUMEN CLIENTES'!$Y:$Y,""),
      7 + COUNTIFS(
            $A$2:INDEX($A:$A,ROW()), $A1964,
            $H$2:INDEX($H:$H,ROW()), "ALEM"
          )
    )),
    MONTH(EDATE(
      _xlfn.XLOOKUP($A1964,'RESUMEN CLIENTES'!$D:$D,'RESUMEN CLIENTES'!$Y:$Y,""),
      7 + COUNTIFS(
            $A$2:INDEX($A:$A,ROW()), $A1964,
            $H$2:INDEX($H:$H,ROW()), "ALEM"
          )
    )),
    1
  ),
"SIN FECHA MIG"))</f>
        <v>46388</v>
      </c>
      <c r="H1964" s="44" t="s">
        <v>1876</v>
      </c>
      <c r="I1964" s="2">
        <v>458</v>
      </c>
      <c r="J1964"/>
      <c r="K1964"/>
      <c r="L1964" s="44" t="str" cm="1">
        <f t="array" ref="L1964">+_xlfn.IFS(COUNTIF(INGRESOS!E:E,Tabla6[[#This Row],[ID FACTURA]])=1,"PAGADA",Tabla6[[#This Row],[ID FACTURA]]&lt;&gt;0,"EMITIDA",Tabla6[[#This Row],[ID FACTURA]]=0,"POR EMITIR")</f>
        <v>POR EMITIR</v>
      </c>
      <c r="M1964" s="55" t="str">
        <f>+IF(Tabla6[[#This Row],[ESTADO FACTURA]]="PAGADA",Tabla6[[#This Row],[FECHA]]-_xlfn.XLOOKUP(Tabla6[[#This Row],[N° FACTURA]],INGRESOS!F:F,INGRESOS!A:A),"-")</f>
        <v>-</v>
      </c>
      <c r="N1964" s="2"/>
      <c r="O1964"/>
    </row>
    <row r="1965" spans="1:15" ht="14.75" customHeight="1">
      <c r="A1965" s="320" t="s">
        <v>1206</v>
      </c>
      <c r="B1965" t="str">
        <f>+_xlfn.XLOOKUP(Tabla6[[#This Row],[ID CLIENTE]],'RESUMEN CLIENTES'!D:D,'RESUMEN CLIENTES'!A:A)</f>
        <v>Bryan Israel Jiménez Puente</v>
      </c>
      <c r="C1965" t="str">
        <f>+_xlfn.XLOOKUP(Tabla6[[#This Row],[ID CLIENTE]],'RESUMEN CLIENTES'!D:D,'RESUMEN CLIENTES'!C:C)</f>
        <v>Ecuador</v>
      </c>
      <c r="D1965" s="44" t="str">
        <f>+_xlfn.XLOOKUP(Tabla6[[#This Row],[ID CLIENTE]],'RESUMEN CLIENTES'!D:D,'RESUMEN CLIENTES'!M:M)</f>
        <v>OK</v>
      </c>
      <c r="E1965" s="72">
        <f>+_xlfn.XLOOKUP(Tabla6[[#This Row],[NOMBRE]],'RESUMEN CLIENTES'!A:A,'RESUMEN CLIENTES'!X:X)</f>
        <v>1</v>
      </c>
      <c r="F1965" s="72">
        <f>+_xlfn.XLOOKUP(Tabla6[[#This Row],[ID CLIENTE]],'RESUMEN CLIENTES'!D:D,'RESUMEN CLIENTES'!W:W)</f>
        <v>0</v>
      </c>
      <c r="G1965" s="17">
        <f>IF($H1965&lt;&gt;"ALEM","",IFERROR(
  DATE(
    YEAR(EDATE(
      _xlfn.XLOOKUP($A1965,'RESUMEN CLIENTES'!$D:$D,'RESUMEN CLIENTES'!$Y:$Y,""),
      7 + COUNTIFS(
            $A$2:INDEX($A:$A,ROW()), $A1965,
            $H$2:INDEX($H:$H,ROW()), "ALEM"
          )
    )),
    MONTH(EDATE(
      _xlfn.XLOOKUP($A1965,'RESUMEN CLIENTES'!$D:$D,'RESUMEN CLIENTES'!$Y:$Y,""),
      7 + COUNTIFS(
            $A$2:INDEX($A:$A,ROW()), $A1965,
            $H$2:INDEX($H:$H,ROW()), "ALEM"
          )
    )),
    1
  ),
"SIN FECHA MIG"))</f>
        <v>46388</v>
      </c>
      <c r="H1965" s="44" t="s">
        <v>1876</v>
      </c>
      <c r="I1965" s="2">
        <v>800</v>
      </c>
      <c r="J1965"/>
      <c r="K1965"/>
      <c r="L1965" s="44" t="str" cm="1">
        <f t="array" ref="L1965">+_xlfn.IFS(COUNTIF(INGRESOS!E:E,Tabla6[[#This Row],[ID FACTURA]])=1,"PAGADA",Tabla6[[#This Row],[ID FACTURA]]&lt;&gt;0,"EMITIDA",Tabla6[[#This Row],[ID FACTURA]]=0,"POR EMITIR")</f>
        <v>POR EMITIR</v>
      </c>
      <c r="M1965" s="55" t="str">
        <f>+IF(Tabla6[[#This Row],[ESTADO FACTURA]]="PAGADA",Tabla6[[#This Row],[FECHA]]-_xlfn.XLOOKUP(Tabla6[[#This Row],[N° FACTURA]],INGRESOS!F:F,INGRESOS!A:A),"-")</f>
        <v>-</v>
      </c>
      <c r="N1965" s="2"/>
      <c r="O1965" t="s">
        <v>2084</v>
      </c>
    </row>
    <row r="1966" spans="1:15" ht="14.75" customHeight="1">
      <c r="A1966" s="320" t="s">
        <v>226</v>
      </c>
      <c r="B1966" t="str">
        <f>+_xlfn.XLOOKUP(Tabla6[[#This Row],[ID CLIENTE]],'RESUMEN CLIENTES'!D:D,'RESUMEN CLIENTES'!A:A)</f>
        <v>Carlos Josue Escobar Morán</v>
      </c>
      <c r="C1966" t="str">
        <f>+_xlfn.XLOOKUP(Tabla6[[#This Row],[ID CLIENTE]],'RESUMEN CLIENTES'!D:D,'RESUMEN CLIENTES'!C:C)</f>
        <v>El Salvador</v>
      </c>
      <c r="D1966" s="44" t="str">
        <f>+_xlfn.XLOOKUP(Tabla6[[#This Row],[ID CLIENTE]],'RESUMEN CLIENTES'!D:D,'RESUMEN CLIENTES'!M:M)</f>
        <v>OK</v>
      </c>
      <c r="E1966" s="72">
        <f>+_xlfn.XLOOKUP(Tabla6[[#This Row],[NOMBRE]],'RESUMEN CLIENTES'!A:A,'RESUMEN CLIENTES'!X:X)</f>
        <v>0.8</v>
      </c>
      <c r="F1966" s="72">
        <f>+_xlfn.XLOOKUP(Tabla6[[#This Row],[ID CLIENTE]],'RESUMEN CLIENTES'!D:D,'RESUMEN CLIENTES'!W:W)</f>
        <v>0</v>
      </c>
      <c r="G1966" s="17">
        <f>IF($H1966&lt;&gt;"ALEM","",IFERROR(
  DATE(
    YEAR(EDATE(
      _xlfn.XLOOKUP($A1966,'RESUMEN CLIENTES'!$D:$D,'RESUMEN CLIENTES'!$Y:$Y,""),
      7 + COUNTIFS(
            $A$2:INDEX($A:$A,ROW()), $A1966,
            $H$2:INDEX($H:$H,ROW()), "ALEM"
          )
    )),
    MONTH(EDATE(
      _xlfn.XLOOKUP($A1966,'RESUMEN CLIENTES'!$D:$D,'RESUMEN CLIENTES'!$Y:$Y,""),
      7 + COUNTIFS(
            $A$2:INDEX($A:$A,ROW()), $A1966,
            $H$2:INDEX($H:$H,ROW()), "ALEM"
          )
    )),
    1
  ),
"SIN FECHA MIG"))</f>
        <v>46388</v>
      </c>
      <c r="H1966" s="44" t="s">
        <v>1876</v>
      </c>
      <c r="I1966" s="2">
        <v>500</v>
      </c>
      <c r="J1966"/>
      <c r="K1966"/>
      <c r="L1966" s="44" t="str" cm="1">
        <f t="array" ref="L1966">+_xlfn.IFS(COUNTIF(INGRESOS!E:E,Tabla6[[#This Row],[ID FACTURA]])=1,"PAGADA",Tabla6[[#This Row],[ID FACTURA]]&lt;&gt;0,"EMITIDA",Tabla6[[#This Row],[ID FACTURA]]=0,"POR EMITIR")</f>
        <v>POR EMITIR</v>
      </c>
      <c r="M1966" s="55" t="str">
        <f>+IF(Tabla6[[#This Row],[ESTADO FACTURA]]="PAGADA",Tabla6[[#This Row],[FECHA]]-_xlfn.XLOOKUP(Tabla6[[#This Row],[N° FACTURA]],INGRESOS!F:F,INGRESOS!A:A),"-")</f>
        <v>-</v>
      </c>
      <c r="N1966" s="2"/>
      <c r="O1966"/>
    </row>
    <row r="1967" spans="1:15" ht="14.75" customHeight="1">
      <c r="A1967" s="320" t="s">
        <v>479</v>
      </c>
      <c r="B1967" t="str">
        <f>+_xlfn.XLOOKUP(Tabla6[[#This Row],[ID CLIENTE]],'RESUMEN CLIENTES'!D:D,'RESUMEN CLIENTES'!A:A)</f>
        <v>Carlos Mersaim Olivares Sandoval</v>
      </c>
      <c r="C1967" t="str">
        <f>+_xlfn.XLOOKUP(Tabla6[[#This Row],[ID CLIENTE]],'RESUMEN CLIENTES'!D:D,'RESUMEN CLIENTES'!C:C)</f>
        <v>México</v>
      </c>
      <c r="D1967" s="44" t="str">
        <f>+_xlfn.XLOOKUP(Tabla6[[#This Row],[ID CLIENTE]],'RESUMEN CLIENTES'!D:D,'RESUMEN CLIENTES'!M:M)</f>
        <v>OK</v>
      </c>
      <c r="E1967" s="72">
        <f>+_xlfn.XLOOKUP(Tabla6[[#This Row],[NOMBRE]],'RESUMEN CLIENTES'!A:A,'RESUMEN CLIENTES'!X:X)</f>
        <v>1.4444444444444444</v>
      </c>
      <c r="F1967" s="72">
        <f>+_xlfn.XLOOKUP(Tabla6[[#This Row],[ID CLIENTE]],'RESUMEN CLIENTES'!D:D,'RESUMEN CLIENTES'!W:W)</f>
        <v>0</v>
      </c>
      <c r="G1967" s="17">
        <f>IF($H1967&lt;&gt;"ALEM","",IFERROR(
  DATE(
    YEAR(EDATE(
      _xlfn.XLOOKUP($A1967,'RESUMEN CLIENTES'!$D:$D,'RESUMEN CLIENTES'!$Y:$Y,""),
      7 + COUNTIFS(
            $A$2:INDEX($A:$A,ROW()), $A1967,
            $H$2:INDEX($H:$H,ROW()), "ALEM"
          )
    )),
    MONTH(EDATE(
      _xlfn.XLOOKUP($A1967,'RESUMEN CLIENTES'!$D:$D,'RESUMEN CLIENTES'!$Y:$Y,""),
      7 + COUNTIFS(
            $A$2:INDEX($A:$A,ROW()), $A1967,
            $H$2:INDEX($H:$H,ROW()), "ALEM"
          )
    )),
    1
  ),
"SIN FECHA MIG"))</f>
        <v>46388</v>
      </c>
      <c r="H1967" s="44" t="s">
        <v>1876</v>
      </c>
      <c r="I1967" s="2">
        <v>1000</v>
      </c>
      <c r="J1967"/>
      <c r="K1967"/>
      <c r="L1967" s="44" t="str" cm="1">
        <f t="array" ref="L1967">+_xlfn.IFS(COUNTIF(INGRESOS!E:E,Tabla6[[#This Row],[ID FACTURA]])=1,"PAGADA",Tabla6[[#This Row],[ID FACTURA]]&lt;&gt;0,"EMITIDA",Tabla6[[#This Row],[ID FACTURA]]=0,"POR EMITIR")</f>
        <v>POR EMITIR</v>
      </c>
      <c r="M1967" s="55" t="str">
        <f>+IF(Tabla6[[#This Row],[ESTADO FACTURA]]="PAGADA",Tabla6[[#This Row],[FECHA]]-_xlfn.XLOOKUP(Tabla6[[#This Row],[N° FACTURA]],INGRESOS!F:F,INGRESOS!A:A),"-")</f>
        <v>-</v>
      </c>
      <c r="N1967" s="2"/>
      <c r="O1967"/>
    </row>
    <row r="1968" spans="1:15" ht="14.75" customHeight="1">
      <c r="A1968" s="320" t="s">
        <v>1245</v>
      </c>
      <c r="B1968" t="str">
        <f>+_xlfn.XLOOKUP(Tabla6[[#This Row],[ID CLIENTE]],'RESUMEN CLIENTES'!D:D,'RESUMEN CLIENTES'!A:A)</f>
        <v>Constanza Andrea Águila Vergara</v>
      </c>
      <c r="C1968" t="str">
        <f>+_xlfn.XLOOKUP(Tabla6[[#This Row],[ID CLIENTE]],'RESUMEN CLIENTES'!D:D,'RESUMEN CLIENTES'!C:C)</f>
        <v>Chile</v>
      </c>
      <c r="D1968" s="44" t="str">
        <f>+_xlfn.XLOOKUP(Tabla6[[#This Row],[ID CLIENTE]],'RESUMEN CLIENTES'!D:D,'RESUMEN CLIENTES'!M:M)</f>
        <v>OK</v>
      </c>
      <c r="E1968" s="71">
        <f>+_xlfn.XLOOKUP(Tabla6[[#This Row],[NOMBRE]],'RESUMEN CLIENTES'!A:A,'RESUMEN CLIENTES'!X:X)</f>
        <v>-0.2</v>
      </c>
      <c r="F1968" s="71">
        <f>+_xlfn.XLOOKUP(Tabla6[[#This Row],[ID CLIENTE]],'RESUMEN CLIENTES'!D:D,'RESUMEN CLIENTES'!W:W)</f>
        <v>1</v>
      </c>
      <c r="G1968" s="17">
        <f>IF($H1968&lt;&gt;"ALEM","",IFERROR(
  DATE(
    YEAR(EDATE(
      _xlfn.XLOOKUP($A1968,'RESUMEN CLIENTES'!$D:$D,'RESUMEN CLIENTES'!$Y:$Y,""),
      7 + COUNTIFS(
            $A$2:INDEX($A:$A,ROW()), $A1968,
            $H$2:INDEX($H:$H,ROW()), "ALEM"
          )
    )),
    MONTH(EDATE(
      _xlfn.XLOOKUP($A1968,'RESUMEN CLIENTES'!$D:$D,'RESUMEN CLIENTES'!$Y:$Y,""),
      7 + COUNTIFS(
            $A$2:INDEX($A:$A,ROW()), $A1968,
            $H$2:INDEX($H:$H,ROW()), "ALEM"
          )
    )),
    1
  ),
"SIN FECHA MIG"))</f>
        <v>46388</v>
      </c>
      <c r="H1968" s="44" t="s">
        <v>1876</v>
      </c>
      <c r="I1968" s="2">
        <v>800</v>
      </c>
      <c r="J1968"/>
      <c r="K1968"/>
      <c r="L1968" s="44" t="str" cm="1">
        <f t="array" ref="L1968">+_xlfn.IFS(COUNTIF(INGRESOS!E:E,Tabla6[[#This Row],[ID FACTURA]])=1,"PAGADA",Tabla6[[#This Row],[ID FACTURA]]&lt;&gt;0,"EMITIDA",Tabla6[[#This Row],[ID FACTURA]]=0,"POR EMITIR")</f>
        <v>POR EMITIR</v>
      </c>
      <c r="M1968" s="55" t="str">
        <f>+IF(Tabla6[[#This Row],[ESTADO FACTURA]]="PAGADA",Tabla6[[#This Row],[FECHA]]-_xlfn.XLOOKUP(Tabla6[[#This Row],[N° FACTURA]],INGRESOS!F:F,INGRESOS!A:A),"-")</f>
        <v>-</v>
      </c>
      <c r="N1968" s="2"/>
      <c r="O1968"/>
    </row>
    <row r="1969" spans="1:15" ht="14.75" customHeight="1">
      <c r="A1969" s="320" t="s">
        <v>1178</v>
      </c>
      <c r="B1969" t="str">
        <f>+_xlfn.XLOOKUP(Tabla6[[#This Row],[ID CLIENTE]],'RESUMEN CLIENTES'!D:D,'RESUMEN CLIENTES'!A:A)</f>
        <v>Daniel Flores</v>
      </c>
      <c r="C1969" t="str">
        <f>+_xlfn.XLOOKUP(Tabla6[[#This Row],[ID CLIENTE]],'RESUMEN CLIENTES'!D:D,'RESUMEN CLIENTES'!C:C)</f>
        <v>Ecuador</v>
      </c>
      <c r="D1969" s="44" t="str">
        <f>+_xlfn.XLOOKUP(Tabla6[[#This Row],[ID CLIENTE]],'RESUMEN CLIENTES'!D:D,'RESUMEN CLIENTES'!M:M)</f>
        <v>OK</v>
      </c>
      <c r="E1969" s="72">
        <f>+_xlfn.XLOOKUP(Tabla6[[#This Row],[NOMBRE]],'RESUMEN CLIENTES'!A:A,'RESUMEN CLIENTES'!X:X)</f>
        <v>3.8333333333333335</v>
      </c>
      <c r="F1969" s="72">
        <f>+_xlfn.XLOOKUP(Tabla6[[#This Row],[ID CLIENTE]],'RESUMEN CLIENTES'!D:D,'RESUMEN CLIENTES'!W:W)</f>
        <v>1</v>
      </c>
      <c r="G1969" s="17">
        <v>46388</v>
      </c>
      <c r="H1969" s="44" t="s">
        <v>81</v>
      </c>
      <c r="I1969" s="2">
        <v>850</v>
      </c>
      <c r="J1969"/>
      <c r="K1969"/>
      <c r="L1969" s="44" t="str" cm="1">
        <f t="array" ref="L1969">+_xlfn.IFS(COUNTIF(INGRESOS!E:E,Tabla6[[#This Row],[ID FACTURA]])=1,"PAGADA",Tabla6[[#This Row],[ID FACTURA]]&lt;&gt;0,"EMITIDA",Tabla6[[#This Row],[ID FACTURA]]=0,"POR EMITIR")</f>
        <v>POR EMITIR</v>
      </c>
      <c r="M1969" s="55" t="str">
        <f>+IF(Tabla6[[#This Row],[ESTADO FACTURA]]="PAGADA",Tabla6[[#This Row],[FECHA]]-_xlfn.XLOOKUP(Tabla6[[#This Row],[N° FACTURA]],INGRESOS!F:F,INGRESOS!A:A),"-")</f>
        <v>-</v>
      </c>
      <c r="N1969" s="2"/>
      <c r="O1969"/>
    </row>
    <row r="1970" spans="1:15" ht="14.75" customHeight="1">
      <c r="A1970" s="320" t="s">
        <v>90</v>
      </c>
      <c r="B1970" t="str">
        <f>+_xlfn.XLOOKUP(Tabla6[[#This Row],[ID CLIENTE]],'RESUMEN CLIENTES'!D:D,'RESUMEN CLIENTES'!A:A)</f>
        <v>David Enrique Díaz Mejía</v>
      </c>
      <c r="C1970" t="str">
        <f>+_xlfn.XLOOKUP(Tabla6[[#This Row],[ID CLIENTE]],'RESUMEN CLIENTES'!D:D,'RESUMEN CLIENTES'!C:C)</f>
        <v>Honduras</v>
      </c>
      <c r="D1970" s="44" t="str">
        <f>+_xlfn.XLOOKUP(Tabla6[[#This Row],[ID CLIENTE]],'RESUMEN CLIENTES'!D:D,'RESUMEN CLIENTES'!M:M)</f>
        <v>OK</v>
      </c>
      <c r="E1970" s="72">
        <f>+_xlfn.XLOOKUP(Tabla6[[#This Row],[NOMBRE]],'RESUMEN CLIENTES'!A:A,'RESUMEN CLIENTES'!X:X)</f>
        <v>-15.217592592592862</v>
      </c>
      <c r="F1970" s="72">
        <f>+_xlfn.XLOOKUP(Tabla6[[#This Row],[ID CLIENTE]],'RESUMEN CLIENTES'!D:D,'RESUMEN CLIENTES'!W:W)</f>
        <v>1</v>
      </c>
      <c r="G1970" s="17">
        <f>IF($H1970&lt;&gt;"ALEM","",IFERROR(
  DATE(
    YEAR(EDATE(
      _xlfn.XLOOKUP($A1970,'RESUMEN CLIENTES'!$D:$D,'RESUMEN CLIENTES'!$Y:$Y,""),
      7 + COUNTIFS(
            $A$2:INDEX($A:$A,ROW()), $A1970,
            $H$2:INDEX($H:$H,ROW()), "ALEM"
          )
    )),
    MONTH(EDATE(
      _xlfn.XLOOKUP($A1970,'RESUMEN CLIENTES'!$D:$D,'RESUMEN CLIENTES'!$Y:$Y,""),
      7 + COUNTIFS(
            $A$2:INDEX($A:$A,ROW()), $A1970,
            $H$2:INDEX($H:$H,ROW()), "ALEM"
          )
    )),
    1
  ),
"SIN FECHA MIG"))</f>
        <v>46388</v>
      </c>
      <c r="H1970" s="44" t="s">
        <v>1876</v>
      </c>
      <c r="I1970" s="2">
        <v>1000</v>
      </c>
      <c r="J1970"/>
      <c r="K1970"/>
      <c r="L1970" s="44" t="str" cm="1">
        <f t="array" ref="L1970">+_xlfn.IFS(COUNTIF(INGRESOS!E:E,Tabla6[[#This Row],[ID FACTURA]])=1,"PAGADA",Tabla6[[#This Row],[ID FACTURA]]&lt;&gt;0,"EMITIDA",Tabla6[[#This Row],[ID FACTURA]]=0,"POR EMITIR")</f>
        <v>POR EMITIR</v>
      </c>
      <c r="M1970" s="55" t="str">
        <f>+IF(Tabla6[[#This Row],[ESTADO FACTURA]]="PAGADA",Tabla6[[#This Row],[FECHA]]-_xlfn.XLOOKUP(Tabla6[[#This Row],[N° FACTURA]],INGRESOS!F:F,INGRESOS!A:A),"-")</f>
        <v>-</v>
      </c>
      <c r="N1970" s="2"/>
      <c r="O1970"/>
    </row>
    <row r="1971" spans="1:15" ht="14.75" customHeight="1">
      <c r="A1971" s="320" t="s">
        <v>1674</v>
      </c>
      <c r="B1971" t="str">
        <f>+_xlfn.XLOOKUP(Tabla6[[#This Row],[ID CLIENTE]],'RESUMEN CLIENTES'!D:D,'RESUMEN CLIENTES'!A:A)</f>
        <v>Diego Alberto Ruiz Cifuentes</v>
      </c>
      <c r="C1971" t="str">
        <f>+_xlfn.XLOOKUP(Tabla6[[#This Row],[ID CLIENTE]],'RESUMEN CLIENTES'!D:D,'RESUMEN CLIENTES'!C:C)</f>
        <v>Chile</v>
      </c>
      <c r="D1971" s="169" t="str">
        <f>+_xlfn.XLOOKUP(Tabla6[[#This Row],[ID CLIENTE]],'RESUMEN CLIENTES'!D:D,'RESUMEN CLIENTES'!M:M)</f>
        <v>OK</v>
      </c>
      <c r="E1971" s="71">
        <f>+_xlfn.XLOOKUP(Tabla6[[#This Row],[NOMBRE]],'RESUMEN CLIENTES'!A:A,'RESUMEN CLIENTES'!X:X)</f>
        <v>5.75</v>
      </c>
      <c r="F1971" s="71">
        <f>+_xlfn.XLOOKUP(Tabla6[[#This Row],[ID CLIENTE]],'RESUMEN CLIENTES'!D:D,'RESUMEN CLIENTES'!W:W)</f>
        <v>0</v>
      </c>
      <c r="G1971" s="17">
        <f>IF($H1971&lt;&gt;"ALEM","",IFERROR(
  DATE(
    YEAR(EDATE(
      _xlfn.XLOOKUP($A1971,'RESUMEN CLIENTES'!$D:$D,'RESUMEN CLIENTES'!$Y:$Y,""),
      7 + COUNTIFS(
            $A$2:INDEX($A:$A,ROW()), $A1971,
            $H$2:INDEX($H:$H,ROW()), "ALEM"
          )
    )),
    MONTH(EDATE(
      _xlfn.XLOOKUP($A1971,'RESUMEN CLIENTES'!$D:$D,'RESUMEN CLIENTES'!$Y:$Y,""),
      7 + COUNTIFS(
            $A$2:INDEX($A:$A,ROW()), $A1971,
            $H$2:INDEX($H:$H,ROW()), "ALEM"
          )
    )),
    1
  ),
"SIN FECHA MIG"))</f>
        <v>46388</v>
      </c>
      <c r="H1971" s="169" t="s">
        <v>1876</v>
      </c>
      <c r="I1971" s="2">
        <v>800</v>
      </c>
      <c r="J1971"/>
      <c r="K1971"/>
      <c r="L1971" s="44" t="str" cm="1">
        <f t="array" ref="L1971">+_xlfn.IFS(COUNTIF(INGRESOS!E:E,Tabla6[[#This Row],[ID FACTURA]])=1,"PAGADA",Tabla6[[#This Row],[ID FACTURA]]&lt;&gt;0,"EMITIDA",Tabla6[[#This Row],[ID FACTURA]]=0,"POR EMITIR")</f>
        <v>POR EMITIR</v>
      </c>
      <c r="M1971" s="55" t="str">
        <f>+IF(Tabla6[[#This Row],[ESTADO FACTURA]]="PAGADA",Tabla6[[#This Row],[FECHA]]-_xlfn.XLOOKUP(Tabla6[[#This Row],[N° FACTURA]],INGRESOS!F:F,INGRESOS!A:A),"-")</f>
        <v>-</v>
      </c>
      <c r="N1971" s="2"/>
      <c r="O1971"/>
    </row>
    <row r="1972" spans="1:15" ht="14.75" customHeight="1">
      <c r="A1972" s="320" t="s">
        <v>253</v>
      </c>
      <c r="B1972" t="str">
        <f>+_xlfn.XLOOKUP(Tabla6[[#This Row],[ID CLIENTE]],'RESUMEN CLIENTES'!D:D,'RESUMEN CLIENTES'!A:A)</f>
        <v>Diego Alonso Salazar Palacios</v>
      </c>
      <c r="C1972" t="str">
        <f>+_xlfn.XLOOKUP(Tabla6[[#This Row],[ID CLIENTE]],'RESUMEN CLIENTES'!D:D,'RESUMEN CLIENTES'!C:C)</f>
        <v>Perú</v>
      </c>
      <c r="D1972" s="44" t="str">
        <f>+_xlfn.XLOOKUP(Tabla6[[#This Row],[ID CLIENTE]],'RESUMEN CLIENTES'!D:D,'RESUMEN CLIENTES'!M:M)</f>
        <v>OK</v>
      </c>
      <c r="E1972" s="72">
        <f>+_xlfn.XLOOKUP(Tabla6[[#This Row],[NOMBRE]],'RESUMEN CLIENTES'!A:A,'RESUMEN CLIENTES'!X:X)</f>
        <v>0.18560606059988707</v>
      </c>
      <c r="F1972" s="72">
        <f>+_xlfn.XLOOKUP(Tabla6[[#This Row],[ID CLIENTE]],'RESUMEN CLIENTES'!D:D,'RESUMEN CLIENTES'!W:W)</f>
        <v>1</v>
      </c>
      <c r="G1972" s="17">
        <f>IF($H1972&lt;&gt;"ALEM","",IFERROR(
  DATE(
    YEAR(EDATE(
      _xlfn.XLOOKUP($A1972,'RESUMEN CLIENTES'!$D:$D,'RESUMEN CLIENTES'!$Y:$Y,""),
      7 + COUNTIFS(
            $A$2:INDEX($A:$A,ROW()), $A1972,
            $H$2:INDEX($H:$H,ROW()), "ALEM"
          )
    )),
    MONTH(EDATE(
      _xlfn.XLOOKUP($A1972,'RESUMEN CLIENTES'!$D:$D,'RESUMEN CLIENTES'!$Y:$Y,""),
      7 + COUNTIFS(
            $A$2:INDEX($A:$A,ROW()), $A1972,
            $H$2:INDEX($H:$H,ROW()), "ALEM"
          )
    )),
    1
  ),
"SIN FECHA MIG"))</f>
        <v>46388</v>
      </c>
      <c r="H1972" s="44" t="s">
        <v>1876</v>
      </c>
      <c r="I1972" s="2">
        <v>1000</v>
      </c>
      <c r="J1972"/>
      <c r="K1972"/>
      <c r="L1972" s="44" t="str" cm="1">
        <f t="array" ref="L1972">+_xlfn.IFS(COUNTIF(INGRESOS!E:E,Tabla6[[#This Row],[ID FACTURA]])=1,"PAGADA",Tabla6[[#This Row],[ID FACTURA]]&lt;&gt;0,"EMITIDA",Tabla6[[#This Row],[ID FACTURA]]=0,"POR EMITIR")</f>
        <v>POR EMITIR</v>
      </c>
      <c r="M1972" s="55" t="str">
        <f>+IF(Tabla6[[#This Row],[ESTADO FACTURA]]="PAGADA",Tabla6[[#This Row],[FECHA]]-_xlfn.XLOOKUP(Tabla6[[#This Row],[N° FACTURA]],INGRESOS!F:F,INGRESOS!A:A),"-")</f>
        <v>-</v>
      </c>
      <c r="N1972" s="2"/>
      <c r="O1972"/>
    </row>
    <row r="1973" spans="1:15" ht="14.75" customHeight="1">
      <c r="A1973" s="320" t="s">
        <v>739</v>
      </c>
      <c r="B1973" t="str">
        <f>+_xlfn.XLOOKUP(Tabla6[[#This Row],[ID CLIENTE]],'RESUMEN CLIENTES'!D:D,'RESUMEN CLIENTES'!A:A)</f>
        <v>Gilberto Martiñon Torres</v>
      </c>
      <c r="C1973" t="str">
        <f>+_xlfn.XLOOKUP(Tabla6[[#This Row],[ID CLIENTE]],'RESUMEN CLIENTES'!D:D,'RESUMEN CLIENTES'!C:C)</f>
        <v>México</v>
      </c>
      <c r="D1973" s="44" t="str">
        <f>+_xlfn.XLOOKUP(Tabla6[[#This Row],[ID CLIENTE]],'RESUMEN CLIENTES'!D:D,'RESUMEN CLIENTES'!M:M)</f>
        <v>OK</v>
      </c>
      <c r="E1973" s="72">
        <f>+_xlfn.XLOOKUP(Tabla6[[#This Row],[NOMBRE]],'RESUMEN CLIENTES'!A:A,'RESUMEN CLIENTES'!X:X)</f>
        <v>-0.625</v>
      </c>
      <c r="F1973" s="72">
        <f>+_xlfn.XLOOKUP(Tabla6[[#This Row],[ID CLIENTE]],'RESUMEN CLIENTES'!D:D,'RESUMEN CLIENTES'!W:W)</f>
        <v>0</v>
      </c>
      <c r="G1973" s="17">
        <f>IF($H1973&lt;&gt;"ALEM","",IFERROR(
  DATE(
    YEAR(EDATE(
      _xlfn.XLOOKUP($A1973,'RESUMEN CLIENTES'!$D:$D,'RESUMEN CLIENTES'!$Y:$Y,""),
      7 + COUNTIFS(
            $A$2:INDEX($A:$A,ROW()), $A1973,
            $H$2:INDEX($H:$H,ROW()), "ALEM"
          )
    )),
    MONTH(EDATE(
      _xlfn.XLOOKUP($A1973,'RESUMEN CLIENTES'!$D:$D,'RESUMEN CLIENTES'!$Y:$Y,""),
      7 + COUNTIFS(
            $A$2:INDEX($A:$A,ROW()), $A1973,
            $H$2:INDEX($H:$H,ROW()), "ALEM"
          )
    )),
    1
  ),
"SIN FECHA MIG"))</f>
        <v>46388</v>
      </c>
      <c r="H1973" s="44" t="s">
        <v>1876</v>
      </c>
      <c r="I1973" s="2">
        <v>1000</v>
      </c>
      <c r="J1973"/>
      <c r="K1973"/>
      <c r="L1973" s="44" t="str" cm="1">
        <f t="array" ref="L1973">+_xlfn.IFS(COUNTIF(INGRESOS!E:E,Tabla6[[#This Row],[ID FACTURA]])=1,"PAGADA",Tabla6[[#This Row],[ID FACTURA]]&lt;&gt;0,"EMITIDA",Tabla6[[#This Row],[ID FACTURA]]=0,"POR EMITIR")</f>
        <v>POR EMITIR</v>
      </c>
      <c r="M1973" s="55" t="str">
        <f>+IF(Tabla6[[#This Row],[ESTADO FACTURA]]="PAGADA",Tabla6[[#This Row],[FECHA]]-_xlfn.XLOOKUP(Tabla6[[#This Row],[N° FACTURA]],INGRESOS!F:F,INGRESOS!A:A),"-")</f>
        <v>-</v>
      </c>
      <c r="N1973" s="2"/>
      <c r="O1973" t="s">
        <v>2084</v>
      </c>
    </row>
    <row r="1974" spans="1:15" ht="14.75" customHeight="1">
      <c r="A1974" s="320" t="s">
        <v>1428</v>
      </c>
      <c r="B1974" t="str">
        <f>+_xlfn.XLOOKUP(Tabla6[[#This Row],[ID CLIENTE]],'RESUMEN CLIENTES'!D:D,'RESUMEN CLIENTES'!A:A)</f>
        <v>Javier Bravo Castelo</v>
      </c>
      <c r="C1974" t="str">
        <f>+_xlfn.XLOOKUP(Tabla6[[#This Row],[ID CLIENTE]],'RESUMEN CLIENTES'!D:D,'RESUMEN CLIENTES'!C:C)</f>
        <v>Colombia</v>
      </c>
      <c r="D1974" s="44" t="str">
        <f>+_xlfn.XLOOKUP(Tabla6[[#This Row],[ID CLIENTE]],'RESUMEN CLIENTES'!D:D,'RESUMEN CLIENTES'!M:M)</f>
        <v>OK</v>
      </c>
      <c r="E1974" s="71">
        <f>+_xlfn.XLOOKUP(Tabla6[[#This Row],[NOMBRE]],'RESUMEN CLIENTES'!A:A,'RESUMEN CLIENTES'!X:X)</f>
        <v>-0.33333333333333331</v>
      </c>
      <c r="F1974" s="71">
        <f>+_xlfn.XLOOKUP(Tabla6[[#This Row],[ID CLIENTE]],'RESUMEN CLIENTES'!D:D,'RESUMEN CLIENTES'!W:W)</f>
        <v>0</v>
      </c>
      <c r="G1974" s="17">
        <f>IF($H1974&lt;&gt;"ALEM","",IFERROR(
  DATE(
    YEAR(EDATE(
      _xlfn.XLOOKUP($A1974,'RESUMEN CLIENTES'!$D:$D,'RESUMEN CLIENTES'!$Y:$Y,""),
      7 + COUNTIFS(
            $A$2:INDEX($A:$A,ROW()), $A1974,
            $H$2:INDEX($H:$H,ROW()), "ALEM"
          )
    )),
    MONTH(EDATE(
      _xlfn.XLOOKUP($A1974,'RESUMEN CLIENTES'!$D:$D,'RESUMEN CLIENTES'!$Y:$Y,""),
      7 + COUNTIFS(
            $A$2:INDEX($A:$A,ROW()), $A1974,
            $H$2:INDEX($H:$H,ROW()), "ALEM"
          )
    )),
    1
  ),
"SIN FECHA MIG"))</f>
        <v>46388</v>
      </c>
      <c r="H1974" s="169" t="s">
        <v>1876</v>
      </c>
      <c r="I1974" s="2">
        <v>800</v>
      </c>
      <c r="J1974"/>
      <c r="K1974"/>
      <c r="L1974" s="44" t="str" cm="1">
        <f t="array" ref="L1974">+_xlfn.IFS(COUNTIF(INGRESOS!E:E,Tabla6[[#This Row],[ID FACTURA]])=1,"PAGADA",Tabla6[[#This Row],[ID FACTURA]]&lt;&gt;0,"EMITIDA",Tabla6[[#This Row],[ID FACTURA]]=0,"POR EMITIR")</f>
        <v>POR EMITIR</v>
      </c>
      <c r="M1974" s="55" t="str">
        <f>+IF(Tabla6[[#This Row],[ESTADO FACTURA]]="PAGADA",Tabla6[[#This Row],[FECHA]]-_xlfn.XLOOKUP(Tabla6[[#This Row],[N° FACTURA]],INGRESOS!F:F,INGRESOS!A:A),"-")</f>
        <v>-</v>
      </c>
      <c r="N1974" s="2"/>
      <c r="O1974" t="s">
        <v>2084</v>
      </c>
    </row>
    <row r="1975" spans="1:15" ht="14.75" customHeight="1">
      <c r="A1975" s="321" t="s">
        <v>1899</v>
      </c>
      <c r="B1975" t="str">
        <f>+_xlfn.XLOOKUP(Tabla6[[#This Row],[ID CLIENTE]],'RESUMEN CLIENTES'!D:D,'RESUMEN CLIENTES'!A:A)</f>
        <v>Johan Martínez</v>
      </c>
      <c r="C1975" t="str">
        <f>+_xlfn.XLOOKUP(Tabla6[[#This Row],[ID CLIENTE]],'RESUMEN CLIENTES'!D:D,'RESUMEN CLIENTES'!C:C)</f>
        <v>Colombia</v>
      </c>
      <c r="D1975" s="169" t="str">
        <f>+_xlfn.XLOOKUP(Tabla6[[#This Row],[ID CLIENTE]],'RESUMEN CLIENTES'!D:D,'RESUMEN CLIENTES'!M:M)</f>
        <v>OK</v>
      </c>
      <c r="E1975" s="71">
        <f>+_xlfn.XLOOKUP(Tabla6[[#This Row],[NOMBRE]],'RESUMEN CLIENTES'!A:A,'RESUMEN CLIENTES'!X:X)</f>
        <v>-0.66666666666666663</v>
      </c>
      <c r="F1975" s="71">
        <f>+_xlfn.XLOOKUP(Tabla6[[#This Row],[ID CLIENTE]],'RESUMEN CLIENTES'!D:D,'RESUMEN CLIENTES'!W:W)</f>
        <v>0</v>
      </c>
      <c r="G1975" s="17">
        <v>46388</v>
      </c>
      <c r="H1975" s="169" t="s">
        <v>81</v>
      </c>
      <c r="I1975" s="2">
        <v>1000</v>
      </c>
      <c r="J1975"/>
      <c r="K1975"/>
      <c r="L1975" s="44" t="str" cm="1">
        <f t="array" ref="L1975">+_xlfn.IFS(COUNTIF(INGRESOS!E:E,Tabla6[[#This Row],[ID FACTURA]])=1,"PAGADA",Tabla6[[#This Row],[ID FACTURA]]&lt;&gt;0,"EMITIDA",Tabla6[[#This Row],[ID FACTURA]]=0,"POR EMITIR")</f>
        <v>POR EMITIR</v>
      </c>
      <c r="M1975" s="54" t="str">
        <f>+IF(Tabla6[[#This Row],[ESTADO FACTURA]]="PAGADA",Tabla6[[#This Row],[FECHA]]-_xlfn.XLOOKUP(Tabla6[[#This Row],[N° FACTURA]],INGRESOS!F:F,INGRESOS!A:A),"-")</f>
        <v>-</v>
      </c>
      <c r="O1975"/>
    </row>
    <row r="1976" spans="1:15" ht="14.75" customHeight="1">
      <c r="A1976" s="320" t="s">
        <v>142</v>
      </c>
      <c r="B1976" t="str">
        <f>+_xlfn.XLOOKUP(Tabla6[[#This Row],[ID CLIENTE]],'RESUMEN CLIENTES'!D:D,'RESUMEN CLIENTES'!A:A)</f>
        <v>Jordan Eliecer Toledo Bravo</v>
      </c>
      <c r="C1976" t="str">
        <f>+_xlfn.XLOOKUP(Tabla6[[#This Row],[ID CLIENTE]],'RESUMEN CLIENTES'!D:D,'RESUMEN CLIENTES'!C:C)</f>
        <v>Chile</v>
      </c>
      <c r="D1976" s="169" t="str">
        <f>+_xlfn.XLOOKUP(Tabla6[[#This Row],[ID CLIENTE]],'RESUMEN CLIENTES'!D:D,'RESUMEN CLIENTES'!M:M)</f>
        <v>OK</v>
      </c>
      <c r="E1976" s="71">
        <f>+_xlfn.XLOOKUP(Tabla6[[#This Row],[NOMBRE]],'RESUMEN CLIENTES'!A:A,'RESUMEN CLIENTES'!X:X)</f>
        <v>-1.6153846153846154</v>
      </c>
      <c r="F1976" s="71">
        <f>+_xlfn.XLOOKUP(Tabla6[[#This Row],[ID CLIENTE]],'RESUMEN CLIENTES'!D:D,'RESUMEN CLIENTES'!W:W)</f>
        <v>0</v>
      </c>
      <c r="G1976" s="17">
        <f>IF($H1976&lt;&gt;"ALEM","",IFERROR(
  DATE(
    YEAR(EDATE(
      _xlfn.XLOOKUP($A1976,'RESUMEN CLIENTES'!$D:$D,'RESUMEN CLIENTES'!$Y:$Y,""),
      7 + COUNTIFS(
            $A$2:INDEX($A:$A,ROW()), $A1976,
            $H$2:INDEX($H:$H,ROW()), "ALEM"
          )
    )),
    MONTH(EDATE(
      _xlfn.XLOOKUP($A1976,'RESUMEN CLIENTES'!$D:$D,'RESUMEN CLIENTES'!$Y:$Y,""),
      7 + COUNTIFS(
            $A$2:INDEX($A:$A,ROW()), $A1976,
            $H$2:INDEX($H:$H,ROW()), "ALEM"
          )
    )),
    1
  ),
"null"))</f>
        <v>46388</v>
      </c>
      <c r="H1976" s="169" t="s">
        <v>1876</v>
      </c>
      <c r="I1976" s="2">
        <v>1000</v>
      </c>
      <c r="J1976"/>
      <c r="K1976"/>
      <c r="L1976" s="44" t="str" cm="1">
        <f t="array" ref="L1976">+_xlfn.IFS(COUNTIF(INGRESOS!E:E,Tabla6[[#This Row],[ID FACTURA]])=1,"PAGADA",Tabla6[[#This Row],[ID FACTURA]]&lt;&gt;0,"EMITIDA",Tabla6[[#This Row],[ID FACTURA]]=0,"POR EMITIR")</f>
        <v>POR EMITIR</v>
      </c>
      <c r="M1976" s="54" t="str">
        <f>+IF(Tabla6[[#This Row],[ESTADO FACTURA]]="PAGADA",Tabla6[[#This Row],[FECHA]]-_xlfn.XLOOKUP(Tabla6[[#This Row],[N° FACTURA]],INGRESOS!F:F,INGRESOS!A:A),"-")</f>
        <v>-</v>
      </c>
      <c r="O1976"/>
    </row>
    <row r="1977" spans="1:15" ht="14.75" customHeight="1">
      <c r="A1977" s="320" t="s">
        <v>333</v>
      </c>
      <c r="B1977" t="str">
        <f>+_xlfn.XLOOKUP(Tabla6[[#This Row],[ID CLIENTE]],'RESUMEN CLIENTES'!D:D,'RESUMEN CLIENTES'!A:A)</f>
        <v>Jorge Augusto Cámbara Vargas</v>
      </c>
      <c r="C1977" t="str">
        <f>+_xlfn.XLOOKUP(Tabla6[[#This Row],[ID CLIENTE]],'RESUMEN CLIENTES'!D:D,'RESUMEN CLIENTES'!C:C)</f>
        <v>Guatemala</v>
      </c>
      <c r="D1977" s="44" t="str">
        <f>+_xlfn.XLOOKUP(Tabla6[[#This Row],[ID CLIENTE]],'RESUMEN CLIENTES'!D:D,'RESUMEN CLIENTES'!M:M)</f>
        <v>OK</v>
      </c>
      <c r="E1977" s="72">
        <f>+_xlfn.XLOOKUP(Tabla6[[#This Row],[NOMBRE]],'RESUMEN CLIENTES'!A:A,'RESUMEN CLIENTES'!X:X)</f>
        <v>0.1157407407331953</v>
      </c>
      <c r="F1977" s="72">
        <f>+_xlfn.XLOOKUP(Tabla6[[#This Row],[ID CLIENTE]],'RESUMEN CLIENTES'!D:D,'RESUMEN CLIENTES'!W:W)</f>
        <v>1</v>
      </c>
      <c r="G1977" s="17">
        <f>IF($H1977&lt;&gt;"ALEM","",IFERROR(
  DATE(
    YEAR(EDATE(
      _xlfn.XLOOKUP($A1977,'RESUMEN CLIENTES'!$D:$D,'RESUMEN CLIENTES'!$Y:$Y,""),
      7 + COUNTIFS(
            $A$2:INDEX($A:$A,ROW()), $A1977,
            $H$2:INDEX($H:$H,ROW()), "ALEM"
          )
    )),
    MONTH(EDATE(
      _xlfn.XLOOKUP($A1977,'RESUMEN CLIENTES'!$D:$D,'RESUMEN CLIENTES'!$Y:$Y,""),
      7 + COUNTIFS(
            $A$2:INDEX($A:$A,ROW()), $A1977,
            $H$2:INDEX($H:$H,ROW()), "ALEM"
          )
    )),
    1
  ),
"SIN FECHA MIG"))</f>
        <v>46388</v>
      </c>
      <c r="H1977" s="44" t="s">
        <v>1876</v>
      </c>
      <c r="I1977" s="2">
        <v>900</v>
      </c>
      <c r="J1977"/>
      <c r="K1977"/>
      <c r="L1977" s="44" t="str" cm="1">
        <f t="array" ref="L1977">+_xlfn.IFS(COUNTIF(INGRESOS!E:E,Tabla6[[#This Row],[ID FACTURA]])=1,"PAGADA",Tabla6[[#This Row],[ID FACTURA]]&lt;&gt;0,"EMITIDA",Tabla6[[#This Row],[ID FACTURA]]=0,"POR EMITIR")</f>
        <v>POR EMITIR</v>
      </c>
      <c r="M1977" s="55" t="str">
        <f>+IF(Tabla6[[#This Row],[ESTADO FACTURA]]="PAGADA",Tabla6[[#This Row],[FECHA]]-_xlfn.XLOOKUP(Tabla6[[#This Row],[N° FACTURA]],INGRESOS!F:F,INGRESOS!A:A),"-")</f>
        <v>-</v>
      </c>
      <c r="N1977" s="2"/>
      <c r="O1977"/>
    </row>
    <row r="1978" spans="1:15" ht="14.75" customHeight="1">
      <c r="A1978" s="320" t="s">
        <v>87</v>
      </c>
      <c r="B1978" t="str">
        <f>+_xlfn.XLOOKUP(Tabla6[[#This Row],[ID CLIENTE]],'RESUMEN CLIENTES'!D:D,'RESUMEN CLIENTES'!A:A)</f>
        <v>Jose Marcelo Marroquín Guzmán</v>
      </c>
      <c r="C1978" t="str">
        <f>+_xlfn.XLOOKUP(Tabla6[[#This Row],[ID CLIENTE]],'RESUMEN CLIENTES'!D:D,'RESUMEN CLIENTES'!C:C)</f>
        <v>El Salvador</v>
      </c>
      <c r="D1978" s="44" t="str">
        <f>+_xlfn.XLOOKUP(Tabla6[[#This Row],[ID CLIENTE]],'RESUMEN CLIENTES'!D:D,'RESUMEN CLIENTES'!M:M)</f>
        <v>OK</v>
      </c>
      <c r="E1978" s="72">
        <f>+_xlfn.XLOOKUP(Tabla6[[#This Row],[NOMBRE]],'RESUMEN CLIENTES'!A:A,'RESUMEN CLIENTES'!X:X)</f>
        <v>-1.5833333333333333</v>
      </c>
      <c r="F1978" s="72">
        <f>+_xlfn.XLOOKUP(Tabla6[[#This Row],[ID CLIENTE]],'RESUMEN CLIENTES'!D:D,'RESUMEN CLIENTES'!W:W)</f>
        <v>1</v>
      </c>
      <c r="G1978" s="17">
        <f>IF($H1978&lt;&gt;"ALEM","",IFERROR(
  DATE(
    YEAR(EDATE(
      _xlfn.XLOOKUP($A1978,'RESUMEN CLIENTES'!$D:$D,'RESUMEN CLIENTES'!$Y:$Y,""),
      7 + COUNTIFS(
            $A$2:INDEX($A:$A,ROW()), $A1978,
            $H$2:INDEX($H:$H,ROW()), "ALEM"
          )
    )),
    MONTH(EDATE(
      _xlfn.XLOOKUP($A1978,'RESUMEN CLIENTES'!$D:$D,'RESUMEN CLIENTES'!$Y:$Y,""),
      7 + COUNTIFS(
            $A$2:INDEX($A:$A,ROW()), $A1978,
            $H$2:INDEX($H:$H,ROW()), "ALEM"
          )
    )),
    1
  ),
"SIN FECHA MIG"))</f>
        <v>46388</v>
      </c>
      <c r="H1978" s="44" t="s">
        <v>1876</v>
      </c>
      <c r="I1978" s="2">
        <v>800</v>
      </c>
      <c r="J1978"/>
      <c r="K1978"/>
      <c r="L1978" s="44" t="str" cm="1">
        <f t="array" ref="L1978">+_xlfn.IFS(COUNTIF(INGRESOS!E:E,Tabla6[[#This Row],[ID FACTURA]])=1,"PAGADA",Tabla6[[#This Row],[ID FACTURA]]&lt;&gt;0,"EMITIDA",Tabla6[[#This Row],[ID FACTURA]]=0,"POR EMITIR")</f>
        <v>POR EMITIR</v>
      </c>
      <c r="M1978" s="55" t="str">
        <f>+IF(Tabla6[[#This Row],[ESTADO FACTURA]]="PAGADA",Tabla6[[#This Row],[FECHA]]-_xlfn.XLOOKUP(Tabla6[[#This Row],[N° FACTURA]],INGRESOS!F:F,INGRESOS!A:A),"-")</f>
        <v>-</v>
      </c>
      <c r="N1978" s="2"/>
      <c r="O1978" t="s">
        <v>2085</v>
      </c>
    </row>
    <row r="1979" spans="1:15" ht="14.75" customHeight="1">
      <c r="A1979" s="320" t="s">
        <v>955</v>
      </c>
      <c r="B1979" t="str">
        <f>+_xlfn.XLOOKUP(Tabla6[[#This Row],[ID CLIENTE]],'RESUMEN CLIENTES'!D:D,'RESUMEN CLIENTES'!A:A)</f>
        <v>Judith Elizabeth Lopez Sanchez</v>
      </c>
      <c r="C1979" t="str">
        <f>+_xlfn.XLOOKUP(Tabla6[[#This Row],[ID CLIENTE]],'RESUMEN CLIENTES'!D:D,'RESUMEN CLIENTES'!C:C)</f>
        <v>Perú</v>
      </c>
      <c r="D1979" s="44" t="str">
        <f>+_xlfn.XLOOKUP(Tabla6[[#This Row],[ID CLIENTE]],'RESUMEN CLIENTES'!D:D,'RESUMEN CLIENTES'!M:M)</f>
        <v>OK</v>
      </c>
      <c r="E1979" s="72">
        <f>+_xlfn.XLOOKUP(Tabla6[[#This Row],[NOMBRE]],'RESUMEN CLIENTES'!A:A,'RESUMEN CLIENTES'!X:X)</f>
        <v>0.2857142857142857</v>
      </c>
      <c r="F1979" s="72">
        <f>+_xlfn.XLOOKUP(Tabla6[[#This Row],[ID CLIENTE]],'RESUMEN CLIENTES'!D:D,'RESUMEN CLIENTES'!W:W)</f>
        <v>1</v>
      </c>
      <c r="G1979" s="17">
        <f>IF($H1979&lt;&gt;"ALEM","",IFERROR(
  DATE(
    YEAR(EDATE(
      _xlfn.XLOOKUP($A1979,'RESUMEN CLIENTES'!$D:$D,'RESUMEN CLIENTES'!$Y:$Y,""),
      7 + COUNTIFS(
            $A$2:INDEX($A:$A,ROW()), $A1979,
            $H$2:INDEX($H:$H,ROW()), "ALEM"
          )
    )),
    MONTH(EDATE(
      _xlfn.XLOOKUP($A1979,'RESUMEN CLIENTES'!$D:$D,'RESUMEN CLIENTES'!$Y:$Y,""),
      7 + COUNTIFS(
            $A$2:INDEX($A:$A,ROW()), $A1979,
            $H$2:INDEX($H:$H,ROW()), "ALEM"
          )
    )),
    1
  ),
"SIN FECHA MIG"))</f>
        <v>46388</v>
      </c>
      <c r="H1979" s="44" t="s">
        <v>1876</v>
      </c>
      <c r="I1979" s="2">
        <v>1000</v>
      </c>
      <c r="J1979"/>
      <c r="K1979"/>
      <c r="L1979" s="44" t="str" cm="1">
        <f t="array" ref="L1979">+_xlfn.IFS(COUNTIF(INGRESOS!E:E,Tabla6[[#This Row],[ID FACTURA]])=1,"PAGADA",Tabla6[[#This Row],[ID FACTURA]]&lt;&gt;0,"EMITIDA",Tabla6[[#This Row],[ID FACTURA]]=0,"POR EMITIR")</f>
        <v>POR EMITIR</v>
      </c>
      <c r="M1979" s="55" t="str">
        <f>+IF(Tabla6[[#This Row],[ESTADO FACTURA]]="PAGADA",Tabla6[[#This Row],[FECHA]]-_xlfn.XLOOKUP(Tabla6[[#This Row],[N° FACTURA]],INGRESOS!F:F,INGRESOS!A:A),"-")</f>
        <v>-</v>
      </c>
      <c r="N1979" s="2"/>
      <c r="O1979" t="s">
        <v>2084</v>
      </c>
    </row>
    <row r="1980" spans="1:15" ht="14.75" customHeight="1">
      <c r="A1980" s="320" t="s">
        <v>468</v>
      </c>
      <c r="B1980" t="str">
        <f>+_xlfn.XLOOKUP(Tabla6[[#This Row],[ID CLIENTE]],'RESUMEN CLIENTES'!D:D,'RESUMEN CLIENTES'!A:A)</f>
        <v>Julian Medina</v>
      </c>
      <c r="C1980" t="str">
        <f>+_xlfn.XLOOKUP(Tabla6[[#This Row],[ID CLIENTE]],'RESUMEN CLIENTES'!D:D,'RESUMEN CLIENTES'!C:C)</f>
        <v>Ecuador</v>
      </c>
      <c r="D1980" s="44" t="str">
        <f>+_xlfn.XLOOKUP(Tabla6[[#This Row],[ID CLIENTE]],'RESUMEN CLIENTES'!D:D,'RESUMEN CLIENTES'!M:M)</f>
        <v>OK</v>
      </c>
      <c r="E1980" s="72">
        <f>+_xlfn.XLOOKUP(Tabla6[[#This Row],[NOMBRE]],'RESUMEN CLIENTES'!A:A,'RESUMEN CLIENTES'!X:X)</f>
        <v>-0.5</v>
      </c>
      <c r="F1980" s="72">
        <f>+_xlfn.XLOOKUP(Tabla6[[#This Row],[ID CLIENTE]],'RESUMEN CLIENTES'!D:D,'RESUMEN CLIENTES'!W:W)</f>
        <v>0</v>
      </c>
      <c r="G1980" s="17">
        <f>IF($H1980&lt;&gt;"ALEM","",IFERROR(
  DATE(
    YEAR(EDATE(
      _xlfn.XLOOKUP($A1980,'RESUMEN CLIENTES'!$D:$D,'RESUMEN CLIENTES'!$Y:$Y,""),
      7 + COUNTIFS(
            $A$2:INDEX($A:$A,ROW()), $A1980,
            $H$2:INDEX($H:$H,ROW()), "ALEM"
          )
    )),
    MONTH(EDATE(
      _xlfn.XLOOKUP($A1980,'RESUMEN CLIENTES'!$D:$D,'RESUMEN CLIENTES'!$Y:$Y,""),
      7 + COUNTIFS(
            $A$2:INDEX($A:$A,ROW()), $A1980,
            $H$2:INDEX($H:$H,ROW()), "ALEM"
          )
    )),
    1
  ),
"SIN FECHA MIG"))</f>
        <v>46388</v>
      </c>
      <c r="H1980" s="44" t="s">
        <v>1876</v>
      </c>
      <c r="I1980" s="2">
        <v>1000</v>
      </c>
      <c r="J1980"/>
      <c r="K1980"/>
      <c r="L1980" s="44" t="str" cm="1">
        <f t="array" ref="L1980">+_xlfn.IFS(COUNTIF(INGRESOS!E:E,Tabla6[[#This Row],[ID FACTURA]])=1,"PAGADA",Tabla6[[#This Row],[ID FACTURA]]&lt;&gt;0,"EMITIDA",Tabla6[[#This Row],[ID FACTURA]]=0,"POR EMITIR")</f>
        <v>POR EMITIR</v>
      </c>
      <c r="M1980" s="55" t="str">
        <f>+IF(Tabla6[[#This Row],[ESTADO FACTURA]]="PAGADA",Tabla6[[#This Row],[FECHA]]-_xlfn.XLOOKUP(Tabla6[[#This Row],[N° FACTURA]],INGRESOS!F:F,INGRESOS!A:A),"-")</f>
        <v>-</v>
      </c>
      <c r="N1980" s="2"/>
      <c r="O1980"/>
    </row>
    <row r="1981" spans="1:15" ht="14.75" customHeight="1">
      <c r="A1981" s="320" t="s">
        <v>372</v>
      </c>
      <c r="B1981" t="str">
        <f>+_xlfn.XLOOKUP(Tabla6[[#This Row],[ID CLIENTE]],'RESUMEN CLIENTES'!D:D,'RESUMEN CLIENTES'!A:A)</f>
        <v>Julio Nelson Adaros Moraga</v>
      </c>
      <c r="C1981" t="str">
        <f>+_xlfn.XLOOKUP(Tabla6[[#This Row],[ID CLIENTE]],'RESUMEN CLIENTES'!D:D,'RESUMEN CLIENTES'!C:C)</f>
        <v>Chile</v>
      </c>
      <c r="D1981" s="44" t="str">
        <f>+_xlfn.XLOOKUP(Tabla6[[#This Row],[ID CLIENTE]],'RESUMEN CLIENTES'!D:D,'RESUMEN CLIENTES'!M:M)</f>
        <v>OK</v>
      </c>
      <c r="E1981" s="72">
        <f>+_xlfn.XLOOKUP(Tabla6[[#This Row],[NOMBRE]],'RESUMEN CLIENTES'!A:A,'RESUMEN CLIENTES'!X:X)</f>
        <v>1</v>
      </c>
      <c r="F1981" s="72">
        <f>+_xlfn.XLOOKUP(Tabla6[[#This Row],[ID CLIENTE]],'RESUMEN CLIENTES'!D:D,'RESUMEN CLIENTES'!W:W)</f>
        <v>1</v>
      </c>
      <c r="G1981" s="17">
        <f>IF($H1981&lt;&gt;"ALEM","",IFERROR(
  DATE(
    YEAR(EDATE(
      _xlfn.XLOOKUP($A1981,'RESUMEN CLIENTES'!$D:$D,'RESUMEN CLIENTES'!$Y:$Y,""),
      7 + COUNTIFS(
            $A$2:INDEX($A:$A,ROW()), $A1981,
            $H$2:INDEX($H:$H,ROW()), "ALEM"
          )
    )),
    MONTH(EDATE(
      _xlfn.XLOOKUP($A1981,'RESUMEN CLIENTES'!$D:$D,'RESUMEN CLIENTES'!$Y:$Y,""),
      7 + COUNTIFS(
            $A$2:INDEX($A:$A,ROW()), $A1981,
            $H$2:INDEX($H:$H,ROW()), "ALEM"
          )
    )),
    1
  ),
"SIN FECHA MIG"))</f>
        <v>46388</v>
      </c>
      <c r="H1981" s="44" t="s">
        <v>1876</v>
      </c>
      <c r="I1981" s="2">
        <v>1000</v>
      </c>
      <c r="J1981"/>
      <c r="K1981"/>
      <c r="L1981" s="44" t="str" cm="1">
        <f t="array" ref="L1981">+_xlfn.IFS(COUNTIF(INGRESOS!E:E,Tabla6[[#This Row],[ID FACTURA]])=1,"PAGADA",Tabla6[[#This Row],[ID FACTURA]]&lt;&gt;0,"EMITIDA",Tabla6[[#This Row],[ID FACTURA]]=0,"POR EMITIR")</f>
        <v>POR EMITIR</v>
      </c>
      <c r="M1981" s="55" t="str">
        <f>+IF(Tabla6[[#This Row],[ESTADO FACTURA]]="PAGADA",Tabla6[[#This Row],[FECHA]]-_xlfn.XLOOKUP(Tabla6[[#This Row],[N° FACTURA]],INGRESOS!F:F,INGRESOS!A:A),"-")</f>
        <v>-</v>
      </c>
      <c r="N1981" s="2"/>
      <c r="O1981"/>
    </row>
    <row r="1982" spans="1:15" ht="14.75" customHeight="1">
      <c r="A1982" s="320" t="s">
        <v>587</v>
      </c>
      <c r="B1982" t="str">
        <f>+_xlfn.XLOOKUP(Tabla6[[#This Row],[ID CLIENTE]],'RESUMEN CLIENTES'!D:D,'RESUMEN CLIENTES'!A:A)</f>
        <v>Keidwin Perez</v>
      </c>
      <c r="C1982" t="str">
        <f>+_xlfn.XLOOKUP(Tabla6[[#This Row],[ID CLIENTE]],'RESUMEN CLIENTES'!D:D,'RESUMEN CLIENTES'!C:C)</f>
        <v>Colombia</v>
      </c>
      <c r="D1982" s="44" t="str">
        <f>+_xlfn.XLOOKUP(Tabla6[[#This Row],[ID CLIENTE]],'RESUMEN CLIENTES'!D:D,'RESUMEN CLIENTES'!M:M)</f>
        <v>OK</v>
      </c>
      <c r="E1982" s="72">
        <f>+_xlfn.XLOOKUP(Tabla6[[#This Row],[NOMBRE]],'RESUMEN CLIENTES'!A:A,'RESUMEN CLIENTES'!X:X)</f>
        <v>-4.25</v>
      </c>
      <c r="F1982" s="72">
        <f>+_xlfn.XLOOKUP(Tabla6[[#This Row],[ID CLIENTE]],'RESUMEN CLIENTES'!D:D,'RESUMEN CLIENTES'!W:W)</f>
        <v>1</v>
      </c>
      <c r="G1982" s="17">
        <f>IF($H1982&lt;&gt;"ALEM","",IFERROR(
  DATE(
    YEAR(EDATE(
      _xlfn.XLOOKUP($A1982,'RESUMEN CLIENTES'!$D:$D,'RESUMEN CLIENTES'!$Y:$Y,""),
      7 + COUNTIFS(
            $A$2:INDEX($A:$A,ROW()), $A1982,
            $H$2:INDEX($H:$H,ROW()), "ALEM"
          )
    )),
    MONTH(EDATE(
      _xlfn.XLOOKUP($A1982,'RESUMEN CLIENTES'!$D:$D,'RESUMEN CLIENTES'!$Y:$Y,""),
      7 + COUNTIFS(
            $A$2:INDEX($A:$A,ROW()), $A1982,
            $H$2:INDEX($H:$H,ROW()), "ALEM"
          )
    )),
    1
  ),
"SIN FECHA MIG"))</f>
        <v>46388</v>
      </c>
      <c r="H1982" s="44" t="s">
        <v>1876</v>
      </c>
      <c r="I1982" s="2">
        <v>1000</v>
      </c>
      <c r="J1982"/>
      <c r="K1982"/>
      <c r="L1982" s="44" t="str" cm="1">
        <f t="array" ref="L1982">+_xlfn.IFS(COUNTIF(INGRESOS!E:E,Tabla6[[#This Row],[ID FACTURA]])=1,"PAGADA",Tabla6[[#This Row],[ID FACTURA]]&lt;&gt;0,"EMITIDA",Tabla6[[#This Row],[ID FACTURA]]=0,"POR EMITIR")</f>
        <v>POR EMITIR</v>
      </c>
      <c r="M1982" s="55" t="str">
        <f>+IF(Tabla6[[#This Row],[ESTADO FACTURA]]="PAGADA",Tabla6[[#This Row],[FECHA]]-_xlfn.XLOOKUP(Tabla6[[#This Row],[N° FACTURA]],INGRESOS!F:F,INGRESOS!A:A),"-")</f>
        <v>-</v>
      </c>
      <c r="N1982" s="2"/>
      <c r="O1982"/>
    </row>
    <row r="1983" spans="1:15" ht="14.75" customHeight="1">
      <c r="A1983" s="320" t="s">
        <v>441</v>
      </c>
      <c r="B1983" t="str">
        <f>+_xlfn.XLOOKUP(Tabla6[[#This Row],[ID CLIENTE]],'RESUMEN CLIENTES'!D:D,'RESUMEN CLIENTES'!A:A)</f>
        <v>Luis Manuel Villanueva Contreras</v>
      </c>
      <c r="C1983" t="str">
        <f>+_xlfn.XLOOKUP(Tabla6[[#This Row],[ID CLIENTE]],'RESUMEN CLIENTES'!D:D,'RESUMEN CLIENTES'!C:C)</f>
        <v>México</v>
      </c>
      <c r="D1983" s="44" t="str">
        <f>+_xlfn.XLOOKUP(Tabla6[[#This Row],[ID CLIENTE]],'RESUMEN CLIENTES'!D:D,'RESUMEN CLIENTES'!M:M)</f>
        <v>OK</v>
      </c>
      <c r="E1983" s="72">
        <f>+_xlfn.XLOOKUP(Tabla6[[#This Row],[NOMBRE]],'RESUMEN CLIENTES'!A:A,'RESUMEN CLIENTES'!X:X)</f>
        <v>0.55555555555555558</v>
      </c>
      <c r="F1983" s="72">
        <f>+_xlfn.XLOOKUP(Tabla6[[#This Row],[ID CLIENTE]],'RESUMEN CLIENTES'!D:D,'RESUMEN CLIENTES'!W:W)</f>
        <v>0</v>
      </c>
      <c r="G1983" s="17">
        <f>IF($H1983&lt;&gt;"ALEM","",IFERROR(
  DATE(
    YEAR(EDATE(
      _xlfn.XLOOKUP($A1983,'RESUMEN CLIENTES'!$D:$D,'RESUMEN CLIENTES'!$Y:$Y,""),
      7 + COUNTIFS(
            $A$2:INDEX($A:$A,ROW()), $A1983,
            $H$2:INDEX($H:$H,ROW()), "ALEM"
          )
    )),
    MONTH(EDATE(
      _xlfn.XLOOKUP($A1983,'RESUMEN CLIENTES'!$D:$D,'RESUMEN CLIENTES'!$Y:$Y,""),
      7 + COUNTIFS(
            $A$2:INDEX($A:$A,ROW()), $A1983,
            $H$2:INDEX($H:$H,ROW()), "ALEM"
          )
    )),
    1
  ),
"SIN FECHA MIG"))</f>
        <v>46388</v>
      </c>
      <c r="H1983" s="44" t="s">
        <v>1876</v>
      </c>
      <c r="I1983" s="2">
        <v>1000</v>
      </c>
      <c r="J1983"/>
      <c r="K1983"/>
      <c r="L1983" s="44" t="str" cm="1">
        <f t="array" ref="L1983">+_xlfn.IFS(COUNTIF(INGRESOS!E:E,Tabla6[[#This Row],[ID FACTURA]])=1,"PAGADA",Tabla6[[#This Row],[ID FACTURA]]&lt;&gt;0,"EMITIDA",Tabla6[[#This Row],[ID FACTURA]]=0,"POR EMITIR")</f>
        <v>POR EMITIR</v>
      </c>
      <c r="M1983" s="55" t="str">
        <f>+IF(Tabla6[[#This Row],[ESTADO FACTURA]]="PAGADA",Tabla6[[#This Row],[FECHA]]-_xlfn.XLOOKUP(Tabla6[[#This Row],[N° FACTURA]],INGRESOS!F:F,INGRESOS!A:A),"-")</f>
        <v>-</v>
      </c>
      <c r="N1983" s="2"/>
      <c r="O1983"/>
    </row>
    <row r="1984" spans="1:15" ht="14.75" customHeight="1">
      <c r="A1984" s="320" t="s">
        <v>274</v>
      </c>
      <c r="B1984" t="str">
        <f>+_xlfn.XLOOKUP(Tabla6[[#This Row],[ID CLIENTE]],'RESUMEN CLIENTES'!D:D,'RESUMEN CLIENTES'!A:A)</f>
        <v>María de los Ángeles Gutiérrez Quevedo</v>
      </c>
      <c r="C1984" t="str">
        <f>+_xlfn.XLOOKUP(Tabla6[[#This Row],[ID CLIENTE]],'RESUMEN CLIENTES'!D:D,'RESUMEN CLIENTES'!C:C)</f>
        <v>Chile</v>
      </c>
      <c r="D1984" s="44" t="str">
        <f>+_xlfn.XLOOKUP(Tabla6[[#This Row],[ID CLIENTE]],'RESUMEN CLIENTES'!D:D,'RESUMEN CLIENTES'!M:M)</f>
        <v>OK</v>
      </c>
      <c r="E1984" s="72">
        <f>+_xlfn.XLOOKUP(Tabla6[[#This Row],[NOMBRE]],'RESUMEN CLIENTES'!A:A,'RESUMEN CLIENTES'!X:X)</f>
        <v>0.22222222222222221</v>
      </c>
      <c r="F1984" s="72">
        <f>+_xlfn.XLOOKUP(Tabla6[[#This Row],[ID CLIENTE]],'RESUMEN CLIENTES'!D:D,'RESUMEN CLIENTES'!W:W)</f>
        <v>1</v>
      </c>
      <c r="G1984" s="17">
        <f>IF($H1984&lt;&gt;"ALEM","",IFERROR(
  DATE(
    YEAR(EDATE(
      _xlfn.XLOOKUP($A1984,'RESUMEN CLIENTES'!$D:$D,'RESUMEN CLIENTES'!$Y:$Y,""),
      7 + COUNTIFS(
            $A$2:INDEX($A:$A,ROW()), $A1984,
            $H$2:INDEX($H:$H,ROW()), "ALEM"
          )
    )),
    MONTH(EDATE(
      _xlfn.XLOOKUP($A1984,'RESUMEN CLIENTES'!$D:$D,'RESUMEN CLIENTES'!$Y:$Y,""),
      7 + COUNTIFS(
            $A$2:INDEX($A:$A,ROW()), $A1984,
            $H$2:INDEX($H:$H,ROW()), "ALEM"
          )
    )),
    1
  ),
"SIN FECHA MIG"))</f>
        <v>46388</v>
      </c>
      <c r="H1984" s="44" t="s">
        <v>1876</v>
      </c>
      <c r="I1984" s="2">
        <v>1000</v>
      </c>
      <c r="J1984"/>
      <c r="K1984"/>
      <c r="L1984" s="44" t="str" cm="1">
        <f t="array" ref="L1984">+_xlfn.IFS(COUNTIF(INGRESOS!E:E,Tabla6[[#This Row],[ID FACTURA]])=1,"PAGADA",Tabla6[[#This Row],[ID FACTURA]]&lt;&gt;0,"EMITIDA",Tabla6[[#This Row],[ID FACTURA]]=0,"POR EMITIR")</f>
        <v>POR EMITIR</v>
      </c>
      <c r="M1984" s="55" t="str">
        <f>+IF(Tabla6[[#This Row],[ESTADO FACTURA]]="PAGADA",Tabla6[[#This Row],[FECHA]]-_xlfn.XLOOKUP(Tabla6[[#This Row],[N° FACTURA]],INGRESOS!F:F,INGRESOS!A:A),"-")</f>
        <v>-</v>
      </c>
      <c r="N1984" s="2"/>
      <c r="O1984" t="s">
        <v>2084</v>
      </c>
    </row>
    <row r="1985" spans="1:15" ht="14.75" customHeight="1">
      <c r="A1985" s="320" t="s">
        <v>247</v>
      </c>
      <c r="B1985" t="str">
        <f>+_xlfn.XLOOKUP(Tabla6[[#This Row],[ID CLIENTE]],'RESUMEN CLIENTES'!D:D,'RESUMEN CLIENTES'!A:A)</f>
        <v>Nancy Gisselle Molinari Cheme</v>
      </c>
      <c r="C1985" t="str">
        <f>+_xlfn.XLOOKUP(Tabla6[[#This Row],[ID CLIENTE]],'RESUMEN CLIENTES'!D:D,'RESUMEN CLIENTES'!C:C)</f>
        <v>Perú</v>
      </c>
      <c r="D1985" s="44" t="str">
        <f>+_xlfn.XLOOKUP(Tabla6[[#This Row],[ID CLIENTE]],'RESUMEN CLIENTES'!D:D,'RESUMEN CLIENTES'!M:M)</f>
        <v>OK</v>
      </c>
      <c r="E1985" s="72">
        <f>+_xlfn.XLOOKUP(Tabla6[[#This Row],[NOMBRE]],'RESUMEN CLIENTES'!A:A,'RESUMEN CLIENTES'!X:X)</f>
        <v>0.9</v>
      </c>
      <c r="F1985" s="72">
        <f>+_xlfn.XLOOKUP(Tabla6[[#This Row],[ID CLIENTE]],'RESUMEN CLIENTES'!D:D,'RESUMEN CLIENTES'!W:W)</f>
        <v>1</v>
      </c>
      <c r="G1985" s="17">
        <f>IF($H1985&lt;&gt;"ALEM","",IFERROR(
  DATE(
    YEAR(EDATE(
      _xlfn.XLOOKUP($A1985,'RESUMEN CLIENTES'!$D:$D,'RESUMEN CLIENTES'!$Y:$Y,""),
      7 + COUNTIFS(
            $A$2:INDEX($A:$A,ROW()), $A1985,
            $H$2:INDEX($H:$H,ROW()), "ALEM"
          )
    )),
    MONTH(EDATE(
      _xlfn.XLOOKUP($A1985,'RESUMEN CLIENTES'!$D:$D,'RESUMEN CLIENTES'!$Y:$Y,""),
      7 + COUNTIFS(
            $A$2:INDEX($A:$A,ROW()), $A1985,
            $H$2:INDEX($H:$H,ROW()), "ALEM"
          )
    )),
    1
  ),
"SIN FECHA MIG"))</f>
        <v>46388</v>
      </c>
      <c r="H1985" s="44" t="s">
        <v>1876</v>
      </c>
      <c r="I1985" s="2">
        <v>1000</v>
      </c>
      <c r="J1985"/>
      <c r="K1985"/>
      <c r="L1985" s="44" t="str" cm="1">
        <f t="array" ref="L1985">+_xlfn.IFS(COUNTIF(INGRESOS!E:E,Tabla6[[#This Row],[ID FACTURA]])=1,"PAGADA",Tabla6[[#This Row],[ID FACTURA]]&lt;&gt;0,"EMITIDA",Tabla6[[#This Row],[ID FACTURA]]=0,"POR EMITIR")</f>
        <v>POR EMITIR</v>
      </c>
      <c r="M1985" s="55" t="str">
        <f>+IF(Tabla6[[#This Row],[ESTADO FACTURA]]="PAGADA",Tabla6[[#This Row],[FECHA]]-_xlfn.XLOOKUP(Tabla6[[#This Row],[N° FACTURA]],INGRESOS!F:F,INGRESOS!A:A),"-")</f>
        <v>-</v>
      </c>
      <c r="N1985" s="2"/>
      <c r="O1985"/>
    </row>
    <row r="1986" spans="1:15" ht="14.75" customHeight="1">
      <c r="A1986" s="320" t="s">
        <v>455</v>
      </c>
      <c r="B1986" t="str">
        <f>+_xlfn.XLOOKUP(Tabla6[[#This Row],[ID CLIENTE]],'RESUMEN CLIENTES'!D:D,'RESUMEN CLIENTES'!A:A)</f>
        <v>Paola Hitos</v>
      </c>
      <c r="C1986" t="str">
        <f>+_xlfn.XLOOKUP(Tabla6[[#This Row],[ID CLIENTE]],'RESUMEN CLIENTES'!D:D,'RESUMEN CLIENTES'!C:C)</f>
        <v>México</v>
      </c>
      <c r="D1986" s="44" t="str">
        <f>+_xlfn.XLOOKUP(Tabla6[[#This Row],[ID CLIENTE]],'RESUMEN CLIENTES'!D:D,'RESUMEN CLIENTES'!M:M)</f>
        <v>OK</v>
      </c>
      <c r="E1986" s="72">
        <f>+_xlfn.XLOOKUP(Tabla6[[#This Row],[NOMBRE]],'RESUMEN CLIENTES'!A:A,'RESUMEN CLIENTES'!X:X)</f>
        <v>-0.55555555555555558</v>
      </c>
      <c r="F1986" s="72">
        <f>+_xlfn.XLOOKUP(Tabla6[[#This Row],[ID CLIENTE]],'RESUMEN CLIENTES'!D:D,'RESUMEN CLIENTES'!W:W)</f>
        <v>1</v>
      </c>
      <c r="G1986" s="17">
        <f>IF($H1986&lt;&gt;"ALEM","",IFERROR(
  DATE(
    YEAR(EDATE(
      _xlfn.XLOOKUP($A1986,'RESUMEN CLIENTES'!$D:$D,'RESUMEN CLIENTES'!$Y:$Y,""),
      7 + COUNTIFS(
            $A$2:INDEX($A:$A,ROW()), $A1986,
            $H$2:INDEX($H:$H,ROW()), "ALEM"
          )
    )),
    MONTH(EDATE(
      _xlfn.XLOOKUP($A1986,'RESUMEN CLIENTES'!$D:$D,'RESUMEN CLIENTES'!$Y:$Y,""),
      7 + COUNTIFS(
            $A$2:INDEX($A:$A,ROW()), $A1986,
            $H$2:INDEX($H:$H,ROW()), "ALEM"
          )
    )),
    1
  ),
"SIN FECHA MIG"))</f>
        <v>46388</v>
      </c>
      <c r="H1986" s="44" t="s">
        <v>1876</v>
      </c>
      <c r="I1986" s="2">
        <v>1000</v>
      </c>
      <c r="J1986"/>
      <c r="K1986"/>
      <c r="L1986" s="44" t="str" cm="1">
        <f t="array" ref="L1986">+_xlfn.IFS(COUNTIF(INGRESOS!E:E,Tabla6[[#This Row],[ID FACTURA]])=1,"PAGADA",Tabla6[[#This Row],[ID FACTURA]]&lt;&gt;0,"EMITIDA",Tabla6[[#This Row],[ID FACTURA]]=0,"POR EMITIR")</f>
        <v>POR EMITIR</v>
      </c>
      <c r="M1986" s="55" t="str">
        <f>+IF(Tabla6[[#This Row],[ESTADO FACTURA]]="PAGADA",Tabla6[[#This Row],[FECHA]]-_xlfn.XLOOKUP(Tabla6[[#This Row],[N° FACTURA]],INGRESOS!F:F,INGRESOS!A:A),"-")</f>
        <v>-</v>
      </c>
      <c r="N1986" s="2"/>
      <c r="O1986"/>
    </row>
    <row r="1987" spans="1:15" ht="14.75" customHeight="1">
      <c r="A1987" s="320" t="s">
        <v>275</v>
      </c>
      <c r="B1987" t="str">
        <f>+_xlfn.XLOOKUP(Tabla6[[#This Row],[ID CLIENTE]],'RESUMEN CLIENTES'!D:D,'RESUMEN CLIENTES'!A:A)</f>
        <v>Rodrigo Alfonso Busse Hernández</v>
      </c>
      <c r="C1987" t="str">
        <f>+_xlfn.XLOOKUP(Tabla6[[#This Row],[ID CLIENTE]],'RESUMEN CLIENTES'!D:D,'RESUMEN CLIENTES'!C:C)</f>
        <v>Chile</v>
      </c>
      <c r="D1987" s="44" t="str">
        <f>+_xlfn.XLOOKUP(Tabla6[[#This Row],[ID CLIENTE]],'RESUMEN CLIENTES'!D:D,'RESUMEN CLIENTES'!M:M)</f>
        <v>OK</v>
      </c>
      <c r="E1987" s="72">
        <f>+_xlfn.XLOOKUP(Tabla6[[#This Row],[NOMBRE]],'RESUMEN CLIENTES'!A:A,'RESUMEN CLIENTES'!X:X)</f>
        <v>0.33333333333333331</v>
      </c>
      <c r="F1987" s="72">
        <f>+_xlfn.XLOOKUP(Tabla6[[#This Row],[ID CLIENTE]],'RESUMEN CLIENTES'!D:D,'RESUMEN CLIENTES'!W:W)</f>
        <v>1</v>
      </c>
      <c r="G1987" s="17">
        <f>IF($H1987&lt;&gt;"ALEM","",IFERROR(
  DATE(
    YEAR(EDATE(
      _xlfn.XLOOKUP($A1987,'RESUMEN CLIENTES'!$D:$D,'RESUMEN CLIENTES'!$Y:$Y,""),
      7 + COUNTIFS(
            $A$2:INDEX($A:$A,ROW()), $A1987,
            $H$2:INDEX($H:$H,ROW()), "ALEM"
          )
    )),
    MONTH(EDATE(
      _xlfn.XLOOKUP($A1987,'RESUMEN CLIENTES'!$D:$D,'RESUMEN CLIENTES'!$Y:$Y,""),
      7 + COUNTIFS(
            $A$2:INDEX($A:$A,ROW()), $A1987,
            $H$2:INDEX($H:$H,ROW()), "ALEM"
          )
    )),
    1
  ),
"SIN FECHA MIG"))</f>
        <v>46388</v>
      </c>
      <c r="H1987" s="44" t="s">
        <v>1876</v>
      </c>
      <c r="I1987" s="2">
        <v>750</v>
      </c>
      <c r="J1987"/>
      <c r="K1987"/>
      <c r="L1987" s="44" t="str" cm="1">
        <f t="array" ref="L1987">+_xlfn.IFS(COUNTIF(INGRESOS!E:E,Tabla6[[#This Row],[ID FACTURA]])=1,"PAGADA",Tabla6[[#This Row],[ID FACTURA]]&lt;&gt;0,"EMITIDA",Tabla6[[#This Row],[ID FACTURA]]=0,"POR EMITIR")</f>
        <v>POR EMITIR</v>
      </c>
      <c r="M1987" s="55" t="str">
        <f>+IF(Tabla6[[#This Row],[ESTADO FACTURA]]="PAGADA",Tabla6[[#This Row],[FECHA]]-_xlfn.XLOOKUP(Tabla6[[#This Row],[N° FACTURA]],INGRESOS!F:F,INGRESOS!A:A),"-")</f>
        <v>-</v>
      </c>
      <c r="N1987" s="2"/>
      <c r="O1987" t="s">
        <v>2084</v>
      </c>
    </row>
    <row r="1988" spans="1:15" ht="14.75" customHeight="1">
      <c r="A1988" s="320" t="s">
        <v>281</v>
      </c>
      <c r="B1988" t="str">
        <f>+_xlfn.XLOOKUP(Tabla6[[#This Row],[ID CLIENTE]],'RESUMEN CLIENTES'!D:D,'RESUMEN CLIENTES'!A:A)</f>
        <v>Sergio Francisco Garcia Sandoval</v>
      </c>
      <c r="C1988" t="str">
        <f>+_xlfn.XLOOKUP(Tabla6[[#This Row],[ID CLIENTE]],'RESUMEN CLIENTES'!D:D,'RESUMEN CLIENTES'!C:C)</f>
        <v>Perú</v>
      </c>
      <c r="D1988" s="44" t="str">
        <f>+_xlfn.XLOOKUP(Tabla6[[#This Row],[ID CLIENTE]],'RESUMEN CLIENTES'!D:D,'RESUMEN CLIENTES'!M:M)</f>
        <v>OK</v>
      </c>
      <c r="E1988" s="72">
        <f>+_xlfn.XLOOKUP(Tabla6[[#This Row],[NOMBRE]],'RESUMEN CLIENTES'!A:A,'RESUMEN CLIENTES'!X:X)</f>
        <v>0.88888888888888884</v>
      </c>
      <c r="F1988" s="72">
        <f>+_xlfn.XLOOKUP(Tabla6[[#This Row],[ID CLIENTE]],'RESUMEN CLIENTES'!D:D,'RESUMEN CLIENTES'!W:W)</f>
        <v>1</v>
      </c>
      <c r="G1988" s="17">
        <f>IF($H1988&lt;&gt;"ALEM","",IFERROR(
  DATE(
    YEAR(EDATE(
      _xlfn.XLOOKUP($A1988,'RESUMEN CLIENTES'!$D:$D,'RESUMEN CLIENTES'!$Y:$Y,""),
      7 + COUNTIFS(
            $A$2:INDEX($A:$A,ROW()), $A1988,
            $H$2:INDEX($H:$H,ROW()), "ALEM"
          )
    )),
    MONTH(EDATE(
      _xlfn.XLOOKUP($A1988,'RESUMEN CLIENTES'!$D:$D,'RESUMEN CLIENTES'!$Y:$Y,""),
      7 + COUNTIFS(
            $A$2:INDEX($A:$A,ROW()), $A1988,
            $H$2:INDEX($H:$H,ROW()), "ALEM"
          )
    )),
    1
  ),
"SIN FECHA MIG"))</f>
        <v>46388</v>
      </c>
      <c r="H1988" s="44" t="s">
        <v>1876</v>
      </c>
      <c r="I1988" s="2">
        <v>1000</v>
      </c>
      <c r="J1988"/>
      <c r="K1988"/>
      <c r="L1988" s="44" t="str" cm="1">
        <f t="array" ref="L1988">+_xlfn.IFS(COUNTIF(INGRESOS!E:E,Tabla6[[#This Row],[ID FACTURA]])=1,"PAGADA",Tabla6[[#This Row],[ID FACTURA]]&lt;&gt;0,"EMITIDA",Tabla6[[#This Row],[ID FACTURA]]=0,"POR EMITIR")</f>
        <v>POR EMITIR</v>
      </c>
      <c r="M1988" s="55" t="str">
        <f>+IF(Tabla6[[#This Row],[ESTADO FACTURA]]="PAGADA",Tabla6[[#This Row],[FECHA]]-_xlfn.XLOOKUP(Tabla6[[#This Row],[N° FACTURA]],INGRESOS!F:F,INGRESOS!A:A),"-")</f>
        <v>-</v>
      </c>
      <c r="N1988" s="2"/>
      <c r="O1988"/>
    </row>
    <row r="1989" spans="1:15" ht="14.75" customHeight="1">
      <c r="A1989" s="320" t="s">
        <v>716</v>
      </c>
      <c r="B1989" t="str">
        <f>+_xlfn.XLOOKUP(Tabla6[[#This Row],[ID CLIENTE]],'RESUMEN CLIENTES'!D:D,'RESUMEN CLIENTES'!A:A)</f>
        <v>Sofia Martínez Restrepo</v>
      </c>
      <c r="C1989" t="str">
        <f>+_xlfn.XLOOKUP(Tabla6[[#This Row],[ID CLIENTE]],'RESUMEN CLIENTES'!D:D,'RESUMEN CLIENTES'!C:C)</f>
        <v>Colombia</v>
      </c>
      <c r="D1989" s="44" t="str">
        <f>+_xlfn.XLOOKUP(Tabla6[[#This Row],[ID CLIENTE]],'RESUMEN CLIENTES'!D:D,'RESUMEN CLIENTES'!M:M)</f>
        <v>OK</v>
      </c>
      <c r="E1989" s="72">
        <f>+_xlfn.XLOOKUP(Tabla6[[#This Row],[NOMBRE]],'RESUMEN CLIENTES'!A:A,'RESUMEN CLIENTES'!X:X)</f>
        <v>-0.33333333333333331</v>
      </c>
      <c r="F1989" s="72">
        <f>+_xlfn.XLOOKUP(Tabla6[[#This Row],[ID CLIENTE]],'RESUMEN CLIENTES'!D:D,'RESUMEN CLIENTES'!W:W)</f>
        <v>1</v>
      </c>
      <c r="G1989" s="17">
        <f>IF($H1989&lt;&gt;"ALEM","",IFERROR(
  DATE(
    YEAR(EDATE(
      _xlfn.XLOOKUP($A1989,'RESUMEN CLIENTES'!$D:$D,'RESUMEN CLIENTES'!$Y:$Y,""),
      7 + COUNTIFS(
            $A$2:INDEX($A:$A,ROW()), $A1989,
            $H$2:INDEX($H:$H,ROW()), "ALEM"
          )
    )),
    MONTH(EDATE(
      _xlfn.XLOOKUP($A1989,'RESUMEN CLIENTES'!$D:$D,'RESUMEN CLIENTES'!$Y:$Y,""),
      7 + COUNTIFS(
            $A$2:INDEX($A:$A,ROW()), $A1989,
            $H$2:INDEX($H:$H,ROW()), "ALEM"
          )
    )),
    1
  ),
"SIN FECHA MIG"))</f>
        <v>46388</v>
      </c>
      <c r="H1989" s="44" t="s">
        <v>1876</v>
      </c>
      <c r="I1989" s="2">
        <v>1000</v>
      </c>
      <c r="J1989"/>
      <c r="K1989"/>
      <c r="L1989" s="44" t="str" cm="1">
        <f t="array" ref="L1989">+_xlfn.IFS(COUNTIF(INGRESOS!E:E,Tabla6[[#This Row],[ID FACTURA]])=1,"PAGADA",Tabla6[[#This Row],[ID FACTURA]]&lt;&gt;0,"EMITIDA",Tabla6[[#This Row],[ID FACTURA]]=0,"POR EMITIR")</f>
        <v>POR EMITIR</v>
      </c>
      <c r="M1989" s="55" t="str">
        <f>+IF(Tabla6[[#This Row],[ESTADO FACTURA]]="PAGADA",Tabla6[[#This Row],[FECHA]]-_xlfn.XLOOKUP(Tabla6[[#This Row],[N° FACTURA]],INGRESOS!F:F,INGRESOS!A:A),"-")</f>
        <v>-</v>
      </c>
      <c r="N1989" s="2"/>
      <c r="O1989" t="s">
        <v>2084</v>
      </c>
    </row>
    <row r="1990" spans="1:15" ht="14.75" customHeight="1">
      <c r="A1990" s="320" t="s">
        <v>4442</v>
      </c>
      <c r="B1990" t="str">
        <f>+_xlfn.XLOOKUP(Tabla6[[#This Row],[ID CLIENTE]],'RESUMEN CLIENTES'!D:D,'RESUMEN CLIENTES'!A:A)</f>
        <v>Vicente Javier Campusano Banse</v>
      </c>
      <c r="C1990" t="str">
        <f>+_xlfn.XLOOKUP(Tabla6[[#This Row],[ID CLIENTE]],'RESUMEN CLIENTES'!D:D,'RESUMEN CLIENTES'!C:C)</f>
        <v>Chile</v>
      </c>
      <c r="D1990" s="169" t="str">
        <f>+_xlfn.XLOOKUP(Tabla6[[#This Row],[ID CLIENTE]],'RESUMEN CLIENTES'!D:D,'RESUMEN CLIENTES'!M:M)</f>
        <v>¡REGULARIZAR!</v>
      </c>
      <c r="E1990" s="71">
        <f>+_xlfn.XLOOKUP(Tabla6[[#This Row],[NOMBRE]],'RESUMEN CLIENTES'!A:A,'RESUMEN CLIENTES'!X:X)</f>
        <v>0</v>
      </c>
      <c r="F1990" s="71">
        <f>+_xlfn.XLOOKUP(Tabla6[[#This Row],[ID CLIENTE]],'RESUMEN CLIENTES'!D:D,'RESUMEN CLIENTES'!W:W)</f>
        <v>0</v>
      </c>
      <c r="G1990" s="428">
        <f>IF($H1990&lt;&gt;"ALEM","",IFERROR(
  DATE(
    YEAR(EDATE(
      _xlfn.XLOOKUP($A1990,'RESUMEN CLIENTES'!$D:$D,'RESUMEN CLIENTES'!$Y:$Y,""),
      7 + COUNTIFS(
            $A$2:INDEX($A:$A,ROW()), $A1990,
            $H$2:INDEX($H:$H,ROW()), "ALEM"
          )
    )),
    MONTH(EDATE(
      _xlfn.XLOOKUP($A1990,'RESUMEN CLIENTES'!$D:$D,'RESUMEN CLIENTES'!$Y:$Y,""),
      7 + COUNTIFS(
            $A$2:INDEX($A:$A,ROW()), $A1990,
            $H$2:INDEX($H:$H,ROW()), "ALEM"
          )
    )),
    1
  ),
"null"))</f>
        <v>46388</v>
      </c>
      <c r="H1990" s="169" t="s">
        <v>1876</v>
      </c>
      <c r="I1990" s="2">
        <v>750</v>
      </c>
      <c r="J1990"/>
      <c r="K1990"/>
      <c r="L1990" s="44" t="str" cm="1">
        <f t="array" ref="L1990">+_xlfn.IFS(COUNTIF(INGRESOS!E:E,Tabla6[[#This Row],[ID FACTURA]])=1,"PAGADA",Tabla6[[#This Row],[ID FACTURA]]&lt;&gt;0,"EMITIDA",Tabla6[[#This Row],[ID FACTURA]]=0,"POR EMITIR")</f>
        <v>POR EMITIR</v>
      </c>
      <c r="M1990" s="54" t="str">
        <f>+IF(Tabla6[[#This Row],[ESTADO FACTURA]]="PAGADA",Tabla6[[#This Row],[FECHA]]-_xlfn.XLOOKUP(Tabla6[[#This Row],[N° FACTURA]],INGRESOS!F:F,INGRESOS!A:A),"-")</f>
        <v>-</v>
      </c>
      <c r="O1990"/>
    </row>
    <row r="1991" spans="1:15" ht="14.75" customHeight="1">
      <c r="A1991" s="320" t="s">
        <v>706</v>
      </c>
      <c r="B1991" t="str">
        <f>+_xlfn.XLOOKUP(Tabla6[[#This Row],[ID CLIENTE]],'RESUMEN CLIENTES'!D:D,'RESUMEN CLIENTES'!A:A)</f>
        <v>Virna Nathaly Montenegro Samaniego</v>
      </c>
      <c r="C1991" t="str">
        <f>+_xlfn.XLOOKUP(Tabla6[[#This Row],[ID CLIENTE]],'RESUMEN CLIENTES'!D:D,'RESUMEN CLIENTES'!C:C)</f>
        <v>Ecuador</v>
      </c>
      <c r="D1991" s="44" t="str">
        <f>+_xlfn.XLOOKUP(Tabla6[[#This Row],[ID CLIENTE]],'RESUMEN CLIENTES'!D:D,'RESUMEN CLIENTES'!M:M)</f>
        <v>OK</v>
      </c>
      <c r="E1991" s="72">
        <f>+_xlfn.XLOOKUP(Tabla6[[#This Row],[NOMBRE]],'RESUMEN CLIENTES'!A:A,'RESUMEN CLIENTES'!X:X)</f>
        <v>7.375</v>
      </c>
      <c r="F1991" s="72">
        <f>+_xlfn.XLOOKUP(Tabla6[[#This Row],[ID CLIENTE]],'RESUMEN CLIENTES'!D:D,'RESUMEN CLIENTES'!W:W)</f>
        <v>0</v>
      </c>
      <c r="G1991" s="17">
        <f>IF($H1991&lt;&gt;"ALEM","",IFERROR(
  DATE(
    YEAR(EDATE(
      _xlfn.XLOOKUP($A1991,'RESUMEN CLIENTES'!$D:$D,'RESUMEN CLIENTES'!$Y:$Y,""),
      7 + COUNTIFS(
            $A$2:INDEX($A:$A,ROW()), $A1991,
            $H$2:INDEX($H:$H,ROW()), "ALEM"
          )
    )),
    MONTH(EDATE(
      _xlfn.XLOOKUP($A1991,'RESUMEN CLIENTES'!$D:$D,'RESUMEN CLIENTES'!$Y:$Y,""),
      7 + COUNTIFS(
            $A$2:INDEX($A:$A,ROW()), $A1991,
            $H$2:INDEX($H:$H,ROW()), "ALEM"
          )
    )),
    1
  ),
"SIN FECHA MIG"))</f>
        <v>46388</v>
      </c>
      <c r="H1991" s="44" t="s">
        <v>1876</v>
      </c>
      <c r="I1991" s="2">
        <v>1000</v>
      </c>
      <c r="J1991"/>
      <c r="K1991"/>
      <c r="L1991" s="44" t="str" cm="1">
        <f t="array" ref="L1991">+_xlfn.IFS(COUNTIF(INGRESOS!E:E,Tabla6[[#This Row],[ID FACTURA]])=1,"PAGADA",Tabla6[[#This Row],[ID FACTURA]]&lt;&gt;0,"EMITIDA",Tabla6[[#This Row],[ID FACTURA]]=0,"POR EMITIR")</f>
        <v>POR EMITIR</v>
      </c>
      <c r="M1991" s="55" t="str">
        <f>+IF(Tabla6[[#This Row],[ESTADO FACTURA]]="PAGADA",Tabla6[[#This Row],[FECHA]]-_xlfn.XLOOKUP(Tabla6[[#This Row],[N° FACTURA]],INGRESOS!F:F,INGRESOS!A:A),"-")</f>
        <v>-</v>
      </c>
      <c r="N1991" s="2"/>
      <c r="O1991"/>
    </row>
    <row r="1992" spans="1:15" ht="14.75" customHeight="1">
      <c r="A1992" s="320" t="s">
        <v>447</v>
      </c>
      <c r="B1992" t="str">
        <f>+_xlfn.XLOOKUP(Tabla6[[#This Row],[ID CLIENTE]],'RESUMEN CLIENTES'!D:D,'RESUMEN CLIENTES'!A:A)</f>
        <v>Yefry Onil Santana Marte</v>
      </c>
      <c r="C1992" t="str">
        <f>+_xlfn.XLOOKUP(Tabla6[[#This Row],[ID CLIENTE]],'RESUMEN CLIENTES'!D:D,'RESUMEN CLIENTES'!C:C)</f>
        <v>República Dominicana</v>
      </c>
      <c r="D1992" s="44" t="str">
        <f>+_xlfn.XLOOKUP(Tabla6[[#This Row],[ID CLIENTE]],'RESUMEN CLIENTES'!D:D,'RESUMEN CLIENTES'!M:M)</f>
        <v>OK</v>
      </c>
      <c r="E1992" s="72">
        <f>+_xlfn.XLOOKUP(Tabla6[[#This Row],[NOMBRE]],'RESUMEN CLIENTES'!A:A,'RESUMEN CLIENTES'!X:X)</f>
        <v>-0.90909090909090906</v>
      </c>
      <c r="F1992" s="72">
        <f>+_xlfn.XLOOKUP(Tabla6[[#This Row],[ID CLIENTE]],'RESUMEN CLIENTES'!D:D,'RESUMEN CLIENTES'!W:W)</f>
        <v>0</v>
      </c>
      <c r="G1992" s="17">
        <f>IF($H1992&lt;&gt;"ALEM","",IFERROR(
  DATE(
    YEAR(EDATE(
      _xlfn.XLOOKUP($A1992,'RESUMEN CLIENTES'!$D:$D,'RESUMEN CLIENTES'!$Y:$Y,""),
      7 + COUNTIFS(
            $A$2:INDEX($A:$A,ROW()), $A1992,
            $H$2:INDEX($H:$H,ROW()), "ALEM"
          )
    )),
    MONTH(EDATE(
      _xlfn.XLOOKUP($A1992,'RESUMEN CLIENTES'!$D:$D,'RESUMEN CLIENTES'!$Y:$Y,""),
      7 + COUNTIFS(
            $A$2:INDEX($A:$A,ROW()), $A1992,
            $H$2:INDEX($H:$H,ROW()), "ALEM"
          )
    )),
    1
  ),
"SIN FECHA MIG"))</f>
        <v>46388</v>
      </c>
      <c r="H1992" s="44" t="s">
        <v>1876</v>
      </c>
      <c r="I1992" s="2">
        <v>1000</v>
      </c>
      <c r="J1992"/>
      <c r="K1992"/>
      <c r="L1992" s="44" t="str" cm="1">
        <f t="array" ref="L1992">+_xlfn.IFS(COUNTIF(INGRESOS!E:E,Tabla6[[#This Row],[ID FACTURA]])=1,"PAGADA",Tabla6[[#This Row],[ID FACTURA]]&lt;&gt;0,"EMITIDA",Tabla6[[#This Row],[ID FACTURA]]=0,"POR EMITIR")</f>
        <v>POR EMITIR</v>
      </c>
      <c r="M1992" s="55" t="str">
        <f>+IF(Tabla6[[#This Row],[ESTADO FACTURA]]="PAGADA",Tabla6[[#This Row],[FECHA]]-_xlfn.XLOOKUP(Tabla6[[#This Row],[N° FACTURA]],INGRESOS!F:F,INGRESOS!A:A),"-")</f>
        <v>-</v>
      </c>
      <c r="N1992" s="2"/>
      <c r="O1992"/>
    </row>
    <row r="1993" spans="1:15" ht="14.75" customHeight="1">
      <c r="A1993" s="320" t="s">
        <v>6035</v>
      </c>
      <c r="B1993" t="str">
        <f>+_xlfn.XLOOKUP(Tabla6[[#This Row],[ID CLIENTE]],'RESUMEN CLIENTES'!D:D,'RESUMEN CLIENTES'!A:A)</f>
        <v>Ari Sifuentes Becerra</v>
      </c>
      <c r="C1993" s="15" t="str">
        <f>+_xlfn.XLOOKUP(Tabla6[[#This Row],[ID CLIENTE]],'RESUMEN CLIENTES'!D:D,'RESUMEN CLIENTES'!C:C)</f>
        <v>México</v>
      </c>
      <c r="D1993" s="169" t="str">
        <f>+_xlfn.XLOOKUP(Tabla6[[#This Row],[ID CLIENTE]],'RESUMEN CLIENTES'!D:D,'RESUMEN CLIENTES'!M:M)</f>
        <v>OK</v>
      </c>
      <c r="E1993" s="71">
        <f>+_xlfn.XLOOKUP(Tabla6[[#This Row],[NOMBRE]],'RESUMEN CLIENTES'!A:A,'RESUMEN CLIENTES'!X:X)</f>
        <v>-1</v>
      </c>
      <c r="F1993" s="71">
        <f>+_xlfn.XLOOKUP(Tabla6[[#This Row],[ID CLIENTE]],'RESUMEN CLIENTES'!D:D,'RESUMEN CLIENTES'!W:W)</f>
        <v>0</v>
      </c>
      <c r="G1993" s="17">
        <v>46389</v>
      </c>
      <c r="H1993" s="169" t="s">
        <v>81</v>
      </c>
      <c r="I1993" s="2">
        <v>1000</v>
      </c>
      <c r="J1993"/>
      <c r="K1993"/>
      <c r="L1993" s="44" t="str" cm="1">
        <f t="array" ref="L1993">+_xlfn.IFS(COUNTIF(INGRESOS!E:E,Tabla6[[#This Row],[ID FACTURA]])=1,"PAGADA",Tabla6[[#This Row],[ID FACTURA]]&lt;&gt;0,"EMITIDA",Tabla6[[#This Row],[ID FACTURA]]=0,"POR EMITIR")</f>
        <v>POR EMITIR</v>
      </c>
      <c r="M1993" s="54" t="str">
        <f>+IF(Tabla6[[#This Row],[ESTADO FACTURA]]="PAGADA",Tabla6[[#This Row],[FECHA]]-_xlfn.XLOOKUP(Tabla6[[#This Row],[N° FACTURA]],INGRESOS!F:F,INGRESOS!A:A),"-")</f>
        <v>-</v>
      </c>
      <c r="O1993"/>
    </row>
    <row r="1994" spans="1:15" ht="14.75" customHeight="1">
      <c r="A1994" s="320" t="s">
        <v>1248</v>
      </c>
      <c r="B1994" t="str">
        <f>+_xlfn.XLOOKUP(Tabla6[[#This Row],[ID CLIENTE]],'RESUMEN CLIENTES'!D:D,'RESUMEN CLIENTES'!A:A)</f>
        <v>Emily Vanessa Tapia Villalobos</v>
      </c>
      <c r="C1994" t="str">
        <f>+_xlfn.XLOOKUP(Tabla6[[#This Row],[ID CLIENTE]],'RESUMEN CLIENTES'!D:D,'RESUMEN CLIENTES'!C:C)</f>
        <v>Chile</v>
      </c>
      <c r="D1994" s="44" t="str">
        <f>+_xlfn.XLOOKUP(Tabla6[[#This Row],[ID CLIENTE]],'RESUMEN CLIENTES'!D:D,'RESUMEN CLIENTES'!M:M)</f>
        <v>OK</v>
      </c>
      <c r="E1994" s="71">
        <f>+_xlfn.XLOOKUP(Tabla6[[#This Row],[NOMBRE]],'RESUMEN CLIENTES'!A:A,'RESUMEN CLIENTES'!X:X)</f>
        <v>0.33333333333333331</v>
      </c>
      <c r="F1994" s="71">
        <f>+_xlfn.XLOOKUP(Tabla6[[#This Row],[ID CLIENTE]],'RESUMEN CLIENTES'!D:D,'RESUMEN CLIENTES'!W:W)</f>
        <v>0</v>
      </c>
      <c r="G1994" s="17">
        <v>46390</v>
      </c>
      <c r="H1994" s="44" t="s">
        <v>81</v>
      </c>
      <c r="I1994" s="2">
        <v>1000</v>
      </c>
      <c r="J1994"/>
      <c r="K1994"/>
      <c r="L1994" s="44" t="str" cm="1">
        <f t="array" ref="L1994">+_xlfn.IFS(COUNTIF(INGRESOS!E:E,Tabla6[[#This Row],[ID FACTURA]])=1,"PAGADA",Tabla6[[#This Row],[ID FACTURA]]&lt;&gt;0,"EMITIDA",Tabla6[[#This Row],[ID FACTURA]]=0,"POR EMITIR")</f>
        <v>POR EMITIR</v>
      </c>
      <c r="M1994" s="55" t="str">
        <f>+IF(Tabla6[[#This Row],[ESTADO FACTURA]]="PAGADA",Tabla6[[#This Row],[FECHA]]-_xlfn.XLOOKUP(Tabla6[[#This Row],[N° FACTURA]],INGRESOS!F:F,INGRESOS!A:A),"-")</f>
        <v>-</v>
      </c>
      <c r="N1994" s="2"/>
      <c r="O1994"/>
    </row>
    <row r="1995" spans="1:15" ht="14.75" customHeight="1">
      <c r="A1995" s="320" t="s">
        <v>1251</v>
      </c>
      <c r="B1995" t="str">
        <f>+_xlfn.XLOOKUP(Tabla6[[#This Row],[ID CLIENTE]],'RESUMEN CLIENTES'!D:D,'RESUMEN CLIENTES'!A:A)</f>
        <v>Erick Ernesto Angulo Campos</v>
      </c>
      <c r="C1995" t="str">
        <f>+_xlfn.XLOOKUP(Tabla6[[#This Row],[ID CLIENTE]],'RESUMEN CLIENTES'!D:D,'RESUMEN CLIENTES'!C:C)</f>
        <v>Chile</v>
      </c>
      <c r="D1995" s="44" t="str">
        <f>+_xlfn.XLOOKUP(Tabla6[[#This Row],[ID CLIENTE]],'RESUMEN CLIENTES'!D:D,'RESUMEN CLIENTES'!M:M)</f>
        <v>OK</v>
      </c>
      <c r="E1995" s="71">
        <f>+_xlfn.XLOOKUP(Tabla6[[#This Row],[NOMBRE]],'RESUMEN CLIENTES'!A:A,'RESUMEN CLIENTES'!X:X)</f>
        <v>-0.66666666666666663</v>
      </c>
      <c r="F1995" s="71">
        <f>+_xlfn.XLOOKUP(Tabla6[[#This Row],[ID CLIENTE]],'RESUMEN CLIENTES'!D:D,'RESUMEN CLIENTES'!W:W)</f>
        <v>0</v>
      </c>
      <c r="G1995" s="17">
        <v>46390</v>
      </c>
      <c r="H1995" s="44" t="s">
        <v>81</v>
      </c>
      <c r="I1995" s="2">
        <v>1000</v>
      </c>
      <c r="J1995"/>
      <c r="K1995"/>
      <c r="L1995" s="44" t="str" cm="1">
        <f t="array" ref="L1995">+_xlfn.IFS(COUNTIF(INGRESOS!E:E,Tabla6[[#This Row],[ID FACTURA]])=1,"PAGADA",Tabla6[[#This Row],[ID FACTURA]]&lt;&gt;0,"EMITIDA",Tabla6[[#This Row],[ID FACTURA]]=0,"POR EMITIR")</f>
        <v>POR EMITIR</v>
      </c>
      <c r="M1995" s="55" t="str">
        <f>+IF(Tabla6[[#This Row],[ESTADO FACTURA]]="PAGADA",Tabla6[[#This Row],[FECHA]]-_xlfn.XLOOKUP(Tabla6[[#This Row],[N° FACTURA]],INGRESOS!F:F,INGRESOS!A:A),"-")</f>
        <v>-</v>
      </c>
      <c r="N1995" s="2"/>
      <c r="O1995"/>
    </row>
    <row r="1996" spans="1:15" ht="14.75" customHeight="1">
      <c r="A1996" s="320" t="s">
        <v>203</v>
      </c>
      <c r="B1996" t="str">
        <f>+_xlfn.XLOOKUP(Tabla6[[#This Row],[ID CLIENTE]],'RESUMEN CLIENTES'!D:D,'RESUMEN CLIENTES'!A:A)</f>
        <v>Bernardita Lobo Zegers</v>
      </c>
      <c r="C1996" t="str">
        <f>+_xlfn.XLOOKUP(Tabla6[[#This Row],[ID CLIENTE]],'RESUMEN CLIENTES'!D:D,'RESUMEN CLIENTES'!C:C)</f>
        <v>México</v>
      </c>
      <c r="D1996" s="44" t="str">
        <f>+_xlfn.XLOOKUP(Tabla6[[#This Row],[ID CLIENTE]],'RESUMEN CLIENTES'!D:D,'RESUMEN CLIENTES'!M:M)</f>
        <v>OK</v>
      </c>
      <c r="E1996" s="72">
        <f>+_xlfn.XLOOKUP(Tabla6[[#This Row],[NOMBRE]],'RESUMEN CLIENTES'!A:A,'RESUMEN CLIENTES'!X:X)</f>
        <v>-0.8</v>
      </c>
      <c r="F1996" s="72">
        <f>+_xlfn.XLOOKUP(Tabla6[[#This Row],[ID CLIENTE]],'RESUMEN CLIENTES'!D:D,'RESUMEN CLIENTES'!W:W)</f>
        <v>1</v>
      </c>
      <c r="G1996" s="17">
        <v>46392</v>
      </c>
      <c r="H1996" s="44" t="s">
        <v>81</v>
      </c>
      <c r="I1996" s="2">
        <v>800</v>
      </c>
      <c r="J1996"/>
      <c r="K1996"/>
      <c r="L1996" s="44" t="str" cm="1">
        <f t="array" ref="L1996">+_xlfn.IFS(COUNTIF(INGRESOS!E:E,Tabla6[[#This Row],[ID FACTURA]])=1,"PAGADA",Tabla6[[#This Row],[ID FACTURA]]&lt;&gt;0,"EMITIDA",Tabla6[[#This Row],[ID FACTURA]]=0,"POR EMITIR")</f>
        <v>POR EMITIR</v>
      </c>
      <c r="M1996" s="55" t="str">
        <f>+IF(Tabla6[[#This Row],[ESTADO FACTURA]]="PAGADA",Tabla6[[#This Row],[FECHA]]-_xlfn.XLOOKUP(Tabla6[[#This Row],[N° FACTURA]],INGRESOS!F:F,INGRESOS!A:A),"-")</f>
        <v>-</v>
      </c>
      <c r="N1996" s="2"/>
      <c r="O1996"/>
    </row>
    <row r="1997" spans="1:15" ht="14.75" customHeight="1">
      <c r="A1997" s="320" t="s">
        <v>1674</v>
      </c>
      <c r="B1997" t="str">
        <f>+_xlfn.XLOOKUP(Tabla6[[#This Row],[ID CLIENTE]],'RESUMEN CLIENTES'!D:D,'RESUMEN CLIENTES'!A:A)</f>
        <v>Diego Alberto Ruiz Cifuentes</v>
      </c>
      <c r="C1997" t="str">
        <f>+_xlfn.XLOOKUP(Tabla6[[#This Row],[ID CLIENTE]],'RESUMEN CLIENTES'!D:D,'RESUMEN CLIENTES'!C:C)</f>
        <v>Chile</v>
      </c>
      <c r="D1997" s="169" t="str">
        <f>+_xlfn.XLOOKUP(Tabla6[[#This Row],[ID CLIENTE]],'RESUMEN CLIENTES'!D:D,'RESUMEN CLIENTES'!M:M)</f>
        <v>OK</v>
      </c>
      <c r="E1997" s="71">
        <f>+_xlfn.XLOOKUP(Tabla6[[#This Row],[NOMBRE]],'RESUMEN CLIENTES'!A:A,'RESUMEN CLIENTES'!X:X)</f>
        <v>5.75</v>
      </c>
      <c r="F1997" s="71">
        <f>+_xlfn.XLOOKUP(Tabla6[[#This Row],[ID CLIENTE]],'RESUMEN CLIENTES'!D:D,'RESUMEN CLIENTES'!W:W)</f>
        <v>0</v>
      </c>
      <c r="G1997" s="17">
        <v>46392</v>
      </c>
      <c r="H1997" s="169" t="s">
        <v>81</v>
      </c>
      <c r="I1997" s="2">
        <v>1000</v>
      </c>
      <c r="J1997"/>
      <c r="K1997"/>
      <c r="L1997" s="44" t="str" cm="1">
        <f t="array" ref="L1997">+_xlfn.IFS(COUNTIF(INGRESOS!E:E,Tabla6[[#This Row],[ID FACTURA]])=1,"PAGADA",Tabla6[[#This Row],[ID FACTURA]]&lt;&gt;0,"EMITIDA",Tabla6[[#This Row],[ID FACTURA]]=0,"POR EMITIR")</f>
        <v>POR EMITIR</v>
      </c>
      <c r="M1997" s="55" t="str">
        <f>+IF(Tabla6[[#This Row],[ESTADO FACTURA]]="PAGADA",Tabla6[[#This Row],[FECHA]]-_xlfn.XLOOKUP(Tabla6[[#This Row],[N° FACTURA]],INGRESOS!F:F,INGRESOS!A:A),"-")</f>
        <v>-</v>
      </c>
      <c r="N1997" s="2"/>
      <c r="O1997"/>
    </row>
    <row r="1998" spans="1:15" ht="14.75" customHeight="1">
      <c r="A1998" s="320" t="s">
        <v>2521</v>
      </c>
      <c r="B1998" t="str">
        <f>+_xlfn.XLOOKUP(Tabla6[[#This Row],[ID CLIENTE]],'RESUMEN CLIENTES'!D:D,'RESUMEN CLIENTES'!A:A)</f>
        <v>Fabián Andrés Sarmiento Auli</v>
      </c>
      <c r="C1998" t="str">
        <f>+_xlfn.XLOOKUP(Tabla6[[#This Row],[ID CLIENTE]],'RESUMEN CLIENTES'!D:D,'RESUMEN CLIENTES'!C:C)</f>
        <v>Colombia</v>
      </c>
      <c r="D1998" s="169" t="str">
        <f>+_xlfn.XLOOKUP(Tabla6[[#This Row],[ID CLIENTE]],'RESUMEN CLIENTES'!D:D,'RESUMEN CLIENTES'!M:M)</f>
        <v>OK</v>
      </c>
      <c r="E1998" s="71">
        <f>+_xlfn.XLOOKUP(Tabla6[[#This Row],[NOMBRE]],'RESUMEN CLIENTES'!A:A,'RESUMEN CLIENTES'!X:X)</f>
        <v>0</v>
      </c>
      <c r="F1998" s="71">
        <f>+_xlfn.XLOOKUP(Tabla6[[#This Row],[ID CLIENTE]],'RESUMEN CLIENTES'!D:D,'RESUMEN CLIENTES'!W:W)</f>
        <v>0</v>
      </c>
      <c r="G1998" s="17">
        <v>46392</v>
      </c>
      <c r="H1998" s="169" t="s">
        <v>81</v>
      </c>
      <c r="I1998" s="2">
        <v>650</v>
      </c>
      <c r="J1998"/>
      <c r="K1998"/>
      <c r="L1998" s="44" t="str" cm="1">
        <f t="array" ref="L1998">+_xlfn.IFS(COUNTIF(INGRESOS!E:E,Tabla6[[#This Row],[ID FACTURA]])=1,"PAGADA",Tabla6[[#This Row],[ID FACTURA]]&lt;&gt;0,"EMITIDA",Tabla6[[#This Row],[ID FACTURA]]=0,"POR EMITIR")</f>
        <v>POR EMITIR</v>
      </c>
      <c r="M1998" s="54" t="str">
        <f>+IF(Tabla6[[#This Row],[ESTADO FACTURA]]="PAGADA",Tabla6[[#This Row],[FECHA]]-_xlfn.XLOOKUP(Tabla6[[#This Row],[N° FACTURA]],INGRESOS!F:F,INGRESOS!A:A),"-")</f>
        <v>-</v>
      </c>
      <c r="O1998"/>
    </row>
    <row r="1999" spans="1:15" ht="14.75" customHeight="1">
      <c r="A1999" s="320" t="s">
        <v>787</v>
      </c>
      <c r="B1999" t="str">
        <f>+_xlfn.XLOOKUP(Tabla6[[#This Row],[ID CLIENTE]],'RESUMEN CLIENTES'!D:D,'RESUMEN CLIENTES'!A:A)</f>
        <v>Florencia Luján Sapia</v>
      </c>
      <c r="C1999" t="str">
        <f>+_xlfn.XLOOKUP(Tabla6[[#This Row],[ID CLIENTE]],'RESUMEN CLIENTES'!D:D,'RESUMEN CLIENTES'!C:C)</f>
        <v>Argentina</v>
      </c>
      <c r="D1999" s="44" t="str">
        <f>+_xlfn.XLOOKUP(Tabla6[[#This Row],[ID CLIENTE]],'RESUMEN CLIENTES'!D:D,'RESUMEN CLIENTES'!M:M)</f>
        <v>OK</v>
      </c>
      <c r="E1999" s="72">
        <f>+_xlfn.XLOOKUP(Tabla6[[#This Row],[NOMBRE]],'RESUMEN CLIENTES'!A:A,'RESUMEN CLIENTES'!X:X)</f>
        <v>-0.77777777777777779</v>
      </c>
      <c r="F1999" s="72">
        <f>+_xlfn.XLOOKUP(Tabla6[[#This Row],[ID CLIENTE]],'RESUMEN CLIENTES'!D:D,'RESUMEN CLIENTES'!W:W)</f>
        <v>1</v>
      </c>
      <c r="G1999" s="17">
        <v>46392</v>
      </c>
      <c r="H1999" s="44" t="s">
        <v>81</v>
      </c>
      <c r="I1999" s="2">
        <v>600</v>
      </c>
      <c r="J1999"/>
      <c r="K1999"/>
      <c r="L1999" s="44" t="str" cm="1">
        <f t="array" ref="L1999">+_xlfn.IFS(COUNTIF(INGRESOS!E:E,Tabla6[[#This Row],[ID FACTURA]])=1,"PAGADA",Tabla6[[#This Row],[ID FACTURA]]&lt;&gt;0,"EMITIDA",Tabla6[[#This Row],[ID FACTURA]]=0,"POR EMITIR")</f>
        <v>POR EMITIR</v>
      </c>
      <c r="M1999" s="55" t="str">
        <f>+IF(Tabla6[[#This Row],[ESTADO FACTURA]]="PAGADA",Tabla6[[#This Row],[FECHA]]-_xlfn.XLOOKUP(Tabla6[[#This Row],[N° FACTURA]],INGRESOS!F:F,INGRESOS!A:A),"-")</f>
        <v>-</v>
      </c>
      <c r="N1999" s="2"/>
      <c r="O1999"/>
    </row>
    <row r="2000" spans="1:15" ht="14.75" customHeight="1">
      <c r="A2000" s="320" t="s">
        <v>4454</v>
      </c>
      <c r="B2000" t="str">
        <f>+_xlfn.XLOOKUP(Tabla6[[#This Row],[ID CLIENTE]],'RESUMEN CLIENTES'!D:D,'RESUMEN CLIENTES'!A:A)</f>
        <v>Jose Luis Avilez Casas</v>
      </c>
      <c r="C2000" t="str">
        <f>+_xlfn.XLOOKUP(Tabla6[[#This Row],[ID CLIENTE]],'RESUMEN CLIENTES'!D:D,'RESUMEN CLIENTES'!C:C)</f>
        <v>México</v>
      </c>
      <c r="D2000" s="169" t="str">
        <f>+_xlfn.XLOOKUP(Tabla6[[#This Row],[ID CLIENTE]],'RESUMEN CLIENTES'!D:D,'RESUMEN CLIENTES'!M:M)</f>
        <v>OK</v>
      </c>
      <c r="E2000" s="71">
        <f>+_xlfn.XLOOKUP(Tabla6[[#This Row],[NOMBRE]],'RESUMEN CLIENTES'!A:A,'RESUMEN CLIENTES'!X:X)</f>
        <v>0.33333333333333331</v>
      </c>
      <c r="F2000" s="71">
        <f>+_xlfn.XLOOKUP(Tabla6[[#This Row],[ID CLIENTE]],'RESUMEN CLIENTES'!D:D,'RESUMEN CLIENTES'!W:W)</f>
        <v>0</v>
      </c>
      <c r="G2000" s="17">
        <v>46392</v>
      </c>
      <c r="H2000" s="169" t="s">
        <v>81</v>
      </c>
      <c r="I2000" s="2">
        <v>1000</v>
      </c>
      <c r="J2000"/>
      <c r="K2000"/>
      <c r="L2000" s="44" t="str" cm="1">
        <f t="array" ref="L2000">+_xlfn.IFS(COUNTIF(INGRESOS!E:E,Tabla6[[#This Row],[ID FACTURA]])=1,"PAGADA",Tabla6[[#This Row],[ID FACTURA]]&lt;&gt;0,"EMITIDA",Tabla6[[#This Row],[ID FACTURA]]=0,"POR EMITIR")</f>
        <v>POR EMITIR</v>
      </c>
      <c r="M2000" s="54" t="str">
        <f>+IF(Tabla6[[#This Row],[ESTADO FACTURA]]="PAGADA",Tabla6[[#This Row],[FECHA]]-_xlfn.XLOOKUP(Tabla6[[#This Row],[N° FACTURA]],INGRESOS!F:F,INGRESOS!A:A),"-")</f>
        <v>-</v>
      </c>
      <c r="O2000"/>
    </row>
    <row r="2001" spans="1:15" ht="14.75" customHeight="1">
      <c r="A2001" s="320" t="s">
        <v>798</v>
      </c>
      <c r="B2001" t="str">
        <f>+_xlfn.XLOOKUP(Tabla6[[#This Row],[ID CLIENTE]],'RESUMEN CLIENTES'!D:D,'RESUMEN CLIENTES'!A:A)</f>
        <v>Juan Manuel Paranzino</v>
      </c>
      <c r="C2001" t="str">
        <f>+_xlfn.XLOOKUP(Tabla6[[#This Row],[ID CLIENTE]],'RESUMEN CLIENTES'!D:D,'RESUMEN CLIENTES'!C:C)</f>
        <v>Argentina</v>
      </c>
      <c r="D2001" s="44" t="str">
        <f>+_xlfn.XLOOKUP(Tabla6[[#This Row],[ID CLIENTE]],'RESUMEN CLIENTES'!D:D,'RESUMEN CLIENTES'!M:M)</f>
        <v>OK</v>
      </c>
      <c r="E2001" s="72">
        <f>+_xlfn.XLOOKUP(Tabla6[[#This Row],[NOMBRE]],'RESUMEN CLIENTES'!A:A,'RESUMEN CLIENTES'!X:X)</f>
        <v>-1</v>
      </c>
      <c r="F2001" s="72">
        <f>+_xlfn.XLOOKUP(Tabla6[[#This Row],[ID CLIENTE]],'RESUMEN CLIENTES'!D:D,'RESUMEN CLIENTES'!W:W)</f>
        <v>0</v>
      </c>
      <c r="G2001" s="17">
        <v>46392</v>
      </c>
      <c r="H2001" s="44" t="s">
        <v>81</v>
      </c>
      <c r="I2001" s="2">
        <v>600</v>
      </c>
      <c r="J2001"/>
      <c r="K2001"/>
      <c r="L2001" s="44" t="str" cm="1">
        <f t="array" ref="L2001">+_xlfn.IFS(COUNTIF(INGRESOS!E:E,Tabla6[[#This Row],[ID FACTURA]])=1,"PAGADA",Tabla6[[#This Row],[ID FACTURA]]&lt;&gt;0,"EMITIDA",Tabla6[[#This Row],[ID FACTURA]]=0,"POR EMITIR")</f>
        <v>POR EMITIR</v>
      </c>
      <c r="M2001" s="55" t="str">
        <f>+IF(Tabla6[[#This Row],[ESTADO FACTURA]]="PAGADA",Tabla6[[#This Row],[FECHA]]-_xlfn.XLOOKUP(Tabla6[[#This Row],[N° FACTURA]],INGRESOS!F:F,INGRESOS!A:A),"-")</f>
        <v>-</v>
      </c>
      <c r="N2001" s="2"/>
      <c r="O2001"/>
    </row>
    <row r="2002" spans="1:15" ht="14.75" customHeight="1">
      <c r="A2002" s="320" t="s">
        <v>1416</v>
      </c>
      <c r="B2002" t="str">
        <f>+_xlfn.XLOOKUP(Tabla6[[#This Row],[ID CLIENTE]],'RESUMEN CLIENTES'!D:D,'RESUMEN CLIENTES'!A:A)</f>
        <v>Luis Armando Calderon Manzanera</v>
      </c>
      <c r="C2002" t="str">
        <f>+_xlfn.XLOOKUP(Tabla6[[#This Row],[ID CLIENTE]],'RESUMEN CLIENTES'!D:D,'RESUMEN CLIENTES'!C:C)</f>
        <v>México</v>
      </c>
      <c r="D2002" s="44" t="str">
        <f>+_xlfn.XLOOKUP(Tabla6[[#This Row],[ID CLIENTE]],'RESUMEN CLIENTES'!D:D,'RESUMEN CLIENTES'!M:M)</f>
        <v>OK</v>
      </c>
      <c r="E2002" s="71">
        <f>+_xlfn.XLOOKUP(Tabla6[[#This Row],[NOMBRE]],'RESUMEN CLIENTES'!A:A,'RESUMEN CLIENTES'!X:X)</f>
        <v>2</v>
      </c>
      <c r="F2002" s="71">
        <f>+_xlfn.XLOOKUP(Tabla6[[#This Row],[ID CLIENTE]],'RESUMEN CLIENTES'!D:D,'RESUMEN CLIENTES'!W:W)</f>
        <v>1</v>
      </c>
      <c r="G2002" s="17">
        <v>46392</v>
      </c>
      <c r="H2002" s="44" t="s">
        <v>81</v>
      </c>
      <c r="I2002" s="2">
        <v>650</v>
      </c>
      <c r="J2002"/>
      <c r="K2002"/>
      <c r="L2002" s="44" t="str" cm="1">
        <f t="array" ref="L2002">+_xlfn.IFS(COUNTIF(INGRESOS!E:E,Tabla6[[#This Row],[ID FACTURA]])=1,"PAGADA",Tabla6[[#This Row],[ID FACTURA]]&lt;&gt;0,"EMITIDA",Tabla6[[#This Row],[ID FACTURA]]=0,"POR EMITIR")</f>
        <v>POR EMITIR</v>
      </c>
      <c r="M2002" s="55" t="str">
        <f>+IF(Tabla6[[#This Row],[ESTADO FACTURA]]="PAGADA",Tabla6[[#This Row],[FECHA]]-_xlfn.XLOOKUP(Tabla6[[#This Row],[N° FACTURA]],INGRESOS!F:F,INGRESOS!A:A),"-")</f>
        <v>-</v>
      </c>
      <c r="N2002" s="2"/>
      <c r="O2002"/>
    </row>
    <row r="2003" spans="1:15" ht="14.75" customHeight="1">
      <c r="A2003" s="320" t="s">
        <v>703</v>
      </c>
      <c r="B2003" t="str">
        <f>+_xlfn.XLOOKUP(Tabla6[[#This Row],[ID CLIENTE]],'RESUMEN CLIENTES'!D:D,'RESUMEN CLIENTES'!A:A)</f>
        <v>Maira Paz Navas Sánchez</v>
      </c>
      <c r="C2003" t="str">
        <f>+_xlfn.XLOOKUP(Tabla6[[#This Row],[ID CLIENTE]],'RESUMEN CLIENTES'!D:D,'RESUMEN CLIENTES'!C:C)</f>
        <v>Chile</v>
      </c>
      <c r="D2003" s="44" t="str">
        <f>+_xlfn.XLOOKUP(Tabla6[[#This Row],[ID CLIENTE]],'RESUMEN CLIENTES'!D:D,'RESUMEN CLIENTES'!M:M)</f>
        <v>OK</v>
      </c>
      <c r="E2003" s="72">
        <f>+_xlfn.XLOOKUP(Tabla6[[#This Row],[NOMBRE]],'RESUMEN CLIENTES'!A:A,'RESUMEN CLIENTES'!X:X)</f>
        <v>-1.75</v>
      </c>
      <c r="F2003" s="72">
        <f>+_xlfn.XLOOKUP(Tabla6[[#This Row],[ID CLIENTE]],'RESUMEN CLIENTES'!D:D,'RESUMEN CLIENTES'!W:W)</f>
        <v>1</v>
      </c>
      <c r="G2003" s="17">
        <v>46392</v>
      </c>
      <c r="H2003" s="44" t="s">
        <v>81</v>
      </c>
      <c r="I2003" s="2">
        <v>700</v>
      </c>
      <c r="J2003"/>
      <c r="K2003"/>
      <c r="L2003" s="44" t="str" cm="1">
        <f t="array" ref="L2003">+_xlfn.IFS(COUNTIF(INGRESOS!E:E,Tabla6[[#This Row],[ID FACTURA]])=1,"PAGADA",Tabla6[[#This Row],[ID FACTURA]]&lt;&gt;0,"EMITIDA",Tabla6[[#This Row],[ID FACTURA]]=0,"POR EMITIR")</f>
        <v>POR EMITIR</v>
      </c>
      <c r="M2003" s="55" t="str">
        <f>+IF(Tabla6[[#This Row],[ESTADO FACTURA]]="PAGADA",Tabla6[[#This Row],[FECHA]]-_xlfn.XLOOKUP(Tabla6[[#This Row],[N° FACTURA]],INGRESOS!F:F,INGRESOS!A:A),"-")</f>
        <v>-</v>
      </c>
      <c r="N2003" s="2"/>
      <c r="O2003"/>
    </row>
    <row r="2004" spans="1:15" ht="14.75" customHeight="1">
      <c r="A2004" s="320" t="s">
        <v>80</v>
      </c>
      <c r="B2004" t="str">
        <f>+_xlfn.XLOOKUP(Tabla6[[#This Row],[ID CLIENTE]],'RESUMEN CLIENTES'!D:D,'RESUMEN CLIENTES'!A:A)</f>
        <v>María Fernanda Alvar Sepúlveda</v>
      </c>
      <c r="C2004" t="str">
        <f>+_xlfn.XLOOKUP(Tabla6[[#This Row],[ID CLIENTE]],'RESUMEN CLIENTES'!D:D,'RESUMEN CLIENTES'!C:C)</f>
        <v>Chile</v>
      </c>
      <c r="D2004" s="44" t="str">
        <f>+_xlfn.XLOOKUP(Tabla6[[#This Row],[ID CLIENTE]],'RESUMEN CLIENTES'!D:D,'RESUMEN CLIENTES'!M:M)</f>
        <v>OK</v>
      </c>
      <c r="E2004" s="72">
        <f>+_xlfn.XLOOKUP(Tabla6[[#This Row],[NOMBRE]],'RESUMEN CLIENTES'!A:A,'RESUMEN CLIENTES'!X:X)</f>
        <v>5</v>
      </c>
      <c r="F2004" s="71">
        <f>+_xlfn.XLOOKUP(Tabla6[[#This Row],[ID CLIENTE]],'RESUMEN CLIENTES'!D:D,'RESUMEN CLIENTES'!W:W)</f>
        <v>1</v>
      </c>
      <c r="G2004" s="17">
        <v>46392</v>
      </c>
      <c r="H2004" s="44" t="s">
        <v>81</v>
      </c>
      <c r="I2004" s="2">
        <v>630</v>
      </c>
      <c r="J2004"/>
      <c r="K2004"/>
      <c r="L2004" s="44" t="str" cm="1">
        <f t="array" ref="L2004">+_xlfn.IFS(COUNTIF(INGRESOS!E:E,Tabla6[[#This Row],[ID FACTURA]])=1,"PAGADA",Tabla6[[#This Row],[ID FACTURA]]&lt;&gt;0,"EMITIDA",Tabla6[[#This Row],[ID FACTURA]]=0,"POR EMITIR")</f>
        <v>POR EMITIR</v>
      </c>
      <c r="M2004" s="55" t="str">
        <f>+IF(Tabla6[[#This Row],[ESTADO FACTURA]]="PAGADA",Tabla6[[#This Row],[FECHA]]-_xlfn.XLOOKUP(Tabla6[[#This Row],[N° FACTURA]],INGRESOS!F:F,INGRESOS!A:A),"-")</f>
        <v>-</v>
      </c>
      <c r="N2004" s="214"/>
      <c r="O2004"/>
    </row>
    <row r="2005" spans="1:15" ht="14.75" customHeight="1">
      <c r="A2005" s="320" t="s">
        <v>1551</v>
      </c>
      <c r="B2005" t="str">
        <f>+_xlfn.XLOOKUP(Tabla6[[#This Row],[ID CLIENTE]],'RESUMEN CLIENTES'!D:D,'RESUMEN CLIENTES'!A:A)</f>
        <v>María Fernanda Cid Ramírez</v>
      </c>
      <c r="C2005" t="str">
        <f>+_xlfn.XLOOKUP(Tabla6[[#This Row],[ID CLIENTE]],'RESUMEN CLIENTES'!D:D,'RESUMEN CLIENTES'!C:C)</f>
        <v>México</v>
      </c>
      <c r="D2005" s="44" t="str">
        <f>+_xlfn.XLOOKUP(Tabla6[[#This Row],[ID CLIENTE]],'RESUMEN CLIENTES'!D:D,'RESUMEN CLIENTES'!M:M)</f>
        <v>OK</v>
      </c>
      <c r="E2005" s="71">
        <f>+_xlfn.XLOOKUP(Tabla6[[#This Row],[NOMBRE]],'RESUMEN CLIENTES'!A:A,'RESUMEN CLIENTES'!X:X)</f>
        <v>-0.8571428571428571</v>
      </c>
      <c r="F2005" s="71">
        <f>+_xlfn.XLOOKUP(Tabla6[[#This Row],[ID CLIENTE]],'RESUMEN CLIENTES'!D:D,'RESUMEN CLIENTES'!W:W)</f>
        <v>0</v>
      </c>
      <c r="G2005" s="17">
        <v>46392</v>
      </c>
      <c r="H2005" s="169" t="s">
        <v>81</v>
      </c>
      <c r="I2005" s="2">
        <v>850</v>
      </c>
      <c r="J2005"/>
      <c r="K2005"/>
      <c r="L2005" s="44" t="str" cm="1">
        <f t="array" ref="L2005">+_xlfn.IFS(COUNTIF(INGRESOS!E:E,Tabla6[[#This Row],[ID FACTURA]])=1,"PAGADA",Tabla6[[#This Row],[ID FACTURA]]&lt;&gt;0,"EMITIDA",Tabla6[[#This Row],[ID FACTURA]]=0,"POR EMITIR")</f>
        <v>POR EMITIR</v>
      </c>
      <c r="M2005" s="55" t="str">
        <f>+IF(Tabla6[[#This Row],[ESTADO FACTURA]]="PAGADA",Tabla6[[#This Row],[FECHA]]-_xlfn.XLOOKUP(Tabla6[[#This Row],[N° FACTURA]],INGRESOS!F:F,INGRESOS!A:A),"-")</f>
        <v>-</v>
      </c>
      <c r="N2005" s="2"/>
      <c r="O2005"/>
    </row>
    <row r="2006" spans="1:15" ht="14.75" customHeight="1">
      <c r="A2006" s="320" t="s">
        <v>281</v>
      </c>
      <c r="B2006" t="str">
        <f>+_xlfn.XLOOKUP(Tabla6[[#This Row],[ID CLIENTE]],'RESUMEN CLIENTES'!D:D,'RESUMEN CLIENTES'!A:A)</f>
        <v>Sergio Francisco Garcia Sandoval</v>
      </c>
      <c r="C2006" t="str">
        <f>+_xlfn.XLOOKUP(Tabla6[[#This Row],[ID CLIENTE]],'RESUMEN CLIENTES'!D:D,'RESUMEN CLIENTES'!C:C)</f>
        <v>Perú</v>
      </c>
      <c r="D2006" s="44" t="str">
        <f>+_xlfn.XLOOKUP(Tabla6[[#This Row],[ID CLIENTE]],'RESUMEN CLIENTES'!D:D,'RESUMEN CLIENTES'!M:M)</f>
        <v>OK</v>
      </c>
      <c r="E2006" s="72">
        <f>+_xlfn.XLOOKUP(Tabla6[[#This Row],[NOMBRE]],'RESUMEN CLIENTES'!A:A,'RESUMEN CLIENTES'!X:X)</f>
        <v>0.88888888888888884</v>
      </c>
      <c r="F2006" s="72">
        <f>+_xlfn.XLOOKUP(Tabla6[[#This Row],[ID CLIENTE]],'RESUMEN CLIENTES'!D:D,'RESUMEN CLIENTES'!W:W)</f>
        <v>1</v>
      </c>
      <c r="G2006" s="17">
        <v>46392</v>
      </c>
      <c r="H2006" s="44" t="s">
        <v>81</v>
      </c>
      <c r="I2006" s="2">
        <v>350</v>
      </c>
      <c r="J2006"/>
      <c r="K2006"/>
      <c r="L2006" s="44" t="str" cm="1">
        <f t="array" ref="L2006">+_xlfn.IFS(COUNTIF(INGRESOS!E:E,Tabla6[[#This Row],[ID FACTURA]])=1,"PAGADA",Tabla6[[#This Row],[ID FACTURA]]&lt;&gt;0,"EMITIDA",Tabla6[[#This Row],[ID FACTURA]]=0,"POR EMITIR")</f>
        <v>POR EMITIR</v>
      </c>
      <c r="M2006" s="55" t="str">
        <f>+IF(Tabla6[[#This Row],[ESTADO FACTURA]]="PAGADA",Tabla6[[#This Row],[FECHA]]-_xlfn.XLOOKUP(Tabla6[[#This Row],[N° FACTURA]],INGRESOS!F:F,INGRESOS!A:A),"-")</f>
        <v>-</v>
      </c>
      <c r="N2006" s="2"/>
      <c r="O2006"/>
    </row>
    <row r="2007" spans="1:15" ht="14.75" customHeight="1">
      <c r="A2007" s="320" t="s">
        <v>1152</v>
      </c>
      <c r="B2007" t="str">
        <f>+_xlfn.XLOOKUP(Tabla6[[#This Row],[ID CLIENTE]],'RESUMEN CLIENTES'!D:D,'RESUMEN CLIENTES'!A:A)</f>
        <v>Ricardo Ernesto Miño Valencia</v>
      </c>
      <c r="C2007" t="str">
        <f>+_xlfn.XLOOKUP(Tabla6[[#This Row],[ID CLIENTE]],'RESUMEN CLIENTES'!D:D,'RESUMEN CLIENTES'!C:C)</f>
        <v>Ecuador</v>
      </c>
      <c r="D2007" s="44" t="str">
        <f>+_xlfn.XLOOKUP(Tabla6[[#This Row],[ID CLIENTE]],'RESUMEN CLIENTES'!D:D,'RESUMEN CLIENTES'!M:M)</f>
        <v>OK</v>
      </c>
      <c r="E2007" s="72">
        <f>+_xlfn.XLOOKUP(Tabla6[[#This Row],[NOMBRE]],'RESUMEN CLIENTES'!A:A,'RESUMEN CLIENTES'!X:X)</f>
        <v>-3.2</v>
      </c>
      <c r="F2007" s="72">
        <f>+_xlfn.XLOOKUP(Tabla6[[#This Row],[ID CLIENTE]],'RESUMEN CLIENTES'!D:D,'RESUMEN CLIENTES'!W:W)</f>
        <v>1</v>
      </c>
      <c r="G2007" s="17">
        <v>46393</v>
      </c>
      <c r="H2007" s="44" t="s">
        <v>81</v>
      </c>
      <c r="I2007" s="2">
        <v>700</v>
      </c>
      <c r="J2007"/>
      <c r="K2007"/>
      <c r="L2007" s="44" t="str" cm="1">
        <f t="array" ref="L2007">+_xlfn.IFS(COUNTIF(INGRESOS!E:E,Tabla6[[#This Row],[ID FACTURA]])=1,"PAGADA",Tabla6[[#This Row],[ID FACTURA]]&lt;&gt;0,"EMITIDA",Tabla6[[#This Row],[ID FACTURA]]=0,"POR EMITIR")</f>
        <v>POR EMITIR</v>
      </c>
      <c r="M2007" s="55" t="str">
        <f>+IF(Tabla6[[#This Row],[ESTADO FACTURA]]="PAGADA",Tabla6[[#This Row],[FECHA]]-_xlfn.XLOOKUP(Tabla6[[#This Row],[N° FACTURA]],INGRESOS!F:F,INGRESOS!A:A),"-")</f>
        <v>-</v>
      </c>
      <c r="N2007" s="2"/>
      <c r="O2007"/>
    </row>
    <row r="2008" spans="1:15" ht="14.75" customHeight="1">
      <c r="A2008" s="320" t="s">
        <v>1945</v>
      </c>
      <c r="B2008" t="str">
        <f>+_xlfn.XLOOKUP(Tabla6[[#This Row],[ID CLIENTE]],'RESUMEN CLIENTES'!D:D,'RESUMEN CLIENTES'!A:A)</f>
        <v>Fernanda Constanza Kompai Antu Arellano Guzmán</v>
      </c>
      <c r="C2008" t="str">
        <f>+_xlfn.XLOOKUP(Tabla6[[#This Row],[ID CLIENTE]],'RESUMEN CLIENTES'!D:D,'RESUMEN CLIENTES'!C:C)</f>
        <v>Chile</v>
      </c>
      <c r="D2008" s="169" t="str">
        <f>+_xlfn.XLOOKUP(Tabla6[[#This Row],[ID CLIENTE]],'RESUMEN CLIENTES'!D:D,'RESUMEN CLIENTES'!M:M)</f>
        <v>OK</v>
      </c>
      <c r="E2008" s="71">
        <f>+_xlfn.XLOOKUP(Tabla6[[#This Row],[NOMBRE]],'RESUMEN CLIENTES'!A:A,'RESUMEN CLIENTES'!X:X)</f>
        <v>0</v>
      </c>
      <c r="F2008" s="71">
        <f>+_xlfn.XLOOKUP(Tabla6[[#This Row],[ID CLIENTE]],'RESUMEN CLIENTES'!D:D,'RESUMEN CLIENTES'!W:W)</f>
        <v>0</v>
      </c>
      <c r="G2008" s="170">
        <v>46402</v>
      </c>
      <c r="H2008" s="170" t="s">
        <v>81</v>
      </c>
      <c r="I2008" s="2">
        <v>650</v>
      </c>
      <c r="J2008"/>
      <c r="K2008"/>
      <c r="L2008" s="44" t="str" cm="1">
        <f t="array" ref="L2008">+_xlfn.IFS(COUNTIF(INGRESOS!E:E,Tabla6[[#This Row],[ID FACTURA]])=1,"PAGADA",Tabla6[[#This Row],[ID FACTURA]]&lt;&gt;0,"EMITIDA",Tabla6[[#This Row],[ID FACTURA]]=0,"POR EMITIR")</f>
        <v>POR EMITIR</v>
      </c>
      <c r="M2008" s="54" t="str">
        <f>+IF(Tabla6[[#This Row],[ESTADO FACTURA]]="PAGADA",Tabla6[[#This Row],[FECHA]]-_xlfn.XLOOKUP(Tabla6[[#This Row],[N° FACTURA]],INGRESOS!F:F,INGRESOS!A:A),"-")</f>
        <v>-</v>
      </c>
      <c r="O2008"/>
    </row>
    <row r="2009" spans="1:15" ht="14.75" customHeight="1">
      <c r="A2009" s="320" t="s">
        <v>103</v>
      </c>
      <c r="B2009" t="str">
        <f>+_xlfn.XLOOKUP(Tabla6[[#This Row],[ID CLIENTE]],'RESUMEN CLIENTES'!D:D,'RESUMEN CLIENTES'!A:A)</f>
        <v>Isaac Ricardo Jimenez Campos</v>
      </c>
      <c r="C2009" t="str">
        <f>+_xlfn.XLOOKUP(Tabla6[[#This Row],[ID CLIENTE]],'RESUMEN CLIENTES'!D:D,'RESUMEN CLIENTES'!C:C)</f>
        <v>México</v>
      </c>
      <c r="D2009" s="44" t="str">
        <f>+_xlfn.XLOOKUP(Tabla6[[#This Row],[ID CLIENTE]],'RESUMEN CLIENTES'!D:D,'RESUMEN CLIENTES'!M:M)</f>
        <v>OK</v>
      </c>
      <c r="E2009" s="72">
        <f>+_xlfn.XLOOKUP(Tabla6[[#This Row],[NOMBRE]],'RESUMEN CLIENTES'!A:A,'RESUMEN CLIENTES'!X:X)</f>
        <v>0.5</v>
      </c>
      <c r="F2009" s="72">
        <f>+_xlfn.XLOOKUP(Tabla6[[#This Row],[ID CLIENTE]],'RESUMEN CLIENTES'!D:D,'RESUMEN CLIENTES'!W:W)</f>
        <v>1</v>
      </c>
      <c r="G2009" s="17">
        <v>46402</v>
      </c>
      <c r="H2009" s="44" t="s">
        <v>81</v>
      </c>
      <c r="I2009" s="2">
        <v>654</v>
      </c>
      <c r="J2009"/>
      <c r="K2009"/>
      <c r="L2009" s="44" t="str" cm="1">
        <f t="array" ref="L2009">+_xlfn.IFS(COUNTIF(INGRESOS!E:E,Tabla6[[#This Row],[ID FACTURA]])=1,"PAGADA",Tabla6[[#This Row],[ID FACTURA]]&lt;&gt;0,"EMITIDA",Tabla6[[#This Row],[ID FACTURA]]=0,"POR EMITIR")</f>
        <v>POR EMITIR</v>
      </c>
      <c r="M2009" s="55" t="str">
        <f>+IF(Tabla6[[#This Row],[ESTADO FACTURA]]="PAGADA",Tabla6[[#This Row],[FECHA]]-_xlfn.XLOOKUP(Tabla6[[#This Row],[N° FACTURA]],INGRESOS!F:F,INGRESOS!A:A),"-")</f>
        <v>-</v>
      </c>
      <c r="N2009" s="2"/>
      <c r="O2009"/>
    </row>
    <row r="2010" spans="1:15" ht="14.75" customHeight="1">
      <c r="A2010" s="321" t="s">
        <v>1875</v>
      </c>
      <c r="B2010" t="str">
        <f>+_xlfn.XLOOKUP(Tabla6[[#This Row],[ID CLIENTE]],'RESUMEN CLIENTES'!D:D,'RESUMEN CLIENTES'!A:A)</f>
        <v>Laura Giraldo</v>
      </c>
      <c r="C2010" t="str">
        <f>+_xlfn.XLOOKUP(Tabla6[[#This Row],[ID CLIENTE]],'RESUMEN CLIENTES'!D:D,'RESUMEN CLIENTES'!C:C)</f>
        <v>Colombia</v>
      </c>
      <c r="D2010" s="169" t="str">
        <f>+_xlfn.XLOOKUP(Tabla6[[#This Row],[ID CLIENTE]],'RESUMEN CLIENTES'!D:D,'RESUMEN CLIENTES'!M:M)</f>
        <v>OK</v>
      </c>
      <c r="E2010" s="71">
        <f>+_xlfn.XLOOKUP(Tabla6[[#This Row],[NOMBRE]],'RESUMEN CLIENTES'!A:A,'RESUMEN CLIENTES'!X:X)</f>
        <v>-3.25</v>
      </c>
      <c r="F2010" s="71">
        <f>+_xlfn.XLOOKUP(Tabla6[[#This Row],[ID CLIENTE]],'RESUMEN CLIENTES'!D:D,'RESUMEN CLIENTES'!W:W)</f>
        <v>1</v>
      </c>
      <c r="G2010" s="17">
        <v>46402</v>
      </c>
      <c r="H2010" s="169" t="s">
        <v>1876</v>
      </c>
      <c r="I2010" s="2">
        <v>1000</v>
      </c>
      <c r="J2010"/>
      <c r="K2010"/>
      <c r="L2010" s="44" t="str" cm="1">
        <f t="array" ref="L2010">+_xlfn.IFS(COUNTIF(INGRESOS!E:E,Tabla6[[#This Row],[ID FACTURA]])=1,"PAGADA",Tabla6[[#This Row],[ID FACTURA]]&lt;&gt;0,"EMITIDA",Tabla6[[#This Row],[ID FACTURA]]=0,"POR EMITIR")</f>
        <v>POR EMITIR</v>
      </c>
      <c r="M2010" s="54" t="str">
        <f>+IF(Tabla6[[#This Row],[ESTADO FACTURA]]="PAGADA",Tabla6[[#This Row],[FECHA]]-_xlfn.XLOOKUP(Tabla6[[#This Row],[N° FACTURA]],INGRESOS!F:F,INGRESOS!A:A),"-")</f>
        <v>-</v>
      </c>
      <c r="O2010"/>
    </row>
    <row r="2011" spans="1:15" ht="14.75" customHeight="1">
      <c r="A2011" s="321" t="s">
        <v>1756</v>
      </c>
      <c r="B2011" t="str">
        <f>+_xlfn.XLOOKUP(Tabla6[[#This Row],[ID CLIENTE]],'RESUMEN CLIENTES'!D:D,'RESUMEN CLIENTES'!A:A)</f>
        <v>Aylin Micaela Ortiz Chiriboga</v>
      </c>
      <c r="C2011" t="str">
        <f>+_xlfn.XLOOKUP(Tabla6[[#This Row],[ID CLIENTE]],'RESUMEN CLIENTES'!D:D,'RESUMEN CLIENTES'!C:C)</f>
        <v>Ecuador</v>
      </c>
      <c r="D2011" s="169" t="str">
        <f>+_xlfn.XLOOKUP(Tabla6[[#This Row],[ID CLIENTE]],'RESUMEN CLIENTES'!D:D,'RESUMEN CLIENTES'!M:M)</f>
        <v>¡REGULARIZAR!</v>
      </c>
      <c r="E2011" s="71">
        <f>+_xlfn.XLOOKUP(Tabla6[[#This Row],[NOMBRE]],'RESUMEN CLIENTES'!A:A,'RESUMEN CLIENTES'!X:X)</f>
        <v>0</v>
      </c>
      <c r="F2011" s="71">
        <f>+_xlfn.XLOOKUP(Tabla6[[#This Row],[ID CLIENTE]],'RESUMEN CLIENTES'!D:D,'RESUMEN CLIENTES'!W:W)</f>
        <v>1</v>
      </c>
      <c r="G2011" s="170">
        <v>46403</v>
      </c>
      <c r="H2011" s="169" t="s">
        <v>81</v>
      </c>
      <c r="I2011" s="2">
        <v>650</v>
      </c>
      <c r="J2011"/>
      <c r="K2011"/>
      <c r="L2011" s="44" t="str" cm="1">
        <f t="array" ref="L2011">+_xlfn.IFS(COUNTIF(INGRESOS!E:E,Tabla6[[#This Row],[ID FACTURA]])=1,"PAGADA",Tabla6[[#This Row],[ID FACTURA]]&lt;&gt;0,"EMITIDA",Tabla6[[#This Row],[ID FACTURA]]=0,"POR EMITIR")</f>
        <v>POR EMITIR</v>
      </c>
      <c r="M2011" s="54" t="str">
        <f>+IF(Tabla6[[#This Row],[ESTADO FACTURA]]="PAGADA",Tabla6[[#This Row],[FECHA]]-_xlfn.XLOOKUP(Tabla6[[#This Row],[N° FACTURA]],INGRESOS!F:F,INGRESOS!A:A),"-")</f>
        <v>-</v>
      </c>
      <c r="O2011"/>
    </row>
    <row r="2012" spans="1:15" ht="14.75" customHeight="1">
      <c r="A2012" s="320" t="s">
        <v>1996</v>
      </c>
      <c r="B2012" t="str">
        <f>+_xlfn.XLOOKUP(Tabla6[[#This Row],[ID CLIENTE]],'RESUMEN CLIENTES'!D:D,'RESUMEN CLIENTES'!A:A)</f>
        <v>Ivan Gonzales Graus</v>
      </c>
      <c r="C2012" t="str">
        <f>+_xlfn.XLOOKUP(Tabla6[[#This Row],[ID CLIENTE]],'RESUMEN CLIENTES'!D:D,'RESUMEN CLIENTES'!C:C)</f>
        <v>Perú</v>
      </c>
      <c r="D2012" s="169" t="str">
        <f>+_xlfn.XLOOKUP(Tabla6[[#This Row],[ID CLIENTE]],'RESUMEN CLIENTES'!D:D,'RESUMEN CLIENTES'!M:M)</f>
        <v>OK</v>
      </c>
      <c r="E2012" s="71">
        <f>+_xlfn.XLOOKUP(Tabla6[[#This Row],[NOMBRE]],'RESUMEN CLIENTES'!A:A,'RESUMEN CLIENTES'!X:X)</f>
        <v>-2</v>
      </c>
      <c r="F2012" s="71">
        <f>+_xlfn.XLOOKUP(Tabla6[[#This Row],[ID CLIENTE]],'RESUMEN CLIENTES'!D:D,'RESUMEN CLIENTES'!W:W)</f>
        <v>1</v>
      </c>
      <c r="G2012" s="17">
        <v>46403</v>
      </c>
      <c r="H2012" s="169" t="s">
        <v>81</v>
      </c>
      <c r="I2012" s="2">
        <v>650</v>
      </c>
      <c r="J2012"/>
      <c r="K2012"/>
      <c r="L2012" s="44" t="str" cm="1">
        <f t="array" ref="L2012">+_xlfn.IFS(COUNTIF(INGRESOS!E:E,Tabla6[[#This Row],[ID FACTURA]])=1,"PAGADA",Tabla6[[#This Row],[ID FACTURA]]&lt;&gt;0,"EMITIDA",Tabla6[[#This Row],[ID FACTURA]]=0,"POR EMITIR")</f>
        <v>POR EMITIR</v>
      </c>
      <c r="M2012" s="54" t="str">
        <f>+IF(Tabla6[[#This Row],[ESTADO FACTURA]]="PAGADA",Tabla6[[#This Row],[FECHA]]-_xlfn.XLOOKUP(Tabla6[[#This Row],[N° FACTURA]],INGRESOS!F:F,INGRESOS!A:A),"-")</f>
        <v>-</v>
      </c>
      <c r="O2012"/>
    </row>
    <row r="2013" spans="1:15" ht="14.75" customHeight="1">
      <c r="A2013" s="320" t="s">
        <v>2046</v>
      </c>
      <c r="B2013" t="str">
        <f>+_xlfn.XLOOKUP(Tabla6[[#This Row],[ID CLIENTE]],'RESUMEN CLIENTES'!D:D,'RESUMEN CLIENTES'!A:A)</f>
        <v>Jesica Daniela Paredes Mendoza</v>
      </c>
      <c r="C2013" t="str">
        <f>+_xlfn.XLOOKUP(Tabla6[[#This Row],[ID CLIENTE]],'RESUMEN CLIENTES'!D:D,'RESUMEN CLIENTES'!C:C)</f>
        <v>México</v>
      </c>
      <c r="D2013" s="169" t="str">
        <f>+_xlfn.XLOOKUP(Tabla6[[#This Row],[ID CLIENTE]],'RESUMEN CLIENTES'!D:D,'RESUMEN CLIENTES'!M:M)</f>
        <v>OK</v>
      </c>
      <c r="E2013" s="71">
        <f>+_xlfn.XLOOKUP(Tabla6[[#This Row],[NOMBRE]],'RESUMEN CLIENTES'!A:A,'RESUMEN CLIENTES'!X:X)</f>
        <v>-2.75</v>
      </c>
      <c r="F2013" s="71">
        <f>+_xlfn.XLOOKUP(Tabla6[[#This Row],[ID CLIENTE]],'RESUMEN CLIENTES'!D:D,'RESUMEN CLIENTES'!W:W)</f>
        <v>1</v>
      </c>
      <c r="G2013" s="17">
        <v>46403</v>
      </c>
      <c r="H2013" s="169" t="s">
        <v>81</v>
      </c>
      <c r="I2013" s="2">
        <v>500</v>
      </c>
      <c r="J2013"/>
      <c r="K2013"/>
      <c r="L2013" s="44" t="str" cm="1">
        <f t="array" ref="L2013">+_xlfn.IFS(COUNTIF(INGRESOS!E:E,Tabla6[[#This Row],[ID FACTURA]])=1,"PAGADA",Tabla6[[#This Row],[ID FACTURA]]&lt;&gt;0,"EMITIDA",Tabla6[[#This Row],[ID FACTURA]]=0,"POR EMITIR")</f>
        <v>POR EMITIR</v>
      </c>
      <c r="M2013" s="54" t="str">
        <f>+IF(Tabla6[[#This Row],[ESTADO FACTURA]]="PAGADA",Tabla6[[#This Row],[FECHA]]-_xlfn.XLOOKUP(Tabla6[[#This Row],[N° FACTURA]],INGRESOS!F:F,INGRESOS!A:A),"-")</f>
        <v>-</v>
      </c>
      <c r="O2013"/>
    </row>
    <row r="2014" spans="1:15" ht="14.75" customHeight="1">
      <c r="A2014" s="320" t="s">
        <v>4660</v>
      </c>
      <c r="B2014" t="str">
        <f>+_xlfn.XLOOKUP(Tabla6[[#This Row],[ID CLIENTE]],'RESUMEN CLIENTES'!D:D,'RESUMEN CLIENTES'!A:A)</f>
        <v>Edipris Flores</v>
      </c>
      <c r="C2014" s="15" t="str">
        <f>+_xlfn.XLOOKUP(Tabla6[[#This Row],[ID CLIENTE]],'RESUMEN CLIENTES'!D:D,'RESUMEN CLIENTES'!C:C)</f>
        <v>Chile</v>
      </c>
      <c r="D2014" s="169" t="str">
        <f>+_xlfn.XLOOKUP(Tabla6[[#This Row],[ID CLIENTE]],'RESUMEN CLIENTES'!D:D,'RESUMEN CLIENTES'!M:M)</f>
        <v>OK</v>
      </c>
      <c r="E2014" s="71">
        <f>+_xlfn.XLOOKUP(Tabla6[[#This Row],[NOMBRE]],'RESUMEN CLIENTES'!A:A,'RESUMEN CLIENTES'!X:X)</f>
        <v>-4</v>
      </c>
      <c r="F2014" s="71">
        <f>+_xlfn.XLOOKUP(Tabla6[[#This Row],[ID CLIENTE]],'RESUMEN CLIENTES'!D:D,'RESUMEN CLIENTES'!W:W)</f>
        <v>0</v>
      </c>
      <c r="G2014" s="17">
        <v>46407</v>
      </c>
      <c r="H2014" s="169" t="s">
        <v>81</v>
      </c>
      <c r="I2014" s="2">
        <v>850</v>
      </c>
      <c r="J2014"/>
      <c r="K2014"/>
      <c r="L2014" s="44" t="str" cm="1">
        <f t="array" ref="L2014">+_xlfn.IFS(COUNTIF(INGRESOS!E:E,Tabla6[[#This Row],[ID FACTURA]])=1,"PAGADA",Tabla6[[#This Row],[ID FACTURA]]&lt;&gt;0,"EMITIDA",Tabla6[[#This Row],[ID FACTURA]]=0,"POR EMITIR")</f>
        <v>POR EMITIR</v>
      </c>
      <c r="M2014" s="54" t="str">
        <f>+IF(Tabla6[[#This Row],[ESTADO FACTURA]]="PAGADA",Tabla6[[#This Row],[FECHA]]-_xlfn.XLOOKUP(Tabla6[[#This Row],[N° FACTURA]],INGRESOS!F:F,INGRESOS!A:A),"-")</f>
        <v>-</v>
      </c>
      <c r="O2014"/>
    </row>
    <row r="2015" spans="1:15" ht="14.75" customHeight="1">
      <c r="A2015" s="320" t="s">
        <v>587</v>
      </c>
      <c r="B2015" t="str">
        <f>+_xlfn.XLOOKUP(Tabla6[[#This Row],[ID CLIENTE]],'RESUMEN CLIENTES'!D:D,'RESUMEN CLIENTES'!A:A)</f>
        <v>Keidwin Perez</v>
      </c>
      <c r="C2015" t="str">
        <f>+_xlfn.XLOOKUP(Tabla6[[#This Row],[ID CLIENTE]],'RESUMEN CLIENTES'!D:D,'RESUMEN CLIENTES'!C:C)</f>
        <v>Colombia</v>
      </c>
      <c r="D2015" s="44" t="str">
        <f>+_xlfn.XLOOKUP(Tabla6[[#This Row],[ID CLIENTE]],'RESUMEN CLIENTES'!D:D,'RESUMEN CLIENTES'!M:M)</f>
        <v>OK</v>
      </c>
      <c r="E2015" s="72">
        <f>+_xlfn.XLOOKUP(Tabla6[[#This Row],[NOMBRE]],'RESUMEN CLIENTES'!A:A,'RESUMEN CLIENTES'!X:X)</f>
        <v>-4.25</v>
      </c>
      <c r="F2015" s="72">
        <f>+_xlfn.XLOOKUP(Tabla6[[#This Row],[ID CLIENTE]],'RESUMEN CLIENTES'!D:D,'RESUMEN CLIENTES'!W:W)</f>
        <v>1</v>
      </c>
      <c r="G2015" s="17">
        <v>46407</v>
      </c>
      <c r="H2015" s="44" t="s">
        <v>81</v>
      </c>
      <c r="I2015" s="2">
        <v>750</v>
      </c>
      <c r="J2015"/>
      <c r="K2015"/>
      <c r="L2015" s="44" t="str" cm="1">
        <f t="array" ref="L2015">+_xlfn.IFS(COUNTIF(INGRESOS!E:E,Tabla6[[#This Row],[ID FACTURA]])=1,"PAGADA",Tabla6[[#This Row],[ID FACTURA]]&lt;&gt;0,"EMITIDA",Tabla6[[#This Row],[ID FACTURA]]=0,"POR EMITIR")</f>
        <v>POR EMITIR</v>
      </c>
      <c r="M2015" s="55" t="str">
        <f>+IF(Tabla6[[#This Row],[ESTADO FACTURA]]="PAGADA",Tabla6[[#This Row],[FECHA]]-_xlfn.XLOOKUP(Tabla6[[#This Row],[N° FACTURA]],INGRESOS!F:F,INGRESOS!A:A),"-")</f>
        <v>-</v>
      </c>
      <c r="N2015" s="2"/>
      <c r="O2015"/>
    </row>
    <row r="2016" spans="1:15" ht="14.75" customHeight="1">
      <c r="A2016" s="320" t="s">
        <v>1437</v>
      </c>
      <c r="B2016" t="str">
        <f>+_xlfn.XLOOKUP(Tabla6[[#This Row],[ID CLIENTE]],'RESUMEN CLIENTES'!D:D,'RESUMEN CLIENTES'!A:A)</f>
        <v>Jorge Andres Galgani Muñoz</v>
      </c>
      <c r="C2016" t="str">
        <f>+_xlfn.XLOOKUP(Tabla6[[#This Row],[ID CLIENTE]],'RESUMEN CLIENTES'!D:D,'RESUMEN CLIENTES'!C:C)</f>
        <v>Chile</v>
      </c>
      <c r="D2016" s="44" t="str">
        <f>+_xlfn.XLOOKUP(Tabla6[[#This Row],[ID CLIENTE]],'RESUMEN CLIENTES'!D:D,'RESUMEN CLIENTES'!M:M)</f>
        <v>OK</v>
      </c>
      <c r="E2016" s="71">
        <f>+_xlfn.XLOOKUP(Tabla6[[#This Row],[NOMBRE]],'RESUMEN CLIENTES'!A:A,'RESUMEN CLIENTES'!X:X)</f>
        <v>-1.1428571428571428</v>
      </c>
      <c r="F2016" s="71">
        <f>+_xlfn.XLOOKUP(Tabla6[[#This Row],[ID CLIENTE]],'RESUMEN CLIENTES'!D:D,'RESUMEN CLIENTES'!W:W)</f>
        <v>1</v>
      </c>
      <c r="G2016" s="17">
        <v>46412</v>
      </c>
      <c r="H2016" s="169" t="s">
        <v>81</v>
      </c>
      <c r="I2016" s="2">
        <v>850</v>
      </c>
      <c r="J2016"/>
      <c r="K2016"/>
      <c r="L2016" s="44" t="str" cm="1">
        <f t="array" ref="L2016">+_xlfn.IFS(COUNTIF(INGRESOS!E:E,Tabla6[[#This Row],[ID FACTURA]])=1,"PAGADA",Tabla6[[#This Row],[ID FACTURA]]&lt;&gt;0,"EMITIDA",Tabla6[[#This Row],[ID FACTURA]]=0,"POR EMITIR")</f>
        <v>POR EMITIR</v>
      </c>
      <c r="M2016" s="55" t="str">
        <f>+IF(Tabla6[[#This Row],[ESTADO FACTURA]]="PAGADA",Tabla6[[#This Row],[FECHA]]-_xlfn.XLOOKUP(Tabla6[[#This Row],[N° FACTURA]],INGRESOS!F:F,INGRESOS!A:A),"-")</f>
        <v>-</v>
      </c>
      <c r="N2016" s="2"/>
      <c r="O2016"/>
    </row>
    <row r="2017" spans="1:15" ht="14.75" customHeight="1">
      <c r="A2017" s="320" t="s">
        <v>1658</v>
      </c>
      <c r="B2017" t="str">
        <f>+_xlfn.XLOOKUP(Tabla6[[#This Row],[ID CLIENTE]],'RESUMEN CLIENTES'!D:D,'RESUMEN CLIENTES'!A:A)</f>
        <v>Nadya Sofía García Carrasco</v>
      </c>
      <c r="C2017" t="str">
        <f>+_xlfn.XLOOKUP(Tabla6[[#This Row],[ID CLIENTE]],'RESUMEN CLIENTES'!D:D,'RESUMEN CLIENTES'!C:C)</f>
        <v>Ecuador</v>
      </c>
      <c r="D2017" s="169" t="str">
        <f>+_xlfn.XLOOKUP(Tabla6[[#This Row],[ID CLIENTE]],'RESUMEN CLIENTES'!D:D,'RESUMEN CLIENTES'!M:M)</f>
        <v>OK</v>
      </c>
      <c r="E2017" s="71">
        <f>+_xlfn.XLOOKUP(Tabla6[[#This Row],[NOMBRE]],'RESUMEN CLIENTES'!A:A,'RESUMEN CLIENTES'!X:X)</f>
        <v>0</v>
      </c>
      <c r="F2017" s="71">
        <f>+_xlfn.XLOOKUP(Tabla6[[#This Row],[ID CLIENTE]],'RESUMEN CLIENTES'!D:D,'RESUMEN CLIENTES'!W:W)</f>
        <v>1</v>
      </c>
      <c r="G2017" s="17">
        <v>46412</v>
      </c>
      <c r="H2017" s="169" t="s">
        <v>81</v>
      </c>
      <c r="I2017" s="2">
        <v>1000</v>
      </c>
      <c r="J2017"/>
      <c r="K2017"/>
      <c r="L2017" s="44" t="str" cm="1">
        <f t="array" ref="L2017">+_xlfn.IFS(COUNTIF(INGRESOS!E:E,Tabla6[[#This Row],[ID FACTURA]])=1,"PAGADA",Tabla6[[#This Row],[ID FACTURA]]&lt;&gt;0,"EMITIDA",Tabla6[[#This Row],[ID FACTURA]]=0,"POR EMITIR")</f>
        <v>POR EMITIR</v>
      </c>
      <c r="M2017" s="55" t="str">
        <f>+IF(Tabla6[[#This Row],[ESTADO FACTURA]]="PAGADA",Tabla6[[#This Row],[FECHA]]-_xlfn.XLOOKUP(Tabla6[[#This Row],[N° FACTURA]],INGRESOS!F:F,INGRESOS!A:A),"-")</f>
        <v>-</v>
      </c>
      <c r="O2017"/>
    </row>
    <row r="2018" spans="1:15" ht="14.75" customHeight="1">
      <c r="A2018" s="320" t="s">
        <v>1743</v>
      </c>
      <c r="B2018" t="str">
        <f>+_xlfn.XLOOKUP(Tabla6[[#This Row],[ID CLIENTE]],'RESUMEN CLIENTES'!D:D,'RESUMEN CLIENTES'!A:A)</f>
        <v>Fernando Alberto Lagos Belmar</v>
      </c>
      <c r="C2018" t="str">
        <f>+_xlfn.XLOOKUP(Tabla6[[#This Row],[ID CLIENTE]],'RESUMEN CLIENTES'!D:D,'RESUMEN CLIENTES'!C:C)</f>
        <v>Chile</v>
      </c>
      <c r="D2018" s="169" t="str">
        <f>+_xlfn.XLOOKUP(Tabla6[[#This Row],[ID CLIENTE]],'RESUMEN CLIENTES'!D:D,'RESUMEN CLIENTES'!M:M)</f>
        <v>OK</v>
      </c>
      <c r="E2018" s="71">
        <f>+_xlfn.XLOOKUP(Tabla6[[#This Row],[NOMBRE]],'RESUMEN CLIENTES'!A:A,'RESUMEN CLIENTES'!X:X)</f>
        <v>0.25</v>
      </c>
      <c r="F2018" s="71">
        <f>+_xlfn.XLOOKUP(Tabla6[[#This Row],[ID CLIENTE]],'RESUMEN CLIENTES'!D:D,'RESUMEN CLIENTES'!W:W)</f>
        <v>1</v>
      </c>
      <c r="G2018" s="17">
        <v>46413</v>
      </c>
      <c r="H2018" s="169" t="s">
        <v>81</v>
      </c>
      <c r="I2018" s="2">
        <v>1000</v>
      </c>
      <c r="J2018"/>
      <c r="K2018"/>
      <c r="L2018" s="44" t="str" cm="1">
        <f t="array" ref="L2018">+_xlfn.IFS(COUNTIF(INGRESOS!E:E,Tabla6[[#This Row],[ID FACTURA]])=1,"PAGADA",Tabla6[[#This Row],[ID FACTURA]]&lt;&gt;0,"EMITIDA",Tabla6[[#This Row],[ID FACTURA]]=0,"POR EMITIR")</f>
        <v>POR EMITIR</v>
      </c>
      <c r="M2018" s="55" t="str">
        <f>+IF(Tabla6[[#This Row],[ESTADO FACTURA]]="PAGADA",Tabla6[[#This Row],[FECHA]]-_xlfn.XLOOKUP(Tabla6[[#This Row],[N° FACTURA]],INGRESOS!F:F,INGRESOS!A:A),"-")</f>
        <v>-</v>
      </c>
      <c r="O2018"/>
    </row>
    <row r="2019" spans="1:15" ht="14.75" customHeight="1">
      <c r="A2019" s="321" t="s">
        <v>519</v>
      </c>
      <c r="B2019" t="str">
        <f>+_xlfn.XLOOKUP(Tabla6[[#This Row],[ID CLIENTE]],'RESUMEN CLIENTES'!D:D,'RESUMEN CLIENTES'!A:A)</f>
        <v>Elaine Acosta Cabrera</v>
      </c>
      <c r="C2019" t="str">
        <f>+_xlfn.XLOOKUP(Tabla6[[#This Row],[ID CLIENTE]],'RESUMEN CLIENTES'!D:D,'RESUMEN CLIENTES'!C:C)</f>
        <v>República Dominicana</v>
      </c>
      <c r="D2019" s="169" t="str">
        <f>+_xlfn.XLOOKUP(Tabla6[[#This Row],[ID CLIENTE]],'RESUMEN CLIENTES'!D:D,'RESUMEN CLIENTES'!M:M)</f>
        <v>OK</v>
      </c>
      <c r="E2019" s="71">
        <f>+_xlfn.XLOOKUP(Tabla6[[#This Row],[NOMBRE]],'RESUMEN CLIENTES'!A:A,'RESUMEN CLIENTES'!X:X)</f>
        <v>0</v>
      </c>
      <c r="F2019" s="71">
        <f>+_xlfn.XLOOKUP(Tabla6[[#This Row],[ID CLIENTE]],'RESUMEN CLIENTES'!D:D,'RESUMEN CLIENTES'!W:W)</f>
        <v>1</v>
      </c>
      <c r="G2019" s="17">
        <v>46414</v>
      </c>
      <c r="H2019" s="169" t="s">
        <v>81</v>
      </c>
      <c r="I2019" s="2">
        <v>1000</v>
      </c>
      <c r="J2019"/>
      <c r="K2019"/>
      <c r="L2019" s="44" t="str" cm="1">
        <f t="array" ref="L2019">+_xlfn.IFS(COUNTIF(INGRESOS!E:E,Tabla6[[#This Row],[ID FACTURA]])=1,"PAGADA",Tabla6[[#This Row],[ID FACTURA]]&lt;&gt;0,"EMITIDA",Tabla6[[#This Row],[ID FACTURA]]=0,"POR EMITIR")</f>
        <v>POR EMITIR</v>
      </c>
      <c r="M2019" s="54" t="str">
        <f>+IF(Tabla6[[#This Row],[ESTADO FACTURA]]="PAGADA",Tabla6[[#This Row],[FECHA]]-_xlfn.XLOOKUP(Tabla6[[#This Row],[N° FACTURA]],INGRESOS!F:F,INGRESOS!A:A),"-")</f>
        <v>-</v>
      </c>
      <c r="O2019"/>
    </row>
    <row r="2020" spans="1:15" ht="14.75" customHeight="1">
      <c r="A2020" s="321" t="s">
        <v>367</v>
      </c>
      <c r="B2020" t="str">
        <f>+_xlfn.XLOOKUP(Tabla6[[#This Row],[ID CLIENTE]],'RESUMEN CLIENTES'!D:D,'RESUMEN CLIENTES'!A:A)</f>
        <v>José Miguel Undurraga Saavedra</v>
      </c>
      <c r="C2020" t="str">
        <f>+_xlfn.XLOOKUP(Tabla6[[#This Row],[ID CLIENTE]],'RESUMEN CLIENTES'!D:D,'RESUMEN CLIENTES'!C:C)</f>
        <v>Chile</v>
      </c>
      <c r="D2020" s="169" t="str">
        <f>+_xlfn.XLOOKUP(Tabla6[[#This Row],[ID CLIENTE]],'RESUMEN CLIENTES'!D:D,'RESUMEN CLIENTES'!M:M)</f>
        <v>OK</v>
      </c>
      <c r="E2020" s="71">
        <f>+_xlfn.XLOOKUP(Tabla6[[#This Row],[NOMBRE]],'RESUMEN CLIENTES'!A:A,'RESUMEN CLIENTES'!X:X)</f>
        <v>-11.5</v>
      </c>
      <c r="F2020" s="71">
        <f>+_xlfn.XLOOKUP(Tabla6[[#This Row],[ID CLIENTE]],'RESUMEN CLIENTES'!D:D,'RESUMEN CLIENTES'!W:W)</f>
        <v>0</v>
      </c>
      <c r="G2020" s="17">
        <v>46414</v>
      </c>
      <c r="H2020" s="169" t="s">
        <v>81</v>
      </c>
      <c r="I2020" s="2">
        <v>6400</v>
      </c>
      <c r="J2020"/>
      <c r="K2020"/>
      <c r="L2020" s="44" t="str" cm="1">
        <f t="array" ref="L2020">+_xlfn.IFS(COUNTIF(INGRESOS!E:E,Tabla6[[#This Row],[ID FACTURA]])=1,"PAGADA",Tabla6[[#This Row],[ID FACTURA]]&lt;&gt;0,"EMITIDA",Tabla6[[#This Row],[ID FACTURA]]=0,"POR EMITIR")</f>
        <v>POR EMITIR</v>
      </c>
      <c r="M2020" s="54" t="str">
        <f>+IF(Tabla6[[#This Row],[ESTADO FACTURA]]="PAGADA",Tabla6[[#This Row],[FECHA]]-_xlfn.XLOOKUP(Tabla6[[#This Row],[N° FACTURA]],INGRESOS!F:F,INGRESOS!A:A),"-")</f>
        <v>-</v>
      </c>
      <c r="O2020" t="s">
        <v>2088</v>
      </c>
    </row>
    <row r="2021" spans="1:15" ht="14.75" customHeight="1">
      <c r="A2021" s="321" t="s">
        <v>1870</v>
      </c>
      <c r="B2021" t="str">
        <f>+_xlfn.XLOOKUP(Tabla6[[#This Row],[ID CLIENTE]],'RESUMEN CLIENTES'!D:D,'RESUMEN CLIENTES'!A:A)</f>
        <v>Berenisse Shadia Yarango Garay</v>
      </c>
      <c r="C2021" t="str">
        <f>+_xlfn.XLOOKUP(Tabla6[[#This Row],[ID CLIENTE]],'RESUMEN CLIENTES'!D:D,'RESUMEN CLIENTES'!C:C)</f>
        <v>Perú</v>
      </c>
      <c r="D2021" s="169" t="str">
        <f>+_xlfn.XLOOKUP(Tabla6[[#This Row],[ID CLIENTE]],'RESUMEN CLIENTES'!D:D,'RESUMEN CLIENTES'!M:M)</f>
        <v>OK</v>
      </c>
      <c r="E2021" s="71">
        <f>+_xlfn.XLOOKUP(Tabla6[[#This Row],[NOMBRE]],'RESUMEN CLIENTES'!A:A,'RESUMEN CLIENTES'!X:X)</f>
        <v>-0.33333333333333331</v>
      </c>
      <c r="F2021" s="71">
        <f>+_xlfn.XLOOKUP(Tabla6[[#This Row],[ID CLIENTE]],'RESUMEN CLIENTES'!D:D,'RESUMEN CLIENTES'!W:W)</f>
        <v>0</v>
      </c>
      <c r="G2021" s="17">
        <v>46415</v>
      </c>
      <c r="H2021" s="169" t="s">
        <v>81</v>
      </c>
      <c r="I2021" s="2">
        <v>850</v>
      </c>
      <c r="J2021"/>
      <c r="K2021"/>
      <c r="L2021" s="44" t="str" cm="1">
        <f t="array" ref="L2021">+_xlfn.IFS(COUNTIF(INGRESOS!E:E,Tabla6[[#This Row],[ID FACTURA]])=1,"PAGADA",Tabla6[[#This Row],[ID FACTURA]]&lt;&gt;0,"EMITIDA",Tabla6[[#This Row],[ID FACTURA]]=0,"POR EMITIR")</f>
        <v>POR EMITIR</v>
      </c>
      <c r="M2021" s="54" t="str">
        <f>+IF(Tabla6[[#This Row],[ESTADO FACTURA]]="PAGADA",Tabla6[[#This Row],[FECHA]]-_xlfn.XLOOKUP(Tabla6[[#This Row],[N° FACTURA]],INGRESOS!F:F,INGRESOS!A:A),"-")</f>
        <v>-</v>
      </c>
      <c r="O2021"/>
    </row>
    <row r="2022" spans="1:15" ht="14.75" customHeight="1">
      <c r="A2022" s="320" t="s">
        <v>221</v>
      </c>
      <c r="B2022" t="str">
        <f>+_xlfn.XLOOKUP(Tabla6[[#This Row],[ID CLIENTE]],'RESUMEN CLIENTES'!D:D,'RESUMEN CLIENTES'!A:A)</f>
        <v>Angel Martin Alarcon Macias</v>
      </c>
      <c r="C2022" t="str">
        <f>+_xlfn.XLOOKUP(Tabla6[[#This Row],[ID CLIENTE]],'RESUMEN CLIENTES'!D:D,'RESUMEN CLIENTES'!C:C)</f>
        <v>Ecuador</v>
      </c>
      <c r="D2022" s="44" t="str">
        <f>+_xlfn.XLOOKUP(Tabla6[[#This Row],[ID CLIENTE]],'RESUMEN CLIENTES'!D:D,'RESUMEN CLIENTES'!M:M)</f>
        <v>¡REGULARIZAR!</v>
      </c>
      <c r="E2022" s="72">
        <f>+_xlfn.XLOOKUP(Tabla6[[#This Row],[NOMBRE]],'RESUMEN CLIENTES'!A:A,'RESUMEN CLIENTES'!X:X)</f>
        <v>-0.5</v>
      </c>
      <c r="F2022" s="72">
        <f>+_xlfn.XLOOKUP(Tabla6[[#This Row],[ID CLIENTE]],'RESUMEN CLIENTES'!D:D,'RESUMEN CLIENTES'!W:W)</f>
        <v>0</v>
      </c>
      <c r="G2022" s="17">
        <v>46417</v>
      </c>
      <c r="H2022" s="44" t="s">
        <v>81</v>
      </c>
      <c r="I2022" s="2">
        <v>1000</v>
      </c>
      <c r="J2022"/>
      <c r="K2022"/>
      <c r="L2022" s="44" t="str" cm="1">
        <f t="array" ref="L2022">+_xlfn.IFS(COUNTIF(INGRESOS!E:E,Tabla6[[#This Row],[ID FACTURA]])=1,"PAGADA",Tabla6[[#This Row],[ID FACTURA]]&lt;&gt;0,"EMITIDA",Tabla6[[#This Row],[ID FACTURA]]=0,"POR EMITIR")</f>
        <v>POR EMITIR</v>
      </c>
      <c r="M2022" s="55" t="str">
        <f>+IF(Tabla6[[#This Row],[ESTADO FACTURA]]="PAGADA",Tabla6[[#This Row],[FECHA]]-_xlfn.XLOOKUP(Tabla6[[#This Row],[N° FACTURA]],INGRESOS!F:F,INGRESOS!A:A),"-")</f>
        <v>-</v>
      </c>
      <c r="N2022" s="2"/>
      <c r="O2022"/>
    </row>
    <row r="2023" spans="1:15" ht="14.75" customHeight="1">
      <c r="A2023" s="320" t="s">
        <v>1761</v>
      </c>
      <c r="B2023" t="str">
        <f>+_xlfn.XLOOKUP(Tabla6[[#This Row],[ID CLIENTE]],'RESUMEN CLIENTES'!D:D,'RESUMEN CLIENTES'!A:A)</f>
        <v>Francisco Salas Barrera</v>
      </c>
      <c r="C2023" t="str">
        <f>+_xlfn.XLOOKUP(Tabla6[[#This Row],[ID CLIENTE]],'RESUMEN CLIENTES'!D:D,'RESUMEN CLIENTES'!C:C)</f>
        <v>México</v>
      </c>
      <c r="D2023" s="169" t="str">
        <f>+_xlfn.XLOOKUP(Tabla6[[#This Row],[ID CLIENTE]],'RESUMEN CLIENTES'!D:D,'RESUMEN CLIENTES'!M:M)</f>
        <v>OK</v>
      </c>
      <c r="E2023" s="71">
        <f>+_xlfn.XLOOKUP(Tabla6[[#This Row],[NOMBRE]],'RESUMEN CLIENTES'!A:A,'RESUMEN CLIENTES'!X:X)</f>
        <v>-0.75</v>
      </c>
      <c r="F2023" s="71">
        <f>+_xlfn.XLOOKUP(Tabla6[[#This Row],[ID CLIENTE]],'RESUMEN CLIENTES'!D:D,'RESUMEN CLIENTES'!W:W)</f>
        <v>0</v>
      </c>
      <c r="G2023" s="17">
        <v>46417</v>
      </c>
      <c r="H2023" s="169" t="s">
        <v>81</v>
      </c>
      <c r="I2023" s="2">
        <v>1000</v>
      </c>
      <c r="J2023"/>
      <c r="K2023"/>
      <c r="L2023" s="44" t="str" cm="1">
        <f t="array" ref="L2023">+_xlfn.IFS(COUNTIF(INGRESOS!E:E,Tabla6[[#This Row],[ID FACTURA]])=1,"PAGADA",Tabla6[[#This Row],[ID FACTURA]]&lt;&gt;0,"EMITIDA",Tabla6[[#This Row],[ID FACTURA]]=0,"POR EMITIR")</f>
        <v>POR EMITIR</v>
      </c>
      <c r="M2023" s="55" t="str">
        <f>+IF(Tabla6[[#This Row],[ESTADO FACTURA]]="PAGADA",Tabla6[[#This Row],[FECHA]]-_xlfn.XLOOKUP(Tabla6[[#This Row],[N° FACTURA]],INGRESOS!F:F,INGRESOS!A:A),"-")</f>
        <v>-</v>
      </c>
      <c r="O2023"/>
    </row>
    <row r="2024" spans="1:15" ht="14.75" customHeight="1">
      <c r="A2024" s="320" t="s">
        <v>739</v>
      </c>
      <c r="B2024" t="str">
        <f>+_xlfn.XLOOKUP(Tabla6[[#This Row],[ID CLIENTE]],'RESUMEN CLIENTES'!D:D,'RESUMEN CLIENTES'!A:A)</f>
        <v>Gilberto Martiñon Torres</v>
      </c>
      <c r="C2024" t="str">
        <f>+_xlfn.XLOOKUP(Tabla6[[#This Row],[ID CLIENTE]],'RESUMEN CLIENTES'!D:D,'RESUMEN CLIENTES'!C:C)</f>
        <v>México</v>
      </c>
      <c r="D2024" s="44" t="str">
        <f>+_xlfn.XLOOKUP(Tabla6[[#This Row],[ID CLIENTE]],'RESUMEN CLIENTES'!D:D,'RESUMEN CLIENTES'!M:M)</f>
        <v>OK</v>
      </c>
      <c r="E2024" s="72">
        <f>+_xlfn.XLOOKUP(Tabla6[[#This Row],[NOMBRE]],'RESUMEN CLIENTES'!A:A,'RESUMEN CLIENTES'!X:X)</f>
        <v>-0.625</v>
      </c>
      <c r="F2024" s="72">
        <f>+_xlfn.XLOOKUP(Tabla6[[#This Row],[ID CLIENTE]],'RESUMEN CLIENTES'!D:D,'RESUMEN CLIENTES'!W:W)</f>
        <v>0</v>
      </c>
      <c r="G2024" s="17">
        <v>46417</v>
      </c>
      <c r="H2024" s="44" t="s">
        <v>81</v>
      </c>
      <c r="I2024" s="2">
        <v>700</v>
      </c>
      <c r="J2024"/>
      <c r="K2024"/>
      <c r="L2024" s="44" t="str" cm="1">
        <f t="array" ref="L2024">+_xlfn.IFS(COUNTIF(INGRESOS!E:E,Tabla6[[#This Row],[ID FACTURA]])=1,"PAGADA",Tabla6[[#This Row],[ID FACTURA]]&lt;&gt;0,"EMITIDA",Tabla6[[#This Row],[ID FACTURA]]=0,"POR EMITIR")</f>
        <v>POR EMITIR</v>
      </c>
      <c r="M2024" s="55" t="str">
        <f>+IF(Tabla6[[#This Row],[ESTADO FACTURA]]="PAGADA",Tabla6[[#This Row],[FECHA]]-_xlfn.XLOOKUP(Tabla6[[#This Row],[N° FACTURA]],INGRESOS!F:F,INGRESOS!A:A),"-")</f>
        <v>-</v>
      </c>
      <c r="N2024" s="2"/>
      <c r="O2024"/>
    </row>
    <row r="2025" spans="1:15" ht="14.75" customHeight="1">
      <c r="A2025" s="320" t="s">
        <v>139</v>
      </c>
      <c r="B2025" t="str">
        <f>+_xlfn.XLOOKUP(Tabla6[[#This Row],[ID CLIENTE]],'RESUMEN CLIENTES'!D:D,'RESUMEN CLIENTES'!A:A)</f>
        <v>Hugo Nicolás Trávez Morales</v>
      </c>
      <c r="C2025" t="str">
        <f>+_xlfn.XLOOKUP(Tabla6[[#This Row],[ID CLIENTE]],'RESUMEN CLIENTES'!D:D,'RESUMEN CLIENTES'!C:C)</f>
        <v>Ecuador</v>
      </c>
      <c r="D2025" s="169" t="str">
        <f>+_xlfn.XLOOKUP(Tabla6[[#This Row],[ID CLIENTE]],'RESUMEN CLIENTES'!D:D,'RESUMEN CLIENTES'!M:M)</f>
        <v>OK</v>
      </c>
      <c r="E2025" s="71">
        <f>+_xlfn.XLOOKUP(Tabla6[[#This Row],[NOMBRE]],'RESUMEN CLIENTES'!A:A,'RESUMEN CLIENTES'!X:X)</f>
        <v>0</v>
      </c>
      <c r="F2025" s="71">
        <f>+_xlfn.XLOOKUP(Tabla6[[#This Row],[ID CLIENTE]],'RESUMEN CLIENTES'!D:D,'RESUMEN CLIENTES'!W:W)</f>
        <v>0</v>
      </c>
      <c r="G2025" s="17">
        <v>46417</v>
      </c>
      <c r="H2025" s="44" t="s">
        <v>81</v>
      </c>
      <c r="I2025" s="2">
        <v>1000</v>
      </c>
      <c r="J2025"/>
      <c r="K2025"/>
      <c r="L2025" s="44" t="str" cm="1">
        <f t="array" ref="L2025">+_xlfn.IFS(COUNTIF(INGRESOS!E:E,Tabla6[[#This Row],[ID FACTURA]])=1,"PAGADA",Tabla6[[#This Row],[ID FACTURA]]&lt;&gt;0,"EMITIDA",Tabla6[[#This Row],[ID FACTURA]]=0,"POR EMITIR")</f>
        <v>POR EMITIR</v>
      </c>
      <c r="M2025" s="54" t="str">
        <f>+IF(Tabla6[[#This Row],[ESTADO FACTURA]]="PAGADA",Tabla6[[#This Row],[FECHA]]-_xlfn.XLOOKUP(Tabla6[[#This Row],[N° FACTURA]],INGRESOS!F:F,INGRESOS!A:A),"-")</f>
        <v>-</v>
      </c>
      <c r="O2025"/>
    </row>
    <row r="2026" spans="1:15" ht="14.75" customHeight="1">
      <c r="A2026" s="320" t="s">
        <v>590</v>
      </c>
      <c r="B2026" t="str">
        <f>+_xlfn.XLOOKUP(Tabla6[[#This Row],[ID CLIENTE]],'RESUMEN CLIENTES'!D:D,'RESUMEN CLIENTES'!A:A)</f>
        <v>María Lucero de Jesús Barrios Sazo</v>
      </c>
      <c r="C2026" t="str">
        <f>+_xlfn.XLOOKUP(Tabla6[[#This Row],[ID CLIENTE]],'RESUMEN CLIENTES'!D:D,'RESUMEN CLIENTES'!C:C)</f>
        <v>Guatemala</v>
      </c>
      <c r="D2026" s="44" t="str">
        <f>+_xlfn.XLOOKUP(Tabla6[[#This Row],[ID CLIENTE]],'RESUMEN CLIENTES'!D:D,'RESUMEN CLIENTES'!M:M)</f>
        <v>OK</v>
      </c>
      <c r="E2026" s="72">
        <f>+_xlfn.XLOOKUP(Tabla6[[#This Row],[NOMBRE]],'RESUMEN CLIENTES'!A:A,'RESUMEN CLIENTES'!X:X)</f>
        <v>1.25</v>
      </c>
      <c r="F2026" s="72">
        <f>+_xlfn.XLOOKUP(Tabla6[[#This Row],[ID CLIENTE]],'RESUMEN CLIENTES'!D:D,'RESUMEN CLIENTES'!W:W)</f>
        <v>0</v>
      </c>
      <c r="G2026" s="17">
        <v>46417</v>
      </c>
      <c r="H2026" s="44" t="s">
        <v>81</v>
      </c>
      <c r="I2026" s="2">
        <v>700</v>
      </c>
      <c r="J2026"/>
      <c r="K2026"/>
      <c r="L2026" s="44" t="str" cm="1">
        <f t="array" ref="L2026">+_xlfn.IFS(COUNTIF(INGRESOS!E:E,Tabla6[[#This Row],[ID FACTURA]])=1,"PAGADA",Tabla6[[#This Row],[ID FACTURA]]&lt;&gt;0,"EMITIDA",Tabla6[[#This Row],[ID FACTURA]]=0,"POR EMITIR")</f>
        <v>POR EMITIR</v>
      </c>
      <c r="M2026" s="55" t="str">
        <f>+IF(Tabla6[[#This Row],[ESTADO FACTURA]]="PAGADA",Tabla6[[#This Row],[FECHA]]-_xlfn.XLOOKUP(Tabla6[[#This Row],[N° FACTURA]],INGRESOS!F:F,INGRESOS!A:A),"-")</f>
        <v>-</v>
      </c>
      <c r="N2026" s="2"/>
      <c r="O2026"/>
    </row>
    <row r="2027" spans="1:15" ht="14.75" customHeight="1">
      <c r="A2027" s="320" t="s">
        <v>4464</v>
      </c>
      <c r="B2027" t="str">
        <f>+_xlfn.XLOOKUP(Tabla6[[#This Row],[ID CLIENTE]],'RESUMEN CLIENTES'!D:D,'RESUMEN CLIENTES'!A:A)</f>
        <v>Alan Diego Titiro Casone</v>
      </c>
      <c r="C2027" t="str">
        <f>+_xlfn.XLOOKUP(Tabla6[[#This Row],[ID CLIENTE]],'RESUMEN CLIENTES'!D:D,'RESUMEN CLIENTES'!C:C)</f>
        <v>Chile</v>
      </c>
      <c r="D2027" s="44" t="str">
        <f>+_xlfn.XLOOKUP(Tabla6[[#This Row],[ID CLIENTE]],'RESUMEN CLIENTES'!D:D,'RESUMEN CLIENTES'!M:M)</f>
        <v>OK</v>
      </c>
      <c r="E2027" s="72">
        <f>+_xlfn.XLOOKUP(Tabla6[[#This Row],[NOMBRE]],'RESUMEN CLIENTES'!A:A,'RESUMEN CLIENTES'!X:X)</f>
        <v>0</v>
      </c>
      <c r="F2027" s="72">
        <f>+_xlfn.XLOOKUP(Tabla6[[#This Row],[ID CLIENTE]],'RESUMEN CLIENTES'!D:D,'RESUMEN CLIENTES'!W:W)</f>
        <v>0</v>
      </c>
      <c r="G2027" s="17">
        <f>IF($H2027&lt;&gt;"ALEM","",IFERROR(
  DATE(
    YEAR(EDATE(
      _xlfn.XLOOKUP($A2027,'RESUMEN CLIENTES'!$D:$D,'RESUMEN CLIENTES'!$Y:$Y,""),
      7 + COUNTIFS(
            $A$2:INDEX($A:$A,ROW()), $A2027,
            $H$2:INDEX($H:$H,ROW()), "ALEM"
          )
    )),
    MONTH(EDATE(
      _xlfn.XLOOKUP($A2027,'RESUMEN CLIENTES'!$D:$D,'RESUMEN CLIENTES'!$Y:$Y,""),
      7 + COUNTIFS(
            $A$2:INDEX($A:$A,ROW()), $A2027,
            $H$2:INDEX($H:$H,ROW()), "ALEM"
          )
    )),
    1
  ),
"SIN FECHA MIG"))</f>
        <v>46419</v>
      </c>
      <c r="H2027" s="44" t="s">
        <v>1876</v>
      </c>
      <c r="I2027" s="2">
        <v>1000</v>
      </c>
      <c r="J2027"/>
      <c r="K2027"/>
      <c r="L2027" s="44" t="str" cm="1">
        <f t="array" ref="L2027">+_xlfn.IFS(COUNTIF(INGRESOS!E:E,Tabla6[[#This Row],[ID FACTURA]])=1,"PAGADA",Tabla6[[#This Row],[ID FACTURA]]&lt;&gt;0,"EMITIDA",Tabla6[[#This Row],[ID FACTURA]]=0,"POR EMITIR")</f>
        <v>POR EMITIR</v>
      </c>
      <c r="M2027" s="55" t="str">
        <f>+IF(Tabla6[[#This Row],[ESTADO FACTURA]]="PAGADA",Tabla6[[#This Row],[FECHA]]-_xlfn.XLOOKUP(Tabla6[[#This Row],[N° FACTURA]],INGRESOS!F:F,INGRESOS!A:A),"-")</f>
        <v>-</v>
      </c>
      <c r="N2027" s="2"/>
      <c r="O2027"/>
    </row>
    <row r="2028" spans="1:15" ht="14.75" customHeight="1">
      <c r="A2028" s="320" t="s">
        <v>541</v>
      </c>
      <c r="B2028" t="str">
        <f>+_xlfn.XLOOKUP(Tabla6[[#This Row],[ID CLIENTE]],'RESUMEN CLIENTES'!D:D,'RESUMEN CLIENTES'!A:A)</f>
        <v>Alejandra Goretti Figueroa Romo</v>
      </c>
      <c r="C2028" t="str">
        <f>+_xlfn.XLOOKUP(Tabla6[[#This Row],[ID CLIENTE]],'RESUMEN CLIENTES'!D:D,'RESUMEN CLIENTES'!C:C)</f>
        <v>México</v>
      </c>
      <c r="D2028" s="44" t="str">
        <f>+_xlfn.XLOOKUP(Tabla6[[#This Row],[ID CLIENTE]],'RESUMEN CLIENTES'!D:D,'RESUMEN CLIENTES'!M:M)</f>
        <v>OK</v>
      </c>
      <c r="E2028" s="72">
        <f>+_xlfn.XLOOKUP(Tabla6[[#This Row],[NOMBRE]],'RESUMEN CLIENTES'!A:A,'RESUMEN CLIENTES'!X:X)</f>
        <v>0.75</v>
      </c>
      <c r="F2028" s="72">
        <f>+_xlfn.XLOOKUP(Tabla6[[#This Row],[ID CLIENTE]],'RESUMEN CLIENTES'!D:D,'RESUMEN CLIENTES'!W:W)</f>
        <v>0</v>
      </c>
      <c r="G2028" s="17">
        <f>IF($H2028&lt;&gt;"ALEM","",IFERROR(
  DATE(
    YEAR(EDATE(
      _xlfn.XLOOKUP($A2028,'RESUMEN CLIENTES'!$D:$D,'RESUMEN CLIENTES'!$Y:$Y,""),
      7 + COUNTIFS(
            $A$2:INDEX($A:$A,ROW()), $A2028,
            $H$2:INDEX($H:$H,ROW()), "ALEM"
          )
    )),
    MONTH(EDATE(
      _xlfn.XLOOKUP($A2028,'RESUMEN CLIENTES'!$D:$D,'RESUMEN CLIENTES'!$Y:$Y,""),
      7 + COUNTIFS(
            $A$2:INDEX($A:$A,ROW()), $A2028,
            $H$2:INDEX($H:$H,ROW()), "ALEM"
          )
    )),
    1
  ),
"SIN FECHA MIG"))</f>
        <v>46419</v>
      </c>
      <c r="H2028" s="44" t="s">
        <v>1876</v>
      </c>
      <c r="I2028" s="2">
        <v>1000</v>
      </c>
      <c r="J2028"/>
      <c r="K2028"/>
      <c r="L2028" s="44" t="str" cm="1">
        <f t="array" ref="L2028">+_xlfn.IFS(COUNTIF(INGRESOS!E:E,Tabla6[[#This Row],[ID FACTURA]])=1,"PAGADA",Tabla6[[#This Row],[ID FACTURA]]&lt;&gt;0,"EMITIDA",Tabla6[[#This Row],[ID FACTURA]]=0,"POR EMITIR")</f>
        <v>POR EMITIR</v>
      </c>
      <c r="M2028" s="55" t="str">
        <f>+IF(Tabla6[[#This Row],[ESTADO FACTURA]]="PAGADA",Tabla6[[#This Row],[FECHA]]-_xlfn.XLOOKUP(Tabla6[[#This Row],[N° FACTURA]],INGRESOS!F:F,INGRESOS!A:A),"-")</f>
        <v>-</v>
      </c>
      <c r="N2028" s="2"/>
      <c r="O2028"/>
    </row>
    <row r="2029" spans="1:15" ht="14.75" customHeight="1">
      <c r="A2029" s="320" t="s">
        <v>84</v>
      </c>
      <c r="B2029" t="str">
        <f>+_xlfn.XLOOKUP(Tabla6[[#This Row],[ID CLIENTE]],'RESUMEN CLIENTES'!D:D,'RESUMEN CLIENTES'!A:A)</f>
        <v>Andrea Corpeño López</v>
      </c>
      <c r="C2029" t="str">
        <f>+_xlfn.XLOOKUP(Tabla6[[#This Row],[ID CLIENTE]],'RESUMEN CLIENTES'!D:D,'RESUMEN CLIENTES'!C:C)</f>
        <v>El Salvador</v>
      </c>
      <c r="D2029" s="44" t="str">
        <f>+_xlfn.XLOOKUP(Tabla6[[#This Row],[ID CLIENTE]],'RESUMEN CLIENTES'!D:D,'RESUMEN CLIENTES'!M:M)</f>
        <v>OK</v>
      </c>
      <c r="E2029" s="72">
        <f>+_xlfn.XLOOKUP(Tabla6[[#This Row],[NOMBRE]],'RESUMEN CLIENTES'!A:A,'RESUMEN CLIENTES'!X:X)</f>
        <v>-0.81818181818181823</v>
      </c>
      <c r="F2029" s="72">
        <f>+_xlfn.XLOOKUP(Tabla6[[#This Row],[ID CLIENTE]],'RESUMEN CLIENTES'!D:D,'RESUMEN CLIENTES'!W:W)</f>
        <v>0</v>
      </c>
      <c r="G2029" s="17">
        <f>IF($H2029&lt;&gt;"ALEM","",IFERROR(
  DATE(
    YEAR(EDATE(
      _xlfn.XLOOKUP($A2029,'RESUMEN CLIENTES'!$D:$D,'RESUMEN CLIENTES'!$Y:$Y,""),
      7 + COUNTIFS(
            $A$2:INDEX($A:$A,ROW()), $A2029,
            $H$2:INDEX($H:$H,ROW()), "ALEM"
          )
    )),
    MONTH(EDATE(
      _xlfn.XLOOKUP($A2029,'RESUMEN CLIENTES'!$D:$D,'RESUMEN CLIENTES'!$Y:$Y,""),
      7 + COUNTIFS(
            $A$2:INDEX($A:$A,ROW()), $A2029,
            $H$2:INDEX($H:$H,ROW()), "ALEM"
          )
    )),
    1
  ),
"SIN FECHA MIG"))</f>
        <v>46419</v>
      </c>
      <c r="H2029" s="44" t="s">
        <v>1876</v>
      </c>
      <c r="I2029" s="2">
        <v>800</v>
      </c>
      <c r="J2029"/>
      <c r="K2029"/>
      <c r="L2029" s="44" t="str" cm="1">
        <f t="array" ref="L2029">+_xlfn.IFS(COUNTIF(INGRESOS!E:E,Tabla6[[#This Row],[ID FACTURA]])=1,"PAGADA",Tabla6[[#This Row],[ID FACTURA]]&lt;&gt;0,"EMITIDA",Tabla6[[#This Row],[ID FACTURA]]=0,"POR EMITIR")</f>
        <v>POR EMITIR</v>
      </c>
      <c r="M2029" s="55" t="str">
        <f>+IF(Tabla6[[#This Row],[ESTADO FACTURA]]="PAGADA",Tabla6[[#This Row],[FECHA]]-_xlfn.XLOOKUP(Tabla6[[#This Row],[N° FACTURA]],INGRESOS!F:F,INGRESOS!A:A),"-")</f>
        <v>-</v>
      </c>
      <c r="N2029" s="2"/>
      <c r="O2029" t="s">
        <v>2085</v>
      </c>
    </row>
    <row r="2030" spans="1:15" ht="14.75" customHeight="1">
      <c r="A2030" s="320" t="s">
        <v>325</v>
      </c>
      <c r="B2030" t="str">
        <f>+_xlfn.XLOOKUP(Tabla6[[#This Row],[ID CLIENTE]],'RESUMEN CLIENTES'!D:D,'RESUMEN CLIENTES'!A:A)</f>
        <v>Andrea Cristina Estrada Morocho</v>
      </c>
      <c r="C2030" t="str">
        <f>+_xlfn.XLOOKUP(Tabla6[[#This Row],[ID CLIENTE]],'RESUMEN CLIENTES'!D:D,'RESUMEN CLIENTES'!C:C)</f>
        <v>Ecuador</v>
      </c>
      <c r="D2030" s="44" t="str">
        <f>+_xlfn.XLOOKUP(Tabla6[[#This Row],[ID CLIENTE]],'RESUMEN CLIENTES'!D:D,'RESUMEN CLIENTES'!M:M)</f>
        <v>OK</v>
      </c>
      <c r="E2030" s="72">
        <f>+_xlfn.XLOOKUP(Tabla6[[#This Row],[NOMBRE]],'RESUMEN CLIENTES'!A:A,'RESUMEN CLIENTES'!X:X)</f>
        <v>-3.6666666666666665</v>
      </c>
      <c r="F2030" s="72">
        <f>+_xlfn.XLOOKUP(Tabla6[[#This Row],[ID CLIENTE]],'RESUMEN CLIENTES'!D:D,'RESUMEN CLIENTES'!W:W)</f>
        <v>1</v>
      </c>
      <c r="G2030" s="17">
        <f>IF($H2030&lt;&gt;"ALEM","",IFERROR(
  DATE(
    YEAR(EDATE(
      _xlfn.XLOOKUP($A2030,'RESUMEN CLIENTES'!$D:$D,'RESUMEN CLIENTES'!$Y:$Y,""),
      7 + COUNTIFS(
            $A$2:INDEX($A:$A,ROW()), $A2030,
            $H$2:INDEX($H:$H,ROW()), "ALEM"
          )
    )),
    MONTH(EDATE(
      _xlfn.XLOOKUP($A2030,'RESUMEN CLIENTES'!$D:$D,'RESUMEN CLIENTES'!$Y:$Y,""),
      7 + COUNTIFS(
            $A$2:INDEX($A:$A,ROW()), $A2030,
            $H$2:INDEX($H:$H,ROW()), "ALEM"
          )
    )),
    1
  ),
"SIN FECHA MIG"))</f>
        <v>46419</v>
      </c>
      <c r="H2030" s="44" t="s">
        <v>1876</v>
      </c>
      <c r="I2030" s="2">
        <v>1000</v>
      </c>
      <c r="J2030"/>
      <c r="K2030"/>
      <c r="L2030" s="44" t="str" cm="1">
        <f t="array" ref="L2030">+_xlfn.IFS(COUNTIF(INGRESOS!E:E,Tabla6[[#This Row],[ID FACTURA]])=1,"PAGADA",Tabla6[[#This Row],[ID FACTURA]]&lt;&gt;0,"EMITIDA",Tabla6[[#This Row],[ID FACTURA]]=0,"POR EMITIR")</f>
        <v>POR EMITIR</v>
      </c>
      <c r="M2030" s="55" t="str">
        <f>+IF(Tabla6[[#This Row],[ESTADO FACTURA]]="PAGADA",Tabla6[[#This Row],[FECHA]]-_xlfn.XLOOKUP(Tabla6[[#This Row],[N° FACTURA]],INGRESOS!F:F,INGRESOS!A:A),"-")</f>
        <v>-</v>
      </c>
      <c r="N2030" s="2"/>
      <c r="O2030"/>
    </row>
    <row r="2031" spans="1:15" ht="14.75" customHeight="1">
      <c r="A2031" s="320" t="s">
        <v>1357</v>
      </c>
      <c r="B2031" t="str">
        <f>+_xlfn.XLOOKUP(Tabla6[[#This Row],[ID CLIENTE]],'RESUMEN CLIENTES'!D:D,'RESUMEN CLIENTES'!A:A)</f>
        <v>Angel Andres Velastegui Huebla</v>
      </c>
      <c r="C2031" t="str">
        <f>+_xlfn.XLOOKUP(Tabla6[[#This Row],[ID CLIENTE]],'RESUMEN CLIENTES'!D:D,'RESUMEN CLIENTES'!C:C)</f>
        <v>Ecuador</v>
      </c>
      <c r="D2031" s="44" t="str">
        <f>+_xlfn.XLOOKUP(Tabla6[[#This Row],[ID CLIENTE]],'RESUMEN CLIENTES'!D:D,'RESUMEN CLIENTES'!M:M)</f>
        <v>OK</v>
      </c>
      <c r="E2031" s="71">
        <f>+_xlfn.XLOOKUP(Tabla6[[#This Row],[NOMBRE]],'RESUMEN CLIENTES'!A:A,'RESUMEN CLIENTES'!X:X)</f>
        <v>0</v>
      </c>
      <c r="F2031" s="71">
        <f>+_xlfn.XLOOKUP(Tabla6[[#This Row],[ID CLIENTE]],'RESUMEN CLIENTES'!D:D,'RESUMEN CLIENTES'!W:W)</f>
        <v>1</v>
      </c>
      <c r="G2031" s="17">
        <f>IF($H2031&lt;&gt;"ALEM","",IFERROR(
  DATE(
    YEAR(EDATE(
      _xlfn.XLOOKUP($A2031,'RESUMEN CLIENTES'!$D:$D,'RESUMEN CLIENTES'!$Y:$Y,""),
      7 + COUNTIFS(
            $A$2:INDEX($A:$A,ROW()), $A2031,
            $H$2:INDEX($H:$H,ROW()), "ALEM"
          )
    )),
    MONTH(EDATE(
      _xlfn.XLOOKUP($A2031,'RESUMEN CLIENTES'!$D:$D,'RESUMEN CLIENTES'!$Y:$Y,""),
      7 + COUNTIFS(
            $A$2:INDEX($A:$A,ROW()), $A2031,
            $H$2:INDEX($H:$H,ROW()), "ALEM"
          )
    )),
    1
  ),
"SIN FECHA MIG"))</f>
        <v>46419</v>
      </c>
      <c r="H2031" s="44" t="s">
        <v>1876</v>
      </c>
      <c r="I2031" s="2">
        <v>800</v>
      </c>
      <c r="J2031"/>
      <c r="K2031"/>
      <c r="L2031" s="44" t="str" cm="1">
        <f t="array" ref="L2031">+_xlfn.IFS(COUNTIF(INGRESOS!E:E,Tabla6[[#This Row],[ID FACTURA]])=1,"PAGADA",Tabla6[[#This Row],[ID FACTURA]]&lt;&gt;0,"EMITIDA",Tabla6[[#This Row],[ID FACTURA]]=0,"POR EMITIR")</f>
        <v>POR EMITIR</v>
      </c>
      <c r="M2031" s="55" t="str">
        <f>+IF(Tabla6[[#This Row],[ESTADO FACTURA]]="PAGADA",Tabla6[[#This Row],[FECHA]]-_xlfn.XLOOKUP(Tabla6[[#This Row],[N° FACTURA]],INGRESOS!F:F,INGRESOS!A:A),"-")</f>
        <v>-</v>
      </c>
      <c r="N2031" s="2"/>
      <c r="O2031"/>
    </row>
    <row r="2032" spans="1:15" ht="14.75" customHeight="1">
      <c r="A2032" s="320" t="s">
        <v>574</v>
      </c>
      <c r="B2032" t="str">
        <f>+_xlfn.XLOOKUP(Tabla6[[#This Row],[ID CLIENTE]],'RESUMEN CLIENTES'!D:D,'RESUMEN CLIENTES'!A:A)</f>
        <v>Astrid Mariam Enamorado Ortega</v>
      </c>
      <c r="C2032" t="str">
        <f>+_xlfn.XLOOKUP(Tabla6[[#This Row],[ID CLIENTE]],'RESUMEN CLIENTES'!D:D,'RESUMEN CLIENTES'!C:C)</f>
        <v>Honduras</v>
      </c>
      <c r="D2032" s="44" t="str">
        <f>+_xlfn.XLOOKUP(Tabla6[[#This Row],[ID CLIENTE]],'RESUMEN CLIENTES'!D:D,'RESUMEN CLIENTES'!M:M)</f>
        <v>OK</v>
      </c>
      <c r="E2032" s="72">
        <f>+_xlfn.XLOOKUP(Tabla6[[#This Row],[NOMBRE]],'RESUMEN CLIENTES'!A:A,'RESUMEN CLIENTES'!X:X)</f>
        <v>-1.75</v>
      </c>
      <c r="F2032" s="72">
        <f>+_xlfn.XLOOKUP(Tabla6[[#This Row],[ID CLIENTE]],'RESUMEN CLIENTES'!D:D,'RESUMEN CLIENTES'!W:W)</f>
        <v>0</v>
      </c>
      <c r="G2032" s="17">
        <f>IF($H2032&lt;&gt;"ALEM","",IFERROR(
  DATE(
    YEAR(EDATE(
      _xlfn.XLOOKUP($A2032,'RESUMEN CLIENTES'!$D:$D,'RESUMEN CLIENTES'!$Y:$Y,""),
      7 + COUNTIFS(
            $A$2:INDEX($A:$A,ROW()), $A2032,
            $H$2:INDEX($H:$H,ROW()), "ALEM"
          )
    )),
    MONTH(EDATE(
      _xlfn.XLOOKUP($A2032,'RESUMEN CLIENTES'!$D:$D,'RESUMEN CLIENTES'!$Y:$Y,""),
      7 + COUNTIFS(
            $A$2:INDEX($A:$A,ROW()), $A2032,
            $H$2:INDEX($H:$H,ROW()), "ALEM"
          )
    )),
    1
  ),
"SIN FECHA MIG"))</f>
        <v>46419</v>
      </c>
      <c r="H2032" s="44" t="s">
        <v>1876</v>
      </c>
      <c r="I2032" s="2">
        <v>1000</v>
      </c>
      <c r="J2032"/>
      <c r="K2032"/>
      <c r="L2032" s="44" t="str" cm="1">
        <f t="array" ref="L2032">+_xlfn.IFS(COUNTIF(INGRESOS!E:E,Tabla6[[#This Row],[ID FACTURA]])=1,"PAGADA",Tabla6[[#This Row],[ID FACTURA]]&lt;&gt;0,"EMITIDA",Tabla6[[#This Row],[ID FACTURA]]=0,"POR EMITIR")</f>
        <v>POR EMITIR</v>
      </c>
      <c r="M2032" s="55" t="str">
        <f>+IF(Tabla6[[#This Row],[ESTADO FACTURA]]="PAGADA",Tabla6[[#This Row],[FECHA]]-_xlfn.XLOOKUP(Tabla6[[#This Row],[N° FACTURA]],INGRESOS!F:F,INGRESOS!A:A),"-")</f>
        <v>-</v>
      </c>
      <c r="N2032" s="2"/>
      <c r="O2032"/>
    </row>
    <row r="2033" spans="1:15" ht="14.75" customHeight="1">
      <c r="A2033" s="320" t="s">
        <v>2011</v>
      </c>
      <c r="B2033" t="str">
        <f>+_xlfn.XLOOKUP(Tabla6[[#This Row],[ID CLIENTE]],'RESUMEN CLIENTES'!D:D,'RESUMEN CLIENTES'!A:A)</f>
        <v>Bárbara Fuentes</v>
      </c>
      <c r="C2033" t="str">
        <f>+_xlfn.XLOOKUP(Tabla6[[#This Row],[ID CLIENTE]],'RESUMEN CLIENTES'!D:D,'RESUMEN CLIENTES'!C:C)</f>
        <v>Chile</v>
      </c>
      <c r="D2033" s="169" t="str">
        <f>+_xlfn.XLOOKUP(Tabla6[[#This Row],[ID CLIENTE]],'RESUMEN CLIENTES'!D:D,'RESUMEN CLIENTES'!M:M)</f>
        <v>OK</v>
      </c>
      <c r="E2033" s="71">
        <f>+_xlfn.XLOOKUP(Tabla6[[#This Row],[NOMBRE]],'RESUMEN CLIENTES'!A:A,'RESUMEN CLIENTES'!X:X)</f>
        <v>-0.33333333333333331</v>
      </c>
      <c r="F2033" s="71">
        <f>+_xlfn.XLOOKUP(Tabla6[[#This Row],[ID CLIENTE]],'RESUMEN CLIENTES'!D:D,'RESUMEN CLIENTES'!W:W)</f>
        <v>0</v>
      </c>
      <c r="G2033" s="17">
        <f>IF($H2033&lt;&gt;"ALEM","",IFERROR(
  DATE(
    YEAR(EDATE(
      _xlfn.XLOOKUP($A2033,'RESUMEN CLIENTES'!$D:$D,'RESUMEN CLIENTES'!$Y:$Y,""),
      7 + COUNTIFS(
            $A$2:INDEX($A:$A,ROW()), $A2033,
            $H$2:INDEX($H:$H,ROW()), "ALEM"
          )
    )),
    MONTH(EDATE(
      _xlfn.XLOOKUP($A2033,'RESUMEN CLIENTES'!$D:$D,'RESUMEN CLIENTES'!$Y:$Y,""),
      7 + COUNTIFS(
            $A$2:INDEX($A:$A,ROW()), $A2033,
            $H$2:INDEX($H:$H,ROW()), "ALEM"
          )
    )),
    1
  ),
"null"))</f>
        <v>46419</v>
      </c>
      <c r="H2033" s="169" t="s">
        <v>1876</v>
      </c>
      <c r="I2033" s="2">
        <v>1000</v>
      </c>
      <c r="J2033"/>
      <c r="K2033"/>
      <c r="L2033" s="44" t="str" cm="1">
        <f t="array" ref="L2033">+_xlfn.IFS(COUNTIF(INGRESOS!E:E,Tabla6[[#This Row],[ID FACTURA]])=1,"PAGADA",Tabla6[[#This Row],[ID FACTURA]]&lt;&gt;0,"EMITIDA",Tabla6[[#This Row],[ID FACTURA]]=0,"POR EMITIR")</f>
        <v>POR EMITIR</v>
      </c>
      <c r="M2033" s="54" t="str">
        <f>+IF(Tabla6[[#This Row],[ESTADO FACTURA]]="PAGADA",Tabla6[[#This Row],[FECHA]]-_xlfn.XLOOKUP(Tabla6[[#This Row],[N° FACTURA]],INGRESOS!F:F,INGRESOS!A:A),"-")</f>
        <v>-</v>
      </c>
      <c r="O2033"/>
    </row>
    <row r="2034" spans="1:15" ht="14.75" customHeight="1">
      <c r="A2034" s="320" t="s">
        <v>162</v>
      </c>
      <c r="B2034" t="str">
        <f>+_xlfn.XLOOKUP(Tabla6[[#This Row],[ID CLIENTE]],'RESUMEN CLIENTES'!D:D,'RESUMEN CLIENTES'!A:A)</f>
        <v>Bastian Sofjer Peralta</v>
      </c>
      <c r="C2034" t="str">
        <f>+_xlfn.XLOOKUP(Tabla6[[#This Row],[ID CLIENTE]],'RESUMEN CLIENTES'!D:D,'RESUMEN CLIENTES'!C:C)</f>
        <v>Chile</v>
      </c>
      <c r="D2034" s="44" t="str">
        <f>+_xlfn.XLOOKUP(Tabla6[[#This Row],[ID CLIENTE]],'RESUMEN CLIENTES'!D:D,'RESUMEN CLIENTES'!M:M)</f>
        <v>OK</v>
      </c>
      <c r="E2034" s="72">
        <f>+_xlfn.XLOOKUP(Tabla6[[#This Row],[NOMBRE]],'RESUMEN CLIENTES'!A:A,'RESUMEN CLIENTES'!X:X)</f>
        <v>4.125</v>
      </c>
      <c r="F2034" s="72">
        <f>+_xlfn.XLOOKUP(Tabla6[[#This Row],[ID CLIENTE]],'RESUMEN CLIENTES'!D:D,'RESUMEN CLIENTES'!W:W)</f>
        <v>1</v>
      </c>
      <c r="G2034" s="17">
        <f>IF($H2034&lt;&gt;"ALEM","",IFERROR(
  DATE(
    YEAR(EDATE(
      _xlfn.XLOOKUP($A2034,'RESUMEN CLIENTES'!$D:$D,'RESUMEN CLIENTES'!$Y:$Y,""),
      7 + COUNTIFS(
            $A$2:INDEX($A:$A,ROW()), $A2034,
            $H$2:INDEX($H:$H,ROW()), "ALEM"
          )
    )),
    MONTH(EDATE(
      _xlfn.XLOOKUP($A2034,'RESUMEN CLIENTES'!$D:$D,'RESUMEN CLIENTES'!$Y:$Y,""),
      7 + COUNTIFS(
            $A$2:INDEX($A:$A,ROW()), $A2034,
            $H$2:INDEX($H:$H,ROW()), "ALEM"
          )
    )),
    1
  ),
"SIN FECHA MIG"))</f>
        <v>46419</v>
      </c>
      <c r="H2034" s="44" t="s">
        <v>1876</v>
      </c>
      <c r="I2034" s="2">
        <v>1000</v>
      </c>
      <c r="J2034"/>
      <c r="K2034"/>
      <c r="L2034" s="44" t="str" cm="1">
        <f t="array" ref="L2034">+_xlfn.IFS(COUNTIF(INGRESOS!E:E,Tabla6[[#This Row],[ID FACTURA]])=1,"PAGADA",Tabla6[[#This Row],[ID FACTURA]]&lt;&gt;0,"EMITIDA",Tabla6[[#This Row],[ID FACTURA]]=0,"POR EMITIR")</f>
        <v>POR EMITIR</v>
      </c>
      <c r="M2034" s="55" t="str">
        <f>+IF(Tabla6[[#This Row],[ESTADO FACTURA]]="PAGADA",Tabla6[[#This Row],[FECHA]]-_xlfn.XLOOKUP(Tabla6[[#This Row],[N° FACTURA]],INGRESOS!F:F,INGRESOS!A:A),"-")</f>
        <v>-</v>
      </c>
      <c r="N2034" s="2"/>
      <c r="O2034" t="s">
        <v>2086</v>
      </c>
    </row>
    <row r="2035" spans="1:15" ht="14.75" customHeight="1">
      <c r="A2035" s="320" t="s">
        <v>184</v>
      </c>
      <c r="B2035" t="str">
        <f>+_xlfn.XLOOKUP(Tabla6[[#This Row],[ID CLIENTE]],'RESUMEN CLIENTES'!D:D,'RESUMEN CLIENTES'!A:A)</f>
        <v>Boris Andrés Silva Véliz</v>
      </c>
      <c r="C2035" t="str">
        <f>+_xlfn.XLOOKUP(Tabla6[[#This Row],[ID CLIENTE]],'RESUMEN CLIENTES'!D:D,'RESUMEN CLIENTES'!C:C)</f>
        <v>Chile</v>
      </c>
      <c r="D2035" s="44" t="str">
        <f>+_xlfn.XLOOKUP(Tabla6[[#This Row],[ID CLIENTE]],'RESUMEN CLIENTES'!D:D,'RESUMEN CLIENTES'!M:M)</f>
        <v>OK</v>
      </c>
      <c r="E2035" s="72">
        <f>+_xlfn.XLOOKUP(Tabla6[[#This Row],[NOMBRE]],'RESUMEN CLIENTES'!A:A,'RESUMEN CLIENTES'!X:X)</f>
        <v>2.1111111111111112</v>
      </c>
      <c r="F2035" s="72">
        <f>+_xlfn.XLOOKUP(Tabla6[[#This Row],[ID CLIENTE]],'RESUMEN CLIENTES'!D:D,'RESUMEN CLIENTES'!W:W)</f>
        <v>0</v>
      </c>
      <c r="G2035" s="17">
        <f>IF($H2035&lt;&gt;"ALEM","",IFERROR(
  DATE(
    YEAR(EDATE(
      _xlfn.XLOOKUP($A2035,'RESUMEN CLIENTES'!$D:$D,'RESUMEN CLIENTES'!$Y:$Y,""),
      7 + COUNTIFS(
            $A$2:INDEX($A:$A,ROW()), $A2035,
            $H$2:INDEX($H:$H,ROW()), "ALEM"
          )
    )),
    MONTH(EDATE(
      _xlfn.XLOOKUP($A2035,'RESUMEN CLIENTES'!$D:$D,'RESUMEN CLIENTES'!$Y:$Y,""),
      7 + COUNTIFS(
            $A$2:INDEX($A:$A,ROW()), $A2035,
            $H$2:INDEX($H:$H,ROW()), "ALEM"
          )
    )),
    1
  ),
"SIN FECHA MIG"))</f>
        <v>46419</v>
      </c>
      <c r="H2035" s="44" t="s">
        <v>1876</v>
      </c>
      <c r="I2035" s="2">
        <v>458</v>
      </c>
      <c r="J2035"/>
      <c r="K2035"/>
      <c r="L2035" s="44" t="str" cm="1">
        <f t="array" ref="L2035">+_xlfn.IFS(COUNTIF(INGRESOS!E:E,Tabla6[[#This Row],[ID FACTURA]])=1,"PAGADA",Tabla6[[#This Row],[ID FACTURA]]&lt;&gt;0,"EMITIDA",Tabla6[[#This Row],[ID FACTURA]]=0,"POR EMITIR")</f>
        <v>POR EMITIR</v>
      </c>
      <c r="M2035" s="55" t="str">
        <f>+IF(Tabla6[[#This Row],[ESTADO FACTURA]]="PAGADA",Tabla6[[#This Row],[FECHA]]-_xlfn.XLOOKUP(Tabla6[[#This Row],[N° FACTURA]],INGRESOS!F:F,INGRESOS!A:A),"-")</f>
        <v>-</v>
      </c>
      <c r="N2035" s="2"/>
      <c r="O2035"/>
    </row>
    <row r="2036" spans="1:15" ht="14.75" customHeight="1">
      <c r="A2036" s="320" t="s">
        <v>1206</v>
      </c>
      <c r="B2036" t="str">
        <f>+_xlfn.XLOOKUP(Tabla6[[#This Row],[ID CLIENTE]],'RESUMEN CLIENTES'!D:D,'RESUMEN CLIENTES'!A:A)</f>
        <v>Bryan Israel Jiménez Puente</v>
      </c>
      <c r="C2036" t="str">
        <f>+_xlfn.XLOOKUP(Tabla6[[#This Row],[ID CLIENTE]],'RESUMEN CLIENTES'!D:D,'RESUMEN CLIENTES'!C:C)</f>
        <v>Ecuador</v>
      </c>
      <c r="D2036" s="44" t="str">
        <f>+_xlfn.XLOOKUP(Tabla6[[#This Row],[ID CLIENTE]],'RESUMEN CLIENTES'!D:D,'RESUMEN CLIENTES'!M:M)</f>
        <v>OK</v>
      </c>
      <c r="E2036" s="72">
        <f>+_xlfn.XLOOKUP(Tabla6[[#This Row],[NOMBRE]],'RESUMEN CLIENTES'!A:A,'RESUMEN CLIENTES'!X:X)</f>
        <v>1</v>
      </c>
      <c r="F2036" s="72">
        <f>+_xlfn.XLOOKUP(Tabla6[[#This Row],[ID CLIENTE]],'RESUMEN CLIENTES'!D:D,'RESUMEN CLIENTES'!W:W)</f>
        <v>0</v>
      </c>
      <c r="G2036" s="17">
        <f>IF($H2036&lt;&gt;"ALEM","",IFERROR(
  DATE(
    YEAR(EDATE(
      _xlfn.XLOOKUP($A2036,'RESUMEN CLIENTES'!$D:$D,'RESUMEN CLIENTES'!$Y:$Y,""),
      7 + COUNTIFS(
            $A$2:INDEX($A:$A,ROW()), $A2036,
            $H$2:INDEX($H:$H,ROW()), "ALEM"
          )
    )),
    MONTH(EDATE(
      _xlfn.XLOOKUP($A2036,'RESUMEN CLIENTES'!$D:$D,'RESUMEN CLIENTES'!$Y:$Y,""),
      7 + COUNTIFS(
            $A$2:INDEX($A:$A,ROW()), $A2036,
            $H$2:INDEX($H:$H,ROW()), "ALEM"
          )
    )),
    1
  ),
"SIN FECHA MIG"))</f>
        <v>46419</v>
      </c>
      <c r="H2036" s="44" t="s">
        <v>1876</v>
      </c>
      <c r="I2036" s="2">
        <v>800</v>
      </c>
      <c r="J2036"/>
      <c r="K2036"/>
      <c r="L2036" s="44" t="str" cm="1">
        <f t="array" ref="L2036">+_xlfn.IFS(COUNTIF(INGRESOS!E:E,Tabla6[[#This Row],[ID FACTURA]])=1,"PAGADA",Tabla6[[#This Row],[ID FACTURA]]&lt;&gt;0,"EMITIDA",Tabla6[[#This Row],[ID FACTURA]]=0,"POR EMITIR")</f>
        <v>POR EMITIR</v>
      </c>
      <c r="M2036" s="55" t="str">
        <f>+IF(Tabla6[[#This Row],[ESTADO FACTURA]]="PAGADA",Tabla6[[#This Row],[FECHA]]-_xlfn.XLOOKUP(Tabla6[[#This Row],[N° FACTURA]],INGRESOS!F:F,INGRESOS!A:A),"-")</f>
        <v>-</v>
      </c>
      <c r="N2036" s="2"/>
      <c r="O2036" t="s">
        <v>2084</v>
      </c>
    </row>
    <row r="2037" spans="1:15" ht="14.75" customHeight="1">
      <c r="A2037" s="320" t="s">
        <v>226</v>
      </c>
      <c r="B2037" t="str">
        <f>+_xlfn.XLOOKUP(Tabla6[[#This Row],[ID CLIENTE]],'RESUMEN CLIENTES'!D:D,'RESUMEN CLIENTES'!A:A)</f>
        <v>Carlos Josue Escobar Morán</v>
      </c>
      <c r="C2037" t="str">
        <f>+_xlfn.XLOOKUP(Tabla6[[#This Row],[ID CLIENTE]],'RESUMEN CLIENTES'!D:D,'RESUMEN CLIENTES'!C:C)</f>
        <v>El Salvador</v>
      </c>
      <c r="D2037" s="44" t="str">
        <f>+_xlfn.XLOOKUP(Tabla6[[#This Row],[ID CLIENTE]],'RESUMEN CLIENTES'!D:D,'RESUMEN CLIENTES'!M:M)</f>
        <v>OK</v>
      </c>
      <c r="E2037" s="72">
        <f>+_xlfn.XLOOKUP(Tabla6[[#This Row],[NOMBRE]],'RESUMEN CLIENTES'!A:A,'RESUMEN CLIENTES'!X:X)</f>
        <v>0.8</v>
      </c>
      <c r="F2037" s="72">
        <f>+_xlfn.XLOOKUP(Tabla6[[#This Row],[ID CLIENTE]],'RESUMEN CLIENTES'!D:D,'RESUMEN CLIENTES'!W:W)</f>
        <v>0</v>
      </c>
      <c r="G2037" s="17">
        <f>IF($H2037&lt;&gt;"ALEM","",IFERROR(
  DATE(
    YEAR(EDATE(
      _xlfn.XLOOKUP($A2037,'RESUMEN CLIENTES'!$D:$D,'RESUMEN CLIENTES'!$Y:$Y,""),
      7 + COUNTIFS(
            $A$2:INDEX($A:$A,ROW()), $A2037,
            $H$2:INDEX($H:$H,ROW()), "ALEM"
          )
    )),
    MONTH(EDATE(
      _xlfn.XLOOKUP($A2037,'RESUMEN CLIENTES'!$D:$D,'RESUMEN CLIENTES'!$Y:$Y,""),
      7 + COUNTIFS(
            $A$2:INDEX($A:$A,ROW()), $A2037,
            $H$2:INDEX($H:$H,ROW()), "ALEM"
          )
    )),
    1
  ),
"SIN FECHA MIG"))</f>
        <v>46419</v>
      </c>
      <c r="H2037" s="44" t="s">
        <v>1876</v>
      </c>
      <c r="I2037" s="2">
        <v>500</v>
      </c>
      <c r="J2037"/>
      <c r="K2037"/>
      <c r="L2037" s="44" t="str" cm="1">
        <f t="array" ref="L2037">+_xlfn.IFS(COUNTIF(INGRESOS!E:E,Tabla6[[#This Row],[ID FACTURA]])=1,"PAGADA",Tabla6[[#This Row],[ID FACTURA]]&lt;&gt;0,"EMITIDA",Tabla6[[#This Row],[ID FACTURA]]=0,"POR EMITIR")</f>
        <v>POR EMITIR</v>
      </c>
      <c r="M2037" s="55" t="str">
        <f>+IF(Tabla6[[#This Row],[ESTADO FACTURA]]="PAGADA",Tabla6[[#This Row],[FECHA]]-_xlfn.XLOOKUP(Tabla6[[#This Row],[N° FACTURA]],INGRESOS!F:F,INGRESOS!A:A),"-")</f>
        <v>-</v>
      </c>
      <c r="N2037" s="2"/>
      <c r="O2037"/>
    </row>
    <row r="2038" spans="1:15" ht="14.75" customHeight="1">
      <c r="A2038" s="320" t="s">
        <v>479</v>
      </c>
      <c r="B2038" t="str">
        <f>+_xlfn.XLOOKUP(Tabla6[[#This Row],[ID CLIENTE]],'RESUMEN CLIENTES'!D:D,'RESUMEN CLIENTES'!A:A)</f>
        <v>Carlos Mersaim Olivares Sandoval</v>
      </c>
      <c r="C2038" t="str">
        <f>+_xlfn.XLOOKUP(Tabla6[[#This Row],[ID CLIENTE]],'RESUMEN CLIENTES'!D:D,'RESUMEN CLIENTES'!C:C)</f>
        <v>México</v>
      </c>
      <c r="D2038" s="44" t="str">
        <f>+_xlfn.XLOOKUP(Tabla6[[#This Row],[ID CLIENTE]],'RESUMEN CLIENTES'!D:D,'RESUMEN CLIENTES'!M:M)</f>
        <v>OK</v>
      </c>
      <c r="E2038" s="72">
        <f>+_xlfn.XLOOKUP(Tabla6[[#This Row],[NOMBRE]],'RESUMEN CLIENTES'!A:A,'RESUMEN CLIENTES'!X:X)</f>
        <v>1.4444444444444444</v>
      </c>
      <c r="F2038" s="72">
        <f>+_xlfn.XLOOKUP(Tabla6[[#This Row],[ID CLIENTE]],'RESUMEN CLIENTES'!D:D,'RESUMEN CLIENTES'!W:W)</f>
        <v>0</v>
      </c>
      <c r="G2038" s="17">
        <f>IF($H2038&lt;&gt;"ALEM","",IFERROR(
  DATE(
    YEAR(EDATE(
      _xlfn.XLOOKUP($A2038,'RESUMEN CLIENTES'!$D:$D,'RESUMEN CLIENTES'!$Y:$Y,""),
      7 + COUNTIFS(
            $A$2:INDEX($A:$A,ROW()), $A2038,
            $H$2:INDEX($H:$H,ROW()), "ALEM"
          )
    )),
    MONTH(EDATE(
      _xlfn.XLOOKUP($A2038,'RESUMEN CLIENTES'!$D:$D,'RESUMEN CLIENTES'!$Y:$Y,""),
      7 + COUNTIFS(
            $A$2:INDEX($A:$A,ROW()), $A2038,
            $H$2:INDEX($H:$H,ROW()), "ALEM"
          )
    )),
    1
  ),
"SIN FECHA MIG"))</f>
        <v>46419</v>
      </c>
      <c r="H2038" s="44" t="s">
        <v>1876</v>
      </c>
      <c r="I2038" s="2">
        <v>1000</v>
      </c>
      <c r="J2038"/>
      <c r="K2038"/>
      <c r="L2038" s="44" t="str" cm="1">
        <f t="array" ref="L2038">+_xlfn.IFS(COUNTIF(INGRESOS!E:E,Tabla6[[#This Row],[ID FACTURA]])=1,"PAGADA",Tabla6[[#This Row],[ID FACTURA]]&lt;&gt;0,"EMITIDA",Tabla6[[#This Row],[ID FACTURA]]=0,"POR EMITIR")</f>
        <v>POR EMITIR</v>
      </c>
      <c r="M2038" s="55" t="str">
        <f>+IF(Tabla6[[#This Row],[ESTADO FACTURA]]="PAGADA",Tabla6[[#This Row],[FECHA]]-_xlfn.XLOOKUP(Tabla6[[#This Row],[N° FACTURA]],INGRESOS!F:F,INGRESOS!A:A),"-")</f>
        <v>-</v>
      </c>
      <c r="N2038" s="2"/>
      <c r="O2038"/>
    </row>
    <row r="2039" spans="1:15" ht="14.75" customHeight="1">
      <c r="A2039" s="320" t="s">
        <v>1245</v>
      </c>
      <c r="B2039" t="str">
        <f>+_xlfn.XLOOKUP(Tabla6[[#This Row],[ID CLIENTE]],'RESUMEN CLIENTES'!D:D,'RESUMEN CLIENTES'!A:A)</f>
        <v>Constanza Andrea Águila Vergara</v>
      </c>
      <c r="C2039" t="str">
        <f>+_xlfn.XLOOKUP(Tabla6[[#This Row],[ID CLIENTE]],'RESUMEN CLIENTES'!D:D,'RESUMEN CLIENTES'!C:C)</f>
        <v>Chile</v>
      </c>
      <c r="D2039" s="44" t="str">
        <f>+_xlfn.XLOOKUP(Tabla6[[#This Row],[ID CLIENTE]],'RESUMEN CLIENTES'!D:D,'RESUMEN CLIENTES'!M:M)</f>
        <v>OK</v>
      </c>
      <c r="E2039" s="71">
        <f>+_xlfn.XLOOKUP(Tabla6[[#This Row],[NOMBRE]],'RESUMEN CLIENTES'!A:A,'RESUMEN CLIENTES'!X:X)</f>
        <v>-0.2</v>
      </c>
      <c r="F2039" s="71">
        <f>+_xlfn.XLOOKUP(Tabla6[[#This Row],[ID CLIENTE]],'RESUMEN CLIENTES'!D:D,'RESUMEN CLIENTES'!W:W)</f>
        <v>1</v>
      </c>
      <c r="G2039" s="17">
        <f>IF($H2039&lt;&gt;"ALEM","",IFERROR(
  DATE(
    YEAR(EDATE(
      _xlfn.XLOOKUP($A2039,'RESUMEN CLIENTES'!$D:$D,'RESUMEN CLIENTES'!$Y:$Y,""),
      7 + COUNTIFS(
            $A$2:INDEX($A:$A,ROW()), $A2039,
            $H$2:INDEX($H:$H,ROW()), "ALEM"
          )
    )),
    MONTH(EDATE(
      _xlfn.XLOOKUP($A2039,'RESUMEN CLIENTES'!$D:$D,'RESUMEN CLIENTES'!$Y:$Y,""),
      7 + COUNTIFS(
            $A$2:INDEX($A:$A,ROW()), $A2039,
            $H$2:INDEX($H:$H,ROW()), "ALEM"
          )
    )),
    1
  ),
"SIN FECHA MIG"))</f>
        <v>46419</v>
      </c>
      <c r="H2039" s="44" t="s">
        <v>1876</v>
      </c>
      <c r="I2039" s="2">
        <v>800</v>
      </c>
      <c r="J2039"/>
      <c r="K2039"/>
      <c r="L2039" s="44" t="str" cm="1">
        <f t="array" ref="L2039">+_xlfn.IFS(COUNTIF(INGRESOS!E:E,Tabla6[[#This Row],[ID FACTURA]])=1,"PAGADA",Tabla6[[#This Row],[ID FACTURA]]&lt;&gt;0,"EMITIDA",Tabla6[[#This Row],[ID FACTURA]]=0,"POR EMITIR")</f>
        <v>POR EMITIR</v>
      </c>
      <c r="M2039" s="55" t="str">
        <f>+IF(Tabla6[[#This Row],[ESTADO FACTURA]]="PAGADA",Tabla6[[#This Row],[FECHA]]-_xlfn.XLOOKUP(Tabla6[[#This Row],[N° FACTURA]],INGRESOS!F:F,INGRESOS!A:A),"-")</f>
        <v>-</v>
      </c>
      <c r="N2039" s="2"/>
      <c r="O2039"/>
    </row>
    <row r="2040" spans="1:15" ht="14.75" customHeight="1">
      <c r="A2040" s="320" t="s">
        <v>1178</v>
      </c>
      <c r="B2040" t="str">
        <f>+_xlfn.XLOOKUP(Tabla6[[#This Row],[ID CLIENTE]],'RESUMEN CLIENTES'!D:D,'RESUMEN CLIENTES'!A:A)</f>
        <v>Daniel Flores</v>
      </c>
      <c r="C2040" t="str">
        <f>+_xlfn.XLOOKUP(Tabla6[[#This Row],[ID CLIENTE]],'RESUMEN CLIENTES'!D:D,'RESUMEN CLIENTES'!C:C)</f>
        <v>Ecuador</v>
      </c>
      <c r="D2040" s="44" t="str">
        <f>+_xlfn.XLOOKUP(Tabla6[[#This Row],[ID CLIENTE]],'RESUMEN CLIENTES'!D:D,'RESUMEN CLIENTES'!M:M)</f>
        <v>OK</v>
      </c>
      <c r="E2040" s="72">
        <f>+_xlfn.XLOOKUP(Tabla6[[#This Row],[NOMBRE]],'RESUMEN CLIENTES'!A:A,'RESUMEN CLIENTES'!X:X)</f>
        <v>3.8333333333333335</v>
      </c>
      <c r="F2040" s="72">
        <f>+_xlfn.XLOOKUP(Tabla6[[#This Row],[ID CLIENTE]],'RESUMEN CLIENTES'!D:D,'RESUMEN CLIENTES'!W:W)</f>
        <v>1</v>
      </c>
      <c r="G2040" s="17">
        <v>46419</v>
      </c>
      <c r="H2040" s="44" t="s">
        <v>81</v>
      </c>
      <c r="I2040" s="2">
        <v>850</v>
      </c>
      <c r="J2040"/>
      <c r="K2040"/>
      <c r="L2040" s="44" t="str" cm="1">
        <f t="array" ref="L2040">+_xlfn.IFS(COUNTIF(INGRESOS!E:E,Tabla6[[#This Row],[ID FACTURA]])=1,"PAGADA",Tabla6[[#This Row],[ID FACTURA]]&lt;&gt;0,"EMITIDA",Tabla6[[#This Row],[ID FACTURA]]=0,"POR EMITIR")</f>
        <v>POR EMITIR</v>
      </c>
      <c r="M2040" s="55" t="str">
        <f>+IF(Tabla6[[#This Row],[ESTADO FACTURA]]="PAGADA",Tabla6[[#This Row],[FECHA]]-_xlfn.XLOOKUP(Tabla6[[#This Row],[N° FACTURA]],INGRESOS!F:F,INGRESOS!A:A),"-")</f>
        <v>-</v>
      </c>
      <c r="N2040" s="2"/>
      <c r="O2040"/>
    </row>
    <row r="2041" spans="1:15" ht="14.75" customHeight="1">
      <c r="A2041" s="320" t="s">
        <v>90</v>
      </c>
      <c r="B2041" t="str">
        <f>+_xlfn.XLOOKUP(Tabla6[[#This Row],[ID CLIENTE]],'RESUMEN CLIENTES'!D:D,'RESUMEN CLIENTES'!A:A)</f>
        <v>David Enrique Díaz Mejía</v>
      </c>
      <c r="C2041" t="str">
        <f>+_xlfn.XLOOKUP(Tabla6[[#This Row],[ID CLIENTE]],'RESUMEN CLIENTES'!D:D,'RESUMEN CLIENTES'!C:C)</f>
        <v>Honduras</v>
      </c>
      <c r="D2041" s="44" t="str">
        <f>+_xlfn.XLOOKUP(Tabla6[[#This Row],[ID CLIENTE]],'RESUMEN CLIENTES'!D:D,'RESUMEN CLIENTES'!M:M)</f>
        <v>OK</v>
      </c>
      <c r="E2041" s="72">
        <f>+_xlfn.XLOOKUP(Tabla6[[#This Row],[NOMBRE]],'RESUMEN CLIENTES'!A:A,'RESUMEN CLIENTES'!X:X)</f>
        <v>-15.217592592592862</v>
      </c>
      <c r="F2041" s="72">
        <f>+_xlfn.XLOOKUP(Tabla6[[#This Row],[ID CLIENTE]],'RESUMEN CLIENTES'!D:D,'RESUMEN CLIENTES'!W:W)</f>
        <v>1</v>
      </c>
      <c r="G2041" s="17">
        <f>IF($H2041&lt;&gt;"ALEM","",IFERROR(
  DATE(
    YEAR(EDATE(
      _xlfn.XLOOKUP($A2041,'RESUMEN CLIENTES'!$D:$D,'RESUMEN CLIENTES'!$Y:$Y,""),
      7 + COUNTIFS(
            $A$2:INDEX($A:$A,ROW()), $A2041,
            $H$2:INDEX($H:$H,ROW()), "ALEM"
          )
    )),
    MONTH(EDATE(
      _xlfn.XLOOKUP($A2041,'RESUMEN CLIENTES'!$D:$D,'RESUMEN CLIENTES'!$Y:$Y,""),
      7 + COUNTIFS(
            $A$2:INDEX($A:$A,ROW()), $A2041,
            $H$2:INDEX($H:$H,ROW()), "ALEM"
          )
    )),
    1
  ),
"SIN FECHA MIG"))</f>
        <v>46419</v>
      </c>
      <c r="H2041" s="44" t="s">
        <v>1876</v>
      </c>
      <c r="I2041" s="2">
        <v>1000</v>
      </c>
      <c r="J2041"/>
      <c r="K2041"/>
      <c r="L2041" s="44" t="str" cm="1">
        <f t="array" ref="L2041">+_xlfn.IFS(COUNTIF(INGRESOS!E:E,Tabla6[[#This Row],[ID FACTURA]])=1,"PAGADA",Tabla6[[#This Row],[ID FACTURA]]&lt;&gt;0,"EMITIDA",Tabla6[[#This Row],[ID FACTURA]]=0,"POR EMITIR")</f>
        <v>POR EMITIR</v>
      </c>
      <c r="M2041" s="55" t="str">
        <f>+IF(Tabla6[[#This Row],[ESTADO FACTURA]]="PAGADA",Tabla6[[#This Row],[FECHA]]-_xlfn.XLOOKUP(Tabla6[[#This Row],[N° FACTURA]],INGRESOS!F:F,INGRESOS!A:A),"-")</f>
        <v>-</v>
      </c>
      <c r="N2041" s="2"/>
      <c r="O2041"/>
    </row>
    <row r="2042" spans="1:15" ht="14.75" customHeight="1">
      <c r="A2042" s="320" t="s">
        <v>1674</v>
      </c>
      <c r="B2042" t="str">
        <f>+_xlfn.XLOOKUP(Tabla6[[#This Row],[ID CLIENTE]],'RESUMEN CLIENTES'!D:D,'RESUMEN CLIENTES'!A:A)</f>
        <v>Diego Alberto Ruiz Cifuentes</v>
      </c>
      <c r="C2042" t="str">
        <f>+_xlfn.XLOOKUP(Tabla6[[#This Row],[ID CLIENTE]],'RESUMEN CLIENTES'!D:D,'RESUMEN CLIENTES'!C:C)</f>
        <v>Chile</v>
      </c>
      <c r="D2042" s="169" t="str">
        <f>+_xlfn.XLOOKUP(Tabla6[[#This Row],[ID CLIENTE]],'RESUMEN CLIENTES'!D:D,'RESUMEN CLIENTES'!M:M)</f>
        <v>OK</v>
      </c>
      <c r="E2042" s="71">
        <f>+_xlfn.XLOOKUP(Tabla6[[#This Row],[NOMBRE]],'RESUMEN CLIENTES'!A:A,'RESUMEN CLIENTES'!X:X)</f>
        <v>5.75</v>
      </c>
      <c r="F2042" s="71">
        <f>+_xlfn.XLOOKUP(Tabla6[[#This Row],[ID CLIENTE]],'RESUMEN CLIENTES'!D:D,'RESUMEN CLIENTES'!W:W)</f>
        <v>0</v>
      </c>
      <c r="G2042" s="17">
        <f>IF($H2042&lt;&gt;"ALEM","",IFERROR(
  DATE(
    YEAR(EDATE(
      _xlfn.XLOOKUP($A2042,'RESUMEN CLIENTES'!$D:$D,'RESUMEN CLIENTES'!$Y:$Y,""),
      7 + COUNTIFS(
            $A$2:INDEX($A:$A,ROW()), $A2042,
            $H$2:INDEX($H:$H,ROW()), "ALEM"
          )
    )),
    MONTH(EDATE(
      _xlfn.XLOOKUP($A2042,'RESUMEN CLIENTES'!$D:$D,'RESUMEN CLIENTES'!$Y:$Y,""),
      7 + COUNTIFS(
            $A$2:INDEX($A:$A,ROW()), $A2042,
            $H$2:INDEX($H:$H,ROW()), "ALEM"
          )
    )),
    1
  ),
"SIN FECHA MIG"))</f>
        <v>46419</v>
      </c>
      <c r="H2042" s="169" t="s">
        <v>1876</v>
      </c>
      <c r="I2042" s="2">
        <v>800</v>
      </c>
      <c r="J2042"/>
      <c r="K2042"/>
      <c r="L2042" s="44" t="str" cm="1">
        <f t="array" ref="L2042">+_xlfn.IFS(COUNTIF(INGRESOS!E:E,Tabla6[[#This Row],[ID FACTURA]])=1,"PAGADA",Tabla6[[#This Row],[ID FACTURA]]&lt;&gt;0,"EMITIDA",Tabla6[[#This Row],[ID FACTURA]]=0,"POR EMITIR")</f>
        <v>POR EMITIR</v>
      </c>
      <c r="M2042" s="55" t="str">
        <f>+IF(Tabla6[[#This Row],[ESTADO FACTURA]]="PAGADA",Tabla6[[#This Row],[FECHA]]-_xlfn.XLOOKUP(Tabla6[[#This Row],[N° FACTURA]],INGRESOS!F:F,INGRESOS!A:A),"-")</f>
        <v>-</v>
      </c>
      <c r="N2042" s="2"/>
      <c r="O2042"/>
    </row>
    <row r="2043" spans="1:15" ht="14.75" customHeight="1">
      <c r="A2043" s="320" t="s">
        <v>253</v>
      </c>
      <c r="B2043" t="str">
        <f>+_xlfn.XLOOKUP(Tabla6[[#This Row],[ID CLIENTE]],'RESUMEN CLIENTES'!D:D,'RESUMEN CLIENTES'!A:A)</f>
        <v>Diego Alonso Salazar Palacios</v>
      </c>
      <c r="C2043" t="str">
        <f>+_xlfn.XLOOKUP(Tabla6[[#This Row],[ID CLIENTE]],'RESUMEN CLIENTES'!D:D,'RESUMEN CLIENTES'!C:C)</f>
        <v>Perú</v>
      </c>
      <c r="D2043" s="44" t="str">
        <f>+_xlfn.XLOOKUP(Tabla6[[#This Row],[ID CLIENTE]],'RESUMEN CLIENTES'!D:D,'RESUMEN CLIENTES'!M:M)</f>
        <v>OK</v>
      </c>
      <c r="E2043" s="72">
        <f>+_xlfn.XLOOKUP(Tabla6[[#This Row],[NOMBRE]],'RESUMEN CLIENTES'!A:A,'RESUMEN CLIENTES'!X:X)</f>
        <v>0.18560606059988707</v>
      </c>
      <c r="F2043" s="72">
        <f>+_xlfn.XLOOKUP(Tabla6[[#This Row],[ID CLIENTE]],'RESUMEN CLIENTES'!D:D,'RESUMEN CLIENTES'!W:W)</f>
        <v>1</v>
      </c>
      <c r="G2043" s="17">
        <f>IF($H2043&lt;&gt;"ALEM","",IFERROR(
  DATE(
    YEAR(EDATE(
      _xlfn.XLOOKUP($A2043,'RESUMEN CLIENTES'!$D:$D,'RESUMEN CLIENTES'!$Y:$Y,""),
      7 + COUNTIFS(
            $A$2:INDEX($A:$A,ROW()), $A2043,
            $H$2:INDEX($H:$H,ROW()), "ALEM"
          )
    )),
    MONTH(EDATE(
      _xlfn.XLOOKUP($A2043,'RESUMEN CLIENTES'!$D:$D,'RESUMEN CLIENTES'!$Y:$Y,""),
      7 + COUNTIFS(
            $A$2:INDEX($A:$A,ROW()), $A2043,
            $H$2:INDEX($H:$H,ROW()), "ALEM"
          )
    )),
    1
  ),
"SIN FECHA MIG"))</f>
        <v>46419</v>
      </c>
      <c r="H2043" s="44" t="s">
        <v>1876</v>
      </c>
      <c r="I2043" s="2">
        <v>1000</v>
      </c>
      <c r="J2043"/>
      <c r="K2043"/>
      <c r="L2043" s="44" t="str" cm="1">
        <f t="array" ref="L2043">+_xlfn.IFS(COUNTIF(INGRESOS!E:E,Tabla6[[#This Row],[ID FACTURA]])=1,"PAGADA",Tabla6[[#This Row],[ID FACTURA]]&lt;&gt;0,"EMITIDA",Tabla6[[#This Row],[ID FACTURA]]=0,"POR EMITIR")</f>
        <v>POR EMITIR</v>
      </c>
      <c r="M2043" s="55" t="str">
        <f>+IF(Tabla6[[#This Row],[ESTADO FACTURA]]="PAGADA",Tabla6[[#This Row],[FECHA]]-_xlfn.XLOOKUP(Tabla6[[#This Row],[N° FACTURA]],INGRESOS!F:F,INGRESOS!A:A),"-")</f>
        <v>-</v>
      </c>
      <c r="N2043" s="2"/>
      <c r="O2043"/>
    </row>
    <row r="2044" spans="1:15" ht="14.75" customHeight="1">
      <c r="A2044" s="320" t="s">
        <v>385</v>
      </c>
      <c r="B2044" t="str">
        <f>+_xlfn.XLOOKUP(Tabla6[[#This Row],[ID CLIENTE]],'RESUMEN CLIENTES'!D:D,'RESUMEN CLIENTES'!A:A)</f>
        <v>Ellen Cristina Gerónimo Bonilla</v>
      </c>
      <c r="C2044" t="str">
        <f>+_xlfn.XLOOKUP(Tabla6[[#This Row],[ID CLIENTE]],'RESUMEN CLIENTES'!D:D,'RESUMEN CLIENTES'!C:C)</f>
        <v>República Dominicana</v>
      </c>
      <c r="D2044" s="44" t="str">
        <f>+_xlfn.XLOOKUP(Tabla6[[#This Row],[ID CLIENTE]],'RESUMEN CLIENTES'!D:D,'RESUMEN CLIENTES'!M:M)</f>
        <v>OK</v>
      </c>
      <c r="E2044" s="72">
        <f>+_xlfn.XLOOKUP(Tabla6[[#This Row],[NOMBRE]],'RESUMEN CLIENTES'!A:A,'RESUMEN CLIENTES'!X:X)</f>
        <v>1.5555555555555556</v>
      </c>
      <c r="F2044" s="72">
        <f>+_xlfn.XLOOKUP(Tabla6[[#This Row],[ID CLIENTE]],'RESUMEN CLIENTES'!D:D,'RESUMEN CLIENTES'!W:W)</f>
        <v>1</v>
      </c>
      <c r="G2044" s="17">
        <f>IF($H2044&lt;&gt;"ALEM","",IFERROR(
  DATE(
    YEAR(EDATE(
      _xlfn.XLOOKUP($A2044,'RESUMEN CLIENTES'!$D:$D,'RESUMEN CLIENTES'!$Y:$Y,""),
      7 + COUNTIFS(
            $A$2:INDEX($A:$A,ROW()), $A2044,
            $H$2:INDEX($H:$H,ROW()), "ALEM"
          )
    )),
    MONTH(EDATE(
      _xlfn.XLOOKUP($A2044,'RESUMEN CLIENTES'!$D:$D,'RESUMEN CLIENTES'!$Y:$Y,""),
      7 + COUNTIFS(
            $A$2:INDEX($A:$A,ROW()), $A2044,
            $H$2:INDEX($H:$H,ROW()), "ALEM"
          )
    )),
    1
  ),
"SIN FECHA MIG"))</f>
        <v>46419</v>
      </c>
      <c r="H2044" s="44" t="s">
        <v>1876</v>
      </c>
      <c r="I2044" s="2">
        <v>1000</v>
      </c>
      <c r="J2044"/>
      <c r="K2044"/>
      <c r="L2044" s="44" t="str" cm="1">
        <f t="array" ref="L2044">+_xlfn.IFS(COUNTIF(INGRESOS!E:E,Tabla6[[#This Row],[ID FACTURA]])=1,"PAGADA",Tabla6[[#This Row],[ID FACTURA]]&lt;&gt;0,"EMITIDA",Tabla6[[#This Row],[ID FACTURA]]=0,"POR EMITIR")</f>
        <v>POR EMITIR</v>
      </c>
      <c r="M2044" s="55" t="str">
        <f>+IF(Tabla6[[#This Row],[ESTADO FACTURA]]="PAGADA",Tabla6[[#This Row],[FECHA]]-_xlfn.XLOOKUP(Tabla6[[#This Row],[N° FACTURA]],INGRESOS!F:F,INGRESOS!A:A),"-")</f>
        <v>-</v>
      </c>
      <c r="N2044" s="2"/>
      <c r="O2044"/>
    </row>
    <row r="2045" spans="1:15" ht="14.75" customHeight="1">
      <c r="A2045" s="320" t="s">
        <v>595</v>
      </c>
      <c r="B2045" t="str">
        <f>+_xlfn.XLOOKUP(Tabla6[[#This Row],[ID CLIENTE]],'RESUMEN CLIENTES'!D:D,'RESUMEN CLIENTES'!A:A)</f>
        <v>Erick Leonardo Chiriboga Valdiviezo</v>
      </c>
      <c r="C2045" t="str">
        <f>+_xlfn.XLOOKUP(Tabla6[[#This Row],[ID CLIENTE]],'RESUMEN CLIENTES'!D:D,'RESUMEN CLIENTES'!C:C)</f>
        <v>Ecuador</v>
      </c>
      <c r="D2045" s="44" t="str">
        <f>+_xlfn.XLOOKUP(Tabla6[[#This Row],[ID CLIENTE]],'RESUMEN CLIENTES'!D:D,'RESUMEN CLIENTES'!M:M)</f>
        <v>OK</v>
      </c>
      <c r="E2045" s="72">
        <f>+_xlfn.XLOOKUP(Tabla6[[#This Row],[NOMBRE]],'RESUMEN CLIENTES'!A:A,'RESUMEN CLIENTES'!X:X)</f>
        <v>-0.33333333333333331</v>
      </c>
      <c r="F2045" s="72">
        <f>+_xlfn.XLOOKUP(Tabla6[[#This Row],[ID CLIENTE]],'RESUMEN CLIENTES'!D:D,'RESUMEN CLIENTES'!W:W)</f>
        <v>0</v>
      </c>
      <c r="G2045" s="17">
        <f>IF($H2045&lt;&gt;"ALEM","",IFERROR(
  DATE(
    YEAR(EDATE(
      _xlfn.XLOOKUP($A2045,'RESUMEN CLIENTES'!$D:$D,'RESUMEN CLIENTES'!$Y:$Y,""),
      7 + COUNTIFS(
            $A$2:INDEX($A:$A,ROW()), $A2045,
            $H$2:INDEX($H:$H,ROW()), "ALEM"
          )
    )),
    MONTH(EDATE(
      _xlfn.XLOOKUP($A2045,'RESUMEN CLIENTES'!$D:$D,'RESUMEN CLIENTES'!$Y:$Y,""),
      7 + COUNTIFS(
            $A$2:INDEX($A:$A,ROW()), $A2045,
            $H$2:INDEX($H:$H,ROW()), "ALEM"
          )
    )),
    1
  ),
"null"))</f>
        <v>46419</v>
      </c>
      <c r="H2045" s="44" t="s">
        <v>1876</v>
      </c>
      <c r="I2045" s="2">
        <v>1000</v>
      </c>
      <c r="J2045"/>
      <c r="K2045"/>
      <c r="L2045" s="44" t="str" cm="1">
        <f t="array" ref="L2045">+_xlfn.IFS(COUNTIF(INGRESOS!E:E,Tabla6[[#This Row],[ID FACTURA]])=1,"PAGADA",Tabla6[[#This Row],[ID FACTURA]]&lt;&gt;0,"EMITIDA",Tabla6[[#This Row],[ID FACTURA]]=0,"POR EMITIR")</f>
        <v>POR EMITIR</v>
      </c>
      <c r="M2045" s="55" t="str">
        <f>+IF(Tabla6[[#This Row],[ESTADO FACTURA]]="PAGADA",Tabla6[[#This Row],[FECHA]]-_xlfn.XLOOKUP(Tabla6[[#This Row],[N° FACTURA]],INGRESOS!F:F,INGRESOS!A:A),"-")</f>
        <v>-</v>
      </c>
      <c r="N2045" s="2"/>
      <c r="O2045"/>
    </row>
    <row r="2046" spans="1:15" ht="14.75" customHeight="1">
      <c r="A2046" s="320" t="s">
        <v>250</v>
      </c>
      <c r="B2046" t="str">
        <f>+_xlfn.XLOOKUP(Tabla6[[#This Row],[ID CLIENTE]],'RESUMEN CLIENTES'!D:D,'RESUMEN CLIENTES'!A:A)</f>
        <v>Fernanda Castro</v>
      </c>
      <c r="C2046" t="str">
        <f>+_xlfn.XLOOKUP(Tabla6[[#This Row],[ID CLIENTE]],'RESUMEN CLIENTES'!D:D,'RESUMEN CLIENTES'!C:C)</f>
        <v>Ecuador</v>
      </c>
      <c r="D2046" s="44" t="str">
        <f>+_xlfn.XLOOKUP(Tabla6[[#This Row],[ID CLIENTE]],'RESUMEN CLIENTES'!D:D,'RESUMEN CLIENTES'!M:M)</f>
        <v>OK</v>
      </c>
      <c r="E2046" s="72">
        <f>+_xlfn.XLOOKUP(Tabla6[[#This Row],[NOMBRE]],'RESUMEN CLIENTES'!A:A,'RESUMEN CLIENTES'!X:X)</f>
        <v>0</v>
      </c>
      <c r="F2046" s="72">
        <f>+_xlfn.XLOOKUP(Tabla6[[#This Row],[ID CLIENTE]],'RESUMEN CLIENTES'!D:D,'RESUMEN CLIENTES'!W:W)</f>
        <v>1</v>
      </c>
      <c r="G2046" s="17">
        <f>IF($H2046&lt;&gt;"ALEM","",IFERROR(
  DATE(
    YEAR(EDATE(
      _xlfn.XLOOKUP($A2046,'RESUMEN CLIENTES'!$D:$D,'RESUMEN CLIENTES'!$Y:$Y,""),
      7 + COUNTIFS(
            $A$2:INDEX($A:$A,ROW()), $A2046,
            $H$2:INDEX($H:$H,ROW()), "ALEM"
          )
    )),
    MONTH(EDATE(
      _xlfn.XLOOKUP($A2046,'RESUMEN CLIENTES'!$D:$D,'RESUMEN CLIENTES'!$Y:$Y,""),
      7 + COUNTIFS(
            $A$2:INDEX($A:$A,ROW()), $A2046,
            $H$2:INDEX($H:$H,ROW()), "ALEM"
          )
    )),
    1
  ),
"SIN FECHA MIG"))</f>
        <v>46419</v>
      </c>
      <c r="H2046" s="44" t="s">
        <v>1876</v>
      </c>
      <c r="I2046" s="2">
        <v>1000</v>
      </c>
      <c r="J2046"/>
      <c r="K2046"/>
      <c r="L2046" s="44" t="str" cm="1">
        <f t="array" ref="L2046">+_xlfn.IFS(COUNTIF(INGRESOS!E:E,Tabla6[[#This Row],[ID FACTURA]])=1,"PAGADA",Tabla6[[#This Row],[ID FACTURA]]&lt;&gt;0,"EMITIDA",Tabla6[[#This Row],[ID FACTURA]]=0,"POR EMITIR")</f>
        <v>POR EMITIR</v>
      </c>
      <c r="M2046" s="55" t="str">
        <f>+IF(Tabla6[[#This Row],[ESTADO FACTURA]]="PAGADA",Tabla6[[#This Row],[FECHA]]-_xlfn.XLOOKUP(Tabla6[[#This Row],[N° FACTURA]],INGRESOS!F:F,INGRESOS!A:A),"-")</f>
        <v>-</v>
      </c>
      <c r="N2046" s="2"/>
      <c r="O2046"/>
    </row>
    <row r="2047" spans="1:15" ht="14.75" customHeight="1">
      <c r="A2047" s="320" t="s">
        <v>739</v>
      </c>
      <c r="B2047" t="str">
        <f>+_xlfn.XLOOKUP(Tabla6[[#This Row],[ID CLIENTE]],'RESUMEN CLIENTES'!D:D,'RESUMEN CLIENTES'!A:A)</f>
        <v>Gilberto Martiñon Torres</v>
      </c>
      <c r="C2047" t="str">
        <f>+_xlfn.XLOOKUP(Tabla6[[#This Row],[ID CLIENTE]],'RESUMEN CLIENTES'!D:D,'RESUMEN CLIENTES'!C:C)</f>
        <v>México</v>
      </c>
      <c r="D2047" s="44" t="str">
        <f>+_xlfn.XLOOKUP(Tabla6[[#This Row],[ID CLIENTE]],'RESUMEN CLIENTES'!D:D,'RESUMEN CLIENTES'!M:M)</f>
        <v>OK</v>
      </c>
      <c r="E2047" s="72">
        <f>+_xlfn.XLOOKUP(Tabla6[[#This Row],[NOMBRE]],'RESUMEN CLIENTES'!A:A,'RESUMEN CLIENTES'!X:X)</f>
        <v>-0.625</v>
      </c>
      <c r="F2047" s="72">
        <f>+_xlfn.XLOOKUP(Tabla6[[#This Row],[ID CLIENTE]],'RESUMEN CLIENTES'!D:D,'RESUMEN CLIENTES'!W:W)</f>
        <v>0</v>
      </c>
      <c r="G2047" s="17">
        <f>IF($H2047&lt;&gt;"ALEM","",IFERROR(
  DATE(
    YEAR(EDATE(
      _xlfn.XLOOKUP($A2047,'RESUMEN CLIENTES'!$D:$D,'RESUMEN CLIENTES'!$Y:$Y,""),
      7 + COUNTIFS(
            $A$2:INDEX($A:$A,ROW()), $A2047,
            $H$2:INDEX($H:$H,ROW()), "ALEM"
          )
    )),
    MONTH(EDATE(
      _xlfn.XLOOKUP($A2047,'RESUMEN CLIENTES'!$D:$D,'RESUMEN CLIENTES'!$Y:$Y,""),
      7 + COUNTIFS(
            $A$2:INDEX($A:$A,ROW()), $A2047,
            $H$2:INDEX($H:$H,ROW()), "ALEM"
          )
    )),
    1
  ),
"SIN FECHA MIG"))</f>
        <v>46419</v>
      </c>
      <c r="H2047" s="44" t="s">
        <v>1876</v>
      </c>
      <c r="I2047" s="2">
        <v>1000</v>
      </c>
      <c r="J2047"/>
      <c r="K2047"/>
      <c r="L2047" s="44" t="str" cm="1">
        <f t="array" ref="L2047">+_xlfn.IFS(COUNTIF(INGRESOS!E:E,Tabla6[[#This Row],[ID FACTURA]])=1,"PAGADA",Tabla6[[#This Row],[ID FACTURA]]&lt;&gt;0,"EMITIDA",Tabla6[[#This Row],[ID FACTURA]]=0,"POR EMITIR")</f>
        <v>POR EMITIR</v>
      </c>
      <c r="M2047" s="55" t="str">
        <f>+IF(Tabla6[[#This Row],[ESTADO FACTURA]]="PAGADA",Tabla6[[#This Row],[FECHA]]-_xlfn.XLOOKUP(Tabla6[[#This Row],[N° FACTURA]],INGRESOS!F:F,INGRESOS!A:A),"-")</f>
        <v>-</v>
      </c>
      <c r="N2047" s="2"/>
      <c r="O2047" t="s">
        <v>2084</v>
      </c>
    </row>
    <row r="2048" spans="1:15" ht="14.75" customHeight="1">
      <c r="A2048" s="320" t="s">
        <v>700</v>
      </c>
      <c r="B2048" t="str">
        <f>+_xlfn.XLOOKUP(Tabla6[[#This Row],[ID CLIENTE]],'RESUMEN CLIENTES'!D:D,'RESUMEN CLIENTES'!A:A)</f>
        <v>Ignacio Manuel Jesus Orellana Gutiérrez</v>
      </c>
      <c r="C2048" t="str">
        <f>+_xlfn.XLOOKUP(Tabla6[[#This Row],[ID CLIENTE]],'RESUMEN CLIENTES'!D:D,'RESUMEN CLIENTES'!C:C)</f>
        <v>Chile</v>
      </c>
      <c r="D2048" s="44" t="str">
        <f>+_xlfn.XLOOKUP(Tabla6[[#This Row],[ID CLIENTE]],'RESUMEN CLIENTES'!D:D,'RESUMEN CLIENTES'!M:M)</f>
        <v>OK</v>
      </c>
      <c r="E2048" s="72">
        <f>+_xlfn.XLOOKUP(Tabla6[[#This Row],[NOMBRE]],'RESUMEN CLIENTES'!A:A,'RESUMEN CLIENTES'!X:X)</f>
        <v>2.4</v>
      </c>
      <c r="F2048" s="72">
        <f>+_xlfn.XLOOKUP(Tabla6[[#This Row],[ID CLIENTE]],'RESUMEN CLIENTES'!D:D,'RESUMEN CLIENTES'!W:W)</f>
        <v>0</v>
      </c>
      <c r="G2048" s="17">
        <f>IF($H2048&lt;&gt;"ALEM","",IFERROR(
  DATE(
    YEAR(EDATE(
      _xlfn.XLOOKUP($A2048,'RESUMEN CLIENTES'!$D:$D,'RESUMEN CLIENTES'!$Y:$Y,""),
      7 + COUNTIFS(
            $A$2:INDEX($A:$A,ROW()), $A2048,
            $H$2:INDEX($H:$H,ROW()), "ALEM"
          )
    )),
    MONTH(EDATE(
      _xlfn.XLOOKUP($A2048,'RESUMEN CLIENTES'!$D:$D,'RESUMEN CLIENTES'!$Y:$Y,""),
      7 + COUNTIFS(
            $A$2:INDEX($A:$A,ROW()), $A2048,
            $H$2:INDEX($H:$H,ROW()), "ALEM"
          )
    )),
    1
  ),
"SIN FECHA MIG"))</f>
        <v>46419</v>
      </c>
      <c r="H2048" s="44" t="s">
        <v>1876</v>
      </c>
      <c r="I2048" s="2">
        <v>1000</v>
      </c>
      <c r="J2048"/>
      <c r="K2048"/>
      <c r="L2048" s="44" t="str" cm="1">
        <f t="array" ref="L2048">+_xlfn.IFS(COUNTIF(INGRESOS!E:E,Tabla6[[#This Row],[ID FACTURA]])=1,"PAGADA",Tabla6[[#This Row],[ID FACTURA]]&lt;&gt;0,"EMITIDA",Tabla6[[#This Row],[ID FACTURA]]=0,"POR EMITIR")</f>
        <v>POR EMITIR</v>
      </c>
      <c r="M2048" s="55" t="str">
        <f>+IF(Tabla6[[#This Row],[ESTADO FACTURA]]="PAGADA",Tabla6[[#This Row],[FECHA]]-_xlfn.XLOOKUP(Tabla6[[#This Row],[N° FACTURA]],INGRESOS!F:F,INGRESOS!A:A),"-")</f>
        <v>-</v>
      </c>
      <c r="N2048" s="2"/>
      <c r="O2048"/>
    </row>
    <row r="2049" spans="1:15" ht="14.75" customHeight="1">
      <c r="A2049" s="320" t="s">
        <v>1428</v>
      </c>
      <c r="B2049" t="str">
        <f>+_xlfn.XLOOKUP(Tabla6[[#This Row],[ID CLIENTE]],'RESUMEN CLIENTES'!D:D,'RESUMEN CLIENTES'!A:A)</f>
        <v>Javier Bravo Castelo</v>
      </c>
      <c r="C2049" t="str">
        <f>+_xlfn.XLOOKUP(Tabla6[[#This Row],[ID CLIENTE]],'RESUMEN CLIENTES'!D:D,'RESUMEN CLIENTES'!C:C)</f>
        <v>Colombia</v>
      </c>
      <c r="D2049" s="44" t="str">
        <f>+_xlfn.XLOOKUP(Tabla6[[#This Row],[ID CLIENTE]],'RESUMEN CLIENTES'!D:D,'RESUMEN CLIENTES'!M:M)</f>
        <v>OK</v>
      </c>
      <c r="E2049" s="71">
        <f>+_xlfn.XLOOKUP(Tabla6[[#This Row],[NOMBRE]],'RESUMEN CLIENTES'!A:A,'RESUMEN CLIENTES'!X:X)</f>
        <v>-0.33333333333333331</v>
      </c>
      <c r="F2049" s="71">
        <f>+_xlfn.XLOOKUP(Tabla6[[#This Row],[ID CLIENTE]],'RESUMEN CLIENTES'!D:D,'RESUMEN CLIENTES'!W:W)</f>
        <v>0</v>
      </c>
      <c r="G2049" s="17">
        <f>IF($H2049&lt;&gt;"ALEM","",IFERROR(
  DATE(
    YEAR(EDATE(
      _xlfn.XLOOKUP($A2049,'RESUMEN CLIENTES'!$D:$D,'RESUMEN CLIENTES'!$Y:$Y,""),
      7 + COUNTIFS(
            $A$2:INDEX($A:$A,ROW()), $A2049,
            $H$2:INDEX($H:$H,ROW()), "ALEM"
          )
    )),
    MONTH(EDATE(
      _xlfn.XLOOKUP($A2049,'RESUMEN CLIENTES'!$D:$D,'RESUMEN CLIENTES'!$Y:$Y,""),
      7 + COUNTIFS(
            $A$2:INDEX($A:$A,ROW()), $A2049,
            $H$2:INDEX($H:$H,ROW()), "ALEM"
          )
    )),
    1
  ),
"SIN FECHA MIG"))</f>
        <v>46419</v>
      </c>
      <c r="H2049" s="169" t="s">
        <v>1876</v>
      </c>
      <c r="I2049" s="2">
        <v>800</v>
      </c>
      <c r="J2049"/>
      <c r="K2049"/>
      <c r="L2049" s="44" t="str" cm="1">
        <f t="array" ref="L2049">+_xlfn.IFS(COUNTIF(INGRESOS!E:E,Tabla6[[#This Row],[ID FACTURA]])=1,"PAGADA",Tabla6[[#This Row],[ID FACTURA]]&lt;&gt;0,"EMITIDA",Tabla6[[#This Row],[ID FACTURA]]=0,"POR EMITIR")</f>
        <v>POR EMITIR</v>
      </c>
      <c r="M2049" s="55" t="str">
        <f>+IF(Tabla6[[#This Row],[ESTADO FACTURA]]="PAGADA",Tabla6[[#This Row],[FECHA]]-_xlfn.XLOOKUP(Tabla6[[#This Row],[N° FACTURA]],INGRESOS!F:F,INGRESOS!A:A),"-")</f>
        <v>-</v>
      </c>
      <c r="N2049" s="2"/>
      <c r="O2049" t="s">
        <v>2084</v>
      </c>
    </row>
    <row r="2050" spans="1:15" ht="14.75" customHeight="1">
      <c r="A2050" s="321" t="s">
        <v>1899</v>
      </c>
      <c r="B2050" t="str">
        <f>+_xlfn.XLOOKUP(Tabla6[[#This Row],[ID CLIENTE]],'RESUMEN CLIENTES'!D:D,'RESUMEN CLIENTES'!A:A)</f>
        <v>Johan Martínez</v>
      </c>
      <c r="C2050" t="str">
        <f>+_xlfn.XLOOKUP(Tabla6[[#This Row],[ID CLIENTE]],'RESUMEN CLIENTES'!D:D,'RESUMEN CLIENTES'!C:C)</f>
        <v>Colombia</v>
      </c>
      <c r="D2050" s="169" t="str">
        <f>+_xlfn.XLOOKUP(Tabla6[[#This Row],[ID CLIENTE]],'RESUMEN CLIENTES'!D:D,'RESUMEN CLIENTES'!M:M)</f>
        <v>OK</v>
      </c>
      <c r="E2050" s="71">
        <f>+_xlfn.XLOOKUP(Tabla6[[#This Row],[NOMBRE]],'RESUMEN CLIENTES'!A:A,'RESUMEN CLIENTES'!X:X)</f>
        <v>-0.66666666666666663</v>
      </c>
      <c r="F2050" s="71">
        <f>+_xlfn.XLOOKUP(Tabla6[[#This Row],[ID CLIENTE]],'RESUMEN CLIENTES'!D:D,'RESUMEN CLIENTES'!W:W)</f>
        <v>0</v>
      </c>
      <c r="G2050" s="17">
        <v>46419</v>
      </c>
      <c r="H2050" s="169" t="s">
        <v>81</v>
      </c>
      <c r="I2050" s="2">
        <v>1000</v>
      </c>
      <c r="J2050"/>
      <c r="K2050"/>
      <c r="L2050" s="44" t="str" cm="1">
        <f t="array" ref="L2050">+_xlfn.IFS(COUNTIF(INGRESOS!E:E,Tabla6[[#This Row],[ID FACTURA]])=1,"PAGADA",Tabla6[[#This Row],[ID FACTURA]]&lt;&gt;0,"EMITIDA",Tabla6[[#This Row],[ID FACTURA]]=0,"POR EMITIR")</f>
        <v>POR EMITIR</v>
      </c>
      <c r="M2050" s="54" t="str">
        <f>+IF(Tabla6[[#This Row],[ESTADO FACTURA]]="PAGADA",Tabla6[[#This Row],[FECHA]]-_xlfn.XLOOKUP(Tabla6[[#This Row],[N° FACTURA]],INGRESOS!F:F,INGRESOS!A:A),"-")</f>
        <v>-</v>
      </c>
      <c r="O2050"/>
    </row>
    <row r="2051" spans="1:15" ht="14.75" customHeight="1">
      <c r="A2051" s="320" t="s">
        <v>142</v>
      </c>
      <c r="B2051" t="str">
        <f>+_xlfn.XLOOKUP(Tabla6[[#This Row],[ID CLIENTE]],'RESUMEN CLIENTES'!D:D,'RESUMEN CLIENTES'!A:A)</f>
        <v>Jordan Eliecer Toledo Bravo</v>
      </c>
      <c r="C2051" t="str">
        <f>+_xlfn.XLOOKUP(Tabla6[[#This Row],[ID CLIENTE]],'RESUMEN CLIENTES'!D:D,'RESUMEN CLIENTES'!C:C)</f>
        <v>Chile</v>
      </c>
      <c r="D2051" s="169" t="str">
        <f>+_xlfn.XLOOKUP(Tabla6[[#This Row],[ID CLIENTE]],'RESUMEN CLIENTES'!D:D,'RESUMEN CLIENTES'!M:M)</f>
        <v>OK</v>
      </c>
      <c r="E2051" s="71">
        <f>+_xlfn.XLOOKUP(Tabla6[[#This Row],[NOMBRE]],'RESUMEN CLIENTES'!A:A,'RESUMEN CLIENTES'!X:X)</f>
        <v>-1.6153846153846154</v>
      </c>
      <c r="F2051" s="71">
        <f>+_xlfn.XLOOKUP(Tabla6[[#This Row],[ID CLIENTE]],'RESUMEN CLIENTES'!D:D,'RESUMEN CLIENTES'!W:W)</f>
        <v>0</v>
      </c>
      <c r="G2051" s="17">
        <f>IF($H2051&lt;&gt;"ALEM","",IFERROR(
  DATE(
    YEAR(EDATE(
      _xlfn.XLOOKUP($A2051,'RESUMEN CLIENTES'!$D:$D,'RESUMEN CLIENTES'!$Y:$Y,""),
      7 + COUNTIFS(
            $A$2:INDEX($A:$A,ROW()), $A2051,
            $H$2:INDEX($H:$H,ROW()), "ALEM"
          )
    )),
    MONTH(EDATE(
      _xlfn.XLOOKUP($A2051,'RESUMEN CLIENTES'!$D:$D,'RESUMEN CLIENTES'!$Y:$Y,""),
      7 + COUNTIFS(
            $A$2:INDEX($A:$A,ROW()), $A2051,
            $H$2:INDEX($H:$H,ROW()), "ALEM"
          )
    )),
    1
  ),
"null"))</f>
        <v>46419</v>
      </c>
      <c r="H2051" s="169" t="s">
        <v>1876</v>
      </c>
      <c r="I2051" s="2">
        <v>1000</v>
      </c>
      <c r="J2051"/>
      <c r="K2051"/>
      <c r="L2051" s="44" t="str" cm="1">
        <f t="array" ref="L2051">+_xlfn.IFS(COUNTIF(INGRESOS!E:E,Tabla6[[#This Row],[ID FACTURA]])=1,"PAGADA",Tabla6[[#This Row],[ID FACTURA]]&lt;&gt;0,"EMITIDA",Tabla6[[#This Row],[ID FACTURA]]=0,"POR EMITIR")</f>
        <v>POR EMITIR</v>
      </c>
      <c r="M2051" s="54" t="str">
        <f>+IF(Tabla6[[#This Row],[ESTADO FACTURA]]="PAGADA",Tabla6[[#This Row],[FECHA]]-_xlfn.XLOOKUP(Tabla6[[#This Row],[N° FACTURA]],INGRESOS!F:F,INGRESOS!A:A),"-")</f>
        <v>-</v>
      </c>
      <c r="O2051"/>
    </row>
    <row r="2052" spans="1:15" ht="14.75" customHeight="1">
      <c r="A2052" s="320" t="s">
        <v>333</v>
      </c>
      <c r="B2052" t="str">
        <f>+_xlfn.XLOOKUP(Tabla6[[#This Row],[ID CLIENTE]],'RESUMEN CLIENTES'!D:D,'RESUMEN CLIENTES'!A:A)</f>
        <v>Jorge Augusto Cámbara Vargas</v>
      </c>
      <c r="C2052" t="str">
        <f>+_xlfn.XLOOKUP(Tabla6[[#This Row],[ID CLIENTE]],'RESUMEN CLIENTES'!D:D,'RESUMEN CLIENTES'!C:C)</f>
        <v>Guatemala</v>
      </c>
      <c r="D2052" s="44" t="str">
        <f>+_xlfn.XLOOKUP(Tabla6[[#This Row],[ID CLIENTE]],'RESUMEN CLIENTES'!D:D,'RESUMEN CLIENTES'!M:M)</f>
        <v>OK</v>
      </c>
      <c r="E2052" s="72">
        <f>+_xlfn.XLOOKUP(Tabla6[[#This Row],[NOMBRE]],'RESUMEN CLIENTES'!A:A,'RESUMEN CLIENTES'!X:X)</f>
        <v>0.1157407407331953</v>
      </c>
      <c r="F2052" s="72">
        <f>+_xlfn.XLOOKUP(Tabla6[[#This Row],[ID CLIENTE]],'RESUMEN CLIENTES'!D:D,'RESUMEN CLIENTES'!W:W)</f>
        <v>1</v>
      </c>
      <c r="G2052" s="17">
        <f>IF($H2052&lt;&gt;"ALEM","",IFERROR(
  DATE(
    YEAR(EDATE(
      _xlfn.XLOOKUP($A2052,'RESUMEN CLIENTES'!$D:$D,'RESUMEN CLIENTES'!$Y:$Y,""),
      7 + COUNTIFS(
            $A$2:INDEX($A:$A,ROW()), $A2052,
            $H$2:INDEX($H:$H,ROW()), "ALEM"
          )
    )),
    MONTH(EDATE(
      _xlfn.XLOOKUP($A2052,'RESUMEN CLIENTES'!$D:$D,'RESUMEN CLIENTES'!$Y:$Y,""),
      7 + COUNTIFS(
            $A$2:INDEX($A:$A,ROW()), $A2052,
            $H$2:INDEX($H:$H,ROW()), "ALEM"
          )
    )),
    1
  ),
"SIN FECHA MIG"))</f>
        <v>46419</v>
      </c>
      <c r="H2052" s="44" t="s">
        <v>1876</v>
      </c>
      <c r="I2052" s="2">
        <v>900</v>
      </c>
      <c r="J2052"/>
      <c r="K2052"/>
      <c r="L2052" s="44" t="str" cm="1">
        <f t="array" ref="L2052">+_xlfn.IFS(COUNTIF(INGRESOS!E:E,Tabla6[[#This Row],[ID FACTURA]])=1,"PAGADA",Tabla6[[#This Row],[ID FACTURA]]&lt;&gt;0,"EMITIDA",Tabla6[[#This Row],[ID FACTURA]]=0,"POR EMITIR")</f>
        <v>POR EMITIR</v>
      </c>
      <c r="M2052" s="55" t="str">
        <f>+IF(Tabla6[[#This Row],[ESTADO FACTURA]]="PAGADA",Tabla6[[#This Row],[FECHA]]-_xlfn.XLOOKUP(Tabla6[[#This Row],[N° FACTURA]],INGRESOS!F:F,INGRESOS!A:A),"-")</f>
        <v>-</v>
      </c>
      <c r="N2052" s="2"/>
      <c r="O2052"/>
    </row>
    <row r="2053" spans="1:15" ht="14.75" customHeight="1">
      <c r="A2053" s="320" t="s">
        <v>87</v>
      </c>
      <c r="B2053" t="str">
        <f>+_xlfn.XLOOKUP(Tabla6[[#This Row],[ID CLIENTE]],'RESUMEN CLIENTES'!D:D,'RESUMEN CLIENTES'!A:A)</f>
        <v>Jose Marcelo Marroquín Guzmán</v>
      </c>
      <c r="C2053" t="str">
        <f>+_xlfn.XLOOKUP(Tabla6[[#This Row],[ID CLIENTE]],'RESUMEN CLIENTES'!D:D,'RESUMEN CLIENTES'!C:C)</f>
        <v>El Salvador</v>
      </c>
      <c r="D2053" s="44" t="str">
        <f>+_xlfn.XLOOKUP(Tabla6[[#This Row],[ID CLIENTE]],'RESUMEN CLIENTES'!D:D,'RESUMEN CLIENTES'!M:M)</f>
        <v>OK</v>
      </c>
      <c r="E2053" s="72">
        <f>+_xlfn.XLOOKUP(Tabla6[[#This Row],[NOMBRE]],'RESUMEN CLIENTES'!A:A,'RESUMEN CLIENTES'!X:X)</f>
        <v>-1.5833333333333333</v>
      </c>
      <c r="F2053" s="72">
        <f>+_xlfn.XLOOKUP(Tabla6[[#This Row],[ID CLIENTE]],'RESUMEN CLIENTES'!D:D,'RESUMEN CLIENTES'!W:W)</f>
        <v>1</v>
      </c>
      <c r="G2053" s="17">
        <f>IF($H2053&lt;&gt;"ALEM","",IFERROR(
  DATE(
    YEAR(EDATE(
      _xlfn.XLOOKUP($A2053,'RESUMEN CLIENTES'!$D:$D,'RESUMEN CLIENTES'!$Y:$Y,""),
      7 + COUNTIFS(
            $A$2:INDEX($A:$A,ROW()), $A2053,
            $H$2:INDEX($H:$H,ROW()), "ALEM"
          )
    )),
    MONTH(EDATE(
      _xlfn.XLOOKUP($A2053,'RESUMEN CLIENTES'!$D:$D,'RESUMEN CLIENTES'!$Y:$Y,""),
      7 + COUNTIFS(
            $A$2:INDEX($A:$A,ROW()), $A2053,
            $H$2:INDEX($H:$H,ROW()), "ALEM"
          )
    )),
    1
  ),
"SIN FECHA MIG"))</f>
        <v>46419</v>
      </c>
      <c r="H2053" s="44" t="s">
        <v>1876</v>
      </c>
      <c r="I2053" s="2">
        <v>800</v>
      </c>
      <c r="J2053"/>
      <c r="K2053"/>
      <c r="L2053" s="44" t="str" cm="1">
        <f t="array" ref="L2053">+_xlfn.IFS(COUNTIF(INGRESOS!E:E,Tabla6[[#This Row],[ID FACTURA]])=1,"PAGADA",Tabla6[[#This Row],[ID FACTURA]]&lt;&gt;0,"EMITIDA",Tabla6[[#This Row],[ID FACTURA]]=0,"POR EMITIR")</f>
        <v>POR EMITIR</v>
      </c>
      <c r="M2053" s="55" t="str">
        <f>+IF(Tabla6[[#This Row],[ESTADO FACTURA]]="PAGADA",Tabla6[[#This Row],[FECHA]]-_xlfn.XLOOKUP(Tabla6[[#This Row],[N° FACTURA]],INGRESOS!F:F,INGRESOS!A:A),"-")</f>
        <v>-</v>
      </c>
      <c r="N2053" s="2"/>
      <c r="O2053" t="s">
        <v>2085</v>
      </c>
    </row>
    <row r="2054" spans="1:15" ht="14.75" customHeight="1">
      <c r="A2054" s="320" t="s">
        <v>955</v>
      </c>
      <c r="B2054" t="str">
        <f>+_xlfn.XLOOKUP(Tabla6[[#This Row],[ID CLIENTE]],'RESUMEN CLIENTES'!D:D,'RESUMEN CLIENTES'!A:A)</f>
        <v>Judith Elizabeth Lopez Sanchez</v>
      </c>
      <c r="C2054" t="str">
        <f>+_xlfn.XLOOKUP(Tabla6[[#This Row],[ID CLIENTE]],'RESUMEN CLIENTES'!D:D,'RESUMEN CLIENTES'!C:C)</f>
        <v>Perú</v>
      </c>
      <c r="D2054" s="44" t="str">
        <f>+_xlfn.XLOOKUP(Tabla6[[#This Row],[ID CLIENTE]],'RESUMEN CLIENTES'!D:D,'RESUMEN CLIENTES'!M:M)</f>
        <v>OK</v>
      </c>
      <c r="E2054" s="72">
        <f>+_xlfn.XLOOKUP(Tabla6[[#This Row],[NOMBRE]],'RESUMEN CLIENTES'!A:A,'RESUMEN CLIENTES'!X:X)</f>
        <v>0.2857142857142857</v>
      </c>
      <c r="F2054" s="72">
        <f>+_xlfn.XLOOKUP(Tabla6[[#This Row],[ID CLIENTE]],'RESUMEN CLIENTES'!D:D,'RESUMEN CLIENTES'!W:W)</f>
        <v>1</v>
      </c>
      <c r="G2054" s="17">
        <f>IF($H2054&lt;&gt;"ALEM","",IFERROR(
  DATE(
    YEAR(EDATE(
      _xlfn.XLOOKUP($A2054,'RESUMEN CLIENTES'!$D:$D,'RESUMEN CLIENTES'!$Y:$Y,""),
      7 + COUNTIFS(
            $A$2:INDEX($A:$A,ROW()), $A2054,
            $H$2:INDEX($H:$H,ROW()), "ALEM"
          )
    )),
    MONTH(EDATE(
      _xlfn.XLOOKUP($A2054,'RESUMEN CLIENTES'!$D:$D,'RESUMEN CLIENTES'!$Y:$Y,""),
      7 + COUNTIFS(
            $A$2:INDEX($A:$A,ROW()), $A2054,
            $H$2:INDEX($H:$H,ROW()), "ALEM"
          )
    )),
    1
  ),
"SIN FECHA MIG"))</f>
        <v>46419</v>
      </c>
      <c r="H2054" s="44" t="s">
        <v>1876</v>
      </c>
      <c r="I2054" s="2">
        <v>1000</v>
      </c>
      <c r="J2054"/>
      <c r="K2054"/>
      <c r="L2054" s="44" t="str" cm="1">
        <f t="array" ref="L2054">+_xlfn.IFS(COUNTIF(INGRESOS!E:E,Tabla6[[#This Row],[ID FACTURA]])=1,"PAGADA",Tabla6[[#This Row],[ID FACTURA]]&lt;&gt;0,"EMITIDA",Tabla6[[#This Row],[ID FACTURA]]=0,"POR EMITIR")</f>
        <v>POR EMITIR</v>
      </c>
      <c r="M2054" s="55" t="str">
        <f>+IF(Tabla6[[#This Row],[ESTADO FACTURA]]="PAGADA",Tabla6[[#This Row],[FECHA]]-_xlfn.XLOOKUP(Tabla6[[#This Row],[N° FACTURA]],INGRESOS!F:F,INGRESOS!A:A),"-")</f>
        <v>-</v>
      </c>
      <c r="N2054" s="2"/>
      <c r="O2054" t="s">
        <v>2084</v>
      </c>
    </row>
    <row r="2055" spans="1:15" ht="14.75" customHeight="1">
      <c r="A2055" s="320" t="s">
        <v>468</v>
      </c>
      <c r="B2055" t="str">
        <f>+_xlfn.XLOOKUP(Tabla6[[#This Row],[ID CLIENTE]],'RESUMEN CLIENTES'!D:D,'RESUMEN CLIENTES'!A:A)</f>
        <v>Julian Medina</v>
      </c>
      <c r="C2055" t="str">
        <f>+_xlfn.XLOOKUP(Tabla6[[#This Row],[ID CLIENTE]],'RESUMEN CLIENTES'!D:D,'RESUMEN CLIENTES'!C:C)</f>
        <v>Ecuador</v>
      </c>
      <c r="D2055" s="44" t="str">
        <f>+_xlfn.XLOOKUP(Tabla6[[#This Row],[ID CLIENTE]],'RESUMEN CLIENTES'!D:D,'RESUMEN CLIENTES'!M:M)</f>
        <v>OK</v>
      </c>
      <c r="E2055" s="72">
        <f>+_xlfn.XLOOKUP(Tabla6[[#This Row],[NOMBRE]],'RESUMEN CLIENTES'!A:A,'RESUMEN CLIENTES'!X:X)</f>
        <v>-0.5</v>
      </c>
      <c r="F2055" s="72">
        <f>+_xlfn.XLOOKUP(Tabla6[[#This Row],[ID CLIENTE]],'RESUMEN CLIENTES'!D:D,'RESUMEN CLIENTES'!W:W)</f>
        <v>0</v>
      </c>
      <c r="G2055" s="17">
        <f>IF($H2055&lt;&gt;"ALEM","",IFERROR(
  DATE(
    YEAR(EDATE(
      _xlfn.XLOOKUP($A2055,'RESUMEN CLIENTES'!$D:$D,'RESUMEN CLIENTES'!$Y:$Y,""),
      7 + COUNTIFS(
            $A$2:INDEX($A:$A,ROW()), $A2055,
            $H$2:INDEX($H:$H,ROW()), "ALEM"
          )
    )),
    MONTH(EDATE(
      _xlfn.XLOOKUP($A2055,'RESUMEN CLIENTES'!$D:$D,'RESUMEN CLIENTES'!$Y:$Y,""),
      7 + COUNTIFS(
            $A$2:INDEX($A:$A,ROW()), $A2055,
            $H$2:INDEX($H:$H,ROW()), "ALEM"
          )
    )),
    1
  ),
"SIN FECHA MIG"))</f>
        <v>46419</v>
      </c>
      <c r="H2055" s="44" t="s">
        <v>1876</v>
      </c>
      <c r="I2055" s="2">
        <v>1000</v>
      </c>
      <c r="J2055"/>
      <c r="K2055"/>
      <c r="L2055" s="44" t="str" cm="1">
        <f t="array" ref="L2055">+_xlfn.IFS(COUNTIF(INGRESOS!E:E,Tabla6[[#This Row],[ID FACTURA]])=1,"PAGADA",Tabla6[[#This Row],[ID FACTURA]]&lt;&gt;0,"EMITIDA",Tabla6[[#This Row],[ID FACTURA]]=0,"POR EMITIR")</f>
        <v>POR EMITIR</v>
      </c>
      <c r="M2055" s="55" t="str">
        <f>+IF(Tabla6[[#This Row],[ESTADO FACTURA]]="PAGADA",Tabla6[[#This Row],[FECHA]]-_xlfn.XLOOKUP(Tabla6[[#This Row],[N° FACTURA]],INGRESOS!F:F,INGRESOS!A:A),"-")</f>
        <v>-</v>
      </c>
      <c r="N2055" s="2"/>
      <c r="O2055"/>
    </row>
    <row r="2056" spans="1:15" ht="14.75" customHeight="1">
      <c r="A2056" s="320" t="s">
        <v>372</v>
      </c>
      <c r="B2056" t="str">
        <f>+_xlfn.XLOOKUP(Tabla6[[#This Row],[ID CLIENTE]],'RESUMEN CLIENTES'!D:D,'RESUMEN CLIENTES'!A:A)</f>
        <v>Julio Nelson Adaros Moraga</v>
      </c>
      <c r="C2056" t="str">
        <f>+_xlfn.XLOOKUP(Tabla6[[#This Row],[ID CLIENTE]],'RESUMEN CLIENTES'!D:D,'RESUMEN CLIENTES'!C:C)</f>
        <v>Chile</v>
      </c>
      <c r="D2056" s="44" t="str">
        <f>+_xlfn.XLOOKUP(Tabla6[[#This Row],[ID CLIENTE]],'RESUMEN CLIENTES'!D:D,'RESUMEN CLIENTES'!M:M)</f>
        <v>OK</v>
      </c>
      <c r="E2056" s="72">
        <f>+_xlfn.XLOOKUP(Tabla6[[#This Row],[NOMBRE]],'RESUMEN CLIENTES'!A:A,'RESUMEN CLIENTES'!X:X)</f>
        <v>1</v>
      </c>
      <c r="F2056" s="72">
        <f>+_xlfn.XLOOKUP(Tabla6[[#This Row],[ID CLIENTE]],'RESUMEN CLIENTES'!D:D,'RESUMEN CLIENTES'!W:W)</f>
        <v>1</v>
      </c>
      <c r="G2056" s="17">
        <f>IF($H2056&lt;&gt;"ALEM","",IFERROR(
  DATE(
    YEAR(EDATE(
      _xlfn.XLOOKUP($A2056,'RESUMEN CLIENTES'!$D:$D,'RESUMEN CLIENTES'!$Y:$Y,""),
      7 + COUNTIFS(
            $A$2:INDEX($A:$A,ROW()), $A2056,
            $H$2:INDEX($H:$H,ROW()), "ALEM"
          )
    )),
    MONTH(EDATE(
      _xlfn.XLOOKUP($A2056,'RESUMEN CLIENTES'!$D:$D,'RESUMEN CLIENTES'!$Y:$Y,""),
      7 + COUNTIFS(
            $A$2:INDEX($A:$A,ROW()), $A2056,
            $H$2:INDEX($H:$H,ROW()), "ALEM"
          )
    )),
    1
  ),
"SIN FECHA MIG"))</f>
        <v>46419</v>
      </c>
      <c r="H2056" s="44" t="s">
        <v>1876</v>
      </c>
      <c r="I2056" s="2">
        <v>1000</v>
      </c>
      <c r="J2056"/>
      <c r="K2056"/>
      <c r="L2056" s="44" t="str" cm="1">
        <f t="array" ref="L2056">+_xlfn.IFS(COUNTIF(INGRESOS!E:E,Tabla6[[#This Row],[ID FACTURA]])=1,"PAGADA",Tabla6[[#This Row],[ID FACTURA]]&lt;&gt;0,"EMITIDA",Tabla6[[#This Row],[ID FACTURA]]=0,"POR EMITIR")</f>
        <v>POR EMITIR</v>
      </c>
      <c r="M2056" s="55" t="str">
        <f>+IF(Tabla6[[#This Row],[ESTADO FACTURA]]="PAGADA",Tabla6[[#This Row],[FECHA]]-_xlfn.XLOOKUP(Tabla6[[#This Row],[N° FACTURA]],INGRESOS!F:F,INGRESOS!A:A),"-")</f>
        <v>-</v>
      </c>
      <c r="N2056" s="2"/>
      <c r="O2056"/>
    </row>
    <row r="2057" spans="1:15" ht="14.75" customHeight="1">
      <c r="A2057" s="320" t="s">
        <v>587</v>
      </c>
      <c r="B2057" t="str">
        <f>+_xlfn.XLOOKUP(Tabla6[[#This Row],[ID CLIENTE]],'RESUMEN CLIENTES'!D:D,'RESUMEN CLIENTES'!A:A)</f>
        <v>Keidwin Perez</v>
      </c>
      <c r="C2057" t="str">
        <f>+_xlfn.XLOOKUP(Tabla6[[#This Row],[ID CLIENTE]],'RESUMEN CLIENTES'!D:D,'RESUMEN CLIENTES'!C:C)</f>
        <v>Colombia</v>
      </c>
      <c r="D2057" s="44" t="str">
        <f>+_xlfn.XLOOKUP(Tabla6[[#This Row],[ID CLIENTE]],'RESUMEN CLIENTES'!D:D,'RESUMEN CLIENTES'!M:M)</f>
        <v>OK</v>
      </c>
      <c r="E2057" s="72">
        <f>+_xlfn.XLOOKUP(Tabla6[[#This Row],[NOMBRE]],'RESUMEN CLIENTES'!A:A,'RESUMEN CLIENTES'!X:X)</f>
        <v>-4.25</v>
      </c>
      <c r="F2057" s="72">
        <f>+_xlfn.XLOOKUP(Tabla6[[#This Row],[ID CLIENTE]],'RESUMEN CLIENTES'!D:D,'RESUMEN CLIENTES'!W:W)</f>
        <v>1</v>
      </c>
      <c r="G2057" s="17">
        <f>IF($H2057&lt;&gt;"ALEM","",IFERROR(
  DATE(
    YEAR(EDATE(
      _xlfn.XLOOKUP($A2057,'RESUMEN CLIENTES'!$D:$D,'RESUMEN CLIENTES'!$Y:$Y,""),
      7 + COUNTIFS(
            $A$2:INDEX($A:$A,ROW()), $A2057,
            $H$2:INDEX($H:$H,ROW()), "ALEM"
          )
    )),
    MONTH(EDATE(
      _xlfn.XLOOKUP($A2057,'RESUMEN CLIENTES'!$D:$D,'RESUMEN CLIENTES'!$Y:$Y,""),
      7 + COUNTIFS(
            $A$2:INDEX($A:$A,ROW()), $A2057,
            $H$2:INDEX($H:$H,ROW()), "ALEM"
          )
    )),
    1
  ),
"SIN FECHA MIG"))</f>
        <v>46419</v>
      </c>
      <c r="H2057" s="44" t="s">
        <v>1876</v>
      </c>
      <c r="I2057" s="2">
        <v>1000</v>
      </c>
      <c r="J2057"/>
      <c r="K2057"/>
      <c r="L2057" s="44" t="str" cm="1">
        <f t="array" ref="L2057">+_xlfn.IFS(COUNTIF(INGRESOS!E:E,Tabla6[[#This Row],[ID FACTURA]])=1,"PAGADA",Tabla6[[#This Row],[ID FACTURA]]&lt;&gt;0,"EMITIDA",Tabla6[[#This Row],[ID FACTURA]]=0,"POR EMITIR")</f>
        <v>POR EMITIR</v>
      </c>
      <c r="M2057" s="55" t="str">
        <f>+IF(Tabla6[[#This Row],[ESTADO FACTURA]]="PAGADA",Tabla6[[#This Row],[FECHA]]-_xlfn.XLOOKUP(Tabla6[[#This Row],[N° FACTURA]],INGRESOS!F:F,INGRESOS!A:A),"-")</f>
        <v>-</v>
      </c>
      <c r="N2057" s="2"/>
      <c r="O2057"/>
    </row>
    <row r="2058" spans="1:15" ht="14.75" customHeight="1">
      <c r="A2058" s="320" t="s">
        <v>441</v>
      </c>
      <c r="B2058" t="str">
        <f>+_xlfn.XLOOKUP(Tabla6[[#This Row],[ID CLIENTE]],'RESUMEN CLIENTES'!D:D,'RESUMEN CLIENTES'!A:A)</f>
        <v>Luis Manuel Villanueva Contreras</v>
      </c>
      <c r="C2058" t="str">
        <f>+_xlfn.XLOOKUP(Tabla6[[#This Row],[ID CLIENTE]],'RESUMEN CLIENTES'!D:D,'RESUMEN CLIENTES'!C:C)</f>
        <v>México</v>
      </c>
      <c r="D2058" s="44" t="str">
        <f>+_xlfn.XLOOKUP(Tabla6[[#This Row],[ID CLIENTE]],'RESUMEN CLIENTES'!D:D,'RESUMEN CLIENTES'!M:M)</f>
        <v>OK</v>
      </c>
      <c r="E2058" s="72">
        <f>+_xlfn.XLOOKUP(Tabla6[[#This Row],[NOMBRE]],'RESUMEN CLIENTES'!A:A,'RESUMEN CLIENTES'!X:X)</f>
        <v>0.55555555555555558</v>
      </c>
      <c r="F2058" s="72">
        <f>+_xlfn.XLOOKUP(Tabla6[[#This Row],[ID CLIENTE]],'RESUMEN CLIENTES'!D:D,'RESUMEN CLIENTES'!W:W)</f>
        <v>0</v>
      </c>
      <c r="G2058" s="17">
        <f>IF($H2058&lt;&gt;"ALEM","",IFERROR(
  DATE(
    YEAR(EDATE(
      _xlfn.XLOOKUP($A2058,'RESUMEN CLIENTES'!$D:$D,'RESUMEN CLIENTES'!$Y:$Y,""),
      7 + COUNTIFS(
            $A$2:INDEX($A:$A,ROW()), $A2058,
            $H$2:INDEX($H:$H,ROW()), "ALEM"
          )
    )),
    MONTH(EDATE(
      _xlfn.XLOOKUP($A2058,'RESUMEN CLIENTES'!$D:$D,'RESUMEN CLIENTES'!$Y:$Y,""),
      7 + COUNTIFS(
            $A$2:INDEX($A:$A,ROW()), $A2058,
            $H$2:INDEX($H:$H,ROW()), "ALEM"
          )
    )),
    1
  ),
"SIN FECHA MIG"))</f>
        <v>46419</v>
      </c>
      <c r="H2058" s="44" t="s">
        <v>1876</v>
      </c>
      <c r="I2058" s="2">
        <v>1000</v>
      </c>
      <c r="J2058"/>
      <c r="K2058"/>
      <c r="L2058" s="44" t="str" cm="1">
        <f t="array" ref="L2058">+_xlfn.IFS(COUNTIF(INGRESOS!E:E,Tabla6[[#This Row],[ID FACTURA]])=1,"PAGADA",Tabla6[[#This Row],[ID FACTURA]]&lt;&gt;0,"EMITIDA",Tabla6[[#This Row],[ID FACTURA]]=0,"POR EMITIR")</f>
        <v>POR EMITIR</v>
      </c>
      <c r="M2058" s="55" t="str">
        <f>+IF(Tabla6[[#This Row],[ESTADO FACTURA]]="PAGADA",Tabla6[[#This Row],[FECHA]]-_xlfn.XLOOKUP(Tabla6[[#This Row],[N° FACTURA]],INGRESOS!F:F,INGRESOS!A:A),"-")</f>
        <v>-</v>
      </c>
      <c r="N2058" s="2"/>
      <c r="O2058"/>
    </row>
    <row r="2059" spans="1:15" ht="14.75" customHeight="1">
      <c r="A2059" s="320" t="s">
        <v>274</v>
      </c>
      <c r="B2059" t="str">
        <f>+_xlfn.XLOOKUP(Tabla6[[#This Row],[ID CLIENTE]],'RESUMEN CLIENTES'!D:D,'RESUMEN CLIENTES'!A:A)</f>
        <v>María de los Ángeles Gutiérrez Quevedo</v>
      </c>
      <c r="C2059" t="str">
        <f>+_xlfn.XLOOKUP(Tabla6[[#This Row],[ID CLIENTE]],'RESUMEN CLIENTES'!D:D,'RESUMEN CLIENTES'!C:C)</f>
        <v>Chile</v>
      </c>
      <c r="D2059" s="44" t="str">
        <f>+_xlfn.XLOOKUP(Tabla6[[#This Row],[ID CLIENTE]],'RESUMEN CLIENTES'!D:D,'RESUMEN CLIENTES'!M:M)</f>
        <v>OK</v>
      </c>
      <c r="E2059" s="72">
        <f>+_xlfn.XLOOKUP(Tabla6[[#This Row],[NOMBRE]],'RESUMEN CLIENTES'!A:A,'RESUMEN CLIENTES'!X:X)</f>
        <v>0.22222222222222221</v>
      </c>
      <c r="F2059" s="72">
        <f>+_xlfn.XLOOKUP(Tabla6[[#This Row],[ID CLIENTE]],'RESUMEN CLIENTES'!D:D,'RESUMEN CLIENTES'!W:W)</f>
        <v>1</v>
      </c>
      <c r="G2059" s="17">
        <f>IF($H2059&lt;&gt;"ALEM","",IFERROR(
  DATE(
    YEAR(EDATE(
      _xlfn.XLOOKUP($A2059,'RESUMEN CLIENTES'!$D:$D,'RESUMEN CLIENTES'!$Y:$Y,""),
      7 + COUNTIFS(
            $A$2:INDEX($A:$A,ROW()), $A2059,
            $H$2:INDEX($H:$H,ROW()), "ALEM"
          )
    )),
    MONTH(EDATE(
      _xlfn.XLOOKUP($A2059,'RESUMEN CLIENTES'!$D:$D,'RESUMEN CLIENTES'!$Y:$Y,""),
      7 + COUNTIFS(
            $A$2:INDEX($A:$A,ROW()), $A2059,
            $H$2:INDEX($H:$H,ROW()), "ALEM"
          )
    )),
    1
  ),
"SIN FECHA MIG"))</f>
        <v>46419</v>
      </c>
      <c r="H2059" s="44" t="s">
        <v>1876</v>
      </c>
      <c r="I2059" s="2">
        <v>1000</v>
      </c>
      <c r="J2059"/>
      <c r="K2059"/>
      <c r="L2059" s="44" t="str" cm="1">
        <f t="array" ref="L2059">+_xlfn.IFS(COUNTIF(INGRESOS!E:E,Tabla6[[#This Row],[ID FACTURA]])=1,"PAGADA",Tabla6[[#This Row],[ID FACTURA]]&lt;&gt;0,"EMITIDA",Tabla6[[#This Row],[ID FACTURA]]=0,"POR EMITIR")</f>
        <v>POR EMITIR</v>
      </c>
      <c r="M2059" s="55" t="str">
        <f>+IF(Tabla6[[#This Row],[ESTADO FACTURA]]="PAGADA",Tabla6[[#This Row],[FECHA]]-_xlfn.XLOOKUP(Tabla6[[#This Row],[N° FACTURA]],INGRESOS!F:F,INGRESOS!A:A),"-")</f>
        <v>-</v>
      </c>
      <c r="N2059" s="2"/>
      <c r="O2059" t="s">
        <v>2084</v>
      </c>
    </row>
    <row r="2060" spans="1:15" ht="14.75" customHeight="1">
      <c r="A2060" s="320" t="s">
        <v>258</v>
      </c>
      <c r="B2060" t="str">
        <f>+_xlfn.XLOOKUP(Tabla6[[#This Row],[ID CLIENTE]],'RESUMEN CLIENTES'!D:D,'RESUMEN CLIENTES'!A:A)</f>
        <v>Maria Laura Rios Pino</v>
      </c>
      <c r="C2060" t="str">
        <f>+_xlfn.XLOOKUP(Tabla6[[#This Row],[ID CLIENTE]],'RESUMEN CLIENTES'!D:D,'RESUMEN CLIENTES'!C:C)</f>
        <v>Perú</v>
      </c>
      <c r="D2060" s="44" t="str">
        <f>+_xlfn.XLOOKUP(Tabla6[[#This Row],[ID CLIENTE]],'RESUMEN CLIENTES'!D:D,'RESUMEN CLIENTES'!M:M)</f>
        <v>OK</v>
      </c>
      <c r="E2060" s="72">
        <f>+_xlfn.XLOOKUP(Tabla6[[#This Row],[NOMBRE]],'RESUMEN CLIENTES'!A:A,'RESUMEN CLIENTES'!X:X)</f>
        <v>1.4545454545454546</v>
      </c>
      <c r="F2060" s="72">
        <f>+_xlfn.XLOOKUP(Tabla6[[#This Row],[ID CLIENTE]],'RESUMEN CLIENTES'!D:D,'RESUMEN CLIENTES'!W:W)</f>
        <v>0</v>
      </c>
      <c r="G2060" s="17">
        <f>IF($H2060&lt;&gt;"ALEM","",IFERROR(
  DATE(
    YEAR(EDATE(
      _xlfn.XLOOKUP($A2060,'RESUMEN CLIENTES'!$D:$D,'RESUMEN CLIENTES'!$Y:$Y,""),
      7 + COUNTIFS(
            $A$2:INDEX($A:$A,ROW()), $A2060,
            $H$2:INDEX($H:$H,ROW()), "ALEM"
          )
    )),
    MONTH(EDATE(
      _xlfn.XLOOKUP($A2060,'RESUMEN CLIENTES'!$D:$D,'RESUMEN CLIENTES'!$Y:$Y,""),
      7 + COUNTIFS(
            $A$2:INDEX($A:$A,ROW()), $A2060,
            $H$2:INDEX($H:$H,ROW()), "ALEM"
          )
    )),
    1
  ),
"SIN FECHA MIG"))</f>
        <v>46419</v>
      </c>
      <c r="H2060" s="44" t="s">
        <v>1876</v>
      </c>
      <c r="I2060" s="172">
        <v>5000</v>
      </c>
      <c r="J2060"/>
      <c r="K2060"/>
      <c r="L2060" s="44" t="str" cm="1">
        <f t="array" ref="L2060">+_xlfn.IFS(COUNTIF(INGRESOS!E:E,Tabla6[[#This Row],[ID FACTURA]])=1,"PAGADA",Tabla6[[#This Row],[ID FACTURA]]&lt;&gt;0,"EMITIDA",Tabla6[[#This Row],[ID FACTURA]]=0,"POR EMITIR")</f>
        <v>POR EMITIR</v>
      </c>
      <c r="M2060" s="55" t="str">
        <f>+IF(Tabla6[[#This Row],[ESTADO FACTURA]]="PAGADA",Tabla6[[#This Row],[FECHA]]-_xlfn.XLOOKUP(Tabla6[[#This Row],[N° FACTURA]],INGRESOS!F:F,INGRESOS!A:A),"-")</f>
        <v>-</v>
      </c>
      <c r="N2060" s="172"/>
      <c r="O2060"/>
    </row>
    <row r="2061" spans="1:15" ht="14.75" customHeight="1">
      <c r="A2061" s="320" t="s">
        <v>247</v>
      </c>
      <c r="B2061" t="str">
        <f>+_xlfn.XLOOKUP(Tabla6[[#This Row],[ID CLIENTE]],'RESUMEN CLIENTES'!D:D,'RESUMEN CLIENTES'!A:A)</f>
        <v>Nancy Gisselle Molinari Cheme</v>
      </c>
      <c r="C2061" t="str">
        <f>+_xlfn.XLOOKUP(Tabla6[[#This Row],[ID CLIENTE]],'RESUMEN CLIENTES'!D:D,'RESUMEN CLIENTES'!C:C)</f>
        <v>Perú</v>
      </c>
      <c r="D2061" s="44" t="str">
        <f>+_xlfn.XLOOKUP(Tabla6[[#This Row],[ID CLIENTE]],'RESUMEN CLIENTES'!D:D,'RESUMEN CLIENTES'!M:M)</f>
        <v>OK</v>
      </c>
      <c r="E2061" s="72">
        <f>+_xlfn.XLOOKUP(Tabla6[[#This Row],[NOMBRE]],'RESUMEN CLIENTES'!A:A,'RESUMEN CLIENTES'!X:X)</f>
        <v>0.9</v>
      </c>
      <c r="F2061" s="72">
        <f>+_xlfn.XLOOKUP(Tabla6[[#This Row],[ID CLIENTE]],'RESUMEN CLIENTES'!D:D,'RESUMEN CLIENTES'!W:W)</f>
        <v>1</v>
      </c>
      <c r="G2061" s="17">
        <f>IF($H2061&lt;&gt;"ALEM","",IFERROR(
  DATE(
    YEAR(EDATE(
      _xlfn.XLOOKUP($A2061,'RESUMEN CLIENTES'!$D:$D,'RESUMEN CLIENTES'!$Y:$Y,""),
      7 + COUNTIFS(
            $A$2:INDEX($A:$A,ROW()), $A2061,
            $H$2:INDEX($H:$H,ROW()), "ALEM"
          )
    )),
    MONTH(EDATE(
      _xlfn.XLOOKUP($A2061,'RESUMEN CLIENTES'!$D:$D,'RESUMEN CLIENTES'!$Y:$Y,""),
      7 + COUNTIFS(
            $A$2:INDEX($A:$A,ROW()), $A2061,
            $H$2:INDEX($H:$H,ROW()), "ALEM"
          )
    )),
    1
  ),
"SIN FECHA MIG"))</f>
        <v>46419</v>
      </c>
      <c r="H2061" s="44" t="s">
        <v>1876</v>
      </c>
      <c r="I2061" s="2">
        <v>1000</v>
      </c>
      <c r="J2061"/>
      <c r="K2061"/>
      <c r="L2061" s="44" t="str" cm="1">
        <f t="array" ref="L2061">+_xlfn.IFS(COUNTIF(INGRESOS!E:E,Tabla6[[#This Row],[ID FACTURA]])=1,"PAGADA",Tabla6[[#This Row],[ID FACTURA]]&lt;&gt;0,"EMITIDA",Tabla6[[#This Row],[ID FACTURA]]=0,"POR EMITIR")</f>
        <v>POR EMITIR</v>
      </c>
      <c r="M2061" s="55" t="str">
        <f>+IF(Tabla6[[#This Row],[ESTADO FACTURA]]="PAGADA",Tabla6[[#This Row],[FECHA]]-_xlfn.XLOOKUP(Tabla6[[#This Row],[N° FACTURA]],INGRESOS!F:F,INGRESOS!A:A),"-")</f>
        <v>-</v>
      </c>
      <c r="N2061" s="2"/>
      <c r="O2061"/>
    </row>
    <row r="2062" spans="1:15" ht="14.75" customHeight="1">
      <c r="A2062" s="320" t="s">
        <v>229</v>
      </c>
      <c r="B2062" t="str">
        <f>+_xlfn.XLOOKUP(Tabla6[[#This Row],[ID CLIENTE]],'RESUMEN CLIENTES'!D:D,'RESUMEN CLIENTES'!A:A)</f>
        <v>Nathaly Gabriela Henríquez Masín</v>
      </c>
      <c r="C2062" t="str">
        <f>+_xlfn.XLOOKUP(Tabla6[[#This Row],[ID CLIENTE]],'RESUMEN CLIENTES'!D:D,'RESUMEN CLIENTES'!C:C)</f>
        <v>El Salvador</v>
      </c>
      <c r="D2062" s="44" t="str">
        <f>+_xlfn.XLOOKUP(Tabla6[[#This Row],[ID CLIENTE]],'RESUMEN CLIENTES'!D:D,'RESUMEN CLIENTES'!M:M)</f>
        <v>OK</v>
      </c>
      <c r="E2062" s="72">
        <f>+_xlfn.XLOOKUP(Tabla6[[#This Row],[NOMBRE]],'RESUMEN CLIENTES'!A:A,'RESUMEN CLIENTES'!X:X)</f>
        <v>0.7</v>
      </c>
      <c r="F2062" s="72">
        <f>+_xlfn.XLOOKUP(Tabla6[[#This Row],[ID CLIENTE]],'RESUMEN CLIENTES'!D:D,'RESUMEN CLIENTES'!W:W)</f>
        <v>0</v>
      </c>
      <c r="G2062" s="17">
        <f>IF($H2062&lt;&gt;"ALEM","",IFERROR(
  DATE(
    YEAR(EDATE(
      _xlfn.XLOOKUP($A2062,'RESUMEN CLIENTES'!$D:$D,'RESUMEN CLIENTES'!$Y:$Y,""),
      7 + COUNTIFS(
            $A$2:INDEX($A:$A,ROW()), $A2062,
            $H$2:INDEX($H:$H,ROW()), "ALEM"
          )
    )),
    MONTH(EDATE(
      _xlfn.XLOOKUP($A2062,'RESUMEN CLIENTES'!$D:$D,'RESUMEN CLIENTES'!$Y:$Y,""),
      7 + COUNTIFS(
            $A$2:INDEX($A:$A,ROW()), $A2062,
            $H$2:INDEX($H:$H,ROW()), "ALEM"
          )
    )),
    1
  ),
"SIN FECHA MIG"))</f>
        <v>46419</v>
      </c>
      <c r="H2062" s="44" t="s">
        <v>1876</v>
      </c>
      <c r="I2062" s="2">
        <v>500</v>
      </c>
      <c r="J2062"/>
      <c r="K2062"/>
      <c r="L2062" s="44" t="str" cm="1">
        <f t="array" ref="L2062">+_xlfn.IFS(COUNTIF(INGRESOS!E:E,Tabla6[[#This Row],[ID FACTURA]])=1,"PAGADA",Tabla6[[#This Row],[ID FACTURA]]&lt;&gt;0,"EMITIDA",Tabla6[[#This Row],[ID FACTURA]]=0,"POR EMITIR")</f>
        <v>POR EMITIR</v>
      </c>
      <c r="M2062" s="55" t="str">
        <f>+IF(Tabla6[[#This Row],[ESTADO FACTURA]]="PAGADA",Tabla6[[#This Row],[FECHA]]-_xlfn.XLOOKUP(Tabla6[[#This Row],[N° FACTURA]],INGRESOS!F:F,INGRESOS!A:A),"-")</f>
        <v>-</v>
      </c>
      <c r="N2062" s="2"/>
      <c r="O2062"/>
    </row>
    <row r="2063" spans="1:15" ht="14.75" customHeight="1">
      <c r="A2063" s="320" t="s">
        <v>455</v>
      </c>
      <c r="B2063" t="str">
        <f>+_xlfn.XLOOKUP(Tabla6[[#This Row],[ID CLIENTE]],'RESUMEN CLIENTES'!D:D,'RESUMEN CLIENTES'!A:A)</f>
        <v>Paola Hitos</v>
      </c>
      <c r="C2063" t="str">
        <f>+_xlfn.XLOOKUP(Tabla6[[#This Row],[ID CLIENTE]],'RESUMEN CLIENTES'!D:D,'RESUMEN CLIENTES'!C:C)</f>
        <v>México</v>
      </c>
      <c r="D2063" s="44" t="str">
        <f>+_xlfn.XLOOKUP(Tabla6[[#This Row],[ID CLIENTE]],'RESUMEN CLIENTES'!D:D,'RESUMEN CLIENTES'!M:M)</f>
        <v>OK</v>
      </c>
      <c r="E2063" s="72">
        <f>+_xlfn.XLOOKUP(Tabla6[[#This Row],[NOMBRE]],'RESUMEN CLIENTES'!A:A,'RESUMEN CLIENTES'!X:X)</f>
        <v>-0.55555555555555558</v>
      </c>
      <c r="F2063" s="72">
        <f>+_xlfn.XLOOKUP(Tabla6[[#This Row],[ID CLIENTE]],'RESUMEN CLIENTES'!D:D,'RESUMEN CLIENTES'!W:W)</f>
        <v>1</v>
      </c>
      <c r="G2063" s="17">
        <f>IF($H2063&lt;&gt;"ALEM","",IFERROR(
  DATE(
    YEAR(EDATE(
      _xlfn.XLOOKUP($A2063,'RESUMEN CLIENTES'!$D:$D,'RESUMEN CLIENTES'!$Y:$Y,""),
      7 + COUNTIFS(
            $A$2:INDEX($A:$A,ROW()), $A2063,
            $H$2:INDEX($H:$H,ROW()), "ALEM"
          )
    )),
    MONTH(EDATE(
      _xlfn.XLOOKUP($A2063,'RESUMEN CLIENTES'!$D:$D,'RESUMEN CLIENTES'!$Y:$Y,""),
      7 + COUNTIFS(
            $A$2:INDEX($A:$A,ROW()), $A2063,
            $H$2:INDEX($H:$H,ROW()), "ALEM"
          )
    )),
    1
  ),
"SIN FECHA MIG"))</f>
        <v>46419</v>
      </c>
      <c r="H2063" s="44" t="s">
        <v>1876</v>
      </c>
      <c r="I2063" s="2">
        <v>1000</v>
      </c>
      <c r="J2063"/>
      <c r="K2063"/>
      <c r="L2063" s="44" t="str" cm="1">
        <f t="array" ref="L2063">+_xlfn.IFS(COUNTIF(INGRESOS!E:E,Tabla6[[#This Row],[ID FACTURA]])=1,"PAGADA",Tabla6[[#This Row],[ID FACTURA]]&lt;&gt;0,"EMITIDA",Tabla6[[#This Row],[ID FACTURA]]=0,"POR EMITIR")</f>
        <v>POR EMITIR</v>
      </c>
      <c r="M2063" s="55" t="str">
        <f>+IF(Tabla6[[#This Row],[ESTADO FACTURA]]="PAGADA",Tabla6[[#This Row],[FECHA]]-_xlfn.XLOOKUP(Tabla6[[#This Row],[N° FACTURA]],INGRESOS!F:F,INGRESOS!A:A),"-")</f>
        <v>-</v>
      </c>
      <c r="N2063" s="2"/>
      <c r="O2063"/>
    </row>
    <row r="2064" spans="1:15" ht="14.75" customHeight="1">
      <c r="A2064" s="321" t="s">
        <v>1881</v>
      </c>
      <c r="B2064" t="str">
        <f>+_xlfn.XLOOKUP(Tabla6[[#This Row],[ID CLIENTE]],'RESUMEN CLIENTES'!D:D,'RESUMEN CLIENTES'!A:A)</f>
        <v>Paulina Alejandra Silva Gómez</v>
      </c>
      <c r="C2064" t="str">
        <f>+_xlfn.XLOOKUP(Tabla6[[#This Row],[ID CLIENTE]],'RESUMEN CLIENTES'!D:D,'RESUMEN CLIENTES'!C:C)</f>
        <v>Chile</v>
      </c>
      <c r="D2064" s="169" t="str">
        <f>+_xlfn.XLOOKUP(Tabla6[[#This Row],[ID CLIENTE]],'RESUMEN CLIENTES'!D:D,'RESUMEN CLIENTES'!M:M)</f>
        <v>¡REGULARIZAR!</v>
      </c>
      <c r="E2064" s="71">
        <f>+_xlfn.XLOOKUP(Tabla6[[#This Row],[NOMBRE]],'RESUMEN CLIENTES'!A:A,'RESUMEN CLIENTES'!X:X)</f>
        <v>-6.833333333333333</v>
      </c>
      <c r="F2064" s="71">
        <f>+_xlfn.XLOOKUP(Tabla6[[#This Row],[ID CLIENTE]],'RESUMEN CLIENTES'!D:D,'RESUMEN CLIENTES'!W:W)</f>
        <v>0</v>
      </c>
      <c r="G2064" s="17">
        <f>IF($H2064&lt;&gt;"ALEM","",IFERROR(
  DATE(
    YEAR(EDATE(
      _xlfn.XLOOKUP($A2064,'RESUMEN CLIENTES'!$D:$D,'RESUMEN CLIENTES'!$Y:$Y,""),
      7 + COUNTIFS(
            $A$2:INDEX($A:$A,ROW()), $A2064,
            $H$2:INDEX($H:$H,ROW()), "ALEM"
          )
    )),
    MONTH(EDATE(
      _xlfn.XLOOKUP($A2064,'RESUMEN CLIENTES'!$D:$D,'RESUMEN CLIENTES'!$Y:$Y,""),
      7 + COUNTIFS(
            $A$2:INDEX($A:$A,ROW()), $A2064,
            $H$2:INDEX($H:$H,ROW()), "ALEM"
          )
    )),
    1
  ),
"null"))</f>
        <v>46419</v>
      </c>
      <c r="H2064" s="169" t="s">
        <v>1876</v>
      </c>
      <c r="I2064" s="2">
        <v>800</v>
      </c>
      <c r="J2064"/>
      <c r="K2064"/>
      <c r="L2064" s="44" t="str" cm="1">
        <f t="array" ref="L2064">+_xlfn.IFS(COUNTIF(INGRESOS!E:E,Tabla6[[#This Row],[ID FACTURA]])=1,"PAGADA",Tabla6[[#This Row],[ID FACTURA]]&lt;&gt;0,"EMITIDA",Tabla6[[#This Row],[ID FACTURA]]=0,"POR EMITIR")</f>
        <v>POR EMITIR</v>
      </c>
      <c r="M2064" s="54" t="str">
        <f>+IF(Tabla6[[#This Row],[ESTADO FACTURA]]="PAGADA",Tabla6[[#This Row],[FECHA]]-_xlfn.XLOOKUP(Tabla6[[#This Row],[N° FACTURA]],INGRESOS!F:F,INGRESOS!A:A),"-")</f>
        <v>-</v>
      </c>
      <c r="O2064" t="s">
        <v>2086</v>
      </c>
    </row>
    <row r="2065" spans="1:15" ht="14.75" customHeight="1">
      <c r="A2065" s="320" t="s">
        <v>275</v>
      </c>
      <c r="B2065" t="str">
        <f>+_xlfn.XLOOKUP(Tabla6[[#This Row],[ID CLIENTE]],'RESUMEN CLIENTES'!D:D,'RESUMEN CLIENTES'!A:A)</f>
        <v>Rodrigo Alfonso Busse Hernández</v>
      </c>
      <c r="C2065" t="str">
        <f>+_xlfn.XLOOKUP(Tabla6[[#This Row],[ID CLIENTE]],'RESUMEN CLIENTES'!D:D,'RESUMEN CLIENTES'!C:C)</f>
        <v>Chile</v>
      </c>
      <c r="D2065" s="44" t="str">
        <f>+_xlfn.XLOOKUP(Tabla6[[#This Row],[ID CLIENTE]],'RESUMEN CLIENTES'!D:D,'RESUMEN CLIENTES'!M:M)</f>
        <v>OK</v>
      </c>
      <c r="E2065" s="72">
        <f>+_xlfn.XLOOKUP(Tabla6[[#This Row],[NOMBRE]],'RESUMEN CLIENTES'!A:A,'RESUMEN CLIENTES'!X:X)</f>
        <v>0.33333333333333331</v>
      </c>
      <c r="F2065" s="72">
        <f>+_xlfn.XLOOKUP(Tabla6[[#This Row],[ID CLIENTE]],'RESUMEN CLIENTES'!D:D,'RESUMEN CLIENTES'!W:W)</f>
        <v>1</v>
      </c>
      <c r="G2065" s="17">
        <f>IF($H2065&lt;&gt;"ALEM","",IFERROR(
  DATE(
    YEAR(EDATE(
      _xlfn.XLOOKUP($A2065,'RESUMEN CLIENTES'!$D:$D,'RESUMEN CLIENTES'!$Y:$Y,""),
      7 + COUNTIFS(
            $A$2:INDEX($A:$A,ROW()), $A2065,
            $H$2:INDEX($H:$H,ROW()), "ALEM"
          )
    )),
    MONTH(EDATE(
      _xlfn.XLOOKUP($A2065,'RESUMEN CLIENTES'!$D:$D,'RESUMEN CLIENTES'!$Y:$Y,""),
      7 + COUNTIFS(
            $A$2:INDEX($A:$A,ROW()), $A2065,
            $H$2:INDEX($H:$H,ROW()), "ALEM"
          )
    )),
    1
  ),
"SIN FECHA MIG"))</f>
        <v>46419</v>
      </c>
      <c r="H2065" s="44" t="s">
        <v>1876</v>
      </c>
      <c r="I2065" s="2">
        <v>750</v>
      </c>
      <c r="J2065"/>
      <c r="K2065"/>
      <c r="L2065" s="44" t="str" cm="1">
        <f t="array" ref="L2065">+_xlfn.IFS(COUNTIF(INGRESOS!E:E,Tabla6[[#This Row],[ID FACTURA]])=1,"PAGADA",Tabla6[[#This Row],[ID FACTURA]]&lt;&gt;0,"EMITIDA",Tabla6[[#This Row],[ID FACTURA]]=0,"POR EMITIR")</f>
        <v>POR EMITIR</v>
      </c>
      <c r="M2065" s="55" t="str">
        <f>+IF(Tabla6[[#This Row],[ESTADO FACTURA]]="PAGADA",Tabla6[[#This Row],[FECHA]]-_xlfn.XLOOKUP(Tabla6[[#This Row],[N° FACTURA]],INGRESOS!F:F,INGRESOS!A:A),"-")</f>
        <v>-</v>
      </c>
      <c r="N2065" s="2"/>
      <c r="O2065" t="s">
        <v>2084</v>
      </c>
    </row>
    <row r="2066" spans="1:15" ht="14.75" customHeight="1">
      <c r="A2066" s="320" t="s">
        <v>281</v>
      </c>
      <c r="B2066" t="str">
        <f>+_xlfn.XLOOKUP(Tabla6[[#This Row],[ID CLIENTE]],'RESUMEN CLIENTES'!D:D,'RESUMEN CLIENTES'!A:A)</f>
        <v>Sergio Francisco Garcia Sandoval</v>
      </c>
      <c r="C2066" t="str">
        <f>+_xlfn.XLOOKUP(Tabla6[[#This Row],[ID CLIENTE]],'RESUMEN CLIENTES'!D:D,'RESUMEN CLIENTES'!C:C)</f>
        <v>Perú</v>
      </c>
      <c r="D2066" s="44" t="str">
        <f>+_xlfn.XLOOKUP(Tabla6[[#This Row],[ID CLIENTE]],'RESUMEN CLIENTES'!D:D,'RESUMEN CLIENTES'!M:M)</f>
        <v>OK</v>
      </c>
      <c r="E2066" s="72">
        <f>+_xlfn.XLOOKUP(Tabla6[[#This Row],[NOMBRE]],'RESUMEN CLIENTES'!A:A,'RESUMEN CLIENTES'!X:X)</f>
        <v>0.88888888888888884</v>
      </c>
      <c r="F2066" s="72">
        <f>+_xlfn.XLOOKUP(Tabla6[[#This Row],[ID CLIENTE]],'RESUMEN CLIENTES'!D:D,'RESUMEN CLIENTES'!W:W)</f>
        <v>1</v>
      </c>
      <c r="G2066" s="17">
        <f>IF($H2066&lt;&gt;"ALEM","",IFERROR(
  DATE(
    YEAR(EDATE(
      _xlfn.XLOOKUP($A2066,'RESUMEN CLIENTES'!$D:$D,'RESUMEN CLIENTES'!$Y:$Y,""),
      7 + COUNTIFS(
            $A$2:INDEX($A:$A,ROW()), $A2066,
            $H$2:INDEX($H:$H,ROW()), "ALEM"
          )
    )),
    MONTH(EDATE(
      _xlfn.XLOOKUP($A2066,'RESUMEN CLIENTES'!$D:$D,'RESUMEN CLIENTES'!$Y:$Y,""),
      7 + COUNTIFS(
            $A$2:INDEX($A:$A,ROW()), $A2066,
            $H$2:INDEX($H:$H,ROW()), "ALEM"
          )
    )),
    1
  ),
"SIN FECHA MIG"))</f>
        <v>46419</v>
      </c>
      <c r="H2066" s="44" t="s">
        <v>1876</v>
      </c>
      <c r="I2066" s="2">
        <v>1000</v>
      </c>
      <c r="J2066"/>
      <c r="K2066"/>
      <c r="L2066" s="44" t="str" cm="1">
        <f t="array" ref="L2066">+_xlfn.IFS(COUNTIF(INGRESOS!E:E,Tabla6[[#This Row],[ID FACTURA]])=1,"PAGADA",Tabla6[[#This Row],[ID FACTURA]]&lt;&gt;0,"EMITIDA",Tabla6[[#This Row],[ID FACTURA]]=0,"POR EMITIR")</f>
        <v>POR EMITIR</v>
      </c>
      <c r="M2066" s="55" t="str">
        <f>+IF(Tabla6[[#This Row],[ESTADO FACTURA]]="PAGADA",Tabla6[[#This Row],[FECHA]]-_xlfn.XLOOKUP(Tabla6[[#This Row],[N° FACTURA]],INGRESOS!F:F,INGRESOS!A:A),"-")</f>
        <v>-</v>
      </c>
      <c r="N2066" s="2"/>
      <c r="O2066"/>
    </row>
    <row r="2067" spans="1:15" ht="14.75" customHeight="1">
      <c r="A2067" s="320" t="s">
        <v>716</v>
      </c>
      <c r="B2067" t="str">
        <f>+_xlfn.XLOOKUP(Tabla6[[#This Row],[ID CLIENTE]],'RESUMEN CLIENTES'!D:D,'RESUMEN CLIENTES'!A:A)</f>
        <v>Sofia Martínez Restrepo</v>
      </c>
      <c r="C2067" t="str">
        <f>+_xlfn.XLOOKUP(Tabla6[[#This Row],[ID CLIENTE]],'RESUMEN CLIENTES'!D:D,'RESUMEN CLIENTES'!C:C)</f>
        <v>Colombia</v>
      </c>
      <c r="D2067" s="44" t="str">
        <f>+_xlfn.XLOOKUP(Tabla6[[#This Row],[ID CLIENTE]],'RESUMEN CLIENTES'!D:D,'RESUMEN CLIENTES'!M:M)</f>
        <v>OK</v>
      </c>
      <c r="E2067" s="72">
        <f>+_xlfn.XLOOKUP(Tabla6[[#This Row],[NOMBRE]],'RESUMEN CLIENTES'!A:A,'RESUMEN CLIENTES'!X:X)</f>
        <v>-0.33333333333333331</v>
      </c>
      <c r="F2067" s="72">
        <f>+_xlfn.XLOOKUP(Tabla6[[#This Row],[ID CLIENTE]],'RESUMEN CLIENTES'!D:D,'RESUMEN CLIENTES'!W:W)</f>
        <v>1</v>
      </c>
      <c r="G2067" s="17">
        <f>IF($H2067&lt;&gt;"ALEM","",IFERROR(
  DATE(
    YEAR(EDATE(
      _xlfn.XLOOKUP($A2067,'RESUMEN CLIENTES'!$D:$D,'RESUMEN CLIENTES'!$Y:$Y,""),
      7 + COUNTIFS(
            $A$2:INDEX($A:$A,ROW()), $A2067,
            $H$2:INDEX($H:$H,ROW()), "ALEM"
          )
    )),
    MONTH(EDATE(
      _xlfn.XLOOKUP($A2067,'RESUMEN CLIENTES'!$D:$D,'RESUMEN CLIENTES'!$Y:$Y,""),
      7 + COUNTIFS(
            $A$2:INDEX($A:$A,ROW()), $A2067,
            $H$2:INDEX($H:$H,ROW()), "ALEM"
          )
    )),
    1
  ),
"SIN FECHA MIG"))</f>
        <v>46419</v>
      </c>
      <c r="H2067" s="44" t="s">
        <v>1876</v>
      </c>
      <c r="I2067" s="2">
        <v>1000</v>
      </c>
      <c r="J2067"/>
      <c r="K2067"/>
      <c r="L2067" s="44" t="str" cm="1">
        <f t="array" ref="L2067">+_xlfn.IFS(COUNTIF(INGRESOS!E:E,Tabla6[[#This Row],[ID FACTURA]])=1,"PAGADA",Tabla6[[#This Row],[ID FACTURA]]&lt;&gt;0,"EMITIDA",Tabla6[[#This Row],[ID FACTURA]]=0,"POR EMITIR")</f>
        <v>POR EMITIR</v>
      </c>
      <c r="M2067" s="55" t="str">
        <f>+IF(Tabla6[[#This Row],[ESTADO FACTURA]]="PAGADA",Tabla6[[#This Row],[FECHA]]-_xlfn.XLOOKUP(Tabla6[[#This Row],[N° FACTURA]],INGRESOS!F:F,INGRESOS!A:A),"-")</f>
        <v>-</v>
      </c>
      <c r="N2067" s="2"/>
      <c r="O2067" t="s">
        <v>2084</v>
      </c>
    </row>
    <row r="2068" spans="1:15" ht="14.75" customHeight="1">
      <c r="A2068" s="320" t="s">
        <v>4442</v>
      </c>
      <c r="B2068" t="str">
        <f>+_xlfn.XLOOKUP(Tabla6[[#This Row],[ID CLIENTE]],'RESUMEN CLIENTES'!D:D,'RESUMEN CLIENTES'!A:A)</f>
        <v>Vicente Javier Campusano Banse</v>
      </c>
      <c r="C2068" t="str">
        <f>+_xlfn.XLOOKUP(Tabla6[[#This Row],[ID CLIENTE]],'RESUMEN CLIENTES'!D:D,'RESUMEN CLIENTES'!C:C)</f>
        <v>Chile</v>
      </c>
      <c r="D2068" s="169" t="str">
        <f>+_xlfn.XLOOKUP(Tabla6[[#This Row],[ID CLIENTE]],'RESUMEN CLIENTES'!D:D,'RESUMEN CLIENTES'!M:M)</f>
        <v>¡REGULARIZAR!</v>
      </c>
      <c r="E2068" s="71">
        <f>+_xlfn.XLOOKUP(Tabla6[[#This Row],[NOMBRE]],'RESUMEN CLIENTES'!A:A,'RESUMEN CLIENTES'!X:X)</f>
        <v>0</v>
      </c>
      <c r="F2068" s="71">
        <f>+_xlfn.XLOOKUP(Tabla6[[#This Row],[ID CLIENTE]],'RESUMEN CLIENTES'!D:D,'RESUMEN CLIENTES'!W:W)</f>
        <v>0</v>
      </c>
      <c r="G2068" s="428">
        <f>IF($H2068&lt;&gt;"ALEM","",IFERROR(
  DATE(
    YEAR(EDATE(
      _xlfn.XLOOKUP($A2068,'RESUMEN CLIENTES'!$D:$D,'RESUMEN CLIENTES'!$Y:$Y,""),
      7 + COUNTIFS(
            $A$2:INDEX($A:$A,ROW()), $A2068,
            $H$2:INDEX($H:$H,ROW()), "ALEM"
          )
    )),
    MONTH(EDATE(
      _xlfn.XLOOKUP($A2068,'RESUMEN CLIENTES'!$D:$D,'RESUMEN CLIENTES'!$Y:$Y,""),
      7 + COUNTIFS(
            $A$2:INDEX($A:$A,ROW()), $A2068,
            $H$2:INDEX($H:$H,ROW()), "ALEM"
          )
    )),
    1
  ),
"null"))</f>
        <v>46419</v>
      </c>
      <c r="H2068" s="169" t="s">
        <v>1876</v>
      </c>
      <c r="I2068" s="2">
        <v>750</v>
      </c>
      <c r="J2068"/>
      <c r="K2068"/>
      <c r="L2068" s="44" t="str" cm="1">
        <f t="array" ref="L2068">+_xlfn.IFS(COUNTIF(INGRESOS!E:E,Tabla6[[#This Row],[ID FACTURA]])=1,"PAGADA",Tabla6[[#This Row],[ID FACTURA]]&lt;&gt;0,"EMITIDA",Tabla6[[#This Row],[ID FACTURA]]=0,"POR EMITIR")</f>
        <v>POR EMITIR</v>
      </c>
      <c r="M2068" s="54" t="str">
        <f>+IF(Tabla6[[#This Row],[ESTADO FACTURA]]="PAGADA",Tabla6[[#This Row],[FECHA]]-_xlfn.XLOOKUP(Tabla6[[#This Row],[N° FACTURA]],INGRESOS!F:F,INGRESOS!A:A),"-")</f>
        <v>-</v>
      </c>
      <c r="O2068"/>
    </row>
    <row r="2069" spans="1:15" ht="14.75" customHeight="1">
      <c r="A2069" s="320" t="s">
        <v>706</v>
      </c>
      <c r="B2069" t="str">
        <f>+_xlfn.XLOOKUP(Tabla6[[#This Row],[ID CLIENTE]],'RESUMEN CLIENTES'!D:D,'RESUMEN CLIENTES'!A:A)</f>
        <v>Virna Nathaly Montenegro Samaniego</v>
      </c>
      <c r="C2069" t="str">
        <f>+_xlfn.XLOOKUP(Tabla6[[#This Row],[ID CLIENTE]],'RESUMEN CLIENTES'!D:D,'RESUMEN CLIENTES'!C:C)</f>
        <v>Ecuador</v>
      </c>
      <c r="D2069" s="44" t="str">
        <f>+_xlfn.XLOOKUP(Tabla6[[#This Row],[ID CLIENTE]],'RESUMEN CLIENTES'!D:D,'RESUMEN CLIENTES'!M:M)</f>
        <v>OK</v>
      </c>
      <c r="E2069" s="72">
        <f>+_xlfn.XLOOKUP(Tabla6[[#This Row],[NOMBRE]],'RESUMEN CLIENTES'!A:A,'RESUMEN CLIENTES'!X:X)</f>
        <v>7.375</v>
      </c>
      <c r="F2069" s="72">
        <f>+_xlfn.XLOOKUP(Tabla6[[#This Row],[ID CLIENTE]],'RESUMEN CLIENTES'!D:D,'RESUMEN CLIENTES'!W:W)</f>
        <v>0</v>
      </c>
      <c r="G2069" s="17">
        <f>IF($H2069&lt;&gt;"ALEM","",IFERROR(
  DATE(
    YEAR(EDATE(
      _xlfn.XLOOKUP($A2069,'RESUMEN CLIENTES'!$D:$D,'RESUMEN CLIENTES'!$Y:$Y,""),
      7 + COUNTIFS(
            $A$2:INDEX($A:$A,ROW()), $A2069,
            $H$2:INDEX($H:$H,ROW()), "ALEM"
          )
    )),
    MONTH(EDATE(
      _xlfn.XLOOKUP($A2069,'RESUMEN CLIENTES'!$D:$D,'RESUMEN CLIENTES'!$Y:$Y,""),
      7 + COUNTIFS(
            $A$2:INDEX($A:$A,ROW()), $A2069,
            $H$2:INDEX($H:$H,ROW()), "ALEM"
          )
    )),
    1
  ),
"SIN FECHA MIG"))</f>
        <v>46419</v>
      </c>
      <c r="H2069" s="44" t="s">
        <v>1876</v>
      </c>
      <c r="I2069" s="2">
        <v>1000</v>
      </c>
      <c r="J2069"/>
      <c r="K2069"/>
      <c r="L2069" s="44" t="str" cm="1">
        <f t="array" ref="L2069">+_xlfn.IFS(COUNTIF(INGRESOS!E:E,Tabla6[[#This Row],[ID FACTURA]])=1,"PAGADA",Tabla6[[#This Row],[ID FACTURA]]&lt;&gt;0,"EMITIDA",Tabla6[[#This Row],[ID FACTURA]]=0,"POR EMITIR")</f>
        <v>POR EMITIR</v>
      </c>
      <c r="M2069" s="55" t="str">
        <f>+IF(Tabla6[[#This Row],[ESTADO FACTURA]]="PAGADA",Tabla6[[#This Row],[FECHA]]-_xlfn.XLOOKUP(Tabla6[[#This Row],[N° FACTURA]],INGRESOS!F:F,INGRESOS!A:A),"-")</f>
        <v>-</v>
      </c>
      <c r="N2069" s="2"/>
      <c r="O2069"/>
    </row>
    <row r="2070" spans="1:15" ht="14.75" customHeight="1">
      <c r="A2070" s="320" t="s">
        <v>447</v>
      </c>
      <c r="B2070" t="str">
        <f>+_xlfn.XLOOKUP(Tabla6[[#This Row],[ID CLIENTE]],'RESUMEN CLIENTES'!D:D,'RESUMEN CLIENTES'!A:A)</f>
        <v>Yefry Onil Santana Marte</v>
      </c>
      <c r="C2070" t="str">
        <f>+_xlfn.XLOOKUP(Tabla6[[#This Row],[ID CLIENTE]],'RESUMEN CLIENTES'!D:D,'RESUMEN CLIENTES'!C:C)</f>
        <v>República Dominicana</v>
      </c>
      <c r="D2070" s="44" t="str">
        <f>+_xlfn.XLOOKUP(Tabla6[[#This Row],[ID CLIENTE]],'RESUMEN CLIENTES'!D:D,'RESUMEN CLIENTES'!M:M)</f>
        <v>OK</v>
      </c>
      <c r="E2070" s="72">
        <f>+_xlfn.XLOOKUP(Tabla6[[#This Row],[NOMBRE]],'RESUMEN CLIENTES'!A:A,'RESUMEN CLIENTES'!X:X)</f>
        <v>-0.90909090909090906</v>
      </c>
      <c r="F2070" s="72">
        <f>+_xlfn.XLOOKUP(Tabla6[[#This Row],[ID CLIENTE]],'RESUMEN CLIENTES'!D:D,'RESUMEN CLIENTES'!W:W)</f>
        <v>0</v>
      </c>
      <c r="G2070" s="17">
        <f>IF($H2070&lt;&gt;"ALEM","",IFERROR(
  DATE(
    YEAR(EDATE(
      _xlfn.XLOOKUP($A2070,'RESUMEN CLIENTES'!$D:$D,'RESUMEN CLIENTES'!$Y:$Y,""),
      7 + COUNTIFS(
            $A$2:INDEX($A:$A,ROW()), $A2070,
            $H$2:INDEX($H:$H,ROW()), "ALEM"
          )
    )),
    MONTH(EDATE(
      _xlfn.XLOOKUP($A2070,'RESUMEN CLIENTES'!$D:$D,'RESUMEN CLIENTES'!$Y:$Y,""),
      7 + COUNTIFS(
            $A$2:INDEX($A:$A,ROW()), $A2070,
            $H$2:INDEX($H:$H,ROW()), "ALEM"
          )
    )),
    1
  ),
"SIN FECHA MIG"))</f>
        <v>46419</v>
      </c>
      <c r="H2070" s="44" t="s">
        <v>1876</v>
      </c>
      <c r="I2070" s="2">
        <v>1000</v>
      </c>
      <c r="J2070"/>
      <c r="K2070"/>
      <c r="L2070" s="44" t="str" cm="1">
        <f t="array" ref="L2070">+_xlfn.IFS(COUNTIF(INGRESOS!E:E,Tabla6[[#This Row],[ID FACTURA]])=1,"PAGADA",Tabla6[[#This Row],[ID FACTURA]]&lt;&gt;0,"EMITIDA",Tabla6[[#This Row],[ID FACTURA]]=0,"POR EMITIR")</f>
        <v>POR EMITIR</v>
      </c>
      <c r="M2070" s="55" t="str">
        <f>+IF(Tabla6[[#This Row],[ESTADO FACTURA]]="PAGADA",Tabla6[[#This Row],[FECHA]]-_xlfn.XLOOKUP(Tabla6[[#This Row],[N° FACTURA]],INGRESOS!F:F,INGRESOS!A:A),"-")</f>
        <v>-</v>
      </c>
      <c r="N2070" s="2"/>
      <c r="O2070"/>
    </row>
    <row r="2071" spans="1:15" ht="14.75" customHeight="1">
      <c r="A2071" s="320" t="s">
        <v>6035</v>
      </c>
      <c r="B2071" t="str">
        <f>+_xlfn.XLOOKUP(Tabla6[[#This Row],[ID CLIENTE]],'RESUMEN CLIENTES'!D:D,'RESUMEN CLIENTES'!A:A)</f>
        <v>Ari Sifuentes Becerra</v>
      </c>
      <c r="C2071" s="15" t="str">
        <f>+_xlfn.XLOOKUP(Tabla6[[#This Row],[ID CLIENTE]],'RESUMEN CLIENTES'!D:D,'RESUMEN CLIENTES'!C:C)</f>
        <v>México</v>
      </c>
      <c r="D2071" s="169" t="str">
        <f>+_xlfn.XLOOKUP(Tabla6[[#This Row],[ID CLIENTE]],'RESUMEN CLIENTES'!D:D,'RESUMEN CLIENTES'!M:M)</f>
        <v>OK</v>
      </c>
      <c r="E2071" s="71">
        <f>+_xlfn.XLOOKUP(Tabla6[[#This Row],[NOMBRE]],'RESUMEN CLIENTES'!A:A,'RESUMEN CLIENTES'!X:X)</f>
        <v>-1</v>
      </c>
      <c r="F2071" s="71">
        <f>+_xlfn.XLOOKUP(Tabla6[[#This Row],[ID CLIENTE]],'RESUMEN CLIENTES'!D:D,'RESUMEN CLIENTES'!W:W)</f>
        <v>0</v>
      </c>
      <c r="G2071" s="17">
        <v>46420</v>
      </c>
      <c r="H2071" s="169" t="s">
        <v>81</v>
      </c>
      <c r="I2071" s="2">
        <v>1000</v>
      </c>
      <c r="J2071"/>
      <c r="K2071"/>
      <c r="L2071" s="44" t="str" cm="1">
        <f t="array" ref="L2071">+_xlfn.IFS(COUNTIF(INGRESOS!E:E,Tabla6[[#This Row],[ID FACTURA]])=1,"PAGADA",Tabla6[[#This Row],[ID FACTURA]]&lt;&gt;0,"EMITIDA",Tabla6[[#This Row],[ID FACTURA]]=0,"POR EMITIR")</f>
        <v>POR EMITIR</v>
      </c>
      <c r="M2071" s="54" t="str">
        <f>+IF(Tabla6[[#This Row],[ESTADO FACTURA]]="PAGADA",Tabla6[[#This Row],[FECHA]]-_xlfn.XLOOKUP(Tabla6[[#This Row],[N° FACTURA]],INGRESOS!F:F,INGRESOS!A:A),"-")</f>
        <v>-</v>
      </c>
      <c r="O2071"/>
    </row>
    <row r="2072" spans="1:15" ht="14.75" customHeight="1">
      <c r="A2072" s="320" t="s">
        <v>1248</v>
      </c>
      <c r="B2072" t="str">
        <f>+_xlfn.XLOOKUP(Tabla6[[#This Row],[ID CLIENTE]],'RESUMEN CLIENTES'!D:D,'RESUMEN CLIENTES'!A:A)</f>
        <v>Emily Vanessa Tapia Villalobos</v>
      </c>
      <c r="C2072" t="str">
        <f>+_xlfn.XLOOKUP(Tabla6[[#This Row],[ID CLIENTE]],'RESUMEN CLIENTES'!D:D,'RESUMEN CLIENTES'!C:C)</f>
        <v>Chile</v>
      </c>
      <c r="D2072" s="44" t="str">
        <f>+_xlfn.XLOOKUP(Tabla6[[#This Row],[ID CLIENTE]],'RESUMEN CLIENTES'!D:D,'RESUMEN CLIENTES'!M:M)</f>
        <v>OK</v>
      </c>
      <c r="E2072" s="71">
        <f>+_xlfn.XLOOKUP(Tabla6[[#This Row],[NOMBRE]],'RESUMEN CLIENTES'!A:A,'RESUMEN CLIENTES'!X:X)</f>
        <v>0.33333333333333331</v>
      </c>
      <c r="F2072" s="71">
        <f>+_xlfn.XLOOKUP(Tabla6[[#This Row],[ID CLIENTE]],'RESUMEN CLIENTES'!D:D,'RESUMEN CLIENTES'!W:W)</f>
        <v>0</v>
      </c>
      <c r="G2072" s="17">
        <v>46421</v>
      </c>
      <c r="H2072" s="44" t="s">
        <v>81</v>
      </c>
      <c r="I2072" s="2">
        <v>1000</v>
      </c>
      <c r="J2072"/>
      <c r="K2072"/>
      <c r="L2072" s="44" t="str" cm="1">
        <f t="array" ref="L2072">+_xlfn.IFS(COUNTIF(INGRESOS!E:E,Tabla6[[#This Row],[ID FACTURA]])=1,"PAGADA",Tabla6[[#This Row],[ID FACTURA]]&lt;&gt;0,"EMITIDA",Tabla6[[#This Row],[ID FACTURA]]=0,"POR EMITIR")</f>
        <v>POR EMITIR</v>
      </c>
      <c r="M2072" s="55" t="str">
        <f>+IF(Tabla6[[#This Row],[ESTADO FACTURA]]="PAGADA",Tabla6[[#This Row],[FECHA]]-_xlfn.XLOOKUP(Tabla6[[#This Row],[N° FACTURA]],INGRESOS!F:F,INGRESOS!A:A),"-")</f>
        <v>-</v>
      </c>
      <c r="N2072" s="2"/>
      <c r="O2072"/>
    </row>
    <row r="2073" spans="1:15" ht="14.75" customHeight="1">
      <c r="A2073" s="320" t="s">
        <v>1251</v>
      </c>
      <c r="B2073" t="str">
        <f>+_xlfn.XLOOKUP(Tabla6[[#This Row],[ID CLIENTE]],'RESUMEN CLIENTES'!D:D,'RESUMEN CLIENTES'!A:A)</f>
        <v>Erick Ernesto Angulo Campos</v>
      </c>
      <c r="C2073" t="str">
        <f>+_xlfn.XLOOKUP(Tabla6[[#This Row],[ID CLIENTE]],'RESUMEN CLIENTES'!D:D,'RESUMEN CLIENTES'!C:C)</f>
        <v>Chile</v>
      </c>
      <c r="D2073" s="44" t="str">
        <f>+_xlfn.XLOOKUP(Tabla6[[#This Row],[ID CLIENTE]],'RESUMEN CLIENTES'!D:D,'RESUMEN CLIENTES'!M:M)</f>
        <v>OK</v>
      </c>
      <c r="E2073" s="71">
        <f>+_xlfn.XLOOKUP(Tabla6[[#This Row],[NOMBRE]],'RESUMEN CLIENTES'!A:A,'RESUMEN CLIENTES'!X:X)</f>
        <v>-0.66666666666666663</v>
      </c>
      <c r="F2073" s="71">
        <f>+_xlfn.XLOOKUP(Tabla6[[#This Row],[ID CLIENTE]],'RESUMEN CLIENTES'!D:D,'RESUMEN CLIENTES'!W:W)</f>
        <v>0</v>
      </c>
      <c r="G2073" s="17">
        <v>46421</v>
      </c>
      <c r="H2073" s="44" t="s">
        <v>81</v>
      </c>
      <c r="I2073" s="2">
        <v>1000</v>
      </c>
      <c r="J2073"/>
      <c r="K2073"/>
      <c r="L2073" s="44" t="str" cm="1">
        <f t="array" ref="L2073">+_xlfn.IFS(COUNTIF(INGRESOS!E:E,Tabla6[[#This Row],[ID FACTURA]])=1,"PAGADA",Tabla6[[#This Row],[ID FACTURA]]&lt;&gt;0,"EMITIDA",Tabla6[[#This Row],[ID FACTURA]]=0,"POR EMITIR")</f>
        <v>POR EMITIR</v>
      </c>
      <c r="M2073" s="55" t="str">
        <f>+IF(Tabla6[[#This Row],[ESTADO FACTURA]]="PAGADA",Tabla6[[#This Row],[FECHA]]-_xlfn.XLOOKUP(Tabla6[[#This Row],[N° FACTURA]],INGRESOS!F:F,INGRESOS!A:A),"-")</f>
        <v>-</v>
      </c>
      <c r="N2073" s="2"/>
      <c r="O2073"/>
    </row>
    <row r="2074" spans="1:15" ht="14.75" customHeight="1">
      <c r="A2074" s="320" t="s">
        <v>2521</v>
      </c>
      <c r="B2074" t="str">
        <f>+_xlfn.XLOOKUP(Tabla6[[#This Row],[ID CLIENTE]],'RESUMEN CLIENTES'!D:D,'RESUMEN CLIENTES'!A:A)</f>
        <v>Fabián Andrés Sarmiento Auli</v>
      </c>
      <c r="C2074" t="str">
        <f>+_xlfn.XLOOKUP(Tabla6[[#This Row],[ID CLIENTE]],'RESUMEN CLIENTES'!D:D,'RESUMEN CLIENTES'!C:C)</f>
        <v>Colombia</v>
      </c>
      <c r="D2074" s="169" t="str">
        <f>+_xlfn.XLOOKUP(Tabla6[[#This Row],[ID CLIENTE]],'RESUMEN CLIENTES'!D:D,'RESUMEN CLIENTES'!M:M)</f>
        <v>OK</v>
      </c>
      <c r="E2074" s="71">
        <f>+_xlfn.XLOOKUP(Tabla6[[#This Row],[NOMBRE]],'RESUMEN CLIENTES'!A:A,'RESUMEN CLIENTES'!X:X)</f>
        <v>0</v>
      </c>
      <c r="F2074" s="71">
        <f>+_xlfn.XLOOKUP(Tabla6[[#This Row],[ID CLIENTE]],'RESUMEN CLIENTES'!D:D,'RESUMEN CLIENTES'!W:W)</f>
        <v>0</v>
      </c>
      <c r="G2074" s="17">
        <v>46423</v>
      </c>
      <c r="H2074" s="169" t="s">
        <v>81</v>
      </c>
      <c r="I2074" s="2">
        <v>650</v>
      </c>
      <c r="J2074"/>
      <c r="K2074"/>
      <c r="L2074" s="44" t="str" cm="1">
        <f t="array" ref="L2074">+_xlfn.IFS(COUNTIF(INGRESOS!E:E,Tabla6[[#This Row],[ID FACTURA]])=1,"PAGADA",Tabla6[[#This Row],[ID FACTURA]]&lt;&gt;0,"EMITIDA",Tabla6[[#This Row],[ID FACTURA]]=0,"POR EMITIR")</f>
        <v>POR EMITIR</v>
      </c>
      <c r="M2074" s="54" t="str">
        <f>+IF(Tabla6[[#This Row],[ESTADO FACTURA]]="PAGADA",Tabla6[[#This Row],[FECHA]]-_xlfn.XLOOKUP(Tabla6[[#This Row],[N° FACTURA]],INGRESOS!F:F,INGRESOS!A:A),"-")</f>
        <v>-</v>
      </c>
      <c r="O2074"/>
    </row>
    <row r="2075" spans="1:15" ht="14.75" customHeight="1">
      <c r="A2075" s="320" t="s">
        <v>787</v>
      </c>
      <c r="B2075" t="str">
        <f>+_xlfn.XLOOKUP(Tabla6[[#This Row],[ID CLIENTE]],'RESUMEN CLIENTES'!D:D,'RESUMEN CLIENTES'!A:A)</f>
        <v>Florencia Luján Sapia</v>
      </c>
      <c r="C2075" t="str">
        <f>+_xlfn.XLOOKUP(Tabla6[[#This Row],[ID CLIENTE]],'RESUMEN CLIENTES'!D:D,'RESUMEN CLIENTES'!C:C)</f>
        <v>Argentina</v>
      </c>
      <c r="D2075" s="44" t="str">
        <f>+_xlfn.XLOOKUP(Tabla6[[#This Row],[ID CLIENTE]],'RESUMEN CLIENTES'!D:D,'RESUMEN CLIENTES'!M:M)</f>
        <v>OK</v>
      </c>
      <c r="E2075" s="72">
        <f>+_xlfn.XLOOKUP(Tabla6[[#This Row],[NOMBRE]],'RESUMEN CLIENTES'!A:A,'RESUMEN CLIENTES'!X:X)</f>
        <v>-0.77777777777777779</v>
      </c>
      <c r="F2075" s="72">
        <f>+_xlfn.XLOOKUP(Tabla6[[#This Row],[ID CLIENTE]],'RESUMEN CLIENTES'!D:D,'RESUMEN CLIENTES'!W:W)</f>
        <v>1</v>
      </c>
      <c r="G2075" s="17">
        <v>46423</v>
      </c>
      <c r="H2075" s="44" t="s">
        <v>81</v>
      </c>
      <c r="I2075" s="2">
        <v>600</v>
      </c>
      <c r="J2075"/>
      <c r="K2075"/>
      <c r="L2075" s="44" t="str" cm="1">
        <f t="array" ref="L2075">+_xlfn.IFS(COUNTIF(INGRESOS!E:E,Tabla6[[#This Row],[ID FACTURA]])=1,"PAGADA",Tabla6[[#This Row],[ID FACTURA]]&lt;&gt;0,"EMITIDA",Tabla6[[#This Row],[ID FACTURA]]=0,"POR EMITIR")</f>
        <v>POR EMITIR</v>
      </c>
      <c r="M2075" s="55" t="str">
        <f>+IF(Tabla6[[#This Row],[ESTADO FACTURA]]="PAGADA",Tabla6[[#This Row],[FECHA]]-_xlfn.XLOOKUP(Tabla6[[#This Row],[N° FACTURA]],INGRESOS!F:F,INGRESOS!A:A),"-")</f>
        <v>-</v>
      </c>
      <c r="N2075" s="2"/>
      <c r="O2075"/>
    </row>
    <row r="2076" spans="1:15" ht="14.75" customHeight="1">
      <c r="A2076" s="320" t="s">
        <v>4454</v>
      </c>
      <c r="B2076" t="str">
        <f>+_xlfn.XLOOKUP(Tabla6[[#This Row],[ID CLIENTE]],'RESUMEN CLIENTES'!D:D,'RESUMEN CLIENTES'!A:A)</f>
        <v>Jose Luis Avilez Casas</v>
      </c>
      <c r="C2076" t="str">
        <f>+_xlfn.XLOOKUP(Tabla6[[#This Row],[ID CLIENTE]],'RESUMEN CLIENTES'!D:D,'RESUMEN CLIENTES'!C:C)</f>
        <v>México</v>
      </c>
      <c r="D2076" s="169" t="str">
        <f>+_xlfn.XLOOKUP(Tabla6[[#This Row],[ID CLIENTE]],'RESUMEN CLIENTES'!D:D,'RESUMEN CLIENTES'!M:M)</f>
        <v>OK</v>
      </c>
      <c r="E2076" s="71">
        <f>+_xlfn.XLOOKUP(Tabla6[[#This Row],[NOMBRE]],'RESUMEN CLIENTES'!A:A,'RESUMEN CLIENTES'!X:X)</f>
        <v>0.33333333333333331</v>
      </c>
      <c r="F2076" s="71">
        <f>+_xlfn.XLOOKUP(Tabla6[[#This Row],[ID CLIENTE]],'RESUMEN CLIENTES'!D:D,'RESUMEN CLIENTES'!W:W)</f>
        <v>0</v>
      </c>
      <c r="G2076" s="17">
        <v>46423</v>
      </c>
      <c r="H2076" s="169" t="s">
        <v>81</v>
      </c>
      <c r="I2076" s="2">
        <v>1000</v>
      </c>
      <c r="J2076"/>
      <c r="K2076"/>
      <c r="L2076" s="44" t="str" cm="1">
        <f t="array" ref="L2076">+_xlfn.IFS(COUNTIF(INGRESOS!E:E,Tabla6[[#This Row],[ID FACTURA]])=1,"PAGADA",Tabla6[[#This Row],[ID FACTURA]]&lt;&gt;0,"EMITIDA",Tabla6[[#This Row],[ID FACTURA]]=0,"POR EMITIR")</f>
        <v>POR EMITIR</v>
      </c>
      <c r="M2076" s="54" t="str">
        <f>+IF(Tabla6[[#This Row],[ESTADO FACTURA]]="PAGADA",Tabla6[[#This Row],[FECHA]]-_xlfn.XLOOKUP(Tabla6[[#This Row],[N° FACTURA]],INGRESOS!F:F,INGRESOS!A:A),"-")</f>
        <v>-</v>
      </c>
      <c r="O2076"/>
    </row>
    <row r="2077" spans="1:15" ht="14.75" customHeight="1">
      <c r="A2077" s="320" t="s">
        <v>798</v>
      </c>
      <c r="B2077" t="str">
        <f>+_xlfn.XLOOKUP(Tabla6[[#This Row],[ID CLIENTE]],'RESUMEN CLIENTES'!D:D,'RESUMEN CLIENTES'!A:A)</f>
        <v>Juan Manuel Paranzino</v>
      </c>
      <c r="C2077" t="str">
        <f>+_xlfn.XLOOKUP(Tabla6[[#This Row],[ID CLIENTE]],'RESUMEN CLIENTES'!D:D,'RESUMEN CLIENTES'!C:C)</f>
        <v>Argentina</v>
      </c>
      <c r="D2077" s="44" t="str">
        <f>+_xlfn.XLOOKUP(Tabla6[[#This Row],[ID CLIENTE]],'RESUMEN CLIENTES'!D:D,'RESUMEN CLIENTES'!M:M)</f>
        <v>OK</v>
      </c>
      <c r="E2077" s="72">
        <f>+_xlfn.XLOOKUP(Tabla6[[#This Row],[NOMBRE]],'RESUMEN CLIENTES'!A:A,'RESUMEN CLIENTES'!X:X)</f>
        <v>-1</v>
      </c>
      <c r="F2077" s="72">
        <f>+_xlfn.XLOOKUP(Tabla6[[#This Row],[ID CLIENTE]],'RESUMEN CLIENTES'!D:D,'RESUMEN CLIENTES'!W:W)</f>
        <v>0</v>
      </c>
      <c r="G2077" s="17">
        <v>46423</v>
      </c>
      <c r="H2077" s="44" t="s">
        <v>81</v>
      </c>
      <c r="I2077" s="2">
        <v>600</v>
      </c>
      <c r="J2077"/>
      <c r="K2077"/>
      <c r="L2077" s="44" t="str" cm="1">
        <f t="array" ref="L2077">+_xlfn.IFS(COUNTIF(INGRESOS!E:E,Tabla6[[#This Row],[ID FACTURA]])=1,"PAGADA",Tabla6[[#This Row],[ID FACTURA]]&lt;&gt;0,"EMITIDA",Tabla6[[#This Row],[ID FACTURA]]=0,"POR EMITIR")</f>
        <v>POR EMITIR</v>
      </c>
      <c r="M2077" s="55" t="str">
        <f>+IF(Tabla6[[#This Row],[ESTADO FACTURA]]="PAGADA",Tabla6[[#This Row],[FECHA]]-_xlfn.XLOOKUP(Tabla6[[#This Row],[N° FACTURA]],INGRESOS!F:F,INGRESOS!A:A),"-")</f>
        <v>-</v>
      </c>
      <c r="N2077" s="2"/>
      <c r="O2077"/>
    </row>
    <row r="2078" spans="1:15" ht="14.75" customHeight="1">
      <c r="A2078" s="320" t="s">
        <v>1416</v>
      </c>
      <c r="B2078" t="str">
        <f>+_xlfn.XLOOKUP(Tabla6[[#This Row],[ID CLIENTE]],'RESUMEN CLIENTES'!D:D,'RESUMEN CLIENTES'!A:A)</f>
        <v>Luis Armando Calderon Manzanera</v>
      </c>
      <c r="C2078" t="str">
        <f>+_xlfn.XLOOKUP(Tabla6[[#This Row],[ID CLIENTE]],'RESUMEN CLIENTES'!D:D,'RESUMEN CLIENTES'!C:C)</f>
        <v>México</v>
      </c>
      <c r="D2078" s="44" t="str">
        <f>+_xlfn.XLOOKUP(Tabla6[[#This Row],[ID CLIENTE]],'RESUMEN CLIENTES'!D:D,'RESUMEN CLIENTES'!M:M)</f>
        <v>OK</v>
      </c>
      <c r="E2078" s="71">
        <f>+_xlfn.XLOOKUP(Tabla6[[#This Row],[NOMBRE]],'RESUMEN CLIENTES'!A:A,'RESUMEN CLIENTES'!X:X)</f>
        <v>2</v>
      </c>
      <c r="F2078" s="71">
        <f>+_xlfn.XLOOKUP(Tabla6[[#This Row],[ID CLIENTE]],'RESUMEN CLIENTES'!D:D,'RESUMEN CLIENTES'!W:W)</f>
        <v>1</v>
      </c>
      <c r="G2078" s="17">
        <v>46423</v>
      </c>
      <c r="H2078" s="44" t="s">
        <v>81</v>
      </c>
      <c r="I2078" s="2">
        <v>650</v>
      </c>
      <c r="J2078"/>
      <c r="K2078"/>
      <c r="L2078" s="44" t="str" cm="1">
        <f t="array" ref="L2078">+_xlfn.IFS(COUNTIF(INGRESOS!E:E,Tabla6[[#This Row],[ID FACTURA]])=1,"PAGADA",Tabla6[[#This Row],[ID FACTURA]]&lt;&gt;0,"EMITIDA",Tabla6[[#This Row],[ID FACTURA]]=0,"POR EMITIR")</f>
        <v>POR EMITIR</v>
      </c>
      <c r="M2078" s="55" t="str">
        <f>+IF(Tabla6[[#This Row],[ESTADO FACTURA]]="PAGADA",Tabla6[[#This Row],[FECHA]]-_xlfn.XLOOKUP(Tabla6[[#This Row],[N° FACTURA]],INGRESOS!F:F,INGRESOS!A:A),"-")</f>
        <v>-</v>
      </c>
      <c r="N2078" s="2"/>
      <c r="O2078"/>
    </row>
    <row r="2079" spans="1:15" ht="14.75" customHeight="1">
      <c r="A2079" s="320" t="s">
        <v>703</v>
      </c>
      <c r="B2079" t="str">
        <f>+_xlfn.XLOOKUP(Tabla6[[#This Row],[ID CLIENTE]],'RESUMEN CLIENTES'!D:D,'RESUMEN CLIENTES'!A:A)</f>
        <v>Maira Paz Navas Sánchez</v>
      </c>
      <c r="C2079" t="str">
        <f>+_xlfn.XLOOKUP(Tabla6[[#This Row],[ID CLIENTE]],'RESUMEN CLIENTES'!D:D,'RESUMEN CLIENTES'!C:C)</f>
        <v>Chile</v>
      </c>
      <c r="D2079" s="44" t="str">
        <f>+_xlfn.XLOOKUP(Tabla6[[#This Row],[ID CLIENTE]],'RESUMEN CLIENTES'!D:D,'RESUMEN CLIENTES'!M:M)</f>
        <v>OK</v>
      </c>
      <c r="E2079" s="72">
        <f>+_xlfn.XLOOKUP(Tabla6[[#This Row],[NOMBRE]],'RESUMEN CLIENTES'!A:A,'RESUMEN CLIENTES'!X:X)</f>
        <v>-1.75</v>
      </c>
      <c r="F2079" s="72">
        <f>+_xlfn.XLOOKUP(Tabla6[[#This Row],[ID CLIENTE]],'RESUMEN CLIENTES'!D:D,'RESUMEN CLIENTES'!W:W)</f>
        <v>1</v>
      </c>
      <c r="G2079" s="17">
        <v>46423</v>
      </c>
      <c r="H2079" s="44" t="s">
        <v>81</v>
      </c>
      <c r="I2079" s="2">
        <v>700</v>
      </c>
      <c r="J2079"/>
      <c r="K2079"/>
      <c r="L2079" s="44" t="str" cm="1">
        <f t="array" ref="L2079">+_xlfn.IFS(COUNTIF(INGRESOS!E:E,Tabla6[[#This Row],[ID FACTURA]])=1,"PAGADA",Tabla6[[#This Row],[ID FACTURA]]&lt;&gt;0,"EMITIDA",Tabla6[[#This Row],[ID FACTURA]]=0,"POR EMITIR")</f>
        <v>POR EMITIR</v>
      </c>
      <c r="M2079" s="55" t="str">
        <f>+IF(Tabla6[[#This Row],[ESTADO FACTURA]]="PAGADA",Tabla6[[#This Row],[FECHA]]-_xlfn.XLOOKUP(Tabla6[[#This Row],[N° FACTURA]],INGRESOS!F:F,INGRESOS!A:A),"-")</f>
        <v>-</v>
      </c>
      <c r="N2079" s="2"/>
      <c r="O2079"/>
    </row>
    <row r="2080" spans="1:15" ht="14.75" customHeight="1">
      <c r="A2080" s="320" t="s">
        <v>80</v>
      </c>
      <c r="B2080" t="str">
        <f>+_xlfn.XLOOKUP(Tabla6[[#This Row],[ID CLIENTE]],'RESUMEN CLIENTES'!D:D,'RESUMEN CLIENTES'!A:A)</f>
        <v>María Fernanda Alvar Sepúlveda</v>
      </c>
      <c r="C2080" t="str">
        <f>+_xlfn.XLOOKUP(Tabla6[[#This Row],[ID CLIENTE]],'RESUMEN CLIENTES'!D:D,'RESUMEN CLIENTES'!C:C)</f>
        <v>Chile</v>
      </c>
      <c r="D2080" s="44" t="str">
        <f>+_xlfn.XLOOKUP(Tabla6[[#This Row],[ID CLIENTE]],'RESUMEN CLIENTES'!D:D,'RESUMEN CLIENTES'!M:M)</f>
        <v>OK</v>
      </c>
      <c r="E2080" s="72">
        <f>+_xlfn.XLOOKUP(Tabla6[[#This Row],[NOMBRE]],'RESUMEN CLIENTES'!A:A,'RESUMEN CLIENTES'!X:X)</f>
        <v>5</v>
      </c>
      <c r="F2080" s="71">
        <f>+_xlfn.XLOOKUP(Tabla6[[#This Row],[ID CLIENTE]],'RESUMEN CLIENTES'!D:D,'RESUMEN CLIENTES'!W:W)</f>
        <v>1</v>
      </c>
      <c r="G2080" s="17">
        <v>46423</v>
      </c>
      <c r="H2080" s="44" t="s">
        <v>81</v>
      </c>
      <c r="I2080" s="2">
        <v>630</v>
      </c>
      <c r="J2080"/>
      <c r="K2080"/>
      <c r="L2080" s="44" t="str" cm="1">
        <f t="array" ref="L2080">+_xlfn.IFS(COUNTIF(INGRESOS!E:E,Tabla6[[#This Row],[ID FACTURA]])=1,"PAGADA",Tabla6[[#This Row],[ID FACTURA]]&lt;&gt;0,"EMITIDA",Tabla6[[#This Row],[ID FACTURA]]=0,"POR EMITIR")</f>
        <v>POR EMITIR</v>
      </c>
      <c r="M2080" s="55" t="str">
        <f>+IF(Tabla6[[#This Row],[ESTADO FACTURA]]="PAGADA",Tabla6[[#This Row],[FECHA]]-_xlfn.XLOOKUP(Tabla6[[#This Row],[N° FACTURA]],INGRESOS!F:F,INGRESOS!A:A),"-")</f>
        <v>-</v>
      </c>
      <c r="N2080" s="214"/>
      <c r="O2080"/>
    </row>
    <row r="2081" spans="1:15" ht="14.75" customHeight="1">
      <c r="A2081" s="320" t="s">
        <v>1551</v>
      </c>
      <c r="B2081" t="str">
        <f>+_xlfn.XLOOKUP(Tabla6[[#This Row],[ID CLIENTE]],'RESUMEN CLIENTES'!D:D,'RESUMEN CLIENTES'!A:A)</f>
        <v>María Fernanda Cid Ramírez</v>
      </c>
      <c r="C2081" t="str">
        <f>+_xlfn.XLOOKUP(Tabla6[[#This Row],[ID CLIENTE]],'RESUMEN CLIENTES'!D:D,'RESUMEN CLIENTES'!C:C)</f>
        <v>México</v>
      </c>
      <c r="D2081" s="44" t="str">
        <f>+_xlfn.XLOOKUP(Tabla6[[#This Row],[ID CLIENTE]],'RESUMEN CLIENTES'!D:D,'RESUMEN CLIENTES'!M:M)</f>
        <v>OK</v>
      </c>
      <c r="E2081" s="71">
        <f>+_xlfn.XLOOKUP(Tabla6[[#This Row],[NOMBRE]],'RESUMEN CLIENTES'!A:A,'RESUMEN CLIENTES'!X:X)</f>
        <v>-0.8571428571428571</v>
      </c>
      <c r="F2081" s="71">
        <f>+_xlfn.XLOOKUP(Tabla6[[#This Row],[ID CLIENTE]],'RESUMEN CLIENTES'!D:D,'RESUMEN CLIENTES'!W:W)</f>
        <v>0</v>
      </c>
      <c r="G2081" s="17">
        <v>46423</v>
      </c>
      <c r="H2081" s="169" t="s">
        <v>81</v>
      </c>
      <c r="I2081" s="2">
        <v>850</v>
      </c>
      <c r="J2081"/>
      <c r="K2081"/>
      <c r="L2081" s="44" t="str" cm="1">
        <f t="array" ref="L2081">+_xlfn.IFS(COUNTIF(INGRESOS!E:E,Tabla6[[#This Row],[ID FACTURA]])=1,"PAGADA",Tabla6[[#This Row],[ID FACTURA]]&lt;&gt;0,"EMITIDA",Tabla6[[#This Row],[ID FACTURA]]=0,"POR EMITIR")</f>
        <v>POR EMITIR</v>
      </c>
      <c r="M2081" s="55" t="str">
        <f>+IF(Tabla6[[#This Row],[ESTADO FACTURA]]="PAGADA",Tabla6[[#This Row],[FECHA]]-_xlfn.XLOOKUP(Tabla6[[#This Row],[N° FACTURA]],INGRESOS!F:F,INGRESOS!A:A),"-")</f>
        <v>-</v>
      </c>
      <c r="N2081" s="2"/>
      <c r="O2081"/>
    </row>
    <row r="2082" spans="1:15" ht="14.75" customHeight="1">
      <c r="A2082" s="320" t="s">
        <v>281</v>
      </c>
      <c r="B2082" t="str">
        <f>+_xlfn.XLOOKUP(Tabla6[[#This Row],[ID CLIENTE]],'RESUMEN CLIENTES'!D:D,'RESUMEN CLIENTES'!A:A)</f>
        <v>Sergio Francisco Garcia Sandoval</v>
      </c>
      <c r="C2082" t="str">
        <f>+_xlfn.XLOOKUP(Tabla6[[#This Row],[ID CLIENTE]],'RESUMEN CLIENTES'!D:D,'RESUMEN CLIENTES'!C:C)</f>
        <v>Perú</v>
      </c>
      <c r="D2082" s="44" t="str">
        <f>+_xlfn.XLOOKUP(Tabla6[[#This Row],[ID CLIENTE]],'RESUMEN CLIENTES'!D:D,'RESUMEN CLIENTES'!M:M)</f>
        <v>OK</v>
      </c>
      <c r="E2082" s="72">
        <f>+_xlfn.XLOOKUP(Tabla6[[#This Row],[NOMBRE]],'RESUMEN CLIENTES'!A:A,'RESUMEN CLIENTES'!X:X)</f>
        <v>0.88888888888888884</v>
      </c>
      <c r="F2082" s="72">
        <f>+_xlfn.XLOOKUP(Tabla6[[#This Row],[ID CLIENTE]],'RESUMEN CLIENTES'!D:D,'RESUMEN CLIENTES'!W:W)</f>
        <v>1</v>
      </c>
      <c r="G2082" s="17">
        <v>46423</v>
      </c>
      <c r="H2082" s="44" t="s">
        <v>81</v>
      </c>
      <c r="I2082" s="2">
        <v>350</v>
      </c>
      <c r="J2082"/>
      <c r="K2082"/>
      <c r="L2082" s="44" t="str" cm="1">
        <f t="array" ref="L2082">+_xlfn.IFS(COUNTIF(INGRESOS!E:E,Tabla6[[#This Row],[ID FACTURA]])=1,"PAGADA",Tabla6[[#This Row],[ID FACTURA]]&lt;&gt;0,"EMITIDA",Tabla6[[#This Row],[ID FACTURA]]=0,"POR EMITIR")</f>
        <v>POR EMITIR</v>
      </c>
      <c r="M2082" s="55" t="str">
        <f>+IF(Tabla6[[#This Row],[ESTADO FACTURA]]="PAGADA",Tabla6[[#This Row],[FECHA]]-_xlfn.XLOOKUP(Tabla6[[#This Row],[N° FACTURA]],INGRESOS!F:F,INGRESOS!A:A),"-")</f>
        <v>-</v>
      </c>
      <c r="N2082" s="2"/>
      <c r="O2082"/>
    </row>
    <row r="2083" spans="1:15" ht="14.75" customHeight="1">
      <c r="A2083" s="320" t="s">
        <v>1152</v>
      </c>
      <c r="B2083" t="str">
        <f>+_xlfn.XLOOKUP(Tabla6[[#This Row],[ID CLIENTE]],'RESUMEN CLIENTES'!D:D,'RESUMEN CLIENTES'!A:A)</f>
        <v>Ricardo Ernesto Miño Valencia</v>
      </c>
      <c r="C2083" t="str">
        <f>+_xlfn.XLOOKUP(Tabla6[[#This Row],[ID CLIENTE]],'RESUMEN CLIENTES'!D:D,'RESUMEN CLIENTES'!C:C)</f>
        <v>Ecuador</v>
      </c>
      <c r="D2083" s="44" t="str">
        <f>+_xlfn.XLOOKUP(Tabla6[[#This Row],[ID CLIENTE]],'RESUMEN CLIENTES'!D:D,'RESUMEN CLIENTES'!M:M)</f>
        <v>OK</v>
      </c>
      <c r="E2083" s="72">
        <f>+_xlfn.XLOOKUP(Tabla6[[#This Row],[NOMBRE]],'RESUMEN CLIENTES'!A:A,'RESUMEN CLIENTES'!X:X)</f>
        <v>-3.2</v>
      </c>
      <c r="F2083" s="72">
        <f>+_xlfn.XLOOKUP(Tabla6[[#This Row],[ID CLIENTE]],'RESUMEN CLIENTES'!D:D,'RESUMEN CLIENTES'!W:W)</f>
        <v>1</v>
      </c>
      <c r="G2083" s="17">
        <v>46424</v>
      </c>
      <c r="H2083" s="44" t="s">
        <v>81</v>
      </c>
      <c r="I2083" s="2">
        <v>700</v>
      </c>
      <c r="J2083"/>
      <c r="K2083"/>
      <c r="L2083" s="44" t="str" cm="1">
        <f t="array" ref="L2083">+_xlfn.IFS(COUNTIF(INGRESOS!E:E,Tabla6[[#This Row],[ID FACTURA]])=1,"PAGADA",Tabla6[[#This Row],[ID FACTURA]]&lt;&gt;0,"EMITIDA",Tabla6[[#This Row],[ID FACTURA]]=0,"POR EMITIR")</f>
        <v>POR EMITIR</v>
      </c>
      <c r="M2083" s="55" t="str">
        <f>+IF(Tabla6[[#This Row],[ESTADO FACTURA]]="PAGADA",Tabla6[[#This Row],[FECHA]]-_xlfn.XLOOKUP(Tabla6[[#This Row],[N° FACTURA]],INGRESOS!F:F,INGRESOS!A:A),"-")</f>
        <v>-</v>
      </c>
      <c r="N2083" s="2"/>
      <c r="O2083"/>
    </row>
    <row r="2084" spans="1:15" ht="14.75" customHeight="1">
      <c r="A2084" s="320" t="s">
        <v>1945</v>
      </c>
      <c r="B2084" t="str">
        <f>+_xlfn.XLOOKUP(Tabla6[[#This Row],[ID CLIENTE]],'RESUMEN CLIENTES'!D:D,'RESUMEN CLIENTES'!A:A)</f>
        <v>Fernanda Constanza Kompai Antu Arellano Guzmán</v>
      </c>
      <c r="C2084" t="str">
        <f>+_xlfn.XLOOKUP(Tabla6[[#This Row],[ID CLIENTE]],'RESUMEN CLIENTES'!D:D,'RESUMEN CLIENTES'!C:C)</f>
        <v>Chile</v>
      </c>
      <c r="D2084" s="169" t="str">
        <f>+_xlfn.XLOOKUP(Tabla6[[#This Row],[ID CLIENTE]],'RESUMEN CLIENTES'!D:D,'RESUMEN CLIENTES'!M:M)</f>
        <v>OK</v>
      </c>
      <c r="E2084" s="71">
        <f>+_xlfn.XLOOKUP(Tabla6[[#This Row],[NOMBRE]],'RESUMEN CLIENTES'!A:A,'RESUMEN CLIENTES'!X:X)</f>
        <v>0</v>
      </c>
      <c r="F2084" s="71">
        <f>+_xlfn.XLOOKUP(Tabla6[[#This Row],[ID CLIENTE]],'RESUMEN CLIENTES'!D:D,'RESUMEN CLIENTES'!W:W)</f>
        <v>0</v>
      </c>
      <c r="G2084" s="170">
        <v>46433</v>
      </c>
      <c r="H2084" s="170" t="s">
        <v>81</v>
      </c>
      <c r="I2084" s="2">
        <v>650</v>
      </c>
      <c r="J2084"/>
      <c r="K2084"/>
      <c r="L2084" s="44" t="str" cm="1">
        <f t="array" ref="L2084">+_xlfn.IFS(COUNTIF(INGRESOS!E:E,Tabla6[[#This Row],[ID FACTURA]])=1,"PAGADA",Tabla6[[#This Row],[ID FACTURA]]&lt;&gt;0,"EMITIDA",Tabla6[[#This Row],[ID FACTURA]]=0,"POR EMITIR")</f>
        <v>POR EMITIR</v>
      </c>
      <c r="M2084" s="54" t="str">
        <f>+IF(Tabla6[[#This Row],[ESTADO FACTURA]]="PAGADA",Tabla6[[#This Row],[FECHA]]-_xlfn.XLOOKUP(Tabla6[[#This Row],[N° FACTURA]],INGRESOS!F:F,INGRESOS!A:A),"-")</f>
        <v>-</v>
      </c>
      <c r="O2084"/>
    </row>
    <row r="2085" spans="1:15" ht="14.75" customHeight="1">
      <c r="A2085" s="320" t="s">
        <v>103</v>
      </c>
      <c r="B2085" t="str">
        <f>+_xlfn.XLOOKUP(Tabla6[[#This Row],[ID CLIENTE]],'RESUMEN CLIENTES'!D:D,'RESUMEN CLIENTES'!A:A)</f>
        <v>Isaac Ricardo Jimenez Campos</v>
      </c>
      <c r="C2085" t="str">
        <f>+_xlfn.XLOOKUP(Tabla6[[#This Row],[ID CLIENTE]],'RESUMEN CLIENTES'!D:D,'RESUMEN CLIENTES'!C:C)</f>
        <v>México</v>
      </c>
      <c r="D2085" s="44" t="str">
        <f>+_xlfn.XLOOKUP(Tabla6[[#This Row],[ID CLIENTE]],'RESUMEN CLIENTES'!D:D,'RESUMEN CLIENTES'!M:M)</f>
        <v>OK</v>
      </c>
      <c r="E2085" s="72">
        <f>+_xlfn.XLOOKUP(Tabla6[[#This Row],[NOMBRE]],'RESUMEN CLIENTES'!A:A,'RESUMEN CLIENTES'!X:X)</f>
        <v>0.5</v>
      </c>
      <c r="F2085" s="72">
        <f>+_xlfn.XLOOKUP(Tabla6[[#This Row],[ID CLIENTE]],'RESUMEN CLIENTES'!D:D,'RESUMEN CLIENTES'!W:W)</f>
        <v>1</v>
      </c>
      <c r="G2085" s="17">
        <v>46433</v>
      </c>
      <c r="H2085" s="44" t="s">
        <v>81</v>
      </c>
      <c r="I2085" s="2">
        <v>654</v>
      </c>
      <c r="J2085"/>
      <c r="K2085"/>
      <c r="L2085" s="44" t="str" cm="1">
        <f t="array" ref="L2085">+_xlfn.IFS(COUNTIF(INGRESOS!E:E,Tabla6[[#This Row],[ID FACTURA]])=1,"PAGADA",Tabla6[[#This Row],[ID FACTURA]]&lt;&gt;0,"EMITIDA",Tabla6[[#This Row],[ID FACTURA]]=0,"POR EMITIR")</f>
        <v>POR EMITIR</v>
      </c>
      <c r="M2085" s="55" t="str">
        <f>+IF(Tabla6[[#This Row],[ESTADO FACTURA]]="PAGADA",Tabla6[[#This Row],[FECHA]]-_xlfn.XLOOKUP(Tabla6[[#This Row],[N° FACTURA]],INGRESOS!F:F,INGRESOS!A:A),"-")</f>
        <v>-</v>
      </c>
      <c r="N2085" s="2"/>
      <c r="O2085"/>
    </row>
    <row r="2086" spans="1:15" ht="14.75" customHeight="1">
      <c r="A2086" s="321" t="s">
        <v>1875</v>
      </c>
      <c r="B2086" t="str">
        <f>+_xlfn.XLOOKUP(Tabla6[[#This Row],[ID CLIENTE]],'RESUMEN CLIENTES'!D:D,'RESUMEN CLIENTES'!A:A)</f>
        <v>Laura Giraldo</v>
      </c>
      <c r="C2086" t="str">
        <f>+_xlfn.XLOOKUP(Tabla6[[#This Row],[ID CLIENTE]],'RESUMEN CLIENTES'!D:D,'RESUMEN CLIENTES'!C:C)</f>
        <v>Colombia</v>
      </c>
      <c r="D2086" s="169" t="str">
        <f>+_xlfn.XLOOKUP(Tabla6[[#This Row],[ID CLIENTE]],'RESUMEN CLIENTES'!D:D,'RESUMEN CLIENTES'!M:M)</f>
        <v>OK</v>
      </c>
      <c r="E2086" s="71">
        <f>+_xlfn.XLOOKUP(Tabla6[[#This Row],[NOMBRE]],'RESUMEN CLIENTES'!A:A,'RESUMEN CLIENTES'!X:X)</f>
        <v>-3.25</v>
      </c>
      <c r="F2086" s="71">
        <f>+_xlfn.XLOOKUP(Tabla6[[#This Row],[ID CLIENTE]],'RESUMEN CLIENTES'!D:D,'RESUMEN CLIENTES'!W:W)</f>
        <v>1</v>
      </c>
      <c r="G2086" s="17">
        <v>46433</v>
      </c>
      <c r="H2086" s="169" t="s">
        <v>1876</v>
      </c>
      <c r="I2086" s="2">
        <v>1000</v>
      </c>
      <c r="J2086"/>
      <c r="K2086"/>
      <c r="L2086" s="44" t="str" cm="1">
        <f t="array" ref="L2086">+_xlfn.IFS(COUNTIF(INGRESOS!E:E,Tabla6[[#This Row],[ID FACTURA]])=1,"PAGADA",Tabla6[[#This Row],[ID FACTURA]]&lt;&gt;0,"EMITIDA",Tabla6[[#This Row],[ID FACTURA]]=0,"POR EMITIR")</f>
        <v>POR EMITIR</v>
      </c>
      <c r="M2086" s="54" t="str">
        <f>+IF(Tabla6[[#This Row],[ESTADO FACTURA]]="PAGADA",Tabla6[[#This Row],[FECHA]]-_xlfn.XLOOKUP(Tabla6[[#This Row],[N° FACTURA]],INGRESOS!F:F,INGRESOS!A:A),"-")</f>
        <v>-</v>
      </c>
      <c r="O2086"/>
    </row>
    <row r="2087" spans="1:15" ht="14.75" customHeight="1">
      <c r="A2087" s="321" t="s">
        <v>1756</v>
      </c>
      <c r="B2087" t="str">
        <f>+_xlfn.XLOOKUP(Tabla6[[#This Row],[ID CLIENTE]],'RESUMEN CLIENTES'!D:D,'RESUMEN CLIENTES'!A:A)</f>
        <v>Aylin Micaela Ortiz Chiriboga</v>
      </c>
      <c r="C2087" t="str">
        <f>+_xlfn.XLOOKUP(Tabla6[[#This Row],[ID CLIENTE]],'RESUMEN CLIENTES'!D:D,'RESUMEN CLIENTES'!C:C)</f>
        <v>Ecuador</v>
      </c>
      <c r="D2087" s="169" t="str">
        <f>+_xlfn.XLOOKUP(Tabla6[[#This Row],[ID CLIENTE]],'RESUMEN CLIENTES'!D:D,'RESUMEN CLIENTES'!M:M)</f>
        <v>¡REGULARIZAR!</v>
      </c>
      <c r="E2087" s="71">
        <f>+_xlfn.XLOOKUP(Tabla6[[#This Row],[NOMBRE]],'RESUMEN CLIENTES'!A:A,'RESUMEN CLIENTES'!X:X)</f>
        <v>0</v>
      </c>
      <c r="F2087" s="71">
        <f>+_xlfn.XLOOKUP(Tabla6[[#This Row],[ID CLIENTE]],'RESUMEN CLIENTES'!D:D,'RESUMEN CLIENTES'!W:W)</f>
        <v>1</v>
      </c>
      <c r="G2087" s="170">
        <v>46434</v>
      </c>
      <c r="H2087" s="169" t="s">
        <v>81</v>
      </c>
      <c r="I2087" s="2">
        <v>650</v>
      </c>
      <c r="J2087"/>
      <c r="K2087"/>
      <c r="L2087" s="44" t="str" cm="1">
        <f t="array" ref="L2087">+_xlfn.IFS(COUNTIF(INGRESOS!E:E,Tabla6[[#This Row],[ID FACTURA]])=1,"PAGADA",Tabla6[[#This Row],[ID FACTURA]]&lt;&gt;0,"EMITIDA",Tabla6[[#This Row],[ID FACTURA]]=0,"POR EMITIR")</f>
        <v>POR EMITIR</v>
      </c>
      <c r="M2087" s="54" t="str">
        <f>+IF(Tabla6[[#This Row],[ESTADO FACTURA]]="PAGADA",Tabla6[[#This Row],[FECHA]]-_xlfn.XLOOKUP(Tabla6[[#This Row],[N° FACTURA]],INGRESOS!F:F,INGRESOS!A:A),"-")</f>
        <v>-</v>
      </c>
      <c r="O2087"/>
    </row>
    <row r="2088" spans="1:15" ht="14.75" customHeight="1">
      <c r="A2088" s="320" t="s">
        <v>1996</v>
      </c>
      <c r="B2088" t="str">
        <f>+_xlfn.XLOOKUP(Tabla6[[#This Row],[ID CLIENTE]],'RESUMEN CLIENTES'!D:D,'RESUMEN CLIENTES'!A:A)</f>
        <v>Ivan Gonzales Graus</v>
      </c>
      <c r="C2088" t="str">
        <f>+_xlfn.XLOOKUP(Tabla6[[#This Row],[ID CLIENTE]],'RESUMEN CLIENTES'!D:D,'RESUMEN CLIENTES'!C:C)</f>
        <v>Perú</v>
      </c>
      <c r="D2088" s="169" t="str">
        <f>+_xlfn.XLOOKUP(Tabla6[[#This Row],[ID CLIENTE]],'RESUMEN CLIENTES'!D:D,'RESUMEN CLIENTES'!M:M)</f>
        <v>OK</v>
      </c>
      <c r="E2088" s="71">
        <f>+_xlfn.XLOOKUP(Tabla6[[#This Row],[NOMBRE]],'RESUMEN CLIENTES'!A:A,'RESUMEN CLIENTES'!X:X)</f>
        <v>-2</v>
      </c>
      <c r="F2088" s="71">
        <f>+_xlfn.XLOOKUP(Tabla6[[#This Row],[ID CLIENTE]],'RESUMEN CLIENTES'!D:D,'RESUMEN CLIENTES'!W:W)</f>
        <v>1</v>
      </c>
      <c r="G2088" s="17">
        <v>46434</v>
      </c>
      <c r="H2088" s="169" t="s">
        <v>81</v>
      </c>
      <c r="I2088" s="2">
        <v>650</v>
      </c>
      <c r="J2088"/>
      <c r="K2088"/>
      <c r="L2088" s="44" t="str" cm="1">
        <f t="array" ref="L2088">+_xlfn.IFS(COUNTIF(INGRESOS!E:E,Tabla6[[#This Row],[ID FACTURA]])=1,"PAGADA",Tabla6[[#This Row],[ID FACTURA]]&lt;&gt;0,"EMITIDA",Tabla6[[#This Row],[ID FACTURA]]=0,"POR EMITIR")</f>
        <v>POR EMITIR</v>
      </c>
      <c r="M2088" s="54" t="str">
        <f>+IF(Tabla6[[#This Row],[ESTADO FACTURA]]="PAGADA",Tabla6[[#This Row],[FECHA]]-_xlfn.XLOOKUP(Tabla6[[#This Row],[N° FACTURA]],INGRESOS!F:F,INGRESOS!A:A),"-")</f>
        <v>-</v>
      </c>
      <c r="O2088"/>
    </row>
    <row r="2089" spans="1:15" ht="14.75" customHeight="1">
      <c r="A2089" s="320" t="s">
        <v>2046</v>
      </c>
      <c r="B2089" t="str">
        <f>+_xlfn.XLOOKUP(Tabla6[[#This Row],[ID CLIENTE]],'RESUMEN CLIENTES'!D:D,'RESUMEN CLIENTES'!A:A)</f>
        <v>Jesica Daniela Paredes Mendoza</v>
      </c>
      <c r="C2089" t="str">
        <f>+_xlfn.XLOOKUP(Tabla6[[#This Row],[ID CLIENTE]],'RESUMEN CLIENTES'!D:D,'RESUMEN CLIENTES'!C:C)</f>
        <v>México</v>
      </c>
      <c r="D2089" s="169" t="str">
        <f>+_xlfn.XLOOKUP(Tabla6[[#This Row],[ID CLIENTE]],'RESUMEN CLIENTES'!D:D,'RESUMEN CLIENTES'!M:M)</f>
        <v>OK</v>
      </c>
      <c r="E2089" s="71">
        <f>+_xlfn.XLOOKUP(Tabla6[[#This Row],[NOMBRE]],'RESUMEN CLIENTES'!A:A,'RESUMEN CLIENTES'!X:X)</f>
        <v>-2.75</v>
      </c>
      <c r="F2089" s="71">
        <f>+_xlfn.XLOOKUP(Tabla6[[#This Row],[ID CLIENTE]],'RESUMEN CLIENTES'!D:D,'RESUMEN CLIENTES'!W:W)</f>
        <v>1</v>
      </c>
      <c r="G2089" s="17">
        <v>46434</v>
      </c>
      <c r="H2089" s="169" t="s">
        <v>81</v>
      </c>
      <c r="I2089" s="2">
        <v>500</v>
      </c>
      <c r="J2089"/>
      <c r="K2089"/>
      <c r="L2089" s="44" t="str" cm="1">
        <f t="array" ref="L2089">+_xlfn.IFS(COUNTIF(INGRESOS!E:E,Tabla6[[#This Row],[ID FACTURA]])=1,"PAGADA",Tabla6[[#This Row],[ID FACTURA]]&lt;&gt;0,"EMITIDA",Tabla6[[#This Row],[ID FACTURA]]=0,"POR EMITIR")</f>
        <v>POR EMITIR</v>
      </c>
      <c r="M2089" s="54" t="str">
        <f>+IF(Tabla6[[#This Row],[ESTADO FACTURA]]="PAGADA",Tabla6[[#This Row],[FECHA]]-_xlfn.XLOOKUP(Tabla6[[#This Row],[N° FACTURA]],INGRESOS!F:F,INGRESOS!A:A),"-")</f>
        <v>-</v>
      </c>
      <c r="O2089"/>
    </row>
    <row r="2090" spans="1:15" ht="14.75" customHeight="1">
      <c r="A2090" s="320" t="s">
        <v>4660</v>
      </c>
      <c r="B2090" t="str">
        <f>+_xlfn.XLOOKUP(Tabla6[[#This Row],[ID CLIENTE]],'RESUMEN CLIENTES'!D:D,'RESUMEN CLIENTES'!A:A)</f>
        <v>Edipris Flores</v>
      </c>
      <c r="C2090" s="15" t="str">
        <f>+_xlfn.XLOOKUP(Tabla6[[#This Row],[ID CLIENTE]],'RESUMEN CLIENTES'!D:D,'RESUMEN CLIENTES'!C:C)</f>
        <v>Chile</v>
      </c>
      <c r="D2090" s="169" t="str">
        <f>+_xlfn.XLOOKUP(Tabla6[[#This Row],[ID CLIENTE]],'RESUMEN CLIENTES'!D:D,'RESUMEN CLIENTES'!M:M)</f>
        <v>OK</v>
      </c>
      <c r="E2090" s="71">
        <f>+_xlfn.XLOOKUP(Tabla6[[#This Row],[NOMBRE]],'RESUMEN CLIENTES'!A:A,'RESUMEN CLIENTES'!X:X)</f>
        <v>-4</v>
      </c>
      <c r="F2090" s="71">
        <f>+_xlfn.XLOOKUP(Tabla6[[#This Row],[ID CLIENTE]],'RESUMEN CLIENTES'!D:D,'RESUMEN CLIENTES'!W:W)</f>
        <v>0</v>
      </c>
      <c r="G2090" s="17">
        <v>46438</v>
      </c>
      <c r="H2090" s="169" t="s">
        <v>81</v>
      </c>
      <c r="I2090" s="2">
        <v>850</v>
      </c>
      <c r="J2090"/>
      <c r="K2090"/>
      <c r="L2090" s="44" t="str" cm="1">
        <f t="array" ref="L2090">+_xlfn.IFS(COUNTIF(INGRESOS!E:E,Tabla6[[#This Row],[ID FACTURA]])=1,"PAGADA",Tabla6[[#This Row],[ID FACTURA]]&lt;&gt;0,"EMITIDA",Tabla6[[#This Row],[ID FACTURA]]=0,"POR EMITIR")</f>
        <v>POR EMITIR</v>
      </c>
      <c r="M2090" s="54" t="str">
        <f>+IF(Tabla6[[#This Row],[ESTADO FACTURA]]="PAGADA",Tabla6[[#This Row],[FECHA]]-_xlfn.XLOOKUP(Tabla6[[#This Row],[N° FACTURA]],INGRESOS!F:F,INGRESOS!A:A),"-")</f>
        <v>-</v>
      </c>
      <c r="O2090"/>
    </row>
    <row r="2091" spans="1:15" ht="14.75" customHeight="1">
      <c r="A2091" s="320" t="s">
        <v>587</v>
      </c>
      <c r="B2091" t="str">
        <f>+_xlfn.XLOOKUP(Tabla6[[#This Row],[ID CLIENTE]],'RESUMEN CLIENTES'!D:D,'RESUMEN CLIENTES'!A:A)</f>
        <v>Keidwin Perez</v>
      </c>
      <c r="C2091" t="str">
        <f>+_xlfn.XLOOKUP(Tabla6[[#This Row],[ID CLIENTE]],'RESUMEN CLIENTES'!D:D,'RESUMEN CLIENTES'!C:C)</f>
        <v>Colombia</v>
      </c>
      <c r="D2091" s="44" t="str">
        <f>+_xlfn.XLOOKUP(Tabla6[[#This Row],[ID CLIENTE]],'RESUMEN CLIENTES'!D:D,'RESUMEN CLIENTES'!M:M)</f>
        <v>OK</v>
      </c>
      <c r="E2091" s="72">
        <f>+_xlfn.XLOOKUP(Tabla6[[#This Row],[NOMBRE]],'RESUMEN CLIENTES'!A:A,'RESUMEN CLIENTES'!X:X)</f>
        <v>-4.25</v>
      </c>
      <c r="F2091" s="72">
        <f>+_xlfn.XLOOKUP(Tabla6[[#This Row],[ID CLIENTE]],'RESUMEN CLIENTES'!D:D,'RESUMEN CLIENTES'!W:W)</f>
        <v>1</v>
      </c>
      <c r="G2091" s="17">
        <v>46438</v>
      </c>
      <c r="H2091" s="44" t="s">
        <v>81</v>
      </c>
      <c r="I2091" s="2">
        <v>500</v>
      </c>
      <c r="J2091"/>
      <c r="K2091"/>
      <c r="L2091" s="44" t="str" cm="1">
        <f t="array" ref="L2091">+_xlfn.IFS(COUNTIF(INGRESOS!E:E,Tabla6[[#This Row],[ID FACTURA]])=1,"PAGADA",Tabla6[[#This Row],[ID FACTURA]]&lt;&gt;0,"EMITIDA",Tabla6[[#This Row],[ID FACTURA]]=0,"POR EMITIR")</f>
        <v>POR EMITIR</v>
      </c>
      <c r="M2091" s="55" t="str">
        <f>+IF(Tabla6[[#This Row],[ESTADO FACTURA]]="PAGADA",Tabla6[[#This Row],[FECHA]]-_xlfn.XLOOKUP(Tabla6[[#This Row],[N° FACTURA]],INGRESOS!F:F,INGRESOS!A:A),"-")</f>
        <v>-</v>
      </c>
      <c r="N2091" s="2"/>
      <c r="O2091"/>
    </row>
    <row r="2092" spans="1:15" ht="14.75" customHeight="1">
      <c r="A2092" s="320" t="s">
        <v>1437</v>
      </c>
      <c r="B2092" t="str">
        <f>+_xlfn.XLOOKUP(Tabla6[[#This Row],[ID CLIENTE]],'RESUMEN CLIENTES'!D:D,'RESUMEN CLIENTES'!A:A)</f>
        <v>Jorge Andres Galgani Muñoz</v>
      </c>
      <c r="C2092" t="str">
        <f>+_xlfn.XLOOKUP(Tabla6[[#This Row],[ID CLIENTE]],'RESUMEN CLIENTES'!D:D,'RESUMEN CLIENTES'!C:C)</f>
        <v>Chile</v>
      </c>
      <c r="D2092" s="44" t="str">
        <f>+_xlfn.XLOOKUP(Tabla6[[#This Row],[ID CLIENTE]],'RESUMEN CLIENTES'!D:D,'RESUMEN CLIENTES'!M:M)</f>
        <v>OK</v>
      </c>
      <c r="E2092" s="71">
        <f>+_xlfn.XLOOKUP(Tabla6[[#This Row],[NOMBRE]],'RESUMEN CLIENTES'!A:A,'RESUMEN CLIENTES'!X:X)</f>
        <v>-1.1428571428571428</v>
      </c>
      <c r="F2092" s="71">
        <f>+_xlfn.XLOOKUP(Tabla6[[#This Row],[ID CLIENTE]],'RESUMEN CLIENTES'!D:D,'RESUMEN CLIENTES'!W:W)</f>
        <v>1</v>
      </c>
      <c r="G2092" s="17">
        <v>46443</v>
      </c>
      <c r="H2092" s="169" t="s">
        <v>81</v>
      </c>
      <c r="I2092" s="2">
        <v>850</v>
      </c>
      <c r="J2092"/>
      <c r="K2092"/>
      <c r="L2092" s="44" t="str" cm="1">
        <f t="array" ref="L2092">+_xlfn.IFS(COUNTIF(INGRESOS!E:E,Tabla6[[#This Row],[ID FACTURA]])=1,"PAGADA",Tabla6[[#This Row],[ID FACTURA]]&lt;&gt;0,"EMITIDA",Tabla6[[#This Row],[ID FACTURA]]=0,"POR EMITIR")</f>
        <v>POR EMITIR</v>
      </c>
      <c r="M2092" s="55" t="str">
        <f>+IF(Tabla6[[#This Row],[ESTADO FACTURA]]="PAGADA",Tabla6[[#This Row],[FECHA]]-_xlfn.XLOOKUP(Tabla6[[#This Row],[N° FACTURA]],INGRESOS!F:F,INGRESOS!A:A),"-")</f>
        <v>-</v>
      </c>
      <c r="N2092" s="2"/>
      <c r="O2092"/>
    </row>
    <row r="2093" spans="1:15" ht="14.75" customHeight="1">
      <c r="A2093" s="320" t="s">
        <v>1743</v>
      </c>
      <c r="B2093" t="str">
        <f>+_xlfn.XLOOKUP(Tabla6[[#This Row],[ID CLIENTE]],'RESUMEN CLIENTES'!D:D,'RESUMEN CLIENTES'!A:A)</f>
        <v>Fernando Alberto Lagos Belmar</v>
      </c>
      <c r="C2093" t="str">
        <f>+_xlfn.XLOOKUP(Tabla6[[#This Row],[ID CLIENTE]],'RESUMEN CLIENTES'!D:D,'RESUMEN CLIENTES'!C:C)</f>
        <v>Chile</v>
      </c>
      <c r="D2093" s="169" t="str">
        <f>+_xlfn.XLOOKUP(Tabla6[[#This Row],[ID CLIENTE]],'RESUMEN CLIENTES'!D:D,'RESUMEN CLIENTES'!M:M)</f>
        <v>OK</v>
      </c>
      <c r="E2093" s="71">
        <f>+_xlfn.XLOOKUP(Tabla6[[#This Row],[NOMBRE]],'RESUMEN CLIENTES'!A:A,'RESUMEN CLIENTES'!X:X)</f>
        <v>0.25</v>
      </c>
      <c r="F2093" s="71">
        <f>+_xlfn.XLOOKUP(Tabla6[[#This Row],[ID CLIENTE]],'RESUMEN CLIENTES'!D:D,'RESUMEN CLIENTES'!W:W)</f>
        <v>1</v>
      </c>
      <c r="G2093" s="17">
        <v>46444</v>
      </c>
      <c r="H2093" s="169" t="s">
        <v>81</v>
      </c>
      <c r="I2093" s="2">
        <v>1000</v>
      </c>
      <c r="J2093"/>
      <c r="K2093"/>
      <c r="L2093" s="44" t="str" cm="1">
        <f t="array" ref="L2093">+_xlfn.IFS(COUNTIF(INGRESOS!E:E,Tabla6[[#This Row],[ID FACTURA]])=1,"PAGADA",Tabla6[[#This Row],[ID FACTURA]]&lt;&gt;0,"EMITIDA",Tabla6[[#This Row],[ID FACTURA]]=0,"POR EMITIR")</f>
        <v>POR EMITIR</v>
      </c>
      <c r="M2093" s="55" t="str">
        <f>+IF(Tabla6[[#This Row],[ESTADO FACTURA]]="PAGADA",Tabla6[[#This Row],[FECHA]]-_xlfn.XLOOKUP(Tabla6[[#This Row],[N° FACTURA]],INGRESOS!F:F,INGRESOS!A:A),"-")</f>
        <v>-</v>
      </c>
      <c r="O2093"/>
    </row>
    <row r="2094" spans="1:15" ht="14.75" customHeight="1">
      <c r="A2094" s="321" t="s">
        <v>519</v>
      </c>
      <c r="B2094" t="str">
        <f>+_xlfn.XLOOKUP(Tabla6[[#This Row],[ID CLIENTE]],'RESUMEN CLIENTES'!D:D,'RESUMEN CLIENTES'!A:A)</f>
        <v>Elaine Acosta Cabrera</v>
      </c>
      <c r="C2094" t="str">
        <f>+_xlfn.XLOOKUP(Tabla6[[#This Row],[ID CLIENTE]],'RESUMEN CLIENTES'!D:D,'RESUMEN CLIENTES'!C:C)</f>
        <v>República Dominicana</v>
      </c>
      <c r="D2094" s="169" t="str">
        <f>+_xlfn.XLOOKUP(Tabla6[[#This Row],[ID CLIENTE]],'RESUMEN CLIENTES'!D:D,'RESUMEN CLIENTES'!M:M)</f>
        <v>OK</v>
      </c>
      <c r="E2094" s="71">
        <f>+_xlfn.XLOOKUP(Tabla6[[#This Row],[NOMBRE]],'RESUMEN CLIENTES'!A:A,'RESUMEN CLIENTES'!X:X)</f>
        <v>0</v>
      </c>
      <c r="F2094" s="71">
        <f>+_xlfn.XLOOKUP(Tabla6[[#This Row],[ID CLIENTE]],'RESUMEN CLIENTES'!D:D,'RESUMEN CLIENTES'!W:W)</f>
        <v>1</v>
      </c>
      <c r="G2094" s="17">
        <v>46445</v>
      </c>
      <c r="H2094" s="169" t="s">
        <v>81</v>
      </c>
      <c r="I2094" s="2">
        <v>1000</v>
      </c>
      <c r="J2094"/>
      <c r="K2094"/>
      <c r="L2094" s="44" t="str" cm="1">
        <f t="array" ref="L2094">+_xlfn.IFS(COUNTIF(INGRESOS!E:E,Tabla6[[#This Row],[ID FACTURA]])=1,"PAGADA",Tabla6[[#This Row],[ID FACTURA]]&lt;&gt;0,"EMITIDA",Tabla6[[#This Row],[ID FACTURA]]=0,"POR EMITIR")</f>
        <v>POR EMITIR</v>
      </c>
      <c r="M2094" s="54" t="str">
        <f>+IF(Tabla6[[#This Row],[ESTADO FACTURA]]="PAGADA",Tabla6[[#This Row],[FECHA]]-_xlfn.XLOOKUP(Tabla6[[#This Row],[N° FACTURA]],INGRESOS!F:F,INGRESOS!A:A),"-")</f>
        <v>-</v>
      </c>
      <c r="O2094"/>
    </row>
    <row r="2095" spans="1:15" ht="14.75" customHeight="1">
      <c r="A2095" s="320" t="s">
        <v>221</v>
      </c>
      <c r="B2095" t="str">
        <f>+_xlfn.XLOOKUP(Tabla6[[#This Row],[ID CLIENTE]],'RESUMEN CLIENTES'!D:D,'RESUMEN CLIENTES'!A:A)</f>
        <v>Angel Martin Alarcon Macias</v>
      </c>
      <c r="C2095" t="str">
        <f>+_xlfn.XLOOKUP(Tabla6[[#This Row],[ID CLIENTE]],'RESUMEN CLIENTES'!D:D,'RESUMEN CLIENTES'!C:C)</f>
        <v>Ecuador</v>
      </c>
      <c r="D2095" s="44" t="str">
        <f>+_xlfn.XLOOKUP(Tabla6[[#This Row],[ID CLIENTE]],'RESUMEN CLIENTES'!D:D,'RESUMEN CLIENTES'!M:M)</f>
        <v>¡REGULARIZAR!</v>
      </c>
      <c r="E2095" s="72">
        <f>+_xlfn.XLOOKUP(Tabla6[[#This Row],[NOMBRE]],'RESUMEN CLIENTES'!A:A,'RESUMEN CLIENTES'!X:X)</f>
        <v>-0.5</v>
      </c>
      <c r="F2095" s="72">
        <f>+_xlfn.XLOOKUP(Tabla6[[#This Row],[ID CLIENTE]],'RESUMEN CLIENTES'!D:D,'RESUMEN CLIENTES'!W:W)</f>
        <v>0</v>
      </c>
      <c r="G2095" s="17">
        <v>46446</v>
      </c>
      <c r="H2095" s="44" t="s">
        <v>81</v>
      </c>
      <c r="I2095" s="2">
        <v>6250</v>
      </c>
      <c r="J2095"/>
      <c r="K2095"/>
      <c r="L2095" s="44" t="str" cm="1">
        <f t="array" ref="L2095">+_xlfn.IFS(COUNTIF(INGRESOS!E:E,Tabla6[[#This Row],[ID FACTURA]])=1,"PAGADA",Tabla6[[#This Row],[ID FACTURA]]&lt;&gt;0,"EMITIDA",Tabla6[[#This Row],[ID FACTURA]]=0,"POR EMITIR")</f>
        <v>POR EMITIR</v>
      </c>
      <c r="M2095" s="55" t="str">
        <f>+IF(Tabla6[[#This Row],[ESTADO FACTURA]]="PAGADA",Tabla6[[#This Row],[FECHA]]-_xlfn.XLOOKUP(Tabla6[[#This Row],[N° FACTURA]],INGRESOS!F:F,INGRESOS!A:A),"-")</f>
        <v>-</v>
      </c>
      <c r="N2095" s="2"/>
      <c r="O2095"/>
    </row>
    <row r="2096" spans="1:15" ht="14.75" customHeight="1">
      <c r="A2096" s="321" t="s">
        <v>1870</v>
      </c>
      <c r="B2096" t="str">
        <f>+_xlfn.XLOOKUP(Tabla6[[#This Row],[ID CLIENTE]],'RESUMEN CLIENTES'!D:D,'RESUMEN CLIENTES'!A:A)</f>
        <v>Berenisse Shadia Yarango Garay</v>
      </c>
      <c r="C2096" t="str">
        <f>+_xlfn.XLOOKUP(Tabla6[[#This Row],[ID CLIENTE]],'RESUMEN CLIENTES'!D:D,'RESUMEN CLIENTES'!C:C)</f>
        <v>Perú</v>
      </c>
      <c r="D2096" s="169" t="str">
        <f>+_xlfn.XLOOKUP(Tabla6[[#This Row],[ID CLIENTE]],'RESUMEN CLIENTES'!D:D,'RESUMEN CLIENTES'!M:M)</f>
        <v>OK</v>
      </c>
      <c r="E2096" s="71">
        <f>+_xlfn.XLOOKUP(Tabla6[[#This Row],[NOMBRE]],'RESUMEN CLIENTES'!A:A,'RESUMEN CLIENTES'!X:X)</f>
        <v>-0.33333333333333331</v>
      </c>
      <c r="F2096" s="71">
        <f>+_xlfn.XLOOKUP(Tabla6[[#This Row],[ID CLIENTE]],'RESUMEN CLIENTES'!D:D,'RESUMEN CLIENTES'!W:W)</f>
        <v>0</v>
      </c>
      <c r="G2096" s="17">
        <v>46446</v>
      </c>
      <c r="H2096" s="169" t="s">
        <v>81</v>
      </c>
      <c r="I2096" s="2">
        <v>850</v>
      </c>
      <c r="J2096"/>
      <c r="K2096"/>
      <c r="L2096" s="44" t="str" cm="1">
        <f t="array" ref="L2096">+_xlfn.IFS(COUNTIF(INGRESOS!E:E,Tabla6[[#This Row],[ID FACTURA]])=1,"PAGADA",Tabla6[[#This Row],[ID FACTURA]]&lt;&gt;0,"EMITIDA",Tabla6[[#This Row],[ID FACTURA]]=0,"POR EMITIR")</f>
        <v>POR EMITIR</v>
      </c>
      <c r="M2096" s="54" t="str">
        <f>+IF(Tabla6[[#This Row],[ESTADO FACTURA]]="PAGADA",Tabla6[[#This Row],[FECHA]]-_xlfn.XLOOKUP(Tabla6[[#This Row],[N° FACTURA]],INGRESOS!F:F,INGRESOS!A:A),"-")</f>
        <v>-</v>
      </c>
      <c r="O2096"/>
    </row>
    <row r="2097" spans="1:15" ht="14.75" customHeight="1">
      <c r="A2097" s="320" t="s">
        <v>739</v>
      </c>
      <c r="B2097" t="str">
        <f>+_xlfn.XLOOKUP(Tabla6[[#This Row],[ID CLIENTE]],'RESUMEN CLIENTES'!D:D,'RESUMEN CLIENTES'!A:A)</f>
        <v>Gilberto Martiñon Torres</v>
      </c>
      <c r="C2097" t="str">
        <f>+_xlfn.XLOOKUP(Tabla6[[#This Row],[ID CLIENTE]],'RESUMEN CLIENTES'!D:D,'RESUMEN CLIENTES'!C:C)</f>
        <v>México</v>
      </c>
      <c r="D2097" s="44" t="str">
        <f>+_xlfn.XLOOKUP(Tabla6[[#This Row],[ID CLIENTE]],'RESUMEN CLIENTES'!D:D,'RESUMEN CLIENTES'!M:M)</f>
        <v>OK</v>
      </c>
      <c r="E2097" s="72">
        <f>+_xlfn.XLOOKUP(Tabla6[[#This Row],[NOMBRE]],'RESUMEN CLIENTES'!A:A,'RESUMEN CLIENTES'!X:X)</f>
        <v>-0.625</v>
      </c>
      <c r="F2097" s="72">
        <f>+_xlfn.XLOOKUP(Tabla6[[#This Row],[ID CLIENTE]],'RESUMEN CLIENTES'!D:D,'RESUMEN CLIENTES'!W:W)</f>
        <v>0</v>
      </c>
      <c r="G2097" s="17">
        <v>46446</v>
      </c>
      <c r="H2097" s="44" t="s">
        <v>81</v>
      </c>
      <c r="I2097" s="2">
        <v>700</v>
      </c>
      <c r="J2097"/>
      <c r="K2097"/>
      <c r="L2097" s="44" t="str" cm="1">
        <f t="array" ref="L2097">+_xlfn.IFS(COUNTIF(INGRESOS!E:E,Tabla6[[#This Row],[ID FACTURA]])=1,"PAGADA",Tabla6[[#This Row],[ID FACTURA]]&lt;&gt;0,"EMITIDA",Tabla6[[#This Row],[ID FACTURA]]=0,"POR EMITIR")</f>
        <v>POR EMITIR</v>
      </c>
      <c r="M2097" s="55" t="str">
        <f>+IF(Tabla6[[#This Row],[ESTADO FACTURA]]="PAGADA",Tabla6[[#This Row],[FECHA]]-_xlfn.XLOOKUP(Tabla6[[#This Row],[N° FACTURA]],INGRESOS!F:F,INGRESOS!A:A),"-")</f>
        <v>-</v>
      </c>
      <c r="N2097" s="2"/>
      <c r="O2097"/>
    </row>
    <row r="2098" spans="1:15" ht="14.75" customHeight="1">
      <c r="A2098" s="320" t="s">
        <v>139</v>
      </c>
      <c r="B2098" t="str">
        <f>+_xlfn.XLOOKUP(Tabla6[[#This Row],[ID CLIENTE]],'RESUMEN CLIENTES'!D:D,'RESUMEN CLIENTES'!A:A)</f>
        <v>Hugo Nicolás Trávez Morales</v>
      </c>
      <c r="C2098" t="str">
        <f>+_xlfn.XLOOKUP(Tabla6[[#This Row],[ID CLIENTE]],'RESUMEN CLIENTES'!D:D,'RESUMEN CLIENTES'!C:C)</f>
        <v>Ecuador</v>
      </c>
      <c r="D2098" s="169" t="str">
        <f>+_xlfn.XLOOKUP(Tabla6[[#This Row],[ID CLIENTE]],'RESUMEN CLIENTES'!D:D,'RESUMEN CLIENTES'!M:M)</f>
        <v>OK</v>
      </c>
      <c r="E2098" s="71">
        <f>+_xlfn.XLOOKUP(Tabla6[[#This Row],[NOMBRE]],'RESUMEN CLIENTES'!A:A,'RESUMEN CLIENTES'!X:X)</f>
        <v>0</v>
      </c>
      <c r="F2098" s="71">
        <f>+_xlfn.XLOOKUP(Tabla6[[#This Row],[ID CLIENTE]],'RESUMEN CLIENTES'!D:D,'RESUMEN CLIENTES'!W:W)</f>
        <v>0</v>
      </c>
      <c r="G2098" s="17">
        <v>46446</v>
      </c>
      <c r="H2098" s="44" t="s">
        <v>81</v>
      </c>
      <c r="I2098" s="2">
        <v>1000</v>
      </c>
      <c r="J2098"/>
      <c r="K2098"/>
      <c r="L2098" s="44" t="str" cm="1">
        <f t="array" ref="L2098">+_xlfn.IFS(COUNTIF(INGRESOS!E:E,Tabla6[[#This Row],[ID FACTURA]])=1,"PAGADA",Tabla6[[#This Row],[ID FACTURA]]&lt;&gt;0,"EMITIDA",Tabla6[[#This Row],[ID FACTURA]]=0,"POR EMITIR")</f>
        <v>POR EMITIR</v>
      </c>
      <c r="M2098" s="54" t="str">
        <f>+IF(Tabla6[[#This Row],[ESTADO FACTURA]]="PAGADA",Tabla6[[#This Row],[FECHA]]-_xlfn.XLOOKUP(Tabla6[[#This Row],[N° FACTURA]],INGRESOS!F:F,INGRESOS!A:A),"-")</f>
        <v>-</v>
      </c>
      <c r="O2098"/>
    </row>
    <row r="2099" spans="1:15" ht="14.75" customHeight="1">
      <c r="A2099" s="320" t="s">
        <v>590</v>
      </c>
      <c r="B2099" t="str">
        <f>+_xlfn.XLOOKUP(Tabla6[[#This Row],[ID CLIENTE]],'RESUMEN CLIENTES'!D:D,'RESUMEN CLIENTES'!A:A)</f>
        <v>María Lucero de Jesús Barrios Sazo</v>
      </c>
      <c r="C2099" t="str">
        <f>+_xlfn.XLOOKUP(Tabla6[[#This Row],[ID CLIENTE]],'RESUMEN CLIENTES'!D:D,'RESUMEN CLIENTES'!C:C)</f>
        <v>Guatemala</v>
      </c>
      <c r="D2099" s="44" t="str">
        <f>+_xlfn.XLOOKUP(Tabla6[[#This Row],[ID CLIENTE]],'RESUMEN CLIENTES'!D:D,'RESUMEN CLIENTES'!M:M)</f>
        <v>OK</v>
      </c>
      <c r="E2099" s="72">
        <f>+_xlfn.XLOOKUP(Tabla6[[#This Row],[NOMBRE]],'RESUMEN CLIENTES'!A:A,'RESUMEN CLIENTES'!X:X)</f>
        <v>1.25</v>
      </c>
      <c r="F2099" s="72">
        <f>+_xlfn.XLOOKUP(Tabla6[[#This Row],[ID CLIENTE]],'RESUMEN CLIENTES'!D:D,'RESUMEN CLIENTES'!W:W)</f>
        <v>0</v>
      </c>
      <c r="G2099" s="17">
        <v>46446</v>
      </c>
      <c r="H2099" s="44" t="s">
        <v>81</v>
      </c>
      <c r="I2099" s="2">
        <v>700</v>
      </c>
      <c r="J2099"/>
      <c r="K2099"/>
      <c r="L2099" s="44" t="str" cm="1">
        <f t="array" ref="L2099">+_xlfn.IFS(COUNTIF(INGRESOS!E:E,Tabla6[[#This Row],[ID FACTURA]])=1,"PAGADA",Tabla6[[#This Row],[ID FACTURA]]&lt;&gt;0,"EMITIDA",Tabla6[[#This Row],[ID FACTURA]]=0,"POR EMITIR")</f>
        <v>POR EMITIR</v>
      </c>
      <c r="M2099" s="55" t="str">
        <f>+IF(Tabla6[[#This Row],[ESTADO FACTURA]]="PAGADA",Tabla6[[#This Row],[FECHA]]-_xlfn.XLOOKUP(Tabla6[[#This Row],[N° FACTURA]],INGRESOS!F:F,INGRESOS!A:A),"-")</f>
        <v>-</v>
      </c>
      <c r="N2099" s="2"/>
      <c r="O2099"/>
    </row>
    <row r="2100" spans="1:15" ht="14.75" customHeight="1">
      <c r="A2100" s="320" t="s">
        <v>541</v>
      </c>
      <c r="B2100" t="str">
        <f>+_xlfn.XLOOKUP(Tabla6[[#This Row],[ID CLIENTE]],'RESUMEN CLIENTES'!D:D,'RESUMEN CLIENTES'!A:A)</f>
        <v>Alejandra Goretti Figueroa Romo</v>
      </c>
      <c r="C2100" t="str">
        <f>+_xlfn.XLOOKUP(Tabla6[[#This Row],[ID CLIENTE]],'RESUMEN CLIENTES'!D:D,'RESUMEN CLIENTES'!C:C)</f>
        <v>México</v>
      </c>
      <c r="D2100" s="44" t="str">
        <f>+_xlfn.XLOOKUP(Tabla6[[#This Row],[ID CLIENTE]],'RESUMEN CLIENTES'!D:D,'RESUMEN CLIENTES'!M:M)</f>
        <v>OK</v>
      </c>
      <c r="E2100" s="72">
        <f>+_xlfn.XLOOKUP(Tabla6[[#This Row],[NOMBRE]],'RESUMEN CLIENTES'!A:A,'RESUMEN CLIENTES'!X:X)</f>
        <v>0.75</v>
      </c>
      <c r="F2100" s="72">
        <f>+_xlfn.XLOOKUP(Tabla6[[#This Row],[ID CLIENTE]],'RESUMEN CLIENTES'!D:D,'RESUMEN CLIENTES'!W:W)</f>
        <v>0</v>
      </c>
      <c r="G2100" s="17">
        <f>IF($H2100&lt;&gt;"ALEM","",IFERROR(
  DATE(
    YEAR(EDATE(
      _xlfn.XLOOKUP($A2100,'RESUMEN CLIENTES'!$D:$D,'RESUMEN CLIENTES'!$Y:$Y,""),
      7 + COUNTIFS(
            $A$2:INDEX($A:$A,ROW()), $A2100,
            $H$2:INDEX($H:$H,ROW()), "ALEM"
          )
    )),
    MONTH(EDATE(
      _xlfn.XLOOKUP($A2100,'RESUMEN CLIENTES'!$D:$D,'RESUMEN CLIENTES'!$Y:$Y,""),
      7 + COUNTIFS(
            $A$2:INDEX($A:$A,ROW()), $A2100,
            $H$2:INDEX($H:$H,ROW()), "ALEM"
          )
    )),
    1
  ),
"SIN FECHA MIG"))</f>
        <v>46447</v>
      </c>
      <c r="H2100" s="44" t="s">
        <v>1876</v>
      </c>
      <c r="I2100" s="2">
        <v>1000</v>
      </c>
      <c r="J2100"/>
      <c r="K2100"/>
      <c r="L2100" s="44" t="str" cm="1">
        <f t="array" ref="L2100">+_xlfn.IFS(COUNTIF(INGRESOS!E:E,Tabla6[[#This Row],[ID FACTURA]])=1,"PAGADA",Tabla6[[#This Row],[ID FACTURA]]&lt;&gt;0,"EMITIDA",Tabla6[[#This Row],[ID FACTURA]]=0,"POR EMITIR")</f>
        <v>POR EMITIR</v>
      </c>
      <c r="M2100" s="55" t="str">
        <f>+IF(Tabla6[[#This Row],[ESTADO FACTURA]]="PAGADA",Tabla6[[#This Row],[FECHA]]-_xlfn.XLOOKUP(Tabla6[[#This Row],[N° FACTURA]],INGRESOS!F:F,INGRESOS!A:A),"-")</f>
        <v>-</v>
      </c>
      <c r="N2100" s="2"/>
      <c r="O2100"/>
    </row>
    <row r="2101" spans="1:15" ht="14.75" customHeight="1">
      <c r="A2101" s="320" t="s">
        <v>84</v>
      </c>
      <c r="B2101" t="str">
        <f>+_xlfn.XLOOKUP(Tabla6[[#This Row],[ID CLIENTE]],'RESUMEN CLIENTES'!D:D,'RESUMEN CLIENTES'!A:A)</f>
        <v>Andrea Corpeño López</v>
      </c>
      <c r="C2101" t="str">
        <f>+_xlfn.XLOOKUP(Tabla6[[#This Row],[ID CLIENTE]],'RESUMEN CLIENTES'!D:D,'RESUMEN CLIENTES'!C:C)</f>
        <v>El Salvador</v>
      </c>
      <c r="D2101" s="44" t="str">
        <f>+_xlfn.XLOOKUP(Tabla6[[#This Row],[ID CLIENTE]],'RESUMEN CLIENTES'!D:D,'RESUMEN CLIENTES'!M:M)</f>
        <v>OK</v>
      </c>
      <c r="E2101" s="72">
        <f>+_xlfn.XLOOKUP(Tabla6[[#This Row],[NOMBRE]],'RESUMEN CLIENTES'!A:A,'RESUMEN CLIENTES'!X:X)</f>
        <v>-0.81818181818181823</v>
      </c>
      <c r="F2101" s="72">
        <f>+_xlfn.XLOOKUP(Tabla6[[#This Row],[ID CLIENTE]],'RESUMEN CLIENTES'!D:D,'RESUMEN CLIENTES'!W:W)</f>
        <v>0</v>
      </c>
      <c r="G2101" s="17">
        <f>IF($H2101&lt;&gt;"ALEM","",IFERROR(
  DATE(
    YEAR(EDATE(
      _xlfn.XLOOKUP($A2101,'RESUMEN CLIENTES'!$D:$D,'RESUMEN CLIENTES'!$Y:$Y,""),
      7 + COUNTIFS(
            $A$2:INDEX($A:$A,ROW()), $A2101,
            $H$2:INDEX($H:$H,ROW()), "ALEM"
          )
    )),
    MONTH(EDATE(
      _xlfn.XLOOKUP($A2101,'RESUMEN CLIENTES'!$D:$D,'RESUMEN CLIENTES'!$Y:$Y,""),
      7 + COUNTIFS(
            $A$2:INDEX($A:$A,ROW()), $A2101,
            $H$2:INDEX($H:$H,ROW()), "ALEM"
          )
    )),
    1
  ),
"SIN FECHA MIG"))</f>
        <v>46447</v>
      </c>
      <c r="H2101" s="44" t="s">
        <v>1876</v>
      </c>
      <c r="I2101" s="2">
        <v>1000</v>
      </c>
      <c r="J2101"/>
      <c r="K2101"/>
      <c r="L2101" s="44" t="str" cm="1">
        <f t="array" ref="L2101">+_xlfn.IFS(COUNTIF(INGRESOS!E:E,Tabla6[[#This Row],[ID FACTURA]])=1,"PAGADA",Tabla6[[#This Row],[ID FACTURA]]&lt;&gt;0,"EMITIDA",Tabla6[[#This Row],[ID FACTURA]]=0,"POR EMITIR")</f>
        <v>POR EMITIR</v>
      </c>
      <c r="M2101" s="55" t="str">
        <f>+IF(Tabla6[[#This Row],[ESTADO FACTURA]]="PAGADA",Tabla6[[#This Row],[FECHA]]-_xlfn.XLOOKUP(Tabla6[[#This Row],[N° FACTURA]],INGRESOS!F:F,INGRESOS!A:A),"-")</f>
        <v>-</v>
      </c>
      <c r="N2101" s="2"/>
      <c r="O2101" t="s">
        <v>2086</v>
      </c>
    </row>
    <row r="2102" spans="1:15" ht="14.75" customHeight="1">
      <c r="A2102" s="320" t="s">
        <v>1357</v>
      </c>
      <c r="B2102" t="str">
        <f>+_xlfn.XLOOKUP(Tabla6[[#This Row],[ID CLIENTE]],'RESUMEN CLIENTES'!D:D,'RESUMEN CLIENTES'!A:A)</f>
        <v>Angel Andres Velastegui Huebla</v>
      </c>
      <c r="C2102" t="str">
        <f>+_xlfn.XLOOKUP(Tabla6[[#This Row],[ID CLIENTE]],'RESUMEN CLIENTES'!D:D,'RESUMEN CLIENTES'!C:C)</f>
        <v>Ecuador</v>
      </c>
      <c r="D2102" s="44" t="str">
        <f>+_xlfn.XLOOKUP(Tabla6[[#This Row],[ID CLIENTE]],'RESUMEN CLIENTES'!D:D,'RESUMEN CLIENTES'!M:M)</f>
        <v>OK</v>
      </c>
      <c r="E2102" s="71">
        <f>+_xlfn.XLOOKUP(Tabla6[[#This Row],[NOMBRE]],'RESUMEN CLIENTES'!A:A,'RESUMEN CLIENTES'!X:X)</f>
        <v>0</v>
      </c>
      <c r="F2102" s="71">
        <f>+_xlfn.XLOOKUP(Tabla6[[#This Row],[ID CLIENTE]],'RESUMEN CLIENTES'!D:D,'RESUMEN CLIENTES'!W:W)</f>
        <v>1</v>
      </c>
      <c r="G2102" s="17">
        <f>IF($H2102&lt;&gt;"ALEM","",IFERROR(
  DATE(
    YEAR(EDATE(
      _xlfn.XLOOKUP($A2102,'RESUMEN CLIENTES'!$D:$D,'RESUMEN CLIENTES'!$Y:$Y,""),
      7 + COUNTIFS(
            $A$2:INDEX($A:$A,ROW()), $A2102,
            $H$2:INDEX($H:$H,ROW()), "ALEM"
          )
    )),
    MONTH(EDATE(
      _xlfn.XLOOKUP($A2102,'RESUMEN CLIENTES'!$D:$D,'RESUMEN CLIENTES'!$Y:$Y,""),
      7 + COUNTIFS(
            $A$2:INDEX($A:$A,ROW()), $A2102,
            $H$2:INDEX($H:$H,ROW()), "ALEM"
          )
    )),
    1
  ),
"SIN FECHA MIG"))</f>
        <v>46447</v>
      </c>
      <c r="H2102" s="44" t="s">
        <v>1876</v>
      </c>
      <c r="I2102" s="2">
        <v>800</v>
      </c>
      <c r="J2102"/>
      <c r="K2102"/>
      <c r="L2102" s="44" t="str" cm="1">
        <f t="array" ref="L2102">+_xlfn.IFS(COUNTIF(INGRESOS!E:E,Tabla6[[#This Row],[ID FACTURA]])=1,"PAGADA",Tabla6[[#This Row],[ID FACTURA]]&lt;&gt;0,"EMITIDA",Tabla6[[#This Row],[ID FACTURA]]=0,"POR EMITIR")</f>
        <v>POR EMITIR</v>
      </c>
      <c r="M2102" s="55" t="str">
        <f>+IF(Tabla6[[#This Row],[ESTADO FACTURA]]="PAGADA",Tabla6[[#This Row],[FECHA]]-_xlfn.XLOOKUP(Tabla6[[#This Row],[N° FACTURA]],INGRESOS!F:F,INGRESOS!A:A),"-")</f>
        <v>-</v>
      </c>
      <c r="N2102" s="2"/>
      <c r="O2102"/>
    </row>
    <row r="2103" spans="1:15" ht="14.75" customHeight="1">
      <c r="A2103" s="320" t="s">
        <v>574</v>
      </c>
      <c r="B2103" t="str">
        <f>+_xlfn.XLOOKUP(Tabla6[[#This Row],[ID CLIENTE]],'RESUMEN CLIENTES'!D:D,'RESUMEN CLIENTES'!A:A)</f>
        <v>Astrid Mariam Enamorado Ortega</v>
      </c>
      <c r="C2103" t="str">
        <f>+_xlfn.XLOOKUP(Tabla6[[#This Row],[ID CLIENTE]],'RESUMEN CLIENTES'!D:D,'RESUMEN CLIENTES'!C:C)</f>
        <v>Honduras</v>
      </c>
      <c r="D2103" s="44" t="str">
        <f>+_xlfn.XLOOKUP(Tabla6[[#This Row],[ID CLIENTE]],'RESUMEN CLIENTES'!D:D,'RESUMEN CLIENTES'!M:M)</f>
        <v>OK</v>
      </c>
      <c r="E2103" s="72">
        <f>+_xlfn.XLOOKUP(Tabla6[[#This Row],[NOMBRE]],'RESUMEN CLIENTES'!A:A,'RESUMEN CLIENTES'!X:X)</f>
        <v>-1.75</v>
      </c>
      <c r="F2103" s="72">
        <f>+_xlfn.XLOOKUP(Tabla6[[#This Row],[ID CLIENTE]],'RESUMEN CLIENTES'!D:D,'RESUMEN CLIENTES'!W:W)</f>
        <v>0</v>
      </c>
      <c r="G2103" s="17">
        <f>IF($H2103&lt;&gt;"ALEM","",IFERROR(
  DATE(
    YEAR(EDATE(
      _xlfn.XLOOKUP($A2103,'RESUMEN CLIENTES'!$D:$D,'RESUMEN CLIENTES'!$Y:$Y,""),
      7 + COUNTIFS(
            $A$2:INDEX($A:$A,ROW()), $A2103,
            $H$2:INDEX($H:$H,ROW()), "ALEM"
          )
    )),
    MONTH(EDATE(
      _xlfn.XLOOKUP($A2103,'RESUMEN CLIENTES'!$D:$D,'RESUMEN CLIENTES'!$Y:$Y,""),
      7 + COUNTIFS(
            $A$2:INDEX($A:$A,ROW()), $A2103,
            $H$2:INDEX($H:$H,ROW()), "ALEM"
          )
    )),
    1
  ),
"SIN FECHA MIG"))</f>
        <v>46447</v>
      </c>
      <c r="H2103" s="44" t="s">
        <v>1876</v>
      </c>
      <c r="I2103" s="2">
        <v>1000</v>
      </c>
      <c r="J2103"/>
      <c r="K2103"/>
      <c r="L2103" s="44" t="str" cm="1">
        <f t="array" ref="L2103">+_xlfn.IFS(COUNTIF(INGRESOS!E:E,Tabla6[[#This Row],[ID FACTURA]])=1,"PAGADA",Tabla6[[#This Row],[ID FACTURA]]&lt;&gt;0,"EMITIDA",Tabla6[[#This Row],[ID FACTURA]]=0,"POR EMITIR")</f>
        <v>POR EMITIR</v>
      </c>
      <c r="M2103" s="55" t="str">
        <f>+IF(Tabla6[[#This Row],[ESTADO FACTURA]]="PAGADA",Tabla6[[#This Row],[FECHA]]-_xlfn.XLOOKUP(Tabla6[[#This Row],[N° FACTURA]],INGRESOS!F:F,INGRESOS!A:A),"-")</f>
        <v>-</v>
      </c>
      <c r="N2103" s="2"/>
      <c r="O2103"/>
    </row>
    <row r="2104" spans="1:15" ht="14.75" customHeight="1">
      <c r="A2104" s="320" t="s">
        <v>2011</v>
      </c>
      <c r="B2104" t="str">
        <f>+_xlfn.XLOOKUP(Tabla6[[#This Row],[ID CLIENTE]],'RESUMEN CLIENTES'!D:D,'RESUMEN CLIENTES'!A:A)</f>
        <v>Bárbara Fuentes</v>
      </c>
      <c r="C2104" t="str">
        <f>+_xlfn.XLOOKUP(Tabla6[[#This Row],[ID CLIENTE]],'RESUMEN CLIENTES'!D:D,'RESUMEN CLIENTES'!C:C)</f>
        <v>Chile</v>
      </c>
      <c r="D2104" s="169" t="str">
        <f>+_xlfn.XLOOKUP(Tabla6[[#This Row],[ID CLIENTE]],'RESUMEN CLIENTES'!D:D,'RESUMEN CLIENTES'!M:M)</f>
        <v>OK</v>
      </c>
      <c r="E2104" s="71">
        <f>+_xlfn.XLOOKUP(Tabla6[[#This Row],[NOMBRE]],'RESUMEN CLIENTES'!A:A,'RESUMEN CLIENTES'!X:X)</f>
        <v>-0.33333333333333331</v>
      </c>
      <c r="F2104" s="71">
        <f>+_xlfn.XLOOKUP(Tabla6[[#This Row],[ID CLIENTE]],'RESUMEN CLIENTES'!D:D,'RESUMEN CLIENTES'!W:W)</f>
        <v>0</v>
      </c>
      <c r="G2104" s="17">
        <f>IF($H2104&lt;&gt;"ALEM","",IFERROR(
  DATE(
    YEAR(EDATE(
      _xlfn.XLOOKUP($A2104,'RESUMEN CLIENTES'!$D:$D,'RESUMEN CLIENTES'!$Y:$Y,""),
      7 + COUNTIFS(
            $A$2:INDEX($A:$A,ROW()), $A2104,
            $H$2:INDEX($H:$H,ROW()), "ALEM"
          )
    )),
    MONTH(EDATE(
      _xlfn.XLOOKUP($A2104,'RESUMEN CLIENTES'!$D:$D,'RESUMEN CLIENTES'!$Y:$Y,""),
      7 + COUNTIFS(
            $A$2:INDEX($A:$A,ROW()), $A2104,
            $H$2:INDEX($H:$H,ROW()), "ALEM"
          )
    )),
    1
  ),
"null"))</f>
        <v>46447</v>
      </c>
      <c r="H2104" s="169" t="s">
        <v>1876</v>
      </c>
      <c r="I2104" s="2">
        <v>1000</v>
      </c>
      <c r="J2104"/>
      <c r="K2104"/>
      <c r="L2104" s="44" t="str" cm="1">
        <f t="array" ref="L2104">+_xlfn.IFS(COUNTIF(INGRESOS!E:E,Tabla6[[#This Row],[ID FACTURA]])=1,"PAGADA",Tabla6[[#This Row],[ID FACTURA]]&lt;&gt;0,"EMITIDA",Tabla6[[#This Row],[ID FACTURA]]=0,"POR EMITIR")</f>
        <v>POR EMITIR</v>
      </c>
      <c r="M2104" s="54" t="str">
        <f>+IF(Tabla6[[#This Row],[ESTADO FACTURA]]="PAGADA",Tabla6[[#This Row],[FECHA]]-_xlfn.XLOOKUP(Tabla6[[#This Row],[N° FACTURA]],INGRESOS!F:F,INGRESOS!A:A),"-")</f>
        <v>-</v>
      </c>
      <c r="O2104"/>
    </row>
    <row r="2105" spans="1:15" ht="14.75" customHeight="1">
      <c r="A2105" s="320" t="s">
        <v>162</v>
      </c>
      <c r="B2105" t="str">
        <f>+_xlfn.XLOOKUP(Tabla6[[#This Row],[ID CLIENTE]],'RESUMEN CLIENTES'!D:D,'RESUMEN CLIENTES'!A:A)</f>
        <v>Bastian Sofjer Peralta</v>
      </c>
      <c r="C2105" t="str">
        <f>+_xlfn.XLOOKUP(Tabla6[[#This Row],[ID CLIENTE]],'RESUMEN CLIENTES'!D:D,'RESUMEN CLIENTES'!C:C)</f>
        <v>Chile</v>
      </c>
      <c r="D2105" s="44" t="str">
        <f>+_xlfn.XLOOKUP(Tabla6[[#This Row],[ID CLIENTE]],'RESUMEN CLIENTES'!D:D,'RESUMEN CLIENTES'!M:M)</f>
        <v>OK</v>
      </c>
      <c r="E2105" s="72">
        <f>+_xlfn.XLOOKUP(Tabla6[[#This Row],[NOMBRE]],'RESUMEN CLIENTES'!A:A,'RESUMEN CLIENTES'!X:X)</f>
        <v>4.125</v>
      </c>
      <c r="F2105" s="72">
        <f>+_xlfn.XLOOKUP(Tabla6[[#This Row],[ID CLIENTE]],'RESUMEN CLIENTES'!D:D,'RESUMEN CLIENTES'!W:W)</f>
        <v>1</v>
      </c>
      <c r="G2105" s="17">
        <f>IF($H2105&lt;&gt;"ALEM","",IFERROR(
  DATE(
    YEAR(EDATE(
      _xlfn.XLOOKUP($A2105,'RESUMEN CLIENTES'!$D:$D,'RESUMEN CLIENTES'!$Y:$Y,""),
      7 + COUNTIFS(
            $A$2:INDEX($A:$A,ROW()), $A2105,
            $H$2:INDEX($H:$H,ROW()), "ALEM"
          )
    )),
    MONTH(EDATE(
      _xlfn.XLOOKUP($A2105,'RESUMEN CLIENTES'!$D:$D,'RESUMEN CLIENTES'!$Y:$Y,""),
      7 + COUNTIFS(
            $A$2:INDEX($A:$A,ROW()), $A2105,
            $H$2:INDEX($H:$H,ROW()), "ALEM"
          )
    )),
    1
  ),
"SIN FECHA MIG"))</f>
        <v>46447</v>
      </c>
      <c r="H2105" s="44" t="s">
        <v>1876</v>
      </c>
      <c r="I2105" s="2">
        <v>1000</v>
      </c>
      <c r="J2105"/>
      <c r="K2105"/>
      <c r="L2105" s="44" t="str" cm="1">
        <f t="array" ref="L2105">+_xlfn.IFS(COUNTIF(INGRESOS!E:E,Tabla6[[#This Row],[ID FACTURA]])=1,"PAGADA",Tabla6[[#This Row],[ID FACTURA]]&lt;&gt;0,"EMITIDA",Tabla6[[#This Row],[ID FACTURA]]=0,"POR EMITIR")</f>
        <v>POR EMITIR</v>
      </c>
      <c r="M2105" s="55" t="str">
        <f>+IF(Tabla6[[#This Row],[ESTADO FACTURA]]="PAGADA",Tabla6[[#This Row],[FECHA]]-_xlfn.XLOOKUP(Tabla6[[#This Row],[N° FACTURA]],INGRESOS!F:F,INGRESOS!A:A),"-")</f>
        <v>-</v>
      </c>
      <c r="N2105" s="2"/>
      <c r="O2105" t="s">
        <v>2086</v>
      </c>
    </row>
    <row r="2106" spans="1:15" ht="14.75" customHeight="1">
      <c r="A2106" s="320" t="s">
        <v>184</v>
      </c>
      <c r="B2106" t="str">
        <f>+_xlfn.XLOOKUP(Tabla6[[#This Row],[ID CLIENTE]],'RESUMEN CLIENTES'!D:D,'RESUMEN CLIENTES'!A:A)</f>
        <v>Boris Andrés Silva Véliz</v>
      </c>
      <c r="C2106" t="str">
        <f>+_xlfn.XLOOKUP(Tabla6[[#This Row],[ID CLIENTE]],'RESUMEN CLIENTES'!D:D,'RESUMEN CLIENTES'!C:C)</f>
        <v>Chile</v>
      </c>
      <c r="D2106" s="44" t="str">
        <f>+_xlfn.XLOOKUP(Tabla6[[#This Row],[ID CLIENTE]],'RESUMEN CLIENTES'!D:D,'RESUMEN CLIENTES'!M:M)</f>
        <v>OK</v>
      </c>
      <c r="E2106" s="72">
        <f>+_xlfn.XLOOKUP(Tabla6[[#This Row],[NOMBRE]],'RESUMEN CLIENTES'!A:A,'RESUMEN CLIENTES'!X:X)</f>
        <v>2.1111111111111112</v>
      </c>
      <c r="F2106" s="72">
        <f>+_xlfn.XLOOKUP(Tabla6[[#This Row],[ID CLIENTE]],'RESUMEN CLIENTES'!D:D,'RESUMEN CLIENTES'!W:W)</f>
        <v>0</v>
      </c>
      <c r="G2106" s="17">
        <f>IF($H2106&lt;&gt;"ALEM","",IFERROR(
  DATE(
    YEAR(EDATE(
      _xlfn.XLOOKUP($A2106,'RESUMEN CLIENTES'!$D:$D,'RESUMEN CLIENTES'!$Y:$Y,""),
      7 + COUNTIFS(
            $A$2:INDEX($A:$A,ROW()), $A2106,
            $H$2:INDEX($H:$H,ROW()), "ALEM"
          )
    )),
    MONTH(EDATE(
      _xlfn.XLOOKUP($A2106,'RESUMEN CLIENTES'!$D:$D,'RESUMEN CLIENTES'!$Y:$Y,""),
      7 + COUNTIFS(
            $A$2:INDEX($A:$A,ROW()), $A2106,
            $H$2:INDEX($H:$H,ROW()), "ALEM"
          )
    )),
    1
  ),
"SIN FECHA MIG"))</f>
        <v>46447</v>
      </c>
      <c r="H2106" s="44" t="s">
        <v>1876</v>
      </c>
      <c r="I2106" s="2">
        <v>458</v>
      </c>
      <c r="J2106"/>
      <c r="K2106"/>
      <c r="L2106" s="44" t="str" cm="1">
        <f t="array" ref="L2106">+_xlfn.IFS(COUNTIF(INGRESOS!E:E,Tabla6[[#This Row],[ID FACTURA]])=1,"PAGADA",Tabla6[[#This Row],[ID FACTURA]]&lt;&gt;0,"EMITIDA",Tabla6[[#This Row],[ID FACTURA]]=0,"POR EMITIR")</f>
        <v>POR EMITIR</v>
      </c>
      <c r="M2106" s="55" t="str">
        <f>+IF(Tabla6[[#This Row],[ESTADO FACTURA]]="PAGADA",Tabla6[[#This Row],[FECHA]]-_xlfn.XLOOKUP(Tabla6[[#This Row],[N° FACTURA]],INGRESOS!F:F,INGRESOS!A:A),"-")</f>
        <v>-</v>
      </c>
      <c r="N2106" s="2"/>
      <c r="O2106"/>
    </row>
    <row r="2107" spans="1:15" ht="14.75" customHeight="1">
      <c r="A2107" s="320" t="s">
        <v>1206</v>
      </c>
      <c r="B2107" t="str">
        <f>+_xlfn.XLOOKUP(Tabla6[[#This Row],[ID CLIENTE]],'RESUMEN CLIENTES'!D:D,'RESUMEN CLIENTES'!A:A)</f>
        <v>Bryan Israel Jiménez Puente</v>
      </c>
      <c r="C2107" t="str">
        <f>+_xlfn.XLOOKUP(Tabla6[[#This Row],[ID CLIENTE]],'RESUMEN CLIENTES'!D:D,'RESUMEN CLIENTES'!C:C)</f>
        <v>Ecuador</v>
      </c>
      <c r="D2107" s="44" t="str">
        <f>+_xlfn.XLOOKUP(Tabla6[[#This Row],[ID CLIENTE]],'RESUMEN CLIENTES'!D:D,'RESUMEN CLIENTES'!M:M)</f>
        <v>OK</v>
      </c>
      <c r="E2107" s="72">
        <f>+_xlfn.XLOOKUP(Tabla6[[#This Row],[NOMBRE]],'RESUMEN CLIENTES'!A:A,'RESUMEN CLIENTES'!X:X)</f>
        <v>1</v>
      </c>
      <c r="F2107" s="72">
        <f>+_xlfn.XLOOKUP(Tabla6[[#This Row],[ID CLIENTE]],'RESUMEN CLIENTES'!D:D,'RESUMEN CLIENTES'!W:W)</f>
        <v>0</v>
      </c>
      <c r="G2107" s="17">
        <f>IF($H2107&lt;&gt;"ALEM","",IFERROR(
  DATE(
    YEAR(EDATE(
      _xlfn.XLOOKUP($A2107,'RESUMEN CLIENTES'!$D:$D,'RESUMEN CLIENTES'!$Y:$Y,""),
      7 + COUNTIFS(
            $A$2:INDEX($A:$A,ROW()), $A2107,
            $H$2:INDEX($H:$H,ROW()), "ALEM"
          )
    )),
    MONTH(EDATE(
      _xlfn.XLOOKUP($A2107,'RESUMEN CLIENTES'!$D:$D,'RESUMEN CLIENTES'!$Y:$Y,""),
      7 + COUNTIFS(
            $A$2:INDEX($A:$A,ROW()), $A2107,
            $H$2:INDEX($H:$H,ROW()), "ALEM"
          )
    )),
    1
  ),
"SIN FECHA MIG"))</f>
        <v>46447</v>
      </c>
      <c r="H2107" s="44" t="s">
        <v>1876</v>
      </c>
      <c r="I2107" s="2">
        <v>800</v>
      </c>
      <c r="J2107"/>
      <c r="K2107"/>
      <c r="L2107" s="44" t="str" cm="1">
        <f t="array" ref="L2107">+_xlfn.IFS(COUNTIF(INGRESOS!E:E,Tabla6[[#This Row],[ID FACTURA]])=1,"PAGADA",Tabla6[[#This Row],[ID FACTURA]]&lt;&gt;0,"EMITIDA",Tabla6[[#This Row],[ID FACTURA]]=0,"POR EMITIR")</f>
        <v>POR EMITIR</v>
      </c>
      <c r="M2107" s="55" t="str">
        <f>+IF(Tabla6[[#This Row],[ESTADO FACTURA]]="PAGADA",Tabla6[[#This Row],[FECHA]]-_xlfn.XLOOKUP(Tabla6[[#This Row],[N° FACTURA]],INGRESOS!F:F,INGRESOS!A:A),"-")</f>
        <v>-</v>
      </c>
      <c r="N2107" s="2"/>
      <c r="O2107" t="s">
        <v>2084</v>
      </c>
    </row>
    <row r="2108" spans="1:15" ht="14.75" customHeight="1">
      <c r="A2108" s="320" t="s">
        <v>226</v>
      </c>
      <c r="B2108" t="str">
        <f>+_xlfn.XLOOKUP(Tabla6[[#This Row],[ID CLIENTE]],'RESUMEN CLIENTES'!D:D,'RESUMEN CLIENTES'!A:A)</f>
        <v>Carlos Josue Escobar Morán</v>
      </c>
      <c r="C2108" t="str">
        <f>+_xlfn.XLOOKUP(Tabla6[[#This Row],[ID CLIENTE]],'RESUMEN CLIENTES'!D:D,'RESUMEN CLIENTES'!C:C)</f>
        <v>El Salvador</v>
      </c>
      <c r="D2108" s="44" t="str">
        <f>+_xlfn.XLOOKUP(Tabla6[[#This Row],[ID CLIENTE]],'RESUMEN CLIENTES'!D:D,'RESUMEN CLIENTES'!M:M)</f>
        <v>OK</v>
      </c>
      <c r="E2108" s="72">
        <f>+_xlfn.XLOOKUP(Tabla6[[#This Row],[NOMBRE]],'RESUMEN CLIENTES'!A:A,'RESUMEN CLIENTES'!X:X)</f>
        <v>0.8</v>
      </c>
      <c r="F2108" s="72">
        <f>+_xlfn.XLOOKUP(Tabla6[[#This Row],[ID CLIENTE]],'RESUMEN CLIENTES'!D:D,'RESUMEN CLIENTES'!W:W)</f>
        <v>0</v>
      </c>
      <c r="G2108" s="17">
        <f>IF($H2108&lt;&gt;"ALEM","",IFERROR(
  DATE(
    YEAR(EDATE(
      _xlfn.XLOOKUP($A2108,'RESUMEN CLIENTES'!$D:$D,'RESUMEN CLIENTES'!$Y:$Y,""),
      7 + COUNTIFS(
            $A$2:INDEX($A:$A,ROW()), $A2108,
            $H$2:INDEX($H:$H,ROW()), "ALEM"
          )
    )),
    MONTH(EDATE(
      _xlfn.XLOOKUP($A2108,'RESUMEN CLIENTES'!$D:$D,'RESUMEN CLIENTES'!$Y:$Y,""),
      7 + COUNTIFS(
            $A$2:INDEX($A:$A,ROW()), $A2108,
            $H$2:INDEX($H:$H,ROW()), "ALEM"
          )
    )),
    1
  ),
"SIN FECHA MIG"))</f>
        <v>46447</v>
      </c>
      <c r="H2108" s="44" t="s">
        <v>1876</v>
      </c>
      <c r="I2108" s="2">
        <v>500</v>
      </c>
      <c r="J2108"/>
      <c r="K2108"/>
      <c r="L2108" s="44" t="str" cm="1">
        <f t="array" ref="L2108">+_xlfn.IFS(COUNTIF(INGRESOS!E:E,Tabla6[[#This Row],[ID FACTURA]])=1,"PAGADA",Tabla6[[#This Row],[ID FACTURA]]&lt;&gt;0,"EMITIDA",Tabla6[[#This Row],[ID FACTURA]]=0,"POR EMITIR")</f>
        <v>POR EMITIR</v>
      </c>
      <c r="M2108" s="55" t="str">
        <f>+IF(Tabla6[[#This Row],[ESTADO FACTURA]]="PAGADA",Tabla6[[#This Row],[FECHA]]-_xlfn.XLOOKUP(Tabla6[[#This Row],[N° FACTURA]],INGRESOS!F:F,INGRESOS!A:A),"-")</f>
        <v>-</v>
      </c>
      <c r="N2108" s="2"/>
      <c r="O2108"/>
    </row>
    <row r="2109" spans="1:15" ht="14.75" customHeight="1">
      <c r="A2109" s="320" t="s">
        <v>479</v>
      </c>
      <c r="B2109" t="str">
        <f>+_xlfn.XLOOKUP(Tabla6[[#This Row],[ID CLIENTE]],'RESUMEN CLIENTES'!D:D,'RESUMEN CLIENTES'!A:A)</f>
        <v>Carlos Mersaim Olivares Sandoval</v>
      </c>
      <c r="C2109" t="str">
        <f>+_xlfn.XLOOKUP(Tabla6[[#This Row],[ID CLIENTE]],'RESUMEN CLIENTES'!D:D,'RESUMEN CLIENTES'!C:C)</f>
        <v>México</v>
      </c>
      <c r="D2109" s="44" t="str">
        <f>+_xlfn.XLOOKUP(Tabla6[[#This Row],[ID CLIENTE]],'RESUMEN CLIENTES'!D:D,'RESUMEN CLIENTES'!M:M)</f>
        <v>OK</v>
      </c>
      <c r="E2109" s="72">
        <f>+_xlfn.XLOOKUP(Tabla6[[#This Row],[NOMBRE]],'RESUMEN CLIENTES'!A:A,'RESUMEN CLIENTES'!X:X)</f>
        <v>1.4444444444444444</v>
      </c>
      <c r="F2109" s="72">
        <f>+_xlfn.XLOOKUP(Tabla6[[#This Row],[ID CLIENTE]],'RESUMEN CLIENTES'!D:D,'RESUMEN CLIENTES'!W:W)</f>
        <v>0</v>
      </c>
      <c r="G2109" s="17">
        <f>IF($H2109&lt;&gt;"ALEM","",IFERROR(
  DATE(
    YEAR(EDATE(
      _xlfn.XLOOKUP($A2109,'RESUMEN CLIENTES'!$D:$D,'RESUMEN CLIENTES'!$Y:$Y,""),
      7 + COUNTIFS(
            $A$2:INDEX($A:$A,ROW()), $A2109,
            $H$2:INDEX($H:$H,ROW()), "ALEM"
          )
    )),
    MONTH(EDATE(
      _xlfn.XLOOKUP($A2109,'RESUMEN CLIENTES'!$D:$D,'RESUMEN CLIENTES'!$Y:$Y,""),
      7 + COUNTIFS(
            $A$2:INDEX($A:$A,ROW()), $A2109,
            $H$2:INDEX($H:$H,ROW()), "ALEM"
          )
    )),
    1
  ),
"SIN FECHA MIG"))</f>
        <v>46447</v>
      </c>
      <c r="H2109" s="44" t="s">
        <v>1876</v>
      </c>
      <c r="I2109" s="2">
        <v>1000</v>
      </c>
      <c r="J2109"/>
      <c r="K2109"/>
      <c r="L2109" s="44" t="str" cm="1">
        <f t="array" ref="L2109">+_xlfn.IFS(COUNTIF(INGRESOS!E:E,Tabla6[[#This Row],[ID FACTURA]])=1,"PAGADA",Tabla6[[#This Row],[ID FACTURA]]&lt;&gt;0,"EMITIDA",Tabla6[[#This Row],[ID FACTURA]]=0,"POR EMITIR")</f>
        <v>POR EMITIR</v>
      </c>
      <c r="M2109" s="55" t="str">
        <f>+IF(Tabla6[[#This Row],[ESTADO FACTURA]]="PAGADA",Tabla6[[#This Row],[FECHA]]-_xlfn.XLOOKUP(Tabla6[[#This Row],[N° FACTURA]],INGRESOS!F:F,INGRESOS!A:A),"-")</f>
        <v>-</v>
      </c>
      <c r="N2109" s="2"/>
      <c r="O2109"/>
    </row>
    <row r="2110" spans="1:15" ht="14.75" customHeight="1">
      <c r="A2110" s="320" t="s">
        <v>1245</v>
      </c>
      <c r="B2110" t="str">
        <f>+_xlfn.XLOOKUP(Tabla6[[#This Row],[ID CLIENTE]],'RESUMEN CLIENTES'!D:D,'RESUMEN CLIENTES'!A:A)</f>
        <v>Constanza Andrea Águila Vergara</v>
      </c>
      <c r="C2110" t="str">
        <f>+_xlfn.XLOOKUP(Tabla6[[#This Row],[ID CLIENTE]],'RESUMEN CLIENTES'!D:D,'RESUMEN CLIENTES'!C:C)</f>
        <v>Chile</v>
      </c>
      <c r="D2110" s="44" t="str">
        <f>+_xlfn.XLOOKUP(Tabla6[[#This Row],[ID CLIENTE]],'RESUMEN CLIENTES'!D:D,'RESUMEN CLIENTES'!M:M)</f>
        <v>OK</v>
      </c>
      <c r="E2110" s="71">
        <f>+_xlfn.XLOOKUP(Tabla6[[#This Row],[NOMBRE]],'RESUMEN CLIENTES'!A:A,'RESUMEN CLIENTES'!X:X)</f>
        <v>-0.2</v>
      </c>
      <c r="F2110" s="71">
        <f>+_xlfn.XLOOKUP(Tabla6[[#This Row],[ID CLIENTE]],'RESUMEN CLIENTES'!D:D,'RESUMEN CLIENTES'!W:W)</f>
        <v>1</v>
      </c>
      <c r="G2110" s="17">
        <f>IF($H2110&lt;&gt;"ALEM","",IFERROR(
  DATE(
    YEAR(EDATE(
      _xlfn.XLOOKUP($A2110,'RESUMEN CLIENTES'!$D:$D,'RESUMEN CLIENTES'!$Y:$Y,""),
      7 + COUNTIFS(
            $A$2:INDEX($A:$A,ROW()), $A2110,
            $H$2:INDEX($H:$H,ROW()), "ALEM"
          )
    )),
    MONTH(EDATE(
      _xlfn.XLOOKUP($A2110,'RESUMEN CLIENTES'!$D:$D,'RESUMEN CLIENTES'!$Y:$Y,""),
      7 + COUNTIFS(
            $A$2:INDEX($A:$A,ROW()), $A2110,
            $H$2:INDEX($H:$H,ROW()), "ALEM"
          )
    )),
    1
  ),
"SIN FECHA MIG"))</f>
        <v>46447</v>
      </c>
      <c r="H2110" s="44" t="s">
        <v>1876</v>
      </c>
      <c r="I2110" s="2">
        <v>800</v>
      </c>
      <c r="J2110"/>
      <c r="K2110"/>
      <c r="L2110" s="44" t="str" cm="1">
        <f t="array" ref="L2110">+_xlfn.IFS(COUNTIF(INGRESOS!E:E,Tabla6[[#This Row],[ID FACTURA]])=1,"PAGADA",Tabla6[[#This Row],[ID FACTURA]]&lt;&gt;0,"EMITIDA",Tabla6[[#This Row],[ID FACTURA]]=0,"POR EMITIR")</f>
        <v>POR EMITIR</v>
      </c>
      <c r="M2110" s="55" t="str">
        <f>+IF(Tabla6[[#This Row],[ESTADO FACTURA]]="PAGADA",Tabla6[[#This Row],[FECHA]]-_xlfn.XLOOKUP(Tabla6[[#This Row],[N° FACTURA]],INGRESOS!F:F,INGRESOS!A:A),"-")</f>
        <v>-</v>
      </c>
      <c r="N2110" s="2"/>
      <c r="O2110"/>
    </row>
    <row r="2111" spans="1:15" ht="14.75" customHeight="1">
      <c r="A2111" s="320" t="s">
        <v>90</v>
      </c>
      <c r="B2111" t="str">
        <f>+_xlfn.XLOOKUP(Tabla6[[#This Row],[ID CLIENTE]],'RESUMEN CLIENTES'!D:D,'RESUMEN CLIENTES'!A:A)</f>
        <v>David Enrique Díaz Mejía</v>
      </c>
      <c r="C2111" t="str">
        <f>+_xlfn.XLOOKUP(Tabla6[[#This Row],[ID CLIENTE]],'RESUMEN CLIENTES'!D:D,'RESUMEN CLIENTES'!C:C)</f>
        <v>Honduras</v>
      </c>
      <c r="D2111" s="44" t="str">
        <f>+_xlfn.XLOOKUP(Tabla6[[#This Row],[ID CLIENTE]],'RESUMEN CLIENTES'!D:D,'RESUMEN CLIENTES'!M:M)</f>
        <v>OK</v>
      </c>
      <c r="E2111" s="72">
        <f>+_xlfn.XLOOKUP(Tabla6[[#This Row],[NOMBRE]],'RESUMEN CLIENTES'!A:A,'RESUMEN CLIENTES'!X:X)</f>
        <v>-15.217592592592862</v>
      </c>
      <c r="F2111" s="72">
        <f>+_xlfn.XLOOKUP(Tabla6[[#This Row],[ID CLIENTE]],'RESUMEN CLIENTES'!D:D,'RESUMEN CLIENTES'!W:W)</f>
        <v>1</v>
      </c>
      <c r="G2111" s="17">
        <f>IF($H2111&lt;&gt;"ALEM","",IFERROR(
  DATE(
    YEAR(EDATE(
      _xlfn.XLOOKUP($A2111,'RESUMEN CLIENTES'!$D:$D,'RESUMEN CLIENTES'!$Y:$Y,""),
      7 + COUNTIFS(
            $A$2:INDEX($A:$A,ROW()), $A2111,
            $H$2:INDEX($H:$H,ROW()), "ALEM"
          )
    )),
    MONTH(EDATE(
      _xlfn.XLOOKUP($A2111,'RESUMEN CLIENTES'!$D:$D,'RESUMEN CLIENTES'!$Y:$Y,""),
      7 + COUNTIFS(
            $A$2:INDEX($A:$A,ROW()), $A2111,
            $H$2:INDEX($H:$H,ROW()), "ALEM"
          )
    )),
    1
  ),
"SIN FECHA MIG"))</f>
        <v>46447</v>
      </c>
      <c r="H2111" s="44" t="s">
        <v>1876</v>
      </c>
      <c r="I2111" s="2">
        <v>1000</v>
      </c>
      <c r="J2111"/>
      <c r="K2111"/>
      <c r="L2111" s="44" t="str" cm="1">
        <f t="array" ref="L2111">+_xlfn.IFS(COUNTIF(INGRESOS!E:E,Tabla6[[#This Row],[ID FACTURA]])=1,"PAGADA",Tabla6[[#This Row],[ID FACTURA]]&lt;&gt;0,"EMITIDA",Tabla6[[#This Row],[ID FACTURA]]=0,"POR EMITIR")</f>
        <v>POR EMITIR</v>
      </c>
      <c r="M2111" s="55" t="str">
        <f>+IF(Tabla6[[#This Row],[ESTADO FACTURA]]="PAGADA",Tabla6[[#This Row],[FECHA]]-_xlfn.XLOOKUP(Tabla6[[#This Row],[N° FACTURA]],INGRESOS!F:F,INGRESOS!A:A),"-")</f>
        <v>-</v>
      </c>
      <c r="N2111" s="2"/>
      <c r="O2111"/>
    </row>
    <row r="2112" spans="1:15" ht="14.75" customHeight="1">
      <c r="A2112" s="320" t="s">
        <v>1674</v>
      </c>
      <c r="B2112" t="str">
        <f>+_xlfn.XLOOKUP(Tabla6[[#This Row],[ID CLIENTE]],'RESUMEN CLIENTES'!D:D,'RESUMEN CLIENTES'!A:A)</f>
        <v>Diego Alberto Ruiz Cifuentes</v>
      </c>
      <c r="C2112" t="str">
        <f>+_xlfn.XLOOKUP(Tabla6[[#This Row],[ID CLIENTE]],'RESUMEN CLIENTES'!D:D,'RESUMEN CLIENTES'!C:C)</f>
        <v>Chile</v>
      </c>
      <c r="D2112" s="169" t="str">
        <f>+_xlfn.XLOOKUP(Tabla6[[#This Row],[ID CLIENTE]],'RESUMEN CLIENTES'!D:D,'RESUMEN CLIENTES'!M:M)</f>
        <v>OK</v>
      </c>
      <c r="E2112" s="71">
        <f>+_xlfn.XLOOKUP(Tabla6[[#This Row],[NOMBRE]],'RESUMEN CLIENTES'!A:A,'RESUMEN CLIENTES'!X:X)</f>
        <v>5.75</v>
      </c>
      <c r="F2112" s="71">
        <f>+_xlfn.XLOOKUP(Tabla6[[#This Row],[ID CLIENTE]],'RESUMEN CLIENTES'!D:D,'RESUMEN CLIENTES'!W:W)</f>
        <v>0</v>
      </c>
      <c r="G2112" s="17">
        <f>IF($H2112&lt;&gt;"ALEM","",IFERROR(
  DATE(
    YEAR(EDATE(
      _xlfn.XLOOKUP($A2112,'RESUMEN CLIENTES'!$D:$D,'RESUMEN CLIENTES'!$Y:$Y,""),
      7 + COUNTIFS(
            $A$2:INDEX($A:$A,ROW()), $A2112,
            $H$2:INDEX($H:$H,ROW()), "ALEM"
          )
    )),
    MONTH(EDATE(
      _xlfn.XLOOKUP($A2112,'RESUMEN CLIENTES'!$D:$D,'RESUMEN CLIENTES'!$Y:$Y,""),
      7 + COUNTIFS(
            $A$2:INDEX($A:$A,ROW()), $A2112,
            $H$2:INDEX($H:$H,ROW()), "ALEM"
          )
    )),
    1
  ),
"SIN FECHA MIG"))</f>
        <v>46447</v>
      </c>
      <c r="H2112" s="169" t="s">
        <v>1876</v>
      </c>
      <c r="I2112" s="2">
        <v>800</v>
      </c>
      <c r="J2112"/>
      <c r="K2112"/>
      <c r="L2112" s="44" t="str" cm="1">
        <f t="array" ref="L2112">+_xlfn.IFS(COUNTIF(INGRESOS!E:E,Tabla6[[#This Row],[ID FACTURA]])=1,"PAGADA",Tabla6[[#This Row],[ID FACTURA]]&lt;&gt;0,"EMITIDA",Tabla6[[#This Row],[ID FACTURA]]=0,"POR EMITIR")</f>
        <v>POR EMITIR</v>
      </c>
      <c r="M2112" s="55" t="str">
        <f>+IF(Tabla6[[#This Row],[ESTADO FACTURA]]="PAGADA",Tabla6[[#This Row],[FECHA]]-_xlfn.XLOOKUP(Tabla6[[#This Row],[N° FACTURA]],INGRESOS!F:F,INGRESOS!A:A),"-")</f>
        <v>-</v>
      </c>
      <c r="N2112" s="2"/>
      <c r="O2112"/>
    </row>
    <row r="2113" spans="1:15" ht="14.75" customHeight="1">
      <c r="A2113" s="320" t="s">
        <v>253</v>
      </c>
      <c r="B2113" t="str">
        <f>+_xlfn.XLOOKUP(Tabla6[[#This Row],[ID CLIENTE]],'RESUMEN CLIENTES'!D:D,'RESUMEN CLIENTES'!A:A)</f>
        <v>Diego Alonso Salazar Palacios</v>
      </c>
      <c r="C2113" t="str">
        <f>+_xlfn.XLOOKUP(Tabla6[[#This Row],[ID CLIENTE]],'RESUMEN CLIENTES'!D:D,'RESUMEN CLIENTES'!C:C)</f>
        <v>Perú</v>
      </c>
      <c r="D2113" s="44" t="str">
        <f>+_xlfn.XLOOKUP(Tabla6[[#This Row],[ID CLIENTE]],'RESUMEN CLIENTES'!D:D,'RESUMEN CLIENTES'!M:M)</f>
        <v>OK</v>
      </c>
      <c r="E2113" s="72">
        <f>+_xlfn.XLOOKUP(Tabla6[[#This Row],[NOMBRE]],'RESUMEN CLIENTES'!A:A,'RESUMEN CLIENTES'!X:X)</f>
        <v>0.18560606059988707</v>
      </c>
      <c r="F2113" s="72">
        <f>+_xlfn.XLOOKUP(Tabla6[[#This Row],[ID CLIENTE]],'RESUMEN CLIENTES'!D:D,'RESUMEN CLIENTES'!W:W)</f>
        <v>1</v>
      </c>
      <c r="G2113" s="17">
        <f>IF($H2113&lt;&gt;"ALEM","",IFERROR(
  DATE(
    YEAR(EDATE(
      _xlfn.XLOOKUP($A2113,'RESUMEN CLIENTES'!$D:$D,'RESUMEN CLIENTES'!$Y:$Y,""),
      7 + COUNTIFS(
            $A$2:INDEX($A:$A,ROW()), $A2113,
            $H$2:INDEX($H:$H,ROW()), "ALEM"
          )
    )),
    MONTH(EDATE(
      _xlfn.XLOOKUP($A2113,'RESUMEN CLIENTES'!$D:$D,'RESUMEN CLIENTES'!$Y:$Y,""),
      7 + COUNTIFS(
            $A$2:INDEX($A:$A,ROW()), $A2113,
            $H$2:INDEX($H:$H,ROW()), "ALEM"
          )
    )),
    1
  ),
"SIN FECHA MIG"))</f>
        <v>46447</v>
      </c>
      <c r="H2113" s="44" t="s">
        <v>1876</v>
      </c>
      <c r="I2113" s="2">
        <v>1000</v>
      </c>
      <c r="J2113"/>
      <c r="K2113"/>
      <c r="L2113" s="44" t="str" cm="1">
        <f t="array" ref="L2113">+_xlfn.IFS(COUNTIF(INGRESOS!E:E,Tabla6[[#This Row],[ID FACTURA]])=1,"PAGADA",Tabla6[[#This Row],[ID FACTURA]]&lt;&gt;0,"EMITIDA",Tabla6[[#This Row],[ID FACTURA]]=0,"POR EMITIR")</f>
        <v>POR EMITIR</v>
      </c>
      <c r="M2113" s="55" t="str">
        <f>+IF(Tabla6[[#This Row],[ESTADO FACTURA]]="PAGADA",Tabla6[[#This Row],[FECHA]]-_xlfn.XLOOKUP(Tabla6[[#This Row],[N° FACTURA]],INGRESOS!F:F,INGRESOS!A:A),"-")</f>
        <v>-</v>
      </c>
      <c r="N2113" s="2"/>
      <c r="O2113"/>
    </row>
    <row r="2114" spans="1:15" ht="14.75" customHeight="1">
      <c r="A2114" s="320" t="s">
        <v>385</v>
      </c>
      <c r="B2114" t="str">
        <f>+_xlfn.XLOOKUP(Tabla6[[#This Row],[ID CLIENTE]],'RESUMEN CLIENTES'!D:D,'RESUMEN CLIENTES'!A:A)</f>
        <v>Ellen Cristina Gerónimo Bonilla</v>
      </c>
      <c r="C2114" t="str">
        <f>+_xlfn.XLOOKUP(Tabla6[[#This Row],[ID CLIENTE]],'RESUMEN CLIENTES'!D:D,'RESUMEN CLIENTES'!C:C)</f>
        <v>República Dominicana</v>
      </c>
      <c r="D2114" s="44" t="str">
        <f>+_xlfn.XLOOKUP(Tabla6[[#This Row],[ID CLIENTE]],'RESUMEN CLIENTES'!D:D,'RESUMEN CLIENTES'!M:M)</f>
        <v>OK</v>
      </c>
      <c r="E2114" s="72">
        <f>+_xlfn.XLOOKUP(Tabla6[[#This Row],[NOMBRE]],'RESUMEN CLIENTES'!A:A,'RESUMEN CLIENTES'!X:X)</f>
        <v>1.5555555555555556</v>
      </c>
      <c r="F2114" s="72">
        <f>+_xlfn.XLOOKUP(Tabla6[[#This Row],[ID CLIENTE]],'RESUMEN CLIENTES'!D:D,'RESUMEN CLIENTES'!W:W)</f>
        <v>1</v>
      </c>
      <c r="G2114" s="17">
        <f>IF($H2114&lt;&gt;"ALEM","",IFERROR(
  DATE(
    YEAR(EDATE(
      _xlfn.XLOOKUP($A2114,'RESUMEN CLIENTES'!$D:$D,'RESUMEN CLIENTES'!$Y:$Y,""),
      7 + COUNTIFS(
            $A$2:INDEX($A:$A,ROW()), $A2114,
            $H$2:INDEX($H:$H,ROW()), "ALEM"
          )
    )),
    MONTH(EDATE(
      _xlfn.XLOOKUP($A2114,'RESUMEN CLIENTES'!$D:$D,'RESUMEN CLIENTES'!$Y:$Y,""),
      7 + COUNTIFS(
            $A$2:INDEX($A:$A,ROW()), $A2114,
            $H$2:INDEX($H:$H,ROW()), "ALEM"
          )
    )),
    1
  ),
"SIN FECHA MIG"))</f>
        <v>46447</v>
      </c>
      <c r="H2114" s="44" t="s">
        <v>1876</v>
      </c>
      <c r="I2114" s="2">
        <v>1000</v>
      </c>
      <c r="J2114"/>
      <c r="K2114"/>
      <c r="L2114" s="44" t="str" cm="1">
        <f t="array" ref="L2114">+_xlfn.IFS(COUNTIF(INGRESOS!E:E,Tabla6[[#This Row],[ID FACTURA]])=1,"PAGADA",Tabla6[[#This Row],[ID FACTURA]]&lt;&gt;0,"EMITIDA",Tabla6[[#This Row],[ID FACTURA]]=0,"POR EMITIR")</f>
        <v>POR EMITIR</v>
      </c>
      <c r="M2114" s="55" t="str">
        <f>+IF(Tabla6[[#This Row],[ESTADO FACTURA]]="PAGADA",Tabla6[[#This Row],[FECHA]]-_xlfn.XLOOKUP(Tabla6[[#This Row],[N° FACTURA]],INGRESOS!F:F,INGRESOS!A:A),"-")</f>
        <v>-</v>
      </c>
      <c r="N2114" s="2"/>
      <c r="O2114"/>
    </row>
    <row r="2115" spans="1:15" ht="14.75" customHeight="1">
      <c r="A2115" s="320" t="s">
        <v>595</v>
      </c>
      <c r="B2115" t="str">
        <f>+_xlfn.XLOOKUP(Tabla6[[#This Row],[ID CLIENTE]],'RESUMEN CLIENTES'!D:D,'RESUMEN CLIENTES'!A:A)</f>
        <v>Erick Leonardo Chiriboga Valdiviezo</v>
      </c>
      <c r="C2115" t="str">
        <f>+_xlfn.XLOOKUP(Tabla6[[#This Row],[ID CLIENTE]],'RESUMEN CLIENTES'!D:D,'RESUMEN CLIENTES'!C:C)</f>
        <v>Ecuador</v>
      </c>
      <c r="D2115" s="44" t="str">
        <f>+_xlfn.XLOOKUP(Tabla6[[#This Row],[ID CLIENTE]],'RESUMEN CLIENTES'!D:D,'RESUMEN CLIENTES'!M:M)</f>
        <v>OK</v>
      </c>
      <c r="E2115" s="72">
        <f>+_xlfn.XLOOKUP(Tabla6[[#This Row],[NOMBRE]],'RESUMEN CLIENTES'!A:A,'RESUMEN CLIENTES'!X:X)</f>
        <v>-0.33333333333333331</v>
      </c>
      <c r="F2115" s="72">
        <f>+_xlfn.XLOOKUP(Tabla6[[#This Row],[ID CLIENTE]],'RESUMEN CLIENTES'!D:D,'RESUMEN CLIENTES'!W:W)</f>
        <v>0</v>
      </c>
      <c r="G2115" s="17">
        <f>IF($H2115&lt;&gt;"ALEM","",IFERROR(
  DATE(
    YEAR(EDATE(
      _xlfn.XLOOKUP($A2115,'RESUMEN CLIENTES'!$D:$D,'RESUMEN CLIENTES'!$Y:$Y,""),
      7 + COUNTIFS(
            $A$2:INDEX($A:$A,ROW()), $A2115,
            $H$2:INDEX($H:$H,ROW()), "ALEM"
          )
    )),
    MONTH(EDATE(
      _xlfn.XLOOKUP($A2115,'RESUMEN CLIENTES'!$D:$D,'RESUMEN CLIENTES'!$Y:$Y,""),
      7 + COUNTIFS(
            $A$2:INDEX($A:$A,ROW()), $A2115,
            $H$2:INDEX($H:$H,ROW()), "ALEM"
          )
    )),
    1
  ),
"null"))</f>
        <v>46447</v>
      </c>
      <c r="H2115" s="44" t="s">
        <v>1876</v>
      </c>
      <c r="I2115" s="2">
        <v>1000</v>
      </c>
      <c r="J2115"/>
      <c r="K2115"/>
      <c r="L2115" s="44" t="str" cm="1">
        <f t="array" ref="L2115">+_xlfn.IFS(COUNTIF(INGRESOS!E:E,Tabla6[[#This Row],[ID FACTURA]])=1,"PAGADA",Tabla6[[#This Row],[ID FACTURA]]&lt;&gt;0,"EMITIDA",Tabla6[[#This Row],[ID FACTURA]]=0,"POR EMITIR")</f>
        <v>POR EMITIR</v>
      </c>
      <c r="M2115" s="55" t="str">
        <f>+IF(Tabla6[[#This Row],[ESTADO FACTURA]]="PAGADA",Tabla6[[#This Row],[FECHA]]-_xlfn.XLOOKUP(Tabla6[[#This Row],[N° FACTURA]],INGRESOS!F:F,INGRESOS!A:A),"-")</f>
        <v>-</v>
      </c>
      <c r="N2115" s="2"/>
      <c r="O2115"/>
    </row>
    <row r="2116" spans="1:15" ht="14.75" customHeight="1">
      <c r="A2116" s="320" t="s">
        <v>250</v>
      </c>
      <c r="B2116" t="str">
        <f>+_xlfn.XLOOKUP(Tabla6[[#This Row],[ID CLIENTE]],'RESUMEN CLIENTES'!D:D,'RESUMEN CLIENTES'!A:A)</f>
        <v>Fernanda Castro</v>
      </c>
      <c r="C2116" t="str">
        <f>+_xlfn.XLOOKUP(Tabla6[[#This Row],[ID CLIENTE]],'RESUMEN CLIENTES'!D:D,'RESUMEN CLIENTES'!C:C)</f>
        <v>Ecuador</v>
      </c>
      <c r="D2116" s="44" t="str">
        <f>+_xlfn.XLOOKUP(Tabla6[[#This Row],[ID CLIENTE]],'RESUMEN CLIENTES'!D:D,'RESUMEN CLIENTES'!M:M)</f>
        <v>OK</v>
      </c>
      <c r="E2116" s="72">
        <f>+_xlfn.XLOOKUP(Tabla6[[#This Row],[NOMBRE]],'RESUMEN CLIENTES'!A:A,'RESUMEN CLIENTES'!X:X)</f>
        <v>0</v>
      </c>
      <c r="F2116" s="72">
        <f>+_xlfn.XLOOKUP(Tabla6[[#This Row],[ID CLIENTE]],'RESUMEN CLIENTES'!D:D,'RESUMEN CLIENTES'!W:W)</f>
        <v>1</v>
      </c>
      <c r="G2116" s="17">
        <f>IF($H2116&lt;&gt;"ALEM","",IFERROR(
  DATE(
    YEAR(EDATE(
      _xlfn.XLOOKUP($A2116,'RESUMEN CLIENTES'!$D:$D,'RESUMEN CLIENTES'!$Y:$Y,""),
      7 + COUNTIFS(
            $A$2:INDEX($A:$A,ROW()), $A2116,
            $H$2:INDEX($H:$H,ROW()), "ALEM"
          )
    )),
    MONTH(EDATE(
      _xlfn.XLOOKUP($A2116,'RESUMEN CLIENTES'!$D:$D,'RESUMEN CLIENTES'!$Y:$Y,""),
      7 + COUNTIFS(
            $A$2:INDEX($A:$A,ROW()), $A2116,
            $H$2:INDEX($H:$H,ROW()), "ALEM"
          )
    )),
    1
  ),
"SIN FECHA MIG"))</f>
        <v>46447</v>
      </c>
      <c r="H2116" s="44" t="s">
        <v>1876</v>
      </c>
      <c r="I2116" s="2">
        <v>1000</v>
      </c>
      <c r="J2116"/>
      <c r="K2116"/>
      <c r="L2116" s="44" t="str" cm="1">
        <f t="array" ref="L2116">+_xlfn.IFS(COUNTIF(INGRESOS!E:E,Tabla6[[#This Row],[ID FACTURA]])=1,"PAGADA",Tabla6[[#This Row],[ID FACTURA]]&lt;&gt;0,"EMITIDA",Tabla6[[#This Row],[ID FACTURA]]=0,"POR EMITIR")</f>
        <v>POR EMITIR</v>
      </c>
      <c r="M2116" s="55" t="str">
        <f>+IF(Tabla6[[#This Row],[ESTADO FACTURA]]="PAGADA",Tabla6[[#This Row],[FECHA]]-_xlfn.XLOOKUP(Tabla6[[#This Row],[N° FACTURA]],INGRESOS!F:F,INGRESOS!A:A),"-")</f>
        <v>-</v>
      </c>
      <c r="N2116" s="2"/>
      <c r="O2116"/>
    </row>
    <row r="2117" spans="1:15" ht="14.75" customHeight="1">
      <c r="A2117" s="320" t="s">
        <v>700</v>
      </c>
      <c r="B2117" t="str">
        <f>+_xlfn.XLOOKUP(Tabla6[[#This Row],[ID CLIENTE]],'RESUMEN CLIENTES'!D:D,'RESUMEN CLIENTES'!A:A)</f>
        <v>Ignacio Manuel Jesus Orellana Gutiérrez</v>
      </c>
      <c r="C2117" t="str">
        <f>+_xlfn.XLOOKUP(Tabla6[[#This Row],[ID CLIENTE]],'RESUMEN CLIENTES'!D:D,'RESUMEN CLIENTES'!C:C)</f>
        <v>Chile</v>
      </c>
      <c r="D2117" s="44" t="str">
        <f>+_xlfn.XLOOKUP(Tabla6[[#This Row],[ID CLIENTE]],'RESUMEN CLIENTES'!D:D,'RESUMEN CLIENTES'!M:M)</f>
        <v>OK</v>
      </c>
      <c r="E2117" s="72">
        <f>+_xlfn.XLOOKUP(Tabla6[[#This Row],[NOMBRE]],'RESUMEN CLIENTES'!A:A,'RESUMEN CLIENTES'!X:X)</f>
        <v>2.4</v>
      </c>
      <c r="F2117" s="72">
        <f>+_xlfn.XLOOKUP(Tabla6[[#This Row],[ID CLIENTE]],'RESUMEN CLIENTES'!D:D,'RESUMEN CLIENTES'!W:W)</f>
        <v>0</v>
      </c>
      <c r="G2117" s="17">
        <f>IF($H2117&lt;&gt;"ALEM","",IFERROR(
  DATE(
    YEAR(EDATE(
      _xlfn.XLOOKUP($A2117,'RESUMEN CLIENTES'!$D:$D,'RESUMEN CLIENTES'!$Y:$Y,""),
      7 + COUNTIFS(
            $A$2:INDEX($A:$A,ROW()), $A2117,
            $H$2:INDEX($H:$H,ROW()), "ALEM"
          )
    )),
    MONTH(EDATE(
      _xlfn.XLOOKUP($A2117,'RESUMEN CLIENTES'!$D:$D,'RESUMEN CLIENTES'!$Y:$Y,""),
      7 + COUNTIFS(
            $A$2:INDEX($A:$A,ROW()), $A2117,
            $H$2:INDEX($H:$H,ROW()), "ALEM"
          )
    )),
    1
  ),
"SIN FECHA MIG"))</f>
        <v>46447</v>
      </c>
      <c r="H2117" s="44" t="s">
        <v>1876</v>
      </c>
      <c r="I2117" s="2">
        <v>1000</v>
      </c>
      <c r="J2117"/>
      <c r="K2117"/>
      <c r="L2117" s="44" t="str" cm="1">
        <f t="array" ref="L2117">+_xlfn.IFS(COUNTIF(INGRESOS!E:E,Tabla6[[#This Row],[ID FACTURA]])=1,"PAGADA",Tabla6[[#This Row],[ID FACTURA]]&lt;&gt;0,"EMITIDA",Tabla6[[#This Row],[ID FACTURA]]=0,"POR EMITIR")</f>
        <v>POR EMITIR</v>
      </c>
      <c r="M2117" s="55" t="str">
        <f>+IF(Tabla6[[#This Row],[ESTADO FACTURA]]="PAGADA",Tabla6[[#This Row],[FECHA]]-_xlfn.XLOOKUP(Tabla6[[#This Row],[N° FACTURA]],INGRESOS!F:F,INGRESOS!A:A),"-")</f>
        <v>-</v>
      </c>
      <c r="N2117" s="2"/>
      <c r="O2117"/>
    </row>
    <row r="2118" spans="1:15" ht="14.75" customHeight="1">
      <c r="A2118" s="320" t="s">
        <v>1428</v>
      </c>
      <c r="B2118" t="str">
        <f>+_xlfn.XLOOKUP(Tabla6[[#This Row],[ID CLIENTE]],'RESUMEN CLIENTES'!D:D,'RESUMEN CLIENTES'!A:A)</f>
        <v>Javier Bravo Castelo</v>
      </c>
      <c r="C2118" t="str">
        <f>+_xlfn.XLOOKUP(Tabla6[[#This Row],[ID CLIENTE]],'RESUMEN CLIENTES'!D:D,'RESUMEN CLIENTES'!C:C)</f>
        <v>Colombia</v>
      </c>
      <c r="D2118" s="44" t="str">
        <f>+_xlfn.XLOOKUP(Tabla6[[#This Row],[ID CLIENTE]],'RESUMEN CLIENTES'!D:D,'RESUMEN CLIENTES'!M:M)</f>
        <v>OK</v>
      </c>
      <c r="E2118" s="71">
        <f>+_xlfn.XLOOKUP(Tabla6[[#This Row],[NOMBRE]],'RESUMEN CLIENTES'!A:A,'RESUMEN CLIENTES'!X:X)</f>
        <v>-0.33333333333333331</v>
      </c>
      <c r="F2118" s="71">
        <f>+_xlfn.XLOOKUP(Tabla6[[#This Row],[ID CLIENTE]],'RESUMEN CLIENTES'!D:D,'RESUMEN CLIENTES'!W:W)</f>
        <v>0</v>
      </c>
      <c r="G2118" s="17">
        <f>IF($H2118&lt;&gt;"ALEM","",IFERROR(
  DATE(
    YEAR(EDATE(
      _xlfn.XLOOKUP($A2118,'RESUMEN CLIENTES'!$D:$D,'RESUMEN CLIENTES'!$Y:$Y,""),
      7 + COUNTIFS(
            $A$2:INDEX($A:$A,ROW()), $A2118,
            $H$2:INDEX($H:$H,ROW()), "ALEM"
          )
    )),
    MONTH(EDATE(
      _xlfn.XLOOKUP($A2118,'RESUMEN CLIENTES'!$D:$D,'RESUMEN CLIENTES'!$Y:$Y,""),
      7 + COUNTIFS(
            $A$2:INDEX($A:$A,ROW()), $A2118,
            $H$2:INDEX($H:$H,ROW()), "ALEM"
          )
    )),
    1
  ),
"SIN FECHA MIG"))</f>
        <v>46447</v>
      </c>
      <c r="H2118" s="169" t="s">
        <v>1876</v>
      </c>
      <c r="I2118" s="2">
        <v>800</v>
      </c>
      <c r="J2118"/>
      <c r="K2118"/>
      <c r="L2118" s="44" t="str" cm="1">
        <f t="array" ref="L2118">+_xlfn.IFS(COUNTIF(INGRESOS!E:E,Tabla6[[#This Row],[ID FACTURA]])=1,"PAGADA",Tabla6[[#This Row],[ID FACTURA]]&lt;&gt;0,"EMITIDA",Tabla6[[#This Row],[ID FACTURA]]=0,"POR EMITIR")</f>
        <v>POR EMITIR</v>
      </c>
      <c r="M2118" s="55" t="str">
        <f>+IF(Tabla6[[#This Row],[ESTADO FACTURA]]="PAGADA",Tabla6[[#This Row],[FECHA]]-_xlfn.XLOOKUP(Tabla6[[#This Row],[N° FACTURA]],INGRESOS!F:F,INGRESOS!A:A),"-")</f>
        <v>-</v>
      </c>
      <c r="N2118" s="2"/>
      <c r="O2118" t="s">
        <v>2084</v>
      </c>
    </row>
    <row r="2119" spans="1:15" ht="14.75" customHeight="1">
      <c r="A2119" s="321" t="s">
        <v>1899</v>
      </c>
      <c r="B2119" t="str">
        <f>+_xlfn.XLOOKUP(Tabla6[[#This Row],[ID CLIENTE]],'RESUMEN CLIENTES'!D:D,'RESUMEN CLIENTES'!A:A)</f>
        <v>Johan Martínez</v>
      </c>
      <c r="C2119" t="str">
        <f>+_xlfn.XLOOKUP(Tabla6[[#This Row],[ID CLIENTE]],'RESUMEN CLIENTES'!D:D,'RESUMEN CLIENTES'!C:C)</f>
        <v>Colombia</v>
      </c>
      <c r="D2119" s="169" t="str">
        <f>+_xlfn.XLOOKUP(Tabla6[[#This Row],[ID CLIENTE]],'RESUMEN CLIENTES'!D:D,'RESUMEN CLIENTES'!M:M)</f>
        <v>OK</v>
      </c>
      <c r="E2119" s="71">
        <f>+_xlfn.XLOOKUP(Tabla6[[#This Row],[NOMBRE]],'RESUMEN CLIENTES'!A:A,'RESUMEN CLIENTES'!X:X)</f>
        <v>-0.66666666666666663</v>
      </c>
      <c r="F2119" s="71">
        <f>+_xlfn.XLOOKUP(Tabla6[[#This Row],[ID CLIENTE]],'RESUMEN CLIENTES'!D:D,'RESUMEN CLIENTES'!W:W)</f>
        <v>0</v>
      </c>
      <c r="G2119" s="17">
        <v>46447</v>
      </c>
      <c r="H2119" s="169" t="s">
        <v>81</v>
      </c>
      <c r="I2119" s="2">
        <v>1000</v>
      </c>
      <c r="J2119"/>
      <c r="K2119"/>
      <c r="L2119" s="44" t="str" cm="1">
        <f t="array" ref="L2119">+_xlfn.IFS(COUNTIF(INGRESOS!E:E,Tabla6[[#This Row],[ID FACTURA]])=1,"PAGADA",Tabla6[[#This Row],[ID FACTURA]]&lt;&gt;0,"EMITIDA",Tabla6[[#This Row],[ID FACTURA]]=0,"POR EMITIR")</f>
        <v>POR EMITIR</v>
      </c>
      <c r="M2119" s="54" t="str">
        <f>+IF(Tabla6[[#This Row],[ESTADO FACTURA]]="PAGADA",Tabla6[[#This Row],[FECHA]]-_xlfn.XLOOKUP(Tabla6[[#This Row],[N° FACTURA]],INGRESOS!F:F,INGRESOS!A:A),"-")</f>
        <v>-</v>
      </c>
      <c r="O2119"/>
    </row>
    <row r="2120" spans="1:15" ht="14.75" customHeight="1">
      <c r="A2120" s="320" t="s">
        <v>142</v>
      </c>
      <c r="B2120" t="str">
        <f>+_xlfn.XLOOKUP(Tabla6[[#This Row],[ID CLIENTE]],'RESUMEN CLIENTES'!D:D,'RESUMEN CLIENTES'!A:A)</f>
        <v>Jordan Eliecer Toledo Bravo</v>
      </c>
      <c r="C2120" t="str">
        <f>+_xlfn.XLOOKUP(Tabla6[[#This Row],[ID CLIENTE]],'RESUMEN CLIENTES'!D:D,'RESUMEN CLIENTES'!C:C)</f>
        <v>Chile</v>
      </c>
      <c r="D2120" s="169" t="str">
        <f>+_xlfn.XLOOKUP(Tabla6[[#This Row],[ID CLIENTE]],'RESUMEN CLIENTES'!D:D,'RESUMEN CLIENTES'!M:M)</f>
        <v>OK</v>
      </c>
      <c r="E2120" s="71">
        <f>+_xlfn.XLOOKUP(Tabla6[[#This Row],[NOMBRE]],'RESUMEN CLIENTES'!A:A,'RESUMEN CLIENTES'!X:X)</f>
        <v>-1.6153846153846154</v>
      </c>
      <c r="F2120" s="71">
        <f>+_xlfn.XLOOKUP(Tabla6[[#This Row],[ID CLIENTE]],'RESUMEN CLIENTES'!D:D,'RESUMEN CLIENTES'!W:W)</f>
        <v>0</v>
      </c>
      <c r="G2120" s="17">
        <f>IF($H2120&lt;&gt;"ALEM","",IFERROR(
  DATE(
    YEAR(EDATE(
      _xlfn.XLOOKUP($A2120,'RESUMEN CLIENTES'!$D:$D,'RESUMEN CLIENTES'!$Y:$Y,""),
      7 + COUNTIFS(
            $A$2:INDEX($A:$A,ROW()), $A2120,
            $H$2:INDEX($H:$H,ROW()), "ALEM"
          )
    )),
    MONTH(EDATE(
      _xlfn.XLOOKUP($A2120,'RESUMEN CLIENTES'!$D:$D,'RESUMEN CLIENTES'!$Y:$Y,""),
      7 + COUNTIFS(
            $A$2:INDEX($A:$A,ROW()), $A2120,
            $H$2:INDEX($H:$H,ROW()), "ALEM"
          )
    )),
    1
  ),
"null"))</f>
        <v>46447</v>
      </c>
      <c r="H2120" s="169" t="s">
        <v>1876</v>
      </c>
      <c r="I2120" s="2">
        <v>1000</v>
      </c>
      <c r="J2120"/>
      <c r="K2120"/>
      <c r="L2120" s="44" t="str" cm="1">
        <f t="array" ref="L2120">+_xlfn.IFS(COUNTIF(INGRESOS!E:E,Tabla6[[#This Row],[ID FACTURA]])=1,"PAGADA",Tabla6[[#This Row],[ID FACTURA]]&lt;&gt;0,"EMITIDA",Tabla6[[#This Row],[ID FACTURA]]=0,"POR EMITIR")</f>
        <v>POR EMITIR</v>
      </c>
      <c r="M2120" s="54" t="str">
        <f>+IF(Tabla6[[#This Row],[ESTADO FACTURA]]="PAGADA",Tabla6[[#This Row],[FECHA]]-_xlfn.XLOOKUP(Tabla6[[#This Row],[N° FACTURA]],INGRESOS!F:F,INGRESOS!A:A),"-")</f>
        <v>-</v>
      </c>
      <c r="O2120"/>
    </row>
    <row r="2121" spans="1:15" ht="14.75" customHeight="1">
      <c r="A2121" s="320" t="s">
        <v>333</v>
      </c>
      <c r="B2121" t="str">
        <f>+_xlfn.XLOOKUP(Tabla6[[#This Row],[ID CLIENTE]],'RESUMEN CLIENTES'!D:D,'RESUMEN CLIENTES'!A:A)</f>
        <v>Jorge Augusto Cámbara Vargas</v>
      </c>
      <c r="C2121" t="str">
        <f>+_xlfn.XLOOKUP(Tabla6[[#This Row],[ID CLIENTE]],'RESUMEN CLIENTES'!D:D,'RESUMEN CLIENTES'!C:C)</f>
        <v>Guatemala</v>
      </c>
      <c r="D2121" s="44" t="str">
        <f>+_xlfn.XLOOKUP(Tabla6[[#This Row],[ID CLIENTE]],'RESUMEN CLIENTES'!D:D,'RESUMEN CLIENTES'!M:M)</f>
        <v>OK</v>
      </c>
      <c r="E2121" s="72">
        <f>+_xlfn.XLOOKUP(Tabla6[[#This Row],[NOMBRE]],'RESUMEN CLIENTES'!A:A,'RESUMEN CLIENTES'!X:X)</f>
        <v>0.1157407407331953</v>
      </c>
      <c r="F2121" s="72">
        <f>+_xlfn.XLOOKUP(Tabla6[[#This Row],[ID CLIENTE]],'RESUMEN CLIENTES'!D:D,'RESUMEN CLIENTES'!W:W)</f>
        <v>1</v>
      </c>
      <c r="G2121" s="17">
        <f>IF($H2121&lt;&gt;"ALEM","",IFERROR(
  DATE(
    YEAR(EDATE(
      _xlfn.XLOOKUP($A2121,'RESUMEN CLIENTES'!$D:$D,'RESUMEN CLIENTES'!$Y:$Y,""),
      7 + COUNTIFS(
            $A$2:INDEX($A:$A,ROW()), $A2121,
            $H$2:INDEX($H:$H,ROW()), "ALEM"
          )
    )),
    MONTH(EDATE(
      _xlfn.XLOOKUP($A2121,'RESUMEN CLIENTES'!$D:$D,'RESUMEN CLIENTES'!$Y:$Y,""),
      7 + COUNTIFS(
            $A$2:INDEX($A:$A,ROW()), $A2121,
            $H$2:INDEX($H:$H,ROW()), "ALEM"
          )
    )),
    1
  ),
"SIN FECHA MIG"))</f>
        <v>46447</v>
      </c>
      <c r="H2121" s="44" t="s">
        <v>1876</v>
      </c>
      <c r="I2121" s="2">
        <v>900</v>
      </c>
      <c r="J2121"/>
      <c r="K2121"/>
      <c r="L2121" s="44" t="str" cm="1">
        <f t="array" ref="L2121">+_xlfn.IFS(COUNTIF(INGRESOS!E:E,Tabla6[[#This Row],[ID FACTURA]])=1,"PAGADA",Tabla6[[#This Row],[ID FACTURA]]&lt;&gt;0,"EMITIDA",Tabla6[[#This Row],[ID FACTURA]]=0,"POR EMITIR")</f>
        <v>POR EMITIR</v>
      </c>
      <c r="M2121" s="55" t="str">
        <f>+IF(Tabla6[[#This Row],[ESTADO FACTURA]]="PAGADA",Tabla6[[#This Row],[FECHA]]-_xlfn.XLOOKUP(Tabla6[[#This Row],[N° FACTURA]],INGRESOS!F:F,INGRESOS!A:A),"-")</f>
        <v>-</v>
      </c>
      <c r="N2121" s="2"/>
      <c r="O2121"/>
    </row>
    <row r="2122" spans="1:15" ht="14.75" customHeight="1">
      <c r="A2122" s="320" t="s">
        <v>87</v>
      </c>
      <c r="B2122" t="str">
        <f>+_xlfn.XLOOKUP(Tabla6[[#This Row],[ID CLIENTE]],'RESUMEN CLIENTES'!D:D,'RESUMEN CLIENTES'!A:A)</f>
        <v>Jose Marcelo Marroquín Guzmán</v>
      </c>
      <c r="C2122" t="str">
        <f>+_xlfn.XLOOKUP(Tabla6[[#This Row],[ID CLIENTE]],'RESUMEN CLIENTES'!D:D,'RESUMEN CLIENTES'!C:C)</f>
        <v>El Salvador</v>
      </c>
      <c r="D2122" s="44" t="str">
        <f>+_xlfn.XLOOKUP(Tabla6[[#This Row],[ID CLIENTE]],'RESUMEN CLIENTES'!D:D,'RESUMEN CLIENTES'!M:M)</f>
        <v>OK</v>
      </c>
      <c r="E2122" s="72">
        <f>+_xlfn.XLOOKUP(Tabla6[[#This Row],[NOMBRE]],'RESUMEN CLIENTES'!A:A,'RESUMEN CLIENTES'!X:X)</f>
        <v>-1.5833333333333333</v>
      </c>
      <c r="F2122" s="72">
        <f>+_xlfn.XLOOKUP(Tabla6[[#This Row],[ID CLIENTE]],'RESUMEN CLIENTES'!D:D,'RESUMEN CLIENTES'!W:W)</f>
        <v>1</v>
      </c>
      <c r="G2122" s="17">
        <f>IF($H2122&lt;&gt;"ALEM","",IFERROR(
  DATE(
    YEAR(EDATE(
      _xlfn.XLOOKUP($A2122,'RESUMEN CLIENTES'!$D:$D,'RESUMEN CLIENTES'!$Y:$Y,""),
      7 + COUNTIFS(
            $A$2:INDEX($A:$A,ROW()), $A2122,
            $H$2:INDEX($H:$H,ROW()), "ALEM"
          )
    )),
    MONTH(EDATE(
      _xlfn.XLOOKUP($A2122,'RESUMEN CLIENTES'!$D:$D,'RESUMEN CLIENTES'!$Y:$Y,""),
      7 + COUNTIFS(
            $A$2:INDEX($A:$A,ROW()), $A2122,
            $H$2:INDEX($H:$H,ROW()), "ALEM"
          )
    )),
    1
  ),
"SIN FECHA MIG"))</f>
        <v>46447</v>
      </c>
      <c r="H2122" s="44" t="s">
        <v>1876</v>
      </c>
      <c r="I2122" s="2">
        <v>1000</v>
      </c>
      <c r="J2122"/>
      <c r="K2122"/>
      <c r="L2122" s="44" t="str" cm="1">
        <f t="array" ref="L2122">+_xlfn.IFS(COUNTIF(INGRESOS!E:E,Tabla6[[#This Row],[ID FACTURA]])=1,"PAGADA",Tabla6[[#This Row],[ID FACTURA]]&lt;&gt;0,"EMITIDA",Tabla6[[#This Row],[ID FACTURA]]=0,"POR EMITIR")</f>
        <v>POR EMITIR</v>
      </c>
      <c r="M2122" s="55" t="str">
        <f>+IF(Tabla6[[#This Row],[ESTADO FACTURA]]="PAGADA",Tabla6[[#This Row],[FECHA]]-_xlfn.XLOOKUP(Tabla6[[#This Row],[N° FACTURA]],INGRESOS!F:F,INGRESOS!A:A),"-")</f>
        <v>-</v>
      </c>
      <c r="N2122" s="2"/>
      <c r="O2122" t="s">
        <v>2086</v>
      </c>
    </row>
    <row r="2123" spans="1:15" ht="14.75" customHeight="1">
      <c r="A2123" s="320" t="s">
        <v>955</v>
      </c>
      <c r="B2123" t="str">
        <f>+_xlfn.XLOOKUP(Tabla6[[#This Row],[ID CLIENTE]],'RESUMEN CLIENTES'!D:D,'RESUMEN CLIENTES'!A:A)</f>
        <v>Judith Elizabeth Lopez Sanchez</v>
      </c>
      <c r="C2123" t="str">
        <f>+_xlfn.XLOOKUP(Tabla6[[#This Row],[ID CLIENTE]],'RESUMEN CLIENTES'!D:D,'RESUMEN CLIENTES'!C:C)</f>
        <v>Perú</v>
      </c>
      <c r="D2123" s="44" t="str">
        <f>+_xlfn.XLOOKUP(Tabla6[[#This Row],[ID CLIENTE]],'RESUMEN CLIENTES'!D:D,'RESUMEN CLIENTES'!M:M)</f>
        <v>OK</v>
      </c>
      <c r="E2123" s="72">
        <f>+_xlfn.XLOOKUP(Tabla6[[#This Row],[NOMBRE]],'RESUMEN CLIENTES'!A:A,'RESUMEN CLIENTES'!X:X)</f>
        <v>0.2857142857142857</v>
      </c>
      <c r="F2123" s="72">
        <f>+_xlfn.XLOOKUP(Tabla6[[#This Row],[ID CLIENTE]],'RESUMEN CLIENTES'!D:D,'RESUMEN CLIENTES'!W:W)</f>
        <v>1</v>
      </c>
      <c r="G2123" s="17">
        <f>IF($H2123&lt;&gt;"ALEM","",IFERROR(
  DATE(
    YEAR(EDATE(
      _xlfn.XLOOKUP($A2123,'RESUMEN CLIENTES'!$D:$D,'RESUMEN CLIENTES'!$Y:$Y,""),
      7 + COUNTIFS(
            $A$2:INDEX($A:$A,ROW()), $A2123,
            $H$2:INDEX($H:$H,ROW()), "ALEM"
          )
    )),
    MONTH(EDATE(
      _xlfn.XLOOKUP($A2123,'RESUMEN CLIENTES'!$D:$D,'RESUMEN CLIENTES'!$Y:$Y,""),
      7 + COUNTIFS(
            $A$2:INDEX($A:$A,ROW()), $A2123,
            $H$2:INDEX($H:$H,ROW()), "ALEM"
          )
    )),
    1
  ),
"SIN FECHA MIG"))</f>
        <v>46447</v>
      </c>
      <c r="H2123" s="44" t="s">
        <v>1876</v>
      </c>
      <c r="I2123" s="2">
        <v>1000</v>
      </c>
      <c r="J2123"/>
      <c r="K2123"/>
      <c r="L2123" s="44" t="str" cm="1">
        <f t="array" ref="L2123">+_xlfn.IFS(COUNTIF(INGRESOS!E:E,Tabla6[[#This Row],[ID FACTURA]])=1,"PAGADA",Tabla6[[#This Row],[ID FACTURA]]&lt;&gt;0,"EMITIDA",Tabla6[[#This Row],[ID FACTURA]]=0,"POR EMITIR")</f>
        <v>POR EMITIR</v>
      </c>
      <c r="M2123" s="55" t="str">
        <f>+IF(Tabla6[[#This Row],[ESTADO FACTURA]]="PAGADA",Tabla6[[#This Row],[FECHA]]-_xlfn.XLOOKUP(Tabla6[[#This Row],[N° FACTURA]],INGRESOS!F:F,INGRESOS!A:A),"-")</f>
        <v>-</v>
      </c>
      <c r="N2123" s="2"/>
      <c r="O2123" t="s">
        <v>2084</v>
      </c>
    </row>
    <row r="2124" spans="1:15" ht="14.75" customHeight="1">
      <c r="A2124" s="320" t="s">
        <v>711</v>
      </c>
      <c r="B2124" t="str">
        <f>+_xlfn.XLOOKUP(Tabla6[[#This Row],[ID CLIENTE]],'RESUMEN CLIENTES'!D:D,'RESUMEN CLIENTES'!A:A)</f>
        <v>Julian David Gutierrez Rodriguez</v>
      </c>
      <c r="C2124" t="str">
        <f>+_xlfn.XLOOKUP(Tabla6[[#This Row],[ID CLIENTE]],'RESUMEN CLIENTES'!D:D,'RESUMEN CLIENTES'!C:C)</f>
        <v>Colombia</v>
      </c>
      <c r="D2124" s="44" t="str">
        <f>+_xlfn.XLOOKUP(Tabla6[[#This Row],[ID CLIENTE]],'RESUMEN CLIENTES'!D:D,'RESUMEN CLIENTES'!M:M)</f>
        <v>OK</v>
      </c>
      <c r="E2124" s="72">
        <f>+_xlfn.XLOOKUP(Tabla6[[#This Row],[NOMBRE]],'RESUMEN CLIENTES'!A:A,'RESUMEN CLIENTES'!X:X)</f>
        <v>0.7142857142857143</v>
      </c>
      <c r="F2124" s="72">
        <f>+_xlfn.XLOOKUP(Tabla6[[#This Row],[ID CLIENTE]],'RESUMEN CLIENTES'!D:D,'RESUMEN CLIENTES'!W:W)</f>
        <v>1</v>
      </c>
      <c r="G2124" s="17">
        <f>IF($H2124&lt;&gt;"ALEM","",IFERROR(
  DATE(
    YEAR(EDATE(
      _xlfn.XLOOKUP($A2124,'RESUMEN CLIENTES'!$D:$D,'RESUMEN CLIENTES'!$Y:$Y,""),
      7 + COUNTIFS(
            $A$2:INDEX($A:$A,ROW()), $A2124,
            $H$2:INDEX($H:$H,ROW()), "ALEM"
          )
    )),
    MONTH(EDATE(
      _xlfn.XLOOKUP($A2124,'RESUMEN CLIENTES'!$D:$D,'RESUMEN CLIENTES'!$Y:$Y,""),
      7 + COUNTIFS(
            $A$2:INDEX($A:$A,ROW()), $A2124,
            $H$2:INDEX($H:$H,ROW()), "ALEM"
          )
    )),
    1
  ),
"SIN FECHA MIG"))</f>
        <v>46447</v>
      </c>
      <c r="H2124" s="44" t="s">
        <v>1876</v>
      </c>
      <c r="I2124" s="2">
        <v>1000</v>
      </c>
      <c r="J2124"/>
      <c r="K2124"/>
      <c r="L2124" s="44" t="str" cm="1">
        <f t="array" ref="L2124">+_xlfn.IFS(COUNTIF(INGRESOS!E:E,Tabla6[[#This Row],[ID FACTURA]])=1,"PAGADA",Tabla6[[#This Row],[ID FACTURA]]&lt;&gt;0,"EMITIDA",Tabla6[[#This Row],[ID FACTURA]]=0,"POR EMITIR")</f>
        <v>POR EMITIR</v>
      </c>
      <c r="M2124" s="55" t="str">
        <f>+IF(Tabla6[[#This Row],[ESTADO FACTURA]]="PAGADA",Tabla6[[#This Row],[FECHA]]-_xlfn.XLOOKUP(Tabla6[[#This Row],[N° FACTURA]],INGRESOS!F:F,INGRESOS!A:A),"-")</f>
        <v>-</v>
      </c>
      <c r="N2124" s="2"/>
      <c r="O2124" t="s">
        <v>2084</v>
      </c>
    </row>
    <row r="2125" spans="1:15" ht="14.75" customHeight="1">
      <c r="A2125" s="320" t="s">
        <v>468</v>
      </c>
      <c r="B2125" t="str">
        <f>+_xlfn.XLOOKUP(Tabla6[[#This Row],[ID CLIENTE]],'RESUMEN CLIENTES'!D:D,'RESUMEN CLIENTES'!A:A)</f>
        <v>Julian Medina</v>
      </c>
      <c r="C2125" t="str">
        <f>+_xlfn.XLOOKUP(Tabla6[[#This Row],[ID CLIENTE]],'RESUMEN CLIENTES'!D:D,'RESUMEN CLIENTES'!C:C)</f>
        <v>Ecuador</v>
      </c>
      <c r="D2125" s="44" t="str">
        <f>+_xlfn.XLOOKUP(Tabla6[[#This Row],[ID CLIENTE]],'RESUMEN CLIENTES'!D:D,'RESUMEN CLIENTES'!M:M)</f>
        <v>OK</v>
      </c>
      <c r="E2125" s="72">
        <f>+_xlfn.XLOOKUP(Tabla6[[#This Row],[NOMBRE]],'RESUMEN CLIENTES'!A:A,'RESUMEN CLIENTES'!X:X)</f>
        <v>-0.5</v>
      </c>
      <c r="F2125" s="72">
        <f>+_xlfn.XLOOKUP(Tabla6[[#This Row],[ID CLIENTE]],'RESUMEN CLIENTES'!D:D,'RESUMEN CLIENTES'!W:W)</f>
        <v>0</v>
      </c>
      <c r="G2125" s="17">
        <f>IF($H2125&lt;&gt;"ALEM","",IFERROR(
  DATE(
    YEAR(EDATE(
      _xlfn.XLOOKUP($A2125,'RESUMEN CLIENTES'!$D:$D,'RESUMEN CLIENTES'!$Y:$Y,""),
      7 + COUNTIFS(
            $A$2:INDEX($A:$A,ROW()), $A2125,
            $H$2:INDEX($H:$H,ROW()), "ALEM"
          )
    )),
    MONTH(EDATE(
      _xlfn.XLOOKUP($A2125,'RESUMEN CLIENTES'!$D:$D,'RESUMEN CLIENTES'!$Y:$Y,""),
      7 + COUNTIFS(
            $A$2:INDEX($A:$A,ROW()), $A2125,
            $H$2:INDEX($H:$H,ROW()), "ALEM"
          )
    )),
    1
  ),
"SIN FECHA MIG"))</f>
        <v>46447</v>
      </c>
      <c r="H2125" s="44" t="s">
        <v>1876</v>
      </c>
      <c r="I2125" s="2">
        <v>1000</v>
      </c>
      <c r="J2125"/>
      <c r="K2125"/>
      <c r="L2125" s="44" t="str" cm="1">
        <f t="array" ref="L2125">+_xlfn.IFS(COUNTIF(INGRESOS!E:E,Tabla6[[#This Row],[ID FACTURA]])=1,"PAGADA",Tabla6[[#This Row],[ID FACTURA]]&lt;&gt;0,"EMITIDA",Tabla6[[#This Row],[ID FACTURA]]=0,"POR EMITIR")</f>
        <v>POR EMITIR</v>
      </c>
      <c r="M2125" s="55" t="str">
        <f>+IF(Tabla6[[#This Row],[ESTADO FACTURA]]="PAGADA",Tabla6[[#This Row],[FECHA]]-_xlfn.XLOOKUP(Tabla6[[#This Row],[N° FACTURA]],INGRESOS!F:F,INGRESOS!A:A),"-")</f>
        <v>-</v>
      </c>
      <c r="N2125" s="2"/>
      <c r="O2125"/>
    </row>
    <row r="2126" spans="1:15" ht="14.75" customHeight="1">
      <c r="A2126" s="320" t="s">
        <v>372</v>
      </c>
      <c r="B2126" t="str">
        <f>+_xlfn.XLOOKUP(Tabla6[[#This Row],[ID CLIENTE]],'RESUMEN CLIENTES'!D:D,'RESUMEN CLIENTES'!A:A)</f>
        <v>Julio Nelson Adaros Moraga</v>
      </c>
      <c r="C2126" t="str">
        <f>+_xlfn.XLOOKUP(Tabla6[[#This Row],[ID CLIENTE]],'RESUMEN CLIENTES'!D:D,'RESUMEN CLIENTES'!C:C)</f>
        <v>Chile</v>
      </c>
      <c r="D2126" s="44" t="str">
        <f>+_xlfn.XLOOKUP(Tabla6[[#This Row],[ID CLIENTE]],'RESUMEN CLIENTES'!D:D,'RESUMEN CLIENTES'!M:M)</f>
        <v>OK</v>
      </c>
      <c r="E2126" s="72">
        <f>+_xlfn.XLOOKUP(Tabla6[[#This Row],[NOMBRE]],'RESUMEN CLIENTES'!A:A,'RESUMEN CLIENTES'!X:X)</f>
        <v>1</v>
      </c>
      <c r="F2126" s="72">
        <f>+_xlfn.XLOOKUP(Tabla6[[#This Row],[ID CLIENTE]],'RESUMEN CLIENTES'!D:D,'RESUMEN CLIENTES'!W:W)</f>
        <v>1</v>
      </c>
      <c r="G2126" s="17">
        <f>IF($H2126&lt;&gt;"ALEM","",IFERROR(
  DATE(
    YEAR(EDATE(
      _xlfn.XLOOKUP($A2126,'RESUMEN CLIENTES'!$D:$D,'RESUMEN CLIENTES'!$Y:$Y,""),
      7 + COUNTIFS(
            $A$2:INDEX($A:$A,ROW()), $A2126,
            $H$2:INDEX($H:$H,ROW()), "ALEM"
          )
    )),
    MONTH(EDATE(
      _xlfn.XLOOKUP($A2126,'RESUMEN CLIENTES'!$D:$D,'RESUMEN CLIENTES'!$Y:$Y,""),
      7 + COUNTIFS(
            $A$2:INDEX($A:$A,ROW()), $A2126,
            $H$2:INDEX($H:$H,ROW()), "ALEM"
          )
    )),
    1
  ),
"SIN FECHA MIG"))</f>
        <v>46447</v>
      </c>
      <c r="H2126" s="44" t="s">
        <v>1876</v>
      </c>
      <c r="I2126" s="2">
        <v>1000</v>
      </c>
      <c r="J2126"/>
      <c r="K2126"/>
      <c r="L2126" s="44" t="str" cm="1">
        <f t="array" ref="L2126">+_xlfn.IFS(COUNTIF(INGRESOS!E:E,Tabla6[[#This Row],[ID FACTURA]])=1,"PAGADA",Tabla6[[#This Row],[ID FACTURA]]&lt;&gt;0,"EMITIDA",Tabla6[[#This Row],[ID FACTURA]]=0,"POR EMITIR")</f>
        <v>POR EMITIR</v>
      </c>
      <c r="M2126" s="55" t="str">
        <f>+IF(Tabla6[[#This Row],[ESTADO FACTURA]]="PAGADA",Tabla6[[#This Row],[FECHA]]-_xlfn.XLOOKUP(Tabla6[[#This Row],[N° FACTURA]],INGRESOS!F:F,INGRESOS!A:A),"-")</f>
        <v>-</v>
      </c>
      <c r="N2126" s="2"/>
      <c r="O2126"/>
    </row>
    <row r="2127" spans="1:15" ht="14.75" customHeight="1">
      <c r="A2127" s="320" t="s">
        <v>1001</v>
      </c>
      <c r="B2127" t="str">
        <f>+_xlfn.XLOOKUP(Tabla6[[#This Row],[ID CLIENTE]],'RESUMEN CLIENTES'!D:D,'RESUMEN CLIENTES'!A:A)</f>
        <v>Karenn Yadira Tavera Lara</v>
      </c>
      <c r="C2127" t="str">
        <f>+_xlfn.XLOOKUP(Tabla6[[#This Row],[ID CLIENTE]],'RESUMEN CLIENTES'!D:D,'RESUMEN CLIENTES'!C:C)</f>
        <v>México</v>
      </c>
      <c r="D2127" s="44" t="str">
        <f>+_xlfn.XLOOKUP(Tabla6[[#This Row],[ID CLIENTE]],'RESUMEN CLIENTES'!D:D,'RESUMEN CLIENTES'!M:M)</f>
        <v>OK</v>
      </c>
      <c r="E2127" s="72">
        <f>+_xlfn.XLOOKUP(Tabla6[[#This Row],[NOMBRE]],'RESUMEN CLIENTES'!A:A,'RESUMEN CLIENTES'!X:X)</f>
        <v>1.5</v>
      </c>
      <c r="F2127" s="72">
        <f>+_xlfn.XLOOKUP(Tabla6[[#This Row],[ID CLIENTE]],'RESUMEN CLIENTES'!D:D,'RESUMEN CLIENTES'!W:W)</f>
        <v>1</v>
      </c>
      <c r="G2127" s="17">
        <f>IF($H2127&lt;&gt;"ALEM","",IFERROR(
  DATE(
    YEAR(EDATE(
      _xlfn.XLOOKUP($A2127,'RESUMEN CLIENTES'!$D:$D,'RESUMEN CLIENTES'!$Y:$Y,""),
      7 + COUNTIFS(
            $A$2:INDEX($A:$A,ROW()), $A2127,
            $H$2:INDEX($H:$H,ROW()), "ALEM"
          )
    )),
    MONTH(EDATE(
      _xlfn.XLOOKUP($A2127,'RESUMEN CLIENTES'!$D:$D,'RESUMEN CLIENTES'!$Y:$Y,""),
      7 + COUNTIFS(
            $A$2:INDEX($A:$A,ROW()), $A2127,
            $H$2:INDEX($H:$H,ROW()), "ALEM"
          )
    )),
    1
  ),
"SIN FECHA MIG"))</f>
        <v>46447</v>
      </c>
      <c r="H2127" s="44" t="s">
        <v>1876</v>
      </c>
      <c r="I2127" s="2">
        <v>1000</v>
      </c>
      <c r="J2127"/>
      <c r="K2127"/>
      <c r="L2127" s="44" t="str" cm="1">
        <f t="array" ref="L2127">+_xlfn.IFS(COUNTIF(INGRESOS!E:E,Tabla6[[#This Row],[ID FACTURA]])=1,"PAGADA",Tabla6[[#This Row],[ID FACTURA]]&lt;&gt;0,"EMITIDA",Tabla6[[#This Row],[ID FACTURA]]=0,"POR EMITIR")</f>
        <v>POR EMITIR</v>
      </c>
      <c r="M2127" s="55" t="str">
        <f>+IF(Tabla6[[#This Row],[ESTADO FACTURA]]="PAGADA",Tabla6[[#This Row],[FECHA]]-_xlfn.XLOOKUP(Tabla6[[#This Row],[N° FACTURA]],INGRESOS!F:F,INGRESOS!A:A),"-")</f>
        <v>-</v>
      </c>
      <c r="N2127" s="2"/>
      <c r="O2127"/>
    </row>
    <row r="2128" spans="1:15" ht="14.75" customHeight="1">
      <c r="A2128" s="320" t="s">
        <v>441</v>
      </c>
      <c r="B2128" t="str">
        <f>+_xlfn.XLOOKUP(Tabla6[[#This Row],[ID CLIENTE]],'RESUMEN CLIENTES'!D:D,'RESUMEN CLIENTES'!A:A)</f>
        <v>Luis Manuel Villanueva Contreras</v>
      </c>
      <c r="C2128" t="str">
        <f>+_xlfn.XLOOKUP(Tabla6[[#This Row],[ID CLIENTE]],'RESUMEN CLIENTES'!D:D,'RESUMEN CLIENTES'!C:C)</f>
        <v>México</v>
      </c>
      <c r="D2128" s="44" t="str">
        <f>+_xlfn.XLOOKUP(Tabla6[[#This Row],[ID CLIENTE]],'RESUMEN CLIENTES'!D:D,'RESUMEN CLIENTES'!M:M)</f>
        <v>OK</v>
      </c>
      <c r="E2128" s="72">
        <f>+_xlfn.XLOOKUP(Tabla6[[#This Row],[NOMBRE]],'RESUMEN CLIENTES'!A:A,'RESUMEN CLIENTES'!X:X)</f>
        <v>0.55555555555555558</v>
      </c>
      <c r="F2128" s="72">
        <f>+_xlfn.XLOOKUP(Tabla6[[#This Row],[ID CLIENTE]],'RESUMEN CLIENTES'!D:D,'RESUMEN CLIENTES'!W:W)</f>
        <v>0</v>
      </c>
      <c r="G2128" s="17">
        <f>IF($H2128&lt;&gt;"ALEM","",IFERROR(
  DATE(
    YEAR(EDATE(
      _xlfn.XLOOKUP($A2128,'RESUMEN CLIENTES'!$D:$D,'RESUMEN CLIENTES'!$Y:$Y,""),
      7 + COUNTIFS(
            $A$2:INDEX($A:$A,ROW()), $A2128,
            $H$2:INDEX($H:$H,ROW()), "ALEM"
          )
    )),
    MONTH(EDATE(
      _xlfn.XLOOKUP($A2128,'RESUMEN CLIENTES'!$D:$D,'RESUMEN CLIENTES'!$Y:$Y,""),
      7 + COUNTIFS(
            $A$2:INDEX($A:$A,ROW()), $A2128,
            $H$2:INDEX($H:$H,ROW()), "ALEM"
          )
    )),
    1
  ),
"SIN FECHA MIG"))</f>
        <v>46447</v>
      </c>
      <c r="H2128" s="44" t="s">
        <v>1876</v>
      </c>
      <c r="I2128" s="2">
        <v>1000</v>
      </c>
      <c r="J2128"/>
      <c r="K2128"/>
      <c r="L2128" s="44" t="str" cm="1">
        <f t="array" ref="L2128">+_xlfn.IFS(COUNTIF(INGRESOS!E:E,Tabla6[[#This Row],[ID FACTURA]])=1,"PAGADA",Tabla6[[#This Row],[ID FACTURA]]&lt;&gt;0,"EMITIDA",Tabla6[[#This Row],[ID FACTURA]]=0,"POR EMITIR")</f>
        <v>POR EMITIR</v>
      </c>
      <c r="M2128" s="55" t="str">
        <f>+IF(Tabla6[[#This Row],[ESTADO FACTURA]]="PAGADA",Tabla6[[#This Row],[FECHA]]-_xlfn.XLOOKUP(Tabla6[[#This Row],[N° FACTURA]],INGRESOS!F:F,INGRESOS!A:A),"-")</f>
        <v>-</v>
      </c>
      <c r="N2128" s="2"/>
      <c r="O2128"/>
    </row>
    <row r="2129" spans="1:15" ht="14.75" customHeight="1">
      <c r="A2129" s="320" t="s">
        <v>274</v>
      </c>
      <c r="B2129" t="str">
        <f>+_xlfn.XLOOKUP(Tabla6[[#This Row],[ID CLIENTE]],'RESUMEN CLIENTES'!D:D,'RESUMEN CLIENTES'!A:A)</f>
        <v>María de los Ángeles Gutiérrez Quevedo</v>
      </c>
      <c r="C2129" t="str">
        <f>+_xlfn.XLOOKUP(Tabla6[[#This Row],[ID CLIENTE]],'RESUMEN CLIENTES'!D:D,'RESUMEN CLIENTES'!C:C)</f>
        <v>Chile</v>
      </c>
      <c r="D2129" s="44" t="str">
        <f>+_xlfn.XLOOKUP(Tabla6[[#This Row],[ID CLIENTE]],'RESUMEN CLIENTES'!D:D,'RESUMEN CLIENTES'!M:M)</f>
        <v>OK</v>
      </c>
      <c r="E2129" s="72">
        <f>+_xlfn.XLOOKUP(Tabla6[[#This Row],[NOMBRE]],'RESUMEN CLIENTES'!A:A,'RESUMEN CLIENTES'!X:X)</f>
        <v>0.22222222222222221</v>
      </c>
      <c r="F2129" s="72">
        <f>+_xlfn.XLOOKUP(Tabla6[[#This Row],[ID CLIENTE]],'RESUMEN CLIENTES'!D:D,'RESUMEN CLIENTES'!W:W)</f>
        <v>1</v>
      </c>
      <c r="G2129" s="17">
        <f>IF($H2129&lt;&gt;"ALEM","",IFERROR(
  DATE(
    YEAR(EDATE(
      _xlfn.XLOOKUP($A2129,'RESUMEN CLIENTES'!$D:$D,'RESUMEN CLIENTES'!$Y:$Y,""),
      7 + COUNTIFS(
            $A$2:INDEX($A:$A,ROW()), $A2129,
            $H$2:INDEX($H:$H,ROW()), "ALEM"
          )
    )),
    MONTH(EDATE(
      _xlfn.XLOOKUP($A2129,'RESUMEN CLIENTES'!$D:$D,'RESUMEN CLIENTES'!$Y:$Y,""),
      7 + COUNTIFS(
            $A$2:INDEX($A:$A,ROW()), $A2129,
            $H$2:INDEX($H:$H,ROW()), "ALEM"
          )
    )),
    1
  ),
"SIN FECHA MIG"))</f>
        <v>46447</v>
      </c>
      <c r="H2129" s="44" t="s">
        <v>1876</v>
      </c>
      <c r="I2129" s="2">
        <v>1000</v>
      </c>
      <c r="J2129"/>
      <c r="K2129"/>
      <c r="L2129" s="44" t="str" cm="1">
        <f t="array" ref="L2129">+_xlfn.IFS(COUNTIF(INGRESOS!E:E,Tabla6[[#This Row],[ID FACTURA]])=1,"PAGADA",Tabla6[[#This Row],[ID FACTURA]]&lt;&gt;0,"EMITIDA",Tabla6[[#This Row],[ID FACTURA]]=0,"POR EMITIR")</f>
        <v>POR EMITIR</v>
      </c>
      <c r="M2129" s="55" t="str">
        <f>+IF(Tabla6[[#This Row],[ESTADO FACTURA]]="PAGADA",Tabla6[[#This Row],[FECHA]]-_xlfn.XLOOKUP(Tabla6[[#This Row],[N° FACTURA]],INGRESOS!F:F,INGRESOS!A:A),"-")</f>
        <v>-</v>
      </c>
      <c r="N2129" s="2"/>
      <c r="O2129" t="s">
        <v>2084</v>
      </c>
    </row>
    <row r="2130" spans="1:15" ht="14.75" customHeight="1">
      <c r="A2130" s="320" t="s">
        <v>590</v>
      </c>
      <c r="B2130" t="str">
        <f>+_xlfn.XLOOKUP(Tabla6[[#This Row],[ID CLIENTE]],'RESUMEN CLIENTES'!D:D,'RESUMEN CLIENTES'!A:A)</f>
        <v>María Lucero de Jesús Barrios Sazo</v>
      </c>
      <c r="C2130" t="str">
        <f>+_xlfn.XLOOKUP(Tabla6[[#This Row],[ID CLIENTE]],'RESUMEN CLIENTES'!D:D,'RESUMEN CLIENTES'!C:C)</f>
        <v>Guatemala</v>
      </c>
      <c r="D2130" s="44" t="str">
        <f>+_xlfn.XLOOKUP(Tabla6[[#This Row],[ID CLIENTE]],'RESUMEN CLIENTES'!D:D,'RESUMEN CLIENTES'!M:M)</f>
        <v>OK</v>
      </c>
      <c r="E2130" s="72">
        <f>+_xlfn.XLOOKUP(Tabla6[[#This Row],[NOMBRE]],'RESUMEN CLIENTES'!A:A,'RESUMEN CLIENTES'!X:X)</f>
        <v>1.25</v>
      </c>
      <c r="F2130" s="72">
        <f>+_xlfn.XLOOKUP(Tabla6[[#This Row],[ID CLIENTE]],'RESUMEN CLIENTES'!D:D,'RESUMEN CLIENTES'!W:W)</f>
        <v>0</v>
      </c>
      <c r="G2130" s="17">
        <f>IF($H2130&lt;&gt;"ALEM","",IFERROR(
  DATE(
    YEAR(EDATE(
      _xlfn.XLOOKUP($A2130,'RESUMEN CLIENTES'!$D:$D,'RESUMEN CLIENTES'!$Y:$Y,""),
      7 + COUNTIFS(
            $A$2:INDEX($A:$A,ROW()), $A2130,
            $H$2:INDEX($H:$H,ROW()), "ALEM"
          )
    )),
    MONTH(EDATE(
      _xlfn.XLOOKUP($A2130,'RESUMEN CLIENTES'!$D:$D,'RESUMEN CLIENTES'!$Y:$Y,""),
      7 + COUNTIFS(
            $A$2:INDEX($A:$A,ROW()), $A2130,
            $H$2:INDEX($H:$H,ROW()), "ALEM"
          )
    )),
    1
  ),
"SIN FECHA MIG"))</f>
        <v>46447</v>
      </c>
      <c r="H2130" s="44" t="s">
        <v>1876</v>
      </c>
      <c r="I2130" s="2">
        <v>1000</v>
      </c>
      <c r="J2130"/>
      <c r="K2130"/>
      <c r="L2130" s="44" t="str" cm="1">
        <f t="array" ref="L2130">+_xlfn.IFS(COUNTIF(INGRESOS!E:E,Tabla6[[#This Row],[ID FACTURA]])=1,"PAGADA",Tabla6[[#This Row],[ID FACTURA]]&lt;&gt;0,"EMITIDA",Tabla6[[#This Row],[ID FACTURA]]=0,"POR EMITIR")</f>
        <v>POR EMITIR</v>
      </c>
      <c r="M2130" s="55" t="str">
        <f>+IF(Tabla6[[#This Row],[ESTADO FACTURA]]="PAGADA",Tabla6[[#This Row],[FECHA]]-_xlfn.XLOOKUP(Tabla6[[#This Row],[N° FACTURA]],INGRESOS!F:F,INGRESOS!A:A),"-")</f>
        <v>-</v>
      </c>
      <c r="N2130" s="2"/>
      <c r="O2130"/>
    </row>
    <row r="2131" spans="1:15" ht="14.75" customHeight="1">
      <c r="A2131" s="320" t="s">
        <v>261</v>
      </c>
      <c r="B2131" t="str">
        <f>+_xlfn.XLOOKUP(Tabla6[[#This Row],[ID CLIENTE]],'RESUMEN CLIENTES'!D:D,'RESUMEN CLIENTES'!A:A)</f>
        <v>Maryori Elizabeth Ramos Tapia</v>
      </c>
      <c r="C2131" t="str">
        <f>+_xlfn.XLOOKUP(Tabla6[[#This Row],[ID CLIENTE]],'RESUMEN CLIENTES'!D:D,'RESUMEN CLIENTES'!C:C)</f>
        <v>Perú</v>
      </c>
      <c r="D2131" s="44" t="str">
        <f>+_xlfn.XLOOKUP(Tabla6[[#This Row],[ID CLIENTE]],'RESUMEN CLIENTES'!D:D,'RESUMEN CLIENTES'!M:M)</f>
        <v>OK</v>
      </c>
      <c r="E2131" s="72">
        <f>+_xlfn.XLOOKUP(Tabla6[[#This Row],[NOMBRE]],'RESUMEN CLIENTES'!A:A,'RESUMEN CLIENTES'!X:X)</f>
        <v>-0.88425925925952875</v>
      </c>
      <c r="F2131" s="72">
        <f>+_xlfn.XLOOKUP(Tabla6[[#This Row],[ID CLIENTE]],'RESUMEN CLIENTES'!D:D,'RESUMEN CLIENTES'!W:W)</f>
        <v>1</v>
      </c>
      <c r="G2131" s="17">
        <f>IF($H2131&lt;&gt;"ALEM","",IFERROR(
  DATE(
    YEAR(EDATE(
      _xlfn.XLOOKUP($A2131,'RESUMEN CLIENTES'!$D:$D,'RESUMEN CLIENTES'!$Y:$Y,""),
      7 + COUNTIFS(
            $A$2:INDEX($A:$A,ROW()), $A2131,
            $H$2:INDEX($H:$H,ROW()), "ALEM"
          )
    )),
    MONTH(EDATE(
      _xlfn.XLOOKUP($A2131,'RESUMEN CLIENTES'!$D:$D,'RESUMEN CLIENTES'!$Y:$Y,""),
      7 + COUNTIFS(
            $A$2:INDEX($A:$A,ROW()), $A2131,
            $H$2:INDEX($H:$H,ROW()), "ALEM"
          )
    )),
    1
  ),
"SIN FECHA MIG"))</f>
        <v>46447</v>
      </c>
      <c r="H2131" s="44" t="s">
        <v>1876</v>
      </c>
      <c r="I2131" s="2">
        <v>1000</v>
      </c>
      <c r="J2131"/>
      <c r="K2131"/>
      <c r="L2131" s="44" t="str" cm="1">
        <f t="array" ref="L2131">+_xlfn.IFS(COUNTIF(INGRESOS!E:E,Tabla6[[#This Row],[ID FACTURA]])=1,"PAGADA",Tabla6[[#This Row],[ID FACTURA]]&lt;&gt;0,"EMITIDA",Tabla6[[#This Row],[ID FACTURA]]=0,"POR EMITIR")</f>
        <v>POR EMITIR</v>
      </c>
      <c r="M2131" s="55" t="str">
        <f>+IF(Tabla6[[#This Row],[ESTADO FACTURA]]="PAGADA",Tabla6[[#This Row],[FECHA]]-_xlfn.XLOOKUP(Tabla6[[#This Row],[N° FACTURA]],INGRESOS!F:F,INGRESOS!A:A),"-")</f>
        <v>-</v>
      </c>
      <c r="N2131" s="2"/>
      <c r="O2131"/>
    </row>
    <row r="2132" spans="1:15" ht="14.75" customHeight="1">
      <c r="A2132" s="320" t="s">
        <v>247</v>
      </c>
      <c r="B2132" t="str">
        <f>+_xlfn.XLOOKUP(Tabla6[[#This Row],[ID CLIENTE]],'RESUMEN CLIENTES'!D:D,'RESUMEN CLIENTES'!A:A)</f>
        <v>Nancy Gisselle Molinari Cheme</v>
      </c>
      <c r="C2132" t="str">
        <f>+_xlfn.XLOOKUP(Tabla6[[#This Row],[ID CLIENTE]],'RESUMEN CLIENTES'!D:D,'RESUMEN CLIENTES'!C:C)</f>
        <v>Perú</v>
      </c>
      <c r="D2132" s="44" t="str">
        <f>+_xlfn.XLOOKUP(Tabla6[[#This Row],[ID CLIENTE]],'RESUMEN CLIENTES'!D:D,'RESUMEN CLIENTES'!M:M)</f>
        <v>OK</v>
      </c>
      <c r="E2132" s="72">
        <f>+_xlfn.XLOOKUP(Tabla6[[#This Row],[NOMBRE]],'RESUMEN CLIENTES'!A:A,'RESUMEN CLIENTES'!X:X)</f>
        <v>0.9</v>
      </c>
      <c r="F2132" s="72">
        <f>+_xlfn.XLOOKUP(Tabla6[[#This Row],[ID CLIENTE]],'RESUMEN CLIENTES'!D:D,'RESUMEN CLIENTES'!W:W)</f>
        <v>1</v>
      </c>
      <c r="G2132" s="17">
        <f>IF($H2132&lt;&gt;"ALEM","",IFERROR(
  DATE(
    YEAR(EDATE(
      _xlfn.XLOOKUP($A2132,'RESUMEN CLIENTES'!$D:$D,'RESUMEN CLIENTES'!$Y:$Y,""),
      7 + COUNTIFS(
            $A$2:INDEX($A:$A,ROW()), $A2132,
            $H$2:INDEX($H:$H,ROW()), "ALEM"
          )
    )),
    MONTH(EDATE(
      _xlfn.XLOOKUP($A2132,'RESUMEN CLIENTES'!$D:$D,'RESUMEN CLIENTES'!$Y:$Y,""),
      7 + COUNTIFS(
            $A$2:INDEX($A:$A,ROW()), $A2132,
            $H$2:INDEX($H:$H,ROW()), "ALEM"
          )
    )),
    1
  ),
"SIN FECHA MIG"))</f>
        <v>46447</v>
      </c>
      <c r="H2132" s="44" t="s">
        <v>1876</v>
      </c>
      <c r="I2132" s="2">
        <v>1000</v>
      </c>
      <c r="J2132"/>
      <c r="K2132"/>
      <c r="L2132" s="44" t="str" cm="1">
        <f t="array" ref="L2132">+_xlfn.IFS(COUNTIF(INGRESOS!E:E,Tabla6[[#This Row],[ID FACTURA]])=1,"PAGADA",Tabla6[[#This Row],[ID FACTURA]]&lt;&gt;0,"EMITIDA",Tabla6[[#This Row],[ID FACTURA]]=0,"POR EMITIR")</f>
        <v>POR EMITIR</v>
      </c>
      <c r="M2132" s="55" t="str">
        <f>+IF(Tabla6[[#This Row],[ESTADO FACTURA]]="PAGADA",Tabla6[[#This Row],[FECHA]]-_xlfn.XLOOKUP(Tabla6[[#This Row],[N° FACTURA]],INGRESOS!F:F,INGRESOS!A:A),"-")</f>
        <v>-</v>
      </c>
      <c r="N2132" s="2"/>
      <c r="O2132"/>
    </row>
    <row r="2133" spans="1:15" ht="14.75" customHeight="1">
      <c r="A2133" s="320" t="s">
        <v>229</v>
      </c>
      <c r="B2133" t="str">
        <f>+_xlfn.XLOOKUP(Tabla6[[#This Row],[ID CLIENTE]],'RESUMEN CLIENTES'!D:D,'RESUMEN CLIENTES'!A:A)</f>
        <v>Nathaly Gabriela Henríquez Masín</v>
      </c>
      <c r="C2133" t="str">
        <f>+_xlfn.XLOOKUP(Tabla6[[#This Row],[ID CLIENTE]],'RESUMEN CLIENTES'!D:D,'RESUMEN CLIENTES'!C:C)</f>
        <v>El Salvador</v>
      </c>
      <c r="D2133" s="44" t="str">
        <f>+_xlfn.XLOOKUP(Tabla6[[#This Row],[ID CLIENTE]],'RESUMEN CLIENTES'!D:D,'RESUMEN CLIENTES'!M:M)</f>
        <v>OK</v>
      </c>
      <c r="E2133" s="72">
        <f>+_xlfn.XLOOKUP(Tabla6[[#This Row],[NOMBRE]],'RESUMEN CLIENTES'!A:A,'RESUMEN CLIENTES'!X:X)</f>
        <v>0.7</v>
      </c>
      <c r="F2133" s="72">
        <f>+_xlfn.XLOOKUP(Tabla6[[#This Row],[ID CLIENTE]],'RESUMEN CLIENTES'!D:D,'RESUMEN CLIENTES'!W:W)</f>
        <v>0</v>
      </c>
      <c r="G2133" s="17">
        <f>IF($H2133&lt;&gt;"ALEM","",IFERROR(
  DATE(
    YEAR(EDATE(
      _xlfn.XLOOKUP($A2133,'RESUMEN CLIENTES'!$D:$D,'RESUMEN CLIENTES'!$Y:$Y,""),
      7 + COUNTIFS(
            $A$2:INDEX($A:$A,ROW()), $A2133,
            $H$2:INDEX($H:$H,ROW()), "ALEM"
          )
    )),
    MONTH(EDATE(
      _xlfn.XLOOKUP($A2133,'RESUMEN CLIENTES'!$D:$D,'RESUMEN CLIENTES'!$Y:$Y,""),
      7 + COUNTIFS(
            $A$2:INDEX($A:$A,ROW()), $A2133,
            $H$2:INDEX($H:$H,ROW()), "ALEM"
          )
    )),
    1
  ),
"SIN FECHA MIG"))</f>
        <v>46447</v>
      </c>
      <c r="H2133" s="44" t="s">
        <v>1876</v>
      </c>
      <c r="I2133" s="2">
        <v>500</v>
      </c>
      <c r="J2133"/>
      <c r="K2133"/>
      <c r="L2133" s="44" t="str" cm="1">
        <f t="array" ref="L2133">+_xlfn.IFS(COUNTIF(INGRESOS!E:E,Tabla6[[#This Row],[ID FACTURA]])=1,"PAGADA",Tabla6[[#This Row],[ID FACTURA]]&lt;&gt;0,"EMITIDA",Tabla6[[#This Row],[ID FACTURA]]=0,"POR EMITIR")</f>
        <v>POR EMITIR</v>
      </c>
      <c r="M2133" s="55" t="str">
        <f>+IF(Tabla6[[#This Row],[ESTADO FACTURA]]="PAGADA",Tabla6[[#This Row],[FECHA]]-_xlfn.XLOOKUP(Tabla6[[#This Row],[N° FACTURA]],INGRESOS!F:F,INGRESOS!A:A),"-")</f>
        <v>-</v>
      </c>
      <c r="N2133" s="2"/>
      <c r="O2133"/>
    </row>
    <row r="2134" spans="1:15" ht="14.75" customHeight="1">
      <c r="A2134" s="320" t="s">
        <v>455</v>
      </c>
      <c r="B2134" t="str">
        <f>+_xlfn.XLOOKUP(Tabla6[[#This Row],[ID CLIENTE]],'RESUMEN CLIENTES'!D:D,'RESUMEN CLIENTES'!A:A)</f>
        <v>Paola Hitos</v>
      </c>
      <c r="C2134" t="str">
        <f>+_xlfn.XLOOKUP(Tabla6[[#This Row],[ID CLIENTE]],'RESUMEN CLIENTES'!D:D,'RESUMEN CLIENTES'!C:C)</f>
        <v>México</v>
      </c>
      <c r="D2134" s="44" t="str">
        <f>+_xlfn.XLOOKUP(Tabla6[[#This Row],[ID CLIENTE]],'RESUMEN CLIENTES'!D:D,'RESUMEN CLIENTES'!M:M)</f>
        <v>OK</v>
      </c>
      <c r="E2134" s="72">
        <f>+_xlfn.XLOOKUP(Tabla6[[#This Row],[NOMBRE]],'RESUMEN CLIENTES'!A:A,'RESUMEN CLIENTES'!X:X)</f>
        <v>-0.55555555555555558</v>
      </c>
      <c r="F2134" s="72">
        <f>+_xlfn.XLOOKUP(Tabla6[[#This Row],[ID CLIENTE]],'RESUMEN CLIENTES'!D:D,'RESUMEN CLIENTES'!W:W)</f>
        <v>1</v>
      </c>
      <c r="G2134" s="17">
        <f>IF($H2134&lt;&gt;"ALEM","",IFERROR(
  DATE(
    YEAR(EDATE(
      _xlfn.XLOOKUP($A2134,'RESUMEN CLIENTES'!$D:$D,'RESUMEN CLIENTES'!$Y:$Y,""),
      7 + COUNTIFS(
            $A$2:INDEX($A:$A,ROW()), $A2134,
            $H$2:INDEX($H:$H,ROW()), "ALEM"
          )
    )),
    MONTH(EDATE(
      _xlfn.XLOOKUP($A2134,'RESUMEN CLIENTES'!$D:$D,'RESUMEN CLIENTES'!$Y:$Y,""),
      7 + COUNTIFS(
            $A$2:INDEX($A:$A,ROW()), $A2134,
            $H$2:INDEX($H:$H,ROW()), "ALEM"
          )
    )),
    1
  ),
"SIN FECHA MIG"))</f>
        <v>46447</v>
      </c>
      <c r="H2134" s="44" t="s">
        <v>1876</v>
      </c>
      <c r="I2134" s="2">
        <v>1000</v>
      </c>
      <c r="J2134"/>
      <c r="K2134"/>
      <c r="L2134" s="44" t="str" cm="1">
        <f t="array" ref="L2134">+_xlfn.IFS(COUNTIF(INGRESOS!E:E,Tabla6[[#This Row],[ID FACTURA]])=1,"PAGADA",Tabla6[[#This Row],[ID FACTURA]]&lt;&gt;0,"EMITIDA",Tabla6[[#This Row],[ID FACTURA]]=0,"POR EMITIR")</f>
        <v>POR EMITIR</v>
      </c>
      <c r="M2134" s="55" t="str">
        <f>+IF(Tabla6[[#This Row],[ESTADO FACTURA]]="PAGADA",Tabla6[[#This Row],[FECHA]]-_xlfn.XLOOKUP(Tabla6[[#This Row],[N° FACTURA]],INGRESOS!F:F,INGRESOS!A:A),"-")</f>
        <v>-</v>
      </c>
      <c r="N2134" s="2"/>
      <c r="O2134"/>
    </row>
    <row r="2135" spans="1:15" ht="14.75" customHeight="1">
      <c r="A2135" s="320" t="s">
        <v>855</v>
      </c>
      <c r="B2135" t="str">
        <f>+_xlfn.XLOOKUP(Tabla6[[#This Row],[ID CLIENTE]],'RESUMEN CLIENTES'!D:D,'RESUMEN CLIENTES'!A:A)</f>
        <v>Paula Ida Elisa Saris Sommer</v>
      </c>
      <c r="C2135" t="str">
        <f>+_xlfn.XLOOKUP(Tabla6[[#This Row],[ID CLIENTE]],'RESUMEN CLIENTES'!D:D,'RESUMEN CLIENTES'!C:C)</f>
        <v>Argentina</v>
      </c>
      <c r="D2135" s="44" t="str">
        <f>+_xlfn.XLOOKUP(Tabla6[[#This Row],[ID CLIENTE]],'RESUMEN CLIENTES'!D:D,'RESUMEN CLIENTES'!M:M)</f>
        <v>OK</v>
      </c>
      <c r="E2135" s="72">
        <f>+_xlfn.XLOOKUP(Tabla6[[#This Row],[NOMBRE]],'RESUMEN CLIENTES'!A:A,'RESUMEN CLIENTES'!X:X)</f>
        <v>-8.7894736842105257</v>
      </c>
      <c r="F2135" s="72">
        <f>+_xlfn.XLOOKUP(Tabla6[[#This Row],[ID CLIENTE]],'RESUMEN CLIENTES'!D:D,'RESUMEN CLIENTES'!W:W)</f>
        <v>0</v>
      </c>
      <c r="G2135" s="17">
        <f>IF($H2135&lt;&gt;"ALEM","",IFERROR(
  DATE(
    YEAR(EDATE(
      _xlfn.XLOOKUP($A2135,'RESUMEN CLIENTES'!$D:$D,'RESUMEN CLIENTES'!$Y:$Y,""),
      7 + COUNTIFS(
            $A$2:INDEX($A:$A,ROW()), $A2135,
            $H$2:INDEX($H:$H,ROW()), "ALEM"
          )
    )),
    MONTH(EDATE(
      _xlfn.XLOOKUP($A2135,'RESUMEN CLIENTES'!$D:$D,'RESUMEN CLIENTES'!$Y:$Y,""),
      7 + COUNTIFS(
            $A$2:INDEX($A:$A,ROW()), $A2135,
            $H$2:INDEX($H:$H,ROW()), "ALEM"
          )
    )),
    1
  ),
"SIN FECHA MIG"))</f>
        <v>46447</v>
      </c>
      <c r="H2135" s="44" t="s">
        <v>1876</v>
      </c>
      <c r="I2135" s="2">
        <v>1000</v>
      </c>
      <c r="J2135"/>
      <c r="K2135"/>
      <c r="L2135" s="44" t="str" cm="1">
        <f t="array" ref="L2135">+_xlfn.IFS(COUNTIF(INGRESOS!E:E,Tabla6[[#This Row],[ID FACTURA]])=1,"PAGADA",Tabla6[[#This Row],[ID FACTURA]]&lt;&gt;0,"EMITIDA",Tabla6[[#This Row],[ID FACTURA]]=0,"POR EMITIR")</f>
        <v>POR EMITIR</v>
      </c>
      <c r="M2135" s="55" t="str">
        <f>+IF(Tabla6[[#This Row],[ESTADO FACTURA]]="PAGADA",Tabla6[[#This Row],[FECHA]]-_xlfn.XLOOKUP(Tabla6[[#This Row],[N° FACTURA]],INGRESOS!F:F,INGRESOS!A:A),"-")</f>
        <v>-</v>
      </c>
      <c r="N2135" s="2"/>
      <c r="O2135" t="s">
        <v>2084</v>
      </c>
    </row>
    <row r="2136" spans="1:15" ht="14.75" customHeight="1">
      <c r="A2136" s="321" t="s">
        <v>1881</v>
      </c>
      <c r="B2136" t="str">
        <f>+_xlfn.XLOOKUP(Tabla6[[#This Row],[ID CLIENTE]],'RESUMEN CLIENTES'!D:D,'RESUMEN CLIENTES'!A:A)</f>
        <v>Paulina Alejandra Silva Gómez</v>
      </c>
      <c r="C2136" t="str">
        <f>+_xlfn.XLOOKUP(Tabla6[[#This Row],[ID CLIENTE]],'RESUMEN CLIENTES'!D:D,'RESUMEN CLIENTES'!C:C)</f>
        <v>Chile</v>
      </c>
      <c r="D2136" s="169" t="str">
        <f>+_xlfn.XLOOKUP(Tabla6[[#This Row],[ID CLIENTE]],'RESUMEN CLIENTES'!D:D,'RESUMEN CLIENTES'!M:M)</f>
        <v>¡REGULARIZAR!</v>
      </c>
      <c r="E2136" s="71">
        <f>+_xlfn.XLOOKUP(Tabla6[[#This Row],[NOMBRE]],'RESUMEN CLIENTES'!A:A,'RESUMEN CLIENTES'!X:X)</f>
        <v>-6.833333333333333</v>
      </c>
      <c r="F2136" s="71">
        <f>+_xlfn.XLOOKUP(Tabla6[[#This Row],[ID CLIENTE]],'RESUMEN CLIENTES'!D:D,'RESUMEN CLIENTES'!W:W)</f>
        <v>0</v>
      </c>
      <c r="G2136" s="17">
        <f>IF($H2136&lt;&gt;"ALEM","",IFERROR(
  DATE(
    YEAR(EDATE(
      _xlfn.XLOOKUP($A2136,'RESUMEN CLIENTES'!$D:$D,'RESUMEN CLIENTES'!$Y:$Y,""),
      7 + COUNTIFS(
            $A$2:INDEX($A:$A,ROW()), $A2136,
            $H$2:INDEX($H:$H,ROW()), "ALEM"
          )
    )),
    MONTH(EDATE(
      _xlfn.XLOOKUP($A2136,'RESUMEN CLIENTES'!$D:$D,'RESUMEN CLIENTES'!$Y:$Y,""),
      7 + COUNTIFS(
            $A$2:INDEX($A:$A,ROW()), $A2136,
            $H$2:INDEX($H:$H,ROW()), "ALEM"
          )
    )),
    1
  ),
"null"))</f>
        <v>46447</v>
      </c>
      <c r="H2136" s="169" t="s">
        <v>1876</v>
      </c>
      <c r="I2136" s="2">
        <v>800</v>
      </c>
      <c r="J2136"/>
      <c r="K2136"/>
      <c r="L2136" s="44" t="str" cm="1">
        <f t="array" ref="L2136">+_xlfn.IFS(COUNTIF(INGRESOS!E:E,Tabla6[[#This Row],[ID FACTURA]])=1,"PAGADA",Tabla6[[#This Row],[ID FACTURA]]&lt;&gt;0,"EMITIDA",Tabla6[[#This Row],[ID FACTURA]]=0,"POR EMITIR")</f>
        <v>POR EMITIR</v>
      </c>
      <c r="M2136" s="54" t="str">
        <f>+IF(Tabla6[[#This Row],[ESTADO FACTURA]]="PAGADA",Tabla6[[#This Row],[FECHA]]-_xlfn.XLOOKUP(Tabla6[[#This Row],[N° FACTURA]],INGRESOS!F:F,INGRESOS!A:A),"-")</f>
        <v>-</v>
      </c>
      <c r="O2136" t="s">
        <v>2086</v>
      </c>
    </row>
    <row r="2137" spans="1:15" ht="14.75" customHeight="1">
      <c r="A2137" s="320" t="s">
        <v>1152</v>
      </c>
      <c r="B2137" t="str">
        <f>+_xlfn.XLOOKUP(Tabla6[[#This Row],[ID CLIENTE]],'RESUMEN CLIENTES'!D:D,'RESUMEN CLIENTES'!A:A)</f>
        <v>Ricardo Ernesto Miño Valencia</v>
      </c>
      <c r="C2137" t="str">
        <f>+_xlfn.XLOOKUP(Tabla6[[#This Row],[ID CLIENTE]],'RESUMEN CLIENTES'!D:D,'RESUMEN CLIENTES'!C:C)</f>
        <v>Ecuador</v>
      </c>
      <c r="D2137" s="44" t="str">
        <f>+_xlfn.XLOOKUP(Tabla6[[#This Row],[ID CLIENTE]],'RESUMEN CLIENTES'!D:D,'RESUMEN CLIENTES'!M:M)</f>
        <v>OK</v>
      </c>
      <c r="E2137" s="72">
        <f>+_xlfn.XLOOKUP(Tabla6[[#This Row],[NOMBRE]],'RESUMEN CLIENTES'!A:A,'RESUMEN CLIENTES'!X:X)</f>
        <v>-3.2</v>
      </c>
      <c r="F2137" s="72">
        <f>+_xlfn.XLOOKUP(Tabla6[[#This Row],[ID CLIENTE]],'RESUMEN CLIENTES'!D:D,'RESUMEN CLIENTES'!W:W)</f>
        <v>1</v>
      </c>
      <c r="G2137" s="17">
        <f>IF($H2137&lt;&gt;"ALEM","",IFERROR(
  DATE(
    YEAR(EDATE(
      _xlfn.XLOOKUP($A2137,'RESUMEN CLIENTES'!$D:$D,'RESUMEN CLIENTES'!$Y:$Y,""),
      7 + COUNTIFS(
            $A$2:INDEX($A:$A,ROW()), $A2137,
            $H$2:INDEX($H:$H,ROW()), "ALEM"
          )
    )),
    MONTH(EDATE(
      _xlfn.XLOOKUP($A2137,'RESUMEN CLIENTES'!$D:$D,'RESUMEN CLIENTES'!$Y:$Y,""),
      7 + COUNTIFS(
            $A$2:INDEX($A:$A,ROW()), $A2137,
            $H$2:INDEX($H:$H,ROW()), "ALEM"
          )
    )),
    1
  ),
"SIN FECHA MIG"))</f>
        <v>46447</v>
      </c>
      <c r="H2137" s="44" t="s">
        <v>1876</v>
      </c>
      <c r="I2137" s="2">
        <v>1000</v>
      </c>
      <c r="J2137"/>
      <c r="K2137"/>
      <c r="L2137" s="44" t="str" cm="1">
        <f t="array" ref="L2137">+_xlfn.IFS(COUNTIF(INGRESOS!E:E,Tabla6[[#This Row],[ID FACTURA]])=1,"PAGADA",Tabla6[[#This Row],[ID FACTURA]]&lt;&gt;0,"EMITIDA",Tabla6[[#This Row],[ID FACTURA]]=0,"POR EMITIR")</f>
        <v>POR EMITIR</v>
      </c>
      <c r="M2137" s="55" t="str">
        <f>+IF(Tabla6[[#This Row],[ESTADO FACTURA]]="PAGADA",Tabla6[[#This Row],[FECHA]]-_xlfn.XLOOKUP(Tabla6[[#This Row],[N° FACTURA]],INGRESOS!F:F,INGRESOS!A:A),"-")</f>
        <v>-</v>
      </c>
      <c r="N2137" s="2"/>
      <c r="O2137" t="s">
        <v>2084</v>
      </c>
    </row>
    <row r="2138" spans="1:15" ht="14.75" customHeight="1">
      <c r="A2138" s="320" t="s">
        <v>275</v>
      </c>
      <c r="B2138" t="str">
        <f>+_xlfn.XLOOKUP(Tabla6[[#This Row],[ID CLIENTE]],'RESUMEN CLIENTES'!D:D,'RESUMEN CLIENTES'!A:A)</f>
        <v>Rodrigo Alfonso Busse Hernández</v>
      </c>
      <c r="C2138" t="str">
        <f>+_xlfn.XLOOKUP(Tabla6[[#This Row],[ID CLIENTE]],'RESUMEN CLIENTES'!D:D,'RESUMEN CLIENTES'!C:C)</f>
        <v>Chile</v>
      </c>
      <c r="D2138" s="44" t="str">
        <f>+_xlfn.XLOOKUP(Tabla6[[#This Row],[ID CLIENTE]],'RESUMEN CLIENTES'!D:D,'RESUMEN CLIENTES'!M:M)</f>
        <v>OK</v>
      </c>
      <c r="E2138" s="72">
        <f>+_xlfn.XLOOKUP(Tabla6[[#This Row],[NOMBRE]],'RESUMEN CLIENTES'!A:A,'RESUMEN CLIENTES'!X:X)</f>
        <v>0.33333333333333331</v>
      </c>
      <c r="F2138" s="72">
        <f>+_xlfn.XLOOKUP(Tabla6[[#This Row],[ID CLIENTE]],'RESUMEN CLIENTES'!D:D,'RESUMEN CLIENTES'!W:W)</f>
        <v>1</v>
      </c>
      <c r="G2138" s="17">
        <f>IF($H2138&lt;&gt;"ALEM","",IFERROR(
  DATE(
    YEAR(EDATE(
      _xlfn.XLOOKUP($A2138,'RESUMEN CLIENTES'!$D:$D,'RESUMEN CLIENTES'!$Y:$Y,""),
      7 + COUNTIFS(
            $A$2:INDEX($A:$A,ROW()), $A2138,
            $H$2:INDEX($H:$H,ROW()), "ALEM"
          )
    )),
    MONTH(EDATE(
      _xlfn.XLOOKUP($A2138,'RESUMEN CLIENTES'!$D:$D,'RESUMEN CLIENTES'!$Y:$Y,""),
      7 + COUNTIFS(
            $A$2:INDEX($A:$A,ROW()), $A2138,
            $H$2:INDEX($H:$H,ROW()), "ALEM"
          )
    )),
    1
  ),
"SIN FECHA MIG"))</f>
        <v>46447</v>
      </c>
      <c r="H2138" s="44" t="s">
        <v>1876</v>
      </c>
      <c r="I2138" s="2">
        <v>750</v>
      </c>
      <c r="J2138"/>
      <c r="K2138"/>
      <c r="L2138" s="44" t="str" cm="1">
        <f t="array" ref="L2138">+_xlfn.IFS(COUNTIF(INGRESOS!E:E,Tabla6[[#This Row],[ID FACTURA]])=1,"PAGADA",Tabla6[[#This Row],[ID FACTURA]]&lt;&gt;0,"EMITIDA",Tabla6[[#This Row],[ID FACTURA]]=0,"POR EMITIR")</f>
        <v>POR EMITIR</v>
      </c>
      <c r="M2138" s="55" t="str">
        <f>+IF(Tabla6[[#This Row],[ESTADO FACTURA]]="PAGADA",Tabla6[[#This Row],[FECHA]]-_xlfn.XLOOKUP(Tabla6[[#This Row],[N° FACTURA]],INGRESOS!F:F,INGRESOS!A:A),"-")</f>
        <v>-</v>
      </c>
      <c r="N2138" s="2"/>
      <c r="O2138" t="s">
        <v>2084</v>
      </c>
    </row>
    <row r="2139" spans="1:15" ht="14.75" customHeight="1">
      <c r="A2139" s="320" t="s">
        <v>281</v>
      </c>
      <c r="B2139" t="str">
        <f>+_xlfn.XLOOKUP(Tabla6[[#This Row],[ID CLIENTE]],'RESUMEN CLIENTES'!D:D,'RESUMEN CLIENTES'!A:A)</f>
        <v>Sergio Francisco Garcia Sandoval</v>
      </c>
      <c r="C2139" t="str">
        <f>+_xlfn.XLOOKUP(Tabla6[[#This Row],[ID CLIENTE]],'RESUMEN CLIENTES'!D:D,'RESUMEN CLIENTES'!C:C)</f>
        <v>Perú</v>
      </c>
      <c r="D2139" s="44" t="str">
        <f>+_xlfn.XLOOKUP(Tabla6[[#This Row],[ID CLIENTE]],'RESUMEN CLIENTES'!D:D,'RESUMEN CLIENTES'!M:M)</f>
        <v>OK</v>
      </c>
      <c r="E2139" s="72">
        <f>+_xlfn.XLOOKUP(Tabla6[[#This Row],[NOMBRE]],'RESUMEN CLIENTES'!A:A,'RESUMEN CLIENTES'!X:X)</f>
        <v>0.88888888888888884</v>
      </c>
      <c r="F2139" s="72">
        <f>+_xlfn.XLOOKUP(Tabla6[[#This Row],[ID CLIENTE]],'RESUMEN CLIENTES'!D:D,'RESUMEN CLIENTES'!W:W)</f>
        <v>1</v>
      </c>
      <c r="G2139" s="17">
        <f>IF($H2139&lt;&gt;"ALEM","",IFERROR(
  DATE(
    YEAR(EDATE(
      _xlfn.XLOOKUP($A2139,'RESUMEN CLIENTES'!$D:$D,'RESUMEN CLIENTES'!$Y:$Y,""),
      7 + COUNTIFS(
            $A$2:INDEX($A:$A,ROW()), $A2139,
            $H$2:INDEX($H:$H,ROW()), "ALEM"
          )
    )),
    MONTH(EDATE(
      _xlfn.XLOOKUP($A2139,'RESUMEN CLIENTES'!$D:$D,'RESUMEN CLIENTES'!$Y:$Y,""),
      7 + COUNTIFS(
            $A$2:INDEX($A:$A,ROW()), $A2139,
            $H$2:INDEX($H:$H,ROW()), "ALEM"
          )
    )),
    1
  ),
"SIN FECHA MIG"))</f>
        <v>46447</v>
      </c>
      <c r="H2139" s="44" t="s">
        <v>1876</v>
      </c>
      <c r="I2139" s="2">
        <v>1000</v>
      </c>
      <c r="J2139"/>
      <c r="K2139"/>
      <c r="L2139" s="44" t="str" cm="1">
        <f t="array" ref="L2139">+_xlfn.IFS(COUNTIF(INGRESOS!E:E,Tabla6[[#This Row],[ID FACTURA]])=1,"PAGADA",Tabla6[[#This Row],[ID FACTURA]]&lt;&gt;0,"EMITIDA",Tabla6[[#This Row],[ID FACTURA]]=0,"POR EMITIR")</f>
        <v>POR EMITIR</v>
      </c>
      <c r="M2139" s="55" t="str">
        <f>+IF(Tabla6[[#This Row],[ESTADO FACTURA]]="PAGADA",Tabla6[[#This Row],[FECHA]]-_xlfn.XLOOKUP(Tabla6[[#This Row],[N° FACTURA]],INGRESOS!F:F,INGRESOS!A:A),"-")</f>
        <v>-</v>
      </c>
      <c r="N2139" s="2"/>
      <c r="O2139"/>
    </row>
    <row r="2140" spans="1:15" ht="14.75" customHeight="1">
      <c r="A2140" s="320" t="s">
        <v>716</v>
      </c>
      <c r="B2140" t="str">
        <f>+_xlfn.XLOOKUP(Tabla6[[#This Row],[ID CLIENTE]],'RESUMEN CLIENTES'!D:D,'RESUMEN CLIENTES'!A:A)</f>
        <v>Sofia Martínez Restrepo</v>
      </c>
      <c r="C2140" t="str">
        <f>+_xlfn.XLOOKUP(Tabla6[[#This Row],[ID CLIENTE]],'RESUMEN CLIENTES'!D:D,'RESUMEN CLIENTES'!C:C)</f>
        <v>Colombia</v>
      </c>
      <c r="D2140" s="44" t="str">
        <f>+_xlfn.XLOOKUP(Tabla6[[#This Row],[ID CLIENTE]],'RESUMEN CLIENTES'!D:D,'RESUMEN CLIENTES'!M:M)</f>
        <v>OK</v>
      </c>
      <c r="E2140" s="72">
        <f>+_xlfn.XLOOKUP(Tabla6[[#This Row],[NOMBRE]],'RESUMEN CLIENTES'!A:A,'RESUMEN CLIENTES'!X:X)</f>
        <v>-0.33333333333333331</v>
      </c>
      <c r="F2140" s="72">
        <f>+_xlfn.XLOOKUP(Tabla6[[#This Row],[ID CLIENTE]],'RESUMEN CLIENTES'!D:D,'RESUMEN CLIENTES'!W:W)</f>
        <v>1</v>
      </c>
      <c r="G2140" s="17">
        <f>IF($H2140&lt;&gt;"ALEM","",IFERROR(
  DATE(
    YEAR(EDATE(
      _xlfn.XLOOKUP($A2140,'RESUMEN CLIENTES'!$D:$D,'RESUMEN CLIENTES'!$Y:$Y,""),
      7 + COUNTIFS(
            $A$2:INDEX($A:$A,ROW()), $A2140,
            $H$2:INDEX($H:$H,ROW()), "ALEM"
          )
    )),
    MONTH(EDATE(
      _xlfn.XLOOKUP($A2140,'RESUMEN CLIENTES'!$D:$D,'RESUMEN CLIENTES'!$Y:$Y,""),
      7 + COUNTIFS(
            $A$2:INDEX($A:$A,ROW()), $A2140,
            $H$2:INDEX($H:$H,ROW()), "ALEM"
          )
    )),
    1
  ),
"SIN FECHA MIG"))</f>
        <v>46447</v>
      </c>
      <c r="H2140" s="44" t="s">
        <v>1876</v>
      </c>
      <c r="I2140" s="2">
        <v>1000</v>
      </c>
      <c r="J2140"/>
      <c r="K2140"/>
      <c r="L2140" s="44" t="str" cm="1">
        <f t="array" ref="L2140">+_xlfn.IFS(COUNTIF(INGRESOS!E:E,Tabla6[[#This Row],[ID FACTURA]])=1,"PAGADA",Tabla6[[#This Row],[ID FACTURA]]&lt;&gt;0,"EMITIDA",Tabla6[[#This Row],[ID FACTURA]]=0,"POR EMITIR")</f>
        <v>POR EMITIR</v>
      </c>
      <c r="M2140" s="55" t="str">
        <f>+IF(Tabla6[[#This Row],[ESTADO FACTURA]]="PAGADA",Tabla6[[#This Row],[FECHA]]-_xlfn.XLOOKUP(Tabla6[[#This Row],[N° FACTURA]],INGRESOS!F:F,INGRESOS!A:A),"-")</f>
        <v>-</v>
      </c>
      <c r="N2140" s="2"/>
      <c r="O2140" t="s">
        <v>2084</v>
      </c>
    </row>
    <row r="2141" spans="1:15" ht="14.75" customHeight="1">
      <c r="A2141" s="320" t="s">
        <v>460</v>
      </c>
      <c r="B2141" t="str">
        <f>+_xlfn.XLOOKUP(Tabla6[[#This Row],[ID CLIENTE]],'RESUMEN CLIENTES'!D:D,'RESUMEN CLIENTES'!A:A)</f>
        <v>Valeria Carolina Heredia Peña</v>
      </c>
      <c r="C2141" t="str">
        <f>+_xlfn.XLOOKUP(Tabla6[[#This Row],[ID CLIENTE]],'RESUMEN CLIENTES'!D:D,'RESUMEN CLIENTES'!C:C)</f>
        <v>Bolivia</v>
      </c>
      <c r="D2141" s="44" t="str">
        <f>+_xlfn.XLOOKUP(Tabla6[[#This Row],[ID CLIENTE]],'RESUMEN CLIENTES'!D:D,'RESUMEN CLIENTES'!M:M)</f>
        <v>OK</v>
      </c>
      <c r="E2141" s="72">
        <f>+_xlfn.XLOOKUP(Tabla6[[#This Row],[NOMBRE]],'RESUMEN CLIENTES'!A:A,'RESUMEN CLIENTES'!X:X)</f>
        <v>2.5</v>
      </c>
      <c r="F2141" s="72">
        <f>+_xlfn.XLOOKUP(Tabla6[[#This Row],[ID CLIENTE]],'RESUMEN CLIENTES'!D:D,'RESUMEN CLIENTES'!W:W)</f>
        <v>0</v>
      </c>
      <c r="G2141" s="17">
        <f>IF($H2141&lt;&gt;"ALEM","",IFERROR(
  DATE(
    YEAR(EDATE(
      _xlfn.XLOOKUP($A2141,'RESUMEN CLIENTES'!$D:$D,'RESUMEN CLIENTES'!$Y:$Y,""),
      7 + COUNTIFS(
            $A$2:INDEX($A:$A,ROW()), $A2141,
            $H$2:INDEX($H:$H,ROW()), "ALEM"
          )
    )),
    MONTH(EDATE(
      _xlfn.XLOOKUP($A2141,'RESUMEN CLIENTES'!$D:$D,'RESUMEN CLIENTES'!$Y:$Y,""),
      7 + COUNTIFS(
            $A$2:INDEX($A:$A,ROW()), $A2141,
            $H$2:INDEX($H:$H,ROW()), "ALEM"
          )
    )),
    1
  ),
"SIN FECHA MIG"))</f>
        <v>46447</v>
      </c>
      <c r="H2141" s="44" t="s">
        <v>1876</v>
      </c>
      <c r="I2141" s="2">
        <v>1000</v>
      </c>
      <c r="J2141"/>
      <c r="K2141"/>
      <c r="L2141" s="44" t="str" cm="1">
        <f t="array" ref="L2141">+_xlfn.IFS(COUNTIF(INGRESOS!E:E,Tabla6[[#This Row],[ID FACTURA]])=1,"PAGADA",Tabla6[[#This Row],[ID FACTURA]]&lt;&gt;0,"EMITIDA",Tabla6[[#This Row],[ID FACTURA]]=0,"POR EMITIR")</f>
        <v>POR EMITIR</v>
      </c>
      <c r="M2141" s="55" t="str">
        <f>+IF(Tabla6[[#This Row],[ESTADO FACTURA]]="PAGADA",Tabla6[[#This Row],[FECHA]]-_xlfn.XLOOKUP(Tabla6[[#This Row],[N° FACTURA]],INGRESOS!F:F,INGRESOS!A:A),"-")</f>
        <v>-</v>
      </c>
      <c r="N2141" s="2"/>
      <c r="O2141"/>
    </row>
    <row r="2142" spans="1:15" ht="14.75" customHeight="1">
      <c r="A2142" s="320" t="s">
        <v>4442</v>
      </c>
      <c r="B2142" t="str">
        <f>+_xlfn.XLOOKUP(Tabla6[[#This Row],[ID CLIENTE]],'RESUMEN CLIENTES'!D:D,'RESUMEN CLIENTES'!A:A)</f>
        <v>Vicente Javier Campusano Banse</v>
      </c>
      <c r="C2142" t="str">
        <f>+_xlfn.XLOOKUP(Tabla6[[#This Row],[ID CLIENTE]],'RESUMEN CLIENTES'!D:D,'RESUMEN CLIENTES'!C:C)</f>
        <v>Chile</v>
      </c>
      <c r="D2142" s="169" t="str">
        <f>+_xlfn.XLOOKUP(Tabla6[[#This Row],[ID CLIENTE]],'RESUMEN CLIENTES'!D:D,'RESUMEN CLIENTES'!M:M)</f>
        <v>¡REGULARIZAR!</v>
      </c>
      <c r="E2142" s="71">
        <f>+_xlfn.XLOOKUP(Tabla6[[#This Row],[NOMBRE]],'RESUMEN CLIENTES'!A:A,'RESUMEN CLIENTES'!X:X)</f>
        <v>0</v>
      </c>
      <c r="F2142" s="71">
        <f>+_xlfn.XLOOKUP(Tabla6[[#This Row],[ID CLIENTE]],'RESUMEN CLIENTES'!D:D,'RESUMEN CLIENTES'!W:W)</f>
        <v>0</v>
      </c>
      <c r="G2142" s="428">
        <f>IF($H2142&lt;&gt;"ALEM","",IFERROR(
  DATE(
    YEAR(EDATE(
      _xlfn.XLOOKUP($A2142,'RESUMEN CLIENTES'!$D:$D,'RESUMEN CLIENTES'!$Y:$Y,""),
      7 + COUNTIFS(
            $A$2:INDEX($A:$A,ROW()), $A2142,
            $H$2:INDEX($H:$H,ROW()), "ALEM"
          )
    )),
    MONTH(EDATE(
      _xlfn.XLOOKUP($A2142,'RESUMEN CLIENTES'!$D:$D,'RESUMEN CLIENTES'!$Y:$Y,""),
      7 + COUNTIFS(
            $A$2:INDEX($A:$A,ROW()), $A2142,
            $H$2:INDEX($H:$H,ROW()), "ALEM"
          )
    )),
    1
  ),
"null"))</f>
        <v>46447</v>
      </c>
      <c r="H2142" s="169" t="s">
        <v>1876</v>
      </c>
      <c r="I2142" s="2">
        <v>750</v>
      </c>
      <c r="J2142"/>
      <c r="K2142"/>
      <c r="L2142" s="44" t="str" cm="1">
        <f t="array" ref="L2142">+_xlfn.IFS(COUNTIF(INGRESOS!E:E,Tabla6[[#This Row],[ID FACTURA]])=1,"PAGADA",Tabla6[[#This Row],[ID FACTURA]]&lt;&gt;0,"EMITIDA",Tabla6[[#This Row],[ID FACTURA]]=0,"POR EMITIR")</f>
        <v>POR EMITIR</v>
      </c>
      <c r="M2142" s="54" t="str">
        <f>+IF(Tabla6[[#This Row],[ESTADO FACTURA]]="PAGADA",Tabla6[[#This Row],[FECHA]]-_xlfn.XLOOKUP(Tabla6[[#This Row],[N° FACTURA]],INGRESOS!F:F,INGRESOS!A:A),"-")</f>
        <v>-</v>
      </c>
      <c r="O2142"/>
    </row>
    <row r="2143" spans="1:15" ht="14.75" customHeight="1">
      <c r="A2143" s="320" t="s">
        <v>706</v>
      </c>
      <c r="B2143" t="str">
        <f>+_xlfn.XLOOKUP(Tabla6[[#This Row],[ID CLIENTE]],'RESUMEN CLIENTES'!D:D,'RESUMEN CLIENTES'!A:A)</f>
        <v>Virna Nathaly Montenegro Samaniego</v>
      </c>
      <c r="C2143" t="str">
        <f>+_xlfn.XLOOKUP(Tabla6[[#This Row],[ID CLIENTE]],'RESUMEN CLIENTES'!D:D,'RESUMEN CLIENTES'!C:C)</f>
        <v>Ecuador</v>
      </c>
      <c r="D2143" s="44" t="str">
        <f>+_xlfn.XLOOKUP(Tabla6[[#This Row],[ID CLIENTE]],'RESUMEN CLIENTES'!D:D,'RESUMEN CLIENTES'!M:M)</f>
        <v>OK</v>
      </c>
      <c r="E2143" s="72">
        <f>+_xlfn.XLOOKUP(Tabla6[[#This Row],[NOMBRE]],'RESUMEN CLIENTES'!A:A,'RESUMEN CLIENTES'!X:X)</f>
        <v>7.375</v>
      </c>
      <c r="F2143" s="72">
        <f>+_xlfn.XLOOKUP(Tabla6[[#This Row],[ID CLIENTE]],'RESUMEN CLIENTES'!D:D,'RESUMEN CLIENTES'!W:W)</f>
        <v>0</v>
      </c>
      <c r="G2143" s="17">
        <f>IF($H2143&lt;&gt;"ALEM","",IFERROR(
  DATE(
    YEAR(EDATE(
      _xlfn.XLOOKUP($A2143,'RESUMEN CLIENTES'!$D:$D,'RESUMEN CLIENTES'!$Y:$Y,""),
      7 + COUNTIFS(
            $A$2:INDEX($A:$A,ROW()), $A2143,
            $H$2:INDEX($H:$H,ROW()), "ALEM"
          )
    )),
    MONTH(EDATE(
      _xlfn.XLOOKUP($A2143,'RESUMEN CLIENTES'!$D:$D,'RESUMEN CLIENTES'!$Y:$Y,""),
      7 + COUNTIFS(
            $A$2:INDEX($A:$A,ROW()), $A2143,
            $H$2:INDEX($H:$H,ROW()), "ALEM"
          )
    )),
    1
  ),
"SIN FECHA MIG"))</f>
        <v>46447</v>
      </c>
      <c r="H2143" s="44" t="s">
        <v>1876</v>
      </c>
      <c r="I2143" s="2">
        <v>1000</v>
      </c>
      <c r="J2143"/>
      <c r="K2143"/>
      <c r="L2143" s="44" t="str" cm="1">
        <f t="array" ref="L2143">+_xlfn.IFS(COUNTIF(INGRESOS!E:E,Tabla6[[#This Row],[ID FACTURA]])=1,"PAGADA",Tabla6[[#This Row],[ID FACTURA]]&lt;&gt;0,"EMITIDA",Tabla6[[#This Row],[ID FACTURA]]=0,"POR EMITIR")</f>
        <v>POR EMITIR</v>
      </c>
      <c r="M2143" s="55" t="str">
        <f>+IF(Tabla6[[#This Row],[ESTADO FACTURA]]="PAGADA",Tabla6[[#This Row],[FECHA]]-_xlfn.XLOOKUP(Tabla6[[#This Row],[N° FACTURA]],INGRESOS!F:F,INGRESOS!A:A),"-")</f>
        <v>-</v>
      </c>
      <c r="N2143" s="2"/>
      <c r="O2143"/>
    </row>
    <row r="2144" spans="1:15" ht="14.75" customHeight="1">
      <c r="A2144" s="320" t="s">
        <v>447</v>
      </c>
      <c r="B2144" t="str">
        <f>+_xlfn.XLOOKUP(Tabla6[[#This Row],[ID CLIENTE]],'RESUMEN CLIENTES'!D:D,'RESUMEN CLIENTES'!A:A)</f>
        <v>Yefry Onil Santana Marte</v>
      </c>
      <c r="C2144" t="str">
        <f>+_xlfn.XLOOKUP(Tabla6[[#This Row],[ID CLIENTE]],'RESUMEN CLIENTES'!D:D,'RESUMEN CLIENTES'!C:C)</f>
        <v>República Dominicana</v>
      </c>
      <c r="D2144" s="44" t="str">
        <f>+_xlfn.XLOOKUP(Tabla6[[#This Row],[ID CLIENTE]],'RESUMEN CLIENTES'!D:D,'RESUMEN CLIENTES'!M:M)</f>
        <v>OK</v>
      </c>
      <c r="E2144" s="72">
        <f>+_xlfn.XLOOKUP(Tabla6[[#This Row],[NOMBRE]],'RESUMEN CLIENTES'!A:A,'RESUMEN CLIENTES'!X:X)</f>
        <v>-0.90909090909090906</v>
      </c>
      <c r="F2144" s="72">
        <f>+_xlfn.XLOOKUP(Tabla6[[#This Row],[ID CLIENTE]],'RESUMEN CLIENTES'!D:D,'RESUMEN CLIENTES'!W:W)</f>
        <v>0</v>
      </c>
      <c r="G2144" s="17">
        <f>IF($H2144&lt;&gt;"ALEM","",IFERROR(
  DATE(
    YEAR(EDATE(
      _xlfn.XLOOKUP($A2144,'RESUMEN CLIENTES'!$D:$D,'RESUMEN CLIENTES'!$Y:$Y,""),
      7 + COUNTIFS(
            $A$2:INDEX($A:$A,ROW()), $A2144,
            $H$2:INDEX($H:$H,ROW()), "ALEM"
          )
    )),
    MONTH(EDATE(
      _xlfn.XLOOKUP($A2144,'RESUMEN CLIENTES'!$D:$D,'RESUMEN CLIENTES'!$Y:$Y,""),
      7 + COUNTIFS(
            $A$2:INDEX($A:$A,ROW()), $A2144,
            $H$2:INDEX($H:$H,ROW()), "ALEM"
          )
    )),
    1
  ),
"SIN FECHA MIG"))</f>
        <v>46447</v>
      </c>
      <c r="H2144" s="44" t="s">
        <v>1876</v>
      </c>
      <c r="I2144" s="2">
        <v>1000</v>
      </c>
      <c r="J2144"/>
      <c r="K2144"/>
      <c r="L2144" s="44" t="str" cm="1">
        <f t="array" ref="L2144">+_xlfn.IFS(COUNTIF(INGRESOS!E:E,Tabla6[[#This Row],[ID FACTURA]])=1,"PAGADA",Tabla6[[#This Row],[ID FACTURA]]&lt;&gt;0,"EMITIDA",Tabla6[[#This Row],[ID FACTURA]]=0,"POR EMITIR")</f>
        <v>POR EMITIR</v>
      </c>
      <c r="M2144" s="55" t="str">
        <f>+IF(Tabla6[[#This Row],[ESTADO FACTURA]]="PAGADA",Tabla6[[#This Row],[FECHA]]-_xlfn.XLOOKUP(Tabla6[[#This Row],[N° FACTURA]],INGRESOS!F:F,INGRESOS!A:A),"-")</f>
        <v>-</v>
      </c>
      <c r="N2144" s="2"/>
      <c r="O2144"/>
    </row>
    <row r="2145" spans="1:15" ht="14.75" customHeight="1">
      <c r="A2145" s="320" t="s">
        <v>6035</v>
      </c>
      <c r="B2145" t="str">
        <f>+_xlfn.XLOOKUP(Tabla6[[#This Row],[ID CLIENTE]],'RESUMEN CLIENTES'!D:D,'RESUMEN CLIENTES'!A:A)</f>
        <v>Ari Sifuentes Becerra</v>
      </c>
      <c r="C2145" s="15" t="str">
        <f>+_xlfn.XLOOKUP(Tabla6[[#This Row],[ID CLIENTE]],'RESUMEN CLIENTES'!D:D,'RESUMEN CLIENTES'!C:C)</f>
        <v>México</v>
      </c>
      <c r="D2145" s="169" t="str">
        <f>+_xlfn.XLOOKUP(Tabla6[[#This Row],[ID CLIENTE]],'RESUMEN CLIENTES'!D:D,'RESUMEN CLIENTES'!M:M)</f>
        <v>OK</v>
      </c>
      <c r="E2145" s="71">
        <f>+_xlfn.XLOOKUP(Tabla6[[#This Row],[NOMBRE]],'RESUMEN CLIENTES'!A:A,'RESUMEN CLIENTES'!X:X)</f>
        <v>-1</v>
      </c>
      <c r="F2145" s="71">
        <f>+_xlfn.XLOOKUP(Tabla6[[#This Row],[ID CLIENTE]],'RESUMEN CLIENTES'!D:D,'RESUMEN CLIENTES'!W:W)</f>
        <v>0</v>
      </c>
      <c r="G2145" s="17">
        <v>46448</v>
      </c>
      <c r="H2145" s="169" t="s">
        <v>81</v>
      </c>
      <c r="I2145" s="2">
        <v>1000</v>
      </c>
      <c r="J2145"/>
      <c r="K2145"/>
      <c r="L2145" s="44" t="str" cm="1">
        <f t="array" ref="L2145">+_xlfn.IFS(COUNTIF(INGRESOS!E:E,Tabla6[[#This Row],[ID FACTURA]])=1,"PAGADA",Tabla6[[#This Row],[ID FACTURA]]&lt;&gt;0,"EMITIDA",Tabla6[[#This Row],[ID FACTURA]]=0,"POR EMITIR")</f>
        <v>POR EMITIR</v>
      </c>
      <c r="M2145" s="54" t="str">
        <f>+IF(Tabla6[[#This Row],[ESTADO FACTURA]]="PAGADA",Tabla6[[#This Row],[FECHA]]-_xlfn.XLOOKUP(Tabla6[[#This Row],[N° FACTURA]],INGRESOS!F:F,INGRESOS!A:A),"-")</f>
        <v>-</v>
      </c>
      <c r="O2145"/>
    </row>
    <row r="2146" spans="1:15" ht="14.75" customHeight="1">
      <c r="A2146" s="320" t="s">
        <v>1248</v>
      </c>
      <c r="B2146" t="str">
        <f>+_xlfn.XLOOKUP(Tabla6[[#This Row],[ID CLIENTE]],'RESUMEN CLIENTES'!D:D,'RESUMEN CLIENTES'!A:A)</f>
        <v>Emily Vanessa Tapia Villalobos</v>
      </c>
      <c r="C2146" t="str">
        <f>+_xlfn.XLOOKUP(Tabla6[[#This Row],[ID CLIENTE]],'RESUMEN CLIENTES'!D:D,'RESUMEN CLIENTES'!C:C)</f>
        <v>Chile</v>
      </c>
      <c r="D2146" s="44" t="str">
        <f>+_xlfn.XLOOKUP(Tabla6[[#This Row],[ID CLIENTE]],'RESUMEN CLIENTES'!D:D,'RESUMEN CLIENTES'!M:M)</f>
        <v>OK</v>
      </c>
      <c r="E2146" s="71">
        <f>+_xlfn.XLOOKUP(Tabla6[[#This Row],[NOMBRE]],'RESUMEN CLIENTES'!A:A,'RESUMEN CLIENTES'!X:X)</f>
        <v>0.33333333333333331</v>
      </c>
      <c r="F2146" s="71">
        <f>+_xlfn.XLOOKUP(Tabla6[[#This Row],[ID CLIENTE]],'RESUMEN CLIENTES'!D:D,'RESUMEN CLIENTES'!W:W)</f>
        <v>0</v>
      </c>
      <c r="G2146" s="17">
        <v>46449</v>
      </c>
      <c r="H2146" s="44" t="s">
        <v>81</v>
      </c>
      <c r="I2146" s="2">
        <v>1000</v>
      </c>
      <c r="J2146"/>
      <c r="K2146"/>
      <c r="L2146" s="44" t="str" cm="1">
        <f t="array" ref="L2146">+_xlfn.IFS(COUNTIF(INGRESOS!E:E,Tabla6[[#This Row],[ID FACTURA]])=1,"PAGADA",Tabla6[[#This Row],[ID FACTURA]]&lt;&gt;0,"EMITIDA",Tabla6[[#This Row],[ID FACTURA]]=0,"POR EMITIR")</f>
        <v>POR EMITIR</v>
      </c>
      <c r="M2146" s="55" t="str">
        <f>+IF(Tabla6[[#This Row],[ESTADO FACTURA]]="PAGADA",Tabla6[[#This Row],[FECHA]]-_xlfn.XLOOKUP(Tabla6[[#This Row],[N° FACTURA]],INGRESOS!F:F,INGRESOS!A:A),"-")</f>
        <v>-</v>
      </c>
      <c r="N2146" s="2"/>
      <c r="O2146"/>
    </row>
    <row r="2147" spans="1:15" ht="14.75" customHeight="1">
      <c r="A2147" s="320" t="s">
        <v>1251</v>
      </c>
      <c r="B2147" t="str">
        <f>+_xlfn.XLOOKUP(Tabla6[[#This Row],[ID CLIENTE]],'RESUMEN CLIENTES'!D:D,'RESUMEN CLIENTES'!A:A)</f>
        <v>Erick Ernesto Angulo Campos</v>
      </c>
      <c r="C2147" t="str">
        <f>+_xlfn.XLOOKUP(Tabla6[[#This Row],[ID CLIENTE]],'RESUMEN CLIENTES'!D:D,'RESUMEN CLIENTES'!C:C)</f>
        <v>Chile</v>
      </c>
      <c r="D2147" s="44" t="str">
        <f>+_xlfn.XLOOKUP(Tabla6[[#This Row],[ID CLIENTE]],'RESUMEN CLIENTES'!D:D,'RESUMEN CLIENTES'!M:M)</f>
        <v>OK</v>
      </c>
      <c r="E2147" s="71">
        <f>+_xlfn.XLOOKUP(Tabla6[[#This Row],[NOMBRE]],'RESUMEN CLIENTES'!A:A,'RESUMEN CLIENTES'!X:X)</f>
        <v>-0.66666666666666663</v>
      </c>
      <c r="F2147" s="71">
        <f>+_xlfn.XLOOKUP(Tabla6[[#This Row],[ID CLIENTE]],'RESUMEN CLIENTES'!D:D,'RESUMEN CLIENTES'!W:W)</f>
        <v>0</v>
      </c>
      <c r="G2147" s="17">
        <v>46449</v>
      </c>
      <c r="H2147" s="44" t="s">
        <v>81</v>
      </c>
      <c r="I2147" s="2">
        <v>1000</v>
      </c>
      <c r="J2147"/>
      <c r="K2147"/>
      <c r="L2147" s="44" t="str" cm="1">
        <f t="array" ref="L2147">+_xlfn.IFS(COUNTIF(INGRESOS!E:E,Tabla6[[#This Row],[ID FACTURA]])=1,"PAGADA",Tabla6[[#This Row],[ID FACTURA]]&lt;&gt;0,"EMITIDA",Tabla6[[#This Row],[ID FACTURA]]=0,"POR EMITIR")</f>
        <v>POR EMITIR</v>
      </c>
      <c r="M2147" s="55" t="str">
        <f>+IF(Tabla6[[#This Row],[ESTADO FACTURA]]="PAGADA",Tabla6[[#This Row],[FECHA]]-_xlfn.XLOOKUP(Tabla6[[#This Row],[N° FACTURA]],INGRESOS!F:F,INGRESOS!A:A),"-")</f>
        <v>-</v>
      </c>
      <c r="N2147" s="2"/>
      <c r="O2147"/>
    </row>
    <row r="2148" spans="1:15" ht="14.75" customHeight="1">
      <c r="A2148" s="320" t="s">
        <v>2521</v>
      </c>
      <c r="B2148" t="str">
        <f>+_xlfn.XLOOKUP(Tabla6[[#This Row],[ID CLIENTE]],'RESUMEN CLIENTES'!D:D,'RESUMEN CLIENTES'!A:A)</f>
        <v>Fabián Andrés Sarmiento Auli</v>
      </c>
      <c r="C2148" t="str">
        <f>+_xlfn.XLOOKUP(Tabla6[[#This Row],[ID CLIENTE]],'RESUMEN CLIENTES'!D:D,'RESUMEN CLIENTES'!C:C)</f>
        <v>Colombia</v>
      </c>
      <c r="D2148" s="169" t="str">
        <f>+_xlfn.XLOOKUP(Tabla6[[#This Row],[ID CLIENTE]],'RESUMEN CLIENTES'!D:D,'RESUMEN CLIENTES'!M:M)</f>
        <v>OK</v>
      </c>
      <c r="E2148" s="71">
        <f>+_xlfn.XLOOKUP(Tabla6[[#This Row],[NOMBRE]],'RESUMEN CLIENTES'!A:A,'RESUMEN CLIENTES'!X:X)</f>
        <v>0</v>
      </c>
      <c r="F2148" s="71">
        <f>+_xlfn.XLOOKUP(Tabla6[[#This Row],[ID CLIENTE]],'RESUMEN CLIENTES'!D:D,'RESUMEN CLIENTES'!W:W)</f>
        <v>0</v>
      </c>
      <c r="G2148" s="17">
        <v>46451</v>
      </c>
      <c r="H2148" s="169" t="s">
        <v>81</v>
      </c>
      <c r="I2148" s="2">
        <v>650</v>
      </c>
      <c r="J2148"/>
      <c r="K2148"/>
      <c r="L2148" s="44" t="str" cm="1">
        <f t="array" ref="L2148">+_xlfn.IFS(COUNTIF(INGRESOS!E:E,Tabla6[[#This Row],[ID FACTURA]])=1,"PAGADA",Tabla6[[#This Row],[ID FACTURA]]&lt;&gt;0,"EMITIDA",Tabla6[[#This Row],[ID FACTURA]]=0,"POR EMITIR")</f>
        <v>POR EMITIR</v>
      </c>
      <c r="M2148" s="54" t="str">
        <f>+IF(Tabla6[[#This Row],[ESTADO FACTURA]]="PAGADA",Tabla6[[#This Row],[FECHA]]-_xlfn.XLOOKUP(Tabla6[[#This Row],[N° FACTURA]],INGRESOS!F:F,INGRESOS!A:A),"-")</f>
        <v>-</v>
      </c>
      <c r="O2148"/>
    </row>
    <row r="2149" spans="1:15" ht="14.75" customHeight="1">
      <c r="A2149" s="320" t="s">
        <v>787</v>
      </c>
      <c r="B2149" t="str">
        <f>+_xlfn.XLOOKUP(Tabla6[[#This Row],[ID CLIENTE]],'RESUMEN CLIENTES'!D:D,'RESUMEN CLIENTES'!A:A)</f>
        <v>Florencia Luján Sapia</v>
      </c>
      <c r="C2149" t="str">
        <f>+_xlfn.XLOOKUP(Tabla6[[#This Row],[ID CLIENTE]],'RESUMEN CLIENTES'!D:D,'RESUMEN CLIENTES'!C:C)</f>
        <v>Argentina</v>
      </c>
      <c r="D2149" s="44" t="str">
        <f>+_xlfn.XLOOKUP(Tabla6[[#This Row],[ID CLIENTE]],'RESUMEN CLIENTES'!D:D,'RESUMEN CLIENTES'!M:M)</f>
        <v>OK</v>
      </c>
      <c r="E2149" s="72">
        <f>+_xlfn.XLOOKUP(Tabla6[[#This Row],[NOMBRE]],'RESUMEN CLIENTES'!A:A,'RESUMEN CLIENTES'!X:X)</f>
        <v>-0.77777777777777779</v>
      </c>
      <c r="F2149" s="72">
        <f>+_xlfn.XLOOKUP(Tabla6[[#This Row],[ID CLIENTE]],'RESUMEN CLIENTES'!D:D,'RESUMEN CLIENTES'!W:W)</f>
        <v>1</v>
      </c>
      <c r="G2149" s="17">
        <v>46451</v>
      </c>
      <c r="H2149" s="44" t="s">
        <v>81</v>
      </c>
      <c r="I2149" s="2">
        <v>600</v>
      </c>
      <c r="J2149"/>
      <c r="K2149"/>
      <c r="L2149" s="44" t="str" cm="1">
        <f t="array" ref="L2149">+_xlfn.IFS(COUNTIF(INGRESOS!E:E,Tabla6[[#This Row],[ID FACTURA]])=1,"PAGADA",Tabla6[[#This Row],[ID FACTURA]]&lt;&gt;0,"EMITIDA",Tabla6[[#This Row],[ID FACTURA]]=0,"POR EMITIR")</f>
        <v>POR EMITIR</v>
      </c>
      <c r="M2149" s="55" t="str">
        <f>+IF(Tabla6[[#This Row],[ESTADO FACTURA]]="PAGADA",Tabla6[[#This Row],[FECHA]]-_xlfn.XLOOKUP(Tabla6[[#This Row],[N° FACTURA]],INGRESOS!F:F,INGRESOS!A:A),"-")</f>
        <v>-</v>
      </c>
      <c r="N2149" s="2"/>
      <c r="O2149"/>
    </row>
    <row r="2150" spans="1:15" ht="14.75" customHeight="1">
      <c r="A2150" s="320" t="s">
        <v>4454</v>
      </c>
      <c r="B2150" t="str">
        <f>+_xlfn.XLOOKUP(Tabla6[[#This Row],[ID CLIENTE]],'RESUMEN CLIENTES'!D:D,'RESUMEN CLIENTES'!A:A)</f>
        <v>Jose Luis Avilez Casas</v>
      </c>
      <c r="C2150" t="str">
        <f>+_xlfn.XLOOKUP(Tabla6[[#This Row],[ID CLIENTE]],'RESUMEN CLIENTES'!D:D,'RESUMEN CLIENTES'!C:C)</f>
        <v>México</v>
      </c>
      <c r="D2150" s="169" t="str">
        <f>+_xlfn.XLOOKUP(Tabla6[[#This Row],[ID CLIENTE]],'RESUMEN CLIENTES'!D:D,'RESUMEN CLIENTES'!M:M)</f>
        <v>OK</v>
      </c>
      <c r="E2150" s="71">
        <f>+_xlfn.XLOOKUP(Tabla6[[#This Row],[NOMBRE]],'RESUMEN CLIENTES'!A:A,'RESUMEN CLIENTES'!X:X)</f>
        <v>0.33333333333333331</v>
      </c>
      <c r="F2150" s="71">
        <f>+_xlfn.XLOOKUP(Tabla6[[#This Row],[ID CLIENTE]],'RESUMEN CLIENTES'!D:D,'RESUMEN CLIENTES'!W:W)</f>
        <v>0</v>
      </c>
      <c r="G2150" s="17">
        <v>46451</v>
      </c>
      <c r="H2150" s="169" t="s">
        <v>81</v>
      </c>
      <c r="I2150" s="2">
        <v>1000</v>
      </c>
      <c r="J2150"/>
      <c r="K2150"/>
      <c r="L2150" s="44" t="str" cm="1">
        <f t="array" ref="L2150">+_xlfn.IFS(COUNTIF(INGRESOS!E:E,Tabla6[[#This Row],[ID FACTURA]])=1,"PAGADA",Tabla6[[#This Row],[ID FACTURA]]&lt;&gt;0,"EMITIDA",Tabla6[[#This Row],[ID FACTURA]]=0,"POR EMITIR")</f>
        <v>POR EMITIR</v>
      </c>
      <c r="M2150" s="54" t="str">
        <f>+IF(Tabla6[[#This Row],[ESTADO FACTURA]]="PAGADA",Tabla6[[#This Row],[FECHA]]-_xlfn.XLOOKUP(Tabla6[[#This Row],[N° FACTURA]],INGRESOS!F:F,INGRESOS!A:A),"-")</f>
        <v>-</v>
      </c>
      <c r="O2150"/>
    </row>
    <row r="2151" spans="1:15" ht="14.75" customHeight="1">
      <c r="A2151" s="320" t="s">
        <v>798</v>
      </c>
      <c r="B2151" t="str">
        <f>+_xlfn.XLOOKUP(Tabla6[[#This Row],[ID CLIENTE]],'RESUMEN CLIENTES'!D:D,'RESUMEN CLIENTES'!A:A)</f>
        <v>Juan Manuel Paranzino</v>
      </c>
      <c r="C2151" t="str">
        <f>+_xlfn.XLOOKUP(Tabla6[[#This Row],[ID CLIENTE]],'RESUMEN CLIENTES'!D:D,'RESUMEN CLIENTES'!C:C)</f>
        <v>Argentina</v>
      </c>
      <c r="D2151" s="44" t="str">
        <f>+_xlfn.XLOOKUP(Tabla6[[#This Row],[ID CLIENTE]],'RESUMEN CLIENTES'!D:D,'RESUMEN CLIENTES'!M:M)</f>
        <v>OK</v>
      </c>
      <c r="E2151" s="72">
        <f>+_xlfn.XLOOKUP(Tabla6[[#This Row],[NOMBRE]],'RESUMEN CLIENTES'!A:A,'RESUMEN CLIENTES'!X:X)</f>
        <v>-1</v>
      </c>
      <c r="F2151" s="72">
        <f>+_xlfn.XLOOKUP(Tabla6[[#This Row],[ID CLIENTE]],'RESUMEN CLIENTES'!D:D,'RESUMEN CLIENTES'!W:W)</f>
        <v>0</v>
      </c>
      <c r="G2151" s="17">
        <v>46451</v>
      </c>
      <c r="H2151" s="44" t="s">
        <v>81</v>
      </c>
      <c r="I2151" s="2">
        <v>600</v>
      </c>
      <c r="J2151"/>
      <c r="K2151"/>
      <c r="L2151" s="44" t="str" cm="1">
        <f t="array" ref="L2151">+_xlfn.IFS(COUNTIF(INGRESOS!E:E,Tabla6[[#This Row],[ID FACTURA]])=1,"PAGADA",Tabla6[[#This Row],[ID FACTURA]]&lt;&gt;0,"EMITIDA",Tabla6[[#This Row],[ID FACTURA]]=0,"POR EMITIR")</f>
        <v>POR EMITIR</v>
      </c>
      <c r="M2151" s="55" t="str">
        <f>+IF(Tabla6[[#This Row],[ESTADO FACTURA]]="PAGADA",Tabla6[[#This Row],[FECHA]]-_xlfn.XLOOKUP(Tabla6[[#This Row],[N° FACTURA]],INGRESOS!F:F,INGRESOS!A:A),"-")</f>
        <v>-</v>
      </c>
      <c r="N2151" s="2"/>
      <c r="O2151"/>
    </row>
    <row r="2152" spans="1:15" ht="14.75" customHeight="1">
      <c r="A2152" s="320" t="s">
        <v>1416</v>
      </c>
      <c r="B2152" t="str">
        <f>+_xlfn.XLOOKUP(Tabla6[[#This Row],[ID CLIENTE]],'RESUMEN CLIENTES'!D:D,'RESUMEN CLIENTES'!A:A)</f>
        <v>Luis Armando Calderon Manzanera</v>
      </c>
      <c r="C2152" t="str">
        <f>+_xlfn.XLOOKUP(Tabla6[[#This Row],[ID CLIENTE]],'RESUMEN CLIENTES'!D:D,'RESUMEN CLIENTES'!C:C)</f>
        <v>México</v>
      </c>
      <c r="D2152" s="44" t="str">
        <f>+_xlfn.XLOOKUP(Tabla6[[#This Row],[ID CLIENTE]],'RESUMEN CLIENTES'!D:D,'RESUMEN CLIENTES'!M:M)</f>
        <v>OK</v>
      </c>
      <c r="E2152" s="71">
        <f>+_xlfn.XLOOKUP(Tabla6[[#This Row],[NOMBRE]],'RESUMEN CLIENTES'!A:A,'RESUMEN CLIENTES'!X:X)</f>
        <v>2</v>
      </c>
      <c r="F2152" s="71">
        <f>+_xlfn.XLOOKUP(Tabla6[[#This Row],[ID CLIENTE]],'RESUMEN CLIENTES'!D:D,'RESUMEN CLIENTES'!W:W)</f>
        <v>1</v>
      </c>
      <c r="G2152" s="17">
        <v>46451</v>
      </c>
      <c r="H2152" s="44" t="s">
        <v>81</v>
      </c>
      <c r="I2152" s="2">
        <v>650</v>
      </c>
      <c r="J2152"/>
      <c r="K2152"/>
      <c r="L2152" s="44" t="str" cm="1">
        <f t="array" ref="L2152">+_xlfn.IFS(COUNTIF(INGRESOS!E:E,Tabla6[[#This Row],[ID FACTURA]])=1,"PAGADA",Tabla6[[#This Row],[ID FACTURA]]&lt;&gt;0,"EMITIDA",Tabla6[[#This Row],[ID FACTURA]]=0,"POR EMITIR")</f>
        <v>POR EMITIR</v>
      </c>
      <c r="M2152" s="55" t="str">
        <f>+IF(Tabla6[[#This Row],[ESTADO FACTURA]]="PAGADA",Tabla6[[#This Row],[FECHA]]-_xlfn.XLOOKUP(Tabla6[[#This Row],[N° FACTURA]],INGRESOS!F:F,INGRESOS!A:A),"-")</f>
        <v>-</v>
      </c>
      <c r="N2152" s="2"/>
      <c r="O2152"/>
    </row>
    <row r="2153" spans="1:15" ht="14.75" customHeight="1">
      <c r="A2153" s="320" t="s">
        <v>703</v>
      </c>
      <c r="B2153" t="str">
        <f>+_xlfn.XLOOKUP(Tabla6[[#This Row],[ID CLIENTE]],'RESUMEN CLIENTES'!D:D,'RESUMEN CLIENTES'!A:A)</f>
        <v>Maira Paz Navas Sánchez</v>
      </c>
      <c r="C2153" t="str">
        <f>+_xlfn.XLOOKUP(Tabla6[[#This Row],[ID CLIENTE]],'RESUMEN CLIENTES'!D:D,'RESUMEN CLIENTES'!C:C)</f>
        <v>Chile</v>
      </c>
      <c r="D2153" s="44" t="str">
        <f>+_xlfn.XLOOKUP(Tabla6[[#This Row],[ID CLIENTE]],'RESUMEN CLIENTES'!D:D,'RESUMEN CLIENTES'!M:M)</f>
        <v>OK</v>
      </c>
      <c r="E2153" s="72">
        <f>+_xlfn.XLOOKUP(Tabla6[[#This Row],[NOMBRE]],'RESUMEN CLIENTES'!A:A,'RESUMEN CLIENTES'!X:X)</f>
        <v>-1.75</v>
      </c>
      <c r="F2153" s="72">
        <f>+_xlfn.XLOOKUP(Tabla6[[#This Row],[ID CLIENTE]],'RESUMEN CLIENTES'!D:D,'RESUMEN CLIENTES'!W:W)</f>
        <v>1</v>
      </c>
      <c r="G2153" s="17">
        <v>46451</v>
      </c>
      <c r="H2153" s="44" t="s">
        <v>81</v>
      </c>
      <c r="I2153" s="2">
        <v>700</v>
      </c>
      <c r="J2153"/>
      <c r="K2153"/>
      <c r="L2153" s="44" t="str" cm="1">
        <f t="array" ref="L2153">+_xlfn.IFS(COUNTIF(INGRESOS!E:E,Tabla6[[#This Row],[ID FACTURA]])=1,"PAGADA",Tabla6[[#This Row],[ID FACTURA]]&lt;&gt;0,"EMITIDA",Tabla6[[#This Row],[ID FACTURA]]=0,"POR EMITIR")</f>
        <v>POR EMITIR</v>
      </c>
      <c r="M2153" s="55" t="str">
        <f>+IF(Tabla6[[#This Row],[ESTADO FACTURA]]="PAGADA",Tabla6[[#This Row],[FECHA]]-_xlfn.XLOOKUP(Tabla6[[#This Row],[N° FACTURA]],INGRESOS!F:F,INGRESOS!A:A),"-")</f>
        <v>-</v>
      </c>
      <c r="N2153" s="2"/>
      <c r="O2153"/>
    </row>
    <row r="2154" spans="1:15" ht="14.75" customHeight="1">
      <c r="A2154" s="320" t="s">
        <v>80</v>
      </c>
      <c r="B2154" t="str">
        <f>+_xlfn.XLOOKUP(Tabla6[[#This Row],[ID CLIENTE]],'RESUMEN CLIENTES'!D:D,'RESUMEN CLIENTES'!A:A)</f>
        <v>María Fernanda Alvar Sepúlveda</v>
      </c>
      <c r="C2154" t="str">
        <f>+_xlfn.XLOOKUP(Tabla6[[#This Row],[ID CLIENTE]],'RESUMEN CLIENTES'!D:D,'RESUMEN CLIENTES'!C:C)</f>
        <v>Chile</v>
      </c>
      <c r="D2154" s="44" t="str">
        <f>+_xlfn.XLOOKUP(Tabla6[[#This Row],[ID CLIENTE]],'RESUMEN CLIENTES'!D:D,'RESUMEN CLIENTES'!M:M)</f>
        <v>OK</v>
      </c>
      <c r="E2154" s="72">
        <f>+_xlfn.XLOOKUP(Tabla6[[#This Row],[NOMBRE]],'RESUMEN CLIENTES'!A:A,'RESUMEN CLIENTES'!X:X)</f>
        <v>5</v>
      </c>
      <c r="F2154" s="71">
        <f>+_xlfn.XLOOKUP(Tabla6[[#This Row],[ID CLIENTE]],'RESUMEN CLIENTES'!D:D,'RESUMEN CLIENTES'!W:W)</f>
        <v>1</v>
      </c>
      <c r="G2154" s="17">
        <v>46451</v>
      </c>
      <c r="H2154" s="44" t="s">
        <v>81</v>
      </c>
      <c r="I2154" s="2">
        <v>630</v>
      </c>
      <c r="J2154"/>
      <c r="K2154"/>
      <c r="L2154" s="44" t="str" cm="1">
        <f t="array" ref="L2154">+_xlfn.IFS(COUNTIF(INGRESOS!E:E,Tabla6[[#This Row],[ID FACTURA]])=1,"PAGADA",Tabla6[[#This Row],[ID FACTURA]]&lt;&gt;0,"EMITIDA",Tabla6[[#This Row],[ID FACTURA]]=0,"POR EMITIR")</f>
        <v>POR EMITIR</v>
      </c>
      <c r="M2154" s="55" t="str">
        <f>+IF(Tabla6[[#This Row],[ESTADO FACTURA]]="PAGADA",Tabla6[[#This Row],[FECHA]]-_xlfn.XLOOKUP(Tabla6[[#This Row],[N° FACTURA]],INGRESOS!F:F,INGRESOS!A:A),"-")</f>
        <v>-</v>
      </c>
      <c r="N2154" s="214"/>
      <c r="O2154"/>
    </row>
    <row r="2155" spans="1:15" ht="14.75" customHeight="1">
      <c r="A2155" s="320" t="s">
        <v>1551</v>
      </c>
      <c r="B2155" t="str">
        <f>+_xlfn.XLOOKUP(Tabla6[[#This Row],[ID CLIENTE]],'RESUMEN CLIENTES'!D:D,'RESUMEN CLIENTES'!A:A)</f>
        <v>María Fernanda Cid Ramírez</v>
      </c>
      <c r="C2155" t="str">
        <f>+_xlfn.XLOOKUP(Tabla6[[#This Row],[ID CLIENTE]],'RESUMEN CLIENTES'!D:D,'RESUMEN CLIENTES'!C:C)</f>
        <v>México</v>
      </c>
      <c r="D2155" s="44" t="str">
        <f>+_xlfn.XLOOKUP(Tabla6[[#This Row],[ID CLIENTE]],'RESUMEN CLIENTES'!D:D,'RESUMEN CLIENTES'!M:M)</f>
        <v>OK</v>
      </c>
      <c r="E2155" s="71">
        <f>+_xlfn.XLOOKUP(Tabla6[[#This Row],[NOMBRE]],'RESUMEN CLIENTES'!A:A,'RESUMEN CLIENTES'!X:X)</f>
        <v>-0.8571428571428571</v>
      </c>
      <c r="F2155" s="71">
        <f>+_xlfn.XLOOKUP(Tabla6[[#This Row],[ID CLIENTE]],'RESUMEN CLIENTES'!D:D,'RESUMEN CLIENTES'!W:W)</f>
        <v>0</v>
      </c>
      <c r="G2155" s="17">
        <v>46451</v>
      </c>
      <c r="H2155" s="169" t="s">
        <v>81</v>
      </c>
      <c r="I2155" s="2">
        <v>850</v>
      </c>
      <c r="J2155"/>
      <c r="K2155"/>
      <c r="L2155" s="44" t="str" cm="1">
        <f t="array" ref="L2155">+_xlfn.IFS(COUNTIF(INGRESOS!E:E,Tabla6[[#This Row],[ID FACTURA]])=1,"PAGADA",Tabla6[[#This Row],[ID FACTURA]]&lt;&gt;0,"EMITIDA",Tabla6[[#This Row],[ID FACTURA]]=0,"POR EMITIR")</f>
        <v>POR EMITIR</v>
      </c>
      <c r="M2155" s="55" t="str">
        <f>+IF(Tabla6[[#This Row],[ESTADO FACTURA]]="PAGADA",Tabla6[[#This Row],[FECHA]]-_xlfn.XLOOKUP(Tabla6[[#This Row],[N° FACTURA]],INGRESOS!F:F,INGRESOS!A:A),"-")</f>
        <v>-</v>
      </c>
      <c r="N2155" s="2"/>
      <c r="O2155"/>
    </row>
    <row r="2156" spans="1:15" ht="14.75" customHeight="1">
      <c r="A2156" s="320" t="s">
        <v>281</v>
      </c>
      <c r="B2156" t="str">
        <f>+_xlfn.XLOOKUP(Tabla6[[#This Row],[ID CLIENTE]],'RESUMEN CLIENTES'!D:D,'RESUMEN CLIENTES'!A:A)</f>
        <v>Sergio Francisco Garcia Sandoval</v>
      </c>
      <c r="C2156" t="str">
        <f>+_xlfn.XLOOKUP(Tabla6[[#This Row],[ID CLIENTE]],'RESUMEN CLIENTES'!D:D,'RESUMEN CLIENTES'!C:C)</f>
        <v>Perú</v>
      </c>
      <c r="D2156" s="44" t="str">
        <f>+_xlfn.XLOOKUP(Tabla6[[#This Row],[ID CLIENTE]],'RESUMEN CLIENTES'!D:D,'RESUMEN CLIENTES'!M:M)</f>
        <v>OK</v>
      </c>
      <c r="E2156" s="72">
        <f>+_xlfn.XLOOKUP(Tabla6[[#This Row],[NOMBRE]],'RESUMEN CLIENTES'!A:A,'RESUMEN CLIENTES'!X:X)</f>
        <v>0.88888888888888884</v>
      </c>
      <c r="F2156" s="72">
        <f>+_xlfn.XLOOKUP(Tabla6[[#This Row],[ID CLIENTE]],'RESUMEN CLIENTES'!D:D,'RESUMEN CLIENTES'!W:W)</f>
        <v>1</v>
      </c>
      <c r="G2156" s="17">
        <v>46451</v>
      </c>
      <c r="H2156" s="44" t="s">
        <v>81</v>
      </c>
      <c r="I2156" s="2">
        <v>350</v>
      </c>
      <c r="J2156"/>
      <c r="K2156"/>
      <c r="L2156" s="44" t="str" cm="1">
        <f t="array" ref="L2156">+_xlfn.IFS(COUNTIF(INGRESOS!E:E,Tabla6[[#This Row],[ID FACTURA]])=1,"PAGADA",Tabla6[[#This Row],[ID FACTURA]]&lt;&gt;0,"EMITIDA",Tabla6[[#This Row],[ID FACTURA]]=0,"POR EMITIR")</f>
        <v>POR EMITIR</v>
      </c>
      <c r="M2156" s="55" t="str">
        <f>+IF(Tabla6[[#This Row],[ESTADO FACTURA]]="PAGADA",Tabla6[[#This Row],[FECHA]]-_xlfn.XLOOKUP(Tabla6[[#This Row],[N° FACTURA]],INGRESOS!F:F,INGRESOS!A:A),"-")</f>
        <v>-</v>
      </c>
      <c r="N2156" s="2"/>
      <c r="O2156"/>
    </row>
    <row r="2157" spans="1:15" ht="14.75" customHeight="1">
      <c r="A2157" s="320" t="s">
        <v>1152</v>
      </c>
      <c r="B2157" t="str">
        <f>+_xlfn.XLOOKUP(Tabla6[[#This Row],[ID CLIENTE]],'RESUMEN CLIENTES'!D:D,'RESUMEN CLIENTES'!A:A)</f>
        <v>Ricardo Ernesto Miño Valencia</v>
      </c>
      <c r="C2157" t="str">
        <f>+_xlfn.XLOOKUP(Tabla6[[#This Row],[ID CLIENTE]],'RESUMEN CLIENTES'!D:D,'RESUMEN CLIENTES'!C:C)</f>
        <v>Ecuador</v>
      </c>
      <c r="D2157" s="44" t="str">
        <f>+_xlfn.XLOOKUP(Tabla6[[#This Row],[ID CLIENTE]],'RESUMEN CLIENTES'!D:D,'RESUMEN CLIENTES'!M:M)</f>
        <v>OK</v>
      </c>
      <c r="E2157" s="72">
        <f>+_xlfn.XLOOKUP(Tabla6[[#This Row],[NOMBRE]],'RESUMEN CLIENTES'!A:A,'RESUMEN CLIENTES'!X:X)</f>
        <v>-3.2</v>
      </c>
      <c r="F2157" s="72">
        <f>+_xlfn.XLOOKUP(Tabla6[[#This Row],[ID CLIENTE]],'RESUMEN CLIENTES'!D:D,'RESUMEN CLIENTES'!W:W)</f>
        <v>1</v>
      </c>
      <c r="G2157" s="17">
        <v>46452</v>
      </c>
      <c r="H2157" s="44" t="s">
        <v>81</v>
      </c>
      <c r="I2157" s="2">
        <v>700</v>
      </c>
      <c r="J2157"/>
      <c r="K2157"/>
      <c r="L2157" s="44" t="str" cm="1">
        <f t="array" ref="L2157">+_xlfn.IFS(COUNTIF(INGRESOS!E:E,Tabla6[[#This Row],[ID FACTURA]])=1,"PAGADA",Tabla6[[#This Row],[ID FACTURA]]&lt;&gt;0,"EMITIDA",Tabla6[[#This Row],[ID FACTURA]]=0,"POR EMITIR")</f>
        <v>POR EMITIR</v>
      </c>
      <c r="M2157" s="55" t="str">
        <f>+IF(Tabla6[[#This Row],[ESTADO FACTURA]]="PAGADA",Tabla6[[#This Row],[FECHA]]-_xlfn.XLOOKUP(Tabla6[[#This Row],[N° FACTURA]],INGRESOS!F:F,INGRESOS!A:A),"-")</f>
        <v>-</v>
      </c>
      <c r="N2157" s="2"/>
      <c r="O2157"/>
    </row>
    <row r="2158" spans="1:15" ht="14.75" customHeight="1">
      <c r="A2158" s="320" t="s">
        <v>1945</v>
      </c>
      <c r="B2158" t="str">
        <f>+_xlfn.XLOOKUP(Tabla6[[#This Row],[ID CLIENTE]],'RESUMEN CLIENTES'!D:D,'RESUMEN CLIENTES'!A:A)</f>
        <v>Fernanda Constanza Kompai Antu Arellano Guzmán</v>
      </c>
      <c r="C2158" t="str">
        <f>+_xlfn.XLOOKUP(Tabla6[[#This Row],[ID CLIENTE]],'RESUMEN CLIENTES'!D:D,'RESUMEN CLIENTES'!C:C)</f>
        <v>Chile</v>
      </c>
      <c r="D2158" s="169" t="str">
        <f>+_xlfn.XLOOKUP(Tabla6[[#This Row],[ID CLIENTE]],'RESUMEN CLIENTES'!D:D,'RESUMEN CLIENTES'!M:M)</f>
        <v>OK</v>
      </c>
      <c r="E2158" s="71">
        <f>+_xlfn.XLOOKUP(Tabla6[[#This Row],[NOMBRE]],'RESUMEN CLIENTES'!A:A,'RESUMEN CLIENTES'!X:X)</f>
        <v>0</v>
      </c>
      <c r="F2158" s="71">
        <f>+_xlfn.XLOOKUP(Tabla6[[#This Row],[ID CLIENTE]],'RESUMEN CLIENTES'!D:D,'RESUMEN CLIENTES'!W:W)</f>
        <v>0</v>
      </c>
      <c r="G2158" s="170">
        <v>46461</v>
      </c>
      <c r="H2158" s="170" t="s">
        <v>81</v>
      </c>
      <c r="I2158" s="2">
        <v>650</v>
      </c>
      <c r="J2158"/>
      <c r="K2158"/>
      <c r="L2158" s="44" t="str" cm="1">
        <f t="array" ref="L2158">+_xlfn.IFS(COUNTIF(INGRESOS!E:E,Tabla6[[#This Row],[ID FACTURA]])=1,"PAGADA",Tabla6[[#This Row],[ID FACTURA]]&lt;&gt;0,"EMITIDA",Tabla6[[#This Row],[ID FACTURA]]=0,"POR EMITIR")</f>
        <v>POR EMITIR</v>
      </c>
      <c r="M2158" s="54" t="str">
        <f>+IF(Tabla6[[#This Row],[ESTADO FACTURA]]="PAGADA",Tabla6[[#This Row],[FECHA]]-_xlfn.XLOOKUP(Tabla6[[#This Row],[N° FACTURA]],INGRESOS!F:F,INGRESOS!A:A),"-")</f>
        <v>-</v>
      </c>
      <c r="O2158"/>
    </row>
    <row r="2159" spans="1:15" ht="14.75" customHeight="1">
      <c r="A2159" s="320" t="s">
        <v>103</v>
      </c>
      <c r="B2159" t="str">
        <f>+_xlfn.XLOOKUP(Tabla6[[#This Row],[ID CLIENTE]],'RESUMEN CLIENTES'!D:D,'RESUMEN CLIENTES'!A:A)</f>
        <v>Isaac Ricardo Jimenez Campos</v>
      </c>
      <c r="C2159" t="str">
        <f>+_xlfn.XLOOKUP(Tabla6[[#This Row],[ID CLIENTE]],'RESUMEN CLIENTES'!D:D,'RESUMEN CLIENTES'!C:C)</f>
        <v>México</v>
      </c>
      <c r="D2159" s="44" t="str">
        <f>+_xlfn.XLOOKUP(Tabla6[[#This Row],[ID CLIENTE]],'RESUMEN CLIENTES'!D:D,'RESUMEN CLIENTES'!M:M)</f>
        <v>OK</v>
      </c>
      <c r="E2159" s="72">
        <f>+_xlfn.XLOOKUP(Tabla6[[#This Row],[NOMBRE]],'RESUMEN CLIENTES'!A:A,'RESUMEN CLIENTES'!X:X)</f>
        <v>0.5</v>
      </c>
      <c r="F2159" s="72">
        <f>+_xlfn.XLOOKUP(Tabla6[[#This Row],[ID CLIENTE]],'RESUMEN CLIENTES'!D:D,'RESUMEN CLIENTES'!W:W)</f>
        <v>1</v>
      </c>
      <c r="G2159" s="17">
        <v>46461</v>
      </c>
      <c r="H2159" s="44" t="s">
        <v>81</v>
      </c>
      <c r="I2159" s="2">
        <v>654</v>
      </c>
      <c r="J2159"/>
      <c r="K2159"/>
      <c r="L2159" s="44" t="str" cm="1">
        <f t="array" ref="L2159">+_xlfn.IFS(COUNTIF(INGRESOS!E:E,Tabla6[[#This Row],[ID FACTURA]])=1,"PAGADA",Tabla6[[#This Row],[ID FACTURA]]&lt;&gt;0,"EMITIDA",Tabla6[[#This Row],[ID FACTURA]]=0,"POR EMITIR")</f>
        <v>POR EMITIR</v>
      </c>
      <c r="M2159" s="55" t="str">
        <f>+IF(Tabla6[[#This Row],[ESTADO FACTURA]]="PAGADA",Tabla6[[#This Row],[FECHA]]-_xlfn.XLOOKUP(Tabla6[[#This Row],[N° FACTURA]],INGRESOS!F:F,INGRESOS!A:A),"-")</f>
        <v>-</v>
      </c>
      <c r="N2159" s="2"/>
      <c r="O2159"/>
    </row>
    <row r="2160" spans="1:15" ht="14.75" customHeight="1">
      <c r="A2160" s="321" t="s">
        <v>1875</v>
      </c>
      <c r="B2160" t="str">
        <f>+_xlfn.XLOOKUP(Tabla6[[#This Row],[ID CLIENTE]],'RESUMEN CLIENTES'!D:D,'RESUMEN CLIENTES'!A:A)</f>
        <v>Laura Giraldo</v>
      </c>
      <c r="C2160" t="str">
        <f>+_xlfn.XLOOKUP(Tabla6[[#This Row],[ID CLIENTE]],'RESUMEN CLIENTES'!D:D,'RESUMEN CLIENTES'!C:C)</f>
        <v>Colombia</v>
      </c>
      <c r="D2160" s="169" t="str">
        <f>+_xlfn.XLOOKUP(Tabla6[[#This Row],[ID CLIENTE]],'RESUMEN CLIENTES'!D:D,'RESUMEN CLIENTES'!M:M)</f>
        <v>OK</v>
      </c>
      <c r="E2160" s="71">
        <f>+_xlfn.XLOOKUP(Tabla6[[#This Row],[NOMBRE]],'RESUMEN CLIENTES'!A:A,'RESUMEN CLIENTES'!X:X)</f>
        <v>-3.25</v>
      </c>
      <c r="F2160" s="71">
        <f>+_xlfn.XLOOKUP(Tabla6[[#This Row],[ID CLIENTE]],'RESUMEN CLIENTES'!D:D,'RESUMEN CLIENTES'!W:W)</f>
        <v>1</v>
      </c>
      <c r="G2160" s="17">
        <v>46461</v>
      </c>
      <c r="H2160" s="169" t="s">
        <v>1876</v>
      </c>
      <c r="I2160" s="2">
        <v>1000</v>
      </c>
      <c r="J2160"/>
      <c r="K2160"/>
      <c r="L2160" s="44" t="str" cm="1">
        <f t="array" ref="L2160">+_xlfn.IFS(COUNTIF(INGRESOS!E:E,Tabla6[[#This Row],[ID FACTURA]])=1,"PAGADA",Tabla6[[#This Row],[ID FACTURA]]&lt;&gt;0,"EMITIDA",Tabla6[[#This Row],[ID FACTURA]]=0,"POR EMITIR")</f>
        <v>POR EMITIR</v>
      </c>
      <c r="M2160" s="54" t="str">
        <f>+IF(Tabla6[[#This Row],[ESTADO FACTURA]]="PAGADA",Tabla6[[#This Row],[FECHA]]-_xlfn.XLOOKUP(Tabla6[[#This Row],[N° FACTURA]],INGRESOS!F:F,INGRESOS!A:A),"-")</f>
        <v>-</v>
      </c>
      <c r="O2160"/>
    </row>
    <row r="2161" spans="1:15" ht="14.75" customHeight="1">
      <c r="A2161" s="321" t="s">
        <v>1756</v>
      </c>
      <c r="B2161" t="str">
        <f>+_xlfn.XLOOKUP(Tabla6[[#This Row],[ID CLIENTE]],'RESUMEN CLIENTES'!D:D,'RESUMEN CLIENTES'!A:A)</f>
        <v>Aylin Micaela Ortiz Chiriboga</v>
      </c>
      <c r="C2161" t="str">
        <f>+_xlfn.XLOOKUP(Tabla6[[#This Row],[ID CLIENTE]],'RESUMEN CLIENTES'!D:D,'RESUMEN CLIENTES'!C:C)</f>
        <v>Ecuador</v>
      </c>
      <c r="D2161" s="169" t="str">
        <f>+_xlfn.XLOOKUP(Tabla6[[#This Row],[ID CLIENTE]],'RESUMEN CLIENTES'!D:D,'RESUMEN CLIENTES'!M:M)</f>
        <v>¡REGULARIZAR!</v>
      </c>
      <c r="E2161" s="71">
        <f>+_xlfn.XLOOKUP(Tabla6[[#This Row],[NOMBRE]],'RESUMEN CLIENTES'!A:A,'RESUMEN CLIENTES'!X:X)</f>
        <v>0</v>
      </c>
      <c r="F2161" s="71">
        <f>+_xlfn.XLOOKUP(Tabla6[[#This Row],[ID CLIENTE]],'RESUMEN CLIENTES'!D:D,'RESUMEN CLIENTES'!W:W)</f>
        <v>1</v>
      </c>
      <c r="G2161" s="170">
        <v>46462</v>
      </c>
      <c r="H2161" s="169" t="s">
        <v>81</v>
      </c>
      <c r="I2161" s="2">
        <v>650</v>
      </c>
      <c r="J2161"/>
      <c r="K2161"/>
      <c r="L2161" s="44" t="str" cm="1">
        <f t="array" ref="L2161">+_xlfn.IFS(COUNTIF(INGRESOS!E:E,Tabla6[[#This Row],[ID FACTURA]])=1,"PAGADA",Tabla6[[#This Row],[ID FACTURA]]&lt;&gt;0,"EMITIDA",Tabla6[[#This Row],[ID FACTURA]]=0,"POR EMITIR")</f>
        <v>POR EMITIR</v>
      </c>
      <c r="M2161" s="54" t="str">
        <f>+IF(Tabla6[[#This Row],[ESTADO FACTURA]]="PAGADA",Tabla6[[#This Row],[FECHA]]-_xlfn.XLOOKUP(Tabla6[[#This Row],[N° FACTURA]],INGRESOS!F:F,INGRESOS!A:A),"-")</f>
        <v>-</v>
      </c>
      <c r="O2161"/>
    </row>
    <row r="2162" spans="1:15" ht="14.75" customHeight="1">
      <c r="A2162" s="320" t="s">
        <v>1996</v>
      </c>
      <c r="B2162" t="str">
        <f>+_xlfn.XLOOKUP(Tabla6[[#This Row],[ID CLIENTE]],'RESUMEN CLIENTES'!D:D,'RESUMEN CLIENTES'!A:A)</f>
        <v>Ivan Gonzales Graus</v>
      </c>
      <c r="C2162" t="str">
        <f>+_xlfn.XLOOKUP(Tabla6[[#This Row],[ID CLIENTE]],'RESUMEN CLIENTES'!D:D,'RESUMEN CLIENTES'!C:C)</f>
        <v>Perú</v>
      </c>
      <c r="D2162" s="169" t="str">
        <f>+_xlfn.XLOOKUP(Tabla6[[#This Row],[ID CLIENTE]],'RESUMEN CLIENTES'!D:D,'RESUMEN CLIENTES'!M:M)</f>
        <v>OK</v>
      </c>
      <c r="E2162" s="71">
        <f>+_xlfn.XLOOKUP(Tabla6[[#This Row],[NOMBRE]],'RESUMEN CLIENTES'!A:A,'RESUMEN CLIENTES'!X:X)</f>
        <v>-2</v>
      </c>
      <c r="F2162" s="71">
        <f>+_xlfn.XLOOKUP(Tabla6[[#This Row],[ID CLIENTE]],'RESUMEN CLIENTES'!D:D,'RESUMEN CLIENTES'!W:W)</f>
        <v>1</v>
      </c>
      <c r="G2162" s="17">
        <v>46462</v>
      </c>
      <c r="H2162" s="169" t="s">
        <v>81</v>
      </c>
      <c r="I2162" s="2">
        <v>650</v>
      </c>
      <c r="J2162"/>
      <c r="K2162"/>
      <c r="L2162" s="44" t="str" cm="1">
        <f t="array" ref="L2162">+_xlfn.IFS(COUNTIF(INGRESOS!E:E,Tabla6[[#This Row],[ID FACTURA]])=1,"PAGADA",Tabla6[[#This Row],[ID FACTURA]]&lt;&gt;0,"EMITIDA",Tabla6[[#This Row],[ID FACTURA]]=0,"POR EMITIR")</f>
        <v>POR EMITIR</v>
      </c>
      <c r="M2162" s="54" t="str">
        <f>+IF(Tabla6[[#This Row],[ESTADO FACTURA]]="PAGADA",Tabla6[[#This Row],[FECHA]]-_xlfn.XLOOKUP(Tabla6[[#This Row],[N° FACTURA]],INGRESOS!F:F,INGRESOS!A:A),"-")</f>
        <v>-</v>
      </c>
      <c r="O2162"/>
    </row>
    <row r="2163" spans="1:15" ht="14.75" customHeight="1">
      <c r="A2163" s="320" t="s">
        <v>2046</v>
      </c>
      <c r="B2163" t="str">
        <f>+_xlfn.XLOOKUP(Tabla6[[#This Row],[ID CLIENTE]],'RESUMEN CLIENTES'!D:D,'RESUMEN CLIENTES'!A:A)</f>
        <v>Jesica Daniela Paredes Mendoza</v>
      </c>
      <c r="C2163" t="str">
        <f>+_xlfn.XLOOKUP(Tabla6[[#This Row],[ID CLIENTE]],'RESUMEN CLIENTES'!D:D,'RESUMEN CLIENTES'!C:C)</f>
        <v>México</v>
      </c>
      <c r="D2163" s="169" t="str">
        <f>+_xlfn.XLOOKUP(Tabla6[[#This Row],[ID CLIENTE]],'RESUMEN CLIENTES'!D:D,'RESUMEN CLIENTES'!M:M)</f>
        <v>OK</v>
      </c>
      <c r="E2163" s="71">
        <f>+_xlfn.XLOOKUP(Tabla6[[#This Row],[NOMBRE]],'RESUMEN CLIENTES'!A:A,'RESUMEN CLIENTES'!X:X)</f>
        <v>-2.75</v>
      </c>
      <c r="F2163" s="71">
        <f>+_xlfn.XLOOKUP(Tabla6[[#This Row],[ID CLIENTE]],'RESUMEN CLIENTES'!D:D,'RESUMEN CLIENTES'!W:W)</f>
        <v>1</v>
      </c>
      <c r="G2163" s="17">
        <v>46462</v>
      </c>
      <c r="H2163" s="169" t="s">
        <v>81</v>
      </c>
      <c r="I2163" s="2">
        <v>500</v>
      </c>
      <c r="J2163"/>
      <c r="K2163"/>
      <c r="L2163" s="44" t="str" cm="1">
        <f t="array" ref="L2163">+_xlfn.IFS(COUNTIF(INGRESOS!E:E,Tabla6[[#This Row],[ID FACTURA]])=1,"PAGADA",Tabla6[[#This Row],[ID FACTURA]]&lt;&gt;0,"EMITIDA",Tabla6[[#This Row],[ID FACTURA]]=0,"POR EMITIR")</f>
        <v>POR EMITIR</v>
      </c>
      <c r="M2163" s="54" t="str">
        <f>+IF(Tabla6[[#This Row],[ESTADO FACTURA]]="PAGADA",Tabla6[[#This Row],[FECHA]]-_xlfn.XLOOKUP(Tabla6[[#This Row],[N° FACTURA]],INGRESOS!F:F,INGRESOS!A:A),"-")</f>
        <v>-</v>
      </c>
      <c r="O2163"/>
    </row>
    <row r="2164" spans="1:15" ht="14.75" customHeight="1">
      <c r="A2164" s="320" t="s">
        <v>4660</v>
      </c>
      <c r="B2164" t="str">
        <f>+_xlfn.XLOOKUP(Tabla6[[#This Row],[ID CLIENTE]],'RESUMEN CLIENTES'!D:D,'RESUMEN CLIENTES'!A:A)</f>
        <v>Edipris Flores</v>
      </c>
      <c r="C2164" s="15" t="str">
        <f>+_xlfn.XLOOKUP(Tabla6[[#This Row],[ID CLIENTE]],'RESUMEN CLIENTES'!D:D,'RESUMEN CLIENTES'!C:C)</f>
        <v>Chile</v>
      </c>
      <c r="D2164" s="169" t="str">
        <f>+_xlfn.XLOOKUP(Tabla6[[#This Row],[ID CLIENTE]],'RESUMEN CLIENTES'!D:D,'RESUMEN CLIENTES'!M:M)</f>
        <v>OK</v>
      </c>
      <c r="E2164" s="71">
        <f>+_xlfn.XLOOKUP(Tabla6[[#This Row],[NOMBRE]],'RESUMEN CLIENTES'!A:A,'RESUMEN CLIENTES'!X:X)</f>
        <v>-4</v>
      </c>
      <c r="F2164" s="71">
        <f>+_xlfn.XLOOKUP(Tabla6[[#This Row],[ID CLIENTE]],'RESUMEN CLIENTES'!D:D,'RESUMEN CLIENTES'!W:W)</f>
        <v>0</v>
      </c>
      <c r="G2164" s="17">
        <v>46466</v>
      </c>
      <c r="H2164" s="169" t="s">
        <v>81</v>
      </c>
      <c r="I2164" s="2">
        <v>1516</v>
      </c>
      <c r="J2164"/>
      <c r="K2164"/>
      <c r="L2164" s="44" t="str" cm="1">
        <f t="array" ref="L2164">+_xlfn.IFS(COUNTIF(INGRESOS!E:E,Tabla6[[#This Row],[ID FACTURA]])=1,"PAGADA",Tabla6[[#This Row],[ID FACTURA]]&lt;&gt;0,"EMITIDA",Tabla6[[#This Row],[ID FACTURA]]=0,"POR EMITIR")</f>
        <v>POR EMITIR</v>
      </c>
      <c r="M2164" s="54" t="str">
        <f>+IF(Tabla6[[#This Row],[ESTADO FACTURA]]="PAGADA",Tabla6[[#This Row],[FECHA]]-_xlfn.XLOOKUP(Tabla6[[#This Row],[N° FACTURA]],INGRESOS!F:F,INGRESOS!A:A),"-")</f>
        <v>-</v>
      </c>
      <c r="O2164"/>
    </row>
    <row r="2165" spans="1:15" ht="14.75" customHeight="1">
      <c r="A2165" s="320" t="s">
        <v>1437</v>
      </c>
      <c r="B2165" t="str">
        <f>+_xlfn.XLOOKUP(Tabla6[[#This Row],[ID CLIENTE]],'RESUMEN CLIENTES'!D:D,'RESUMEN CLIENTES'!A:A)</f>
        <v>Jorge Andres Galgani Muñoz</v>
      </c>
      <c r="C2165" t="str">
        <f>+_xlfn.XLOOKUP(Tabla6[[#This Row],[ID CLIENTE]],'RESUMEN CLIENTES'!D:D,'RESUMEN CLIENTES'!C:C)</f>
        <v>Chile</v>
      </c>
      <c r="D2165" s="44" t="str">
        <f>+_xlfn.XLOOKUP(Tabla6[[#This Row],[ID CLIENTE]],'RESUMEN CLIENTES'!D:D,'RESUMEN CLIENTES'!M:M)</f>
        <v>OK</v>
      </c>
      <c r="E2165" s="71">
        <f>+_xlfn.XLOOKUP(Tabla6[[#This Row],[NOMBRE]],'RESUMEN CLIENTES'!A:A,'RESUMEN CLIENTES'!X:X)</f>
        <v>-1.1428571428571428</v>
      </c>
      <c r="F2165" s="71">
        <f>+_xlfn.XLOOKUP(Tabla6[[#This Row],[ID CLIENTE]],'RESUMEN CLIENTES'!D:D,'RESUMEN CLIENTES'!W:W)</f>
        <v>1</v>
      </c>
      <c r="G2165" s="17">
        <v>46471</v>
      </c>
      <c r="H2165" s="169" t="s">
        <v>81</v>
      </c>
      <c r="I2165" s="2">
        <v>850</v>
      </c>
      <c r="J2165"/>
      <c r="K2165"/>
      <c r="L2165" s="44" t="str" cm="1">
        <f t="array" ref="L2165">+_xlfn.IFS(COUNTIF(INGRESOS!E:E,Tabla6[[#This Row],[ID FACTURA]])=1,"PAGADA",Tabla6[[#This Row],[ID FACTURA]]&lt;&gt;0,"EMITIDA",Tabla6[[#This Row],[ID FACTURA]]=0,"POR EMITIR")</f>
        <v>POR EMITIR</v>
      </c>
      <c r="M2165" s="55" t="str">
        <f>+IF(Tabla6[[#This Row],[ESTADO FACTURA]]="PAGADA",Tabla6[[#This Row],[FECHA]]-_xlfn.XLOOKUP(Tabla6[[#This Row],[N° FACTURA]],INGRESOS!F:F,INGRESOS!A:A),"-")</f>
        <v>-</v>
      </c>
      <c r="N2165" s="2"/>
      <c r="O2165"/>
    </row>
    <row r="2166" spans="1:15" ht="14.75" customHeight="1">
      <c r="A2166" s="320" t="s">
        <v>1743</v>
      </c>
      <c r="B2166" t="str">
        <f>+_xlfn.XLOOKUP(Tabla6[[#This Row],[ID CLIENTE]],'RESUMEN CLIENTES'!D:D,'RESUMEN CLIENTES'!A:A)</f>
        <v>Fernando Alberto Lagos Belmar</v>
      </c>
      <c r="C2166" t="str">
        <f>+_xlfn.XLOOKUP(Tabla6[[#This Row],[ID CLIENTE]],'RESUMEN CLIENTES'!D:D,'RESUMEN CLIENTES'!C:C)</f>
        <v>Chile</v>
      </c>
      <c r="D2166" s="169" t="str">
        <f>+_xlfn.XLOOKUP(Tabla6[[#This Row],[ID CLIENTE]],'RESUMEN CLIENTES'!D:D,'RESUMEN CLIENTES'!M:M)</f>
        <v>OK</v>
      </c>
      <c r="E2166" s="71">
        <f>+_xlfn.XLOOKUP(Tabla6[[#This Row],[NOMBRE]],'RESUMEN CLIENTES'!A:A,'RESUMEN CLIENTES'!X:X)</f>
        <v>0.25</v>
      </c>
      <c r="F2166" s="71">
        <f>+_xlfn.XLOOKUP(Tabla6[[#This Row],[ID CLIENTE]],'RESUMEN CLIENTES'!D:D,'RESUMEN CLIENTES'!W:W)</f>
        <v>1</v>
      </c>
      <c r="G2166" s="17">
        <v>46472</v>
      </c>
      <c r="H2166" s="169" t="s">
        <v>81</v>
      </c>
      <c r="I2166" s="2">
        <v>1000</v>
      </c>
      <c r="J2166"/>
      <c r="K2166"/>
      <c r="L2166" s="44" t="str" cm="1">
        <f t="array" ref="L2166">+_xlfn.IFS(COUNTIF(INGRESOS!E:E,Tabla6[[#This Row],[ID FACTURA]])=1,"PAGADA",Tabla6[[#This Row],[ID FACTURA]]&lt;&gt;0,"EMITIDA",Tabla6[[#This Row],[ID FACTURA]]=0,"POR EMITIR")</f>
        <v>POR EMITIR</v>
      </c>
      <c r="M2166" s="55" t="str">
        <f>+IF(Tabla6[[#This Row],[ESTADO FACTURA]]="PAGADA",Tabla6[[#This Row],[FECHA]]-_xlfn.XLOOKUP(Tabla6[[#This Row],[N° FACTURA]],INGRESOS!F:F,INGRESOS!A:A),"-")</f>
        <v>-</v>
      </c>
      <c r="O2166"/>
    </row>
    <row r="2167" spans="1:15" ht="14.75" customHeight="1">
      <c r="A2167" s="321" t="s">
        <v>519</v>
      </c>
      <c r="B2167" t="str">
        <f>+_xlfn.XLOOKUP(Tabla6[[#This Row],[ID CLIENTE]],'RESUMEN CLIENTES'!D:D,'RESUMEN CLIENTES'!A:A)</f>
        <v>Elaine Acosta Cabrera</v>
      </c>
      <c r="C2167" t="str">
        <f>+_xlfn.XLOOKUP(Tabla6[[#This Row],[ID CLIENTE]],'RESUMEN CLIENTES'!D:D,'RESUMEN CLIENTES'!C:C)</f>
        <v>República Dominicana</v>
      </c>
      <c r="D2167" s="169" t="str">
        <f>+_xlfn.XLOOKUP(Tabla6[[#This Row],[ID CLIENTE]],'RESUMEN CLIENTES'!D:D,'RESUMEN CLIENTES'!M:M)</f>
        <v>OK</v>
      </c>
      <c r="E2167" s="71">
        <f>+_xlfn.XLOOKUP(Tabla6[[#This Row],[NOMBRE]],'RESUMEN CLIENTES'!A:A,'RESUMEN CLIENTES'!X:X)</f>
        <v>0</v>
      </c>
      <c r="F2167" s="71">
        <f>+_xlfn.XLOOKUP(Tabla6[[#This Row],[ID CLIENTE]],'RESUMEN CLIENTES'!D:D,'RESUMEN CLIENTES'!W:W)</f>
        <v>1</v>
      </c>
      <c r="G2167" s="17">
        <v>46473</v>
      </c>
      <c r="H2167" s="169" t="s">
        <v>81</v>
      </c>
      <c r="I2167" s="2">
        <v>1000</v>
      </c>
      <c r="J2167"/>
      <c r="K2167"/>
      <c r="L2167" s="44" t="str" cm="1">
        <f t="array" ref="L2167">+_xlfn.IFS(COUNTIF(INGRESOS!E:E,Tabla6[[#This Row],[ID FACTURA]])=1,"PAGADA",Tabla6[[#This Row],[ID FACTURA]]&lt;&gt;0,"EMITIDA",Tabla6[[#This Row],[ID FACTURA]]=0,"POR EMITIR")</f>
        <v>POR EMITIR</v>
      </c>
      <c r="M2167" s="54" t="str">
        <f>+IF(Tabla6[[#This Row],[ESTADO FACTURA]]="PAGADA",Tabla6[[#This Row],[FECHA]]-_xlfn.XLOOKUP(Tabla6[[#This Row],[N° FACTURA]],INGRESOS!F:F,INGRESOS!A:A),"-")</f>
        <v>-</v>
      </c>
      <c r="O2167"/>
    </row>
    <row r="2168" spans="1:15" ht="14.75" customHeight="1">
      <c r="A2168" s="321" t="s">
        <v>1870</v>
      </c>
      <c r="B2168" t="str">
        <f>+_xlfn.XLOOKUP(Tabla6[[#This Row],[ID CLIENTE]],'RESUMEN CLIENTES'!D:D,'RESUMEN CLIENTES'!A:A)</f>
        <v>Berenisse Shadia Yarango Garay</v>
      </c>
      <c r="C2168" t="str">
        <f>+_xlfn.XLOOKUP(Tabla6[[#This Row],[ID CLIENTE]],'RESUMEN CLIENTES'!D:D,'RESUMEN CLIENTES'!C:C)</f>
        <v>Perú</v>
      </c>
      <c r="D2168" s="169" t="str">
        <f>+_xlfn.XLOOKUP(Tabla6[[#This Row],[ID CLIENTE]],'RESUMEN CLIENTES'!D:D,'RESUMEN CLIENTES'!M:M)</f>
        <v>OK</v>
      </c>
      <c r="E2168" s="71">
        <f>+_xlfn.XLOOKUP(Tabla6[[#This Row],[NOMBRE]],'RESUMEN CLIENTES'!A:A,'RESUMEN CLIENTES'!X:X)</f>
        <v>-0.33333333333333331</v>
      </c>
      <c r="F2168" s="71">
        <f>+_xlfn.XLOOKUP(Tabla6[[#This Row],[ID CLIENTE]],'RESUMEN CLIENTES'!D:D,'RESUMEN CLIENTES'!W:W)</f>
        <v>0</v>
      </c>
      <c r="G2168" s="17">
        <v>46474</v>
      </c>
      <c r="H2168" s="169" t="s">
        <v>81</v>
      </c>
      <c r="I2168" s="2">
        <v>850</v>
      </c>
      <c r="J2168"/>
      <c r="K2168"/>
      <c r="L2168" s="44" t="str" cm="1">
        <f t="array" ref="L2168">+_xlfn.IFS(COUNTIF(INGRESOS!E:E,Tabla6[[#This Row],[ID FACTURA]])=1,"PAGADA",Tabla6[[#This Row],[ID FACTURA]]&lt;&gt;0,"EMITIDA",Tabla6[[#This Row],[ID FACTURA]]=0,"POR EMITIR")</f>
        <v>POR EMITIR</v>
      </c>
      <c r="M2168" s="54" t="str">
        <f>+IF(Tabla6[[#This Row],[ESTADO FACTURA]]="PAGADA",Tabla6[[#This Row],[FECHA]]-_xlfn.XLOOKUP(Tabla6[[#This Row],[N° FACTURA]],INGRESOS!F:F,INGRESOS!A:A),"-")</f>
        <v>-</v>
      </c>
      <c r="O2168"/>
    </row>
    <row r="2169" spans="1:15" ht="14.75" customHeight="1">
      <c r="A2169" s="320" t="s">
        <v>739</v>
      </c>
      <c r="B2169" t="str">
        <f>+_xlfn.XLOOKUP(Tabla6[[#This Row],[ID CLIENTE]],'RESUMEN CLIENTES'!D:D,'RESUMEN CLIENTES'!A:A)</f>
        <v>Gilberto Martiñon Torres</v>
      </c>
      <c r="C2169" t="str">
        <f>+_xlfn.XLOOKUP(Tabla6[[#This Row],[ID CLIENTE]],'RESUMEN CLIENTES'!D:D,'RESUMEN CLIENTES'!C:C)</f>
        <v>México</v>
      </c>
      <c r="D2169" s="44" t="str">
        <f>+_xlfn.XLOOKUP(Tabla6[[#This Row],[ID CLIENTE]],'RESUMEN CLIENTES'!D:D,'RESUMEN CLIENTES'!M:M)</f>
        <v>OK</v>
      </c>
      <c r="E2169" s="72">
        <f>+_xlfn.XLOOKUP(Tabla6[[#This Row],[NOMBRE]],'RESUMEN CLIENTES'!A:A,'RESUMEN CLIENTES'!X:X)</f>
        <v>-0.625</v>
      </c>
      <c r="F2169" s="72">
        <f>+_xlfn.XLOOKUP(Tabla6[[#This Row],[ID CLIENTE]],'RESUMEN CLIENTES'!D:D,'RESUMEN CLIENTES'!W:W)</f>
        <v>0</v>
      </c>
      <c r="G2169" s="17">
        <v>46476</v>
      </c>
      <c r="H2169" s="44" t="s">
        <v>81</v>
      </c>
      <c r="I2169" s="2">
        <v>700</v>
      </c>
      <c r="J2169"/>
      <c r="K2169"/>
      <c r="L2169" s="44" t="str" cm="1">
        <f t="array" ref="L2169">+_xlfn.IFS(COUNTIF(INGRESOS!E:E,Tabla6[[#This Row],[ID FACTURA]])=1,"PAGADA",Tabla6[[#This Row],[ID FACTURA]]&lt;&gt;0,"EMITIDA",Tabla6[[#This Row],[ID FACTURA]]=0,"POR EMITIR")</f>
        <v>POR EMITIR</v>
      </c>
      <c r="M2169" s="55" t="str">
        <f>+IF(Tabla6[[#This Row],[ESTADO FACTURA]]="PAGADA",Tabla6[[#This Row],[FECHA]]-_xlfn.XLOOKUP(Tabla6[[#This Row],[N° FACTURA]],INGRESOS!F:F,INGRESOS!A:A),"-")</f>
        <v>-</v>
      </c>
      <c r="N2169" s="2"/>
      <c r="O2169"/>
    </row>
    <row r="2170" spans="1:15" ht="14.75" customHeight="1">
      <c r="A2170" s="320" t="s">
        <v>139</v>
      </c>
      <c r="B2170" t="str">
        <f>+_xlfn.XLOOKUP(Tabla6[[#This Row],[ID CLIENTE]],'RESUMEN CLIENTES'!D:D,'RESUMEN CLIENTES'!A:A)</f>
        <v>Hugo Nicolás Trávez Morales</v>
      </c>
      <c r="C2170" t="str">
        <f>+_xlfn.XLOOKUP(Tabla6[[#This Row],[ID CLIENTE]],'RESUMEN CLIENTES'!D:D,'RESUMEN CLIENTES'!C:C)</f>
        <v>Ecuador</v>
      </c>
      <c r="D2170" s="169" t="str">
        <f>+_xlfn.XLOOKUP(Tabla6[[#This Row],[ID CLIENTE]],'RESUMEN CLIENTES'!D:D,'RESUMEN CLIENTES'!M:M)</f>
        <v>OK</v>
      </c>
      <c r="E2170" s="71">
        <f>+_xlfn.XLOOKUP(Tabla6[[#This Row],[NOMBRE]],'RESUMEN CLIENTES'!A:A,'RESUMEN CLIENTES'!X:X)</f>
        <v>0</v>
      </c>
      <c r="F2170" s="71">
        <f>+_xlfn.XLOOKUP(Tabla6[[#This Row],[ID CLIENTE]],'RESUMEN CLIENTES'!D:D,'RESUMEN CLIENTES'!W:W)</f>
        <v>0</v>
      </c>
      <c r="G2170" s="17">
        <v>46476</v>
      </c>
      <c r="H2170" s="44" t="s">
        <v>81</v>
      </c>
      <c r="I2170" s="2">
        <v>1000</v>
      </c>
      <c r="J2170"/>
      <c r="K2170"/>
      <c r="L2170" s="44" t="str" cm="1">
        <f t="array" ref="L2170">+_xlfn.IFS(COUNTIF(INGRESOS!E:E,Tabla6[[#This Row],[ID FACTURA]])=1,"PAGADA",Tabla6[[#This Row],[ID FACTURA]]&lt;&gt;0,"EMITIDA",Tabla6[[#This Row],[ID FACTURA]]=0,"POR EMITIR")</f>
        <v>POR EMITIR</v>
      </c>
      <c r="M2170" s="54" t="str">
        <f>+IF(Tabla6[[#This Row],[ESTADO FACTURA]]="PAGADA",Tabla6[[#This Row],[FECHA]]-_xlfn.XLOOKUP(Tabla6[[#This Row],[N° FACTURA]],INGRESOS!F:F,INGRESOS!A:A),"-")</f>
        <v>-</v>
      </c>
      <c r="O2170"/>
    </row>
    <row r="2171" spans="1:15" ht="14.75" customHeight="1">
      <c r="A2171" s="320" t="s">
        <v>590</v>
      </c>
      <c r="B2171" t="str">
        <f>+_xlfn.XLOOKUP(Tabla6[[#This Row],[ID CLIENTE]],'RESUMEN CLIENTES'!D:D,'RESUMEN CLIENTES'!A:A)</f>
        <v>María Lucero de Jesús Barrios Sazo</v>
      </c>
      <c r="C2171" t="str">
        <f>+_xlfn.XLOOKUP(Tabla6[[#This Row],[ID CLIENTE]],'RESUMEN CLIENTES'!D:D,'RESUMEN CLIENTES'!C:C)</f>
        <v>Guatemala</v>
      </c>
      <c r="D2171" s="44" t="str">
        <f>+_xlfn.XLOOKUP(Tabla6[[#This Row],[ID CLIENTE]],'RESUMEN CLIENTES'!D:D,'RESUMEN CLIENTES'!M:M)</f>
        <v>OK</v>
      </c>
      <c r="E2171" s="72">
        <f>+_xlfn.XLOOKUP(Tabla6[[#This Row],[NOMBRE]],'RESUMEN CLIENTES'!A:A,'RESUMEN CLIENTES'!X:X)</f>
        <v>1.25</v>
      </c>
      <c r="F2171" s="72">
        <f>+_xlfn.XLOOKUP(Tabla6[[#This Row],[ID CLIENTE]],'RESUMEN CLIENTES'!D:D,'RESUMEN CLIENTES'!W:W)</f>
        <v>0</v>
      </c>
      <c r="G2171" s="17">
        <v>46476</v>
      </c>
      <c r="H2171" s="44" t="s">
        <v>81</v>
      </c>
      <c r="I2171" s="2">
        <v>700</v>
      </c>
      <c r="J2171"/>
      <c r="K2171"/>
      <c r="L2171" s="44" t="str" cm="1">
        <f t="array" ref="L2171">+_xlfn.IFS(COUNTIF(INGRESOS!E:E,Tabla6[[#This Row],[ID FACTURA]])=1,"PAGADA",Tabla6[[#This Row],[ID FACTURA]]&lt;&gt;0,"EMITIDA",Tabla6[[#This Row],[ID FACTURA]]=0,"POR EMITIR")</f>
        <v>POR EMITIR</v>
      </c>
      <c r="M2171" s="55" t="str">
        <f>+IF(Tabla6[[#This Row],[ESTADO FACTURA]]="PAGADA",Tabla6[[#This Row],[FECHA]]-_xlfn.XLOOKUP(Tabla6[[#This Row],[N° FACTURA]],INGRESOS!F:F,INGRESOS!A:A),"-")</f>
        <v>-</v>
      </c>
      <c r="N2171" s="2"/>
      <c r="O2171"/>
    </row>
    <row r="2172" spans="1:15" ht="14.75" customHeight="1">
      <c r="A2172" s="320" t="s">
        <v>541</v>
      </c>
      <c r="B2172" t="str">
        <f>+_xlfn.XLOOKUP(Tabla6[[#This Row],[ID CLIENTE]],'RESUMEN CLIENTES'!D:D,'RESUMEN CLIENTES'!A:A)</f>
        <v>Alejandra Goretti Figueroa Romo</v>
      </c>
      <c r="C2172" t="str">
        <f>+_xlfn.XLOOKUP(Tabla6[[#This Row],[ID CLIENTE]],'RESUMEN CLIENTES'!D:D,'RESUMEN CLIENTES'!C:C)</f>
        <v>México</v>
      </c>
      <c r="D2172" s="44" t="str">
        <f>+_xlfn.XLOOKUP(Tabla6[[#This Row],[ID CLIENTE]],'RESUMEN CLIENTES'!D:D,'RESUMEN CLIENTES'!M:M)</f>
        <v>OK</v>
      </c>
      <c r="E2172" s="72">
        <f>+_xlfn.XLOOKUP(Tabla6[[#This Row],[NOMBRE]],'RESUMEN CLIENTES'!A:A,'RESUMEN CLIENTES'!X:X)</f>
        <v>0.75</v>
      </c>
      <c r="F2172" s="72">
        <f>+_xlfn.XLOOKUP(Tabla6[[#This Row],[ID CLIENTE]],'RESUMEN CLIENTES'!D:D,'RESUMEN CLIENTES'!W:W)</f>
        <v>0</v>
      </c>
      <c r="G2172" s="17">
        <f>IF($H2172&lt;&gt;"ALEM","",IFERROR(
  DATE(
    YEAR(EDATE(
      _xlfn.XLOOKUP($A2172,'RESUMEN CLIENTES'!$D:$D,'RESUMEN CLIENTES'!$Y:$Y,""),
      7 + COUNTIFS(
            $A$2:INDEX($A:$A,ROW()), $A2172,
            $H$2:INDEX($H:$H,ROW()), "ALEM"
          )
    )),
    MONTH(EDATE(
      _xlfn.XLOOKUP($A2172,'RESUMEN CLIENTES'!$D:$D,'RESUMEN CLIENTES'!$Y:$Y,""),
      7 + COUNTIFS(
            $A$2:INDEX($A:$A,ROW()), $A2172,
            $H$2:INDEX($H:$H,ROW()), "ALEM"
          )
    )),
    1
  ),
"SIN FECHA MIG"))</f>
        <v>46478</v>
      </c>
      <c r="H2172" s="44" t="s">
        <v>1876</v>
      </c>
      <c r="I2172" s="2">
        <v>1000</v>
      </c>
      <c r="J2172"/>
      <c r="K2172"/>
      <c r="L2172" s="44" t="str" cm="1">
        <f t="array" ref="L2172">+_xlfn.IFS(COUNTIF(INGRESOS!E:E,Tabla6[[#This Row],[ID FACTURA]])=1,"PAGADA",Tabla6[[#This Row],[ID FACTURA]]&lt;&gt;0,"EMITIDA",Tabla6[[#This Row],[ID FACTURA]]=0,"POR EMITIR")</f>
        <v>POR EMITIR</v>
      </c>
      <c r="M2172" s="55" t="str">
        <f>+IF(Tabla6[[#This Row],[ESTADO FACTURA]]="PAGADA",Tabla6[[#This Row],[FECHA]]-_xlfn.XLOOKUP(Tabla6[[#This Row],[N° FACTURA]],INGRESOS!F:F,INGRESOS!A:A),"-")</f>
        <v>-</v>
      </c>
      <c r="N2172" s="2"/>
      <c r="O2172"/>
    </row>
    <row r="2173" spans="1:15" ht="14.75" customHeight="1">
      <c r="A2173" s="320" t="s">
        <v>84</v>
      </c>
      <c r="B2173" t="str">
        <f>+_xlfn.XLOOKUP(Tabla6[[#This Row],[ID CLIENTE]],'RESUMEN CLIENTES'!D:D,'RESUMEN CLIENTES'!A:A)</f>
        <v>Andrea Corpeño López</v>
      </c>
      <c r="C2173" t="str">
        <f>+_xlfn.XLOOKUP(Tabla6[[#This Row],[ID CLIENTE]],'RESUMEN CLIENTES'!D:D,'RESUMEN CLIENTES'!C:C)</f>
        <v>El Salvador</v>
      </c>
      <c r="D2173" s="44" t="str">
        <f>+_xlfn.XLOOKUP(Tabla6[[#This Row],[ID CLIENTE]],'RESUMEN CLIENTES'!D:D,'RESUMEN CLIENTES'!M:M)</f>
        <v>OK</v>
      </c>
      <c r="E2173" s="72">
        <f>+_xlfn.XLOOKUP(Tabla6[[#This Row],[NOMBRE]],'RESUMEN CLIENTES'!A:A,'RESUMEN CLIENTES'!X:X)</f>
        <v>-0.81818181818181823</v>
      </c>
      <c r="F2173" s="72">
        <f>+_xlfn.XLOOKUP(Tabla6[[#This Row],[ID CLIENTE]],'RESUMEN CLIENTES'!D:D,'RESUMEN CLIENTES'!W:W)</f>
        <v>0</v>
      </c>
      <c r="G2173" s="17">
        <f>IF($H2173&lt;&gt;"ALEM","",IFERROR(
  DATE(
    YEAR(EDATE(
      _xlfn.XLOOKUP($A2173,'RESUMEN CLIENTES'!$D:$D,'RESUMEN CLIENTES'!$Y:$Y,""),
      7 + COUNTIFS(
            $A$2:INDEX($A:$A,ROW()), $A2173,
            $H$2:INDEX($H:$H,ROW()), "ALEM"
          )
    )),
    MONTH(EDATE(
      _xlfn.XLOOKUP($A2173,'RESUMEN CLIENTES'!$D:$D,'RESUMEN CLIENTES'!$Y:$Y,""),
      7 + COUNTIFS(
            $A$2:INDEX($A:$A,ROW()), $A2173,
            $H$2:INDEX($H:$H,ROW()), "ALEM"
          )
    )),
    1
  ),
"SIN FECHA MIG"))</f>
        <v>46478</v>
      </c>
      <c r="H2173" s="44" t="s">
        <v>1876</v>
      </c>
      <c r="I2173" s="2">
        <v>1000</v>
      </c>
      <c r="J2173"/>
      <c r="K2173"/>
      <c r="L2173" s="44" t="str" cm="1">
        <f t="array" ref="L2173">+_xlfn.IFS(COUNTIF(INGRESOS!E:E,Tabla6[[#This Row],[ID FACTURA]])=1,"PAGADA",Tabla6[[#This Row],[ID FACTURA]]&lt;&gt;0,"EMITIDA",Tabla6[[#This Row],[ID FACTURA]]=0,"POR EMITIR")</f>
        <v>POR EMITIR</v>
      </c>
      <c r="M2173" s="55" t="str">
        <f>+IF(Tabla6[[#This Row],[ESTADO FACTURA]]="PAGADA",Tabla6[[#This Row],[FECHA]]-_xlfn.XLOOKUP(Tabla6[[#This Row],[N° FACTURA]],INGRESOS!F:F,INGRESOS!A:A),"-")</f>
        <v>-</v>
      </c>
      <c r="N2173" s="2"/>
      <c r="O2173" t="s">
        <v>2086</v>
      </c>
    </row>
    <row r="2174" spans="1:15" ht="14.75" customHeight="1">
      <c r="A2174" s="320" t="s">
        <v>1357</v>
      </c>
      <c r="B2174" t="str">
        <f>+_xlfn.XLOOKUP(Tabla6[[#This Row],[ID CLIENTE]],'RESUMEN CLIENTES'!D:D,'RESUMEN CLIENTES'!A:A)</f>
        <v>Angel Andres Velastegui Huebla</v>
      </c>
      <c r="C2174" t="str">
        <f>+_xlfn.XLOOKUP(Tabla6[[#This Row],[ID CLIENTE]],'RESUMEN CLIENTES'!D:D,'RESUMEN CLIENTES'!C:C)</f>
        <v>Ecuador</v>
      </c>
      <c r="D2174" s="44" t="str">
        <f>+_xlfn.XLOOKUP(Tabla6[[#This Row],[ID CLIENTE]],'RESUMEN CLIENTES'!D:D,'RESUMEN CLIENTES'!M:M)</f>
        <v>OK</v>
      </c>
      <c r="E2174" s="71">
        <f>+_xlfn.XLOOKUP(Tabla6[[#This Row],[NOMBRE]],'RESUMEN CLIENTES'!A:A,'RESUMEN CLIENTES'!X:X)</f>
        <v>0</v>
      </c>
      <c r="F2174" s="71">
        <f>+_xlfn.XLOOKUP(Tabla6[[#This Row],[ID CLIENTE]],'RESUMEN CLIENTES'!D:D,'RESUMEN CLIENTES'!W:W)</f>
        <v>1</v>
      </c>
      <c r="G2174" s="17">
        <f>IF($H2174&lt;&gt;"ALEM","",IFERROR(
  DATE(
    YEAR(EDATE(
      _xlfn.XLOOKUP($A2174,'RESUMEN CLIENTES'!$D:$D,'RESUMEN CLIENTES'!$Y:$Y,""),
      7 + COUNTIFS(
            $A$2:INDEX($A:$A,ROW()), $A2174,
            $H$2:INDEX($H:$H,ROW()), "ALEM"
          )
    )),
    MONTH(EDATE(
      _xlfn.XLOOKUP($A2174,'RESUMEN CLIENTES'!$D:$D,'RESUMEN CLIENTES'!$Y:$Y,""),
      7 + COUNTIFS(
            $A$2:INDEX($A:$A,ROW()), $A2174,
            $H$2:INDEX($H:$H,ROW()), "ALEM"
          )
    )),
    1
  ),
"SIN FECHA MIG"))</f>
        <v>46478</v>
      </c>
      <c r="H2174" s="44" t="s">
        <v>1876</v>
      </c>
      <c r="I2174" s="2">
        <v>800</v>
      </c>
      <c r="J2174"/>
      <c r="K2174"/>
      <c r="L2174" s="44" t="str" cm="1">
        <f t="array" ref="L2174">+_xlfn.IFS(COUNTIF(INGRESOS!E:E,Tabla6[[#This Row],[ID FACTURA]])=1,"PAGADA",Tabla6[[#This Row],[ID FACTURA]]&lt;&gt;0,"EMITIDA",Tabla6[[#This Row],[ID FACTURA]]=0,"POR EMITIR")</f>
        <v>POR EMITIR</v>
      </c>
      <c r="M2174" s="55" t="str">
        <f>+IF(Tabla6[[#This Row],[ESTADO FACTURA]]="PAGADA",Tabla6[[#This Row],[FECHA]]-_xlfn.XLOOKUP(Tabla6[[#This Row],[N° FACTURA]],INGRESOS!F:F,INGRESOS!A:A),"-")</f>
        <v>-</v>
      </c>
      <c r="N2174" s="2"/>
      <c r="O2174"/>
    </row>
    <row r="2175" spans="1:15" ht="14.75" customHeight="1">
      <c r="A2175" s="320" t="s">
        <v>2011</v>
      </c>
      <c r="B2175" t="str">
        <f>+_xlfn.XLOOKUP(Tabla6[[#This Row],[ID CLIENTE]],'RESUMEN CLIENTES'!D:D,'RESUMEN CLIENTES'!A:A)</f>
        <v>Bárbara Fuentes</v>
      </c>
      <c r="C2175" t="str">
        <f>+_xlfn.XLOOKUP(Tabla6[[#This Row],[ID CLIENTE]],'RESUMEN CLIENTES'!D:D,'RESUMEN CLIENTES'!C:C)</f>
        <v>Chile</v>
      </c>
      <c r="D2175" s="169" t="str">
        <f>+_xlfn.XLOOKUP(Tabla6[[#This Row],[ID CLIENTE]],'RESUMEN CLIENTES'!D:D,'RESUMEN CLIENTES'!M:M)</f>
        <v>OK</v>
      </c>
      <c r="E2175" s="71">
        <f>+_xlfn.XLOOKUP(Tabla6[[#This Row],[NOMBRE]],'RESUMEN CLIENTES'!A:A,'RESUMEN CLIENTES'!X:X)</f>
        <v>-0.33333333333333331</v>
      </c>
      <c r="F2175" s="71">
        <f>+_xlfn.XLOOKUP(Tabla6[[#This Row],[ID CLIENTE]],'RESUMEN CLIENTES'!D:D,'RESUMEN CLIENTES'!W:W)</f>
        <v>0</v>
      </c>
      <c r="G2175" s="17">
        <f>IF($H2175&lt;&gt;"ALEM","",IFERROR(
  DATE(
    YEAR(EDATE(
      _xlfn.XLOOKUP($A2175,'RESUMEN CLIENTES'!$D:$D,'RESUMEN CLIENTES'!$Y:$Y,""),
      7 + COUNTIFS(
            $A$2:INDEX($A:$A,ROW()), $A2175,
            $H$2:INDEX($H:$H,ROW()), "ALEM"
          )
    )),
    MONTH(EDATE(
      _xlfn.XLOOKUP($A2175,'RESUMEN CLIENTES'!$D:$D,'RESUMEN CLIENTES'!$Y:$Y,""),
      7 + COUNTIFS(
            $A$2:INDEX($A:$A,ROW()), $A2175,
            $H$2:INDEX($H:$H,ROW()), "ALEM"
          )
    )),
    1
  ),
"null"))</f>
        <v>46478</v>
      </c>
      <c r="H2175" s="169" t="s">
        <v>1876</v>
      </c>
      <c r="I2175" s="2">
        <v>1000</v>
      </c>
      <c r="J2175"/>
      <c r="K2175"/>
      <c r="L2175" s="44" t="str" cm="1">
        <f t="array" ref="L2175">+_xlfn.IFS(COUNTIF(INGRESOS!E:E,Tabla6[[#This Row],[ID FACTURA]])=1,"PAGADA",Tabla6[[#This Row],[ID FACTURA]]&lt;&gt;0,"EMITIDA",Tabla6[[#This Row],[ID FACTURA]]=0,"POR EMITIR")</f>
        <v>POR EMITIR</v>
      </c>
      <c r="M2175" s="54" t="str">
        <f>+IF(Tabla6[[#This Row],[ESTADO FACTURA]]="PAGADA",Tabla6[[#This Row],[FECHA]]-_xlfn.XLOOKUP(Tabla6[[#This Row],[N° FACTURA]],INGRESOS!F:F,INGRESOS!A:A),"-")</f>
        <v>-</v>
      </c>
      <c r="O2175"/>
    </row>
    <row r="2176" spans="1:15" ht="14.75" customHeight="1">
      <c r="A2176" s="320" t="s">
        <v>162</v>
      </c>
      <c r="B2176" t="str">
        <f>+_xlfn.XLOOKUP(Tabla6[[#This Row],[ID CLIENTE]],'RESUMEN CLIENTES'!D:D,'RESUMEN CLIENTES'!A:A)</f>
        <v>Bastian Sofjer Peralta</v>
      </c>
      <c r="C2176" t="str">
        <f>+_xlfn.XLOOKUP(Tabla6[[#This Row],[ID CLIENTE]],'RESUMEN CLIENTES'!D:D,'RESUMEN CLIENTES'!C:C)</f>
        <v>Chile</v>
      </c>
      <c r="D2176" s="44" t="str">
        <f>+_xlfn.XLOOKUP(Tabla6[[#This Row],[ID CLIENTE]],'RESUMEN CLIENTES'!D:D,'RESUMEN CLIENTES'!M:M)</f>
        <v>OK</v>
      </c>
      <c r="E2176" s="72">
        <f>+_xlfn.XLOOKUP(Tabla6[[#This Row],[NOMBRE]],'RESUMEN CLIENTES'!A:A,'RESUMEN CLIENTES'!X:X)</f>
        <v>4.125</v>
      </c>
      <c r="F2176" s="72">
        <f>+_xlfn.XLOOKUP(Tabla6[[#This Row],[ID CLIENTE]],'RESUMEN CLIENTES'!D:D,'RESUMEN CLIENTES'!W:W)</f>
        <v>1</v>
      </c>
      <c r="G2176" s="17">
        <f>IF($H2176&lt;&gt;"ALEM","",IFERROR(
  DATE(
    YEAR(EDATE(
      _xlfn.XLOOKUP($A2176,'RESUMEN CLIENTES'!$D:$D,'RESUMEN CLIENTES'!$Y:$Y,""),
      7 + COUNTIFS(
            $A$2:INDEX($A:$A,ROW()), $A2176,
            $H$2:INDEX($H:$H,ROW()), "ALEM"
          )
    )),
    MONTH(EDATE(
      _xlfn.XLOOKUP($A2176,'RESUMEN CLIENTES'!$D:$D,'RESUMEN CLIENTES'!$Y:$Y,""),
      7 + COUNTIFS(
            $A$2:INDEX($A:$A,ROW()), $A2176,
            $H$2:INDEX($H:$H,ROW()), "ALEM"
          )
    )),
    1
  ),
"SIN FECHA MIG"))</f>
        <v>46478</v>
      </c>
      <c r="H2176" s="44" t="s">
        <v>1876</v>
      </c>
      <c r="I2176" s="2">
        <v>1000</v>
      </c>
      <c r="J2176"/>
      <c r="K2176"/>
      <c r="L2176" s="44" t="str" cm="1">
        <f t="array" ref="L2176">+_xlfn.IFS(COUNTIF(INGRESOS!E:E,Tabla6[[#This Row],[ID FACTURA]])=1,"PAGADA",Tabla6[[#This Row],[ID FACTURA]]&lt;&gt;0,"EMITIDA",Tabla6[[#This Row],[ID FACTURA]]=0,"POR EMITIR")</f>
        <v>POR EMITIR</v>
      </c>
      <c r="M2176" s="55" t="str">
        <f>+IF(Tabla6[[#This Row],[ESTADO FACTURA]]="PAGADA",Tabla6[[#This Row],[FECHA]]-_xlfn.XLOOKUP(Tabla6[[#This Row],[N° FACTURA]],INGRESOS!F:F,INGRESOS!A:A),"-")</f>
        <v>-</v>
      </c>
      <c r="N2176" s="2"/>
      <c r="O2176" t="s">
        <v>2086</v>
      </c>
    </row>
    <row r="2177" spans="1:15" ht="14.75" customHeight="1">
      <c r="A2177" s="320" t="s">
        <v>184</v>
      </c>
      <c r="B2177" t="str">
        <f>+_xlfn.XLOOKUP(Tabla6[[#This Row],[ID CLIENTE]],'RESUMEN CLIENTES'!D:D,'RESUMEN CLIENTES'!A:A)</f>
        <v>Boris Andrés Silva Véliz</v>
      </c>
      <c r="C2177" t="str">
        <f>+_xlfn.XLOOKUP(Tabla6[[#This Row],[ID CLIENTE]],'RESUMEN CLIENTES'!D:D,'RESUMEN CLIENTES'!C:C)</f>
        <v>Chile</v>
      </c>
      <c r="D2177" s="44" t="str">
        <f>+_xlfn.XLOOKUP(Tabla6[[#This Row],[ID CLIENTE]],'RESUMEN CLIENTES'!D:D,'RESUMEN CLIENTES'!M:M)</f>
        <v>OK</v>
      </c>
      <c r="E2177" s="72">
        <f>+_xlfn.XLOOKUP(Tabla6[[#This Row],[NOMBRE]],'RESUMEN CLIENTES'!A:A,'RESUMEN CLIENTES'!X:X)</f>
        <v>2.1111111111111112</v>
      </c>
      <c r="F2177" s="72">
        <f>+_xlfn.XLOOKUP(Tabla6[[#This Row],[ID CLIENTE]],'RESUMEN CLIENTES'!D:D,'RESUMEN CLIENTES'!W:W)</f>
        <v>0</v>
      </c>
      <c r="G2177" s="17">
        <f>IF($H2177&lt;&gt;"ALEM","",IFERROR(
  DATE(
    YEAR(EDATE(
      _xlfn.XLOOKUP($A2177,'RESUMEN CLIENTES'!$D:$D,'RESUMEN CLIENTES'!$Y:$Y,""),
      7 + COUNTIFS(
            $A$2:INDEX($A:$A,ROW()), $A2177,
            $H$2:INDEX($H:$H,ROW()), "ALEM"
          )
    )),
    MONTH(EDATE(
      _xlfn.XLOOKUP($A2177,'RESUMEN CLIENTES'!$D:$D,'RESUMEN CLIENTES'!$Y:$Y,""),
      7 + COUNTIFS(
            $A$2:INDEX($A:$A,ROW()), $A2177,
            $H$2:INDEX($H:$H,ROW()), "ALEM"
          )
    )),
    1
  ),
"SIN FECHA MIG"))</f>
        <v>46478</v>
      </c>
      <c r="H2177" s="44" t="s">
        <v>1876</v>
      </c>
      <c r="I2177" s="2">
        <v>458</v>
      </c>
      <c r="J2177"/>
      <c r="K2177"/>
      <c r="L2177" s="44" t="str" cm="1">
        <f t="array" ref="L2177">+_xlfn.IFS(COUNTIF(INGRESOS!E:E,Tabla6[[#This Row],[ID FACTURA]])=1,"PAGADA",Tabla6[[#This Row],[ID FACTURA]]&lt;&gt;0,"EMITIDA",Tabla6[[#This Row],[ID FACTURA]]=0,"POR EMITIR")</f>
        <v>POR EMITIR</v>
      </c>
      <c r="M2177" s="55" t="str">
        <f>+IF(Tabla6[[#This Row],[ESTADO FACTURA]]="PAGADA",Tabla6[[#This Row],[FECHA]]-_xlfn.XLOOKUP(Tabla6[[#This Row],[N° FACTURA]],INGRESOS!F:F,INGRESOS!A:A),"-")</f>
        <v>-</v>
      </c>
      <c r="N2177" s="2"/>
      <c r="O2177"/>
    </row>
    <row r="2178" spans="1:15" ht="14.75" customHeight="1">
      <c r="A2178" s="320" t="s">
        <v>1206</v>
      </c>
      <c r="B2178" t="str">
        <f>+_xlfn.XLOOKUP(Tabla6[[#This Row],[ID CLIENTE]],'RESUMEN CLIENTES'!D:D,'RESUMEN CLIENTES'!A:A)</f>
        <v>Bryan Israel Jiménez Puente</v>
      </c>
      <c r="C2178" t="str">
        <f>+_xlfn.XLOOKUP(Tabla6[[#This Row],[ID CLIENTE]],'RESUMEN CLIENTES'!D:D,'RESUMEN CLIENTES'!C:C)</f>
        <v>Ecuador</v>
      </c>
      <c r="D2178" s="44" t="str">
        <f>+_xlfn.XLOOKUP(Tabla6[[#This Row],[ID CLIENTE]],'RESUMEN CLIENTES'!D:D,'RESUMEN CLIENTES'!M:M)</f>
        <v>OK</v>
      </c>
      <c r="E2178" s="72">
        <f>+_xlfn.XLOOKUP(Tabla6[[#This Row],[NOMBRE]],'RESUMEN CLIENTES'!A:A,'RESUMEN CLIENTES'!X:X)</f>
        <v>1</v>
      </c>
      <c r="F2178" s="72">
        <f>+_xlfn.XLOOKUP(Tabla6[[#This Row],[ID CLIENTE]],'RESUMEN CLIENTES'!D:D,'RESUMEN CLIENTES'!W:W)</f>
        <v>0</v>
      </c>
      <c r="G2178" s="17">
        <f>IF($H2178&lt;&gt;"ALEM","",IFERROR(
  DATE(
    YEAR(EDATE(
      _xlfn.XLOOKUP($A2178,'RESUMEN CLIENTES'!$D:$D,'RESUMEN CLIENTES'!$Y:$Y,""),
      7 + COUNTIFS(
            $A$2:INDEX($A:$A,ROW()), $A2178,
            $H$2:INDEX($H:$H,ROW()), "ALEM"
          )
    )),
    MONTH(EDATE(
      _xlfn.XLOOKUP($A2178,'RESUMEN CLIENTES'!$D:$D,'RESUMEN CLIENTES'!$Y:$Y,""),
      7 + COUNTIFS(
            $A$2:INDEX($A:$A,ROW()), $A2178,
            $H$2:INDEX($H:$H,ROW()), "ALEM"
          )
    )),
    1
  ),
"SIN FECHA MIG"))</f>
        <v>46478</v>
      </c>
      <c r="H2178" s="44" t="s">
        <v>1876</v>
      </c>
      <c r="I2178" s="2">
        <v>800</v>
      </c>
      <c r="J2178"/>
      <c r="K2178"/>
      <c r="L2178" s="44" t="str" cm="1">
        <f t="array" ref="L2178">+_xlfn.IFS(COUNTIF(INGRESOS!E:E,Tabla6[[#This Row],[ID FACTURA]])=1,"PAGADA",Tabla6[[#This Row],[ID FACTURA]]&lt;&gt;0,"EMITIDA",Tabla6[[#This Row],[ID FACTURA]]=0,"POR EMITIR")</f>
        <v>POR EMITIR</v>
      </c>
      <c r="M2178" s="55" t="str">
        <f>+IF(Tabla6[[#This Row],[ESTADO FACTURA]]="PAGADA",Tabla6[[#This Row],[FECHA]]-_xlfn.XLOOKUP(Tabla6[[#This Row],[N° FACTURA]],INGRESOS!F:F,INGRESOS!A:A),"-")</f>
        <v>-</v>
      </c>
      <c r="N2178" s="2"/>
      <c r="O2178" t="s">
        <v>2084</v>
      </c>
    </row>
    <row r="2179" spans="1:15" ht="14.75" customHeight="1">
      <c r="A2179" s="320" t="s">
        <v>4768</v>
      </c>
      <c r="B2179" t="str">
        <f>+_xlfn.XLOOKUP(Tabla6[[#This Row],[ID CLIENTE]],'RESUMEN CLIENTES'!D:D,'RESUMEN CLIENTES'!A:A)</f>
        <v>Carla Elena Patínez Rondón</v>
      </c>
      <c r="C2179" s="15" t="str">
        <f>+_xlfn.XLOOKUP(Tabla6[[#This Row],[ID CLIENTE]],'RESUMEN CLIENTES'!D:D,'RESUMEN CLIENTES'!C:C)</f>
        <v>Venezuela</v>
      </c>
      <c r="D2179" s="169" t="str">
        <f>+_xlfn.XLOOKUP(Tabla6[[#This Row],[ID CLIENTE]],'RESUMEN CLIENTES'!D:D,'RESUMEN CLIENTES'!M:M)</f>
        <v>OK</v>
      </c>
      <c r="E2179" s="71">
        <f>+_xlfn.XLOOKUP(Tabla6[[#This Row],[NOMBRE]],'RESUMEN CLIENTES'!A:A,'RESUMEN CLIENTES'!X:X)</f>
        <v>-9</v>
      </c>
      <c r="F2179" s="71">
        <f>+_xlfn.XLOOKUP(Tabla6[[#This Row],[ID CLIENTE]],'RESUMEN CLIENTES'!D:D,'RESUMEN CLIENTES'!W:W)</f>
        <v>0</v>
      </c>
      <c r="G2179" s="17">
        <f>IF($H2179&lt;&gt;"ALEM","",IFERROR(
  DATE(
    YEAR(EDATE(
      _xlfn.XLOOKUP($A2179,'RESUMEN CLIENTES'!$D:$D,'RESUMEN CLIENTES'!$Y:$Y,""),
      7 + COUNTIFS(
            $A$2:INDEX($A:$A,ROW()), $A2179,
            $H$2:INDEX($H:$H,ROW()), "ALEM"
          )
    )),
    MONTH(EDATE(
      _xlfn.XLOOKUP($A2179,'RESUMEN CLIENTES'!$D:$D,'RESUMEN CLIENTES'!$Y:$Y,""),
      7 + COUNTIFS(
            $A$2:INDEX($A:$A,ROW()), $A2179,
            $H$2:INDEX($H:$H,ROW()), "ALEM"
          )
    )),
    1
  ),
"null"))</f>
        <v>46478</v>
      </c>
      <c r="H2179" s="169" t="s">
        <v>1876</v>
      </c>
      <c r="I2179" s="2">
        <v>1000</v>
      </c>
      <c r="J2179"/>
      <c r="K2179"/>
      <c r="L2179" s="44" t="str" cm="1">
        <f t="array" ref="L2179">+_xlfn.IFS(COUNTIF(INGRESOS!E:E,Tabla6[[#This Row],[ID FACTURA]])=1,"PAGADA",Tabla6[[#This Row],[ID FACTURA]]&lt;&gt;0,"EMITIDA",Tabla6[[#This Row],[ID FACTURA]]=0,"POR EMITIR")</f>
        <v>POR EMITIR</v>
      </c>
      <c r="M2179" s="54" t="str">
        <f>+IF(Tabla6[[#This Row],[ESTADO FACTURA]]="PAGADA",Tabla6[[#This Row],[FECHA]]-_xlfn.XLOOKUP(Tabla6[[#This Row],[N° FACTURA]],INGRESOS!F:F,INGRESOS!A:A),"-")</f>
        <v>-</v>
      </c>
      <c r="O2179"/>
    </row>
    <row r="2180" spans="1:15" ht="14.75" customHeight="1">
      <c r="A2180" s="320" t="s">
        <v>226</v>
      </c>
      <c r="B2180" t="str">
        <f>+_xlfn.XLOOKUP(Tabla6[[#This Row],[ID CLIENTE]],'RESUMEN CLIENTES'!D:D,'RESUMEN CLIENTES'!A:A)</f>
        <v>Carlos Josue Escobar Morán</v>
      </c>
      <c r="C2180" t="str">
        <f>+_xlfn.XLOOKUP(Tabla6[[#This Row],[ID CLIENTE]],'RESUMEN CLIENTES'!D:D,'RESUMEN CLIENTES'!C:C)</f>
        <v>El Salvador</v>
      </c>
      <c r="D2180" s="44" t="str">
        <f>+_xlfn.XLOOKUP(Tabla6[[#This Row],[ID CLIENTE]],'RESUMEN CLIENTES'!D:D,'RESUMEN CLIENTES'!M:M)</f>
        <v>OK</v>
      </c>
      <c r="E2180" s="72">
        <f>+_xlfn.XLOOKUP(Tabla6[[#This Row],[NOMBRE]],'RESUMEN CLIENTES'!A:A,'RESUMEN CLIENTES'!X:X)</f>
        <v>0.8</v>
      </c>
      <c r="F2180" s="72">
        <f>+_xlfn.XLOOKUP(Tabla6[[#This Row],[ID CLIENTE]],'RESUMEN CLIENTES'!D:D,'RESUMEN CLIENTES'!W:W)</f>
        <v>0</v>
      </c>
      <c r="G2180" s="17">
        <f>IF($H2180&lt;&gt;"ALEM","",IFERROR(
  DATE(
    YEAR(EDATE(
      _xlfn.XLOOKUP($A2180,'RESUMEN CLIENTES'!$D:$D,'RESUMEN CLIENTES'!$Y:$Y,""),
      7 + COUNTIFS(
            $A$2:INDEX($A:$A,ROW()), $A2180,
            $H$2:INDEX($H:$H,ROW()), "ALEM"
          )
    )),
    MONTH(EDATE(
      _xlfn.XLOOKUP($A2180,'RESUMEN CLIENTES'!$D:$D,'RESUMEN CLIENTES'!$Y:$Y,""),
      7 + COUNTIFS(
            $A$2:INDEX($A:$A,ROW()), $A2180,
            $H$2:INDEX($H:$H,ROW()), "ALEM"
          )
    )),
    1
  ),
"SIN FECHA MIG"))</f>
        <v>46478</v>
      </c>
      <c r="H2180" s="44" t="s">
        <v>1876</v>
      </c>
      <c r="I2180" s="2">
        <v>500</v>
      </c>
      <c r="J2180"/>
      <c r="K2180"/>
      <c r="L2180" s="44" t="str" cm="1">
        <f t="array" ref="L2180">+_xlfn.IFS(COUNTIF(INGRESOS!E:E,Tabla6[[#This Row],[ID FACTURA]])=1,"PAGADA",Tabla6[[#This Row],[ID FACTURA]]&lt;&gt;0,"EMITIDA",Tabla6[[#This Row],[ID FACTURA]]=0,"POR EMITIR")</f>
        <v>POR EMITIR</v>
      </c>
      <c r="M2180" s="55" t="str">
        <f>+IF(Tabla6[[#This Row],[ESTADO FACTURA]]="PAGADA",Tabla6[[#This Row],[FECHA]]-_xlfn.XLOOKUP(Tabla6[[#This Row],[N° FACTURA]],INGRESOS!F:F,INGRESOS!A:A),"-")</f>
        <v>-</v>
      </c>
      <c r="N2180" s="2"/>
      <c r="O2180"/>
    </row>
    <row r="2181" spans="1:15" ht="14.75" customHeight="1">
      <c r="A2181" s="320" t="s">
        <v>479</v>
      </c>
      <c r="B2181" t="str">
        <f>+_xlfn.XLOOKUP(Tabla6[[#This Row],[ID CLIENTE]],'RESUMEN CLIENTES'!D:D,'RESUMEN CLIENTES'!A:A)</f>
        <v>Carlos Mersaim Olivares Sandoval</v>
      </c>
      <c r="C2181" t="str">
        <f>+_xlfn.XLOOKUP(Tabla6[[#This Row],[ID CLIENTE]],'RESUMEN CLIENTES'!D:D,'RESUMEN CLIENTES'!C:C)</f>
        <v>México</v>
      </c>
      <c r="D2181" s="44" t="str">
        <f>+_xlfn.XLOOKUP(Tabla6[[#This Row],[ID CLIENTE]],'RESUMEN CLIENTES'!D:D,'RESUMEN CLIENTES'!M:M)</f>
        <v>OK</v>
      </c>
      <c r="E2181" s="72">
        <f>+_xlfn.XLOOKUP(Tabla6[[#This Row],[NOMBRE]],'RESUMEN CLIENTES'!A:A,'RESUMEN CLIENTES'!X:X)</f>
        <v>1.4444444444444444</v>
      </c>
      <c r="F2181" s="72">
        <f>+_xlfn.XLOOKUP(Tabla6[[#This Row],[ID CLIENTE]],'RESUMEN CLIENTES'!D:D,'RESUMEN CLIENTES'!W:W)</f>
        <v>0</v>
      </c>
      <c r="G2181" s="17">
        <f>IF($H2181&lt;&gt;"ALEM","",IFERROR(
  DATE(
    YEAR(EDATE(
      _xlfn.XLOOKUP($A2181,'RESUMEN CLIENTES'!$D:$D,'RESUMEN CLIENTES'!$Y:$Y,""),
      7 + COUNTIFS(
            $A$2:INDEX($A:$A,ROW()), $A2181,
            $H$2:INDEX($H:$H,ROW()), "ALEM"
          )
    )),
    MONTH(EDATE(
      _xlfn.XLOOKUP($A2181,'RESUMEN CLIENTES'!$D:$D,'RESUMEN CLIENTES'!$Y:$Y,""),
      7 + COUNTIFS(
            $A$2:INDEX($A:$A,ROW()), $A2181,
            $H$2:INDEX($H:$H,ROW()), "ALEM"
          )
    )),
    1
  ),
"SIN FECHA MIG"))</f>
        <v>46478</v>
      </c>
      <c r="H2181" s="44" t="s">
        <v>1876</v>
      </c>
      <c r="I2181" s="2">
        <v>1000</v>
      </c>
      <c r="J2181"/>
      <c r="K2181"/>
      <c r="L2181" s="44" t="str" cm="1">
        <f t="array" ref="L2181">+_xlfn.IFS(COUNTIF(INGRESOS!E:E,Tabla6[[#This Row],[ID FACTURA]])=1,"PAGADA",Tabla6[[#This Row],[ID FACTURA]]&lt;&gt;0,"EMITIDA",Tabla6[[#This Row],[ID FACTURA]]=0,"POR EMITIR")</f>
        <v>POR EMITIR</v>
      </c>
      <c r="M2181" s="55" t="str">
        <f>+IF(Tabla6[[#This Row],[ESTADO FACTURA]]="PAGADA",Tabla6[[#This Row],[FECHA]]-_xlfn.XLOOKUP(Tabla6[[#This Row],[N° FACTURA]],INGRESOS!F:F,INGRESOS!A:A),"-")</f>
        <v>-</v>
      </c>
      <c r="N2181" s="2"/>
      <c r="O2181"/>
    </row>
    <row r="2182" spans="1:15" ht="14.75" customHeight="1">
      <c r="A2182" s="320" t="s">
        <v>1245</v>
      </c>
      <c r="B2182" t="str">
        <f>+_xlfn.XLOOKUP(Tabla6[[#This Row],[ID CLIENTE]],'RESUMEN CLIENTES'!D:D,'RESUMEN CLIENTES'!A:A)</f>
        <v>Constanza Andrea Águila Vergara</v>
      </c>
      <c r="C2182" t="str">
        <f>+_xlfn.XLOOKUP(Tabla6[[#This Row],[ID CLIENTE]],'RESUMEN CLIENTES'!D:D,'RESUMEN CLIENTES'!C:C)</f>
        <v>Chile</v>
      </c>
      <c r="D2182" s="44" t="str">
        <f>+_xlfn.XLOOKUP(Tabla6[[#This Row],[ID CLIENTE]],'RESUMEN CLIENTES'!D:D,'RESUMEN CLIENTES'!M:M)</f>
        <v>OK</v>
      </c>
      <c r="E2182" s="71">
        <f>+_xlfn.XLOOKUP(Tabla6[[#This Row],[NOMBRE]],'RESUMEN CLIENTES'!A:A,'RESUMEN CLIENTES'!X:X)</f>
        <v>-0.2</v>
      </c>
      <c r="F2182" s="71">
        <f>+_xlfn.XLOOKUP(Tabla6[[#This Row],[ID CLIENTE]],'RESUMEN CLIENTES'!D:D,'RESUMEN CLIENTES'!W:W)</f>
        <v>1</v>
      </c>
      <c r="G2182" s="17">
        <f>IF($H2182&lt;&gt;"ALEM","",IFERROR(
  DATE(
    YEAR(EDATE(
      _xlfn.XLOOKUP($A2182,'RESUMEN CLIENTES'!$D:$D,'RESUMEN CLIENTES'!$Y:$Y,""),
      7 + COUNTIFS(
            $A$2:INDEX($A:$A,ROW()), $A2182,
            $H$2:INDEX($H:$H,ROW()), "ALEM"
          )
    )),
    MONTH(EDATE(
      _xlfn.XLOOKUP($A2182,'RESUMEN CLIENTES'!$D:$D,'RESUMEN CLIENTES'!$Y:$Y,""),
      7 + COUNTIFS(
            $A$2:INDEX($A:$A,ROW()), $A2182,
            $H$2:INDEX($H:$H,ROW()), "ALEM"
          )
    )),
    1
  ),
"SIN FECHA MIG"))</f>
        <v>46478</v>
      </c>
      <c r="H2182" s="44" t="s">
        <v>1876</v>
      </c>
      <c r="I2182" s="2">
        <v>800</v>
      </c>
      <c r="J2182"/>
      <c r="K2182"/>
      <c r="L2182" s="44" t="str" cm="1">
        <f t="array" ref="L2182">+_xlfn.IFS(COUNTIF(INGRESOS!E:E,Tabla6[[#This Row],[ID FACTURA]])=1,"PAGADA",Tabla6[[#This Row],[ID FACTURA]]&lt;&gt;0,"EMITIDA",Tabla6[[#This Row],[ID FACTURA]]=0,"POR EMITIR")</f>
        <v>POR EMITIR</v>
      </c>
      <c r="M2182" s="55" t="str">
        <f>+IF(Tabla6[[#This Row],[ESTADO FACTURA]]="PAGADA",Tabla6[[#This Row],[FECHA]]-_xlfn.XLOOKUP(Tabla6[[#This Row],[N° FACTURA]],INGRESOS!F:F,INGRESOS!A:A),"-")</f>
        <v>-</v>
      </c>
      <c r="N2182" s="2"/>
      <c r="O2182"/>
    </row>
    <row r="2183" spans="1:15" ht="14.75" customHeight="1">
      <c r="A2183" s="320" t="s">
        <v>90</v>
      </c>
      <c r="B2183" t="str">
        <f>+_xlfn.XLOOKUP(Tabla6[[#This Row],[ID CLIENTE]],'RESUMEN CLIENTES'!D:D,'RESUMEN CLIENTES'!A:A)</f>
        <v>David Enrique Díaz Mejía</v>
      </c>
      <c r="C2183" t="str">
        <f>+_xlfn.XLOOKUP(Tabla6[[#This Row],[ID CLIENTE]],'RESUMEN CLIENTES'!D:D,'RESUMEN CLIENTES'!C:C)</f>
        <v>Honduras</v>
      </c>
      <c r="D2183" s="44" t="str">
        <f>+_xlfn.XLOOKUP(Tabla6[[#This Row],[ID CLIENTE]],'RESUMEN CLIENTES'!D:D,'RESUMEN CLIENTES'!M:M)</f>
        <v>OK</v>
      </c>
      <c r="E2183" s="72">
        <f>+_xlfn.XLOOKUP(Tabla6[[#This Row],[NOMBRE]],'RESUMEN CLIENTES'!A:A,'RESUMEN CLIENTES'!X:X)</f>
        <v>-15.217592592592862</v>
      </c>
      <c r="F2183" s="72">
        <f>+_xlfn.XLOOKUP(Tabla6[[#This Row],[ID CLIENTE]],'RESUMEN CLIENTES'!D:D,'RESUMEN CLIENTES'!W:W)</f>
        <v>1</v>
      </c>
      <c r="G2183" s="17">
        <f>IF($H2183&lt;&gt;"ALEM","",IFERROR(
  DATE(
    YEAR(EDATE(
      _xlfn.XLOOKUP($A2183,'RESUMEN CLIENTES'!$D:$D,'RESUMEN CLIENTES'!$Y:$Y,""),
      7 + COUNTIFS(
            $A$2:INDEX($A:$A,ROW()), $A2183,
            $H$2:INDEX($H:$H,ROW()), "ALEM"
          )
    )),
    MONTH(EDATE(
      _xlfn.XLOOKUP($A2183,'RESUMEN CLIENTES'!$D:$D,'RESUMEN CLIENTES'!$Y:$Y,""),
      7 + COUNTIFS(
            $A$2:INDEX($A:$A,ROW()), $A2183,
            $H$2:INDEX($H:$H,ROW()), "ALEM"
          )
    )),
    1
  ),
"SIN FECHA MIG"))</f>
        <v>46478</v>
      </c>
      <c r="H2183" s="44" t="s">
        <v>1876</v>
      </c>
      <c r="I2183" s="2">
        <v>1000</v>
      </c>
      <c r="J2183"/>
      <c r="K2183"/>
      <c r="L2183" s="44" t="str" cm="1">
        <f t="array" ref="L2183">+_xlfn.IFS(COUNTIF(INGRESOS!E:E,Tabla6[[#This Row],[ID FACTURA]])=1,"PAGADA",Tabla6[[#This Row],[ID FACTURA]]&lt;&gt;0,"EMITIDA",Tabla6[[#This Row],[ID FACTURA]]=0,"POR EMITIR")</f>
        <v>POR EMITIR</v>
      </c>
      <c r="M2183" s="55" t="str">
        <f>+IF(Tabla6[[#This Row],[ESTADO FACTURA]]="PAGADA",Tabla6[[#This Row],[FECHA]]-_xlfn.XLOOKUP(Tabla6[[#This Row],[N° FACTURA]],INGRESOS!F:F,INGRESOS!A:A),"-")</f>
        <v>-</v>
      </c>
      <c r="N2183" s="2"/>
      <c r="O2183"/>
    </row>
    <row r="2184" spans="1:15" ht="14.75" customHeight="1">
      <c r="A2184" s="320" t="s">
        <v>1674</v>
      </c>
      <c r="B2184" t="str">
        <f>+_xlfn.XLOOKUP(Tabla6[[#This Row],[ID CLIENTE]],'RESUMEN CLIENTES'!D:D,'RESUMEN CLIENTES'!A:A)</f>
        <v>Diego Alberto Ruiz Cifuentes</v>
      </c>
      <c r="C2184" t="str">
        <f>+_xlfn.XLOOKUP(Tabla6[[#This Row],[ID CLIENTE]],'RESUMEN CLIENTES'!D:D,'RESUMEN CLIENTES'!C:C)</f>
        <v>Chile</v>
      </c>
      <c r="D2184" s="169" t="str">
        <f>+_xlfn.XLOOKUP(Tabla6[[#This Row],[ID CLIENTE]],'RESUMEN CLIENTES'!D:D,'RESUMEN CLIENTES'!M:M)</f>
        <v>OK</v>
      </c>
      <c r="E2184" s="71">
        <f>+_xlfn.XLOOKUP(Tabla6[[#This Row],[NOMBRE]],'RESUMEN CLIENTES'!A:A,'RESUMEN CLIENTES'!X:X)</f>
        <v>5.75</v>
      </c>
      <c r="F2184" s="71">
        <f>+_xlfn.XLOOKUP(Tabla6[[#This Row],[ID CLIENTE]],'RESUMEN CLIENTES'!D:D,'RESUMEN CLIENTES'!W:W)</f>
        <v>0</v>
      </c>
      <c r="G2184" s="17">
        <f>IF($H2184&lt;&gt;"ALEM","",IFERROR(
  DATE(
    YEAR(EDATE(
      _xlfn.XLOOKUP($A2184,'RESUMEN CLIENTES'!$D:$D,'RESUMEN CLIENTES'!$Y:$Y,""),
      7 + COUNTIFS(
            $A$2:INDEX($A:$A,ROW()), $A2184,
            $H$2:INDEX($H:$H,ROW()), "ALEM"
          )
    )),
    MONTH(EDATE(
      _xlfn.XLOOKUP($A2184,'RESUMEN CLIENTES'!$D:$D,'RESUMEN CLIENTES'!$Y:$Y,""),
      7 + COUNTIFS(
            $A$2:INDEX($A:$A,ROW()), $A2184,
            $H$2:INDEX($H:$H,ROW()), "ALEM"
          )
    )),
    1
  ),
"SIN FECHA MIG"))</f>
        <v>46478</v>
      </c>
      <c r="H2184" s="169" t="s">
        <v>1876</v>
      </c>
      <c r="I2184" s="2">
        <v>800</v>
      </c>
      <c r="J2184"/>
      <c r="K2184"/>
      <c r="L2184" s="44" t="str" cm="1">
        <f t="array" ref="L2184">+_xlfn.IFS(COUNTIF(INGRESOS!E:E,Tabla6[[#This Row],[ID FACTURA]])=1,"PAGADA",Tabla6[[#This Row],[ID FACTURA]]&lt;&gt;0,"EMITIDA",Tabla6[[#This Row],[ID FACTURA]]=0,"POR EMITIR")</f>
        <v>POR EMITIR</v>
      </c>
      <c r="M2184" s="55" t="str">
        <f>+IF(Tabla6[[#This Row],[ESTADO FACTURA]]="PAGADA",Tabla6[[#This Row],[FECHA]]-_xlfn.XLOOKUP(Tabla6[[#This Row],[N° FACTURA]],INGRESOS!F:F,INGRESOS!A:A),"-")</f>
        <v>-</v>
      </c>
      <c r="N2184" s="2"/>
      <c r="O2184"/>
    </row>
    <row r="2185" spans="1:15" ht="14.75" customHeight="1">
      <c r="A2185" s="320" t="s">
        <v>253</v>
      </c>
      <c r="B2185" t="str">
        <f>+_xlfn.XLOOKUP(Tabla6[[#This Row],[ID CLIENTE]],'RESUMEN CLIENTES'!D:D,'RESUMEN CLIENTES'!A:A)</f>
        <v>Diego Alonso Salazar Palacios</v>
      </c>
      <c r="C2185" t="str">
        <f>+_xlfn.XLOOKUP(Tabla6[[#This Row],[ID CLIENTE]],'RESUMEN CLIENTES'!D:D,'RESUMEN CLIENTES'!C:C)</f>
        <v>Perú</v>
      </c>
      <c r="D2185" s="44" t="str">
        <f>+_xlfn.XLOOKUP(Tabla6[[#This Row],[ID CLIENTE]],'RESUMEN CLIENTES'!D:D,'RESUMEN CLIENTES'!M:M)</f>
        <v>OK</v>
      </c>
      <c r="E2185" s="72">
        <f>+_xlfn.XLOOKUP(Tabla6[[#This Row],[NOMBRE]],'RESUMEN CLIENTES'!A:A,'RESUMEN CLIENTES'!X:X)</f>
        <v>0.18560606059988707</v>
      </c>
      <c r="F2185" s="72">
        <f>+_xlfn.XLOOKUP(Tabla6[[#This Row],[ID CLIENTE]],'RESUMEN CLIENTES'!D:D,'RESUMEN CLIENTES'!W:W)</f>
        <v>1</v>
      </c>
      <c r="G2185" s="17">
        <f>IF($H2185&lt;&gt;"ALEM","",IFERROR(
  DATE(
    YEAR(EDATE(
      _xlfn.XLOOKUP($A2185,'RESUMEN CLIENTES'!$D:$D,'RESUMEN CLIENTES'!$Y:$Y,""),
      7 + COUNTIFS(
            $A$2:INDEX($A:$A,ROW()), $A2185,
            $H$2:INDEX($H:$H,ROW()), "ALEM"
          )
    )),
    MONTH(EDATE(
      _xlfn.XLOOKUP($A2185,'RESUMEN CLIENTES'!$D:$D,'RESUMEN CLIENTES'!$Y:$Y,""),
      7 + COUNTIFS(
            $A$2:INDEX($A:$A,ROW()), $A2185,
            $H$2:INDEX($H:$H,ROW()), "ALEM"
          )
    )),
    1
  ),
"SIN FECHA MIG"))</f>
        <v>46478</v>
      </c>
      <c r="H2185" s="44" t="s">
        <v>1876</v>
      </c>
      <c r="I2185" s="2">
        <v>400</v>
      </c>
      <c r="J2185"/>
      <c r="K2185"/>
      <c r="L2185" s="44" t="str" cm="1">
        <f t="array" ref="L2185">+_xlfn.IFS(COUNTIF(INGRESOS!E:E,Tabla6[[#This Row],[ID FACTURA]])=1,"PAGADA",Tabla6[[#This Row],[ID FACTURA]]&lt;&gt;0,"EMITIDA",Tabla6[[#This Row],[ID FACTURA]]=0,"POR EMITIR")</f>
        <v>POR EMITIR</v>
      </c>
      <c r="M2185" s="55" t="str">
        <f>+IF(Tabla6[[#This Row],[ESTADO FACTURA]]="PAGADA",Tabla6[[#This Row],[FECHA]]-_xlfn.XLOOKUP(Tabla6[[#This Row],[N° FACTURA]],INGRESOS!F:F,INGRESOS!A:A),"-")</f>
        <v>-</v>
      </c>
      <c r="N2185" s="2"/>
      <c r="O2185"/>
    </row>
    <row r="2186" spans="1:15" ht="14.75" customHeight="1">
      <c r="A2186" s="320" t="s">
        <v>385</v>
      </c>
      <c r="B2186" t="str">
        <f>+_xlfn.XLOOKUP(Tabla6[[#This Row],[ID CLIENTE]],'RESUMEN CLIENTES'!D:D,'RESUMEN CLIENTES'!A:A)</f>
        <v>Ellen Cristina Gerónimo Bonilla</v>
      </c>
      <c r="C2186" t="str">
        <f>+_xlfn.XLOOKUP(Tabla6[[#This Row],[ID CLIENTE]],'RESUMEN CLIENTES'!D:D,'RESUMEN CLIENTES'!C:C)</f>
        <v>República Dominicana</v>
      </c>
      <c r="D2186" s="44" t="str">
        <f>+_xlfn.XLOOKUP(Tabla6[[#This Row],[ID CLIENTE]],'RESUMEN CLIENTES'!D:D,'RESUMEN CLIENTES'!M:M)</f>
        <v>OK</v>
      </c>
      <c r="E2186" s="72">
        <f>+_xlfn.XLOOKUP(Tabla6[[#This Row],[NOMBRE]],'RESUMEN CLIENTES'!A:A,'RESUMEN CLIENTES'!X:X)</f>
        <v>1.5555555555555556</v>
      </c>
      <c r="F2186" s="72">
        <f>+_xlfn.XLOOKUP(Tabla6[[#This Row],[ID CLIENTE]],'RESUMEN CLIENTES'!D:D,'RESUMEN CLIENTES'!W:W)</f>
        <v>1</v>
      </c>
      <c r="G2186" s="17">
        <f>IF($H2186&lt;&gt;"ALEM","",IFERROR(
  DATE(
    YEAR(EDATE(
      _xlfn.XLOOKUP($A2186,'RESUMEN CLIENTES'!$D:$D,'RESUMEN CLIENTES'!$Y:$Y,""),
      7 + COUNTIFS(
            $A$2:INDEX($A:$A,ROW()), $A2186,
            $H$2:INDEX($H:$H,ROW()), "ALEM"
          )
    )),
    MONTH(EDATE(
      _xlfn.XLOOKUP($A2186,'RESUMEN CLIENTES'!$D:$D,'RESUMEN CLIENTES'!$Y:$Y,""),
      7 + COUNTIFS(
            $A$2:INDEX($A:$A,ROW()), $A2186,
            $H$2:INDEX($H:$H,ROW()), "ALEM"
          )
    )),
    1
  ),
"SIN FECHA MIG"))</f>
        <v>46478</v>
      </c>
      <c r="H2186" s="44" t="s">
        <v>1876</v>
      </c>
      <c r="I2186" s="2">
        <v>1000</v>
      </c>
      <c r="J2186"/>
      <c r="K2186"/>
      <c r="L2186" s="44" t="str" cm="1">
        <f t="array" ref="L2186">+_xlfn.IFS(COUNTIF(INGRESOS!E:E,Tabla6[[#This Row],[ID FACTURA]])=1,"PAGADA",Tabla6[[#This Row],[ID FACTURA]]&lt;&gt;0,"EMITIDA",Tabla6[[#This Row],[ID FACTURA]]=0,"POR EMITIR")</f>
        <v>POR EMITIR</v>
      </c>
      <c r="M2186" s="55" t="str">
        <f>+IF(Tabla6[[#This Row],[ESTADO FACTURA]]="PAGADA",Tabla6[[#This Row],[FECHA]]-_xlfn.XLOOKUP(Tabla6[[#This Row],[N° FACTURA]],INGRESOS!F:F,INGRESOS!A:A),"-")</f>
        <v>-</v>
      </c>
      <c r="N2186" s="2"/>
      <c r="O2186"/>
    </row>
    <row r="2187" spans="1:15" ht="14.75" customHeight="1">
      <c r="A2187" s="320" t="s">
        <v>595</v>
      </c>
      <c r="B2187" t="str">
        <f>+_xlfn.XLOOKUP(Tabla6[[#This Row],[ID CLIENTE]],'RESUMEN CLIENTES'!D:D,'RESUMEN CLIENTES'!A:A)</f>
        <v>Erick Leonardo Chiriboga Valdiviezo</v>
      </c>
      <c r="C2187" t="str">
        <f>+_xlfn.XLOOKUP(Tabla6[[#This Row],[ID CLIENTE]],'RESUMEN CLIENTES'!D:D,'RESUMEN CLIENTES'!C:C)</f>
        <v>Ecuador</v>
      </c>
      <c r="D2187" s="44" t="str">
        <f>+_xlfn.XLOOKUP(Tabla6[[#This Row],[ID CLIENTE]],'RESUMEN CLIENTES'!D:D,'RESUMEN CLIENTES'!M:M)</f>
        <v>OK</v>
      </c>
      <c r="E2187" s="72">
        <f>+_xlfn.XLOOKUP(Tabla6[[#This Row],[NOMBRE]],'RESUMEN CLIENTES'!A:A,'RESUMEN CLIENTES'!X:X)</f>
        <v>-0.33333333333333331</v>
      </c>
      <c r="F2187" s="72">
        <f>+_xlfn.XLOOKUP(Tabla6[[#This Row],[ID CLIENTE]],'RESUMEN CLIENTES'!D:D,'RESUMEN CLIENTES'!W:W)</f>
        <v>0</v>
      </c>
      <c r="G2187" s="17">
        <f>IF($H2187&lt;&gt;"ALEM","",IFERROR(
  DATE(
    YEAR(EDATE(
      _xlfn.XLOOKUP($A2187,'RESUMEN CLIENTES'!$D:$D,'RESUMEN CLIENTES'!$Y:$Y,""),
      7 + COUNTIFS(
            $A$2:INDEX($A:$A,ROW()), $A2187,
            $H$2:INDEX($H:$H,ROW()), "ALEM"
          )
    )),
    MONTH(EDATE(
      _xlfn.XLOOKUP($A2187,'RESUMEN CLIENTES'!$D:$D,'RESUMEN CLIENTES'!$Y:$Y,""),
      7 + COUNTIFS(
            $A$2:INDEX($A:$A,ROW()), $A2187,
            $H$2:INDEX($H:$H,ROW()), "ALEM"
          )
    )),
    1
  ),
"null"))</f>
        <v>46478</v>
      </c>
      <c r="H2187" s="44" t="s">
        <v>1876</v>
      </c>
      <c r="I2187" s="2">
        <v>1000</v>
      </c>
      <c r="J2187"/>
      <c r="K2187"/>
      <c r="L2187" s="44" t="str" cm="1">
        <f t="array" ref="L2187">+_xlfn.IFS(COUNTIF(INGRESOS!E:E,Tabla6[[#This Row],[ID FACTURA]])=1,"PAGADA",Tabla6[[#This Row],[ID FACTURA]]&lt;&gt;0,"EMITIDA",Tabla6[[#This Row],[ID FACTURA]]=0,"POR EMITIR")</f>
        <v>POR EMITIR</v>
      </c>
      <c r="M2187" s="55" t="str">
        <f>+IF(Tabla6[[#This Row],[ESTADO FACTURA]]="PAGADA",Tabla6[[#This Row],[FECHA]]-_xlfn.XLOOKUP(Tabla6[[#This Row],[N° FACTURA]],INGRESOS!F:F,INGRESOS!A:A),"-")</f>
        <v>-</v>
      </c>
      <c r="N2187" s="2"/>
      <c r="O2187"/>
    </row>
    <row r="2188" spans="1:15" ht="14.75" customHeight="1">
      <c r="A2188" s="320" t="s">
        <v>250</v>
      </c>
      <c r="B2188" t="str">
        <f>+_xlfn.XLOOKUP(Tabla6[[#This Row],[ID CLIENTE]],'RESUMEN CLIENTES'!D:D,'RESUMEN CLIENTES'!A:A)</f>
        <v>Fernanda Castro</v>
      </c>
      <c r="C2188" t="str">
        <f>+_xlfn.XLOOKUP(Tabla6[[#This Row],[ID CLIENTE]],'RESUMEN CLIENTES'!D:D,'RESUMEN CLIENTES'!C:C)</f>
        <v>Ecuador</v>
      </c>
      <c r="D2188" s="44" t="str">
        <f>+_xlfn.XLOOKUP(Tabla6[[#This Row],[ID CLIENTE]],'RESUMEN CLIENTES'!D:D,'RESUMEN CLIENTES'!M:M)</f>
        <v>OK</v>
      </c>
      <c r="E2188" s="72">
        <f>+_xlfn.XLOOKUP(Tabla6[[#This Row],[NOMBRE]],'RESUMEN CLIENTES'!A:A,'RESUMEN CLIENTES'!X:X)</f>
        <v>0</v>
      </c>
      <c r="F2188" s="72">
        <f>+_xlfn.XLOOKUP(Tabla6[[#This Row],[ID CLIENTE]],'RESUMEN CLIENTES'!D:D,'RESUMEN CLIENTES'!W:W)</f>
        <v>1</v>
      </c>
      <c r="G2188" s="17">
        <f>IF($H2188&lt;&gt;"ALEM","",IFERROR(
  DATE(
    YEAR(EDATE(
      _xlfn.XLOOKUP($A2188,'RESUMEN CLIENTES'!$D:$D,'RESUMEN CLIENTES'!$Y:$Y,""),
      7 + COUNTIFS(
            $A$2:INDEX($A:$A,ROW()), $A2188,
            $H$2:INDEX($H:$H,ROW()), "ALEM"
          )
    )),
    MONTH(EDATE(
      _xlfn.XLOOKUP($A2188,'RESUMEN CLIENTES'!$D:$D,'RESUMEN CLIENTES'!$Y:$Y,""),
      7 + COUNTIFS(
            $A$2:INDEX($A:$A,ROW()), $A2188,
            $H$2:INDEX($H:$H,ROW()), "ALEM"
          )
    )),
    1
  ),
"SIN FECHA MIG"))</f>
        <v>46478</v>
      </c>
      <c r="H2188" s="44" t="s">
        <v>1876</v>
      </c>
      <c r="I2188" s="2">
        <v>1000</v>
      </c>
      <c r="J2188"/>
      <c r="K2188"/>
      <c r="L2188" s="44" t="str" cm="1">
        <f t="array" ref="L2188">+_xlfn.IFS(COUNTIF(INGRESOS!E:E,Tabla6[[#This Row],[ID FACTURA]])=1,"PAGADA",Tabla6[[#This Row],[ID FACTURA]]&lt;&gt;0,"EMITIDA",Tabla6[[#This Row],[ID FACTURA]]=0,"POR EMITIR")</f>
        <v>POR EMITIR</v>
      </c>
      <c r="M2188" s="55" t="str">
        <f>+IF(Tabla6[[#This Row],[ESTADO FACTURA]]="PAGADA",Tabla6[[#This Row],[FECHA]]-_xlfn.XLOOKUP(Tabla6[[#This Row],[N° FACTURA]],INGRESOS!F:F,INGRESOS!A:A),"-")</f>
        <v>-</v>
      </c>
      <c r="N2188" s="2"/>
      <c r="O2188"/>
    </row>
    <row r="2189" spans="1:15" ht="14.75" customHeight="1">
      <c r="A2189" s="320" t="s">
        <v>1761</v>
      </c>
      <c r="B2189" t="str">
        <f>+_xlfn.XLOOKUP(Tabla6[[#This Row],[ID CLIENTE]],'RESUMEN CLIENTES'!D:D,'RESUMEN CLIENTES'!A:A)</f>
        <v>Francisco Salas Barrera</v>
      </c>
      <c r="C2189" t="str">
        <f>+_xlfn.XLOOKUP(Tabla6[[#This Row],[ID CLIENTE]],'RESUMEN CLIENTES'!D:D,'RESUMEN CLIENTES'!C:C)</f>
        <v>México</v>
      </c>
      <c r="D2189" s="169" t="str">
        <f>+_xlfn.XLOOKUP(Tabla6[[#This Row],[ID CLIENTE]],'RESUMEN CLIENTES'!D:D,'RESUMEN CLIENTES'!M:M)</f>
        <v>OK</v>
      </c>
      <c r="E2189" s="71">
        <f>+_xlfn.XLOOKUP(Tabla6[[#This Row],[NOMBRE]],'RESUMEN CLIENTES'!A:A,'RESUMEN CLIENTES'!X:X)</f>
        <v>-0.75</v>
      </c>
      <c r="F2189" s="71">
        <f>+_xlfn.XLOOKUP(Tabla6[[#This Row],[ID CLIENTE]],'RESUMEN CLIENTES'!D:D,'RESUMEN CLIENTES'!W:W)</f>
        <v>0</v>
      </c>
      <c r="G2189" s="17">
        <f>IF($H2189&lt;&gt;"ALEM","",IFERROR(
  DATE(
    YEAR(EDATE(
      _xlfn.XLOOKUP($A2189,'RESUMEN CLIENTES'!$D:$D,'RESUMEN CLIENTES'!$Y:$Y,""),
      7 + COUNTIFS(
            $A$2:INDEX($A:$A,ROW()), $A2189,
            $H$2:INDEX($H:$H,ROW()), "ALEM"
          )
    )),
    MONTH(EDATE(
      _xlfn.XLOOKUP($A2189,'RESUMEN CLIENTES'!$D:$D,'RESUMEN CLIENTES'!$Y:$Y,""),
      7 + COUNTIFS(
            $A$2:INDEX($A:$A,ROW()), $A2189,
            $H$2:INDEX($H:$H,ROW()), "ALEM"
          )
    )),
    1
  ),
"SIN FECHA MIG"))</f>
        <v>46478</v>
      </c>
      <c r="H2189" s="169" t="s">
        <v>1876</v>
      </c>
      <c r="I2189" s="2">
        <v>800</v>
      </c>
      <c r="J2189"/>
      <c r="K2189"/>
      <c r="L2189" s="44" t="str" cm="1">
        <f t="array" ref="L2189">+_xlfn.IFS(COUNTIF(INGRESOS!E:E,Tabla6[[#This Row],[ID FACTURA]])=1,"PAGADA",Tabla6[[#This Row],[ID FACTURA]]&lt;&gt;0,"EMITIDA",Tabla6[[#This Row],[ID FACTURA]]=0,"POR EMITIR")</f>
        <v>POR EMITIR</v>
      </c>
      <c r="M2189" s="55" t="str">
        <f>+IF(Tabla6[[#This Row],[ESTADO FACTURA]]="PAGADA",Tabla6[[#This Row],[FECHA]]-_xlfn.XLOOKUP(Tabla6[[#This Row],[N° FACTURA]],INGRESOS!F:F,INGRESOS!A:A),"-")</f>
        <v>-</v>
      </c>
      <c r="O2189"/>
    </row>
    <row r="2190" spans="1:15" ht="14.75" customHeight="1">
      <c r="A2190" s="320" t="s">
        <v>1645</v>
      </c>
      <c r="B2190" t="str">
        <f>+_xlfn.XLOOKUP(Tabla6[[#This Row],[ID CLIENTE]],'RESUMEN CLIENTES'!D:D,'RESUMEN CLIENTES'!A:A)</f>
        <v>Gerardo Abel Palacios Preciado</v>
      </c>
      <c r="C2190" t="str">
        <f>+_xlfn.XLOOKUP(Tabla6[[#This Row],[ID CLIENTE]],'RESUMEN CLIENTES'!D:D,'RESUMEN CLIENTES'!C:C)</f>
        <v>México</v>
      </c>
      <c r="D2190" s="169" t="str">
        <f>+_xlfn.XLOOKUP(Tabla6[[#This Row],[ID CLIENTE]],'RESUMEN CLIENTES'!D:D,'RESUMEN CLIENTES'!M:M)</f>
        <v>OK</v>
      </c>
      <c r="E2190" s="71">
        <f>+_xlfn.XLOOKUP(Tabla6[[#This Row],[NOMBRE]],'RESUMEN CLIENTES'!A:A,'RESUMEN CLIENTES'!X:X)</f>
        <v>-1.3333333333333333</v>
      </c>
      <c r="F2190" s="71">
        <f>+_xlfn.XLOOKUP(Tabla6[[#This Row],[ID CLIENTE]],'RESUMEN CLIENTES'!D:D,'RESUMEN CLIENTES'!W:W)</f>
        <v>1</v>
      </c>
      <c r="G2190" s="17">
        <f>IF($H2190&lt;&gt;"ALEM","",IFERROR(
  DATE(
    YEAR(EDATE(
      _xlfn.XLOOKUP($A2190,'RESUMEN CLIENTES'!$D:$D,'RESUMEN CLIENTES'!$Y:$Y,""),
      7 + COUNTIFS(
            $A$2:INDEX($A:$A,ROW()), $A2190,
            $H$2:INDEX($H:$H,ROW()), "ALEM"
          )
    )),
    MONTH(EDATE(
      _xlfn.XLOOKUP($A2190,'RESUMEN CLIENTES'!$D:$D,'RESUMEN CLIENTES'!$Y:$Y,""),
      7 + COUNTIFS(
            $A$2:INDEX($A:$A,ROW()), $A2190,
            $H$2:INDEX($H:$H,ROW()), "ALEM"
          )
    )),
    1
  ),
"SIN FECHA MIG"))</f>
        <v>46478</v>
      </c>
      <c r="H2190" s="169" t="s">
        <v>1876</v>
      </c>
      <c r="I2190" s="2">
        <v>8000</v>
      </c>
      <c r="J2190"/>
      <c r="K2190"/>
      <c r="L2190" s="44" t="str" cm="1">
        <f t="array" ref="L2190">+_xlfn.IFS(COUNTIF(INGRESOS!E:E,Tabla6[[#This Row],[ID FACTURA]])=1,"PAGADA",Tabla6[[#This Row],[ID FACTURA]]&lt;&gt;0,"EMITIDA",Tabla6[[#This Row],[ID FACTURA]]=0,"POR EMITIR")</f>
        <v>POR EMITIR</v>
      </c>
      <c r="M2190" s="55" t="str">
        <f>+IF(Tabla6[[#This Row],[ESTADO FACTURA]]="PAGADA",Tabla6[[#This Row],[FECHA]]-_xlfn.XLOOKUP(Tabla6[[#This Row],[N° FACTURA]],INGRESOS!F:F,INGRESOS!A:A),"-")</f>
        <v>-</v>
      </c>
      <c r="N2190" s="2"/>
      <c r="O2190" t="s">
        <v>2089</v>
      </c>
    </row>
    <row r="2191" spans="1:15" ht="14.75" customHeight="1">
      <c r="A2191" s="320" t="s">
        <v>700</v>
      </c>
      <c r="B2191" t="str">
        <f>+_xlfn.XLOOKUP(Tabla6[[#This Row],[ID CLIENTE]],'RESUMEN CLIENTES'!D:D,'RESUMEN CLIENTES'!A:A)</f>
        <v>Ignacio Manuel Jesus Orellana Gutiérrez</v>
      </c>
      <c r="C2191" t="str">
        <f>+_xlfn.XLOOKUP(Tabla6[[#This Row],[ID CLIENTE]],'RESUMEN CLIENTES'!D:D,'RESUMEN CLIENTES'!C:C)</f>
        <v>Chile</v>
      </c>
      <c r="D2191" s="44" t="str">
        <f>+_xlfn.XLOOKUP(Tabla6[[#This Row],[ID CLIENTE]],'RESUMEN CLIENTES'!D:D,'RESUMEN CLIENTES'!M:M)</f>
        <v>OK</v>
      </c>
      <c r="E2191" s="72">
        <f>+_xlfn.XLOOKUP(Tabla6[[#This Row],[NOMBRE]],'RESUMEN CLIENTES'!A:A,'RESUMEN CLIENTES'!X:X)</f>
        <v>2.4</v>
      </c>
      <c r="F2191" s="72">
        <f>+_xlfn.XLOOKUP(Tabla6[[#This Row],[ID CLIENTE]],'RESUMEN CLIENTES'!D:D,'RESUMEN CLIENTES'!W:W)</f>
        <v>0</v>
      </c>
      <c r="G2191" s="17">
        <f>IF($H2191&lt;&gt;"ALEM","",IFERROR(
  DATE(
    YEAR(EDATE(
      _xlfn.XLOOKUP($A2191,'RESUMEN CLIENTES'!$D:$D,'RESUMEN CLIENTES'!$Y:$Y,""),
      7 + COUNTIFS(
            $A$2:INDEX($A:$A,ROW()), $A2191,
            $H$2:INDEX($H:$H,ROW()), "ALEM"
          )
    )),
    MONTH(EDATE(
      _xlfn.XLOOKUP($A2191,'RESUMEN CLIENTES'!$D:$D,'RESUMEN CLIENTES'!$Y:$Y,""),
      7 + COUNTIFS(
            $A$2:INDEX($A:$A,ROW()), $A2191,
            $H$2:INDEX($H:$H,ROW()), "ALEM"
          )
    )),
    1
  ),
"SIN FECHA MIG"))</f>
        <v>46478</v>
      </c>
      <c r="H2191" s="44" t="s">
        <v>1876</v>
      </c>
      <c r="I2191" s="2">
        <v>1000</v>
      </c>
      <c r="J2191"/>
      <c r="K2191"/>
      <c r="L2191" s="44" t="str" cm="1">
        <f t="array" ref="L2191">+_xlfn.IFS(COUNTIF(INGRESOS!E:E,Tabla6[[#This Row],[ID FACTURA]])=1,"PAGADA",Tabla6[[#This Row],[ID FACTURA]]&lt;&gt;0,"EMITIDA",Tabla6[[#This Row],[ID FACTURA]]=0,"POR EMITIR")</f>
        <v>POR EMITIR</v>
      </c>
      <c r="M2191" s="55" t="str">
        <f>+IF(Tabla6[[#This Row],[ESTADO FACTURA]]="PAGADA",Tabla6[[#This Row],[FECHA]]-_xlfn.XLOOKUP(Tabla6[[#This Row],[N° FACTURA]],INGRESOS!F:F,INGRESOS!A:A),"-")</f>
        <v>-</v>
      </c>
      <c r="N2191" s="2"/>
      <c r="O2191"/>
    </row>
    <row r="2192" spans="1:15" ht="14.75" customHeight="1">
      <c r="A2192" s="320" t="s">
        <v>1428</v>
      </c>
      <c r="B2192" t="str">
        <f>+_xlfn.XLOOKUP(Tabla6[[#This Row],[ID CLIENTE]],'RESUMEN CLIENTES'!D:D,'RESUMEN CLIENTES'!A:A)</f>
        <v>Javier Bravo Castelo</v>
      </c>
      <c r="C2192" t="str">
        <f>+_xlfn.XLOOKUP(Tabla6[[#This Row],[ID CLIENTE]],'RESUMEN CLIENTES'!D:D,'RESUMEN CLIENTES'!C:C)</f>
        <v>Colombia</v>
      </c>
      <c r="D2192" s="44" t="str">
        <f>+_xlfn.XLOOKUP(Tabla6[[#This Row],[ID CLIENTE]],'RESUMEN CLIENTES'!D:D,'RESUMEN CLIENTES'!M:M)</f>
        <v>OK</v>
      </c>
      <c r="E2192" s="71">
        <f>+_xlfn.XLOOKUP(Tabla6[[#This Row],[NOMBRE]],'RESUMEN CLIENTES'!A:A,'RESUMEN CLIENTES'!X:X)</f>
        <v>-0.33333333333333331</v>
      </c>
      <c r="F2192" s="71">
        <f>+_xlfn.XLOOKUP(Tabla6[[#This Row],[ID CLIENTE]],'RESUMEN CLIENTES'!D:D,'RESUMEN CLIENTES'!W:W)</f>
        <v>0</v>
      </c>
      <c r="G2192" s="17">
        <f>IF($H2192&lt;&gt;"ALEM","",IFERROR(
  DATE(
    YEAR(EDATE(
      _xlfn.XLOOKUP($A2192,'RESUMEN CLIENTES'!$D:$D,'RESUMEN CLIENTES'!$Y:$Y,""),
      7 + COUNTIFS(
            $A$2:INDEX($A:$A,ROW()), $A2192,
            $H$2:INDEX($H:$H,ROW()), "ALEM"
          )
    )),
    MONTH(EDATE(
      _xlfn.XLOOKUP($A2192,'RESUMEN CLIENTES'!$D:$D,'RESUMEN CLIENTES'!$Y:$Y,""),
      7 + COUNTIFS(
            $A$2:INDEX($A:$A,ROW()), $A2192,
            $H$2:INDEX($H:$H,ROW()), "ALEM"
          )
    )),
    1
  ),
"SIN FECHA MIG"))</f>
        <v>46478</v>
      </c>
      <c r="H2192" s="169" t="s">
        <v>1876</v>
      </c>
      <c r="I2192" s="2">
        <v>800</v>
      </c>
      <c r="J2192"/>
      <c r="K2192"/>
      <c r="L2192" s="44" t="str" cm="1">
        <f t="array" ref="L2192">+_xlfn.IFS(COUNTIF(INGRESOS!E:E,Tabla6[[#This Row],[ID FACTURA]])=1,"PAGADA",Tabla6[[#This Row],[ID FACTURA]]&lt;&gt;0,"EMITIDA",Tabla6[[#This Row],[ID FACTURA]]=0,"POR EMITIR")</f>
        <v>POR EMITIR</v>
      </c>
      <c r="M2192" s="55" t="str">
        <f>+IF(Tabla6[[#This Row],[ESTADO FACTURA]]="PAGADA",Tabla6[[#This Row],[FECHA]]-_xlfn.XLOOKUP(Tabla6[[#This Row],[N° FACTURA]],INGRESOS!F:F,INGRESOS!A:A),"-")</f>
        <v>-</v>
      </c>
      <c r="N2192" s="2"/>
      <c r="O2192" t="s">
        <v>2084</v>
      </c>
    </row>
    <row r="2193" spans="1:15" ht="14.75" customHeight="1">
      <c r="A2193" s="320" t="s">
        <v>362</v>
      </c>
      <c r="B2193" t="str">
        <f>+_xlfn.XLOOKUP(Tabla6[[#This Row],[ID CLIENTE]],'RESUMEN CLIENTES'!D:D,'RESUMEN CLIENTES'!A:A)</f>
        <v>Jessica Ayelén Culla Alvarez</v>
      </c>
      <c r="C2193" t="str">
        <f>+_xlfn.XLOOKUP(Tabla6[[#This Row],[ID CLIENTE]],'RESUMEN CLIENTES'!D:D,'RESUMEN CLIENTES'!C:C)</f>
        <v>Argentina</v>
      </c>
      <c r="D2193" s="44" t="str">
        <f>+_xlfn.XLOOKUP(Tabla6[[#This Row],[ID CLIENTE]],'RESUMEN CLIENTES'!D:D,'RESUMEN CLIENTES'!M:M)</f>
        <v>OK</v>
      </c>
      <c r="E2193" s="72">
        <f>+_xlfn.XLOOKUP(Tabla6[[#This Row],[NOMBRE]],'RESUMEN CLIENTES'!A:A,'RESUMEN CLIENTES'!X:X)</f>
        <v>-2.1538461538461537</v>
      </c>
      <c r="F2193" s="72">
        <f>+_xlfn.XLOOKUP(Tabla6[[#This Row],[ID CLIENTE]],'RESUMEN CLIENTES'!D:D,'RESUMEN CLIENTES'!W:W)</f>
        <v>1</v>
      </c>
      <c r="G2193" s="17">
        <f>IF($H2193&lt;&gt;"ALEM","",IFERROR(
  DATE(
    YEAR(EDATE(
      _xlfn.XLOOKUP($A2193,'RESUMEN CLIENTES'!$D:$D,'RESUMEN CLIENTES'!$Y:$Y,""),
      7 + COUNTIFS(
            $A$2:INDEX($A:$A,ROW()), $A2193,
            $H$2:INDEX($H:$H,ROW()), "ALEM"
          )
    )),
    MONTH(EDATE(
      _xlfn.XLOOKUP($A2193,'RESUMEN CLIENTES'!$D:$D,'RESUMEN CLIENTES'!$Y:$Y,""),
      7 + COUNTIFS(
            $A$2:INDEX($A:$A,ROW()), $A2193,
            $H$2:INDEX($H:$H,ROW()), "ALEM"
          )
    )),
    1
  ),
"SIN FECHA MIG"))</f>
        <v>46478</v>
      </c>
      <c r="H2193" s="44" t="s">
        <v>1876</v>
      </c>
      <c r="I2193" s="2">
        <v>1000</v>
      </c>
      <c r="J2193"/>
      <c r="K2193"/>
      <c r="L2193" s="44" t="str" cm="1">
        <f t="array" ref="L2193">+_xlfn.IFS(COUNTIF(INGRESOS!E:E,Tabla6[[#This Row],[ID FACTURA]])=1,"PAGADA",Tabla6[[#This Row],[ID FACTURA]]&lt;&gt;0,"EMITIDA",Tabla6[[#This Row],[ID FACTURA]]=0,"POR EMITIR")</f>
        <v>POR EMITIR</v>
      </c>
      <c r="M2193" s="55" t="str">
        <f>+IF(Tabla6[[#This Row],[ESTADO FACTURA]]="PAGADA",Tabla6[[#This Row],[FECHA]]-_xlfn.XLOOKUP(Tabla6[[#This Row],[N° FACTURA]],INGRESOS!F:F,INGRESOS!A:A),"-")</f>
        <v>-</v>
      </c>
      <c r="N2193" s="2"/>
      <c r="O2193"/>
    </row>
    <row r="2194" spans="1:15" ht="14.75" customHeight="1">
      <c r="A2194" s="321" t="s">
        <v>1899</v>
      </c>
      <c r="B2194" t="str">
        <f>+_xlfn.XLOOKUP(Tabla6[[#This Row],[ID CLIENTE]],'RESUMEN CLIENTES'!D:D,'RESUMEN CLIENTES'!A:A)</f>
        <v>Johan Martínez</v>
      </c>
      <c r="C2194" t="str">
        <f>+_xlfn.XLOOKUP(Tabla6[[#This Row],[ID CLIENTE]],'RESUMEN CLIENTES'!D:D,'RESUMEN CLIENTES'!C:C)</f>
        <v>Colombia</v>
      </c>
      <c r="D2194" s="169" t="str">
        <f>+_xlfn.XLOOKUP(Tabla6[[#This Row],[ID CLIENTE]],'RESUMEN CLIENTES'!D:D,'RESUMEN CLIENTES'!M:M)</f>
        <v>OK</v>
      </c>
      <c r="E2194" s="71">
        <f>+_xlfn.XLOOKUP(Tabla6[[#This Row],[NOMBRE]],'RESUMEN CLIENTES'!A:A,'RESUMEN CLIENTES'!X:X)</f>
        <v>-0.66666666666666663</v>
      </c>
      <c r="F2194" s="71">
        <f>+_xlfn.XLOOKUP(Tabla6[[#This Row],[ID CLIENTE]],'RESUMEN CLIENTES'!D:D,'RESUMEN CLIENTES'!W:W)</f>
        <v>0</v>
      </c>
      <c r="G2194" s="17">
        <v>46478</v>
      </c>
      <c r="H2194" s="169" t="s">
        <v>81</v>
      </c>
      <c r="I2194" s="2">
        <v>1000</v>
      </c>
      <c r="J2194"/>
      <c r="K2194"/>
      <c r="L2194" s="44" t="str" cm="1">
        <f t="array" ref="L2194">+_xlfn.IFS(COUNTIF(INGRESOS!E:E,Tabla6[[#This Row],[ID FACTURA]])=1,"PAGADA",Tabla6[[#This Row],[ID FACTURA]]&lt;&gt;0,"EMITIDA",Tabla6[[#This Row],[ID FACTURA]]=0,"POR EMITIR")</f>
        <v>POR EMITIR</v>
      </c>
      <c r="M2194" s="54" t="str">
        <f>+IF(Tabla6[[#This Row],[ESTADO FACTURA]]="PAGADA",Tabla6[[#This Row],[FECHA]]-_xlfn.XLOOKUP(Tabla6[[#This Row],[N° FACTURA]],INGRESOS!F:F,INGRESOS!A:A),"-")</f>
        <v>-</v>
      </c>
      <c r="O2194"/>
    </row>
    <row r="2195" spans="1:15" ht="14.75" customHeight="1">
      <c r="A2195" s="320" t="s">
        <v>142</v>
      </c>
      <c r="B2195" t="str">
        <f>+_xlfn.XLOOKUP(Tabla6[[#This Row],[ID CLIENTE]],'RESUMEN CLIENTES'!D:D,'RESUMEN CLIENTES'!A:A)</f>
        <v>Jordan Eliecer Toledo Bravo</v>
      </c>
      <c r="C2195" t="str">
        <f>+_xlfn.XLOOKUP(Tabla6[[#This Row],[ID CLIENTE]],'RESUMEN CLIENTES'!D:D,'RESUMEN CLIENTES'!C:C)</f>
        <v>Chile</v>
      </c>
      <c r="D2195" s="169" t="str">
        <f>+_xlfn.XLOOKUP(Tabla6[[#This Row],[ID CLIENTE]],'RESUMEN CLIENTES'!D:D,'RESUMEN CLIENTES'!M:M)</f>
        <v>OK</v>
      </c>
      <c r="E2195" s="71">
        <f>+_xlfn.XLOOKUP(Tabla6[[#This Row],[NOMBRE]],'RESUMEN CLIENTES'!A:A,'RESUMEN CLIENTES'!X:X)</f>
        <v>-1.6153846153846154</v>
      </c>
      <c r="F2195" s="71">
        <f>+_xlfn.XLOOKUP(Tabla6[[#This Row],[ID CLIENTE]],'RESUMEN CLIENTES'!D:D,'RESUMEN CLIENTES'!W:W)</f>
        <v>0</v>
      </c>
      <c r="G2195" s="17">
        <f>IF($H2195&lt;&gt;"ALEM","",IFERROR(
  DATE(
    YEAR(EDATE(
      _xlfn.XLOOKUP($A2195,'RESUMEN CLIENTES'!$D:$D,'RESUMEN CLIENTES'!$Y:$Y,""),
      7 + COUNTIFS(
            $A$2:INDEX($A:$A,ROW()), $A2195,
            $H$2:INDEX($H:$H,ROW()), "ALEM"
          )
    )),
    MONTH(EDATE(
      _xlfn.XLOOKUP($A2195,'RESUMEN CLIENTES'!$D:$D,'RESUMEN CLIENTES'!$Y:$Y,""),
      7 + COUNTIFS(
            $A$2:INDEX($A:$A,ROW()), $A2195,
            $H$2:INDEX($H:$H,ROW()), "ALEM"
          )
    )),
    1
  ),
"null"))</f>
        <v>46478</v>
      </c>
      <c r="H2195" s="169" t="s">
        <v>1876</v>
      </c>
      <c r="I2195" s="2">
        <v>1000</v>
      </c>
      <c r="J2195"/>
      <c r="K2195"/>
      <c r="L2195" s="44" t="str" cm="1">
        <f t="array" ref="L2195">+_xlfn.IFS(COUNTIF(INGRESOS!E:E,Tabla6[[#This Row],[ID FACTURA]])=1,"PAGADA",Tabla6[[#This Row],[ID FACTURA]]&lt;&gt;0,"EMITIDA",Tabla6[[#This Row],[ID FACTURA]]=0,"POR EMITIR")</f>
        <v>POR EMITIR</v>
      </c>
      <c r="M2195" s="54" t="str">
        <f>+IF(Tabla6[[#This Row],[ESTADO FACTURA]]="PAGADA",Tabla6[[#This Row],[FECHA]]-_xlfn.XLOOKUP(Tabla6[[#This Row],[N° FACTURA]],INGRESOS!F:F,INGRESOS!A:A),"-")</f>
        <v>-</v>
      </c>
      <c r="O2195"/>
    </row>
    <row r="2196" spans="1:15" ht="14.75" customHeight="1">
      <c r="A2196" s="320" t="s">
        <v>333</v>
      </c>
      <c r="B2196" t="str">
        <f>+_xlfn.XLOOKUP(Tabla6[[#This Row],[ID CLIENTE]],'RESUMEN CLIENTES'!D:D,'RESUMEN CLIENTES'!A:A)</f>
        <v>Jorge Augusto Cámbara Vargas</v>
      </c>
      <c r="C2196" t="str">
        <f>+_xlfn.XLOOKUP(Tabla6[[#This Row],[ID CLIENTE]],'RESUMEN CLIENTES'!D:D,'RESUMEN CLIENTES'!C:C)</f>
        <v>Guatemala</v>
      </c>
      <c r="D2196" s="44" t="str">
        <f>+_xlfn.XLOOKUP(Tabla6[[#This Row],[ID CLIENTE]],'RESUMEN CLIENTES'!D:D,'RESUMEN CLIENTES'!M:M)</f>
        <v>OK</v>
      </c>
      <c r="E2196" s="72">
        <f>+_xlfn.XLOOKUP(Tabla6[[#This Row],[NOMBRE]],'RESUMEN CLIENTES'!A:A,'RESUMEN CLIENTES'!X:X)</f>
        <v>0.1157407407331953</v>
      </c>
      <c r="F2196" s="72">
        <f>+_xlfn.XLOOKUP(Tabla6[[#This Row],[ID CLIENTE]],'RESUMEN CLIENTES'!D:D,'RESUMEN CLIENTES'!W:W)</f>
        <v>1</v>
      </c>
      <c r="G2196" s="17">
        <f>IF($H2196&lt;&gt;"ALEM","",IFERROR(
  DATE(
    YEAR(EDATE(
      _xlfn.XLOOKUP($A2196,'RESUMEN CLIENTES'!$D:$D,'RESUMEN CLIENTES'!$Y:$Y,""),
      7 + COUNTIFS(
            $A$2:INDEX($A:$A,ROW()), $A2196,
            $H$2:INDEX($H:$H,ROW()), "ALEM"
          )
    )),
    MONTH(EDATE(
      _xlfn.XLOOKUP($A2196,'RESUMEN CLIENTES'!$D:$D,'RESUMEN CLIENTES'!$Y:$Y,""),
      7 + COUNTIFS(
            $A$2:INDEX($A:$A,ROW()), $A2196,
            $H$2:INDEX($H:$H,ROW()), "ALEM"
          )
    )),
    1
  ),
"SIN FECHA MIG"))</f>
        <v>46478</v>
      </c>
      <c r="H2196" s="44" t="s">
        <v>1876</v>
      </c>
      <c r="I2196" s="2">
        <v>1000</v>
      </c>
      <c r="J2196"/>
      <c r="K2196"/>
      <c r="L2196" s="44" t="str" cm="1">
        <f t="array" ref="L2196">+_xlfn.IFS(COUNTIF(INGRESOS!E:E,Tabla6[[#This Row],[ID FACTURA]])=1,"PAGADA",Tabla6[[#This Row],[ID FACTURA]]&lt;&gt;0,"EMITIDA",Tabla6[[#This Row],[ID FACTURA]]=0,"POR EMITIR")</f>
        <v>POR EMITIR</v>
      </c>
      <c r="M2196" s="55" t="str">
        <f>+IF(Tabla6[[#This Row],[ESTADO FACTURA]]="PAGADA",Tabla6[[#This Row],[FECHA]]-_xlfn.XLOOKUP(Tabla6[[#This Row],[N° FACTURA]],INGRESOS!F:F,INGRESOS!A:A),"-")</f>
        <v>-</v>
      </c>
      <c r="N2196" s="2"/>
      <c r="O2196"/>
    </row>
    <row r="2197" spans="1:15" ht="14.75" customHeight="1">
      <c r="A2197" s="320" t="s">
        <v>87</v>
      </c>
      <c r="B2197" t="str">
        <f>+_xlfn.XLOOKUP(Tabla6[[#This Row],[ID CLIENTE]],'RESUMEN CLIENTES'!D:D,'RESUMEN CLIENTES'!A:A)</f>
        <v>Jose Marcelo Marroquín Guzmán</v>
      </c>
      <c r="C2197" t="str">
        <f>+_xlfn.XLOOKUP(Tabla6[[#This Row],[ID CLIENTE]],'RESUMEN CLIENTES'!D:D,'RESUMEN CLIENTES'!C:C)</f>
        <v>El Salvador</v>
      </c>
      <c r="D2197" s="44" t="str">
        <f>+_xlfn.XLOOKUP(Tabla6[[#This Row],[ID CLIENTE]],'RESUMEN CLIENTES'!D:D,'RESUMEN CLIENTES'!M:M)</f>
        <v>OK</v>
      </c>
      <c r="E2197" s="72">
        <f>+_xlfn.XLOOKUP(Tabla6[[#This Row],[NOMBRE]],'RESUMEN CLIENTES'!A:A,'RESUMEN CLIENTES'!X:X)</f>
        <v>-1.5833333333333333</v>
      </c>
      <c r="F2197" s="72">
        <f>+_xlfn.XLOOKUP(Tabla6[[#This Row],[ID CLIENTE]],'RESUMEN CLIENTES'!D:D,'RESUMEN CLIENTES'!W:W)</f>
        <v>1</v>
      </c>
      <c r="G2197" s="17">
        <f>IF($H2197&lt;&gt;"ALEM","",IFERROR(
  DATE(
    YEAR(EDATE(
      _xlfn.XLOOKUP($A2197,'RESUMEN CLIENTES'!$D:$D,'RESUMEN CLIENTES'!$Y:$Y,""),
      7 + COUNTIFS(
            $A$2:INDEX($A:$A,ROW()), $A2197,
            $H$2:INDEX($H:$H,ROW()), "ALEM"
          )
    )),
    MONTH(EDATE(
      _xlfn.XLOOKUP($A2197,'RESUMEN CLIENTES'!$D:$D,'RESUMEN CLIENTES'!$Y:$Y,""),
      7 + COUNTIFS(
            $A$2:INDEX($A:$A,ROW()), $A2197,
            $H$2:INDEX($H:$H,ROW()), "ALEM"
          )
    )),
    1
  ),
"SIN FECHA MIG"))</f>
        <v>46478</v>
      </c>
      <c r="H2197" s="44" t="s">
        <v>1876</v>
      </c>
      <c r="I2197" s="2">
        <v>1000</v>
      </c>
      <c r="J2197"/>
      <c r="K2197"/>
      <c r="L2197" s="44" t="str" cm="1">
        <f t="array" ref="L2197">+_xlfn.IFS(COUNTIF(INGRESOS!E:E,Tabla6[[#This Row],[ID FACTURA]])=1,"PAGADA",Tabla6[[#This Row],[ID FACTURA]]&lt;&gt;0,"EMITIDA",Tabla6[[#This Row],[ID FACTURA]]=0,"POR EMITIR")</f>
        <v>POR EMITIR</v>
      </c>
      <c r="M2197" s="55" t="str">
        <f>+IF(Tabla6[[#This Row],[ESTADO FACTURA]]="PAGADA",Tabla6[[#This Row],[FECHA]]-_xlfn.XLOOKUP(Tabla6[[#This Row],[N° FACTURA]],INGRESOS!F:F,INGRESOS!A:A),"-")</f>
        <v>-</v>
      </c>
      <c r="N2197" s="2"/>
      <c r="O2197" t="s">
        <v>2086</v>
      </c>
    </row>
    <row r="2198" spans="1:15" ht="14.75" customHeight="1">
      <c r="A2198" s="320" t="s">
        <v>711</v>
      </c>
      <c r="B2198" t="str">
        <f>+_xlfn.XLOOKUP(Tabla6[[#This Row],[ID CLIENTE]],'RESUMEN CLIENTES'!D:D,'RESUMEN CLIENTES'!A:A)</f>
        <v>Julian David Gutierrez Rodriguez</v>
      </c>
      <c r="C2198" t="str">
        <f>+_xlfn.XLOOKUP(Tabla6[[#This Row],[ID CLIENTE]],'RESUMEN CLIENTES'!D:D,'RESUMEN CLIENTES'!C:C)</f>
        <v>Colombia</v>
      </c>
      <c r="D2198" s="44" t="str">
        <f>+_xlfn.XLOOKUP(Tabla6[[#This Row],[ID CLIENTE]],'RESUMEN CLIENTES'!D:D,'RESUMEN CLIENTES'!M:M)</f>
        <v>OK</v>
      </c>
      <c r="E2198" s="72">
        <f>+_xlfn.XLOOKUP(Tabla6[[#This Row],[NOMBRE]],'RESUMEN CLIENTES'!A:A,'RESUMEN CLIENTES'!X:X)</f>
        <v>0.7142857142857143</v>
      </c>
      <c r="F2198" s="72">
        <f>+_xlfn.XLOOKUP(Tabla6[[#This Row],[ID CLIENTE]],'RESUMEN CLIENTES'!D:D,'RESUMEN CLIENTES'!W:W)</f>
        <v>1</v>
      </c>
      <c r="G2198" s="17">
        <f>IF($H2198&lt;&gt;"ALEM","",IFERROR(
  DATE(
    YEAR(EDATE(
      _xlfn.XLOOKUP($A2198,'RESUMEN CLIENTES'!$D:$D,'RESUMEN CLIENTES'!$Y:$Y,""),
      7 + COUNTIFS(
            $A$2:INDEX($A:$A,ROW()), $A2198,
            $H$2:INDEX($H:$H,ROW()), "ALEM"
          )
    )),
    MONTH(EDATE(
      _xlfn.XLOOKUP($A2198,'RESUMEN CLIENTES'!$D:$D,'RESUMEN CLIENTES'!$Y:$Y,""),
      7 + COUNTIFS(
            $A$2:INDEX($A:$A,ROW()), $A2198,
            $H$2:INDEX($H:$H,ROW()), "ALEM"
          )
    )),
    1
  ),
"SIN FECHA MIG"))</f>
        <v>46478</v>
      </c>
      <c r="H2198" s="44" t="s">
        <v>1876</v>
      </c>
      <c r="I2198" s="2">
        <v>1000</v>
      </c>
      <c r="J2198"/>
      <c r="K2198"/>
      <c r="L2198" s="44" t="str" cm="1">
        <f t="array" ref="L2198">+_xlfn.IFS(COUNTIF(INGRESOS!E:E,Tabla6[[#This Row],[ID FACTURA]])=1,"PAGADA",Tabla6[[#This Row],[ID FACTURA]]&lt;&gt;0,"EMITIDA",Tabla6[[#This Row],[ID FACTURA]]=0,"POR EMITIR")</f>
        <v>POR EMITIR</v>
      </c>
      <c r="M2198" s="55" t="str">
        <f>+IF(Tabla6[[#This Row],[ESTADO FACTURA]]="PAGADA",Tabla6[[#This Row],[FECHA]]-_xlfn.XLOOKUP(Tabla6[[#This Row],[N° FACTURA]],INGRESOS!F:F,INGRESOS!A:A),"-")</f>
        <v>-</v>
      </c>
      <c r="N2198" s="2"/>
      <c r="O2198" t="s">
        <v>2084</v>
      </c>
    </row>
    <row r="2199" spans="1:15" ht="14.75" customHeight="1">
      <c r="A2199" s="320" t="s">
        <v>468</v>
      </c>
      <c r="B2199" t="str">
        <f>+_xlfn.XLOOKUP(Tabla6[[#This Row],[ID CLIENTE]],'RESUMEN CLIENTES'!D:D,'RESUMEN CLIENTES'!A:A)</f>
        <v>Julian Medina</v>
      </c>
      <c r="C2199" t="str">
        <f>+_xlfn.XLOOKUP(Tabla6[[#This Row],[ID CLIENTE]],'RESUMEN CLIENTES'!D:D,'RESUMEN CLIENTES'!C:C)</f>
        <v>Ecuador</v>
      </c>
      <c r="D2199" s="44" t="str">
        <f>+_xlfn.XLOOKUP(Tabla6[[#This Row],[ID CLIENTE]],'RESUMEN CLIENTES'!D:D,'RESUMEN CLIENTES'!M:M)</f>
        <v>OK</v>
      </c>
      <c r="E2199" s="72">
        <f>+_xlfn.XLOOKUP(Tabla6[[#This Row],[NOMBRE]],'RESUMEN CLIENTES'!A:A,'RESUMEN CLIENTES'!X:X)</f>
        <v>-0.5</v>
      </c>
      <c r="F2199" s="72">
        <f>+_xlfn.XLOOKUP(Tabla6[[#This Row],[ID CLIENTE]],'RESUMEN CLIENTES'!D:D,'RESUMEN CLIENTES'!W:W)</f>
        <v>0</v>
      </c>
      <c r="G2199" s="17">
        <f>IF($H2199&lt;&gt;"ALEM","",IFERROR(
  DATE(
    YEAR(EDATE(
      _xlfn.XLOOKUP($A2199,'RESUMEN CLIENTES'!$D:$D,'RESUMEN CLIENTES'!$Y:$Y,""),
      7 + COUNTIFS(
            $A$2:INDEX($A:$A,ROW()), $A2199,
            $H$2:INDEX($H:$H,ROW()), "ALEM"
          )
    )),
    MONTH(EDATE(
      _xlfn.XLOOKUP($A2199,'RESUMEN CLIENTES'!$D:$D,'RESUMEN CLIENTES'!$Y:$Y,""),
      7 + COUNTIFS(
            $A$2:INDEX($A:$A,ROW()), $A2199,
            $H$2:INDEX($H:$H,ROW()), "ALEM"
          )
    )),
    1
  ),
"SIN FECHA MIG"))</f>
        <v>46478</v>
      </c>
      <c r="H2199" s="44" t="s">
        <v>1876</v>
      </c>
      <c r="I2199" s="2">
        <v>500</v>
      </c>
      <c r="J2199"/>
      <c r="K2199"/>
      <c r="L2199" s="44" t="str" cm="1">
        <f t="array" ref="L2199">+_xlfn.IFS(COUNTIF(INGRESOS!E:E,Tabla6[[#This Row],[ID FACTURA]])=1,"PAGADA",Tabla6[[#This Row],[ID FACTURA]]&lt;&gt;0,"EMITIDA",Tabla6[[#This Row],[ID FACTURA]]=0,"POR EMITIR")</f>
        <v>POR EMITIR</v>
      </c>
      <c r="M2199" s="55" t="str">
        <f>+IF(Tabla6[[#This Row],[ESTADO FACTURA]]="PAGADA",Tabla6[[#This Row],[FECHA]]-_xlfn.XLOOKUP(Tabla6[[#This Row],[N° FACTURA]],INGRESOS!F:F,INGRESOS!A:A),"-")</f>
        <v>-</v>
      </c>
      <c r="N2199" s="2"/>
      <c r="O2199"/>
    </row>
    <row r="2200" spans="1:15" ht="14.75" customHeight="1">
      <c r="A2200" s="320" t="s">
        <v>372</v>
      </c>
      <c r="B2200" t="str">
        <f>+_xlfn.XLOOKUP(Tabla6[[#This Row],[ID CLIENTE]],'RESUMEN CLIENTES'!D:D,'RESUMEN CLIENTES'!A:A)</f>
        <v>Julio Nelson Adaros Moraga</v>
      </c>
      <c r="C2200" t="str">
        <f>+_xlfn.XLOOKUP(Tabla6[[#This Row],[ID CLIENTE]],'RESUMEN CLIENTES'!D:D,'RESUMEN CLIENTES'!C:C)</f>
        <v>Chile</v>
      </c>
      <c r="D2200" s="44" t="str">
        <f>+_xlfn.XLOOKUP(Tabla6[[#This Row],[ID CLIENTE]],'RESUMEN CLIENTES'!D:D,'RESUMEN CLIENTES'!M:M)</f>
        <v>OK</v>
      </c>
      <c r="E2200" s="72">
        <f>+_xlfn.XLOOKUP(Tabla6[[#This Row],[NOMBRE]],'RESUMEN CLIENTES'!A:A,'RESUMEN CLIENTES'!X:X)</f>
        <v>1</v>
      </c>
      <c r="F2200" s="72">
        <f>+_xlfn.XLOOKUP(Tabla6[[#This Row],[ID CLIENTE]],'RESUMEN CLIENTES'!D:D,'RESUMEN CLIENTES'!W:W)</f>
        <v>1</v>
      </c>
      <c r="G2200" s="17">
        <f>IF($H2200&lt;&gt;"ALEM","",IFERROR(
  DATE(
    YEAR(EDATE(
      _xlfn.XLOOKUP($A2200,'RESUMEN CLIENTES'!$D:$D,'RESUMEN CLIENTES'!$Y:$Y,""),
      7 + COUNTIFS(
            $A$2:INDEX($A:$A,ROW()), $A2200,
            $H$2:INDEX($H:$H,ROW()), "ALEM"
          )
    )),
    MONTH(EDATE(
      _xlfn.XLOOKUP($A2200,'RESUMEN CLIENTES'!$D:$D,'RESUMEN CLIENTES'!$Y:$Y,""),
      7 + COUNTIFS(
            $A$2:INDEX($A:$A,ROW()), $A2200,
            $H$2:INDEX($H:$H,ROW()), "ALEM"
          )
    )),
    1
  ),
"SIN FECHA MIG"))</f>
        <v>46478</v>
      </c>
      <c r="H2200" s="44" t="s">
        <v>1876</v>
      </c>
      <c r="I2200" s="2">
        <v>1000</v>
      </c>
      <c r="J2200"/>
      <c r="K2200"/>
      <c r="L2200" s="44" t="str" cm="1">
        <f t="array" ref="L2200">+_xlfn.IFS(COUNTIF(INGRESOS!E:E,Tabla6[[#This Row],[ID FACTURA]])=1,"PAGADA",Tabla6[[#This Row],[ID FACTURA]]&lt;&gt;0,"EMITIDA",Tabla6[[#This Row],[ID FACTURA]]=0,"POR EMITIR")</f>
        <v>POR EMITIR</v>
      </c>
      <c r="M2200" s="55" t="str">
        <f>+IF(Tabla6[[#This Row],[ESTADO FACTURA]]="PAGADA",Tabla6[[#This Row],[FECHA]]-_xlfn.XLOOKUP(Tabla6[[#This Row],[N° FACTURA]],INGRESOS!F:F,INGRESOS!A:A),"-")</f>
        <v>-</v>
      </c>
      <c r="N2200" s="2"/>
      <c r="O2200"/>
    </row>
    <row r="2201" spans="1:15" ht="14.75" customHeight="1">
      <c r="A2201" s="320" t="s">
        <v>1001</v>
      </c>
      <c r="B2201" t="str">
        <f>+_xlfn.XLOOKUP(Tabla6[[#This Row],[ID CLIENTE]],'RESUMEN CLIENTES'!D:D,'RESUMEN CLIENTES'!A:A)</f>
        <v>Karenn Yadira Tavera Lara</v>
      </c>
      <c r="C2201" t="str">
        <f>+_xlfn.XLOOKUP(Tabla6[[#This Row],[ID CLIENTE]],'RESUMEN CLIENTES'!D:D,'RESUMEN CLIENTES'!C:C)</f>
        <v>México</v>
      </c>
      <c r="D2201" s="44" t="str">
        <f>+_xlfn.XLOOKUP(Tabla6[[#This Row],[ID CLIENTE]],'RESUMEN CLIENTES'!D:D,'RESUMEN CLIENTES'!M:M)</f>
        <v>OK</v>
      </c>
      <c r="E2201" s="72">
        <f>+_xlfn.XLOOKUP(Tabla6[[#This Row],[NOMBRE]],'RESUMEN CLIENTES'!A:A,'RESUMEN CLIENTES'!X:X)</f>
        <v>1.5</v>
      </c>
      <c r="F2201" s="72">
        <f>+_xlfn.XLOOKUP(Tabla6[[#This Row],[ID CLIENTE]],'RESUMEN CLIENTES'!D:D,'RESUMEN CLIENTES'!W:W)</f>
        <v>1</v>
      </c>
      <c r="G2201" s="17">
        <f>IF($H2201&lt;&gt;"ALEM","",IFERROR(
  DATE(
    YEAR(EDATE(
      _xlfn.XLOOKUP($A2201,'RESUMEN CLIENTES'!$D:$D,'RESUMEN CLIENTES'!$Y:$Y,""),
      7 + COUNTIFS(
            $A$2:INDEX($A:$A,ROW()), $A2201,
            $H$2:INDEX($H:$H,ROW()), "ALEM"
          )
    )),
    MONTH(EDATE(
      _xlfn.XLOOKUP($A2201,'RESUMEN CLIENTES'!$D:$D,'RESUMEN CLIENTES'!$Y:$Y,""),
      7 + COUNTIFS(
            $A$2:INDEX($A:$A,ROW()), $A2201,
            $H$2:INDEX($H:$H,ROW()), "ALEM"
          )
    )),
    1
  ),
"SIN FECHA MIG"))</f>
        <v>46478</v>
      </c>
      <c r="H2201" s="44" t="s">
        <v>1876</v>
      </c>
      <c r="I2201" s="2">
        <v>1000</v>
      </c>
      <c r="J2201"/>
      <c r="K2201"/>
      <c r="L2201" s="44" t="str" cm="1">
        <f t="array" ref="L2201">+_xlfn.IFS(COUNTIF(INGRESOS!E:E,Tabla6[[#This Row],[ID FACTURA]])=1,"PAGADA",Tabla6[[#This Row],[ID FACTURA]]&lt;&gt;0,"EMITIDA",Tabla6[[#This Row],[ID FACTURA]]=0,"POR EMITIR")</f>
        <v>POR EMITIR</v>
      </c>
      <c r="M2201" s="55" t="str">
        <f>+IF(Tabla6[[#This Row],[ESTADO FACTURA]]="PAGADA",Tabla6[[#This Row],[FECHA]]-_xlfn.XLOOKUP(Tabla6[[#This Row],[N° FACTURA]],INGRESOS!F:F,INGRESOS!A:A),"-")</f>
        <v>-</v>
      </c>
      <c r="N2201" s="2"/>
      <c r="O2201"/>
    </row>
    <row r="2202" spans="1:15" ht="14.75" customHeight="1">
      <c r="A2202" s="320" t="s">
        <v>441</v>
      </c>
      <c r="B2202" t="str">
        <f>+_xlfn.XLOOKUP(Tabla6[[#This Row],[ID CLIENTE]],'RESUMEN CLIENTES'!D:D,'RESUMEN CLIENTES'!A:A)</f>
        <v>Luis Manuel Villanueva Contreras</v>
      </c>
      <c r="C2202" t="str">
        <f>+_xlfn.XLOOKUP(Tabla6[[#This Row],[ID CLIENTE]],'RESUMEN CLIENTES'!D:D,'RESUMEN CLIENTES'!C:C)</f>
        <v>México</v>
      </c>
      <c r="D2202" s="44" t="str">
        <f>+_xlfn.XLOOKUP(Tabla6[[#This Row],[ID CLIENTE]],'RESUMEN CLIENTES'!D:D,'RESUMEN CLIENTES'!M:M)</f>
        <v>OK</v>
      </c>
      <c r="E2202" s="72">
        <f>+_xlfn.XLOOKUP(Tabla6[[#This Row],[NOMBRE]],'RESUMEN CLIENTES'!A:A,'RESUMEN CLIENTES'!X:X)</f>
        <v>0.55555555555555558</v>
      </c>
      <c r="F2202" s="72">
        <f>+_xlfn.XLOOKUP(Tabla6[[#This Row],[ID CLIENTE]],'RESUMEN CLIENTES'!D:D,'RESUMEN CLIENTES'!W:W)</f>
        <v>0</v>
      </c>
      <c r="G2202" s="17">
        <f>IF($H2202&lt;&gt;"ALEM","",IFERROR(
  DATE(
    YEAR(EDATE(
      _xlfn.XLOOKUP($A2202,'RESUMEN CLIENTES'!$D:$D,'RESUMEN CLIENTES'!$Y:$Y,""),
      7 + COUNTIFS(
            $A$2:INDEX($A:$A,ROW()), $A2202,
            $H$2:INDEX($H:$H,ROW()), "ALEM"
          )
    )),
    MONTH(EDATE(
      _xlfn.XLOOKUP($A2202,'RESUMEN CLIENTES'!$D:$D,'RESUMEN CLIENTES'!$Y:$Y,""),
      7 + COUNTIFS(
            $A$2:INDEX($A:$A,ROW()), $A2202,
            $H$2:INDEX($H:$H,ROW()), "ALEM"
          )
    )),
    1
  ),
"SIN FECHA MIG"))</f>
        <v>46478</v>
      </c>
      <c r="H2202" s="44" t="s">
        <v>1876</v>
      </c>
      <c r="I2202" s="2">
        <v>1000</v>
      </c>
      <c r="J2202"/>
      <c r="K2202"/>
      <c r="L2202" s="44" t="str" cm="1">
        <f t="array" ref="L2202">+_xlfn.IFS(COUNTIF(INGRESOS!E:E,Tabla6[[#This Row],[ID FACTURA]])=1,"PAGADA",Tabla6[[#This Row],[ID FACTURA]]&lt;&gt;0,"EMITIDA",Tabla6[[#This Row],[ID FACTURA]]=0,"POR EMITIR")</f>
        <v>POR EMITIR</v>
      </c>
      <c r="M2202" s="55" t="str">
        <f>+IF(Tabla6[[#This Row],[ESTADO FACTURA]]="PAGADA",Tabla6[[#This Row],[FECHA]]-_xlfn.XLOOKUP(Tabla6[[#This Row],[N° FACTURA]],INGRESOS!F:F,INGRESOS!A:A),"-")</f>
        <v>-</v>
      </c>
      <c r="N2202" s="2"/>
      <c r="O2202"/>
    </row>
    <row r="2203" spans="1:15" ht="14.75" customHeight="1">
      <c r="A2203" s="320" t="s">
        <v>703</v>
      </c>
      <c r="B2203" t="str">
        <f>+_xlfn.XLOOKUP(Tabla6[[#This Row],[ID CLIENTE]],'RESUMEN CLIENTES'!D:D,'RESUMEN CLIENTES'!A:A)</f>
        <v>Maira Paz Navas Sánchez</v>
      </c>
      <c r="C2203" t="str">
        <f>+_xlfn.XLOOKUP(Tabla6[[#This Row],[ID CLIENTE]],'RESUMEN CLIENTES'!D:D,'RESUMEN CLIENTES'!C:C)</f>
        <v>Chile</v>
      </c>
      <c r="D2203" s="44" t="str">
        <f>+_xlfn.XLOOKUP(Tabla6[[#This Row],[ID CLIENTE]],'RESUMEN CLIENTES'!D:D,'RESUMEN CLIENTES'!M:M)</f>
        <v>OK</v>
      </c>
      <c r="E2203" s="72">
        <f>+_xlfn.XLOOKUP(Tabla6[[#This Row],[NOMBRE]],'RESUMEN CLIENTES'!A:A,'RESUMEN CLIENTES'!X:X)</f>
        <v>-1.75</v>
      </c>
      <c r="F2203" s="72">
        <f>+_xlfn.XLOOKUP(Tabla6[[#This Row],[ID CLIENTE]],'RESUMEN CLIENTES'!D:D,'RESUMEN CLIENTES'!W:W)</f>
        <v>1</v>
      </c>
      <c r="G2203" s="17">
        <f>IF($H2203&lt;&gt;"ALEM","",IFERROR(
  DATE(
    YEAR(EDATE(
      _xlfn.XLOOKUP($A2203,'RESUMEN CLIENTES'!$D:$D,'RESUMEN CLIENTES'!$Y:$Y,""),
      7 + COUNTIFS(
            $A$2:INDEX($A:$A,ROW()), $A2203,
            $H$2:INDEX($H:$H,ROW()), "ALEM"
          )
    )),
    MONTH(EDATE(
      _xlfn.XLOOKUP($A2203,'RESUMEN CLIENTES'!$D:$D,'RESUMEN CLIENTES'!$Y:$Y,""),
      7 + COUNTIFS(
            $A$2:INDEX($A:$A,ROW()), $A2203,
            $H$2:INDEX($H:$H,ROW()), "ALEM"
          )
    )),
    1
  ),
"SIN FECHA MIG"))</f>
        <v>46478</v>
      </c>
      <c r="H2203" s="44" t="s">
        <v>1876</v>
      </c>
      <c r="I2203" s="2">
        <v>1000</v>
      </c>
      <c r="J2203"/>
      <c r="K2203"/>
      <c r="L2203" s="44" t="str" cm="1">
        <f t="array" ref="L2203">+_xlfn.IFS(COUNTIF(INGRESOS!E:E,Tabla6[[#This Row],[ID FACTURA]])=1,"PAGADA",Tabla6[[#This Row],[ID FACTURA]]&lt;&gt;0,"EMITIDA",Tabla6[[#This Row],[ID FACTURA]]=0,"POR EMITIR")</f>
        <v>POR EMITIR</v>
      </c>
      <c r="M2203" s="55" t="str">
        <f>+IF(Tabla6[[#This Row],[ESTADO FACTURA]]="PAGADA",Tabla6[[#This Row],[FECHA]]-_xlfn.XLOOKUP(Tabla6[[#This Row],[N° FACTURA]],INGRESOS!F:F,INGRESOS!A:A),"-")</f>
        <v>-</v>
      </c>
      <c r="N2203" s="2"/>
      <c r="O2203" t="s">
        <v>2084</v>
      </c>
    </row>
    <row r="2204" spans="1:15" ht="14.75" customHeight="1">
      <c r="A2204" s="320" t="s">
        <v>274</v>
      </c>
      <c r="B2204" t="str">
        <f>+_xlfn.XLOOKUP(Tabla6[[#This Row],[ID CLIENTE]],'RESUMEN CLIENTES'!D:D,'RESUMEN CLIENTES'!A:A)</f>
        <v>María de los Ángeles Gutiérrez Quevedo</v>
      </c>
      <c r="C2204" t="str">
        <f>+_xlfn.XLOOKUP(Tabla6[[#This Row],[ID CLIENTE]],'RESUMEN CLIENTES'!D:D,'RESUMEN CLIENTES'!C:C)</f>
        <v>Chile</v>
      </c>
      <c r="D2204" s="44" t="str">
        <f>+_xlfn.XLOOKUP(Tabla6[[#This Row],[ID CLIENTE]],'RESUMEN CLIENTES'!D:D,'RESUMEN CLIENTES'!M:M)</f>
        <v>OK</v>
      </c>
      <c r="E2204" s="72">
        <f>+_xlfn.XLOOKUP(Tabla6[[#This Row],[NOMBRE]],'RESUMEN CLIENTES'!A:A,'RESUMEN CLIENTES'!X:X)</f>
        <v>0.22222222222222221</v>
      </c>
      <c r="F2204" s="72">
        <f>+_xlfn.XLOOKUP(Tabla6[[#This Row],[ID CLIENTE]],'RESUMEN CLIENTES'!D:D,'RESUMEN CLIENTES'!W:W)</f>
        <v>1</v>
      </c>
      <c r="G2204" s="17">
        <f>IF($H2204&lt;&gt;"ALEM","",IFERROR(
  DATE(
    YEAR(EDATE(
      _xlfn.XLOOKUP($A2204,'RESUMEN CLIENTES'!$D:$D,'RESUMEN CLIENTES'!$Y:$Y,""),
      7 + COUNTIFS(
            $A$2:INDEX($A:$A,ROW()), $A2204,
            $H$2:INDEX($H:$H,ROW()), "ALEM"
          )
    )),
    MONTH(EDATE(
      _xlfn.XLOOKUP($A2204,'RESUMEN CLIENTES'!$D:$D,'RESUMEN CLIENTES'!$Y:$Y,""),
      7 + COUNTIFS(
            $A$2:INDEX($A:$A,ROW()), $A2204,
            $H$2:INDEX($H:$H,ROW()), "ALEM"
          )
    )),
    1
  ),
"SIN FECHA MIG"))</f>
        <v>46478</v>
      </c>
      <c r="H2204" s="44" t="s">
        <v>1876</v>
      </c>
      <c r="I2204" s="2">
        <v>1000</v>
      </c>
      <c r="J2204"/>
      <c r="K2204"/>
      <c r="L2204" s="44" t="str" cm="1">
        <f t="array" ref="L2204">+_xlfn.IFS(COUNTIF(INGRESOS!E:E,Tabla6[[#This Row],[ID FACTURA]])=1,"PAGADA",Tabla6[[#This Row],[ID FACTURA]]&lt;&gt;0,"EMITIDA",Tabla6[[#This Row],[ID FACTURA]]=0,"POR EMITIR")</f>
        <v>POR EMITIR</v>
      </c>
      <c r="M2204" s="55" t="str">
        <f>+IF(Tabla6[[#This Row],[ESTADO FACTURA]]="PAGADA",Tabla6[[#This Row],[FECHA]]-_xlfn.XLOOKUP(Tabla6[[#This Row],[N° FACTURA]],INGRESOS!F:F,INGRESOS!A:A),"-")</f>
        <v>-</v>
      </c>
      <c r="N2204" s="2"/>
      <c r="O2204" t="s">
        <v>2084</v>
      </c>
    </row>
    <row r="2205" spans="1:15" ht="14.75" customHeight="1">
      <c r="A2205" s="320" t="s">
        <v>590</v>
      </c>
      <c r="B2205" t="str">
        <f>+_xlfn.XLOOKUP(Tabla6[[#This Row],[ID CLIENTE]],'RESUMEN CLIENTES'!D:D,'RESUMEN CLIENTES'!A:A)</f>
        <v>María Lucero de Jesús Barrios Sazo</v>
      </c>
      <c r="C2205" t="str">
        <f>+_xlfn.XLOOKUP(Tabla6[[#This Row],[ID CLIENTE]],'RESUMEN CLIENTES'!D:D,'RESUMEN CLIENTES'!C:C)</f>
        <v>Guatemala</v>
      </c>
      <c r="D2205" s="44" t="str">
        <f>+_xlfn.XLOOKUP(Tabla6[[#This Row],[ID CLIENTE]],'RESUMEN CLIENTES'!D:D,'RESUMEN CLIENTES'!M:M)</f>
        <v>OK</v>
      </c>
      <c r="E2205" s="72">
        <f>+_xlfn.XLOOKUP(Tabla6[[#This Row],[NOMBRE]],'RESUMEN CLIENTES'!A:A,'RESUMEN CLIENTES'!X:X)</f>
        <v>1.25</v>
      </c>
      <c r="F2205" s="72">
        <f>+_xlfn.XLOOKUP(Tabla6[[#This Row],[ID CLIENTE]],'RESUMEN CLIENTES'!D:D,'RESUMEN CLIENTES'!W:W)</f>
        <v>0</v>
      </c>
      <c r="G2205" s="17">
        <f>IF($H2205&lt;&gt;"ALEM","",IFERROR(
  DATE(
    YEAR(EDATE(
      _xlfn.XLOOKUP($A2205,'RESUMEN CLIENTES'!$D:$D,'RESUMEN CLIENTES'!$Y:$Y,""),
      7 + COUNTIFS(
            $A$2:INDEX($A:$A,ROW()), $A2205,
            $H$2:INDEX($H:$H,ROW()), "ALEM"
          )
    )),
    MONTH(EDATE(
      _xlfn.XLOOKUP($A2205,'RESUMEN CLIENTES'!$D:$D,'RESUMEN CLIENTES'!$Y:$Y,""),
      7 + COUNTIFS(
            $A$2:INDEX($A:$A,ROW()), $A2205,
            $H$2:INDEX($H:$H,ROW()), "ALEM"
          )
    )),
    1
  ),
"SIN FECHA MIG"))</f>
        <v>46478</v>
      </c>
      <c r="H2205" s="44" t="s">
        <v>1876</v>
      </c>
      <c r="I2205" s="2">
        <v>1000</v>
      </c>
      <c r="J2205"/>
      <c r="K2205"/>
      <c r="L2205" s="44" t="str" cm="1">
        <f t="array" ref="L2205">+_xlfn.IFS(COUNTIF(INGRESOS!E:E,Tabla6[[#This Row],[ID FACTURA]])=1,"PAGADA",Tabla6[[#This Row],[ID FACTURA]]&lt;&gt;0,"EMITIDA",Tabla6[[#This Row],[ID FACTURA]]=0,"POR EMITIR")</f>
        <v>POR EMITIR</v>
      </c>
      <c r="M2205" s="55" t="str">
        <f>+IF(Tabla6[[#This Row],[ESTADO FACTURA]]="PAGADA",Tabla6[[#This Row],[FECHA]]-_xlfn.XLOOKUP(Tabla6[[#This Row],[N° FACTURA]],INGRESOS!F:F,INGRESOS!A:A),"-")</f>
        <v>-</v>
      </c>
      <c r="N2205" s="2"/>
      <c r="O2205"/>
    </row>
    <row r="2206" spans="1:15" ht="14.75" customHeight="1">
      <c r="A2206" s="320" t="s">
        <v>4509</v>
      </c>
      <c r="B2206" t="str">
        <f>+_xlfn.XLOOKUP(Tabla6[[#This Row],[ID CLIENTE]],'RESUMEN CLIENTES'!D:D,'RESUMEN CLIENTES'!A:A)</f>
        <v>Marisol Madeleine Ibáñez Paredes</v>
      </c>
      <c r="C2206" t="str">
        <f>+_xlfn.XLOOKUP(Tabla6[[#This Row],[ID CLIENTE]],'RESUMEN CLIENTES'!D:D,'RESUMEN CLIENTES'!C:C)</f>
        <v>Ecuador</v>
      </c>
      <c r="D2206" s="169" t="str">
        <f>+_xlfn.XLOOKUP(Tabla6[[#This Row],[ID CLIENTE]],'RESUMEN CLIENTES'!D:D,'RESUMEN CLIENTES'!M:M)</f>
        <v>OK</v>
      </c>
      <c r="E2206" s="71">
        <f>+_xlfn.XLOOKUP(Tabla6[[#This Row],[NOMBRE]],'RESUMEN CLIENTES'!A:A,'RESUMEN CLIENTES'!X:X)</f>
        <v>-3</v>
      </c>
      <c r="F2206" s="71">
        <f>+_xlfn.XLOOKUP(Tabla6[[#This Row],[ID CLIENTE]],'RESUMEN CLIENTES'!D:D,'RESUMEN CLIENTES'!W:W)</f>
        <v>0</v>
      </c>
      <c r="G2206" s="17">
        <f>IF($H2206&lt;&gt;"ALEM","",IFERROR(
  DATE(
    YEAR(EDATE(
      _xlfn.XLOOKUP($A2206,'RESUMEN CLIENTES'!$D:$D,'RESUMEN CLIENTES'!$Y:$Y,""),
      7 + COUNTIFS(
            $A$2:INDEX($A:$A,ROW()), $A2206,
            $H$2:INDEX($H:$H,ROW()), "ALEM"
          )
    )),
    MONTH(EDATE(
      _xlfn.XLOOKUP($A2206,'RESUMEN CLIENTES'!$D:$D,'RESUMEN CLIENTES'!$Y:$Y,""),
      7 + COUNTIFS(
            $A$2:INDEX($A:$A,ROW()), $A2206,
            $H$2:INDEX($H:$H,ROW()), "ALEM"
          )
    )),
    1
  ),
"null"))</f>
        <v>46478</v>
      </c>
      <c r="H2206" s="169" t="s">
        <v>1876</v>
      </c>
      <c r="I2206" s="2">
        <v>900</v>
      </c>
      <c r="J2206"/>
      <c r="K2206"/>
      <c r="L2206" s="44" t="str" cm="1">
        <f t="array" ref="L2206">+_xlfn.IFS(COUNTIF(INGRESOS!E:E,Tabla6[[#This Row],[ID FACTURA]])=1,"PAGADA",Tabla6[[#This Row],[ID FACTURA]]&lt;&gt;0,"EMITIDA",Tabla6[[#This Row],[ID FACTURA]]=0,"POR EMITIR")</f>
        <v>POR EMITIR</v>
      </c>
      <c r="M2206" s="54" t="str">
        <f>+IF(Tabla6[[#This Row],[ESTADO FACTURA]]="PAGADA",Tabla6[[#This Row],[FECHA]]-_xlfn.XLOOKUP(Tabla6[[#This Row],[N° FACTURA]],INGRESOS!F:F,INGRESOS!A:A),"-")</f>
        <v>-</v>
      </c>
      <c r="O2206"/>
    </row>
    <row r="2207" spans="1:15" ht="14.75" customHeight="1">
      <c r="A2207" s="320" t="s">
        <v>261</v>
      </c>
      <c r="B2207" t="str">
        <f>+_xlfn.XLOOKUP(Tabla6[[#This Row],[ID CLIENTE]],'RESUMEN CLIENTES'!D:D,'RESUMEN CLIENTES'!A:A)</f>
        <v>Maryori Elizabeth Ramos Tapia</v>
      </c>
      <c r="C2207" t="str">
        <f>+_xlfn.XLOOKUP(Tabla6[[#This Row],[ID CLIENTE]],'RESUMEN CLIENTES'!D:D,'RESUMEN CLIENTES'!C:C)</f>
        <v>Perú</v>
      </c>
      <c r="D2207" s="44" t="str">
        <f>+_xlfn.XLOOKUP(Tabla6[[#This Row],[ID CLIENTE]],'RESUMEN CLIENTES'!D:D,'RESUMEN CLIENTES'!M:M)</f>
        <v>OK</v>
      </c>
      <c r="E2207" s="72">
        <f>+_xlfn.XLOOKUP(Tabla6[[#This Row],[NOMBRE]],'RESUMEN CLIENTES'!A:A,'RESUMEN CLIENTES'!X:X)</f>
        <v>-0.88425925925952875</v>
      </c>
      <c r="F2207" s="72">
        <f>+_xlfn.XLOOKUP(Tabla6[[#This Row],[ID CLIENTE]],'RESUMEN CLIENTES'!D:D,'RESUMEN CLIENTES'!W:W)</f>
        <v>1</v>
      </c>
      <c r="G2207" s="17">
        <f>IF($H2207&lt;&gt;"ALEM","",IFERROR(
  DATE(
    YEAR(EDATE(
      _xlfn.XLOOKUP($A2207,'RESUMEN CLIENTES'!$D:$D,'RESUMEN CLIENTES'!$Y:$Y,""),
      7 + COUNTIFS(
            $A$2:INDEX($A:$A,ROW()), $A2207,
            $H$2:INDEX($H:$H,ROW()), "ALEM"
          )
    )),
    MONTH(EDATE(
      _xlfn.XLOOKUP($A2207,'RESUMEN CLIENTES'!$D:$D,'RESUMEN CLIENTES'!$Y:$Y,""),
      7 + COUNTIFS(
            $A$2:INDEX($A:$A,ROW()), $A2207,
            $H$2:INDEX($H:$H,ROW()), "ALEM"
          )
    )),
    1
  ),
"SIN FECHA MIG"))</f>
        <v>46478</v>
      </c>
      <c r="H2207" s="44" t="s">
        <v>1876</v>
      </c>
      <c r="I2207" s="2">
        <v>1000</v>
      </c>
      <c r="J2207"/>
      <c r="K2207"/>
      <c r="L2207" s="44" t="str" cm="1">
        <f t="array" ref="L2207">+_xlfn.IFS(COUNTIF(INGRESOS!E:E,Tabla6[[#This Row],[ID FACTURA]])=1,"PAGADA",Tabla6[[#This Row],[ID FACTURA]]&lt;&gt;0,"EMITIDA",Tabla6[[#This Row],[ID FACTURA]]=0,"POR EMITIR")</f>
        <v>POR EMITIR</v>
      </c>
      <c r="M2207" s="55" t="str">
        <f>+IF(Tabla6[[#This Row],[ESTADO FACTURA]]="PAGADA",Tabla6[[#This Row],[FECHA]]-_xlfn.XLOOKUP(Tabla6[[#This Row],[N° FACTURA]],INGRESOS!F:F,INGRESOS!A:A),"-")</f>
        <v>-</v>
      </c>
      <c r="N2207" s="2"/>
      <c r="O2207"/>
    </row>
    <row r="2208" spans="1:15" ht="14.75" customHeight="1">
      <c r="A2208" s="320" t="s">
        <v>229</v>
      </c>
      <c r="B2208" t="str">
        <f>+_xlfn.XLOOKUP(Tabla6[[#This Row],[ID CLIENTE]],'RESUMEN CLIENTES'!D:D,'RESUMEN CLIENTES'!A:A)</f>
        <v>Nathaly Gabriela Henríquez Masín</v>
      </c>
      <c r="C2208" t="str">
        <f>+_xlfn.XLOOKUP(Tabla6[[#This Row],[ID CLIENTE]],'RESUMEN CLIENTES'!D:D,'RESUMEN CLIENTES'!C:C)</f>
        <v>El Salvador</v>
      </c>
      <c r="D2208" s="44" t="str">
        <f>+_xlfn.XLOOKUP(Tabla6[[#This Row],[ID CLIENTE]],'RESUMEN CLIENTES'!D:D,'RESUMEN CLIENTES'!M:M)</f>
        <v>OK</v>
      </c>
      <c r="E2208" s="72">
        <f>+_xlfn.XLOOKUP(Tabla6[[#This Row],[NOMBRE]],'RESUMEN CLIENTES'!A:A,'RESUMEN CLIENTES'!X:X)</f>
        <v>0.7</v>
      </c>
      <c r="F2208" s="72">
        <f>+_xlfn.XLOOKUP(Tabla6[[#This Row],[ID CLIENTE]],'RESUMEN CLIENTES'!D:D,'RESUMEN CLIENTES'!W:W)</f>
        <v>0</v>
      </c>
      <c r="G2208" s="17">
        <f>IF($H2208&lt;&gt;"ALEM","",IFERROR(
  DATE(
    YEAR(EDATE(
      _xlfn.XLOOKUP($A2208,'RESUMEN CLIENTES'!$D:$D,'RESUMEN CLIENTES'!$Y:$Y,""),
      7 + COUNTIFS(
            $A$2:INDEX($A:$A,ROW()), $A2208,
            $H$2:INDEX($H:$H,ROW()), "ALEM"
          )
    )),
    MONTH(EDATE(
      _xlfn.XLOOKUP($A2208,'RESUMEN CLIENTES'!$D:$D,'RESUMEN CLIENTES'!$Y:$Y,""),
      7 + COUNTIFS(
            $A$2:INDEX($A:$A,ROW()), $A2208,
            $H$2:INDEX($H:$H,ROW()), "ALEM"
          )
    )),
    1
  ),
"SIN FECHA MIG"))</f>
        <v>46478</v>
      </c>
      <c r="H2208" s="44" t="s">
        <v>1876</v>
      </c>
      <c r="I2208" s="2">
        <v>500</v>
      </c>
      <c r="J2208"/>
      <c r="K2208"/>
      <c r="L2208" s="44" t="str" cm="1">
        <f t="array" ref="L2208">+_xlfn.IFS(COUNTIF(INGRESOS!E:E,Tabla6[[#This Row],[ID FACTURA]])=1,"PAGADA",Tabla6[[#This Row],[ID FACTURA]]&lt;&gt;0,"EMITIDA",Tabla6[[#This Row],[ID FACTURA]]=0,"POR EMITIR")</f>
        <v>POR EMITIR</v>
      </c>
      <c r="M2208" s="55" t="str">
        <f>+IF(Tabla6[[#This Row],[ESTADO FACTURA]]="PAGADA",Tabla6[[#This Row],[FECHA]]-_xlfn.XLOOKUP(Tabla6[[#This Row],[N° FACTURA]],INGRESOS!F:F,INGRESOS!A:A),"-")</f>
        <v>-</v>
      </c>
      <c r="N2208" s="2"/>
      <c r="O2208"/>
    </row>
    <row r="2209" spans="1:15" ht="14.75" customHeight="1">
      <c r="A2209" s="320" t="s">
        <v>695</v>
      </c>
      <c r="B2209" t="str">
        <f>+_xlfn.XLOOKUP(Tabla6[[#This Row],[ID CLIENTE]],'RESUMEN CLIENTES'!D:D,'RESUMEN CLIENTES'!A:A)</f>
        <v>Olguer Ariel Pruna Herrera</v>
      </c>
      <c r="C2209" t="str">
        <f>+_xlfn.XLOOKUP(Tabla6[[#This Row],[ID CLIENTE]],'RESUMEN CLIENTES'!D:D,'RESUMEN CLIENTES'!C:C)</f>
        <v>Ecuador</v>
      </c>
      <c r="D2209" s="44" t="str">
        <f>+_xlfn.XLOOKUP(Tabla6[[#This Row],[ID CLIENTE]],'RESUMEN CLIENTES'!D:D,'RESUMEN CLIENTES'!M:M)</f>
        <v>OK</v>
      </c>
      <c r="E2209" s="72">
        <f>+_xlfn.XLOOKUP(Tabla6[[#This Row],[NOMBRE]],'RESUMEN CLIENTES'!A:A,'RESUMEN CLIENTES'!X:X)</f>
        <v>0.25</v>
      </c>
      <c r="F2209" s="72">
        <f>+_xlfn.XLOOKUP(Tabla6[[#This Row],[ID CLIENTE]],'RESUMEN CLIENTES'!D:D,'RESUMEN CLIENTES'!W:W)</f>
        <v>1</v>
      </c>
      <c r="G2209" s="17">
        <f>IF($H2209&lt;&gt;"ALEM","",IFERROR(
  DATE(
    YEAR(EDATE(
      _xlfn.XLOOKUP($A2209,'RESUMEN CLIENTES'!$D:$D,'RESUMEN CLIENTES'!$Y:$Y,""),
      7 + COUNTIFS(
            $A$2:INDEX($A:$A,ROW()), $A2209,
            $H$2:INDEX($H:$H,ROW()), "ALEM"
          )
    )),
    MONTH(EDATE(
      _xlfn.XLOOKUP($A2209,'RESUMEN CLIENTES'!$D:$D,'RESUMEN CLIENTES'!$Y:$Y,""),
      7 + COUNTIFS(
            $A$2:INDEX($A:$A,ROW()), $A2209,
            $H$2:INDEX($H:$H,ROW()), "ALEM"
          )
    )),
    1
  ),
"SIN FECHA MIG"))</f>
        <v>46478</v>
      </c>
      <c r="H2209" s="44" t="s">
        <v>1876</v>
      </c>
      <c r="I2209" s="2">
        <v>1000</v>
      </c>
      <c r="J2209"/>
      <c r="K2209"/>
      <c r="L2209" s="44" t="str" cm="1">
        <f t="array" ref="L2209">+_xlfn.IFS(COUNTIF(INGRESOS!E:E,Tabla6[[#This Row],[ID FACTURA]])=1,"PAGADA",Tabla6[[#This Row],[ID FACTURA]]&lt;&gt;0,"EMITIDA",Tabla6[[#This Row],[ID FACTURA]]=0,"POR EMITIR")</f>
        <v>POR EMITIR</v>
      </c>
      <c r="M2209" s="55" t="str">
        <f>+IF(Tabla6[[#This Row],[ESTADO FACTURA]]="PAGADA",Tabla6[[#This Row],[FECHA]]-_xlfn.XLOOKUP(Tabla6[[#This Row],[N° FACTURA]],INGRESOS!F:F,INGRESOS!A:A),"-")</f>
        <v>-</v>
      </c>
      <c r="N2209" s="2"/>
      <c r="O2209" t="s">
        <v>2084</v>
      </c>
    </row>
    <row r="2210" spans="1:15" ht="14.75" customHeight="1">
      <c r="A2210" s="320" t="s">
        <v>855</v>
      </c>
      <c r="B2210" t="str">
        <f>+_xlfn.XLOOKUP(Tabla6[[#This Row],[ID CLIENTE]],'RESUMEN CLIENTES'!D:D,'RESUMEN CLIENTES'!A:A)</f>
        <v>Paula Ida Elisa Saris Sommer</v>
      </c>
      <c r="C2210" t="str">
        <f>+_xlfn.XLOOKUP(Tabla6[[#This Row],[ID CLIENTE]],'RESUMEN CLIENTES'!D:D,'RESUMEN CLIENTES'!C:C)</f>
        <v>Argentina</v>
      </c>
      <c r="D2210" s="44" t="str">
        <f>+_xlfn.XLOOKUP(Tabla6[[#This Row],[ID CLIENTE]],'RESUMEN CLIENTES'!D:D,'RESUMEN CLIENTES'!M:M)</f>
        <v>OK</v>
      </c>
      <c r="E2210" s="72">
        <f>+_xlfn.XLOOKUP(Tabla6[[#This Row],[NOMBRE]],'RESUMEN CLIENTES'!A:A,'RESUMEN CLIENTES'!X:X)</f>
        <v>-8.7894736842105257</v>
      </c>
      <c r="F2210" s="72">
        <f>+_xlfn.XLOOKUP(Tabla6[[#This Row],[ID CLIENTE]],'RESUMEN CLIENTES'!D:D,'RESUMEN CLIENTES'!W:W)</f>
        <v>0</v>
      </c>
      <c r="G2210" s="17">
        <f>IF($H2210&lt;&gt;"ALEM","",IFERROR(
  DATE(
    YEAR(EDATE(
      _xlfn.XLOOKUP($A2210,'RESUMEN CLIENTES'!$D:$D,'RESUMEN CLIENTES'!$Y:$Y,""),
      7 + COUNTIFS(
            $A$2:INDEX($A:$A,ROW()), $A2210,
            $H$2:INDEX($H:$H,ROW()), "ALEM"
          )
    )),
    MONTH(EDATE(
      _xlfn.XLOOKUP($A2210,'RESUMEN CLIENTES'!$D:$D,'RESUMEN CLIENTES'!$Y:$Y,""),
      7 + COUNTIFS(
            $A$2:INDEX($A:$A,ROW()), $A2210,
            $H$2:INDEX($H:$H,ROW()), "ALEM"
          )
    )),
    1
  ),
"SIN FECHA MIG"))</f>
        <v>46478</v>
      </c>
      <c r="H2210" s="44" t="s">
        <v>1876</v>
      </c>
      <c r="I2210" s="2">
        <v>1000</v>
      </c>
      <c r="J2210"/>
      <c r="K2210"/>
      <c r="L2210" s="44" t="str" cm="1">
        <f t="array" ref="L2210">+_xlfn.IFS(COUNTIF(INGRESOS!E:E,Tabla6[[#This Row],[ID FACTURA]])=1,"PAGADA",Tabla6[[#This Row],[ID FACTURA]]&lt;&gt;0,"EMITIDA",Tabla6[[#This Row],[ID FACTURA]]=0,"POR EMITIR")</f>
        <v>POR EMITIR</v>
      </c>
      <c r="M2210" s="55" t="str">
        <f>+IF(Tabla6[[#This Row],[ESTADO FACTURA]]="PAGADA",Tabla6[[#This Row],[FECHA]]-_xlfn.XLOOKUP(Tabla6[[#This Row],[N° FACTURA]],INGRESOS!F:F,INGRESOS!A:A),"-")</f>
        <v>-</v>
      </c>
      <c r="N2210" s="2"/>
      <c r="O2210" t="s">
        <v>2084</v>
      </c>
    </row>
    <row r="2211" spans="1:15" ht="14.75" customHeight="1">
      <c r="A2211" s="321" t="s">
        <v>1881</v>
      </c>
      <c r="B2211" t="str">
        <f>+_xlfn.XLOOKUP(Tabla6[[#This Row],[ID CLIENTE]],'RESUMEN CLIENTES'!D:D,'RESUMEN CLIENTES'!A:A)</f>
        <v>Paulina Alejandra Silva Gómez</v>
      </c>
      <c r="C2211" t="str">
        <f>+_xlfn.XLOOKUP(Tabla6[[#This Row],[ID CLIENTE]],'RESUMEN CLIENTES'!D:D,'RESUMEN CLIENTES'!C:C)</f>
        <v>Chile</v>
      </c>
      <c r="D2211" s="169" t="str">
        <f>+_xlfn.XLOOKUP(Tabla6[[#This Row],[ID CLIENTE]],'RESUMEN CLIENTES'!D:D,'RESUMEN CLIENTES'!M:M)</f>
        <v>¡REGULARIZAR!</v>
      </c>
      <c r="E2211" s="71">
        <f>+_xlfn.XLOOKUP(Tabla6[[#This Row],[NOMBRE]],'RESUMEN CLIENTES'!A:A,'RESUMEN CLIENTES'!X:X)</f>
        <v>-6.833333333333333</v>
      </c>
      <c r="F2211" s="71">
        <f>+_xlfn.XLOOKUP(Tabla6[[#This Row],[ID CLIENTE]],'RESUMEN CLIENTES'!D:D,'RESUMEN CLIENTES'!W:W)</f>
        <v>0</v>
      </c>
      <c r="G2211" s="17">
        <f>IF($H2211&lt;&gt;"ALEM","",IFERROR(
  DATE(
    YEAR(EDATE(
      _xlfn.XLOOKUP($A2211,'RESUMEN CLIENTES'!$D:$D,'RESUMEN CLIENTES'!$Y:$Y,""),
      7 + COUNTIFS(
            $A$2:INDEX($A:$A,ROW()), $A2211,
            $H$2:INDEX($H:$H,ROW()), "ALEM"
          )
    )),
    MONTH(EDATE(
      _xlfn.XLOOKUP($A2211,'RESUMEN CLIENTES'!$D:$D,'RESUMEN CLIENTES'!$Y:$Y,""),
      7 + COUNTIFS(
            $A$2:INDEX($A:$A,ROW()), $A2211,
            $H$2:INDEX($H:$H,ROW()), "ALEM"
          )
    )),
    1
  ),
"null"))</f>
        <v>46478</v>
      </c>
      <c r="H2211" s="169" t="s">
        <v>1876</v>
      </c>
      <c r="I2211" s="2">
        <v>800</v>
      </c>
      <c r="J2211"/>
      <c r="K2211"/>
      <c r="L2211" s="44" t="str" cm="1">
        <f t="array" ref="L2211">+_xlfn.IFS(COUNTIF(INGRESOS!E:E,Tabla6[[#This Row],[ID FACTURA]])=1,"PAGADA",Tabla6[[#This Row],[ID FACTURA]]&lt;&gt;0,"EMITIDA",Tabla6[[#This Row],[ID FACTURA]]=0,"POR EMITIR")</f>
        <v>POR EMITIR</v>
      </c>
      <c r="M2211" s="54" t="str">
        <f>+IF(Tabla6[[#This Row],[ESTADO FACTURA]]="PAGADA",Tabla6[[#This Row],[FECHA]]-_xlfn.XLOOKUP(Tabla6[[#This Row],[N° FACTURA]],INGRESOS!F:F,INGRESOS!A:A),"-")</f>
        <v>-</v>
      </c>
      <c r="O2211" t="s">
        <v>2086</v>
      </c>
    </row>
    <row r="2212" spans="1:15" ht="14.75" customHeight="1">
      <c r="A2212" s="320" t="s">
        <v>1152</v>
      </c>
      <c r="B2212" t="str">
        <f>+_xlfn.XLOOKUP(Tabla6[[#This Row],[ID CLIENTE]],'RESUMEN CLIENTES'!D:D,'RESUMEN CLIENTES'!A:A)</f>
        <v>Ricardo Ernesto Miño Valencia</v>
      </c>
      <c r="C2212" t="str">
        <f>+_xlfn.XLOOKUP(Tabla6[[#This Row],[ID CLIENTE]],'RESUMEN CLIENTES'!D:D,'RESUMEN CLIENTES'!C:C)</f>
        <v>Ecuador</v>
      </c>
      <c r="D2212" s="44" t="str">
        <f>+_xlfn.XLOOKUP(Tabla6[[#This Row],[ID CLIENTE]],'RESUMEN CLIENTES'!D:D,'RESUMEN CLIENTES'!M:M)</f>
        <v>OK</v>
      </c>
      <c r="E2212" s="72">
        <f>+_xlfn.XLOOKUP(Tabla6[[#This Row],[NOMBRE]],'RESUMEN CLIENTES'!A:A,'RESUMEN CLIENTES'!X:X)</f>
        <v>-3.2</v>
      </c>
      <c r="F2212" s="72">
        <f>+_xlfn.XLOOKUP(Tabla6[[#This Row],[ID CLIENTE]],'RESUMEN CLIENTES'!D:D,'RESUMEN CLIENTES'!W:W)</f>
        <v>1</v>
      </c>
      <c r="G2212" s="17">
        <f>IF($H2212&lt;&gt;"ALEM","",IFERROR(
  DATE(
    YEAR(EDATE(
      _xlfn.XLOOKUP($A2212,'RESUMEN CLIENTES'!$D:$D,'RESUMEN CLIENTES'!$Y:$Y,""),
      7 + COUNTIFS(
            $A$2:INDEX($A:$A,ROW()), $A2212,
            $H$2:INDEX($H:$H,ROW()), "ALEM"
          )
    )),
    MONTH(EDATE(
      _xlfn.XLOOKUP($A2212,'RESUMEN CLIENTES'!$D:$D,'RESUMEN CLIENTES'!$Y:$Y,""),
      7 + COUNTIFS(
            $A$2:INDEX($A:$A,ROW()), $A2212,
            $H$2:INDEX($H:$H,ROW()), "ALEM"
          )
    )),
    1
  ),
"SIN FECHA MIG"))</f>
        <v>46478</v>
      </c>
      <c r="H2212" s="44" t="s">
        <v>1876</v>
      </c>
      <c r="I2212" s="2">
        <v>1000</v>
      </c>
      <c r="J2212"/>
      <c r="K2212"/>
      <c r="L2212" s="44" t="str" cm="1">
        <f t="array" ref="L2212">+_xlfn.IFS(COUNTIF(INGRESOS!E:E,Tabla6[[#This Row],[ID FACTURA]])=1,"PAGADA",Tabla6[[#This Row],[ID FACTURA]]&lt;&gt;0,"EMITIDA",Tabla6[[#This Row],[ID FACTURA]]=0,"POR EMITIR")</f>
        <v>POR EMITIR</v>
      </c>
      <c r="M2212" s="55" t="str">
        <f>+IF(Tabla6[[#This Row],[ESTADO FACTURA]]="PAGADA",Tabla6[[#This Row],[FECHA]]-_xlfn.XLOOKUP(Tabla6[[#This Row],[N° FACTURA]],INGRESOS!F:F,INGRESOS!A:A),"-")</f>
        <v>-</v>
      </c>
      <c r="N2212" s="2"/>
      <c r="O2212" t="s">
        <v>2084</v>
      </c>
    </row>
    <row r="2213" spans="1:15" ht="14.75" customHeight="1">
      <c r="A2213" s="320" t="s">
        <v>275</v>
      </c>
      <c r="B2213" t="str">
        <f>+_xlfn.XLOOKUP(Tabla6[[#This Row],[ID CLIENTE]],'RESUMEN CLIENTES'!D:D,'RESUMEN CLIENTES'!A:A)</f>
        <v>Rodrigo Alfonso Busse Hernández</v>
      </c>
      <c r="C2213" t="str">
        <f>+_xlfn.XLOOKUP(Tabla6[[#This Row],[ID CLIENTE]],'RESUMEN CLIENTES'!D:D,'RESUMEN CLIENTES'!C:C)</f>
        <v>Chile</v>
      </c>
      <c r="D2213" s="44" t="str">
        <f>+_xlfn.XLOOKUP(Tabla6[[#This Row],[ID CLIENTE]],'RESUMEN CLIENTES'!D:D,'RESUMEN CLIENTES'!M:M)</f>
        <v>OK</v>
      </c>
      <c r="E2213" s="72">
        <f>+_xlfn.XLOOKUP(Tabla6[[#This Row],[NOMBRE]],'RESUMEN CLIENTES'!A:A,'RESUMEN CLIENTES'!X:X)</f>
        <v>0.33333333333333331</v>
      </c>
      <c r="F2213" s="72">
        <f>+_xlfn.XLOOKUP(Tabla6[[#This Row],[ID CLIENTE]],'RESUMEN CLIENTES'!D:D,'RESUMEN CLIENTES'!W:W)</f>
        <v>1</v>
      </c>
      <c r="G2213" s="17">
        <f>IF($H2213&lt;&gt;"ALEM","",IFERROR(
  DATE(
    YEAR(EDATE(
      _xlfn.XLOOKUP($A2213,'RESUMEN CLIENTES'!$D:$D,'RESUMEN CLIENTES'!$Y:$Y,""),
      7 + COUNTIFS(
            $A$2:INDEX($A:$A,ROW()), $A2213,
            $H$2:INDEX($H:$H,ROW()), "ALEM"
          )
    )),
    MONTH(EDATE(
      _xlfn.XLOOKUP($A2213,'RESUMEN CLIENTES'!$D:$D,'RESUMEN CLIENTES'!$Y:$Y,""),
      7 + COUNTIFS(
            $A$2:INDEX($A:$A,ROW()), $A2213,
            $H$2:INDEX($H:$H,ROW()), "ALEM"
          )
    )),
    1
  ),
"SIN FECHA MIG"))</f>
        <v>46478</v>
      </c>
      <c r="H2213" s="44" t="s">
        <v>1876</v>
      </c>
      <c r="I2213" s="2">
        <v>750</v>
      </c>
      <c r="J2213"/>
      <c r="K2213"/>
      <c r="L2213" s="44" t="str" cm="1">
        <f t="array" ref="L2213">+_xlfn.IFS(COUNTIF(INGRESOS!E:E,Tabla6[[#This Row],[ID FACTURA]])=1,"PAGADA",Tabla6[[#This Row],[ID FACTURA]]&lt;&gt;0,"EMITIDA",Tabla6[[#This Row],[ID FACTURA]]=0,"POR EMITIR")</f>
        <v>POR EMITIR</v>
      </c>
      <c r="M2213" s="55" t="str">
        <f>+IF(Tabla6[[#This Row],[ESTADO FACTURA]]="PAGADA",Tabla6[[#This Row],[FECHA]]-_xlfn.XLOOKUP(Tabla6[[#This Row],[N° FACTURA]],INGRESOS!F:F,INGRESOS!A:A),"-")</f>
        <v>-</v>
      </c>
      <c r="N2213" s="2"/>
      <c r="O2213" t="s">
        <v>2084</v>
      </c>
    </row>
    <row r="2214" spans="1:15" ht="14.75" customHeight="1">
      <c r="A2214" s="320" t="s">
        <v>281</v>
      </c>
      <c r="B2214" t="str">
        <f>+_xlfn.XLOOKUP(Tabla6[[#This Row],[ID CLIENTE]],'RESUMEN CLIENTES'!D:D,'RESUMEN CLIENTES'!A:A)</f>
        <v>Sergio Francisco Garcia Sandoval</v>
      </c>
      <c r="C2214" t="str">
        <f>+_xlfn.XLOOKUP(Tabla6[[#This Row],[ID CLIENTE]],'RESUMEN CLIENTES'!D:D,'RESUMEN CLIENTES'!C:C)</f>
        <v>Perú</v>
      </c>
      <c r="D2214" s="44" t="str">
        <f>+_xlfn.XLOOKUP(Tabla6[[#This Row],[ID CLIENTE]],'RESUMEN CLIENTES'!D:D,'RESUMEN CLIENTES'!M:M)</f>
        <v>OK</v>
      </c>
      <c r="E2214" s="72">
        <f>+_xlfn.XLOOKUP(Tabla6[[#This Row],[NOMBRE]],'RESUMEN CLIENTES'!A:A,'RESUMEN CLIENTES'!X:X)</f>
        <v>0.88888888888888884</v>
      </c>
      <c r="F2214" s="72">
        <f>+_xlfn.XLOOKUP(Tabla6[[#This Row],[ID CLIENTE]],'RESUMEN CLIENTES'!D:D,'RESUMEN CLIENTES'!W:W)</f>
        <v>1</v>
      </c>
      <c r="G2214" s="17">
        <f>IF($H2214&lt;&gt;"ALEM","",IFERROR(
  DATE(
    YEAR(EDATE(
      _xlfn.XLOOKUP($A2214,'RESUMEN CLIENTES'!$D:$D,'RESUMEN CLIENTES'!$Y:$Y,""),
      7 + COUNTIFS(
            $A$2:INDEX($A:$A,ROW()), $A2214,
            $H$2:INDEX($H:$H,ROW()), "ALEM"
          )
    )),
    MONTH(EDATE(
      _xlfn.XLOOKUP($A2214,'RESUMEN CLIENTES'!$D:$D,'RESUMEN CLIENTES'!$Y:$Y,""),
      7 + COUNTIFS(
            $A$2:INDEX($A:$A,ROW()), $A2214,
            $H$2:INDEX($H:$H,ROW()), "ALEM"
          )
    )),
    1
  ),
"SIN FECHA MIG"))</f>
        <v>46478</v>
      </c>
      <c r="H2214" s="44" t="s">
        <v>1876</v>
      </c>
      <c r="I2214" s="2">
        <v>1000</v>
      </c>
      <c r="J2214"/>
      <c r="K2214"/>
      <c r="L2214" s="44" t="str" cm="1">
        <f t="array" ref="L2214">+_xlfn.IFS(COUNTIF(INGRESOS!E:E,Tabla6[[#This Row],[ID FACTURA]])=1,"PAGADA",Tabla6[[#This Row],[ID FACTURA]]&lt;&gt;0,"EMITIDA",Tabla6[[#This Row],[ID FACTURA]]=0,"POR EMITIR")</f>
        <v>POR EMITIR</v>
      </c>
      <c r="M2214" s="55" t="str">
        <f>+IF(Tabla6[[#This Row],[ESTADO FACTURA]]="PAGADA",Tabla6[[#This Row],[FECHA]]-_xlfn.XLOOKUP(Tabla6[[#This Row],[N° FACTURA]],INGRESOS!F:F,INGRESOS!A:A),"-")</f>
        <v>-</v>
      </c>
      <c r="N2214" s="2"/>
      <c r="O2214"/>
    </row>
    <row r="2215" spans="1:15" ht="14.75" customHeight="1">
      <c r="A2215" s="320" t="s">
        <v>716</v>
      </c>
      <c r="B2215" t="str">
        <f>+_xlfn.XLOOKUP(Tabla6[[#This Row],[ID CLIENTE]],'RESUMEN CLIENTES'!D:D,'RESUMEN CLIENTES'!A:A)</f>
        <v>Sofia Martínez Restrepo</v>
      </c>
      <c r="C2215" t="str">
        <f>+_xlfn.XLOOKUP(Tabla6[[#This Row],[ID CLIENTE]],'RESUMEN CLIENTES'!D:D,'RESUMEN CLIENTES'!C:C)</f>
        <v>Colombia</v>
      </c>
      <c r="D2215" s="44" t="str">
        <f>+_xlfn.XLOOKUP(Tabla6[[#This Row],[ID CLIENTE]],'RESUMEN CLIENTES'!D:D,'RESUMEN CLIENTES'!M:M)</f>
        <v>OK</v>
      </c>
      <c r="E2215" s="72">
        <f>+_xlfn.XLOOKUP(Tabla6[[#This Row],[NOMBRE]],'RESUMEN CLIENTES'!A:A,'RESUMEN CLIENTES'!X:X)</f>
        <v>-0.33333333333333331</v>
      </c>
      <c r="F2215" s="72">
        <f>+_xlfn.XLOOKUP(Tabla6[[#This Row],[ID CLIENTE]],'RESUMEN CLIENTES'!D:D,'RESUMEN CLIENTES'!W:W)</f>
        <v>1</v>
      </c>
      <c r="G2215" s="17">
        <f>IF($H2215&lt;&gt;"ALEM","",IFERROR(
  DATE(
    YEAR(EDATE(
      _xlfn.XLOOKUP($A2215,'RESUMEN CLIENTES'!$D:$D,'RESUMEN CLIENTES'!$Y:$Y,""),
      7 + COUNTIFS(
            $A$2:INDEX($A:$A,ROW()), $A2215,
            $H$2:INDEX($H:$H,ROW()), "ALEM"
          )
    )),
    MONTH(EDATE(
      _xlfn.XLOOKUP($A2215,'RESUMEN CLIENTES'!$D:$D,'RESUMEN CLIENTES'!$Y:$Y,""),
      7 + COUNTIFS(
            $A$2:INDEX($A:$A,ROW()), $A2215,
            $H$2:INDEX($H:$H,ROW()), "ALEM"
          )
    )),
    1
  ),
"SIN FECHA MIG"))</f>
        <v>46478</v>
      </c>
      <c r="H2215" s="44" t="s">
        <v>1876</v>
      </c>
      <c r="I2215" s="2">
        <v>1000</v>
      </c>
      <c r="J2215"/>
      <c r="K2215"/>
      <c r="L2215" s="44" t="str" cm="1">
        <f t="array" ref="L2215">+_xlfn.IFS(COUNTIF(INGRESOS!E:E,Tabla6[[#This Row],[ID FACTURA]])=1,"PAGADA",Tabla6[[#This Row],[ID FACTURA]]&lt;&gt;0,"EMITIDA",Tabla6[[#This Row],[ID FACTURA]]=0,"POR EMITIR")</f>
        <v>POR EMITIR</v>
      </c>
      <c r="M2215" s="55" t="str">
        <f>+IF(Tabla6[[#This Row],[ESTADO FACTURA]]="PAGADA",Tabla6[[#This Row],[FECHA]]-_xlfn.XLOOKUP(Tabla6[[#This Row],[N° FACTURA]],INGRESOS!F:F,INGRESOS!A:A),"-")</f>
        <v>-</v>
      </c>
      <c r="N2215" s="2"/>
      <c r="O2215" t="s">
        <v>2084</v>
      </c>
    </row>
    <row r="2216" spans="1:15" ht="14.75" customHeight="1">
      <c r="A2216" s="320" t="s">
        <v>460</v>
      </c>
      <c r="B2216" t="str">
        <f>+_xlfn.XLOOKUP(Tabla6[[#This Row],[ID CLIENTE]],'RESUMEN CLIENTES'!D:D,'RESUMEN CLIENTES'!A:A)</f>
        <v>Valeria Carolina Heredia Peña</v>
      </c>
      <c r="C2216" t="str">
        <f>+_xlfn.XLOOKUP(Tabla6[[#This Row],[ID CLIENTE]],'RESUMEN CLIENTES'!D:D,'RESUMEN CLIENTES'!C:C)</f>
        <v>Bolivia</v>
      </c>
      <c r="D2216" s="44" t="str">
        <f>+_xlfn.XLOOKUP(Tabla6[[#This Row],[ID CLIENTE]],'RESUMEN CLIENTES'!D:D,'RESUMEN CLIENTES'!M:M)</f>
        <v>OK</v>
      </c>
      <c r="E2216" s="72">
        <f>+_xlfn.XLOOKUP(Tabla6[[#This Row],[NOMBRE]],'RESUMEN CLIENTES'!A:A,'RESUMEN CLIENTES'!X:X)</f>
        <v>2.5</v>
      </c>
      <c r="F2216" s="72">
        <f>+_xlfn.XLOOKUP(Tabla6[[#This Row],[ID CLIENTE]],'RESUMEN CLIENTES'!D:D,'RESUMEN CLIENTES'!W:W)</f>
        <v>0</v>
      </c>
      <c r="G2216" s="17">
        <f>IF($H2216&lt;&gt;"ALEM","",IFERROR(
  DATE(
    YEAR(EDATE(
      _xlfn.XLOOKUP($A2216,'RESUMEN CLIENTES'!$D:$D,'RESUMEN CLIENTES'!$Y:$Y,""),
      7 + COUNTIFS(
            $A$2:INDEX($A:$A,ROW()), $A2216,
            $H$2:INDEX($H:$H,ROW()), "ALEM"
          )
    )),
    MONTH(EDATE(
      _xlfn.XLOOKUP($A2216,'RESUMEN CLIENTES'!$D:$D,'RESUMEN CLIENTES'!$Y:$Y,""),
      7 + COUNTIFS(
            $A$2:INDEX($A:$A,ROW()), $A2216,
            $H$2:INDEX($H:$H,ROW()), "ALEM"
          )
    )),
    1
  ),
"SIN FECHA MIG"))</f>
        <v>46478</v>
      </c>
      <c r="H2216" s="44" t="s">
        <v>1876</v>
      </c>
      <c r="I2216" s="2">
        <v>1000</v>
      </c>
      <c r="J2216"/>
      <c r="K2216"/>
      <c r="L2216" s="44" t="str" cm="1">
        <f t="array" ref="L2216">+_xlfn.IFS(COUNTIF(INGRESOS!E:E,Tabla6[[#This Row],[ID FACTURA]])=1,"PAGADA",Tabla6[[#This Row],[ID FACTURA]]&lt;&gt;0,"EMITIDA",Tabla6[[#This Row],[ID FACTURA]]=0,"POR EMITIR")</f>
        <v>POR EMITIR</v>
      </c>
      <c r="M2216" s="55" t="str">
        <f>+IF(Tabla6[[#This Row],[ESTADO FACTURA]]="PAGADA",Tabla6[[#This Row],[FECHA]]-_xlfn.XLOOKUP(Tabla6[[#This Row],[N° FACTURA]],INGRESOS!F:F,INGRESOS!A:A),"-")</f>
        <v>-</v>
      </c>
      <c r="N2216" s="2"/>
      <c r="O2216"/>
    </row>
    <row r="2217" spans="1:15" ht="14.75" customHeight="1">
      <c r="A2217" s="320" t="s">
        <v>4442</v>
      </c>
      <c r="B2217" t="str">
        <f>+_xlfn.XLOOKUP(Tabla6[[#This Row],[ID CLIENTE]],'RESUMEN CLIENTES'!D:D,'RESUMEN CLIENTES'!A:A)</f>
        <v>Vicente Javier Campusano Banse</v>
      </c>
      <c r="C2217" t="str">
        <f>+_xlfn.XLOOKUP(Tabla6[[#This Row],[ID CLIENTE]],'RESUMEN CLIENTES'!D:D,'RESUMEN CLIENTES'!C:C)</f>
        <v>Chile</v>
      </c>
      <c r="D2217" s="169" t="str">
        <f>+_xlfn.XLOOKUP(Tabla6[[#This Row],[ID CLIENTE]],'RESUMEN CLIENTES'!D:D,'RESUMEN CLIENTES'!M:M)</f>
        <v>¡REGULARIZAR!</v>
      </c>
      <c r="E2217" s="71">
        <f>+_xlfn.XLOOKUP(Tabla6[[#This Row],[NOMBRE]],'RESUMEN CLIENTES'!A:A,'RESUMEN CLIENTES'!X:X)</f>
        <v>0</v>
      </c>
      <c r="F2217" s="71">
        <f>+_xlfn.XLOOKUP(Tabla6[[#This Row],[ID CLIENTE]],'RESUMEN CLIENTES'!D:D,'RESUMEN CLIENTES'!W:W)</f>
        <v>0</v>
      </c>
      <c r="G2217" s="428">
        <f>IF($H2217&lt;&gt;"ALEM","",IFERROR(
  DATE(
    YEAR(EDATE(
      _xlfn.XLOOKUP($A2217,'RESUMEN CLIENTES'!$D:$D,'RESUMEN CLIENTES'!$Y:$Y,""),
      7 + COUNTIFS(
            $A$2:INDEX($A:$A,ROW()), $A2217,
            $H$2:INDEX($H:$H,ROW()), "ALEM"
          )
    )),
    MONTH(EDATE(
      _xlfn.XLOOKUP($A2217,'RESUMEN CLIENTES'!$D:$D,'RESUMEN CLIENTES'!$Y:$Y,""),
      7 + COUNTIFS(
            $A$2:INDEX($A:$A,ROW()), $A2217,
            $H$2:INDEX($H:$H,ROW()), "ALEM"
          )
    )),
    1
  ),
"null"))</f>
        <v>46478</v>
      </c>
      <c r="H2217" s="169" t="s">
        <v>1876</v>
      </c>
      <c r="I2217" s="2">
        <v>750</v>
      </c>
      <c r="J2217"/>
      <c r="K2217"/>
      <c r="L2217" s="44" t="str" cm="1">
        <f t="array" ref="L2217">+_xlfn.IFS(COUNTIF(INGRESOS!E:E,Tabla6[[#This Row],[ID FACTURA]])=1,"PAGADA",Tabla6[[#This Row],[ID FACTURA]]&lt;&gt;0,"EMITIDA",Tabla6[[#This Row],[ID FACTURA]]=0,"POR EMITIR")</f>
        <v>POR EMITIR</v>
      </c>
      <c r="M2217" s="54" t="str">
        <f>+IF(Tabla6[[#This Row],[ESTADO FACTURA]]="PAGADA",Tabla6[[#This Row],[FECHA]]-_xlfn.XLOOKUP(Tabla6[[#This Row],[N° FACTURA]],INGRESOS!F:F,INGRESOS!A:A),"-")</f>
        <v>-</v>
      </c>
      <c r="O2217"/>
    </row>
    <row r="2218" spans="1:15" ht="14.75" customHeight="1">
      <c r="A2218" s="320" t="s">
        <v>706</v>
      </c>
      <c r="B2218" t="str">
        <f>+_xlfn.XLOOKUP(Tabla6[[#This Row],[ID CLIENTE]],'RESUMEN CLIENTES'!D:D,'RESUMEN CLIENTES'!A:A)</f>
        <v>Virna Nathaly Montenegro Samaniego</v>
      </c>
      <c r="C2218" t="str">
        <f>+_xlfn.XLOOKUP(Tabla6[[#This Row],[ID CLIENTE]],'RESUMEN CLIENTES'!D:D,'RESUMEN CLIENTES'!C:C)</f>
        <v>Ecuador</v>
      </c>
      <c r="D2218" s="44" t="str">
        <f>+_xlfn.XLOOKUP(Tabla6[[#This Row],[ID CLIENTE]],'RESUMEN CLIENTES'!D:D,'RESUMEN CLIENTES'!M:M)</f>
        <v>OK</v>
      </c>
      <c r="E2218" s="72">
        <f>+_xlfn.XLOOKUP(Tabla6[[#This Row],[NOMBRE]],'RESUMEN CLIENTES'!A:A,'RESUMEN CLIENTES'!X:X)</f>
        <v>7.375</v>
      </c>
      <c r="F2218" s="72">
        <f>+_xlfn.XLOOKUP(Tabla6[[#This Row],[ID CLIENTE]],'RESUMEN CLIENTES'!D:D,'RESUMEN CLIENTES'!W:W)</f>
        <v>0</v>
      </c>
      <c r="G2218" s="17">
        <f>IF($H2218&lt;&gt;"ALEM","",IFERROR(
  DATE(
    YEAR(EDATE(
      _xlfn.XLOOKUP($A2218,'RESUMEN CLIENTES'!$D:$D,'RESUMEN CLIENTES'!$Y:$Y,""),
      7 + COUNTIFS(
            $A$2:INDEX($A:$A,ROW()), $A2218,
            $H$2:INDEX($H:$H,ROW()), "ALEM"
          )
    )),
    MONTH(EDATE(
      _xlfn.XLOOKUP($A2218,'RESUMEN CLIENTES'!$D:$D,'RESUMEN CLIENTES'!$Y:$Y,""),
      7 + COUNTIFS(
            $A$2:INDEX($A:$A,ROW()), $A2218,
            $H$2:INDEX($H:$H,ROW()), "ALEM"
          )
    )),
    1
  ),
"SIN FECHA MIG"))</f>
        <v>46478</v>
      </c>
      <c r="H2218" s="44" t="s">
        <v>1876</v>
      </c>
      <c r="I2218" s="2">
        <v>1000</v>
      </c>
      <c r="J2218"/>
      <c r="K2218"/>
      <c r="L2218" s="44" t="str" cm="1">
        <f t="array" ref="L2218">+_xlfn.IFS(COUNTIF(INGRESOS!E:E,Tabla6[[#This Row],[ID FACTURA]])=1,"PAGADA",Tabla6[[#This Row],[ID FACTURA]]&lt;&gt;0,"EMITIDA",Tabla6[[#This Row],[ID FACTURA]]=0,"POR EMITIR")</f>
        <v>POR EMITIR</v>
      </c>
      <c r="M2218" s="55" t="str">
        <f>+IF(Tabla6[[#This Row],[ESTADO FACTURA]]="PAGADA",Tabla6[[#This Row],[FECHA]]-_xlfn.XLOOKUP(Tabla6[[#This Row],[N° FACTURA]],INGRESOS!F:F,INGRESOS!A:A),"-")</f>
        <v>-</v>
      </c>
      <c r="N2218" s="2"/>
      <c r="O2218"/>
    </row>
    <row r="2219" spans="1:15" ht="14.75" customHeight="1">
      <c r="A2219" s="320" t="s">
        <v>447</v>
      </c>
      <c r="B2219" t="str">
        <f>+_xlfn.XLOOKUP(Tabla6[[#This Row],[ID CLIENTE]],'RESUMEN CLIENTES'!D:D,'RESUMEN CLIENTES'!A:A)</f>
        <v>Yefry Onil Santana Marte</v>
      </c>
      <c r="C2219" t="str">
        <f>+_xlfn.XLOOKUP(Tabla6[[#This Row],[ID CLIENTE]],'RESUMEN CLIENTES'!D:D,'RESUMEN CLIENTES'!C:C)</f>
        <v>República Dominicana</v>
      </c>
      <c r="D2219" s="44" t="str">
        <f>+_xlfn.XLOOKUP(Tabla6[[#This Row],[ID CLIENTE]],'RESUMEN CLIENTES'!D:D,'RESUMEN CLIENTES'!M:M)</f>
        <v>OK</v>
      </c>
      <c r="E2219" s="72">
        <f>+_xlfn.XLOOKUP(Tabla6[[#This Row],[NOMBRE]],'RESUMEN CLIENTES'!A:A,'RESUMEN CLIENTES'!X:X)</f>
        <v>-0.90909090909090906</v>
      </c>
      <c r="F2219" s="72">
        <f>+_xlfn.XLOOKUP(Tabla6[[#This Row],[ID CLIENTE]],'RESUMEN CLIENTES'!D:D,'RESUMEN CLIENTES'!W:W)</f>
        <v>0</v>
      </c>
      <c r="G2219" s="17">
        <f>IF($H2219&lt;&gt;"ALEM","",IFERROR(
  DATE(
    YEAR(EDATE(
      _xlfn.XLOOKUP($A2219,'RESUMEN CLIENTES'!$D:$D,'RESUMEN CLIENTES'!$Y:$Y,""),
      7 + COUNTIFS(
            $A$2:INDEX($A:$A,ROW()), $A2219,
            $H$2:INDEX($H:$H,ROW()), "ALEM"
          )
    )),
    MONTH(EDATE(
      _xlfn.XLOOKUP($A2219,'RESUMEN CLIENTES'!$D:$D,'RESUMEN CLIENTES'!$Y:$Y,""),
      7 + COUNTIFS(
            $A$2:INDEX($A:$A,ROW()), $A2219,
            $H$2:INDEX($H:$H,ROW()), "ALEM"
          )
    )),
    1
  ),
"SIN FECHA MIG"))</f>
        <v>46478</v>
      </c>
      <c r="H2219" s="44" t="s">
        <v>1876</v>
      </c>
      <c r="I2219" s="2">
        <v>1000</v>
      </c>
      <c r="J2219"/>
      <c r="K2219"/>
      <c r="L2219" s="44" t="str" cm="1">
        <f t="array" ref="L2219">+_xlfn.IFS(COUNTIF(INGRESOS!E:E,Tabla6[[#This Row],[ID FACTURA]])=1,"PAGADA",Tabla6[[#This Row],[ID FACTURA]]&lt;&gt;0,"EMITIDA",Tabla6[[#This Row],[ID FACTURA]]=0,"POR EMITIR")</f>
        <v>POR EMITIR</v>
      </c>
      <c r="M2219" s="55" t="str">
        <f>+IF(Tabla6[[#This Row],[ESTADO FACTURA]]="PAGADA",Tabla6[[#This Row],[FECHA]]-_xlfn.XLOOKUP(Tabla6[[#This Row],[N° FACTURA]],INGRESOS!F:F,INGRESOS!A:A),"-")</f>
        <v>-</v>
      </c>
      <c r="N2219" s="2"/>
      <c r="O2219"/>
    </row>
    <row r="2220" spans="1:15" ht="14.75" customHeight="1">
      <c r="A2220" s="320" t="s">
        <v>1248</v>
      </c>
      <c r="B2220" t="str">
        <f>+_xlfn.XLOOKUP(Tabla6[[#This Row],[ID CLIENTE]],'RESUMEN CLIENTES'!D:D,'RESUMEN CLIENTES'!A:A)</f>
        <v>Emily Vanessa Tapia Villalobos</v>
      </c>
      <c r="C2220" t="str">
        <f>+_xlfn.XLOOKUP(Tabla6[[#This Row],[ID CLIENTE]],'RESUMEN CLIENTES'!D:D,'RESUMEN CLIENTES'!C:C)</f>
        <v>Chile</v>
      </c>
      <c r="D2220" s="44" t="str">
        <f>+_xlfn.XLOOKUP(Tabla6[[#This Row],[ID CLIENTE]],'RESUMEN CLIENTES'!D:D,'RESUMEN CLIENTES'!M:M)</f>
        <v>OK</v>
      </c>
      <c r="E2220" s="71">
        <f>+_xlfn.XLOOKUP(Tabla6[[#This Row],[NOMBRE]],'RESUMEN CLIENTES'!A:A,'RESUMEN CLIENTES'!X:X)</f>
        <v>0.33333333333333331</v>
      </c>
      <c r="F2220" s="71">
        <f>+_xlfn.XLOOKUP(Tabla6[[#This Row],[ID CLIENTE]],'RESUMEN CLIENTES'!D:D,'RESUMEN CLIENTES'!W:W)</f>
        <v>0</v>
      </c>
      <c r="G2220" s="17">
        <v>46480</v>
      </c>
      <c r="H2220" s="44" t="s">
        <v>81</v>
      </c>
      <c r="I2220" s="2">
        <v>1000</v>
      </c>
      <c r="J2220"/>
      <c r="K2220"/>
      <c r="L2220" s="44" t="str" cm="1">
        <f t="array" ref="L2220">+_xlfn.IFS(COUNTIF(INGRESOS!E:E,Tabla6[[#This Row],[ID FACTURA]])=1,"PAGADA",Tabla6[[#This Row],[ID FACTURA]]&lt;&gt;0,"EMITIDA",Tabla6[[#This Row],[ID FACTURA]]=0,"POR EMITIR")</f>
        <v>POR EMITIR</v>
      </c>
      <c r="M2220" s="55" t="str">
        <f>+IF(Tabla6[[#This Row],[ESTADO FACTURA]]="PAGADA",Tabla6[[#This Row],[FECHA]]-_xlfn.XLOOKUP(Tabla6[[#This Row],[N° FACTURA]],INGRESOS!F:F,INGRESOS!A:A),"-")</f>
        <v>-</v>
      </c>
      <c r="N2220" s="2"/>
      <c r="O2220"/>
    </row>
    <row r="2221" spans="1:15" ht="14.75" customHeight="1">
      <c r="A2221" s="320" t="s">
        <v>1251</v>
      </c>
      <c r="B2221" t="str">
        <f>+_xlfn.XLOOKUP(Tabla6[[#This Row],[ID CLIENTE]],'RESUMEN CLIENTES'!D:D,'RESUMEN CLIENTES'!A:A)</f>
        <v>Erick Ernesto Angulo Campos</v>
      </c>
      <c r="C2221" t="str">
        <f>+_xlfn.XLOOKUP(Tabla6[[#This Row],[ID CLIENTE]],'RESUMEN CLIENTES'!D:D,'RESUMEN CLIENTES'!C:C)</f>
        <v>Chile</v>
      </c>
      <c r="D2221" s="44" t="str">
        <f>+_xlfn.XLOOKUP(Tabla6[[#This Row],[ID CLIENTE]],'RESUMEN CLIENTES'!D:D,'RESUMEN CLIENTES'!M:M)</f>
        <v>OK</v>
      </c>
      <c r="E2221" s="71">
        <f>+_xlfn.XLOOKUP(Tabla6[[#This Row],[NOMBRE]],'RESUMEN CLIENTES'!A:A,'RESUMEN CLIENTES'!X:X)</f>
        <v>-0.66666666666666663</v>
      </c>
      <c r="F2221" s="71">
        <f>+_xlfn.XLOOKUP(Tabla6[[#This Row],[ID CLIENTE]],'RESUMEN CLIENTES'!D:D,'RESUMEN CLIENTES'!W:W)</f>
        <v>0</v>
      </c>
      <c r="G2221" s="17">
        <v>46480</v>
      </c>
      <c r="H2221" s="44" t="s">
        <v>81</v>
      </c>
      <c r="I2221" s="2">
        <v>1000</v>
      </c>
      <c r="J2221"/>
      <c r="K2221"/>
      <c r="L2221" s="44" t="str" cm="1">
        <f t="array" ref="L2221">+_xlfn.IFS(COUNTIF(INGRESOS!E:E,Tabla6[[#This Row],[ID FACTURA]])=1,"PAGADA",Tabla6[[#This Row],[ID FACTURA]]&lt;&gt;0,"EMITIDA",Tabla6[[#This Row],[ID FACTURA]]=0,"POR EMITIR")</f>
        <v>POR EMITIR</v>
      </c>
      <c r="M2221" s="55" t="str">
        <f>+IF(Tabla6[[#This Row],[ESTADO FACTURA]]="PAGADA",Tabla6[[#This Row],[FECHA]]-_xlfn.XLOOKUP(Tabla6[[#This Row],[N° FACTURA]],INGRESOS!F:F,INGRESOS!A:A),"-")</f>
        <v>-</v>
      </c>
      <c r="N2221" s="2"/>
      <c r="O2221"/>
    </row>
    <row r="2222" spans="1:15" ht="14.75" customHeight="1">
      <c r="A2222" s="320" t="s">
        <v>2521</v>
      </c>
      <c r="B2222" t="str">
        <f>+_xlfn.XLOOKUP(Tabla6[[#This Row],[ID CLIENTE]],'RESUMEN CLIENTES'!D:D,'RESUMEN CLIENTES'!A:A)</f>
        <v>Fabián Andrés Sarmiento Auli</v>
      </c>
      <c r="C2222" t="str">
        <f>+_xlfn.XLOOKUP(Tabla6[[#This Row],[ID CLIENTE]],'RESUMEN CLIENTES'!D:D,'RESUMEN CLIENTES'!C:C)</f>
        <v>Colombia</v>
      </c>
      <c r="D2222" s="169" t="str">
        <f>+_xlfn.XLOOKUP(Tabla6[[#This Row],[ID CLIENTE]],'RESUMEN CLIENTES'!D:D,'RESUMEN CLIENTES'!M:M)</f>
        <v>OK</v>
      </c>
      <c r="E2222" s="71">
        <f>+_xlfn.XLOOKUP(Tabla6[[#This Row],[NOMBRE]],'RESUMEN CLIENTES'!A:A,'RESUMEN CLIENTES'!X:X)</f>
        <v>0</v>
      </c>
      <c r="F2222" s="71">
        <f>+_xlfn.XLOOKUP(Tabla6[[#This Row],[ID CLIENTE]],'RESUMEN CLIENTES'!D:D,'RESUMEN CLIENTES'!W:W)</f>
        <v>0</v>
      </c>
      <c r="G2222" s="17">
        <v>46482</v>
      </c>
      <c r="H2222" s="169" t="s">
        <v>1669</v>
      </c>
      <c r="I2222" s="2">
        <v>3000</v>
      </c>
      <c r="J2222"/>
      <c r="K2222"/>
      <c r="L2222" s="44" t="str" cm="1">
        <f t="array" ref="L2222">+_xlfn.IFS(COUNTIF(INGRESOS!E:E,Tabla6[[#This Row],[ID FACTURA]])=1,"PAGADA",Tabla6[[#This Row],[ID FACTURA]]&lt;&gt;0,"EMITIDA",Tabla6[[#This Row],[ID FACTURA]]=0,"POR EMITIR")</f>
        <v>POR EMITIR</v>
      </c>
      <c r="M2222" s="54" t="str">
        <f>+IF(Tabla6[[#This Row],[ESTADO FACTURA]]="PAGADA",Tabla6[[#This Row],[FECHA]]-_xlfn.XLOOKUP(Tabla6[[#This Row],[N° FACTURA]],INGRESOS!F:F,INGRESOS!A:A),"-")</f>
        <v>-</v>
      </c>
      <c r="O2222"/>
    </row>
    <row r="2223" spans="1:15" ht="14.75" customHeight="1">
      <c r="A2223" s="320" t="s">
        <v>787</v>
      </c>
      <c r="B2223" t="str">
        <f>+_xlfn.XLOOKUP(Tabla6[[#This Row],[ID CLIENTE]],'RESUMEN CLIENTES'!D:D,'RESUMEN CLIENTES'!A:A)</f>
        <v>Florencia Luján Sapia</v>
      </c>
      <c r="C2223" t="str">
        <f>+_xlfn.XLOOKUP(Tabla6[[#This Row],[ID CLIENTE]],'RESUMEN CLIENTES'!D:D,'RESUMEN CLIENTES'!C:C)</f>
        <v>Argentina</v>
      </c>
      <c r="D2223" s="44" t="str">
        <f>+_xlfn.XLOOKUP(Tabla6[[#This Row],[ID CLIENTE]],'RESUMEN CLIENTES'!D:D,'RESUMEN CLIENTES'!M:M)</f>
        <v>OK</v>
      </c>
      <c r="E2223" s="72">
        <f>+_xlfn.XLOOKUP(Tabla6[[#This Row],[NOMBRE]],'RESUMEN CLIENTES'!A:A,'RESUMEN CLIENTES'!X:X)</f>
        <v>-0.77777777777777779</v>
      </c>
      <c r="F2223" s="72">
        <f>+_xlfn.XLOOKUP(Tabla6[[#This Row],[ID CLIENTE]],'RESUMEN CLIENTES'!D:D,'RESUMEN CLIENTES'!W:W)</f>
        <v>1</v>
      </c>
      <c r="G2223" s="17">
        <v>46482</v>
      </c>
      <c r="H2223" s="44" t="s">
        <v>81</v>
      </c>
      <c r="I2223" s="2">
        <v>500</v>
      </c>
      <c r="J2223"/>
      <c r="K2223"/>
      <c r="L2223" s="44" t="str" cm="1">
        <f t="array" ref="L2223">+_xlfn.IFS(COUNTIF(INGRESOS!E:E,Tabla6[[#This Row],[ID FACTURA]])=1,"PAGADA",Tabla6[[#This Row],[ID FACTURA]]&lt;&gt;0,"EMITIDA",Tabla6[[#This Row],[ID FACTURA]]=0,"POR EMITIR")</f>
        <v>POR EMITIR</v>
      </c>
      <c r="M2223" s="55" t="str">
        <f>+IF(Tabla6[[#This Row],[ESTADO FACTURA]]="PAGADA",Tabla6[[#This Row],[FECHA]]-_xlfn.XLOOKUP(Tabla6[[#This Row],[N° FACTURA]],INGRESOS!F:F,INGRESOS!A:A),"-")</f>
        <v>-</v>
      </c>
      <c r="N2223" s="2"/>
      <c r="O2223"/>
    </row>
    <row r="2224" spans="1:15" ht="14.75" customHeight="1">
      <c r="A2224" s="320" t="s">
        <v>4454</v>
      </c>
      <c r="B2224" t="str">
        <f>+_xlfn.XLOOKUP(Tabla6[[#This Row],[ID CLIENTE]],'RESUMEN CLIENTES'!D:D,'RESUMEN CLIENTES'!A:A)</f>
        <v>Jose Luis Avilez Casas</v>
      </c>
      <c r="C2224" t="str">
        <f>+_xlfn.XLOOKUP(Tabla6[[#This Row],[ID CLIENTE]],'RESUMEN CLIENTES'!D:D,'RESUMEN CLIENTES'!C:C)</f>
        <v>México</v>
      </c>
      <c r="D2224" s="169" t="str">
        <f>+_xlfn.XLOOKUP(Tabla6[[#This Row],[ID CLIENTE]],'RESUMEN CLIENTES'!D:D,'RESUMEN CLIENTES'!M:M)</f>
        <v>OK</v>
      </c>
      <c r="E2224" s="71">
        <f>+_xlfn.XLOOKUP(Tabla6[[#This Row],[NOMBRE]],'RESUMEN CLIENTES'!A:A,'RESUMEN CLIENTES'!X:X)</f>
        <v>0.33333333333333331</v>
      </c>
      <c r="F2224" s="71">
        <f>+_xlfn.XLOOKUP(Tabla6[[#This Row],[ID CLIENTE]],'RESUMEN CLIENTES'!D:D,'RESUMEN CLIENTES'!W:W)</f>
        <v>0</v>
      </c>
      <c r="G2224" s="17">
        <v>46482</v>
      </c>
      <c r="H2224" s="169" t="s">
        <v>81</v>
      </c>
      <c r="I2224" s="2">
        <v>1000</v>
      </c>
      <c r="J2224"/>
      <c r="K2224"/>
      <c r="L2224" s="44" t="str" cm="1">
        <f t="array" ref="L2224">+_xlfn.IFS(COUNTIF(INGRESOS!E:E,Tabla6[[#This Row],[ID FACTURA]])=1,"PAGADA",Tabla6[[#This Row],[ID FACTURA]]&lt;&gt;0,"EMITIDA",Tabla6[[#This Row],[ID FACTURA]]=0,"POR EMITIR")</f>
        <v>POR EMITIR</v>
      </c>
      <c r="M2224" s="54" t="str">
        <f>+IF(Tabla6[[#This Row],[ESTADO FACTURA]]="PAGADA",Tabla6[[#This Row],[FECHA]]-_xlfn.XLOOKUP(Tabla6[[#This Row],[N° FACTURA]],INGRESOS!F:F,INGRESOS!A:A),"-")</f>
        <v>-</v>
      </c>
      <c r="O2224"/>
    </row>
    <row r="2225" spans="1:15" ht="14.75" customHeight="1">
      <c r="A2225" s="320" t="s">
        <v>798</v>
      </c>
      <c r="B2225" t="str">
        <f>+_xlfn.XLOOKUP(Tabla6[[#This Row],[ID CLIENTE]],'RESUMEN CLIENTES'!D:D,'RESUMEN CLIENTES'!A:A)</f>
        <v>Juan Manuel Paranzino</v>
      </c>
      <c r="C2225" t="str">
        <f>+_xlfn.XLOOKUP(Tabla6[[#This Row],[ID CLIENTE]],'RESUMEN CLIENTES'!D:D,'RESUMEN CLIENTES'!C:C)</f>
        <v>Argentina</v>
      </c>
      <c r="D2225" s="44" t="str">
        <f>+_xlfn.XLOOKUP(Tabla6[[#This Row],[ID CLIENTE]],'RESUMEN CLIENTES'!D:D,'RESUMEN CLIENTES'!M:M)</f>
        <v>OK</v>
      </c>
      <c r="E2225" s="72">
        <f>+_xlfn.XLOOKUP(Tabla6[[#This Row],[NOMBRE]],'RESUMEN CLIENTES'!A:A,'RESUMEN CLIENTES'!X:X)</f>
        <v>-1</v>
      </c>
      <c r="F2225" s="72">
        <f>+_xlfn.XLOOKUP(Tabla6[[#This Row],[ID CLIENTE]],'RESUMEN CLIENTES'!D:D,'RESUMEN CLIENTES'!W:W)</f>
        <v>0</v>
      </c>
      <c r="G2225" s="17">
        <v>46482</v>
      </c>
      <c r="H2225" s="44" t="s">
        <v>81</v>
      </c>
      <c r="I2225" s="2">
        <v>500</v>
      </c>
      <c r="J2225"/>
      <c r="K2225"/>
      <c r="L2225" s="44" t="str" cm="1">
        <f t="array" ref="L2225">+_xlfn.IFS(COUNTIF(INGRESOS!E:E,Tabla6[[#This Row],[ID FACTURA]])=1,"PAGADA",Tabla6[[#This Row],[ID FACTURA]]&lt;&gt;0,"EMITIDA",Tabla6[[#This Row],[ID FACTURA]]=0,"POR EMITIR")</f>
        <v>POR EMITIR</v>
      </c>
      <c r="M2225" s="55" t="str">
        <f>+IF(Tabla6[[#This Row],[ESTADO FACTURA]]="PAGADA",Tabla6[[#This Row],[FECHA]]-_xlfn.XLOOKUP(Tabla6[[#This Row],[N° FACTURA]],INGRESOS!F:F,INGRESOS!A:A),"-")</f>
        <v>-</v>
      </c>
      <c r="N2225" s="2"/>
      <c r="O2225"/>
    </row>
    <row r="2226" spans="1:15" ht="14.75" customHeight="1">
      <c r="A2226" s="320" t="s">
        <v>1416</v>
      </c>
      <c r="B2226" t="str">
        <f>+_xlfn.XLOOKUP(Tabla6[[#This Row],[ID CLIENTE]],'RESUMEN CLIENTES'!D:D,'RESUMEN CLIENTES'!A:A)</f>
        <v>Luis Armando Calderon Manzanera</v>
      </c>
      <c r="C2226" t="str">
        <f>+_xlfn.XLOOKUP(Tabla6[[#This Row],[ID CLIENTE]],'RESUMEN CLIENTES'!D:D,'RESUMEN CLIENTES'!C:C)</f>
        <v>México</v>
      </c>
      <c r="D2226" s="44" t="str">
        <f>+_xlfn.XLOOKUP(Tabla6[[#This Row],[ID CLIENTE]],'RESUMEN CLIENTES'!D:D,'RESUMEN CLIENTES'!M:M)</f>
        <v>OK</v>
      </c>
      <c r="E2226" s="71">
        <f>+_xlfn.XLOOKUP(Tabla6[[#This Row],[NOMBRE]],'RESUMEN CLIENTES'!A:A,'RESUMEN CLIENTES'!X:X)</f>
        <v>2</v>
      </c>
      <c r="F2226" s="71">
        <f>+_xlfn.XLOOKUP(Tabla6[[#This Row],[ID CLIENTE]],'RESUMEN CLIENTES'!D:D,'RESUMEN CLIENTES'!W:W)</f>
        <v>1</v>
      </c>
      <c r="G2226" s="17">
        <v>46482</v>
      </c>
      <c r="H2226" s="44" t="s">
        <v>81</v>
      </c>
      <c r="I2226" s="2">
        <v>650</v>
      </c>
      <c r="J2226"/>
      <c r="K2226"/>
      <c r="L2226" s="44" t="str" cm="1">
        <f t="array" ref="L2226">+_xlfn.IFS(COUNTIF(INGRESOS!E:E,Tabla6[[#This Row],[ID FACTURA]])=1,"PAGADA",Tabla6[[#This Row],[ID FACTURA]]&lt;&gt;0,"EMITIDA",Tabla6[[#This Row],[ID FACTURA]]=0,"POR EMITIR")</f>
        <v>POR EMITIR</v>
      </c>
      <c r="M2226" s="55" t="str">
        <f>+IF(Tabla6[[#This Row],[ESTADO FACTURA]]="PAGADA",Tabla6[[#This Row],[FECHA]]-_xlfn.XLOOKUP(Tabla6[[#This Row],[N° FACTURA]],INGRESOS!F:F,INGRESOS!A:A),"-")</f>
        <v>-</v>
      </c>
      <c r="N2226" s="2"/>
      <c r="O2226"/>
    </row>
    <row r="2227" spans="1:15" ht="14.75" customHeight="1">
      <c r="A2227" s="320" t="s">
        <v>703</v>
      </c>
      <c r="B2227" t="str">
        <f>+_xlfn.XLOOKUP(Tabla6[[#This Row],[ID CLIENTE]],'RESUMEN CLIENTES'!D:D,'RESUMEN CLIENTES'!A:A)</f>
        <v>Maira Paz Navas Sánchez</v>
      </c>
      <c r="C2227" t="str">
        <f>+_xlfn.XLOOKUP(Tabla6[[#This Row],[ID CLIENTE]],'RESUMEN CLIENTES'!D:D,'RESUMEN CLIENTES'!C:C)</f>
        <v>Chile</v>
      </c>
      <c r="D2227" s="44" t="str">
        <f>+_xlfn.XLOOKUP(Tabla6[[#This Row],[ID CLIENTE]],'RESUMEN CLIENTES'!D:D,'RESUMEN CLIENTES'!M:M)</f>
        <v>OK</v>
      </c>
      <c r="E2227" s="72">
        <f>+_xlfn.XLOOKUP(Tabla6[[#This Row],[NOMBRE]],'RESUMEN CLIENTES'!A:A,'RESUMEN CLIENTES'!X:X)</f>
        <v>-1.75</v>
      </c>
      <c r="F2227" s="72">
        <f>+_xlfn.XLOOKUP(Tabla6[[#This Row],[ID CLIENTE]],'RESUMEN CLIENTES'!D:D,'RESUMEN CLIENTES'!W:W)</f>
        <v>1</v>
      </c>
      <c r="G2227" s="17">
        <v>46482</v>
      </c>
      <c r="H2227" s="44" t="s">
        <v>81</v>
      </c>
      <c r="I2227" s="2">
        <v>700</v>
      </c>
      <c r="J2227"/>
      <c r="K2227"/>
      <c r="L2227" s="44" t="str" cm="1">
        <f t="array" ref="L2227">+_xlfn.IFS(COUNTIF(INGRESOS!E:E,Tabla6[[#This Row],[ID FACTURA]])=1,"PAGADA",Tabla6[[#This Row],[ID FACTURA]]&lt;&gt;0,"EMITIDA",Tabla6[[#This Row],[ID FACTURA]]=0,"POR EMITIR")</f>
        <v>POR EMITIR</v>
      </c>
      <c r="M2227" s="55" t="str">
        <f>+IF(Tabla6[[#This Row],[ESTADO FACTURA]]="PAGADA",Tabla6[[#This Row],[FECHA]]-_xlfn.XLOOKUP(Tabla6[[#This Row],[N° FACTURA]],INGRESOS!F:F,INGRESOS!A:A),"-")</f>
        <v>-</v>
      </c>
      <c r="N2227" s="2"/>
      <c r="O2227"/>
    </row>
    <row r="2228" spans="1:15" ht="14.75" customHeight="1">
      <c r="A2228" s="320" t="s">
        <v>80</v>
      </c>
      <c r="B2228" t="str">
        <f>+_xlfn.XLOOKUP(Tabla6[[#This Row],[ID CLIENTE]],'RESUMEN CLIENTES'!D:D,'RESUMEN CLIENTES'!A:A)</f>
        <v>María Fernanda Alvar Sepúlveda</v>
      </c>
      <c r="C2228" t="str">
        <f>+_xlfn.XLOOKUP(Tabla6[[#This Row],[ID CLIENTE]],'RESUMEN CLIENTES'!D:D,'RESUMEN CLIENTES'!C:C)</f>
        <v>Chile</v>
      </c>
      <c r="D2228" s="44" t="str">
        <f>+_xlfn.XLOOKUP(Tabla6[[#This Row],[ID CLIENTE]],'RESUMEN CLIENTES'!D:D,'RESUMEN CLIENTES'!M:M)</f>
        <v>OK</v>
      </c>
      <c r="E2228" s="72">
        <f>+_xlfn.XLOOKUP(Tabla6[[#This Row],[NOMBRE]],'RESUMEN CLIENTES'!A:A,'RESUMEN CLIENTES'!X:X)</f>
        <v>5</v>
      </c>
      <c r="F2228" s="71">
        <f>+_xlfn.XLOOKUP(Tabla6[[#This Row],[ID CLIENTE]],'RESUMEN CLIENTES'!D:D,'RESUMEN CLIENTES'!W:W)</f>
        <v>1</v>
      </c>
      <c r="G2228" s="17">
        <v>46482</v>
      </c>
      <c r="H2228" s="44" t="s">
        <v>81</v>
      </c>
      <c r="I2228" s="2">
        <v>633</v>
      </c>
      <c r="J2228"/>
      <c r="K2228"/>
      <c r="L2228" s="44" t="str" cm="1">
        <f t="array" ref="L2228">+_xlfn.IFS(COUNTIF(INGRESOS!E:E,Tabla6[[#This Row],[ID FACTURA]])=1,"PAGADA",Tabla6[[#This Row],[ID FACTURA]]&lt;&gt;0,"EMITIDA",Tabla6[[#This Row],[ID FACTURA]]=0,"POR EMITIR")</f>
        <v>POR EMITIR</v>
      </c>
      <c r="M2228" s="55" t="str">
        <f>+IF(Tabla6[[#This Row],[ESTADO FACTURA]]="PAGADA",Tabla6[[#This Row],[FECHA]]-_xlfn.XLOOKUP(Tabla6[[#This Row],[N° FACTURA]],INGRESOS!F:F,INGRESOS!A:A),"-")</f>
        <v>-</v>
      </c>
      <c r="N2228" s="214"/>
      <c r="O2228"/>
    </row>
    <row r="2229" spans="1:15" ht="14.75" customHeight="1">
      <c r="A2229" s="320" t="s">
        <v>281</v>
      </c>
      <c r="B2229" t="str">
        <f>+_xlfn.XLOOKUP(Tabla6[[#This Row],[ID CLIENTE]],'RESUMEN CLIENTES'!D:D,'RESUMEN CLIENTES'!A:A)</f>
        <v>Sergio Francisco Garcia Sandoval</v>
      </c>
      <c r="C2229" t="str">
        <f>+_xlfn.XLOOKUP(Tabla6[[#This Row],[ID CLIENTE]],'RESUMEN CLIENTES'!D:D,'RESUMEN CLIENTES'!C:C)</f>
        <v>Perú</v>
      </c>
      <c r="D2229" s="44" t="str">
        <f>+_xlfn.XLOOKUP(Tabla6[[#This Row],[ID CLIENTE]],'RESUMEN CLIENTES'!D:D,'RESUMEN CLIENTES'!M:M)</f>
        <v>OK</v>
      </c>
      <c r="E2229" s="72">
        <f>+_xlfn.XLOOKUP(Tabla6[[#This Row],[NOMBRE]],'RESUMEN CLIENTES'!A:A,'RESUMEN CLIENTES'!X:X)</f>
        <v>0.88888888888888884</v>
      </c>
      <c r="F2229" s="72">
        <f>+_xlfn.XLOOKUP(Tabla6[[#This Row],[ID CLIENTE]],'RESUMEN CLIENTES'!D:D,'RESUMEN CLIENTES'!W:W)</f>
        <v>1</v>
      </c>
      <c r="G2229" s="17">
        <v>46482</v>
      </c>
      <c r="H2229" s="44" t="s">
        <v>81</v>
      </c>
      <c r="I2229" s="2">
        <v>350</v>
      </c>
      <c r="J2229"/>
      <c r="K2229"/>
      <c r="L2229" s="44" t="str" cm="1">
        <f t="array" ref="L2229">+_xlfn.IFS(COUNTIF(INGRESOS!E:E,Tabla6[[#This Row],[ID FACTURA]])=1,"PAGADA",Tabla6[[#This Row],[ID FACTURA]]&lt;&gt;0,"EMITIDA",Tabla6[[#This Row],[ID FACTURA]]=0,"POR EMITIR")</f>
        <v>POR EMITIR</v>
      </c>
      <c r="M2229" s="55" t="str">
        <f>+IF(Tabla6[[#This Row],[ESTADO FACTURA]]="PAGADA",Tabla6[[#This Row],[FECHA]]-_xlfn.XLOOKUP(Tabla6[[#This Row],[N° FACTURA]],INGRESOS!F:F,INGRESOS!A:A),"-")</f>
        <v>-</v>
      </c>
      <c r="N2229" s="2"/>
      <c r="O2229"/>
    </row>
    <row r="2230" spans="1:15" ht="14.75" customHeight="1">
      <c r="A2230" s="320" t="s">
        <v>1152</v>
      </c>
      <c r="B2230" t="str">
        <f>+_xlfn.XLOOKUP(Tabla6[[#This Row],[ID CLIENTE]],'RESUMEN CLIENTES'!D:D,'RESUMEN CLIENTES'!A:A)</f>
        <v>Ricardo Ernesto Miño Valencia</v>
      </c>
      <c r="C2230" t="str">
        <f>+_xlfn.XLOOKUP(Tabla6[[#This Row],[ID CLIENTE]],'RESUMEN CLIENTES'!D:D,'RESUMEN CLIENTES'!C:C)</f>
        <v>Ecuador</v>
      </c>
      <c r="D2230" s="44" t="str">
        <f>+_xlfn.XLOOKUP(Tabla6[[#This Row],[ID CLIENTE]],'RESUMEN CLIENTES'!D:D,'RESUMEN CLIENTES'!M:M)</f>
        <v>OK</v>
      </c>
      <c r="E2230" s="72">
        <f>+_xlfn.XLOOKUP(Tabla6[[#This Row],[NOMBRE]],'RESUMEN CLIENTES'!A:A,'RESUMEN CLIENTES'!X:X)</f>
        <v>-3.2</v>
      </c>
      <c r="F2230" s="72">
        <f>+_xlfn.XLOOKUP(Tabla6[[#This Row],[ID CLIENTE]],'RESUMEN CLIENTES'!D:D,'RESUMEN CLIENTES'!W:W)</f>
        <v>1</v>
      </c>
      <c r="G2230" s="17">
        <v>46483</v>
      </c>
      <c r="H2230" s="44" t="s">
        <v>81</v>
      </c>
      <c r="I2230" s="2">
        <v>700</v>
      </c>
      <c r="J2230"/>
      <c r="K2230"/>
      <c r="L2230" s="44" t="str" cm="1">
        <f t="array" ref="L2230">+_xlfn.IFS(COUNTIF(INGRESOS!E:E,Tabla6[[#This Row],[ID FACTURA]])=1,"PAGADA",Tabla6[[#This Row],[ID FACTURA]]&lt;&gt;0,"EMITIDA",Tabla6[[#This Row],[ID FACTURA]]=0,"POR EMITIR")</f>
        <v>POR EMITIR</v>
      </c>
      <c r="M2230" s="55" t="str">
        <f>+IF(Tabla6[[#This Row],[ESTADO FACTURA]]="PAGADA",Tabla6[[#This Row],[FECHA]]-_xlfn.XLOOKUP(Tabla6[[#This Row],[N° FACTURA]],INGRESOS!F:F,INGRESOS!A:A),"-")</f>
        <v>-</v>
      </c>
      <c r="N2230" s="2"/>
      <c r="O2230"/>
    </row>
    <row r="2231" spans="1:15" ht="14.75" customHeight="1">
      <c r="A2231" s="320" t="s">
        <v>1945</v>
      </c>
      <c r="B2231" t="str">
        <f>+_xlfn.XLOOKUP(Tabla6[[#This Row],[ID CLIENTE]],'RESUMEN CLIENTES'!D:D,'RESUMEN CLIENTES'!A:A)</f>
        <v>Fernanda Constanza Kompai Antu Arellano Guzmán</v>
      </c>
      <c r="C2231" t="str">
        <f>+_xlfn.XLOOKUP(Tabla6[[#This Row],[ID CLIENTE]],'RESUMEN CLIENTES'!D:D,'RESUMEN CLIENTES'!C:C)</f>
        <v>Chile</v>
      </c>
      <c r="D2231" s="169" t="str">
        <f>+_xlfn.XLOOKUP(Tabla6[[#This Row],[ID CLIENTE]],'RESUMEN CLIENTES'!D:D,'RESUMEN CLIENTES'!M:M)</f>
        <v>OK</v>
      </c>
      <c r="E2231" s="71">
        <f>+_xlfn.XLOOKUP(Tabla6[[#This Row],[NOMBRE]],'RESUMEN CLIENTES'!A:A,'RESUMEN CLIENTES'!X:X)</f>
        <v>0</v>
      </c>
      <c r="F2231" s="71">
        <f>+_xlfn.XLOOKUP(Tabla6[[#This Row],[ID CLIENTE]],'RESUMEN CLIENTES'!D:D,'RESUMEN CLIENTES'!W:W)</f>
        <v>0</v>
      </c>
      <c r="G2231" s="170">
        <v>46492</v>
      </c>
      <c r="H2231" s="170" t="s">
        <v>81</v>
      </c>
      <c r="I2231" s="2">
        <v>650</v>
      </c>
      <c r="J2231"/>
      <c r="K2231"/>
      <c r="L2231" s="44" t="str" cm="1">
        <f t="array" ref="L2231">+_xlfn.IFS(COUNTIF(INGRESOS!E:E,Tabla6[[#This Row],[ID FACTURA]])=1,"PAGADA",Tabla6[[#This Row],[ID FACTURA]]&lt;&gt;0,"EMITIDA",Tabla6[[#This Row],[ID FACTURA]]=0,"POR EMITIR")</f>
        <v>POR EMITIR</v>
      </c>
      <c r="M2231" s="54" t="str">
        <f>+IF(Tabla6[[#This Row],[ESTADO FACTURA]]="PAGADA",Tabla6[[#This Row],[FECHA]]-_xlfn.XLOOKUP(Tabla6[[#This Row],[N° FACTURA]],INGRESOS!F:F,INGRESOS!A:A),"-")</f>
        <v>-</v>
      </c>
      <c r="O2231"/>
    </row>
    <row r="2232" spans="1:15" ht="14.75" customHeight="1">
      <c r="A2232" s="320" t="s">
        <v>103</v>
      </c>
      <c r="B2232" t="str">
        <f>+_xlfn.XLOOKUP(Tabla6[[#This Row],[ID CLIENTE]],'RESUMEN CLIENTES'!D:D,'RESUMEN CLIENTES'!A:A)</f>
        <v>Isaac Ricardo Jimenez Campos</v>
      </c>
      <c r="C2232" t="str">
        <f>+_xlfn.XLOOKUP(Tabla6[[#This Row],[ID CLIENTE]],'RESUMEN CLIENTES'!D:D,'RESUMEN CLIENTES'!C:C)</f>
        <v>México</v>
      </c>
      <c r="D2232" s="44" t="str">
        <f>+_xlfn.XLOOKUP(Tabla6[[#This Row],[ID CLIENTE]],'RESUMEN CLIENTES'!D:D,'RESUMEN CLIENTES'!M:M)</f>
        <v>OK</v>
      </c>
      <c r="E2232" s="72">
        <f>+_xlfn.XLOOKUP(Tabla6[[#This Row],[NOMBRE]],'RESUMEN CLIENTES'!A:A,'RESUMEN CLIENTES'!X:X)</f>
        <v>0.5</v>
      </c>
      <c r="F2232" s="72">
        <f>+_xlfn.XLOOKUP(Tabla6[[#This Row],[ID CLIENTE]],'RESUMEN CLIENTES'!D:D,'RESUMEN CLIENTES'!W:W)</f>
        <v>1</v>
      </c>
      <c r="G2232" s="17">
        <v>46492</v>
      </c>
      <c r="H2232" s="44" t="s">
        <v>81</v>
      </c>
      <c r="I2232" s="2">
        <v>654</v>
      </c>
      <c r="J2232"/>
      <c r="K2232"/>
      <c r="L2232" s="44" t="str" cm="1">
        <f t="array" ref="L2232">+_xlfn.IFS(COUNTIF(INGRESOS!E:E,Tabla6[[#This Row],[ID FACTURA]])=1,"PAGADA",Tabla6[[#This Row],[ID FACTURA]]&lt;&gt;0,"EMITIDA",Tabla6[[#This Row],[ID FACTURA]]=0,"POR EMITIR")</f>
        <v>POR EMITIR</v>
      </c>
      <c r="M2232" s="55" t="str">
        <f>+IF(Tabla6[[#This Row],[ESTADO FACTURA]]="PAGADA",Tabla6[[#This Row],[FECHA]]-_xlfn.XLOOKUP(Tabla6[[#This Row],[N° FACTURA]],INGRESOS!F:F,INGRESOS!A:A),"-")</f>
        <v>-</v>
      </c>
      <c r="N2232" s="2"/>
      <c r="O2232"/>
    </row>
    <row r="2233" spans="1:15" ht="14.75" customHeight="1">
      <c r="A2233" s="321" t="s">
        <v>1875</v>
      </c>
      <c r="B2233" t="str">
        <f>+_xlfn.XLOOKUP(Tabla6[[#This Row],[ID CLIENTE]],'RESUMEN CLIENTES'!D:D,'RESUMEN CLIENTES'!A:A)</f>
        <v>Laura Giraldo</v>
      </c>
      <c r="C2233" t="str">
        <f>+_xlfn.XLOOKUP(Tabla6[[#This Row],[ID CLIENTE]],'RESUMEN CLIENTES'!D:D,'RESUMEN CLIENTES'!C:C)</f>
        <v>Colombia</v>
      </c>
      <c r="D2233" s="169" t="str">
        <f>+_xlfn.XLOOKUP(Tabla6[[#This Row],[ID CLIENTE]],'RESUMEN CLIENTES'!D:D,'RESUMEN CLIENTES'!M:M)</f>
        <v>OK</v>
      </c>
      <c r="E2233" s="71">
        <f>+_xlfn.XLOOKUP(Tabla6[[#This Row],[NOMBRE]],'RESUMEN CLIENTES'!A:A,'RESUMEN CLIENTES'!X:X)</f>
        <v>-3.25</v>
      </c>
      <c r="F2233" s="71">
        <f>+_xlfn.XLOOKUP(Tabla6[[#This Row],[ID CLIENTE]],'RESUMEN CLIENTES'!D:D,'RESUMEN CLIENTES'!W:W)</f>
        <v>1</v>
      </c>
      <c r="G2233" s="17">
        <v>46492</v>
      </c>
      <c r="H2233" s="169" t="s">
        <v>1876</v>
      </c>
      <c r="I2233" s="2">
        <v>1000</v>
      </c>
      <c r="J2233"/>
      <c r="K2233"/>
      <c r="L2233" s="44" t="str" cm="1">
        <f t="array" ref="L2233">+_xlfn.IFS(COUNTIF(INGRESOS!E:E,Tabla6[[#This Row],[ID FACTURA]])=1,"PAGADA",Tabla6[[#This Row],[ID FACTURA]]&lt;&gt;0,"EMITIDA",Tabla6[[#This Row],[ID FACTURA]]=0,"POR EMITIR")</f>
        <v>POR EMITIR</v>
      </c>
      <c r="M2233" s="54" t="str">
        <f>+IF(Tabla6[[#This Row],[ESTADO FACTURA]]="PAGADA",Tabla6[[#This Row],[FECHA]]-_xlfn.XLOOKUP(Tabla6[[#This Row],[N° FACTURA]],INGRESOS!F:F,INGRESOS!A:A),"-")</f>
        <v>-</v>
      </c>
      <c r="O2233"/>
    </row>
    <row r="2234" spans="1:15" ht="14.75" customHeight="1">
      <c r="A2234" s="321" t="s">
        <v>1756</v>
      </c>
      <c r="B2234" t="str">
        <f>+_xlfn.XLOOKUP(Tabla6[[#This Row],[ID CLIENTE]],'RESUMEN CLIENTES'!D:D,'RESUMEN CLIENTES'!A:A)</f>
        <v>Aylin Micaela Ortiz Chiriboga</v>
      </c>
      <c r="C2234" t="str">
        <f>+_xlfn.XLOOKUP(Tabla6[[#This Row],[ID CLIENTE]],'RESUMEN CLIENTES'!D:D,'RESUMEN CLIENTES'!C:C)</f>
        <v>Ecuador</v>
      </c>
      <c r="D2234" s="169" t="str">
        <f>+_xlfn.XLOOKUP(Tabla6[[#This Row],[ID CLIENTE]],'RESUMEN CLIENTES'!D:D,'RESUMEN CLIENTES'!M:M)</f>
        <v>¡REGULARIZAR!</v>
      </c>
      <c r="E2234" s="71">
        <f>+_xlfn.XLOOKUP(Tabla6[[#This Row],[NOMBRE]],'RESUMEN CLIENTES'!A:A,'RESUMEN CLIENTES'!X:X)</f>
        <v>0</v>
      </c>
      <c r="F2234" s="71">
        <f>+_xlfn.XLOOKUP(Tabla6[[#This Row],[ID CLIENTE]],'RESUMEN CLIENTES'!D:D,'RESUMEN CLIENTES'!W:W)</f>
        <v>1</v>
      </c>
      <c r="G2234" s="170">
        <v>46493</v>
      </c>
      <c r="H2234" s="169" t="s">
        <v>81</v>
      </c>
      <c r="I2234" s="2">
        <v>650</v>
      </c>
      <c r="J2234"/>
      <c r="K2234"/>
      <c r="L2234" s="44" t="str" cm="1">
        <f t="array" ref="L2234">+_xlfn.IFS(COUNTIF(INGRESOS!E:E,Tabla6[[#This Row],[ID FACTURA]])=1,"PAGADA",Tabla6[[#This Row],[ID FACTURA]]&lt;&gt;0,"EMITIDA",Tabla6[[#This Row],[ID FACTURA]]=0,"POR EMITIR")</f>
        <v>POR EMITIR</v>
      </c>
      <c r="M2234" s="54" t="str">
        <f>+IF(Tabla6[[#This Row],[ESTADO FACTURA]]="PAGADA",Tabla6[[#This Row],[FECHA]]-_xlfn.XLOOKUP(Tabla6[[#This Row],[N° FACTURA]],INGRESOS!F:F,INGRESOS!A:A),"-")</f>
        <v>-</v>
      </c>
      <c r="O2234"/>
    </row>
    <row r="2235" spans="1:15" ht="14.75" customHeight="1">
      <c r="A2235" s="320" t="s">
        <v>1996</v>
      </c>
      <c r="B2235" t="str">
        <f>+_xlfn.XLOOKUP(Tabla6[[#This Row],[ID CLIENTE]],'RESUMEN CLIENTES'!D:D,'RESUMEN CLIENTES'!A:A)</f>
        <v>Ivan Gonzales Graus</v>
      </c>
      <c r="C2235" t="str">
        <f>+_xlfn.XLOOKUP(Tabla6[[#This Row],[ID CLIENTE]],'RESUMEN CLIENTES'!D:D,'RESUMEN CLIENTES'!C:C)</f>
        <v>Perú</v>
      </c>
      <c r="D2235" s="169" t="str">
        <f>+_xlfn.XLOOKUP(Tabla6[[#This Row],[ID CLIENTE]],'RESUMEN CLIENTES'!D:D,'RESUMEN CLIENTES'!M:M)</f>
        <v>OK</v>
      </c>
      <c r="E2235" s="71">
        <f>+_xlfn.XLOOKUP(Tabla6[[#This Row],[NOMBRE]],'RESUMEN CLIENTES'!A:A,'RESUMEN CLIENTES'!X:X)</f>
        <v>-2</v>
      </c>
      <c r="F2235" s="71">
        <f>+_xlfn.XLOOKUP(Tabla6[[#This Row],[ID CLIENTE]],'RESUMEN CLIENTES'!D:D,'RESUMEN CLIENTES'!W:W)</f>
        <v>1</v>
      </c>
      <c r="G2235" s="17">
        <v>46493</v>
      </c>
      <c r="H2235" s="169" t="s">
        <v>81</v>
      </c>
      <c r="I2235" s="2">
        <v>650</v>
      </c>
      <c r="J2235"/>
      <c r="K2235"/>
      <c r="L2235" s="44" t="str" cm="1">
        <f t="array" ref="L2235">+_xlfn.IFS(COUNTIF(INGRESOS!E:E,Tabla6[[#This Row],[ID FACTURA]])=1,"PAGADA",Tabla6[[#This Row],[ID FACTURA]]&lt;&gt;0,"EMITIDA",Tabla6[[#This Row],[ID FACTURA]]=0,"POR EMITIR")</f>
        <v>POR EMITIR</v>
      </c>
      <c r="M2235" s="54" t="str">
        <f>+IF(Tabla6[[#This Row],[ESTADO FACTURA]]="PAGADA",Tabla6[[#This Row],[FECHA]]-_xlfn.XLOOKUP(Tabla6[[#This Row],[N° FACTURA]],INGRESOS!F:F,INGRESOS!A:A),"-")</f>
        <v>-</v>
      </c>
      <c r="O2235"/>
    </row>
    <row r="2236" spans="1:15" ht="14.75" customHeight="1">
      <c r="A2236" s="320" t="s">
        <v>2046</v>
      </c>
      <c r="B2236" t="str">
        <f>+_xlfn.XLOOKUP(Tabla6[[#This Row],[ID CLIENTE]],'RESUMEN CLIENTES'!D:D,'RESUMEN CLIENTES'!A:A)</f>
        <v>Jesica Daniela Paredes Mendoza</v>
      </c>
      <c r="C2236" t="str">
        <f>+_xlfn.XLOOKUP(Tabla6[[#This Row],[ID CLIENTE]],'RESUMEN CLIENTES'!D:D,'RESUMEN CLIENTES'!C:C)</f>
        <v>México</v>
      </c>
      <c r="D2236" s="169" t="str">
        <f>+_xlfn.XLOOKUP(Tabla6[[#This Row],[ID CLIENTE]],'RESUMEN CLIENTES'!D:D,'RESUMEN CLIENTES'!M:M)</f>
        <v>OK</v>
      </c>
      <c r="E2236" s="71">
        <f>+_xlfn.XLOOKUP(Tabla6[[#This Row],[NOMBRE]],'RESUMEN CLIENTES'!A:A,'RESUMEN CLIENTES'!X:X)</f>
        <v>-2.75</v>
      </c>
      <c r="F2236" s="71">
        <f>+_xlfn.XLOOKUP(Tabla6[[#This Row],[ID CLIENTE]],'RESUMEN CLIENTES'!D:D,'RESUMEN CLIENTES'!W:W)</f>
        <v>1</v>
      </c>
      <c r="G2236" s="17">
        <v>46493</v>
      </c>
      <c r="H2236" s="169" t="s">
        <v>81</v>
      </c>
      <c r="I2236" s="2">
        <v>500</v>
      </c>
      <c r="J2236"/>
      <c r="K2236"/>
      <c r="L2236" s="44" t="str" cm="1">
        <f t="array" ref="L2236">+_xlfn.IFS(COUNTIF(INGRESOS!E:E,Tabla6[[#This Row],[ID FACTURA]])=1,"PAGADA",Tabla6[[#This Row],[ID FACTURA]]&lt;&gt;0,"EMITIDA",Tabla6[[#This Row],[ID FACTURA]]=0,"POR EMITIR")</f>
        <v>POR EMITIR</v>
      </c>
      <c r="M2236" s="54" t="str">
        <f>+IF(Tabla6[[#This Row],[ESTADO FACTURA]]="PAGADA",Tabla6[[#This Row],[FECHA]]-_xlfn.XLOOKUP(Tabla6[[#This Row],[N° FACTURA]],INGRESOS!F:F,INGRESOS!A:A),"-")</f>
        <v>-</v>
      </c>
      <c r="O2236"/>
    </row>
    <row r="2237" spans="1:15" ht="14.75" customHeight="1">
      <c r="A2237" s="320" t="s">
        <v>4660</v>
      </c>
      <c r="B2237" t="str">
        <f>+_xlfn.XLOOKUP(Tabla6[[#This Row],[ID CLIENTE]],'RESUMEN CLIENTES'!D:D,'RESUMEN CLIENTES'!A:A)</f>
        <v>Edipris Flores</v>
      </c>
      <c r="C2237" s="15" t="str">
        <f>+_xlfn.XLOOKUP(Tabla6[[#This Row],[ID CLIENTE]],'RESUMEN CLIENTES'!D:D,'RESUMEN CLIENTES'!C:C)</f>
        <v>Chile</v>
      </c>
      <c r="D2237" s="169" t="str">
        <f>+_xlfn.XLOOKUP(Tabla6[[#This Row],[ID CLIENTE]],'RESUMEN CLIENTES'!D:D,'RESUMEN CLIENTES'!M:M)</f>
        <v>OK</v>
      </c>
      <c r="E2237" s="71">
        <f>+_xlfn.XLOOKUP(Tabla6[[#This Row],[NOMBRE]],'RESUMEN CLIENTES'!A:A,'RESUMEN CLIENTES'!X:X)</f>
        <v>-4</v>
      </c>
      <c r="F2237" s="71">
        <f>+_xlfn.XLOOKUP(Tabla6[[#This Row],[ID CLIENTE]],'RESUMEN CLIENTES'!D:D,'RESUMEN CLIENTES'!W:W)</f>
        <v>0</v>
      </c>
      <c r="G2237" s="17">
        <v>46497</v>
      </c>
      <c r="H2237" s="169" t="s">
        <v>81</v>
      </c>
      <c r="I2237" s="2">
        <v>1517</v>
      </c>
      <c r="J2237"/>
      <c r="K2237"/>
      <c r="L2237" s="44" t="str" cm="1">
        <f t="array" ref="L2237">+_xlfn.IFS(COUNTIF(INGRESOS!E:E,Tabla6[[#This Row],[ID FACTURA]])=1,"PAGADA",Tabla6[[#This Row],[ID FACTURA]]&lt;&gt;0,"EMITIDA",Tabla6[[#This Row],[ID FACTURA]]=0,"POR EMITIR")</f>
        <v>POR EMITIR</v>
      </c>
      <c r="M2237" s="54" t="str">
        <f>+IF(Tabla6[[#This Row],[ESTADO FACTURA]]="PAGADA",Tabla6[[#This Row],[FECHA]]-_xlfn.XLOOKUP(Tabla6[[#This Row],[N° FACTURA]],INGRESOS!F:F,INGRESOS!A:A),"-")</f>
        <v>-</v>
      </c>
      <c r="O2237"/>
    </row>
    <row r="2238" spans="1:15" ht="14.75" customHeight="1">
      <c r="A2238" s="320" t="s">
        <v>1743</v>
      </c>
      <c r="B2238" t="str">
        <f>+_xlfn.XLOOKUP(Tabla6[[#This Row],[ID CLIENTE]],'RESUMEN CLIENTES'!D:D,'RESUMEN CLIENTES'!A:A)</f>
        <v>Fernando Alberto Lagos Belmar</v>
      </c>
      <c r="C2238" t="str">
        <f>+_xlfn.XLOOKUP(Tabla6[[#This Row],[ID CLIENTE]],'RESUMEN CLIENTES'!D:D,'RESUMEN CLIENTES'!C:C)</f>
        <v>Chile</v>
      </c>
      <c r="D2238" s="169" t="str">
        <f>+_xlfn.XLOOKUP(Tabla6[[#This Row],[ID CLIENTE]],'RESUMEN CLIENTES'!D:D,'RESUMEN CLIENTES'!M:M)</f>
        <v>OK</v>
      </c>
      <c r="E2238" s="71">
        <f>+_xlfn.XLOOKUP(Tabla6[[#This Row],[NOMBRE]],'RESUMEN CLIENTES'!A:A,'RESUMEN CLIENTES'!X:X)</f>
        <v>0.25</v>
      </c>
      <c r="F2238" s="71">
        <f>+_xlfn.XLOOKUP(Tabla6[[#This Row],[ID CLIENTE]],'RESUMEN CLIENTES'!D:D,'RESUMEN CLIENTES'!W:W)</f>
        <v>1</v>
      </c>
      <c r="G2238" s="17">
        <v>46503</v>
      </c>
      <c r="H2238" s="169" t="s">
        <v>81</v>
      </c>
      <c r="I2238" s="2">
        <v>1000</v>
      </c>
      <c r="J2238"/>
      <c r="K2238"/>
      <c r="L2238" s="44" t="str" cm="1">
        <f t="array" ref="L2238">+_xlfn.IFS(COUNTIF(INGRESOS!E:E,Tabla6[[#This Row],[ID FACTURA]])=1,"PAGADA",Tabla6[[#This Row],[ID FACTURA]]&lt;&gt;0,"EMITIDA",Tabla6[[#This Row],[ID FACTURA]]=0,"POR EMITIR")</f>
        <v>POR EMITIR</v>
      </c>
      <c r="M2238" s="55" t="str">
        <f>+IF(Tabla6[[#This Row],[ESTADO FACTURA]]="PAGADA",Tabla6[[#This Row],[FECHA]]-_xlfn.XLOOKUP(Tabla6[[#This Row],[N° FACTURA]],INGRESOS!F:F,INGRESOS!A:A),"-")</f>
        <v>-</v>
      </c>
      <c r="O2238"/>
    </row>
    <row r="2239" spans="1:15" ht="14.75" customHeight="1">
      <c r="A2239" s="321" t="s">
        <v>519</v>
      </c>
      <c r="B2239" t="str">
        <f>+_xlfn.XLOOKUP(Tabla6[[#This Row],[ID CLIENTE]],'RESUMEN CLIENTES'!D:D,'RESUMEN CLIENTES'!A:A)</f>
        <v>Elaine Acosta Cabrera</v>
      </c>
      <c r="C2239" t="str">
        <f>+_xlfn.XLOOKUP(Tabla6[[#This Row],[ID CLIENTE]],'RESUMEN CLIENTES'!D:D,'RESUMEN CLIENTES'!C:C)</f>
        <v>República Dominicana</v>
      </c>
      <c r="D2239" s="169" t="str">
        <f>+_xlfn.XLOOKUP(Tabla6[[#This Row],[ID CLIENTE]],'RESUMEN CLIENTES'!D:D,'RESUMEN CLIENTES'!M:M)</f>
        <v>OK</v>
      </c>
      <c r="E2239" s="71">
        <f>+_xlfn.XLOOKUP(Tabla6[[#This Row],[NOMBRE]],'RESUMEN CLIENTES'!A:A,'RESUMEN CLIENTES'!X:X)</f>
        <v>0</v>
      </c>
      <c r="F2239" s="71">
        <f>+_xlfn.XLOOKUP(Tabla6[[#This Row],[ID CLIENTE]],'RESUMEN CLIENTES'!D:D,'RESUMEN CLIENTES'!W:W)</f>
        <v>1</v>
      </c>
      <c r="G2239" s="17">
        <v>46504</v>
      </c>
      <c r="H2239" s="169" t="s">
        <v>81</v>
      </c>
      <c r="I2239" s="2">
        <v>1000</v>
      </c>
      <c r="J2239"/>
      <c r="K2239"/>
      <c r="L2239" s="44" t="str" cm="1">
        <f t="array" ref="L2239">+_xlfn.IFS(COUNTIF(INGRESOS!E:E,Tabla6[[#This Row],[ID FACTURA]])=1,"PAGADA",Tabla6[[#This Row],[ID FACTURA]]&lt;&gt;0,"EMITIDA",Tabla6[[#This Row],[ID FACTURA]]=0,"POR EMITIR")</f>
        <v>POR EMITIR</v>
      </c>
      <c r="M2239" s="54" t="str">
        <f>+IF(Tabla6[[#This Row],[ESTADO FACTURA]]="PAGADA",Tabla6[[#This Row],[FECHA]]-_xlfn.XLOOKUP(Tabla6[[#This Row],[N° FACTURA]],INGRESOS!F:F,INGRESOS!A:A),"-")</f>
        <v>-</v>
      </c>
      <c r="O2239"/>
    </row>
    <row r="2240" spans="1:15" ht="14.75" customHeight="1">
      <c r="A2240" s="321" t="s">
        <v>1870</v>
      </c>
      <c r="B2240" t="str">
        <f>+_xlfn.XLOOKUP(Tabla6[[#This Row],[ID CLIENTE]],'RESUMEN CLIENTES'!D:D,'RESUMEN CLIENTES'!A:A)</f>
        <v>Berenisse Shadia Yarango Garay</v>
      </c>
      <c r="C2240" t="str">
        <f>+_xlfn.XLOOKUP(Tabla6[[#This Row],[ID CLIENTE]],'RESUMEN CLIENTES'!D:D,'RESUMEN CLIENTES'!C:C)</f>
        <v>Perú</v>
      </c>
      <c r="D2240" s="169" t="str">
        <f>+_xlfn.XLOOKUP(Tabla6[[#This Row],[ID CLIENTE]],'RESUMEN CLIENTES'!D:D,'RESUMEN CLIENTES'!M:M)</f>
        <v>OK</v>
      </c>
      <c r="E2240" s="71">
        <f>+_xlfn.XLOOKUP(Tabla6[[#This Row],[NOMBRE]],'RESUMEN CLIENTES'!A:A,'RESUMEN CLIENTES'!X:X)</f>
        <v>-0.33333333333333331</v>
      </c>
      <c r="F2240" s="71">
        <f>+_xlfn.XLOOKUP(Tabla6[[#This Row],[ID CLIENTE]],'RESUMEN CLIENTES'!D:D,'RESUMEN CLIENTES'!W:W)</f>
        <v>0</v>
      </c>
      <c r="G2240" s="17">
        <v>46505</v>
      </c>
      <c r="H2240" s="169" t="s">
        <v>81</v>
      </c>
      <c r="I2240" s="2">
        <v>850</v>
      </c>
      <c r="J2240"/>
      <c r="K2240"/>
      <c r="L2240" s="44" t="str" cm="1">
        <f t="array" ref="L2240">+_xlfn.IFS(COUNTIF(INGRESOS!E:E,Tabla6[[#This Row],[ID FACTURA]])=1,"PAGADA",Tabla6[[#This Row],[ID FACTURA]]&lt;&gt;0,"EMITIDA",Tabla6[[#This Row],[ID FACTURA]]=0,"POR EMITIR")</f>
        <v>POR EMITIR</v>
      </c>
      <c r="M2240" s="54" t="str">
        <f>+IF(Tabla6[[#This Row],[ESTADO FACTURA]]="PAGADA",Tabla6[[#This Row],[FECHA]]-_xlfn.XLOOKUP(Tabla6[[#This Row],[N° FACTURA]],INGRESOS!F:F,INGRESOS!A:A),"-")</f>
        <v>-</v>
      </c>
      <c r="O2240"/>
    </row>
    <row r="2241" spans="1:15" ht="14.75" customHeight="1">
      <c r="A2241" s="320" t="s">
        <v>739</v>
      </c>
      <c r="B2241" t="str">
        <f>+_xlfn.XLOOKUP(Tabla6[[#This Row],[ID CLIENTE]],'RESUMEN CLIENTES'!D:D,'RESUMEN CLIENTES'!A:A)</f>
        <v>Gilberto Martiñon Torres</v>
      </c>
      <c r="C2241" t="str">
        <f>+_xlfn.XLOOKUP(Tabla6[[#This Row],[ID CLIENTE]],'RESUMEN CLIENTES'!D:D,'RESUMEN CLIENTES'!C:C)</f>
        <v>México</v>
      </c>
      <c r="D2241" s="44" t="str">
        <f>+_xlfn.XLOOKUP(Tabla6[[#This Row],[ID CLIENTE]],'RESUMEN CLIENTES'!D:D,'RESUMEN CLIENTES'!M:M)</f>
        <v>OK</v>
      </c>
      <c r="E2241" s="72">
        <f>+_xlfn.XLOOKUP(Tabla6[[#This Row],[NOMBRE]],'RESUMEN CLIENTES'!A:A,'RESUMEN CLIENTES'!X:X)</f>
        <v>-0.625</v>
      </c>
      <c r="F2241" s="72">
        <f>+_xlfn.XLOOKUP(Tabla6[[#This Row],[ID CLIENTE]],'RESUMEN CLIENTES'!D:D,'RESUMEN CLIENTES'!W:W)</f>
        <v>0</v>
      </c>
      <c r="G2241" s="17">
        <v>46507</v>
      </c>
      <c r="H2241" s="44" t="s">
        <v>81</v>
      </c>
      <c r="I2241" s="2">
        <v>700</v>
      </c>
      <c r="J2241"/>
      <c r="K2241"/>
      <c r="L2241" s="44" t="str" cm="1">
        <f t="array" ref="L2241">+_xlfn.IFS(COUNTIF(INGRESOS!E:E,Tabla6[[#This Row],[ID FACTURA]])=1,"PAGADA",Tabla6[[#This Row],[ID FACTURA]]&lt;&gt;0,"EMITIDA",Tabla6[[#This Row],[ID FACTURA]]=0,"POR EMITIR")</f>
        <v>POR EMITIR</v>
      </c>
      <c r="M2241" s="55" t="str">
        <f>+IF(Tabla6[[#This Row],[ESTADO FACTURA]]="PAGADA",Tabla6[[#This Row],[FECHA]]-_xlfn.XLOOKUP(Tabla6[[#This Row],[N° FACTURA]],INGRESOS!F:F,INGRESOS!A:A),"-")</f>
        <v>-</v>
      </c>
      <c r="N2241" s="2"/>
      <c r="O2241"/>
    </row>
    <row r="2242" spans="1:15" ht="14.75" customHeight="1">
      <c r="A2242" s="320" t="s">
        <v>139</v>
      </c>
      <c r="B2242" t="str">
        <f>+_xlfn.XLOOKUP(Tabla6[[#This Row],[ID CLIENTE]],'RESUMEN CLIENTES'!D:D,'RESUMEN CLIENTES'!A:A)</f>
        <v>Hugo Nicolás Trávez Morales</v>
      </c>
      <c r="C2242" t="str">
        <f>+_xlfn.XLOOKUP(Tabla6[[#This Row],[ID CLIENTE]],'RESUMEN CLIENTES'!D:D,'RESUMEN CLIENTES'!C:C)</f>
        <v>Ecuador</v>
      </c>
      <c r="D2242" s="169" t="str">
        <f>+_xlfn.XLOOKUP(Tabla6[[#This Row],[ID CLIENTE]],'RESUMEN CLIENTES'!D:D,'RESUMEN CLIENTES'!M:M)</f>
        <v>OK</v>
      </c>
      <c r="E2242" s="71">
        <f>+_xlfn.XLOOKUP(Tabla6[[#This Row],[NOMBRE]],'RESUMEN CLIENTES'!A:A,'RESUMEN CLIENTES'!X:X)</f>
        <v>0</v>
      </c>
      <c r="F2242" s="71">
        <f>+_xlfn.XLOOKUP(Tabla6[[#This Row],[ID CLIENTE]],'RESUMEN CLIENTES'!D:D,'RESUMEN CLIENTES'!W:W)</f>
        <v>0</v>
      </c>
      <c r="G2242" s="17">
        <v>46507</v>
      </c>
      <c r="H2242" s="44" t="s">
        <v>81</v>
      </c>
      <c r="I2242" s="2">
        <v>1000</v>
      </c>
      <c r="J2242"/>
      <c r="K2242"/>
      <c r="L2242" s="44" t="str" cm="1">
        <f t="array" ref="L2242">+_xlfn.IFS(COUNTIF(INGRESOS!E:E,Tabla6[[#This Row],[ID FACTURA]])=1,"PAGADA",Tabla6[[#This Row],[ID FACTURA]]&lt;&gt;0,"EMITIDA",Tabla6[[#This Row],[ID FACTURA]]=0,"POR EMITIR")</f>
        <v>POR EMITIR</v>
      </c>
      <c r="M2242" s="54" t="str">
        <f>+IF(Tabla6[[#This Row],[ESTADO FACTURA]]="PAGADA",Tabla6[[#This Row],[FECHA]]-_xlfn.XLOOKUP(Tabla6[[#This Row],[N° FACTURA]],INGRESOS!F:F,INGRESOS!A:A),"-")</f>
        <v>-</v>
      </c>
      <c r="O2242"/>
    </row>
    <row r="2243" spans="1:15" ht="14.75" customHeight="1">
      <c r="A2243" s="320" t="s">
        <v>590</v>
      </c>
      <c r="B2243" t="str">
        <f>+_xlfn.XLOOKUP(Tabla6[[#This Row],[ID CLIENTE]],'RESUMEN CLIENTES'!D:D,'RESUMEN CLIENTES'!A:A)</f>
        <v>María Lucero de Jesús Barrios Sazo</v>
      </c>
      <c r="C2243" t="str">
        <f>+_xlfn.XLOOKUP(Tabla6[[#This Row],[ID CLIENTE]],'RESUMEN CLIENTES'!D:D,'RESUMEN CLIENTES'!C:C)</f>
        <v>Guatemala</v>
      </c>
      <c r="D2243" s="44" t="str">
        <f>+_xlfn.XLOOKUP(Tabla6[[#This Row],[ID CLIENTE]],'RESUMEN CLIENTES'!D:D,'RESUMEN CLIENTES'!M:M)</f>
        <v>OK</v>
      </c>
      <c r="E2243" s="72">
        <f>+_xlfn.XLOOKUP(Tabla6[[#This Row],[NOMBRE]],'RESUMEN CLIENTES'!A:A,'RESUMEN CLIENTES'!X:X)</f>
        <v>1.25</v>
      </c>
      <c r="F2243" s="72">
        <f>+_xlfn.XLOOKUP(Tabla6[[#This Row],[ID CLIENTE]],'RESUMEN CLIENTES'!D:D,'RESUMEN CLIENTES'!W:W)</f>
        <v>0</v>
      </c>
      <c r="G2243" s="17">
        <v>46507</v>
      </c>
      <c r="H2243" s="44" t="s">
        <v>81</v>
      </c>
      <c r="I2243" s="2">
        <v>700</v>
      </c>
      <c r="J2243"/>
      <c r="K2243"/>
      <c r="L2243" s="44" t="str" cm="1">
        <f t="array" ref="L2243">+_xlfn.IFS(COUNTIF(INGRESOS!E:E,Tabla6[[#This Row],[ID FACTURA]])=1,"PAGADA",Tabla6[[#This Row],[ID FACTURA]]&lt;&gt;0,"EMITIDA",Tabla6[[#This Row],[ID FACTURA]]=0,"POR EMITIR")</f>
        <v>POR EMITIR</v>
      </c>
      <c r="M2243" s="55" t="str">
        <f>+IF(Tabla6[[#This Row],[ESTADO FACTURA]]="PAGADA",Tabla6[[#This Row],[FECHA]]-_xlfn.XLOOKUP(Tabla6[[#This Row],[N° FACTURA]],INGRESOS!F:F,INGRESOS!A:A),"-")</f>
        <v>-</v>
      </c>
      <c r="N2243" s="2"/>
      <c r="O2243"/>
    </row>
    <row r="2244" spans="1:15" ht="14.75" customHeight="1">
      <c r="A2244" s="320" t="s">
        <v>84</v>
      </c>
      <c r="B2244" t="str">
        <f>+_xlfn.XLOOKUP(Tabla6[[#This Row],[ID CLIENTE]],'RESUMEN CLIENTES'!D:D,'RESUMEN CLIENTES'!A:A)</f>
        <v>Andrea Corpeño López</v>
      </c>
      <c r="C2244" t="str">
        <f>+_xlfn.XLOOKUP(Tabla6[[#This Row],[ID CLIENTE]],'RESUMEN CLIENTES'!D:D,'RESUMEN CLIENTES'!C:C)</f>
        <v>El Salvador</v>
      </c>
      <c r="D2244" s="44" t="str">
        <f>+_xlfn.XLOOKUP(Tabla6[[#This Row],[ID CLIENTE]],'RESUMEN CLIENTES'!D:D,'RESUMEN CLIENTES'!M:M)</f>
        <v>OK</v>
      </c>
      <c r="E2244" s="72">
        <f>+_xlfn.XLOOKUP(Tabla6[[#This Row],[NOMBRE]],'RESUMEN CLIENTES'!A:A,'RESUMEN CLIENTES'!X:X)</f>
        <v>-0.81818181818181823</v>
      </c>
      <c r="F2244" s="72">
        <f>+_xlfn.XLOOKUP(Tabla6[[#This Row],[ID CLIENTE]],'RESUMEN CLIENTES'!D:D,'RESUMEN CLIENTES'!W:W)</f>
        <v>0</v>
      </c>
      <c r="G2244" s="17">
        <f>IF($H2244&lt;&gt;"ALEM","",IFERROR(
  DATE(
    YEAR(EDATE(
      _xlfn.XLOOKUP($A2244,'RESUMEN CLIENTES'!$D:$D,'RESUMEN CLIENTES'!$Y:$Y,""),
      7 + COUNTIFS(
            $A$2:INDEX($A:$A,ROW()), $A2244,
            $H$2:INDEX($H:$H,ROW()), "ALEM"
          )
    )),
    MONTH(EDATE(
      _xlfn.XLOOKUP($A2244,'RESUMEN CLIENTES'!$D:$D,'RESUMEN CLIENTES'!$Y:$Y,""),
      7 + COUNTIFS(
            $A$2:INDEX($A:$A,ROW()), $A2244,
            $H$2:INDEX($H:$H,ROW()), "ALEM"
          )
    )),
    1
  ),
"SIN FECHA MIG"))</f>
        <v>46508</v>
      </c>
      <c r="H2244" s="44" t="s">
        <v>1876</v>
      </c>
      <c r="I2244" s="2">
        <v>1000</v>
      </c>
      <c r="J2244"/>
      <c r="K2244"/>
      <c r="L2244" s="44" t="str" cm="1">
        <f t="array" ref="L2244">+_xlfn.IFS(COUNTIF(INGRESOS!E:E,Tabla6[[#This Row],[ID FACTURA]])=1,"PAGADA",Tabla6[[#This Row],[ID FACTURA]]&lt;&gt;0,"EMITIDA",Tabla6[[#This Row],[ID FACTURA]]=0,"POR EMITIR")</f>
        <v>POR EMITIR</v>
      </c>
      <c r="M2244" s="55" t="str">
        <f>+IF(Tabla6[[#This Row],[ESTADO FACTURA]]="PAGADA",Tabla6[[#This Row],[FECHA]]-_xlfn.XLOOKUP(Tabla6[[#This Row],[N° FACTURA]],INGRESOS!F:F,INGRESOS!A:A),"-")</f>
        <v>-</v>
      </c>
      <c r="N2244" s="2"/>
      <c r="O2244" t="s">
        <v>2086</v>
      </c>
    </row>
    <row r="2245" spans="1:15" ht="14.75" customHeight="1">
      <c r="A2245" s="320" t="s">
        <v>1357</v>
      </c>
      <c r="B2245" t="str">
        <f>+_xlfn.XLOOKUP(Tabla6[[#This Row],[ID CLIENTE]],'RESUMEN CLIENTES'!D:D,'RESUMEN CLIENTES'!A:A)</f>
        <v>Angel Andres Velastegui Huebla</v>
      </c>
      <c r="C2245" t="str">
        <f>+_xlfn.XLOOKUP(Tabla6[[#This Row],[ID CLIENTE]],'RESUMEN CLIENTES'!D:D,'RESUMEN CLIENTES'!C:C)</f>
        <v>Ecuador</v>
      </c>
      <c r="D2245" s="44" t="str">
        <f>+_xlfn.XLOOKUP(Tabla6[[#This Row],[ID CLIENTE]],'RESUMEN CLIENTES'!D:D,'RESUMEN CLIENTES'!M:M)</f>
        <v>OK</v>
      </c>
      <c r="E2245" s="71">
        <f>+_xlfn.XLOOKUP(Tabla6[[#This Row],[NOMBRE]],'RESUMEN CLIENTES'!A:A,'RESUMEN CLIENTES'!X:X)</f>
        <v>0</v>
      </c>
      <c r="F2245" s="71">
        <f>+_xlfn.XLOOKUP(Tabla6[[#This Row],[ID CLIENTE]],'RESUMEN CLIENTES'!D:D,'RESUMEN CLIENTES'!W:W)</f>
        <v>1</v>
      </c>
      <c r="G2245" s="17">
        <f>IF($H2245&lt;&gt;"ALEM","",IFERROR(
  DATE(
    YEAR(EDATE(
      _xlfn.XLOOKUP($A2245,'RESUMEN CLIENTES'!$D:$D,'RESUMEN CLIENTES'!$Y:$Y,""),
      7 + COUNTIFS(
            $A$2:INDEX($A:$A,ROW()), $A2245,
            $H$2:INDEX($H:$H,ROW()), "ALEM"
          )
    )),
    MONTH(EDATE(
      _xlfn.XLOOKUP($A2245,'RESUMEN CLIENTES'!$D:$D,'RESUMEN CLIENTES'!$Y:$Y,""),
      7 + COUNTIFS(
            $A$2:INDEX($A:$A,ROW()), $A2245,
            $H$2:INDEX($H:$H,ROW()), "ALEM"
          )
    )),
    1
  ),
"SIN FECHA MIG"))</f>
        <v>46508</v>
      </c>
      <c r="H2245" s="44" t="s">
        <v>1876</v>
      </c>
      <c r="I2245" s="2">
        <v>800</v>
      </c>
      <c r="J2245"/>
      <c r="K2245"/>
      <c r="L2245" s="44" t="str" cm="1">
        <f t="array" ref="L2245">+_xlfn.IFS(COUNTIF(INGRESOS!E:E,Tabla6[[#This Row],[ID FACTURA]])=1,"PAGADA",Tabla6[[#This Row],[ID FACTURA]]&lt;&gt;0,"EMITIDA",Tabla6[[#This Row],[ID FACTURA]]=0,"POR EMITIR")</f>
        <v>POR EMITIR</v>
      </c>
      <c r="M2245" s="55" t="str">
        <f>+IF(Tabla6[[#This Row],[ESTADO FACTURA]]="PAGADA",Tabla6[[#This Row],[FECHA]]-_xlfn.XLOOKUP(Tabla6[[#This Row],[N° FACTURA]],INGRESOS!F:F,INGRESOS!A:A),"-")</f>
        <v>-</v>
      </c>
      <c r="N2245" s="2"/>
      <c r="O2245"/>
    </row>
    <row r="2246" spans="1:15" ht="14.75" customHeight="1">
      <c r="A2246" s="320" t="s">
        <v>530</v>
      </c>
      <c r="B2246" t="str">
        <f>+_xlfn.XLOOKUP(Tabla6[[#This Row],[ID CLIENTE]],'RESUMEN CLIENTES'!D:D,'RESUMEN CLIENTES'!A:A)</f>
        <v>Antonio José Estrada Hoyo</v>
      </c>
      <c r="C2246" t="str">
        <f>+_xlfn.XLOOKUP(Tabla6[[#This Row],[ID CLIENTE]],'RESUMEN CLIENTES'!D:D,'RESUMEN CLIENTES'!C:C)</f>
        <v>Venezuela</v>
      </c>
      <c r="D2246" s="44" t="str">
        <f>+_xlfn.XLOOKUP(Tabla6[[#This Row],[ID CLIENTE]],'RESUMEN CLIENTES'!D:D,'RESUMEN CLIENTES'!M:M)</f>
        <v>OK</v>
      </c>
      <c r="E2246" s="72">
        <f>+_xlfn.XLOOKUP(Tabla6[[#This Row],[NOMBRE]],'RESUMEN CLIENTES'!A:A,'RESUMEN CLIENTES'!X:X)</f>
        <v>0</v>
      </c>
      <c r="F2246" s="72">
        <f>+_xlfn.XLOOKUP(Tabla6[[#This Row],[ID CLIENTE]],'RESUMEN CLIENTES'!D:D,'RESUMEN CLIENTES'!W:W)</f>
        <v>0</v>
      </c>
      <c r="G2246" s="17">
        <f>IF($H2246&lt;&gt;"ALEM","",IFERROR(
  DATE(
    YEAR(EDATE(
      _xlfn.XLOOKUP($A2246,'RESUMEN CLIENTES'!$D:$D,'RESUMEN CLIENTES'!$Y:$Y,""),
      7 + COUNTIFS(
            $A$2:INDEX($A:$A,ROW()), $A2246,
            $H$2:INDEX($H:$H,ROW()), "ALEM"
          )
    )),
    MONTH(EDATE(
      _xlfn.XLOOKUP($A2246,'RESUMEN CLIENTES'!$D:$D,'RESUMEN CLIENTES'!$Y:$Y,""),
      7 + COUNTIFS(
            $A$2:INDEX($A:$A,ROW()), $A2246,
            $H$2:INDEX($H:$H,ROW()), "ALEM"
          )
    )),
    1
  ),
"SIN FECHA MIG"))</f>
        <v>46508</v>
      </c>
      <c r="H2246" s="44" t="s">
        <v>1876</v>
      </c>
      <c r="I2246" s="2">
        <v>1255</v>
      </c>
      <c r="J2246"/>
      <c r="K2246"/>
      <c r="L2246" s="44" t="str" cm="1">
        <f t="array" ref="L2246">+_xlfn.IFS(COUNTIF(INGRESOS!E:E,Tabla6[[#This Row],[ID FACTURA]])=1,"PAGADA",Tabla6[[#This Row],[ID FACTURA]]&lt;&gt;0,"EMITIDA",Tabla6[[#This Row],[ID FACTURA]]=0,"POR EMITIR")</f>
        <v>POR EMITIR</v>
      </c>
      <c r="M2246" s="55" t="str">
        <f>+IF(Tabla6[[#This Row],[ESTADO FACTURA]]="PAGADA",Tabla6[[#This Row],[FECHA]]-_xlfn.XLOOKUP(Tabla6[[#This Row],[N° FACTURA]],INGRESOS!F:F,INGRESOS!A:A),"-")</f>
        <v>-</v>
      </c>
      <c r="N2246" s="2"/>
      <c r="O2246"/>
    </row>
    <row r="2247" spans="1:15" ht="14.75" customHeight="1">
      <c r="A2247" s="320" t="s">
        <v>2011</v>
      </c>
      <c r="B2247" t="str">
        <f>+_xlfn.XLOOKUP(Tabla6[[#This Row],[ID CLIENTE]],'RESUMEN CLIENTES'!D:D,'RESUMEN CLIENTES'!A:A)</f>
        <v>Bárbara Fuentes</v>
      </c>
      <c r="C2247" t="str">
        <f>+_xlfn.XLOOKUP(Tabla6[[#This Row],[ID CLIENTE]],'RESUMEN CLIENTES'!D:D,'RESUMEN CLIENTES'!C:C)</f>
        <v>Chile</v>
      </c>
      <c r="D2247" s="169" t="str">
        <f>+_xlfn.XLOOKUP(Tabla6[[#This Row],[ID CLIENTE]],'RESUMEN CLIENTES'!D:D,'RESUMEN CLIENTES'!M:M)</f>
        <v>OK</v>
      </c>
      <c r="E2247" s="71">
        <f>+_xlfn.XLOOKUP(Tabla6[[#This Row],[NOMBRE]],'RESUMEN CLIENTES'!A:A,'RESUMEN CLIENTES'!X:X)</f>
        <v>-0.33333333333333331</v>
      </c>
      <c r="F2247" s="71">
        <f>+_xlfn.XLOOKUP(Tabla6[[#This Row],[ID CLIENTE]],'RESUMEN CLIENTES'!D:D,'RESUMEN CLIENTES'!W:W)</f>
        <v>0</v>
      </c>
      <c r="G2247" s="17">
        <f>IF($H2247&lt;&gt;"ALEM","",IFERROR(
  DATE(
    YEAR(EDATE(
      _xlfn.XLOOKUP($A2247,'RESUMEN CLIENTES'!$D:$D,'RESUMEN CLIENTES'!$Y:$Y,""),
      7 + COUNTIFS(
            $A$2:INDEX($A:$A,ROW()), $A2247,
            $H$2:INDEX($H:$H,ROW()), "ALEM"
          )
    )),
    MONTH(EDATE(
      _xlfn.XLOOKUP($A2247,'RESUMEN CLIENTES'!$D:$D,'RESUMEN CLIENTES'!$Y:$Y,""),
      7 + COUNTIFS(
            $A$2:INDEX($A:$A,ROW()), $A2247,
            $H$2:INDEX($H:$H,ROW()), "ALEM"
          )
    )),
    1
  ),
"null"))</f>
        <v>46508</v>
      </c>
      <c r="H2247" s="169" t="s">
        <v>1876</v>
      </c>
      <c r="I2247" s="2">
        <v>1000</v>
      </c>
      <c r="J2247"/>
      <c r="K2247"/>
      <c r="L2247" s="44" t="str" cm="1">
        <f t="array" ref="L2247">+_xlfn.IFS(COUNTIF(INGRESOS!E:E,Tabla6[[#This Row],[ID FACTURA]])=1,"PAGADA",Tabla6[[#This Row],[ID FACTURA]]&lt;&gt;0,"EMITIDA",Tabla6[[#This Row],[ID FACTURA]]=0,"POR EMITIR")</f>
        <v>POR EMITIR</v>
      </c>
      <c r="M2247" s="54" t="str">
        <f>+IF(Tabla6[[#This Row],[ESTADO FACTURA]]="PAGADA",Tabla6[[#This Row],[FECHA]]-_xlfn.XLOOKUP(Tabla6[[#This Row],[N° FACTURA]],INGRESOS!F:F,INGRESOS!A:A),"-")</f>
        <v>-</v>
      </c>
      <c r="O2247"/>
    </row>
    <row r="2248" spans="1:15" ht="14.75" customHeight="1">
      <c r="A2248" s="320" t="s">
        <v>184</v>
      </c>
      <c r="B2248" t="str">
        <f>+_xlfn.XLOOKUP(Tabla6[[#This Row],[ID CLIENTE]],'RESUMEN CLIENTES'!D:D,'RESUMEN CLIENTES'!A:A)</f>
        <v>Boris Andrés Silva Véliz</v>
      </c>
      <c r="C2248" t="str">
        <f>+_xlfn.XLOOKUP(Tabla6[[#This Row],[ID CLIENTE]],'RESUMEN CLIENTES'!D:D,'RESUMEN CLIENTES'!C:C)</f>
        <v>Chile</v>
      </c>
      <c r="D2248" s="44" t="str">
        <f>+_xlfn.XLOOKUP(Tabla6[[#This Row],[ID CLIENTE]],'RESUMEN CLIENTES'!D:D,'RESUMEN CLIENTES'!M:M)</f>
        <v>OK</v>
      </c>
      <c r="E2248" s="72">
        <f>+_xlfn.XLOOKUP(Tabla6[[#This Row],[NOMBRE]],'RESUMEN CLIENTES'!A:A,'RESUMEN CLIENTES'!X:X)</f>
        <v>2.1111111111111112</v>
      </c>
      <c r="F2248" s="72">
        <f>+_xlfn.XLOOKUP(Tabla6[[#This Row],[ID CLIENTE]],'RESUMEN CLIENTES'!D:D,'RESUMEN CLIENTES'!W:W)</f>
        <v>0</v>
      </c>
      <c r="G2248" s="17">
        <f>IF($H2248&lt;&gt;"ALEM","",IFERROR(
  DATE(
    YEAR(EDATE(
      _xlfn.XLOOKUP($A2248,'RESUMEN CLIENTES'!$D:$D,'RESUMEN CLIENTES'!$Y:$Y,""),
      7 + COUNTIFS(
            $A$2:INDEX($A:$A,ROW()), $A2248,
            $H$2:INDEX($H:$H,ROW()), "ALEM"
          )
    )),
    MONTH(EDATE(
      _xlfn.XLOOKUP($A2248,'RESUMEN CLIENTES'!$D:$D,'RESUMEN CLIENTES'!$Y:$Y,""),
      7 + COUNTIFS(
            $A$2:INDEX($A:$A,ROW()), $A2248,
            $H$2:INDEX($H:$H,ROW()), "ALEM"
          )
    )),
    1
  ),
"SIN FECHA MIG"))</f>
        <v>46508</v>
      </c>
      <c r="H2248" s="44" t="s">
        <v>1876</v>
      </c>
      <c r="I2248" s="2">
        <v>458</v>
      </c>
      <c r="J2248"/>
      <c r="K2248"/>
      <c r="L2248" s="44" t="str" cm="1">
        <f t="array" ref="L2248">+_xlfn.IFS(COUNTIF(INGRESOS!E:E,Tabla6[[#This Row],[ID FACTURA]])=1,"PAGADA",Tabla6[[#This Row],[ID FACTURA]]&lt;&gt;0,"EMITIDA",Tabla6[[#This Row],[ID FACTURA]]=0,"POR EMITIR")</f>
        <v>POR EMITIR</v>
      </c>
      <c r="M2248" s="55" t="str">
        <f>+IF(Tabla6[[#This Row],[ESTADO FACTURA]]="PAGADA",Tabla6[[#This Row],[FECHA]]-_xlfn.XLOOKUP(Tabla6[[#This Row],[N° FACTURA]],INGRESOS!F:F,INGRESOS!A:A),"-")</f>
        <v>-</v>
      </c>
      <c r="N2248" s="2"/>
      <c r="O2248"/>
    </row>
    <row r="2249" spans="1:15" ht="14.75" customHeight="1">
      <c r="A2249" s="320" t="s">
        <v>1206</v>
      </c>
      <c r="B2249" t="str">
        <f>+_xlfn.XLOOKUP(Tabla6[[#This Row],[ID CLIENTE]],'RESUMEN CLIENTES'!D:D,'RESUMEN CLIENTES'!A:A)</f>
        <v>Bryan Israel Jiménez Puente</v>
      </c>
      <c r="C2249" t="str">
        <f>+_xlfn.XLOOKUP(Tabla6[[#This Row],[ID CLIENTE]],'RESUMEN CLIENTES'!D:D,'RESUMEN CLIENTES'!C:C)</f>
        <v>Ecuador</v>
      </c>
      <c r="D2249" s="44" t="str">
        <f>+_xlfn.XLOOKUP(Tabla6[[#This Row],[ID CLIENTE]],'RESUMEN CLIENTES'!D:D,'RESUMEN CLIENTES'!M:M)</f>
        <v>OK</v>
      </c>
      <c r="E2249" s="72">
        <f>+_xlfn.XLOOKUP(Tabla6[[#This Row],[NOMBRE]],'RESUMEN CLIENTES'!A:A,'RESUMEN CLIENTES'!X:X)</f>
        <v>1</v>
      </c>
      <c r="F2249" s="72">
        <f>+_xlfn.XLOOKUP(Tabla6[[#This Row],[ID CLIENTE]],'RESUMEN CLIENTES'!D:D,'RESUMEN CLIENTES'!W:W)</f>
        <v>0</v>
      </c>
      <c r="G2249" s="17">
        <f>IF($H2249&lt;&gt;"ALEM","",IFERROR(
  DATE(
    YEAR(EDATE(
      _xlfn.XLOOKUP($A2249,'RESUMEN CLIENTES'!$D:$D,'RESUMEN CLIENTES'!$Y:$Y,""),
      7 + COUNTIFS(
            $A$2:INDEX($A:$A,ROW()), $A2249,
            $H$2:INDEX($H:$H,ROW()), "ALEM"
          )
    )),
    MONTH(EDATE(
      _xlfn.XLOOKUP($A2249,'RESUMEN CLIENTES'!$D:$D,'RESUMEN CLIENTES'!$Y:$Y,""),
      7 + COUNTIFS(
            $A$2:INDEX($A:$A,ROW()), $A2249,
            $H$2:INDEX($H:$H,ROW()), "ALEM"
          )
    )),
    1
  ),
"SIN FECHA MIG"))</f>
        <v>46508</v>
      </c>
      <c r="H2249" s="44" t="s">
        <v>1876</v>
      </c>
      <c r="I2249" s="2">
        <v>800</v>
      </c>
      <c r="J2249"/>
      <c r="K2249"/>
      <c r="L2249" s="44" t="str" cm="1">
        <f t="array" ref="L2249">+_xlfn.IFS(COUNTIF(INGRESOS!E:E,Tabla6[[#This Row],[ID FACTURA]])=1,"PAGADA",Tabla6[[#This Row],[ID FACTURA]]&lt;&gt;0,"EMITIDA",Tabla6[[#This Row],[ID FACTURA]]=0,"POR EMITIR")</f>
        <v>POR EMITIR</v>
      </c>
      <c r="M2249" s="55" t="str">
        <f>+IF(Tabla6[[#This Row],[ESTADO FACTURA]]="PAGADA",Tabla6[[#This Row],[FECHA]]-_xlfn.XLOOKUP(Tabla6[[#This Row],[N° FACTURA]],INGRESOS!F:F,INGRESOS!A:A),"-")</f>
        <v>-</v>
      </c>
      <c r="N2249" s="2"/>
      <c r="O2249" t="s">
        <v>2084</v>
      </c>
    </row>
    <row r="2250" spans="1:15" ht="14.75" customHeight="1">
      <c r="A2250" s="320" t="s">
        <v>4768</v>
      </c>
      <c r="B2250" t="str">
        <f>+_xlfn.XLOOKUP(Tabla6[[#This Row],[ID CLIENTE]],'RESUMEN CLIENTES'!D:D,'RESUMEN CLIENTES'!A:A)</f>
        <v>Carla Elena Patínez Rondón</v>
      </c>
      <c r="C2250" s="15" t="str">
        <f>+_xlfn.XLOOKUP(Tabla6[[#This Row],[ID CLIENTE]],'RESUMEN CLIENTES'!D:D,'RESUMEN CLIENTES'!C:C)</f>
        <v>Venezuela</v>
      </c>
      <c r="D2250" s="169" t="str">
        <f>+_xlfn.XLOOKUP(Tabla6[[#This Row],[ID CLIENTE]],'RESUMEN CLIENTES'!D:D,'RESUMEN CLIENTES'!M:M)</f>
        <v>OK</v>
      </c>
      <c r="E2250" s="71">
        <f>+_xlfn.XLOOKUP(Tabla6[[#This Row],[NOMBRE]],'RESUMEN CLIENTES'!A:A,'RESUMEN CLIENTES'!X:X)</f>
        <v>-9</v>
      </c>
      <c r="F2250" s="71">
        <f>+_xlfn.XLOOKUP(Tabla6[[#This Row],[ID CLIENTE]],'RESUMEN CLIENTES'!D:D,'RESUMEN CLIENTES'!W:W)</f>
        <v>0</v>
      </c>
      <c r="G2250" s="17">
        <f>IF($H2250&lt;&gt;"ALEM","",IFERROR(
  DATE(
    YEAR(EDATE(
      _xlfn.XLOOKUP($A2250,'RESUMEN CLIENTES'!$D:$D,'RESUMEN CLIENTES'!$Y:$Y,""),
      7 + COUNTIFS(
            $A$2:INDEX($A:$A,ROW()), $A2250,
            $H$2:INDEX($H:$H,ROW()), "ALEM"
          )
    )),
    MONTH(EDATE(
      _xlfn.XLOOKUP($A2250,'RESUMEN CLIENTES'!$D:$D,'RESUMEN CLIENTES'!$Y:$Y,""),
      7 + COUNTIFS(
            $A$2:INDEX($A:$A,ROW()), $A2250,
            $H$2:INDEX($H:$H,ROW()), "ALEM"
          )
    )),
    1
  ),
"null"))</f>
        <v>46508</v>
      </c>
      <c r="H2250" s="169" t="s">
        <v>1876</v>
      </c>
      <c r="I2250" s="2">
        <v>1000</v>
      </c>
      <c r="J2250"/>
      <c r="K2250"/>
      <c r="L2250" s="44" t="str" cm="1">
        <f t="array" ref="L2250">+_xlfn.IFS(COUNTIF(INGRESOS!E:E,Tabla6[[#This Row],[ID FACTURA]])=1,"PAGADA",Tabla6[[#This Row],[ID FACTURA]]&lt;&gt;0,"EMITIDA",Tabla6[[#This Row],[ID FACTURA]]=0,"POR EMITIR")</f>
        <v>POR EMITIR</v>
      </c>
      <c r="M2250" s="54" t="str">
        <f>+IF(Tabla6[[#This Row],[ESTADO FACTURA]]="PAGADA",Tabla6[[#This Row],[FECHA]]-_xlfn.XLOOKUP(Tabla6[[#This Row],[N° FACTURA]],INGRESOS!F:F,INGRESOS!A:A),"-")</f>
        <v>-</v>
      </c>
      <c r="O2250"/>
    </row>
    <row r="2251" spans="1:15" ht="14.75" customHeight="1">
      <c r="A2251" s="320" t="s">
        <v>226</v>
      </c>
      <c r="B2251" t="str">
        <f>+_xlfn.XLOOKUP(Tabla6[[#This Row],[ID CLIENTE]],'RESUMEN CLIENTES'!D:D,'RESUMEN CLIENTES'!A:A)</f>
        <v>Carlos Josue Escobar Morán</v>
      </c>
      <c r="C2251" t="str">
        <f>+_xlfn.XLOOKUP(Tabla6[[#This Row],[ID CLIENTE]],'RESUMEN CLIENTES'!D:D,'RESUMEN CLIENTES'!C:C)</f>
        <v>El Salvador</v>
      </c>
      <c r="D2251" s="44" t="str">
        <f>+_xlfn.XLOOKUP(Tabla6[[#This Row],[ID CLIENTE]],'RESUMEN CLIENTES'!D:D,'RESUMEN CLIENTES'!M:M)</f>
        <v>OK</v>
      </c>
      <c r="E2251" s="72">
        <f>+_xlfn.XLOOKUP(Tabla6[[#This Row],[NOMBRE]],'RESUMEN CLIENTES'!A:A,'RESUMEN CLIENTES'!X:X)</f>
        <v>0.8</v>
      </c>
      <c r="F2251" s="72">
        <f>+_xlfn.XLOOKUP(Tabla6[[#This Row],[ID CLIENTE]],'RESUMEN CLIENTES'!D:D,'RESUMEN CLIENTES'!W:W)</f>
        <v>0</v>
      </c>
      <c r="G2251" s="17">
        <f>IF($H2251&lt;&gt;"ALEM","",IFERROR(
  DATE(
    YEAR(EDATE(
      _xlfn.XLOOKUP($A2251,'RESUMEN CLIENTES'!$D:$D,'RESUMEN CLIENTES'!$Y:$Y,""),
      7 + COUNTIFS(
            $A$2:INDEX($A:$A,ROW()), $A2251,
            $H$2:INDEX($H:$H,ROW()), "ALEM"
          )
    )),
    MONTH(EDATE(
      _xlfn.XLOOKUP($A2251,'RESUMEN CLIENTES'!$D:$D,'RESUMEN CLIENTES'!$Y:$Y,""),
      7 + COUNTIFS(
            $A$2:INDEX($A:$A,ROW()), $A2251,
            $H$2:INDEX($H:$H,ROW()), "ALEM"
          )
    )),
    1
  ),
"SIN FECHA MIG"))</f>
        <v>46508</v>
      </c>
      <c r="H2251" s="44" t="s">
        <v>1876</v>
      </c>
      <c r="I2251" s="2">
        <v>500</v>
      </c>
      <c r="J2251"/>
      <c r="K2251"/>
      <c r="L2251" s="44" t="str" cm="1">
        <f t="array" ref="L2251">+_xlfn.IFS(COUNTIF(INGRESOS!E:E,Tabla6[[#This Row],[ID FACTURA]])=1,"PAGADA",Tabla6[[#This Row],[ID FACTURA]]&lt;&gt;0,"EMITIDA",Tabla6[[#This Row],[ID FACTURA]]=0,"POR EMITIR")</f>
        <v>POR EMITIR</v>
      </c>
      <c r="M2251" s="55" t="str">
        <f>+IF(Tabla6[[#This Row],[ESTADO FACTURA]]="PAGADA",Tabla6[[#This Row],[FECHA]]-_xlfn.XLOOKUP(Tabla6[[#This Row],[N° FACTURA]],INGRESOS!F:F,INGRESOS!A:A),"-")</f>
        <v>-</v>
      </c>
      <c r="N2251" s="2"/>
      <c r="O2251"/>
    </row>
    <row r="2252" spans="1:15" ht="14.75" customHeight="1">
      <c r="A2252" s="320" t="s">
        <v>479</v>
      </c>
      <c r="B2252" t="str">
        <f>+_xlfn.XLOOKUP(Tabla6[[#This Row],[ID CLIENTE]],'RESUMEN CLIENTES'!D:D,'RESUMEN CLIENTES'!A:A)</f>
        <v>Carlos Mersaim Olivares Sandoval</v>
      </c>
      <c r="C2252" t="str">
        <f>+_xlfn.XLOOKUP(Tabla6[[#This Row],[ID CLIENTE]],'RESUMEN CLIENTES'!D:D,'RESUMEN CLIENTES'!C:C)</f>
        <v>México</v>
      </c>
      <c r="D2252" s="44" t="str">
        <f>+_xlfn.XLOOKUP(Tabla6[[#This Row],[ID CLIENTE]],'RESUMEN CLIENTES'!D:D,'RESUMEN CLIENTES'!M:M)</f>
        <v>OK</v>
      </c>
      <c r="E2252" s="72">
        <f>+_xlfn.XLOOKUP(Tabla6[[#This Row],[NOMBRE]],'RESUMEN CLIENTES'!A:A,'RESUMEN CLIENTES'!X:X)</f>
        <v>1.4444444444444444</v>
      </c>
      <c r="F2252" s="72">
        <f>+_xlfn.XLOOKUP(Tabla6[[#This Row],[ID CLIENTE]],'RESUMEN CLIENTES'!D:D,'RESUMEN CLIENTES'!W:W)</f>
        <v>0</v>
      </c>
      <c r="G2252" s="17">
        <f>IF($H2252&lt;&gt;"ALEM","",IFERROR(
  DATE(
    YEAR(EDATE(
      _xlfn.XLOOKUP($A2252,'RESUMEN CLIENTES'!$D:$D,'RESUMEN CLIENTES'!$Y:$Y,""),
      7 + COUNTIFS(
            $A$2:INDEX($A:$A,ROW()), $A2252,
            $H$2:INDEX($H:$H,ROW()), "ALEM"
          )
    )),
    MONTH(EDATE(
      _xlfn.XLOOKUP($A2252,'RESUMEN CLIENTES'!$D:$D,'RESUMEN CLIENTES'!$Y:$Y,""),
      7 + COUNTIFS(
            $A$2:INDEX($A:$A,ROW()), $A2252,
            $H$2:INDEX($H:$H,ROW()), "ALEM"
          )
    )),
    1
  ),
"SIN FECHA MIG"))</f>
        <v>46508</v>
      </c>
      <c r="H2252" s="44" t="s">
        <v>1876</v>
      </c>
      <c r="I2252" s="2">
        <v>1000</v>
      </c>
      <c r="J2252"/>
      <c r="K2252"/>
      <c r="L2252" s="44" t="str" cm="1">
        <f t="array" ref="L2252">+_xlfn.IFS(COUNTIF(INGRESOS!E:E,Tabla6[[#This Row],[ID FACTURA]])=1,"PAGADA",Tabla6[[#This Row],[ID FACTURA]]&lt;&gt;0,"EMITIDA",Tabla6[[#This Row],[ID FACTURA]]=0,"POR EMITIR")</f>
        <v>POR EMITIR</v>
      </c>
      <c r="M2252" s="55" t="str">
        <f>+IF(Tabla6[[#This Row],[ESTADO FACTURA]]="PAGADA",Tabla6[[#This Row],[FECHA]]-_xlfn.XLOOKUP(Tabla6[[#This Row],[N° FACTURA]],INGRESOS!F:F,INGRESOS!A:A),"-")</f>
        <v>-</v>
      </c>
      <c r="N2252" s="2"/>
      <c r="O2252"/>
    </row>
    <row r="2253" spans="1:15" ht="14.75" customHeight="1">
      <c r="A2253" s="320" t="s">
        <v>1556</v>
      </c>
      <c r="B2253" t="str">
        <f>+_xlfn.XLOOKUP(Tabla6[[#This Row],[ID CLIENTE]],'RESUMEN CLIENTES'!D:D,'RESUMEN CLIENTES'!A:A)</f>
        <v>Claudia Nivon Chacón</v>
      </c>
      <c r="C2253" t="str">
        <f>+_xlfn.XLOOKUP(Tabla6[[#This Row],[ID CLIENTE]],'RESUMEN CLIENTES'!D:D,'RESUMEN CLIENTES'!C:C)</f>
        <v>México</v>
      </c>
      <c r="D2253" s="44" t="str">
        <f>+_xlfn.XLOOKUP(Tabla6[[#This Row],[ID CLIENTE]],'RESUMEN CLIENTES'!D:D,'RESUMEN CLIENTES'!M:M)</f>
        <v>OK</v>
      </c>
      <c r="E2253" s="71">
        <f>+_xlfn.XLOOKUP(Tabla6[[#This Row],[NOMBRE]],'RESUMEN CLIENTES'!A:A,'RESUMEN CLIENTES'!X:X)</f>
        <v>0.4</v>
      </c>
      <c r="F2253" s="71">
        <f>+_xlfn.XLOOKUP(Tabla6[[#This Row],[ID CLIENTE]],'RESUMEN CLIENTES'!D:D,'RESUMEN CLIENTES'!W:W)</f>
        <v>0</v>
      </c>
      <c r="G2253" s="17">
        <f>IF($H2253&lt;&gt;"ALEM","",IFERROR(
  DATE(
    YEAR(EDATE(
      _xlfn.XLOOKUP($A2253,'RESUMEN CLIENTES'!$D:$D,'RESUMEN CLIENTES'!$Y:$Y,""),
      7 + COUNTIFS(
            $A$2:INDEX($A:$A,ROW()), $A2253,
            $H$2:INDEX($H:$H,ROW()), "ALEM"
          )
    )),
    MONTH(EDATE(
      _xlfn.XLOOKUP($A2253,'RESUMEN CLIENTES'!$D:$D,'RESUMEN CLIENTES'!$Y:$Y,""),
      7 + COUNTIFS(
            $A$2:INDEX($A:$A,ROW()), $A2253,
            $H$2:INDEX($H:$H,ROW()), "ALEM"
          )
    )),
    1
  ),
"SIN FECHA MIG"))</f>
        <v>46508</v>
      </c>
      <c r="H2253" s="169" t="s">
        <v>1876</v>
      </c>
      <c r="I2253" s="2">
        <v>8500</v>
      </c>
      <c r="J2253"/>
      <c r="K2253"/>
      <c r="L2253" s="44" t="str" cm="1">
        <f t="array" ref="L2253">+_xlfn.IFS(COUNTIF(INGRESOS!E:E,Tabla6[[#This Row],[ID FACTURA]])=1,"PAGADA",Tabla6[[#This Row],[ID FACTURA]]&lt;&gt;0,"EMITIDA",Tabla6[[#This Row],[ID FACTURA]]=0,"POR EMITIR")</f>
        <v>POR EMITIR</v>
      </c>
      <c r="M2253" s="55" t="str">
        <f>+IF(Tabla6[[#This Row],[ESTADO FACTURA]]="PAGADA",Tabla6[[#This Row],[FECHA]]-_xlfn.XLOOKUP(Tabla6[[#This Row],[N° FACTURA]],INGRESOS!F:F,INGRESOS!A:A),"-")</f>
        <v>-</v>
      </c>
      <c r="N2253" s="2"/>
      <c r="O2253" t="s">
        <v>2090</v>
      </c>
    </row>
    <row r="2254" spans="1:15" ht="14.75" customHeight="1">
      <c r="A2254" s="320" t="s">
        <v>1245</v>
      </c>
      <c r="B2254" t="str">
        <f>+_xlfn.XLOOKUP(Tabla6[[#This Row],[ID CLIENTE]],'RESUMEN CLIENTES'!D:D,'RESUMEN CLIENTES'!A:A)</f>
        <v>Constanza Andrea Águila Vergara</v>
      </c>
      <c r="C2254" t="str">
        <f>+_xlfn.XLOOKUP(Tabla6[[#This Row],[ID CLIENTE]],'RESUMEN CLIENTES'!D:D,'RESUMEN CLIENTES'!C:C)</f>
        <v>Chile</v>
      </c>
      <c r="D2254" s="44" t="str">
        <f>+_xlfn.XLOOKUP(Tabla6[[#This Row],[ID CLIENTE]],'RESUMEN CLIENTES'!D:D,'RESUMEN CLIENTES'!M:M)</f>
        <v>OK</v>
      </c>
      <c r="E2254" s="71">
        <f>+_xlfn.XLOOKUP(Tabla6[[#This Row],[NOMBRE]],'RESUMEN CLIENTES'!A:A,'RESUMEN CLIENTES'!X:X)</f>
        <v>-0.2</v>
      </c>
      <c r="F2254" s="71">
        <f>+_xlfn.XLOOKUP(Tabla6[[#This Row],[ID CLIENTE]],'RESUMEN CLIENTES'!D:D,'RESUMEN CLIENTES'!W:W)</f>
        <v>1</v>
      </c>
      <c r="G2254" s="17">
        <f>IF($H2254&lt;&gt;"ALEM","",IFERROR(
  DATE(
    YEAR(EDATE(
      _xlfn.XLOOKUP($A2254,'RESUMEN CLIENTES'!$D:$D,'RESUMEN CLIENTES'!$Y:$Y,""),
      7 + COUNTIFS(
            $A$2:INDEX($A:$A,ROW()), $A2254,
            $H$2:INDEX($H:$H,ROW()), "ALEM"
          )
    )),
    MONTH(EDATE(
      _xlfn.XLOOKUP($A2254,'RESUMEN CLIENTES'!$D:$D,'RESUMEN CLIENTES'!$Y:$Y,""),
      7 + COUNTIFS(
            $A$2:INDEX($A:$A,ROW()), $A2254,
            $H$2:INDEX($H:$H,ROW()), "ALEM"
          )
    )),
    1
  ),
"SIN FECHA MIG"))</f>
        <v>46508</v>
      </c>
      <c r="H2254" s="44" t="s">
        <v>1876</v>
      </c>
      <c r="I2254" s="2">
        <v>800</v>
      </c>
      <c r="J2254"/>
      <c r="K2254"/>
      <c r="L2254" s="44" t="str" cm="1">
        <f t="array" ref="L2254">+_xlfn.IFS(COUNTIF(INGRESOS!E:E,Tabla6[[#This Row],[ID FACTURA]])=1,"PAGADA",Tabla6[[#This Row],[ID FACTURA]]&lt;&gt;0,"EMITIDA",Tabla6[[#This Row],[ID FACTURA]]=0,"POR EMITIR")</f>
        <v>POR EMITIR</v>
      </c>
      <c r="M2254" s="55" t="str">
        <f>+IF(Tabla6[[#This Row],[ESTADO FACTURA]]="PAGADA",Tabla6[[#This Row],[FECHA]]-_xlfn.XLOOKUP(Tabla6[[#This Row],[N° FACTURA]],INGRESOS!F:F,INGRESOS!A:A),"-")</f>
        <v>-</v>
      </c>
      <c r="N2254" s="2"/>
      <c r="O2254"/>
    </row>
    <row r="2255" spans="1:15" ht="14.75" customHeight="1">
      <c r="A2255" s="320" t="s">
        <v>90</v>
      </c>
      <c r="B2255" t="str">
        <f>+_xlfn.XLOOKUP(Tabla6[[#This Row],[ID CLIENTE]],'RESUMEN CLIENTES'!D:D,'RESUMEN CLIENTES'!A:A)</f>
        <v>David Enrique Díaz Mejía</v>
      </c>
      <c r="C2255" t="str">
        <f>+_xlfn.XLOOKUP(Tabla6[[#This Row],[ID CLIENTE]],'RESUMEN CLIENTES'!D:D,'RESUMEN CLIENTES'!C:C)</f>
        <v>Honduras</v>
      </c>
      <c r="D2255" s="44" t="str">
        <f>+_xlfn.XLOOKUP(Tabla6[[#This Row],[ID CLIENTE]],'RESUMEN CLIENTES'!D:D,'RESUMEN CLIENTES'!M:M)</f>
        <v>OK</v>
      </c>
      <c r="E2255" s="72">
        <f>+_xlfn.XLOOKUP(Tabla6[[#This Row],[NOMBRE]],'RESUMEN CLIENTES'!A:A,'RESUMEN CLIENTES'!X:X)</f>
        <v>-15.217592592592862</v>
      </c>
      <c r="F2255" s="72">
        <f>+_xlfn.XLOOKUP(Tabla6[[#This Row],[ID CLIENTE]],'RESUMEN CLIENTES'!D:D,'RESUMEN CLIENTES'!W:W)</f>
        <v>1</v>
      </c>
      <c r="G2255" s="17">
        <f>IF($H2255&lt;&gt;"ALEM","",IFERROR(
  DATE(
    YEAR(EDATE(
      _xlfn.XLOOKUP($A2255,'RESUMEN CLIENTES'!$D:$D,'RESUMEN CLIENTES'!$Y:$Y,""),
      7 + COUNTIFS(
            $A$2:INDEX($A:$A,ROW()), $A2255,
            $H$2:INDEX($H:$H,ROW()), "ALEM"
          )
    )),
    MONTH(EDATE(
      _xlfn.XLOOKUP($A2255,'RESUMEN CLIENTES'!$D:$D,'RESUMEN CLIENTES'!$Y:$Y,""),
      7 + COUNTIFS(
            $A$2:INDEX($A:$A,ROW()), $A2255,
            $H$2:INDEX($H:$H,ROW()), "ALEM"
          )
    )),
    1
  ),
"SIN FECHA MIG"))</f>
        <v>46508</v>
      </c>
      <c r="H2255" s="44" t="s">
        <v>1876</v>
      </c>
      <c r="I2255" s="2">
        <v>1000</v>
      </c>
      <c r="J2255"/>
      <c r="K2255"/>
      <c r="L2255" s="44" t="str" cm="1">
        <f t="array" ref="L2255">+_xlfn.IFS(COUNTIF(INGRESOS!E:E,Tabla6[[#This Row],[ID FACTURA]])=1,"PAGADA",Tabla6[[#This Row],[ID FACTURA]]&lt;&gt;0,"EMITIDA",Tabla6[[#This Row],[ID FACTURA]]=0,"POR EMITIR")</f>
        <v>POR EMITIR</v>
      </c>
      <c r="M2255" s="55" t="str">
        <f>+IF(Tabla6[[#This Row],[ESTADO FACTURA]]="PAGADA",Tabla6[[#This Row],[FECHA]]-_xlfn.XLOOKUP(Tabla6[[#This Row],[N° FACTURA]],INGRESOS!F:F,INGRESOS!A:A),"-")</f>
        <v>-</v>
      </c>
      <c r="N2255" s="2"/>
      <c r="O2255"/>
    </row>
    <row r="2256" spans="1:15" ht="14.75" customHeight="1">
      <c r="A2256" s="320" t="s">
        <v>1674</v>
      </c>
      <c r="B2256" t="str">
        <f>+_xlfn.XLOOKUP(Tabla6[[#This Row],[ID CLIENTE]],'RESUMEN CLIENTES'!D:D,'RESUMEN CLIENTES'!A:A)</f>
        <v>Diego Alberto Ruiz Cifuentes</v>
      </c>
      <c r="C2256" t="str">
        <f>+_xlfn.XLOOKUP(Tabla6[[#This Row],[ID CLIENTE]],'RESUMEN CLIENTES'!D:D,'RESUMEN CLIENTES'!C:C)</f>
        <v>Chile</v>
      </c>
      <c r="D2256" s="169" t="str">
        <f>+_xlfn.XLOOKUP(Tabla6[[#This Row],[ID CLIENTE]],'RESUMEN CLIENTES'!D:D,'RESUMEN CLIENTES'!M:M)</f>
        <v>OK</v>
      </c>
      <c r="E2256" s="71">
        <f>+_xlfn.XLOOKUP(Tabla6[[#This Row],[NOMBRE]],'RESUMEN CLIENTES'!A:A,'RESUMEN CLIENTES'!X:X)</f>
        <v>5.75</v>
      </c>
      <c r="F2256" s="71">
        <f>+_xlfn.XLOOKUP(Tabla6[[#This Row],[ID CLIENTE]],'RESUMEN CLIENTES'!D:D,'RESUMEN CLIENTES'!W:W)</f>
        <v>0</v>
      </c>
      <c r="G2256" s="17">
        <f>IF($H2256&lt;&gt;"ALEM","",IFERROR(
  DATE(
    YEAR(EDATE(
      _xlfn.XLOOKUP($A2256,'RESUMEN CLIENTES'!$D:$D,'RESUMEN CLIENTES'!$Y:$Y,""),
      7 + COUNTIFS(
            $A$2:INDEX($A:$A,ROW()), $A2256,
            $H$2:INDEX($H:$H,ROW()), "ALEM"
          )
    )),
    MONTH(EDATE(
      _xlfn.XLOOKUP($A2256,'RESUMEN CLIENTES'!$D:$D,'RESUMEN CLIENTES'!$Y:$Y,""),
      7 + COUNTIFS(
            $A$2:INDEX($A:$A,ROW()), $A2256,
            $H$2:INDEX($H:$H,ROW()), "ALEM"
          )
    )),
    1
  ),
"SIN FECHA MIG"))</f>
        <v>46508</v>
      </c>
      <c r="H2256" s="169" t="s">
        <v>1876</v>
      </c>
      <c r="I2256" s="2">
        <v>800</v>
      </c>
      <c r="J2256"/>
      <c r="K2256"/>
      <c r="L2256" s="44" t="str" cm="1">
        <f t="array" ref="L2256">+_xlfn.IFS(COUNTIF(INGRESOS!E:E,Tabla6[[#This Row],[ID FACTURA]])=1,"PAGADA",Tabla6[[#This Row],[ID FACTURA]]&lt;&gt;0,"EMITIDA",Tabla6[[#This Row],[ID FACTURA]]=0,"POR EMITIR")</f>
        <v>POR EMITIR</v>
      </c>
      <c r="M2256" s="55" t="str">
        <f>+IF(Tabla6[[#This Row],[ESTADO FACTURA]]="PAGADA",Tabla6[[#This Row],[FECHA]]-_xlfn.XLOOKUP(Tabla6[[#This Row],[N° FACTURA]],INGRESOS!F:F,INGRESOS!A:A),"-")</f>
        <v>-</v>
      </c>
      <c r="N2256" s="2"/>
      <c r="O2256"/>
    </row>
    <row r="2257" spans="1:15" ht="14.75" customHeight="1">
      <c r="A2257" s="320" t="s">
        <v>385</v>
      </c>
      <c r="B2257" t="str">
        <f>+_xlfn.XLOOKUP(Tabla6[[#This Row],[ID CLIENTE]],'RESUMEN CLIENTES'!D:D,'RESUMEN CLIENTES'!A:A)</f>
        <v>Ellen Cristina Gerónimo Bonilla</v>
      </c>
      <c r="C2257" t="str">
        <f>+_xlfn.XLOOKUP(Tabla6[[#This Row],[ID CLIENTE]],'RESUMEN CLIENTES'!D:D,'RESUMEN CLIENTES'!C:C)</f>
        <v>República Dominicana</v>
      </c>
      <c r="D2257" s="44" t="str">
        <f>+_xlfn.XLOOKUP(Tabla6[[#This Row],[ID CLIENTE]],'RESUMEN CLIENTES'!D:D,'RESUMEN CLIENTES'!M:M)</f>
        <v>OK</v>
      </c>
      <c r="E2257" s="72">
        <f>+_xlfn.XLOOKUP(Tabla6[[#This Row],[NOMBRE]],'RESUMEN CLIENTES'!A:A,'RESUMEN CLIENTES'!X:X)</f>
        <v>1.5555555555555556</v>
      </c>
      <c r="F2257" s="72">
        <f>+_xlfn.XLOOKUP(Tabla6[[#This Row],[ID CLIENTE]],'RESUMEN CLIENTES'!D:D,'RESUMEN CLIENTES'!W:W)</f>
        <v>1</v>
      </c>
      <c r="G2257" s="17">
        <f>IF($H2257&lt;&gt;"ALEM","",IFERROR(
  DATE(
    YEAR(EDATE(
      _xlfn.XLOOKUP($A2257,'RESUMEN CLIENTES'!$D:$D,'RESUMEN CLIENTES'!$Y:$Y,""),
      7 + COUNTIFS(
            $A$2:INDEX($A:$A,ROW()), $A2257,
            $H$2:INDEX($H:$H,ROW()), "ALEM"
          )
    )),
    MONTH(EDATE(
      _xlfn.XLOOKUP($A2257,'RESUMEN CLIENTES'!$D:$D,'RESUMEN CLIENTES'!$Y:$Y,""),
      7 + COUNTIFS(
            $A$2:INDEX($A:$A,ROW()), $A2257,
            $H$2:INDEX($H:$H,ROW()), "ALEM"
          )
    )),
    1
  ),
"SIN FECHA MIG"))</f>
        <v>46508</v>
      </c>
      <c r="H2257" s="44" t="s">
        <v>1876</v>
      </c>
      <c r="I2257" s="2">
        <v>1000</v>
      </c>
      <c r="J2257"/>
      <c r="K2257"/>
      <c r="L2257" s="44" t="str" cm="1">
        <f t="array" ref="L2257">+_xlfn.IFS(COUNTIF(INGRESOS!E:E,Tabla6[[#This Row],[ID FACTURA]])=1,"PAGADA",Tabla6[[#This Row],[ID FACTURA]]&lt;&gt;0,"EMITIDA",Tabla6[[#This Row],[ID FACTURA]]=0,"POR EMITIR")</f>
        <v>POR EMITIR</v>
      </c>
      <c r="M2257" s="55" t="str">
        <f>+IF(Tabla6[[#This Row],[ESTADO FACTURA]]="PAGADA",Tabla6[[#This Row],[FECHA]]-_xlfn.XLOOKUP(Tabla6[[#This Row],[N° FACTURA]],INGRESOS!F:F,INGRESOS!A:A),"-")</f>
        <v>-</v>
      </c>
      <c r="N2257" s="2"/>
      <c r="O2257"/>
    </row>
    <row r="2258" spans="1:15" ht="14.75" customHeight="1">
      <c r="A2258" s="320" t="s">
        <v>595</v>
      </c>
      <c r="B2258" t="str">
        <f>+_xlfn.XLOOKUP(Tabla6[[#This Row],[ID CLIENTE]],'RESUMEN CLIENTES'!D:D,'RESUMEN CLIENTES'!A:A)</f>
        <v>Erick Leonardo Chiriboga Valdiviezo</v>
      </c>
      <c r="C2258" t="str">
        <f>+_xlfn.XLOOKUP(Tabla6[[#This Row],[ID CLIENTE]],'RESUMEN CLIENTES'!D:D,'RESUMEN CLIENTES'!C:C)</f>
        <v>Ecuador</v>
      </c>
      <c r="D2258" s="44" t="str">
        <f>+_xlfn.XLOOKUP(Tabla6[[#This Row],[ID CLIENTE]],'RESUMEN CLIENTES'!D:D,'RESUMEN CLIENTES'!M:M)</f>
        <v>OK</v>
      </c>
      <c r="E2258" s="72">
        <f>+_xlfn.XLOOKUP(Tabla6[[#This Row],[NOMBRE]],'RESUMEN CLIENTES'!A:A,'RESUMEN CLIENTES'!X:X)</f>
        <v>-0.33333333333333331</v>
      </c>
      <c r="F2258" s="72">
        <f>+_xlfn.XLOOKUP(Tabla6[[#This Row],[ID CLIENTE]],'RESUMEN CLIENTES'!D:D,'RESUMEN CLIENTES'!W:W)</f>
        <v>0</v>
      </c>
      <c r="G2258" s="17">
        <f>IF($H2258&lt;&gt;"ALEM","",IFERROR(
  DATE(
    YEAR(EDATE(
      _xlfn.XLOOKUP($A2258,'RESUMEN CLIENTES'!$D:$D,'RESUMEN CLIENTES'!$Y:$Y,""),
      7 + COUNTIFS(
            $A$2:INDEX($A:$A,ROW()), $A2258,
            $H$2:INDEX($H:$H,ROW()), "ALEM"
          )
    )),
    MONTH(EDATE(
      _xlfn.XLOOKUP($A2258,'RESUMEN CLIENTES'!$D:$D,'RESUMEN CLIENTES'!$Y:$Y,""),
      7 + COUNTIFS(
            $A$2:INDEX($A:$A,ROW()), $A2258,
            $H$2:INDEX($H:$H,ROW()), "ALEM"
          )
    )),
    1
  ),
"null"))</f>
        <v>46508</v>
      </c>
      <c r="H2258" s="44" t="s">
        <v>1876</v>
      </c>
      <c r="I2258" s="2">
        <v>1000</v>
      </c>
      <c r="J2258"/>
      <c r="K2258"/>
      <c r="L2258" s="44" t="str" cm="1">
        <f t="array" ref="L2258">+_xlfn.IFS(COUNTIF(INGRESOS!E:E,Tabla6[[#This Row],[ID FACTURA]])=1,"PAGADA",Tabla6[[#This Row],[ID FACTURA]]&lt;&gt;0,"EMITIDA",Tabla6[[#This Row],[ID FACTURA]]=0,"POR EMITIR")</f>
        <v>POR EMITIR</v>
      </c>
      <c r="M2258" s="55" t="str">
        <f>+IF(Tabla6[[#This Row],[ESTADO FACTURA]]="PAGADA",Tabla6[[#This Row],[FECHA]]-_xlfn.XLOOKUP(Tabla6[[#This Row],[N° FACTURA]],INGRESOS!F:F,INGRESOS!A:A),"-")</f>
        <v>-</v>
      </c>
      <c r="N2258" s="2"/>
      <c r="O2258"/>
    </row>
    <row r="2259" spans="1:15" ht="14.75" customHeight="1">
      <c r="A2259" s="320" t="s">
        <v>250</v>
      </c>
      <c r="B2259" t="str">
        <f>+_xlfn.XLOOKUP(Tabla6[[#This Row],[ID CLIENTE]],'RESUMEN CLIENTES'!D:D,'RESUMEN CLIENTES'!A:A)</f>
        <v>Fernanda Castro</v>
      </c>
      <c r="C2259" t="str">
        <f>+_xlfn.XLOOKUP(Tabla6[[#This Row],[ID CLIENTE]],'RESUMEN CLIENTES'!D:D,'RESUMEN CLIENTES'!C:C)</f>
        <v>Ecuador</v>
      </c>
      <c r="D2259" s="44" t="str">
        <f>+_xlfn.XLOOKUP(Tabla6[[#This Row],[ID CLIENTE]],'RESUMEN CLIENTES'!D:D,'RESUMEN CLIENTES'!M:M)</f>
        <v>OK</v>
      </c>
      <c r="E2259" s="72">
        <f>+_xlfn.XLOOKUP(Tabla6[[#This Row],[NOMBRE]],'RESUMEN CLIENTES'!A:A,'RESUMEN CLIENTES'!X:X)</f>
        <v>0</v>
      </c>
      <c r="F2259" s="72">
        <f>+_xlfn.XLOOKUP(Tabla6[[#This Row],[ID CLIENTE]],'RESUMEN CLIENTES'!D:D,'RESUMEN CLIENTES'!W:W)</f>
        <v>1</v>
      </c>
      <c r="G2259" s="17">
        <f>IF($H2259&lt;&gt;"ALEM","",IFERROR(
  DATE(
    YEAR(EDATE(
      _xlfn.XLOOKUP($A2259,'RESUMEN CLIENTES'!$D:$D,'RESUMEN CLIENTES'!$Y:$Y,""),
      7 + COUNTIFS(
            $A$2:INDEX($A:$A,ROW()), $A2259,
            $H$2:INDEX($H:$H,ROW()), "ALEM"
          )
    )),
    MONTH(EDATE(
      _xlfn.XLOOKUP($A2259,'RESUMEN CLIENTES'!$D:$D,'RESUMEN CLIENTES'!$Y:$Y,""),
      7 + COUNTIFS(
            $A$2:INDEX($A:$A,ROW()), $A2259,
            $H$2:INDEX($H:$H,ROW()), "ALEM"
          )
    )),
    1
  ),
"SIN FECHA MIG"))</f>
        <v>46508</v>
      </c>
      <c r="H2259" s="44" t="s">
        <v>1876</v>
      </c>
      <c r="I2259" s="2">
        <v>1000</v>
      </c>
      <c r="J2259"/>
      <c r="K2259"/>
      <c r="L2259" s="44" t="str" cm="1">
        <f t="array" ref="L2259">+_xlfn.IFS(COUNTIF(INGRESOS!E:E,Tabla6[[#This Row],[ID FACTURA]])=1,"PAGADA",Tabla6[[#This Row],[ID FACTURA]]&lt;&gt;0,"EMITIDA",Tabla6[[#This Row],[ID FACTURA]]=0,"POR EMITIR")</f>
        <v>POR EMITIR</v>
      </c>
      <c r="M2259" s="55" t="str">
        <f>+IF(Tabla6[[#This Row],[ESTADO FACTURA]]="PAGADA",Tabla6[[#This Row],[FECHA]]-_xlfn.XLOOKUP(Tabla6[[#This Row],[N° FACTURA]],INGRESOS!F:F,INGRESOS!A:A),"-")</f>
        <v>-</v>
      </c>
      <c r="N2259" s="2"/>
      <c r="O2259"/>
    </row>
    <row r="2260" spans="1:15" ht="14.75" customHeight="1">
      <c r="A2260" s="320" t="s">
        <v>1761</v>
      </c>
      <c r="B2260" t="str">
        <f>+_xlfn.XLOOKUP(Tabla6[[#This Row],[ID CLIENTE]],'RESUMEN CLIENTES'!D:D,'RESUMEN CLIENTES'!A:A)</f>
        <v>Francisco Salas Barrera</v>
      </c>
      <c r="C2260" t="str">
        <f>+_xlfn.XLOOKUP(Tabla6[[#This Row],[ID CLIENTE]],'RESUMEN CLIENTES'!D:D,'RESUMEN CLIENTES'!C:C)</f>
        <v>México</v>
      </c>
      <c r="D2260" s="169" t="str">
        <f>+_xlfn.XLOOKUP(Tabla6[[#This Row],[ID CLIENTE]],'RESUMEN CLIENTES'!D:D,'RESUMEN CLIENTES'!M:M)</f>
        <v>OK</v>
      </c>
      <c r="E2260" s="71">
        <f>+_xlfn.XLOOKUP(Tabla6[[#This Row],[NOMBRE]],'RESUMEN CLIENTES'!A:A,'RESUMEN CLIENTES'!X:X)</f>
        <v>-0.75</v>
      </c>
      <c r="F2260" s="71">
        <f>+_xlfn.XLOOKUP(Tabla6[[#This Row],[ID CLIENTE]],'RESUMEN CLIENTES'!D:D,'RESUMEN CLIENTES'!W:W)</f>
        <v>0</v>
      </c>
      <c r="G2260" s="17">
        <f>IF($H2260&lt;&gt;"ALEM","",IFERROR(
  DATE(
    YEAR(EDATE(
      _xlfn.XLOOKUP($A2260,'RESUMEN CLIENTES'!$D:$D,'RESUMEN CLIENTES'!$Y:$Y,""),
      7 + COUNTIFS(
            $A$2:INDEX($A:$A,ROW()), $A2260,
            $H$2:INDEX($H:$H,ROW()), "ALEM"
          )
    )),
    MONTH(EDATE(
      _xlfn.XLOOKUP($A2260,'RESUMEN CLIENTES'!$D:$D,'RESUMEN CLIENTES'!$Y:$Y,""),
      7 + COUNTIFS(
            $A$2:INDEX($A:$A,ROW()), $A2260,
            $H$2:INDEX($H:$H,ROW()), "ALEM"
          )
    )),
    1
  ),
"SIN FECHA MIG"))</f>
        <v>46508</v>
      </c>
      <c r="H2260" s="169" t="s">
        <v>1876</v>
      </c>
      <c r="I2260" s="2">
        <v>800</v>
      </c>
      <c r="J2260"/>
      <c r="K2260"/>
      <c r="L2260" s="44" t="str" cm="1">
        <f t="array" ref="L2260">+_xlfn.IFS(COUNTIF(INGRESOS!E:E,Tabla6[[#This Row],[ID FACTURA]])=1,"PAGADA",Tabla6[[#This Row],[ID FACTURA]]&lt;&gt;0,"EMITIDA",Tabla6[[#This Row],[ID FACTURA]]=0,"POR EMITIR")</f>
        <v>POR EMITIR</v>
      </c>
      <c r="M2260" s="55" t="str">
        <f>+IF(Tabla6[[#This Row],[ESTADO FACTURA]]="PAGADA",Tabla6[[#This Row],[FECHA]]-_xlfn.XLOOKUP(Tabla6[[#This Row],[N° FACTURA]],INGRESOS!F:F,INGRESOS!A:A),"-")</f>
        <v>-</v>
      </c>
      <c r="O2260"/>
    </row>
    <row r="2261" spans="1:15" ht="14.75" customHeight="1">
      <c r="A2261" s="320" t="s">
        <v>700</v>
      </c>
      <c r="B2261" t="str">
        <f>+_xlfn.XLOOKUP(Tabla6[[#This Row],[ID CLIENTE]],'RESUMEN CLIENTES'!D:D,'RESUMEN CLIENTES'!A:A)</f>
        <v>Ignacio Manuel Jesus Orellana Gutiérrez</v>
      </c>
      <c r="C2261" t="str">
        <f>+_xlfn.XLOOKUP(Tabla6[[#This Row],[ID CLIENTE]],'RESUMEN CLIENTES'!D:D,'RESUMEN CLIENTES'!C:C)</f>
        <v>Chile</v>
      </c>
      <c r="D2261" s="44" t="str">
        <f>+_xlfn.XLOOKUP(Tabla6[[#This Row],[ID CLIENTE]],'RESUMEN CLIENTES'!D:D,'RESUMEN CLIENTES'!M:M)</f>
        <v>OK</v>
      </c>
      <c r="E2261" s="72">
        <f>+_xlfn.XLOOKUP(Tabla6[[#This Row],[NOMBRE]],'RESUMEN CLIENTES'!A:A,'RESUMEN CLIENTES'!X:X)</f>
        <v>2.4</v>
      </c>
      <c r="F2261" s="72">
        <f>+_xlfn.XLOOKUP(Tabla6[[#This Row],[ID CLIENTE]],'RESUMEN CLIENTES'!D:D,'RESUMEN CLIENTES'!W:W)</f>
        <v>0</v>
      </c>
      <c r="G2261" s="17">
        <f>IF($H2261&lt;&gt;"ALEM","",IFERROR(
  DATE(
    YEAR(EDATE(
      _xlfn.XLOOKUP($A2261,'RESUMEN CLIENTES'!$D:$D,'RESUMEN CLIENTES'!$Y:$Y,""),
      7 + COUNTIFS(
            $A$2:INDEX($A:$A,ROW()), $A2261,
            $H$2:INDEX($H:$H,ROW()), "ALEM"
          )
    )),
    MONTH(EDATE(
      _xlfn.XLOOKUP($A2261,'RESUMEN CLIENTES'!$D:$D,'RESUMEN CLIENTES'!$Y:$Y,""),
      7 + COUNTIFS(
            $A$2:INDEX($A:$A,ROW()), $A2261,
            $H$2:INDEX($H:$H,ROW()), "ALEM"
          )
    )),
    1
  ),
"SIN FECHA MIG"))</f>
        <v>46508</v>
      </c>
      <c r="H2261" s="44" t="s">
        <v>1876</v>
      </c>
      <c r="I2261" s="2">
        <v>1000</v>
      </c>
      <c r="J2261"/>
      <c r="K2261"/>
      <c r="L2261" s="44" t="str" cm="1">
        <f t="array" ref="L2261">+_xlfn.IFS(COUNTIF(INGRESOS!E:E,Tabla6[[#This Row],[ID FACTURA]])=1,"PAGADA",Tabla6[[#This Row],[ID FACTURA]]&lt;&gt;0,"EMITIDA",Tabla6[[#This Row],[ID FACTURA]]=0,"POR EMITIR")</f>
        <v>POR EMITIR</v>
      </c>
      <c r="M2261" s="55" t="str">
        <f>+IF(Tabla6[[#This Row],[ESTADO FACTURA]]="PAGADA",Tabla6[[#This Row],[FECHA]]-_xlfn.XLOOKUP(Tabla6[[#This Row],[N° FACTURA]],INGRESOS!F:F,INGRESOS!A:A),"-")</f>
        <v>-</v>
      </c>
      <c r="N2261" s="2"/>
      <c r="O2261"/>
    </row>
    <row r="2262" spans="1:15" ht="14.75" customHeight="1">
      <c r="A2262" s="320" t="s">
        <v>362</v>
      </c>
      <c r="B2262" t="str">
        <f>+_xlfn.XLOOKUP(Tabla6[[#This Row],[ID CLIENTE]],'RESUMEN CLIENTES'!D:D,'RESUMEN CLIENTES'!A:A)</f>
        <v>Jessica Ayelén Culla Alvarez</v>
      </c>
      <c r="C2262" t="str">
        <f>+_xlfn.XLOOKUP(Tabla6[[#This Row],[ID CLIENTE]],'RESUMEN CLIENTES'!D:D,'RESUMEN CLIENTES'!C:C)</f>
        <v>Argentina</v>
      </c>
      <c r="D2262" s="44" t="str">
        <f>+_xlfn.XLOOKUP(Tabla6[[#This Row],[ID CLIENTE]],'RESUMEN CLIENTES'!D:D,'RESUMEN CLIENTES'!M:M)</f>
        <v>OK</v>
      </c>
      <c r="E2262" s="72">
        <f>+_xlfn.XLOOKUP(Tabla6[[#This Row],[NOMBRE]],'RESUMEN CLIENTES'!A:A,'RESUMEN CLIENTES'!X:X)</f>
        <v>-2.1538461538461537</v>
      </c>
      <c r="F2262" s="72">
        <f>+_xlfn.XLOOKUP(Tabla6[[#This Row],[ID CLIENTE]],'RESUMEN CLIENTES'!D:D,'RESUMEN CLIENTES'!W:W)</f>
        <v>1</v>
      </c>
      <c r="G2262" s="17">
        <f>IF($H2262&lt;&gt;"ALEM","",IFERROR(
  DATE(
    YEAR(EDATE(
      _xlfn.XLOOKUP($A2262,'RESUMEN CLIENTES'!$D:$D,'RESUMEN CLIENTES'!$Y:$Y,""),
      7 + COUNTIFS(
            $A$2:INDEX($A:$A,ROW()), $A2262,
            $H$2:INDEX($H:$H,ROW()), "ALEM"
          )
    )),
    MONTH(EDATE(
      _xlfn.XLOOKUP($A2262,'RESUMEN CLIENTES'!$D:$D,'RESUMEN CLIENTES'!$Y:$Y,""),
      7 + COUNTIFS(
            $A$2:INDEX($A:$A,ROW()), $A2262,
            $H$2:INDEX($H:$H,ROW()), "ALEM"
          )
    )),
    1
  ),
"SIN FECHA MIG"))</f>
        <v>46508</v>
      </c>
      <c r="H2262" s="44" t="s">
        <v>1876</v>
      </c>
      <c r="I2262" s="2">
        <v>1000</v>
      </c>
      <c r="J2262"/>
      <c r="K2262"/>
      <c r="L2262" s="44" t="str" cm="1">
        <f t="array" ref="L2262">+_xlfn.IFS(COUNTIF(INGRESOS!E:E,Tabla6[[#This Row],[ID FACTURA]])=1,"PAGADA",Tabla6[[#This Row],[ID FACTURA]]&lt;&gt;0,"EMITIDA",Tabla6[[#This Row],[ID FACTURA]]=0,"POR EMITIR")</f>
        <v>POR EMITIR</v>
      </c>
      <c r="M2262" s="55" t="str">
        <f>+IF(Tabla6[[#This Row],[ESTADO FACTURA]]="PAGADA",Tabla6[[#This Row],[FECHA]]-_xlfn.XLOOKUP(Tabla6[[#This Row],[N° FACTURA]],INGRESOS!F:F,INGRESOS!A:A),"-")</f>
        <v>-</v>
      </c>
      <c r="N2262" s="2"/>
      <c r="O2262"/>
    </row>
    <row r="2263" spans="1:15" ht="14.75" customHeight="1">
      <c r="A2263" s="321" t="s">
        <v>1899</v>
      </c>
      <c r="B2263" t="str">
        <f>+_xlfn.XLOOKUP(Tabla6[[#This Row],[ID CLIENTE]],'RESUMEN CLIENTES'!D:D,'RESUMEN CLIENTES'!A:A)</f>
        <v>Johan Martínez</v>
      </c>
      <c r="C2263" t="str">
        <f>+_xlfn.XLOOKUP(Tabla6[[#This Row],[ID CLIENTE]],'RESUMEN CLIENTES'!D:D,'RESUMEN CLIENTES'!C:C)</f>
        <v>Colombia</v>
      </c>
      <c r="D2263" s="169" t="str">
        <f>+_xlfn.XLOOKUP(Tabla6[[#This Row],[ID CLIENTE]],'RESUMEN CLIENTES'!D:D,'RESUMEN CLIENTES'!M:M)</f>
        <v>OK</v>
      </c>
      <c r="E2263" s="71">
        <f>+_xlfn.XLOOKUP(Tabla6[[#This Row],[NOMBRE]],'RESUMEN CLIENTES'!A:A,'RESUMEN CLIENTES'!X:X)</f>
        <v>-0.66666666666666663</v>
      </c>
      <c r="F2263" s="71">
        <f>+_xlfn.XLOOKUP(Tabla6[[#This Row],[ID CLIENTE]],'RESUMEN CLIENTES'!D:D,'RESUMEN CLIENTES'!W:W)</f>
        <v>0</v>
      </c>
      <c r="G2263" s="17">
        <v>46508</v>
      </c>
      <c r="H2263" s="169" t="s">
        <v>81</v>
      </c>
      <c r="I2263" s="2">
        <v>1000</v>
      </c>
      <c r="J2263"/>
      <c r="K2263"/>
      <c r="L2263" s="44" t="str" cm="1">
        <f t="array" ref="L2263">+_xlfn.IFS(COUNTIF(INGRESOS!E:E,Tabla6[[#This Row],[ID FACTURA]])=1,"PAGADA",Tabla6[[#This Row],[ID FACTURA]]&lt;&gt;0,"EMITIDA",Tabla6[[#This Row],[ID FACTURA]]=0,"POR EMITIR")</f>
        <v>POR EMITIR</v>
      </c>
      <c r="M2263" s="54" t="str">
        <f>+IF(Tabla6[[#This Row],[ESTADO FACTURA]]="PAGADA",Tabla6[[#This Row],[FECHA]]-_xlfn.XLOOKUP(Tabla6[[#This Row],[N° FACTURA]],INGRESOS!F:F,INGRESOS!A:A),"-")</f>
        <v>-</v>
      </c>
      <c r="O2263"/>
    </row>
    <row r="2264" spans="1:15" ht="14.75" customHeight="1">
      <c r="A2264" s="320" t="s">
        <v>142</v>
      </c>
      <c r="B2264" t="str">
        <f>+_xlfn.XLOOKUP(Tabla6[[#This Row],[ID CLIENTE]],'RESUMEN CLIENTES'!D:D,'RESUMEN CLIENTES'!A:A)</f>
        <v>Jordan Eliecer Toledo Bravo</v>
      </c>
      <c r="C2264" t="str">
        <f>+_xlfn.XLOOKUP(Tabla6[[#This Row],[ID CLIENTE]],'RESUMEN CLIENTES'!D:D,'RESUMEN CLIENTES'!C:C)</f>
        <v>Chile</v>
      </c>
      <c r="D2264" s="169" t="str">
        <f>+_xlfn.XLOOKUP(Tabla6[[#This Row],[ID CLIENTE]],'RESUMEN CLIENTES'!D:D,'RESUMEN CLIENTES'!M:M)</f>
        <v>OK</v>
      </c>
      <c r="E2264" s="71">
        <f>+_xlfn.XLOOKUP(Tabla6[[#This Row],[NOMBRE]],'RESUMEN CLIENTES'!A:A,'RESUMEN CLIENTES'!X:X)</f>
        <v>-1.6153846153846154</v>
      </c>
      <c r="F2264" s="71">
        <f>+_xlfn.XLOOKUP(Tabla6[[#This Row],[ID CLIENTE]],'RESUMEN CLIENTES'!D:D,'RESUMEN CLIENTES'!W:W)</f>
        <v>0</v>
      </c>
      <c r="G2264" s="17">
        <f>IF($H2264&lt;&gt;"ALEM","",IFERROR(
  DATE(
    YEAR(EDATE(
      _xlfn.XLOOKUP($A2264,'RESUMEN CLIENTES'!$D:$D,'RESUMEN CLIENTES'!$Y:$Y,""),
      7 + COUNTIFS(
            $A$2:INDEX($A:$A,ROW()), $A2264,
            $H$2:INDEX($H:$H,ROW()), "ALEM"
          )
    )),
    MONTH(EDATE(
      _xlfn.XLOOKUP($A2264,'RESUMEN CLIENTES'!$D:$D,'RESUMEN CLIENTES'!$Y:$Y,""),
      7 + COUNTIFS(
            $A$2:INDEX($A:$A,ROW()), $A2264,
            $H$2:INDEX($H:$H,ROW()), "ALEM"
          )
    )),
    1
  ),
"null"))</f>
        <v>46508</v>
      </c>
      <c r="H2264" s="169" t="s">
        <v>1876</v>
      </c>
      <c r="I2264" s="2">
        <v>1000</v>
      </c>
      <c r="J2264"/>
      <c r="K2264"/>
      <c r="L2264" s="44" t="str" cm="1">
        <f t="array" ref="L2264">+_xlfn.IFS(COUNTIF(INGRESOS!E:E,Tabla6[[#This Row],[ID FACTURA]])=1,"PAGADA",Tabla6[[#This Row],[ID FACTURA]]&lt;&gt;0,"EMITIDA",Tabla6[[#This Row],[ID FACTURA]]=0,"POR EMITIR")</f>
        <v>POR EMITIR</v>
      </c>
      <c r="M2264" s="54" t="str">
        <f>+IF(Tabla6[[#This Row],[ESTADO FACTURA]]="PAGADA",Tabla6[[#This Row],[FECHA]]-_xlfn.XLOOKUP(Tabla6[[#This Row],[N° FACTURA]],INGRESOS!F:F,INGRESOS!A:A),"-")</f>
        <v>-</v>
      </c>
      <c r="O2264"/>
    </row>
    <row r="2265" spans="1:15" ht="14.75" customHeight="1">
      <c r="A2265" s="320" t="s">
        <v>87</v>
      </c>
      <c r="B2265" t="str">
        <f>+_xlfn.XLOOKUP(Tabla6[[#This Row],[ID CLIENTE]],'RESUMEN CLIENTES'!D:D,'RESUMEN CLIENTES'!A:A)</f>
        <v>Jose Marcelo Marroquín Guzmán</v>
      </c>
      <c r="C2265" t="str">
        <f>+_xlfn.XLOOKUP(Tabla6[[#This Row],[ID CLIENTE]],'RESUMEN CLIENTES'!D:D,'RESUMEN CLIENTES'!C:C)</f>
        <v>El Salvador</v>
      </c>
      <c r="D2265" s="44" t="str">
        <f>+_xlfn.XLOOKUP(Tabla6[[#This Row],[ID CLIENTE]],'RESUMEN CLIENTES'!D:D,'RESUMEN CLIENTES'!M:M)</f>
        <v>OK</v>
      </c>
      <c r="E2265" s="72">
        <f>+_xlfn.XLOOKUP(Tabla6[[#This Row],[NOMBRE]],'RESUMEN CLIENTES'!A:A,'RESUMEN CLIENTES'!X:X)</f>
        <v>-1.5833333333333333</v>
      </c>
      <c r="F2265" s="72">
        <f>+_xlfn.XLOOKUP(Tabla6[[#This Row],[ID CLIENTE]],'RESUMEN CLIENTES'!D:D,'RESUMEN CLIENTES'!W:W)</f>
        <v>1</v>
      </c>
      <c r="G2265" s="17">
        <f>IF($H2265&lt;&gt;"ALEM","",IFERROR(
  DATE(
    YEAR(EDATE(
      _xlfn.XLOOKUP($A2265,'RESUMEN CLIENTES'!$D:$D,'RESUMEN CLIENTES'!$Y:$Y,""),
      7 + COUNTIFS(
            $A$2:INDEX($A:$A,ROW()), $A2265,
            $H$2:INDEX($H:$H,ROW()), "ALEM"
          )
    )),
    MONTH(EDATE(
      _xlfn.XLOOKUP($A2265,'RESUMEN CLIENTES'!$D:$D,'RESUMEN CLIENTES'!$Y:$Y,""),
      7 + COUNTIFS(
            $A$2:INDEX($A:$A,ROW()), $A2265,
            $H$2:INDEX($H:$H,ROW()), "ALEM"
          )
    )),
    1
  ),
"SIN FECHA MIG"))</f>
        <v>46508</v>
      </c>
      <c r="H2265" s="44" t="s">
        <v>1876</v>
      </c>
      <c r="I2265" s="2">
        <v>1000</v>
      </c>
      <c r="J2265"/>
      <c r="K2265"/>
      <c r="L2265" s="44" t="str" cm="1">
        <f t="array" ref="L2265">+_xlfn.IFS(COUNTIF(INGRESOS!E:E,Tabla6[[#This Row],[ID FACTURA]])=1,"PAGADA",Tabla6[[#This Row],[ID FACTURA]]&lt;&gt;0,"EMITIDA",Tabla6[[#This Row],[ID FACTURA]]=0,"POR EMITIR")</f>
        <v>POR EMITIR</v>
      </c>
      <c r="M2265" s="55" t="str">
        <f>+IF(Tabla6[[#This Row],[ESTADO FACTURA]]="PAGADA",Tabla6[[#This Row],[FECHA]]-_xlfn.XLOOKUP(Tabla6[[#This Row],[N° FACTURA]],INGRESOS!F:F,INGRESOS!A:A),"-")</f>
        <v>-</v>
      </c>
      <c r="N2265" s="2"/>
      <c r="O2265" t="s">
        <v>2086</v>
      </c>
    </row>
    <row r="2266" spans="1:15" ht="14.75" customHeight="1">
      <c r="A2266" s="320" t="s">
        <v>711</v>
      </c>
      <c r="B2266" t="str">
        <f>+_xlfn.XLOOKUP(Tabla6[[#This Row],[ID CLIENTE]],'RESUMEN CLIENTES'!D:D,'RESUMEN CLIENTES'!A:A)</f>
        <v>Julian David Gutierrez Rodriguez</v>
      </c>
      <c r="C2266" t="str">
        <f>+_xlfn.XLOOKUP(Tabla6[[#This Row],[ID CLIENTE]],'RESUMEN CLIENTES'!D:D,'RESUMEN CLIENTES'!C:C)</f>
        <v>Colombia</v>
      </c>
      <c r="D2266" s="44" t="str">
        <f>+_xlfn.XLOOKUP(Tabla6[[#This Row],[ID CLIENTE]],'RESUMEN CLIENTES'!D:D,'RESUMEN CLIENTES'!M:M)</f>
        <v>OK</v>
      </c>
      <c r="E2266" s="72">
        <f>+_xlfn.XLOOKUP(Tabla6[[#This Row],[NOMBRE]],'RESUMEN CLIENTES'!A:A,'RESUMEN CLIENTES'!X:X)</f>
        <v>0.7142857142857143</v>
      </c>
      <c r="F2266" s="72">
        <f>+_xlfn.XLOOKUP(Tabla6[[#This Row],[ID CLIENTE]],'RESUMEN CLIENTES'!D:D,'RESUMEN CLIENTES'!W:W)</f>
        <v>1</v>
      </c>
      <c r="G2266" s="17">
        <f>IF($H2266&lt;&gt;"ALEM","",IFERROR(
  DATE(
    YEAR(EDATE(
      _xlfn.XLOOKUP($A2266,'RESUMEN CLIENTES'!$D:$D,'RESUMEN CLIENTES'!$Y:$Y,""),
      7 + COUNTIFS(
            $A$2:INDEX($A:$A,ROW()), $A2266,
            $H$2:INDEX($H:$H,ROW()), "ALEM"
          )
    )),
    MONTH(EDATE(
      _xlfn.XLOOKUP($A2266,'RESUMEN CLIENTES'!$D:$D,'RESUMEN CLIENTES'!$Y:$Y,""),
      7 + COUNTIFS(
            $A$2:INDEX($A:$A,ROW()), $A2266,
            $H$2:INDEX($H:$H,ROW()), "ALEM"
          )
    )),
    1
  ),
"SIN FECHA MIG"))</f>
        <v>46508</v>
      </c>
      <c r="H2266" s="44" t="s">
        <v>1876</v>
      </c>
      <c r="I2266" s="2">
        <v>1000</v>
      </c>
      <c r="J2266"/>
      <c r="K2266"/>
      <c r="L2266" s="44" t="str" cm="1">
        <f t="array" ref="L2266">+_xlfn.IFS(COUNTIF(INGRESOS!E:E,Tabla6[[#This Row],[ID FACTURA]])=1,"PAGADA",Tabla6[[#This Row],[ID FACTURA]]&lt;&gt;0,"EMITIDA",Tabla6[[#This Row],[ID FACTURA]]=0,"POR EMITIR")</f>
        <v>POR EMITIR</v>
      </c>
      <c r="M2266" s="55" t="str">
        <f>+IF(Tabla6[[#This Row],[ESTADO FACTURA]]="PAGADA",Tabla6[[#This Row],[FECHA]]-_xlfn.XLOOKUP(Tabla6[[#This Row],[N° FACTURA]],INGRESOS!F:F,INGRESOS!A:A),"-")</f>
        <v>-</v>
      </c>
      <c r="N2266" s="2"/>
      <c r="O2266" t="s">
        <v>2084</v>
      </c>
    </row>
    <row r="2267" spans="1:15" ht="14.75" customHeight="1">
      <c r="A2267" s="320" t="s">
        <v>372</v>
      </c>
      <c r="B2267" t="str">
        <f>+_xlfn.XLOOKUP(Tabla6[[#This Row],[ID CLIENTE]],'RESUMEN CLIENTES'!D:D,'RESUMEN CLIENTES'!A:A)</f>
        <v>Julio Nelson Adaros Moraga</v>
      </c>
      <c r="C2267" t="str">
        <f>+_xlfn.XLOOKUP(Tabla6[[#This Row],[ID CLIENTE]],'RESUMEN CLIENTES'!D:D,'RESUMEN CLIENTES'!C:C)</f>
        <v>Chile</v>
      </c>
      <c r="D2267" s="44" t="str">
        <f>+_xlfn.XLOOKUP(Tabla6[[#This Row],[ID CLIENTE]],'RESUMEN CLIENTES'!D:D,'RESUMEN CLIENTES'!M:M)</f>
        <v>OK</v>
      </c>
      <c r="E2267" s="72">
        <f>+_xlfn.XLOOKUP(Tabla6[[#This Row],[NOMBRE]],'RESUMEN CLIENTES'!A:A,'RESUMEN CLIENTES'!X:X)</f>
        <v>1</v>
      </c>
      <c r="F2267" s="72">
        <f>+_xlfn.XLOOKUP(Tabla6[[#This Row],[ID CLIENTE]],'RESUMEN CLIENTES'!D:D,'RESUMEN CLIENTES'!W:W)</f>
        <v>1</v>
      </c>
      <c r="G2267" s="17">
        <f>IF($H2267&lt;&gt;"ALEM","",IFERROR(
  DATE(
    YEAR(EDATE(
      _xlfn.XLOOKUP($A2267,'RESUMEN CLIENTES'!$D:$D,'RESUMEN CLIENTES'!$Y:$Y,""),
      7 + COUNTIFS(
            $A$2:INDEX($A:$A,ROW()), $A2267,
            $H$2:INDEX($H:$H,ROW()), "ALEM"
          )
    )),
    MONTH(EDATE(
      _xlfn.XLOOKUP($A2267,'RESUMEN CLIENTES'!$D:$D,'RESUMEN CLIENTES'!$Y:$Y,""),
      7 + COUNTIFS(
            $A$2:INDEX($A:$A,ROW()), $A2267,
            $H$2:INDEX($H:$H,ROW()), "ALEM"
          )
    )),
    1
  ),
"SIN FECHA MIG"))</f>
        <v>46508</v>
      </c>
      <c r="H2267" s="44" t="s">
        <v>1876</v>
      </c>
      <c r="I2267" s="2">
        <v>1000</v>
      </c>
      <c r="J2267"/>
      <c r="K2267"/>
      <c r="L2267" s="44" t="str" cm="1">
        <f t="array" ref="L2267">+_xlfn.IFS(COUNTIF(INGRESOS!E:E,Tabla6[[#This Row],[ID FACTURA]])=1,"PAGADA",Tabla6[[#This Row],[ID FACTURA]]&lt;&gt;0,"EMITIDA",Tabla6[[#This Row],[ID FACTURA]]=0,"POR EMITIR")</f>
        <v>POR EMITIR</v>
      </c>
      <c r="M2267" s="55" t="str">
        <f>+IF(Tabla6[[#This Row],[ESTADO FACTURA]]="PAGADA",Tabla6[[#This Row],[FECHA]]-_xlfn.XLOOKUP(Tabla6[[#This Row],[N° FACTURA]],INGRESOS!F:F,INGRESOS!A:A),"-")</f>
        <v>-</v>
      </c>
      <c r="N2267" s="2"/>
      <c r="O2267"/>
    </row>
    <row r="2268" spans="1:15" ht="14.75" customHeight="1">
      <c r="A2268" s="320" t="s">
        <v>1001</v>
      </c>
      <c r="B2268" t="str">
        <f>+_xlfn.XLOOKUP(Tabla6[[#This Row],[ID CLIENTE]],'RESUMEN CLIENTES'!D:D,'RESUMEN CLIENTES'!A:A)</f>
        <v>Karenn Yadira Tavera Lara</v>
      </c>
      <c r="C2268" t="str">
        <f>+_xlfn.XLOOKUP(Tabla6[[#This Row],[ID CLIENTE]],'RESUMEN CLIENTES'!D:D,'RESUMEN CLIENTES'!C:C)</f>
        <v>México</v>
      </c>
      <c r="D2268" s="44" t="str">
        <f>+_xlfn.XLOOKUP(Tabla6[[#This Row],[ID CLIENTE]],'RESUMEN CLIENTES'!D:D,'RESUMEN CLIENTES'!M:M)</f>
        <v>OK</v>
      </c>
      <c r="E2268" s="72">
        <f>+_xlfn.XLOOKUP(Tabla6[[#This Row],[NOMBRE]],'RESUMEN CLIENTES'!A:A,'RESUMEN CLIENTES'!X:X)</f>
        <v>1.5</v>
      </c>
      <c r="F2268" s="72">
        <f>+_xlfn.XLOOKUP(Tabla6[[#This Row],[ID CLIENTE]],'RESUMEN CLIENTES'!D:D,'RESUMEN CLIENTES'!W:W)</f>
        <v>1</v>
      </c>
      <c r="G2268" s="17">
        <f>IF($H2268&lt;&gt;"ALEM","",IFERROR(
  DATE(
    YEAR(EDATE(
      _xlfn.XLOOKUP($A2268,'RESUMEN CLIENTES'!$D:$D,'RESUMEN CLIENTES'!$Y:$Y,""),
      7 + COUNTIFS(
            $A$2:INDEX($A:$A,ROW()), $A2268,
            $H$2:INDEX($H:$H,ROW()), "ALEM"
          )
    )),
    MONTH(EDATE(
      _xlfn.XLOOKUP($A2268,'RESUMEN CLIENTES'!$D:$D,'RESUMEN CLIENTES'!$Y:$Y,""),
      7 + COUNTIFS(
            $A$2:INDEX($A:$A,ROW()), $A2268,
            $H$2:INDEX($H:$H,ROW()), "ALEM"
          )
    )),
    1
  ),
"SIN FECHA MIG"))</f>
        <v>46508</v>
      </c>
      <c r="H2268" s="44" t="s">
        <v>1876</v>
      </c>
      <c r="I2268" s="2">
        <v>1000</v>
      </c>
      <c r="J2268"/>
      <c r="K2268"/>
      <c r="L2268" s="44" t="str" cm="1">
        <f t="array" ref="L2268">+_xlfn.IFS(COUNTIF(INGRESOS!E:E,Tabla6[[#This Row],[ID FACTURA]])=1,"PAGADA",Tabla6[[#This Row],[ID FACTURA]]&lt;&gt;0,"EMITIDA",Tabla6[[#This Row],[ID FACTURA]]=0,"POR EMITIR")</f>
        <v>POR EMITIR</v>
      </c>
      <c r="M2268" s="55" t="str">
        <f>+IF(Tabla6[[#This Row],[ESTADO FACTURA]]="PAGADA",Tabla6[[#This Row],[FECHA]]-_xlfn.XLOOKUP(Tabla6[[#This Row],[N° FACTURA]],INGRESOS!F:F,INGRESOS!A:A),"-")</f>
        <v>-</v>
      </c>
      <c r="N2268" s="2"/>
      <c r="O2268"/>
    </row>
    <row r="2269" spans="1:15" ht="14.75" customHeight="1">
      <c r="A2269" s="320" t="s">
        <v>501</v>
      </c>
      <c r="B2269" t="str">
        <f>+_xlfn.XLOOKUP(Tabla6[[#This Row],[ID CLIENTE]],'RESUMEN CLIENTES'!D:D,'RESUMEN CLIENTES'!A:A)</f>
        <v>Kimberly Chantelle Frey Arteaga</v>
      </c>
      <c r="C2269" t="str">
        <f>+_xlfn.XLOOKUP(Tabla6[[#This Row],[ID CLIENTE]],'RESUMEN CLIENTES'!D:D,'RESUMEN CLIENTES'!C:C)</f>
        <v>México</v>
      </c>
      <c r="D2269" s="44" t="str">
        <f>+_xlfn.XLOOKUP(Tabla6[[#This Row],[ID CLIENTE]],'RESUMEN CLIENTES'!D:D,'RESUMEN CLIENTES'!M:M)</f>
        <v>OK</v>
      </c>
      <c r="E2269" s="72">
        <f>+_xlfn.XLOOKUP(Tabla6[[#This Row],[NOMBRE]],'RESUMEN CLIENTES'!A:A,'RESUMEN CLIENTES'!X:X)</f>
        <v>0</v>
      </c>
      <c r="F2269" s="72">
        <f>+_xlfn.XLOOKUP(Tabla6[[#This Row],[ID CLIENTE]],'RESUMEN CLIENTES'!D:D,'RESUMEN CLIENTES'!W:W)</f>
        <v>1</v>
      </c>
      <c r="G2269" s="17">
        <f>IF($H2269&lt;&gt;"ALEM","",IFERROR(
  DATE(
    YEAR(EDATE(
      _xlfn.XLOOKUP($A2269,'RESUMEN CLIENTES'!$D:$D,'RESUMEN CLIENTES'!$Y:$Y,""),
      7 + COUNTIFS(
            $A$2:INDEX($A:$A,ROW()), $A2269,
            $H$2:INDEX($H:$H,ROW()), "ALEM"
          )
    )),
    MONTH(EDATE(
      _xlfn.XLOOKUP($A2269,'RESUMEN CLIENTES'!$D:$D,'RESUMEN CLIENTES'!$Y:$Y,""),
      7 + COUNTIFS(
            $A$2:INDEX($A:$A,ROW()), $A2269,
            $H$2:INDEX($H:$H,ROW()), "ALEM"
          )
    )),
    1
  ),
"SIN FECHA MIG"))</f>
        <v>46508</v>
      </c>
      <c r="H2269" s="44" t="s">
        <v>1876</v>
      </c>
      <c r="I2269" s="2">
        <v>1000</v>
      </c>
      <c r="J2269"/>
      <c r="K2269"/>
      <c r="L2269" s="44" t="str" cm="1">
        <f t="array" ref="L2269">+_xlfn.IFS(COUNTIF(INGRESOS!E:E,Tabla6[[#This Row],[ID FACTURA]])=1,"PAGADA",Tabla6[[#This Row],[ID FACTURA]]&lt;&gt;0,"EMITIDA",Tabla6[[#This Row],[ID FACTURA]]=0,"POR EMITIR")</f>
        <v>POR EMITIR</v>
      </c>
      <c r="M2269" s="55" t="str">
        <f>+IF(Tabla6[[#This Row],[ESTADO FACTURA]]="PAGADA",Tabla6[[#This Row],[FECHA]]-_xlfn.XLOOKUP(Tabla6[[#This Row],[N° FACTURA]],INGRESOS!F:F,INGRESOS!A:A),"-")</f>
        <v>-</v>
      </c>
      <c r="N2269" s="2"/>
      <c r="O2269"/>
    </row>
    <row r="2270" spans="1:15" ht="14.75" customHeight="1">
      <c r="A2270" s="320" t="s">
        <v>703</v>
      </c>
      <c r="B2270" t="str">
        <f>+_xlfn.XLOOKUP(Tabla6[[#This Row],[ID CLIENTE]],'RESUMEN CLIENTES'!D:D,'RESUMEN CLIENTES'!A:A)</f>
        <v>Maira Paz Navas Sánchez</v>
      </c>
      <c r="C2270" t="str">
        <f>+_xlfn.XLOOKUP(Tabla6[[#This Row],[ID CLIENTE]],'RESUMEN CLIENTES'!D:D,'RESUMEN CLIENTES'!C:C)</f>
        <v>Chile</v>
      </c>
      <c r="D2270" s="44" t="str">
        <f>+_xlfn.XLOOKUP(Tabla6[[#This Row],[ID CLIENTE]],'RESUMEN CLIENTES'!D:D,'RESUMEN CLIENTES'!M:M)</f>
        <v>OK</v>
      </c>
      <c r="E2270" s="72">
        <f>+_xlfn.XLOOKUP(Tabla6[[#This Row],[NOMBRE]],'RESUMEN CLIENTES'!A:A,'RESUMEN CLIENTES'!X:X)</f>
        <v>-1.75</v>
      </c>
      <c r="F2270" s="72">
        <f>+_xlfn.XLOOKUP(Tabla6[[#This Row],[ID CLIENTE]],'RESUMEN CLIENTES'!D:D,'RESUMEN CLIENTES'!W:W)</f>
        <v>1</v>
      </c>
      <c r="G2270" s="17">
        <f>IF($H2270&lt;&gt;"ALEM","",IFERROR(
  DATE(
    YEAR(EDATE(
      _xlfn.XLOOKUP($A2270,'RESUMEN CLIENTES'!$D:$D,'RESUMEN CLIENTES'!$Y:$Y,""),
      7 + COUNTIFS(
            $A$2:INDEX($A:$A,ROW()), $A2270,
            $H$2:INDEX($H:$H,ROW()), "ALEM"
          )
    )),
    MONTH(EDATE(
      _xlfn.XLOOKUP($A2270,'RESUMEN CLIENTES'!$D:$D,'RESUMEN CLIENTES'!$Y:$Y,""),
      7 + COUNTIFS(
            $A$2:INDEX($A:$A,ROW()), $A2270,
            $H$2:INDEX($H:$H,ROW()), "ALEM"
          )
    )),
    1
  ),
"SIN FECHA MIG"))</f>
        <v>46508</v>
      </c>
      <c r="H2270" s="44" t="s">
        <v>1876</v>
      </c>
      <c r="I2270" s="2">
        <v>1000</v>
      </c>
      <c r="J2270"/>
      <c r="K2270"/>
      <c r="L2270" s="44" t="str" cm="1">
        <f t="array" ref="L2270">+_xlfn.IFS(COUNTIF(INGRESOS!E:E,Tabla6[[#This Row],[ID FACTURA]])=1,"PAGADA",Tabla6[[#This Row],[ID FACTURA]]&lt;&gt;0,"EMITIDA",Tabla6[[#This Row],[ID FACTURA]]=0,"POR EMITIR")</f>
        <v>POR EMITIR</v>
      </c>
      <c r="M2270" s="55" t="str">
        <f>+IF(Tabla6[[#This Row],[ESTADO FACTURA]]="PAGADA",Tabla6[[#This Row],[FECHA]]-_xlfn.XLOOKUP(Tabla6[[#This Row],[N° FACTURA]],INGRESOS!F:F,INGRESOS!A:A),"-")</f>
        <v>-</v>
      </c>
      <c r="N2270" s="2"/>
      <c r="O2270" t="s">
        <v>2084</v>
      </c>
    </row>
    <row r="2271" spans="1:15" ht="14.75" customHeight="1">
      <c r="A2271" s="320" t="s">
        <v>274</v>
      </c>
      <c r="B2271" t="str">
        <f>+_xlfn.XLOOKUP(Tabla6[[#This Row],[ID CLIENTE]],'RESUMEN CLIENTES'!D:D,'RESUMEN CLIENTES'!A:A)</f>
        <v>María de los Ángeles Gutiérrez Quevedo</v>
      </c>
      <c r="C2271" t="str">
        <f>+_xlfn.XLOOKUP(Tabla6[[#This Row],[ID CLIENTE]],'RESUMEN CLIENTES'!D:D,'RESUMEN CLIENTES'!C:C)</f>
        <v>Chile</v>
      </c>
      <c r="D2271" s="44" t="str">
        <f>+_xlfn.XLOOKUP(Tabla6[[#This Row],[ID CLIENTE]],'RESUMEN CLIENTES'!D:D,'RESUMEN CLIENTES'!M:M)</f>
        <v>OK</v>
      </c>
      <c r="E2271" s="72">
        <f>+_xlfn.XLOOKUP(Tabla6[[#This Row],[NOMBRE]],'RESUMEN CLIENTES'!A:A,'RESUMEN CLIENTES'!X:X)</f>
        <v>0.22222222222222221</v>
      </c>
      <c r="F2271" s="72">
        <f>+_xlfn.XLOOKUP(Tabla6[[#This Row],[ID CLIENTE]],'RESUMEN CLIENTES'!D:D,'RESUMEN CLIENTES'!W:W)</f>
        <v>1</v>
      </c>
      <c r="G2271" s="17">
        <f>IF($H2271&lt;&gt;"ALEM","",IFERROR(
  DATE(
    YEAR(EDATE(
      _xlfn.XLOOKUP($A2271,'RESUMEN CLIENTES'!$D:$D,'RESUMEN CLIENTES'!$Y:$Y,""),
      7 + COUNTIFS(
            $A$2:INDEX($A:$A,ROW()), $A2271,
            $H$2:INDEX($H:$H,ROW()), "ALEM"
          )
    )),
    MONTH(EDATE(
      _xlfn.XLOOKUP($A2271,'RESUMEN CLIENTES'!$D:$D,'RESUMEN CLIENTES'!$Y:$Y,""),
      7 + COUNTIFS(
            $A$2:INDEX($A:$A,ROW()), $A2271,
            $H$2:INDEX($H:$H,ROW()), "ALEM"
          )
    )),
    1
  ),
"SIN FECHA MIG"))</f>
        <v>46508</v>
      </c>
      <c r="H2271" s="44" t="s">
        <v>1876</v>
      </c>
      <c r="I2271" s="2">
        <f>1000-56</f>
        <v>944</v>
      </c>
      <c r="J2271"/>
      <c r="K2271"/>
      <c r="L2271" s="44" t="str" cm="1">
        <f t="array" ref="L2271">+_xlfn.IFS(COUNTIF(INGRESOS!E:E,Tabla6[[#This Row],[ID FACTURA]])=1,"PAGADA",Tabla6[[#This Row],[ID FACTURA]]&lt;&gt;0,"EMITIDA",Tabla6[[#This Row],[ID FACTURA]]=0,"POR EMITIR")</f>
        <v>POR EMITIR</v>
      </c>
      <c r="M2271" s="55" t="str">
        <f>+IF(Tabla6[[#This Row],[ESTADO FACTURA]]="PAGADA",Tabla6[[#This Row],[FECHA]]-_xlfn.XLOOKUP(Tabla6[[#This Row],[N° FACTURA]],INGRESOS!F:F,INGRESOS!A:A),"-")</f>
        <v>-</v>
      </c>
      <c r="N2271" s="2"/>
      <c r="O2271" t="s">
        <v>2091</v>
      </c>
    </row>
    <row r="2272" spans="1:15" ht="14.75" customHeight="1">
      <c r="A2272" s="320" t="s">
        <v>1551</v>
      </c>
      <c r="B2272" t="str">
        <f>+_xlfn.XLOOKUP(Tabla6[[#This Row],[ID CLIENTE]],'RESUMEN CLIENTES'!D:D,'RESUMEN CLIENTES'!A:A)</f>
        <v>María Fernanda Cid Ramírez</v>
      </c>
      <c r="C2272" t="str">
        <f>+_xlfn.XLOOKUP(Tabla6[[#This Row],[ID CLIENTE]],'RESUMEN CLIENTES'!D:D,'RESUMEN CLIENTES'!C:C)</f>
        <v>México</v>
      </c>
      <c r="D2272" s="44" t="str">
        <f>+_xlfn.XLOOKUP(Tabla6[[#This Row],[ID CLIENTE]],'RESUMEN CLIENTES'!D:D,'RESUMEN CLIENTES'!M:M)</f>
        <v>OK</v>
      </c>
      <c r="E2272" s="71">
        <f>+_xlfn.XLOOKUP(Tabla6[[#This Row],[NOMBRE]],'RESUMEN CLIENTES'!A:A,'RESUMEN CLIENTES'!X:X)</f>
        <v>-0.8571428571428571</v>
      </c>
      <c r="F2272" s="71">
        <f>+_xlfn.XLOOKUP(Tabla6[[#This Row],[ID CLIENTE]],'RESUMEN CLIENTES'!D:D,'RESUMEN CLIENTES'!W:W)</f>
        <v>0</v>
      </c>
      <c r="G2272" s="17">
        <f>IF($H2272&lt;&gt;"ALEM","",IFERROR(
  DATE(
    YEAR(EDATE(
      _xlfn.XLOOKUP($A2272,'RESUMEN CLIENTES'!$D:$D,'RESUMEN CLIENTES'!$Y:$Y,""),
      7 + COUNTIFS(
            $A$2:INDEX($A:$A,ROW()), $A2272,
            $H$2:INDEX($H:$H,ROW()), "ALEM"
          )
    )),
    MONTH(EDATE(
      _xlfn.XLOOKUP($A2272,'RESUMEN CLIENTES'!$D:$D,'RESUMEN CLIENTES'!$Y:$Y,""),
      7 + COUNTIFS(
            $A$2:INDEX($A:$A,ROW()), $A2272,
            $H$2:INDEX($H:$H,ROW()), "ALEM"
          )
    )),
    1
  ),
"SIN FECHA MIG"))</f>
        <v>46508</v>
      </c>
      <c r="H2272" s="169" t="s">
        <v>1876</v>
      </c>
      <c r="I2272" s="2">
        <v>800</v>
      </c>
      <c r="J2272"/>
      <c r="K2272"/>
      <c r="L2272" s="44" t="str" cm="1">
        <f t="array" ref="L2272">+_xlfn.IFS(COUNTIF(INGRESOS!E:E,Tabla6[[#This Row],[ID FACTURA]])=1,"PAGADA",Tabla6[[#This Row],[ID FACTURA]]&lt;&gt;0,"EMITIDA",Tabla6[[#This Row],[ID FACTURA]]=0,"POR EMITIR")</f>
        <v>POR EMITIR</v>
      </c>
      <c r="M2272" s="55" t="str">
        <f>+IF(Tabla6[[#This Row],[ESTADO FACTURA]]="PAGADA",Tabla6[[#This Row],[FECHA]]-_xlfn.XLOOKUP(Tabla6[[#This Row],[N° FACTURA]],INGRESOS!F:F,INGRESOS!A:A),"-")</f>
        <v>-</v>
      </c>
      <c r="N2272" s="2"/>
      <c r="O2272" t="s">
        <v>2086</v>
      </c>
    </row>
    <row r="2273" spans="1:15" ht="14.75" customHeight="1">
      <c r="A2273" s="320" t="s">
        <v>590</v>
      </c>
      <c r="B2273" t="str">
        <f>+_xlfn.XLOOKUP(Tabla6[[#This Row],[ID CLIENTE]],'RESUMEN CLIENTES'!D:D,'RESUMEN CLIENTES'!A:A)</f>
        <v>María Lucero de Jesús Barrios Sazo</v>
      </c>
      <c r="C2273" t="str">
        <f>+_xlfn.XLOOKUP(Tabla6[[#This Row],[ID CLIENTE]],'RESUMEN CLIENTES'!D:D,'RESUMEN CLIENTES'!C:C)</f>
        <v>Guatemala</v>
      </c>
      <c r="D2273" s="44" t="str">
        <f>+_xlfn.XLOOKUP(Tabla6[[#This Row],[ID CLIENTE]],'RESUMEN CLIENTES'!D:D,'RESUMEN CLIENTES'!M:M)</f>
        <v>OK</v>
      </c>
      <c r="E2273" s="72">
        <f>+_xlfn.XLOOKUP(Tabla6[[#This Row],[NOMBRE]],'RESUMEN CLIENTES'!A:A,'RESUMEN CLIENTES'!X:X)</f>
        <v>1.25</v>
      </c>
      <c r="F2273" s="72">
        <f>+_xlfn.XLOOKUP(Tabla6[[#This Row],[ID CLIENTE]],'RESUMEN CLIENTES'!D:D,'RESUMEN CLIENTES'!W:W)</f>
        <v>0</v>
      </c>
      <c r="G2273" s="17">
        <f>IF($H2273&lt;&gt;"ALEM","",IFERROR(
  DATE(
    YEAR(EDATE(
      _xlfn.XLOOKUP($A2273,'RESUMEN CLIENTES'!$D:$D,'RESUMEN CLIENTES'!$Y:$Y,""),
      7 + COUNTIFS(
            $A$2:INDEX($A:$A,ROW()), $A2273,
            $H$2:INDEX($H:$H,ROW()), "ALEM"
          )
    )),
    MONTH(EDATE(
      _xlfn.XLOOKUP($A2273,'RESUMEN CLIENTES'!$D:$D,'RESUMEN CLIENTES'!$Y:$Y,""),
      7 + COUNTIFS(
            $A$2:INDEX($A:$A,ROW()), $A2273,
            $H$2:INDEX($H:$H,ROW()), "ALEM"
          )
    )),
    1
  ),
"SIN FECHA MIG"))</f>
        <v>46508</v>
      </c>
      <c r="H2273" s="44" t="s">
        <v>1876</v>
      </c>
      <c r="I2273" s="2">
        <v>1000</v>
      </c>
      <c r="J2273"/>
      <c r="K2273"/>
      <c r="L2273" s="44" t="str" cm="1">
        <f t="array" ref="L2273">+_xlfn.IFS(COUNTIF(INGRESOS!E:E,Tabla6[[#This Row],[ID FACTURA]])=1,"PAGADA",Tabla6[[#This Row],[ID FACTURA]]&lt;&gt;0,"EMITIDA",Tabla6[[#This Row],[ID FACTURA]]=0,"POR EMITIR")</f>
        <v>POR EMITIR</v>
      </c>
      <c r="M2273" s="55" t="str">
        <f>+IF(Tabla6[[#This Row],[ESTADO FACTURA]]="PAGADA",Tabla6[[#This Row],[FECHA]]-_xlfn.XLOOKUP(Tabla6[[#This Row],[N° FACTURA]],INGRESOS!F:F,INGRESOS!A:A),"-")</f>
        <v>-</v>
      </c>
      <c r="N2273" s="2"/>
      <c r="O2273"/>
    </row>
    <row r="2274" spans="1:15" ht="14.75" customHeight="1">
      <c r="A2274" s="320" t="s">
        <v>4509</v>
      </c>
      <c r="B2274" t="str">
        <f>+_xlfn.XLOOKUP(Tabla6[[#This Row],[ID CLIENTE]],'RESUMEN CLIENTES'!D:D,'RESUMEN CLIENTES'!A:A)</f>
        <v>Marisol Madeleine Ibáñez Paredes</v>
      </c>
      <c r="C2274" t="str">
        <f>+_xlfn.XLOOKUP(Tabla6[[#This Row],[ID CLIENTE]],'RESUMEN CLIENTES'!D:D,'RESUMEN CLIENTES'!C:C)</f>
        <v>Ecuador</v>
      </c>
      <c r="D2274" s="169" t="str">
        <f>+_xlfn.XLOOKUP(Tabla6[[#This Row],[ID CLIENTE]],'RESUMEN CLIENTES'!D:D,'RESUMEN CLIENTES'!M:M)</f>
        <v>OK</v>
      </c>
      <c r="E2274" s="71">
        <f>+_xlfn.XLOOKUP(Tabla6[[#This Row],[NOMBRE]],'RESUMEN CLIENTES'!A:A,'RESUMEN CLIENTES'!X:X)</f>
        <v>-3</v>
      </c>
      <c r="F2274" s="71">
        <f>+_xlfn.XLOOKUP(Tabla6[[#This Row],[ID CLIENTE]],'RESUMEN CLIENTES'!D:D,'RESUMEN CLIENTES'!W:W)</f>
        <v>0</v>
      </c>
      <c r="G2274" s="17">
        <f>IF($H2274&lt;&gt;"ALEM","",IFERROR(
  DATE(
    YEAR(EDATE(
      _xlfn.XLOOKUP($A2274,'RESUMEN CLIENTES'!$D:$D,'RESUMEN CLIENTES'!$Y:$Y,""),
      7 + COUNTIFS(
            $A$2:INDEX($A:$A,ROW()), $A2274,
            $H$2:INDEX($H:$H,ROW()), "ALEM"
          )
    )),
    MONTH(EDATE(
      _xlfn.XLOOKUP($A2274,'RESUMEN CLIENTES'!$D:$D,'RESUMEN CLIENTES'!$Y:$Y,""),
      7 + COUNTIFS(
            $A$2:INDEX($A:$A,ROW()), $A2274,
            $H$2:INDEX($H:$H,ROW()), "ALEM"
          )
    )),
    1
  ),
"null"))</f>
        <v>46508</v>
      </c>
      <c r="H2274" s="169" t="s">
        <v>1876</v>
      </c>
      <c r="I2274" s="2">
        <v>900</v>
      </c>
      <c r="J2274"/>
      <c r="K2274"/>
      <c r="L2274" s="44" t="str" cm="1">
        <f t="array" ref="L2274">+_xlfn.IFS(COUNTIF(INGRESOS!E:E,Tabla6[[#This Row],[ID FACTURA]])=1,"PAGADA",Tabla6[[#This Row],[ID FACTURA]]&lt;&gt;0,"EMITIDA",Tabla6[[#This Row],[ID FACTURA]]=0,"POR EMITIR")</f>
        <v>POR EMITIR</v>
      </c>
      <c r="M2274" s="54" t="str">
        <f>+IF(Tabla6[[#This Row],[ESTADO FACTURA]]="PAGADA",Tabla6[[#This Row],[FECHA]]-_xlfn.XLOOKUP(Tabla6[[#This Row],[N° FACTURA]],INGRESOS!F:F,INGRESOS!A:A),"-")</f>
        <v>-</v>
      </c>
      <c r="O2274"/>
    </row>
    <row r="2275" spans="1:15" ht="14.75" customHeight="1">
      <c r="A2275" s="320" t="s">
        <v>261</v>
      </c>
      <c r="B2275" t="str">
        <f>+_xlfn.XLOOKUP(Tabla6[[#This Row],[ID CLIENTE]],'RESUMEN CLIENTES'!D:D,'RESUMEN CLIENTES'!A:A)</f>
        <v>Maryori Elizabeth Ramos Tapia</v>
      </c>
      <c r="C2275" t="str">
        <f>+_xlfn.XLOOKUP(Tabla6[[#This Row],[ID CLIENTE]],'RESUMEN CLIENTES'!D:D,'RESUMEN CLIENTES'!C:C)</f>
        <v>Perú</v>
      </c>
      <c r="D2275" s="44" t="str">
        <f>+_xlfn.XLOOKUP(Tabla6[[#This Row],[ID CLIENTE]],'RESUMEN CLIENTES'!D:D,'RESUMEN CLIENTES'!M:M)</f>
        <v>OK</v>
      </c>
      <c r="E2275" s="72">
        <f>+_xlfn.XLOOKUP(Tabla6[[#This Row],[NOMBRE]],'RESUMEN CLIENTES'!A:A,'RESUMEN CLIENTES'!X:X)</f>
        <v>-0.88425925925952875</v>
      </c>
      <c r="F2275" s="72">
        <f>+_xlfn.XLOOKUP(Tabla6[[#This Row],[ID CLIENTE]],'RESUMEN CLIENTES'!D:D,'RESUMEN CLIENTES'!W:W)</f>
        <v>1</v>
      </c>
      <c r="G2275" s="17">
        <f>IF($H2275&lt;&gt;"ALEM","",IFERROR(
  DATE(
    YEAR(EDATE(
      _xlfn.XLOOKUP($A2275,'RESUMEN CLIENTES'!$D:$D,'RESUMEN CLIENTES'!$Y:$Y,""),
      7 + COUNTIFS(
            $A$2:INDEX($A:$A,ROW()), $A2275,
            $H$2:INDEX($H:$H,ROW()), "ALEM"
          )
    )),
    MONTH(EDATE(
      _xlfn.XLOOKUP($A2275,'RESUMEN CLIENTES'!$D:$D,'RESUMEN CLIENTES'!$Y:$Y,""),
      7 + COUNTIFS(
            $A$2:INDEX($A:$A,ROW()), $A2275,
            $H$2:INDEX($H:$H,ROW()), "ALEM"
          )
    )),
    1
  ),
"SIN FECHA MIG"))</f>
        <v>46508</v>
      </c>
      <c r="H2275" s="44" t="s">
        <v>1876</v>
      </c>
      <c r="I2275" s="2">
        <v>1000</v>
      </c>
      <c r="J2275"/>
      <c r="K2275"/>
      <c r="L2275" s="44" t="str" cm="1">
        <f t="array" ref="L2275">+_xlfn.IFS(COUNTIF(INGRESOS!E:E,Tabla6[[#This Row],[ID FACTURA]])=1,"PAGADA",Tabla6[[#This Row],[ID FACTURA]]&lt;&gt;0,"EMITIDA",Tabla6[[#This Row],[ID FACTURA]]=0,"POR EMITIR")</f>
        <v>POR EMITIR</v>
      </c>
      <c r="M2275" s="55" t="str">
        <f>+IF(Tabla6[[#This Row],[ESTADO FACTURA]]="PAGADA",Tabla6[[#This Row],[FECHA]]-_xlfn.XLOOKUP(Tabla6[[#This Row],[N° FACTURA]],INGRESOS!F:F,INGRESOS!A:A),"-")</f>
        <v>-</v>
      </c>
      <c r="N2275" s="2"/>
      <c r="O2275"/>
    </row>
    <row r="2276" spans="1:15" ht="15" customHeight="1">
      <c r="A2276" s="320" t="s">
        <v>1658</v>
      </c>
      <c r="B2276" t="str">
        <f>+_xlfn.XLOOKUP(Tabla6[[#This Row],[ID CLIENTE]],'RESUMEN CLIENTES'!D:D,'RESUMEN CLIENTES'!A:A)</f>
        <v>Nadya Sofía García Carrasco</v>
      </c>
      <c r="C2276" t="str">
        <f>+_xlfn.XLOOKUP(Tabla6[[#This Row],[ID CLIENTE]],'RESUMEN CLIENTES'!D:D,'RESUMEN CLIENTES'!C:C)</f>
        <v>Ecuador</v>
      </c>
      <c r="D2276" s="169" t="str">
        <f>+_xlfn.XLOOKUP(Tabla6[[#This Row],[ID CLIENTE]],'RESUMEN CLIENTES'!D:D,'RESUMEN CLIENTES'!M:M)</f>
        <v>OK</v>
      </c>
      <c r="E2276" s="71">
        <f>+_xlfn.XLOOKUP(Tabla6[[#This Row],[NOMBRE]],'RESUMEN CLIENTES'!A:A,'RESUMEN CLIENTES'!X:X)</f>
        <v>0</v>
      </c>
      <c r="F2276" s="71">
        <f>+_xlfn.XLOOKUP(Tabla6[[#This Row],[ID CLIENTE]],'RESUMEN CLIENTES'!D:D,'RESUMEN CLIENTES'!W:W)</f>
        <v>1</v>
      </c>
      <c r="G2276" s="17">
        <f>IF($H2276&lt;&gt;"ALEM","",IFERROR(
  DATE(
    YEAR(EDATE(
      _xlfn.XLOOKUP($A2276,'RESUMEN CLIENTES'!$D:$D,'RESUMEN CLIENTES'!$Y:$Y,""),
      7 + COUNTIFS(
            $A$2:INDEX($A:$A,ROW()), $A2276,
            $H$2:INDEX($H:$H,ROW()), "ALEM"
          )
    )),
    MONTH(EDATE(
      _xlfn.XLOOKUP($A2276,'RESUMEN CLIENTES'!$D:$D,'RESUMEN CLIENTES'!$Y:$Y,""),
      7 + COUNTIFS(
            $A$2:INDEX($A:$A,ROW()), $A2276,
            $H$2:INDEX($H:$H,ROW()), "ALEM"
          )
    )),
    1
  ),
"SIN FECHA MIG"))</f>
        <v>46508</v>
      </c>
      <c r="H2276" s="169" t="s">
        <v>1876</v>
      </c>
      <c r="I2276" s="2">
        <v>800</v>
      </c>
      <c r="J2276"/>
      <c r="K2276"/>
      <c r="L2276" s="44" t="str" cm="1">
        <f t="array" ref="L2276">+_xlfn.IFS(COUNTIF(INGRESOS!E:E,Tabla6[[#This Row],[ID FACTURA]])=1,"PAGADA",Tabla6[[#This Row],[ID FACTURA]]&lt;&gt;0,"EMITIDA",Tabla6[[#This Row],[ID FACTURA]]=0,"POR EMITIR")</f>
        <v>POR EMITIR</v>
      </c>
      <c r="M2276" s="55" t="str">
        <f>+IF(Tabla6[[#This Row],[ESTADO FACTURA]]="PAGADA",Tabla6[[#This Row],[FECHA]]-_xlfn.XLOOKUP(Tabla6[[#This Row],[N° FACTURA]],INGRESOS!F:F,INGRESOS!A:A),"-")</f>
        <v>-</v>
      </c>
      <c r="O2276"/>
    </row>
    <row r="2277" spans="1:15" ht="15" customHeight="1">
      <c r="A2277" s="320" t="s">
        <v>229</v>
      </c>
      <c r="B2277" t="str">
        <f>+_xlfn.XLOOKUP(Tabla6[[#This Row],[ID CLIENTE]],'RESUMEN CLIENTES'!D:D,'RESUMEN CLIENTES'!A:A)</f>
        <v>Nathaly Gabriela Henríquez Masín</v>
      </c>
      <c r="C2277" t="str">
        <f>+_xlfn.XLOOKUP(Tabla6[[#This Row],[ID CLIENTE]],'RESUMEN CLIENTES'!D:D,'RESUMEN CLIENTES'!C:C)</f>
        <v>El Salvador</v>
      </c>
      <c r="D2277" s="44" t="str">
        <f>+_xlfn.XLOOKUP(Tabla6[[#This Row],[ID CLIENTE]],'RESUMEN CLIENTES'!D:D,'RESUMEN CLIENTES'!M:M)</f>
        <v>OK</v>
      </c>
      <c r="E2277" s="72">
        <f>+_xlfn.XLOOKUP(Tabla6[[#This Row],[NOMBRE]],'RESUMEN CLIENTES'!A:A,'RESUMEN CLIENTES'!X:X)</f>
        <v>0.7</v>
      </c>
      <c r="F2277" s="72">
        <f>+_xlfn.XLOOKUP(Tabla6[[#This Row],[ID CLIENTE]],'RESUMEN CLIENTES'!D:D,'RESUMEN CLIENTES'!W:W)</f>
        <v>0</v>
      </c>
      <c r="G2277" s="17">
        <f>IF($H2277&lt;&gt;"ALEM","",IFERROR(
  DATE(
    YEAR(EDATE(
      _xlfn.XLOOKUP($A2277,'RESUMEN CLIENTES'!$D:$D,'RESUMEN CLIENTES'!$Y:$Y,""),
      7 + COUNTIFS(
            $A$2:INDEX($A:$A,ROW()), $A2277,
            $H$2:INDEX($H:$H,ROW()), "ALEM"
          )
    )),
    MONTH(EDATE(
      _xlfn.XLOOKUP($A2277,'RESUMEN CLIENTES'!$D:$D,'RESUMEN CLIENTES'!$Y:$Y,""),
      7 + COUNTIFS(
            $A$2:INDEX($A:$A,ROW()), $A2277,
            $H$2:INDEX($H:$H,ROW()), "ALEM"
          )
    )),
    1
  ),
"SIN FECHA MIG"))</f>
        <v>46508</v>
      </c>
      <c r="H2277" s="44" t="s">
        <v>1876</v>
      </c>
      <c r="I2277" s="2">
        <v>500</v>
      </c>
      <c r="J2277"/>
      <c r="K2277"/>
      <c r="L2277" s="44" t="str" cm="1">
        <f t="array" ref="L2277">+_xlfn.IFS(COUNTIF(INGRESOS!E:E,Tabla6[[#This Row],[ID FACTURA]])=1,"PAGADA",Tabla6[[#This Row],[ID FACTURA]]&lt;&gt;0,"EMITIDA",Tabla6[[#This Row],[ID FACTURA]]=0,"POR EMITIR")</f>
        <v>POR EMITIR</v>
      </c>
      <c r="M2277" s="55" t="str">
        <f>+IF(Tabla6[[#This Row],[ESTADO FACTURA]]="PAGADA",Tabla6[[#This Row],[FECHA]]-_xlfn.XLOOKUP(Tabla6[[#This Row],[N° FACTURA]],INGRESOS!F:F,INGRESOS!A:A),"-")</f>
        <v>-</v>
      </c>
      <c r="N2277" s="2"/>
      <c r="O2277"/>
    </row>
    <row r="2278" spans="1:15" ht="15" customHeight="1">
      <c r="A2278" s="320" t="s">
        <v>695</v>
      </c>
      <c r="B2278" t="str">
        <f>+_xlfn.XLOOKUP(Tabla6[[#This Row],[ID CLIENTE]],'RESUMEN CLIENTES'!D:D,'RESUMEN CLIENTES'!A:A)</f>
        <v>Olguer Ariel Pruna Herrera</v>
      </c>
      <c r="C2278" t="str">
        <f>+_xlfn.XLOOKUP(Tabla6[[#This Row],[ID CLIENTE]],'RESUMEN CLIENTES'!D:D,'RESUMEN CLIENTES'!C:C)</f>
        <v>Ecuador</v>
      </c>
      <c r="D2278" s="44" t="str">
        <f>+_xlfn.XLOOKUP(Tabla6[[#This Row],[ID CLIENTE]],'RESUMEN CLIENTES'!D:D,'RESUMEN CLIENTES'!M:M)</f>
        <v>OK</v>
      </c>
      <c r="E2278" s="72">
        <f>+_xlfn.XLOOKUP(Tabla6[[#This Row],[NOMBRE]],'RESUMEN CLIENTES'!A:A,'RESUMEN CLIENTES'!X:X)</f>
        <v>0.25</v>
      </c>
      <c r="F2278" s="72">
        <f>+_xlfn.XLOOKUP(Tabla6[[#This Row],[ID CLIENTE]],'RESUMEN CLIENTES'!D:D,'RESUMEN CLIENTES'!W:W)</f>
        <v>1</v>
      </c>
      <c r="G2278" s="17">
        <f>IF($H2278&lt;&gt;"ALEM","",IFERROR(
  DATE(
    YEAR(EDATE(
      _xlfn.XLOOKUP($A2278,'RESUMEN CLIENTES'!$D:$D,'RESUMEN CLIENTES'!$Y:$Y,""),
      7 + COUNTIFS(
            $A$2:INDEX($A:$A,ROW()), $A2278,
            $H$2:INDEX($H:$H,ROW()), "ALEM"
          )
    )),
    MONTH(EDATE(
      _xlfn.XLOOKUP($A2278,'RESUMEN CLIENTES'!$D:$D,'RESUMEN CLIENTES'!$Y:$Y,""),
      7 + COUNTIFS(
            $A$2:INDEX($A:$A,ROW()), $A2278,
            $H$2:INDEX($H:$H,ROW()), "ALEM"
          )
    )),
    1
  ),
"SIN FECHA MIG"))</f>
        <v>46508</v>
      </c>
      <c r="H2278" s="44" t="s">
        <v>1876</v>
      </c>
      <c r="I2278" s="2">
        <v>1000</v>
      </c>
      <c r="J2278"/>
      <c r="K2278"/>
      <c r="L2278" s="44" t="str" cm="1">
        <f t="array" ref="L2278">+_xlfn.IFS(COUNTIF(INGRESOS!E:E,Tabla6[[#This Row],[ID FACTURA]])=1,"PAGADA",Tabla6[[#This Row],[ID FACTURA]]&lt;&gt;0,"EMITIDA",Tabla6[[#This Row],[ID FACTURA]]=0,"POR EMITIR")</f>
        <v>POR EMITIR</v>
      </c>
      <c r="M2278" s="55" t="str">
        <f>+IF(Tabla6[[#This Row],[ESTADO FACTURA]]="PAGADA",Tabla6[[#This Row],[FECHA]]-_xlfn.XLOOKUP(Tabla6[[#This Row],[N° FACTURA]],INGRESOS!F:F,INGRESOS!A:A),"-")</f>
        <v>-</v>
      </c>
      <c r="N2278" s="2"/>
      <c r="O2278" t="s">
        <v>2084</v>
      </c>
    </row>
    <row r="2279" spans="1:15" ht="15" customHeight="1">
      <c r="A2279" s="320" t="s">
        <v>855</v>
      </c>
      <c r="B2279" t="str">
        <f>+_xlfn.XLOOKUP(Tabla6[[#This Row],[ID CLIENTE]],'RESUMEN CLIENTES'!D:D,'RESUMEN CLIENTES'!A:A)</f>
        <v>Paula Ida Elisa Saris Sommer</v>
      </c>
      <c r="C2279" t="str">
        <f>+_xlfn.XLOOKUP(Tabla6[[#This Row],[ID CLIENTE]],'RESUMEN CLIENTES'!D:D,'RESUMEN CLIENTES'!C:C)</f>
        <v>Argentina</v>
      </c>
      <c r="D2279" s="44" t="str">
        <f>+_xlfn.XLOOKUP(Tabla6[[#This Row],[ID CLIENTE]],'RESUMEN CLIENTES'!D:D,'RESUMEN CLIENTES'!M:M)</f>
        <v>OK</v>
      </c>
      <c r="E2279" s="72">
        <f>+_xlfn.XLOOKUP(Tabla6[[#This Row],[NOMBRE]],'RESUMEN CLIENTES'!A:A,'RESUMEN CLIENTES'!X:X)</f>
        <v>-8.7894736842105257</v>
      </c>
      <c r="F2279" s="72">
        <f>+_xlfn.XLOOKUP(Tabla6[[#This Row],[ID CLIENTE]],'RESUMEN CLIENTES'!D:D,'RESUMEN CLIENTES'!W:W)</f>
        <v>0</v>
      </c>
      <c r="G2279" s="17">
        <f>IF($H2279&lt;&gt;"ALEM","",IFERROR(
  DATE(
    YEAR(EDATE(
      _xlfn.XLOOKUP($A2279,'RESUMEN CLIENTES'!$D:$D,'RESUMEN CLIENTES'!$Y:$Y,""),
      7 + COUNTIFS(
            $A$2:INDEX($A:$A,ROW()), $A2279,
            $H$2:INDEX($H:$H,ROW()), "ALEM"
          )
    )),
    MONTH(EDATE(
      _xlfn.XLOOKUP($A2279,'RESUMEN CLIENTES'!$D:$D,'RESUMEN CLIENTES'!$Y:$Y,""),
      7 + COUNTIFS(
            $A$2:INDEX($A:$A,ROW()), $A2279,
            $H$2:INDEX($H:$H,ROW()), "ALEM"
          )
    )),
    1
  ),
"SIN FECHA MIG"))</f>
        <v>46508</v>
      </c>
      <c r="H2279" s="44" t="s">
        <v>1876</v>
      </c>
      <c r="I2279" s="2">
        <v>1000</v>
      </c>
      <c r="J2279"/>
      <c r="K2279"/>
      <c r="L2279" s="44" t="str" cm="1">
        <f t="array" ref="L2279">+_xlfn.IFS(COUNTIF(INGRESOS!E:E,Tabla6[[#This Row],[ID FACTURA]])=1,"PAGADA",Tabla6[[#This Row],[ID FACTURA]]&lt;&gt;0,"EMITIDA",Tabla6[[#This Row],[ID FACTURA]]=0,"POR EMITIR")</f>
        <v>POR EMITIR</v>
      </c>
      <c r="M2279" s="55" t="str">
        <f>+IF(Tabla6[[#This Row],[ESTADO FACTURA]]="PAGADA",Tabla6[[#This Row],[FECHA]]-_xlfn.XLOOKUP(Tabla6[[#This Row],[N° FACTURA]],INGRESOS!F:F,INGRESOS!A:A),"-")</f>
        <v>-</v>
      </c>
      <c r="N2279" s="2"/>
      <c r="O2279" t="s">
        <v>2084</v>
      </c>
    </row>
    <row r="2280" spans="1:15" ht="15" customHeight="1">
      <c r="A2280" s="321" t="s">
        <v>1881</v>
      </c>
      <c r="B2280" t="str">
        <f>+_xlfn.XLOOKUP(Tabla6[[#This Row],[ID CLIENTE]],'RESUMEN CLIENTES'!D:D,'RESUMEN CLIENTES'!A:A)</f>
        <v>Paulina Alejandra Silva Gómez</v>
      </c>
      <c r="C2280" t="str">
        <f>+_xlfn.XLOOKUP(Tabla6[[#This Row],[ID CLIENTE]],'RESUMEN CLIENTES'!D:D,'RESUMEN CLIENTES'!C:C)</f>
        <v>Chile</v>
      </c>
      <c r="D2280" s="169" t="str">
        <f>+_xlfn.XLOOKUP(Tabla6[[#This Row],[ID CLIENTE]],'RESUMEN CLIENTES'!D:D,'RESUMEN CLIENTES'!M:M)</f>
        <v>¡REGULARIZAR!</v>
      </c>
      <c r="E2280" s="71">
        <f>+_xlfn.XLOOKUP(Tabla6[[#This Row],[NOMBRE]],'RESUMEN CLIENTES'!A:A,'RESUMEN CLIENTES'!X:X)</f>
        <v>-6.833333333333333</v>
      </c>
      <c r="F2280" s="71">
        <f>+_xlfn.XLOOKUP(Tabla6[[#This Row],[ID CLIENTE]],'RESUMEN CLIENTES'!D:D,'RESUMEN CLIENTES'!W:W)</f>
        <v>0</v>
      </c>
      <c r="G2280" s="17">
        <f>IF($H2280&lt;&gt;"ALEM","",IFERROR(
  DATE(
    YEAR(EDATE(
      _xlfn.XLOOKUP($A2280,'RESUMEN CLIENTES'!$D:$D,'RESUMEN CLIENTES'!$Y:$Y,""),
      7 + COUNTIFS(
            $A$2:INDEX($A:$A,ROW()), $A2280,
            $H$2:INDEX($H:$H,ROW()), "ALEM"
          )
    )),
    MONTH(EDATE(
      _xlfn.XLOOKUP($A2280,'RESUMEN CLIENTES'!$D:$D,'RESUMEN CLIENTES'!$Y:$Y,""),
      7 + COUNTIFS(
            $A$2:INDEX($A:$A,ROW()), $A2280,
            $H$2:INDEX($H:$H,ROW()), "ALEM"
          )
    )),
    1
  ),
"null"))</f>
        <v>46508</v>
      </c>
      <c r="H2280" s="169" t="s">
        <v>1876</v>
      </c>
      <c r="I2280" s="2">
        <v>800</v>
      </c>
      <c r="J2280"/>
      <c r="K2280"/>
      <c r="L2280" s="44" t="str" cm="1">
        <f t="array" ref="L2280">+_xlfn.IFS(COUNTIF(INGRESOS!E:E,Tabla6[[#This Row],[ID FACTURA]])=1,"PAGADA",Tabla6[[#This Row],[ID FACTURA]]&lt;&gt;0,"EMITIDA",Tabla6[[#This Row],[ID FACTURA]]=0,"POR EMITIR")</f>
        <v>POR EMITIR</v>
      </c>
      <c r="M2280" s="54" t="str">
        <f>+IF(Tabla6[[#This Row],[ESTADO FACTURA]]="PAGADA",Tabla6[[#This Row],[FECHA]]-_xlfn.XLOOKUP(Tabla6[[#This Row],[N° FACTURA]],INGRESOS!F:F,INGRESOS!A:A),"-")</f>
        <v>-</v>
      </c>
      <c r="O2280" t="s">
        <v>2092</v>
      </c>
    </row>
    <row r="2281" spans="1:15" ht="15" customHeight="1">
      <c r="A2281" s="320" t="s">
        <v>1152</v>
      </c>
      <c r="B2281" t="str">
        <f>+_xlfn.XLOOKUP(Tabla6[[#This Row],[ID CLIENTE]],'RESUMEN CLIENTES'!D:D,'RESUMEN CLIENTES'!A:A)</f>
        <v>Ricardo Ernesto Miño Valencia</v>
      </c>
      <c r="C2281" t="str">
        <f>+_xlfn.XLOOKUP(Tabla6[[#This Row],[ID CLIENTE]],'RESUMEN CLIENTES'!D:D,'RESUMEN CLIENTES'!C:C)</f>
        <v>Ecuador</v>
      </c>
      <c r="D2281" s="44" t="str">
        <f>+_xlfn.XLOOKUP(Tabla6[[#This Row],[ID CLIENTE]],'RESUMEN CLIENTES'!D:D,'RESUMEN CLIENTES'!M:M)</f>
        <v>OK</v>
      </c>
      <c r="E2281" s="72">
        <f>+_xlfn.XLOOKUP(Tabla6[[#This Row],[NOMBRE]],'RESUMEN CLIENTES'!A:A,'RESUMEN CLIENTES'!X:X)</f>
        <v>-3.2</v>
      </c>
      <c r="F2281" s="72">
        <f>+_xlfn.XLOOKUP(Tabla6[[#This Row],[ID CLIENTE]],'RESUMEN CLIENTES'!D:D,'RESUMEN CLIENTES'!W:W)</f>
        <v>1</v>
      </c>
      <c r="G2281" s="17">
        <f>IF($H2281&lt;&gt;"ALEM","",IFERROR(
  DATE(
    YEAR(EDATE(
      _xlfn.XLOOKUP($A2281,'RESUMEN CLIENTES'!$D:$D,'RESUMEN CLIENTES'!$Y:$Y,""),
      7 + COUNTIFS(
            $A$2:INDEX($A:$A,ROW()), $A2281,
            $H$2:INDEX($H:$H,ROW()), "ALEM"
          )
    )),
    MONTH(EDATE(
      _xlfn.XLOOKUP($A2281,'RESUMEN CLIENTES'!$D:$D,'RESUMEN CLIENTES'!$Y:$Y,""),
      7 + COUNTIFS(
            $A$2:INDEX($A:$A,ROW()), $A2281,
            $H$2:INDEX($H:$H,ROW()), "ALEM"
          )
    )),
    1
  ),
"SIN FECHA MIG"))</f>
        <v>46508</v>
      </c>
      <c r="H2281" s="44" t="s">
        <v>1876</v>
      </c>
      <c r="I2281" s="2">
        <v>1000</v>
      </c>
      <c r="J2281"/>
      <c r="K2281"/>
      <c r="L2281" s="44" t="str" cm="1">
        <f t="array" ref="L2281">+_xlfn.IFS(COUNTIF(INGRESOS!E:E,Tabla6[[#This Row],[ID FACTURA]])=1,"PAGADA",Tabla6[[#This Row],[ID FACTURA]]&lt;&gt;0,"EMITIDA",Tabla6[[#This Row],[ID FACTURA]]=0,"POR EMITIR")</f>
        <v>POR EMITIR</v>
      </c>
      <c r="M2281" s="55" t="str">
        <f>+IF(Tabla6[[#This Row],[ESTADO FACTURA]]="PAGADA",Tabla6[[#This Row],[FECHA]]-_xlfn.XLOOKUP(Tabla6[[#This Row],[N° FACTURA]],INGRESOS!F:F,INGRESOS!A:A),"-")</f>
        <v>-</v>
      </c>
      <c r="N2281" s="2"/>
      <c r="O2281" t="s">
        <v>2084</v>
      </c>
    </row>
    <row r="2282" spans="1:15" ht="15" customHeight="1">
      <c r="A2282" s="320" t="s">
        <v>275</v>
      </c>
      <c r="B2282" t="str">
        <f>+_xlfn.XLOOKUP(Tabla6[[#This Row],[ID CLIENTE]],'RESUMEN CLIENTES'!D:D,'RESUMEN CLIENTES'!A:A)</f>
        <v>Rodrigo Alfonso Busse Hernández</v>
      </c>
      <c r="C2282" t="str">
        <f>+_xlfn.XLOOKUP(Tabla6[[#This Row],[ID CLIENTE]],'RESUMEN CLIENTES'!D:D,'RESUMEN CLIENTES'!C:C)</f>
        <v>Chile</v>
      </c>
      <c r="D2282" s="44" t="str">
        <f>+_xlfn.XLOOKUP(Tabla6[[#This Row],[ID CLIENTE]],'RESUMEN CLIENTES'!D:D,'RESUMEN CLIENTES'!M:M)</f>
        <v>OK</v>
      </c>
      <c r="E2282" s="72">
        <f>+_xlfn.XLOOKUP(Tabla6[[#This Row],[NOMBRE]],'RESUMEN CLIENTES'!A:A,'RESUMEN CLIENTES'!X:X)</f>
        <v>0.33333333333333331</v>
      </c>
      <c r="F2282" s="72">
        <f>+_xlfn.XLOOKUP(Tabla6[[#This Row],[ID CLIENTE]],'RESUMEN CLIENTES'!D:D,'RESUMEN CLIENTES'!W:W)</f>
        <v>1</v>
      </c>
      <c r="G2282" s="17">
        <f>IF($H2282&lt;&gt;"ALEM","",IFERROR(
  DATE(
    YEAR(EDATE(
      _xlfn.XLOOKUP($A2282,'RESUMEN CLIENTES'!$D:$D,'RESUMEN CLIENTES'!$Y:$Y,""),
      7 + COUNTIFS(
            $A$2:INDEX($A:$A,ROW()), $A2282,
            $H$2:INDEX($H:$H,ROW()), "ALEM"
          )
    )),
    MONTH(EDATE(
      _xlfn.XLOOKUP($A2282,'RESUMEN CLIENTES'!$D:$D,'RESUMEN CLIENTES'!$Y:$Y,""),
      7 + COUNTIFS(
            $A$2:INDEX($A:$A,ROW()), $A2282,
            $H$2:INDEX($H:$H,ROW()), "ALEM"
          )
    )),
    1
  ),
"SIN FECHA MIG"))</f>
        <v>46508</v>
      </c>
      <c r="H2282" s="44" t="s">
        <v>1876</v>
      </c>
      <c r="I2282" s="2">
        <v>750</v>
      </c>
      <c r="J2282"/>
      <c r="K2282"/>
      <c r="L2282" s="44" t="str" cm="1">
        <f t="array" ref="L2282">+_xlfn.IFS(COUNTIF(INGRESOS!E:E,Tabla6[[#This Row],[ID FACTURA]])=1,"PAGADA",Tabla6[[#This Row],[ID FACTURA]]&lt;&gt;0,"EMITIDA",Tabla6[[#This Row],[ID FACTURA]]=0,"POR EMITIR")</f>
        <v>POR EMITIR</v>
      </c>
      <c r="M2282" s="55" t="str">
        <f>+IF(Tabla6[[#This Row],[ESTADO FACTURA]]="PAGADA",Tabla6[[#This Row],[FECHA]]-_xlfn.XLOOKUP(Tabla6[[#This Row],[N° FACTURA]],INGRESOS!F:F,INGRESOS!A:A),"-")</f>
        <v>-</v>
      </c>
      <c r="N2282" s="2"/>
      <c r="O2282" t="s">
        <v>2084</v>
      </c>
    </row>
    <row r="2283" spans="1:15" ht="15" customHeight="1">
      <c r="A2283" s="320" t="s">
        <v>281</v>
      </c>
      <c r="B2283" t="str">
        <f>+_xlfn.XLOOKUP(Tabla6[[#This Row],[ID CLIENTE]],'RESUMEN CLIENTES'!D:D,'RESUMEN CLIENTES'!A:A)</f>
        <v>Sergio Francisco Garcia Sandoval</v>
      </c>
      <c r="C2283" t="str">
        <f>+_xlfn.XLOOKUP(Tabla6[[#This Row],[ID CLIENTE]],'RESUMEN CLIENTES'!D:D,'RESUMEN CLIENTES'!C:C)</f>
        <v>Perú</v>
      </c>
      <c r="D2283" s="44" t="str">
        <f>+_xlfn.XLOOKUP(Tabla6[[#This Row],[ID CLIENTE]],'RESUMEN CLIENTES'!D:D,'RESUMEN CLIENTES'!M:M)</f>
        <v>OK</v>
      </c>
      <c r="E2283" s="72">
        <f>+_xlfn.XLOOKUP(Tabla6[[#This Row],[NOMBRE]],'RESUMEN CLIENTES'!A:A,'RESUMEN CLIENTES'!X:X)</f>
        <v>0.88888888888888884</v>
      </c>
      <c r="F2283" s="72">
        <f>+_xlfn.XLOOKUP(Tabla6[[#This Row],[ID CLIENTE]],'RESUMEN CLIENTES'!D:D,'RESUMEN CLIENTES'!W:W)</f>
        <v>1</v>
      </c>
      <c r="G2283" s="17">
        <f>IF($H2283&lt;&gt;"ALEM","",IFERROR(
  DATE(
    YEAR(EDATE(
      _xlfn.XLOOKUP($A2283,'RESUMEN CLIENTES'!$D:$D,'RESUMEN CLIENTES'!$Y:$Y,""),
      7 + COUNTIFS(
            $A$2:INDEX($A:$A,ROW()), $A2283,
            $H$2:INDEX($H:$H,ROW()), "ALEM"
          )
    )),
    MONTH(EDATE(
      _xlfn.XLOOKUP($A2283,'RESUMEN CLIENTES'!$D:$D,'RESUMEN CLIENTES'!$Y:$Y,""),
      7 + COUNTIFS(
            $A$2:INDEX($A:$A,ROW()), $A2283,
            $H$2:INDEX($H:$H,ROW()), "ALEM"
          )
    )),
    1
  ),
"SIN FECHA MIG"))</f>
        <v>46508</v>
      </c>
      <c r="H2283" s="44" t="s">
        <v>1876</v>
      </c>
      <c r="I2283" s="2">
        <v>1000</v>
      </c>
      <c r="J2283"/>
      <c r="K2283"/>
      <c r="L2283" s="44" t="str" cm="1">
        <f t="array" ref="L2283">+_xlfn.IFS(COUNTIF(INGRESOS!E:E,Tabla6[[#This Row],[ID FACTURA]])=1,"PAGADA",Tabla6[[#This Row],[ID FACTURA]]&lt;&gt;0,"EMITIDA",Tabla6[[#This Row],[ID FACTURA]]=0,"POR EMITIR")</f>
        <v>POR EMITIR</v>
      </c>
      <c r="M2283" s="55" t="str">
        <f>+IF(Tabla6[[#This Row],[ESTADO FACTURA]]="PAGADA",Tabla6[[#This Row],[FECHA]]-_xlfn.XLOOKUP(Tabla6[[#This Row],[N° FACTURA]],INGRESOS!F:F,INGRESOS!A:A),"-")</f>
        <v>-</v>
      </c>
      <c r="N2283" s="2"/>
      <c r="O2283"/>
    </row>
    <row r="2284" spans="1:15" ht="15" customHeight="1">
      <c r="A2284" s="320" t="s">
        <v>716</v>
      </c>
      <c r="B2284" t="str">
        <f>+_xlfn.XLOOKUP(Tabla6[[#This Row],[ID CLIENTE]],'RESUMEN CLIENTES'!D:D,'RESUMEN CLIENTES'!A:A)</f>
        <v>Sofia Martínez Restrepo</v>
      </c>
      <c r="C2284" t="str">
        <f>+_xlfn.XLOOKUP(Tabla6[[#This Row],[ID CLIENTE]],'RESUMEN CLIENTES'!D:D,'RESUMEN CLIENTES'!C:C)</f>
        <v>Colombia</v>
      </c>
      <c r="D2284" s="44" t="str">
        <f>+_xlfn.XLOOKUP(Tabla6[[#This Row],[ID CLIENTE]],'RESUMEN CLIENTES'!D:D,'RESUMEN CLIENTES'!M:M)</f>
        <v>OK</v>
      </c>
      <c r="E2284" s="72">
        <f>+_xlfn.XLOOKUP(Tabla6[[#This Row],[NOMBRE]],'RESUMEN CLIENTES'!A:A,'RESUMEN CLIENTES'!X:X)</f>
        <v>-0.33333333333333331</v>
      </c>
      <c r="F2284" s="72">
        <f>+_xlfn.XLOOKUP(Tabla6[[#This Row],[ID CLIENTE]],'RESUMEN CLIENTES'!D:D,'RESUMEN CLIENTES'!W:W)</f>
        <v>1</v>
      </c>
      <c r="G2284" s="17">
        <f>IF($H2284&lt;&gt;"ALEM","",IFERROR(
  DATE(
    YEAR(EDATE(
      _xlfn.XLOOKUP($A2284,'RESUMEN CLIENTES'!$D:$D,'RESUMEN CLIENTES'!$Y:$Y,""),
      7 + COUNTIFS(
            $A$2:INDEX($A:$A,ROW()), $A2284,
            $H$2:INDEX($H:$H,ROW()), "ALEM"
          )
    )),
    MONTH(EDATE(
      _xlfn.XLOOKUP($A2284,'RESUMEN CLIENTES'!$D:$D,'RESUMEN CLIENTES'!$Y:$Y,""),
      7 + COUNTIFS(
            $A$2:INDEX($A:$A,ROW()), $A2284,
            $H$2:INDEX($H:$H,ROW()), "ALEM"
          )
    )),
    1
  ),
"SIN FECHA MIG"))</f>
        <v>46508</v>
      </c>
      <c r="H2284" s="44" t="s">
        <v>1876</v>
      </c>
      <c r="I2284" s="2">
        <v>1000</v>
      </c>
      <c r="J2284"/>
      <c r="K2284"/>
      <c r="L2284" s="44" t="str" cm="1">
        <f t="array" ref="L2284">+_xlfn.IFS(COUNTIF(INGRESOS!E:E,Tabla6[[#This Row],[ID FACTURA]])=1,"PAGADA",Tabla6[[#This Row],[ID FACTURA]]&lt;&gt;0,"EMITIDA",Tabla6[[#This Row],[ID FACTURA]]=0,"POR EMITIR")</f>
        <v>POR EMITIR</v>
      </c>
      <c r="M2284" s="55" t="str">
        <f>+IF(Tabla6[[#This Row],[ESTADO FACTURA]]="PAGADA",Tabla6[[#This Row],[FECHA]]-_xlfn.XLOOKUP(Tabla6[[#This Row],[N° FACTURA]],INGRESOS!F:F,INGRESOS!A:A),"-")</f>
        <v>-</v>
      </c>
      <c r="N2284" s="2"/>
      <c r="O2284" t="s">
        <v>2084</v>
      </c>
    </row>
    <row r="2285" spans="1:15" ht="15" customHeight="1">
      <c r="A2285" s="320" t="s">
        <v>460</v>
      </c>
      <c r="B2285" t="str">
        <f>+_xlfn.XLOOKUP(Tabla6[[#This Row],[ID CLIENTE]],'RESUMEN CLIENTES'!D:D,'RESUMEN CLIENTES'!A:A)</f>
        <v>Valeria Carolina Heredia Peña</v>
      </c>
      <c r="C2285" t="str">
        <f>+_xlfn.XLOOKUP(Tabla6[[#This Row],[ID CLIENTE]],'RESUMEN CLIENTES'!D:D,'RESUMEN CLIENTES'!C:C)</f>
        <v>Bolivia</v>
      </c>
      <c r="D2285" s="44" t="str">
        <f>+_xlfn.XLOOKUP(Tabla6[[#This Row],[ID CLIENTE]],'RESUMEN CLIENTES'!D:D,'RESUMEN CLIENTES'!M:M)</f>
        <v>OK</v>
      </c>
      <c r="E2285" s="72">
        <f>+_xlfn.XLOOKUP(Tabla6[[#This Row],[NOMBRE]],'RESUMEN CLIENTES'!A:A,'RESUMEN CLIENTES'!X:X)</f>
        <v>2.5</v>
      </c>
      <c r="F2285" s="72">
        <f>+_xlfn.XLOOKUP(Tabla6[[#This Row],[ID CLIENTE]],'RESUMEN CLIENTES'!D:D,'RESUMEN CLIENTES'!W:W)</f>
        <v>0</v>
      </c>
      <c r="G2285" s="17">
        <f>IF($H2285&lt;&gt;"ALEM","",IFERROR(
  DATE(
    YEAR(EDATE(
      _xlfn.XLOOKUP($A2285,'RESUMEN CLIENTES'!$D:$D,'RESUMEN CLIENTES'!$Y:$Y,""),
      7 + COUNTIFS(
            $A$2:INDEX($A:$A,ROW()), $A2285,
            $H$2:INDEX($H:$H,ROW()), "ALEM"
          )
    )),
    MONTH(EDATE(
      _xlfn.XLOOKUP($A2285,'RESUMEN CLIENTES'!$D:$D,'RESUMEN CLIENTES'!$Y:$Y,""),
      7 + COUNTIFS(
            $A$2:INDEX($A:$A,ROW()), $A2285,
            $H$2:INDEX($H:$H,ROW()), "ALEM"
          )
    )),
    1
  ),
"SIN FECHA MIG"))</f>
        <v>46508</v>
      </c>
      <c r="H2285" s="44" t="s">
        <v>1876</v>
      </c>
      <c r="I2285" s="2">
        <v>1000</v>
      </c>
      <c r="J2285"/>
      <c r="K2285"/>
      <c r="L2285" s="44" t="str" cm="1">
        <f t="array" ref="L2285">+_xlfn.IFS(COUNTIF(INGRESOS!E:E,Tabla6[[#This Row],[ID FACTURA]])=1,"PAGADA",Tabla6[[#This Row],[ID FACTURA]]&lt;&gt;0,"EMITIDA",Tabla6[[#This Row],[ID FACTURA]]=0,"POR EMITIR")</f>
        <v>POR EMITIR</v>
      </c>
      <c r="M2285" s="55" t="str">
        <f>+IF(Tabla6[[#This Row],[ESTADO FACTURA]]="PAGADA",Tabla6[[#This Row],[FECHA]]-_xlfn.XLOOKUP(Tabla6[[#This Row],[N° FACTURA]],INGRESOS!F:F,INGRESOS!A:A),"-")</f>
        <v>-</v>
      </c>
      <c r="N2285" s="2"/>
      <c r="O2285"/>
    </row>
    <row r="2286" spans="1:15" ht="15" customHeight="1">
      <c r="A2286" s="320" t="s">
        <v>4442</v>
      </c>
      <c r="B2286" t="str">
        <f>+_xlfn.XLOOKUP(Tabla6[[#This Row],[ID CLIENTE]],'RESUMEN CLIENTES'!D:D,'RESUMEN CLIENTES'!A:A)</f>
        <v>Vicente Javier Campusano Banse</v>
      </c>
      <c r="C2286" t="str">
        <f>+_xlfn.XLOOKUP(Tabla6[[#This Row],[ID CLIENTE]],'RESUMEN CLIENTES'!D:D,'RESUMEN CLIENTES'!C:C)</f>
        <v>Chile</v>
      </c>
      <c r="D2286" s="169" t="str">
        <f>+_xlfn.XLOOKUP(Tabla6[[#This Row],[ID CLIENTE]],'RESUMEN CLIENTES'!D:D,'RESUMEN CLIENTES'!M:M)</f>
        <v>¡REGULARIZAR!</v>
      </c>
      <c r="E2286" s="71">
        <f>+_xlfn.XLOOKUP(Tabla6[[#This Row],[NOMBRE]],'RESUMEN CLIENTES'!A:A,'RESUMEN CLIENTES'!X:X)</f>
        <v>0</v>
      </c>
      <c r="F2286" s="71">
        <f>+_xlfn.XLOOKUP(Tabla6[[#This Row],[ID CLIENTE]],'RESUMEN CLIENTES'!D:D,'RESUMEN CLIENTES'!W:W)</f>
        <v>0</v>
      </c>
      <c r="G2286" s="428">
        <f>IF($H2286&lt;&gt;"ALEM","",IFERROR(
  DATE(
    YEAR(EDATE(
      _xlfn.XLOOKUP($A2286,'RESUMEN CLIENTES'!$D:$D,'RESUMEN CLIENTES'!$Y:$Y,""),
      7 + COUNTIFS(
            $A$2:INDEX($A:$A,ROW()), $A2286,
            $H$2:INDEX($H:$H,ROW()), "ALEM"
          )
    )),
    MONTH(EDATE(
      _xlfn.XLOOKUP($A2286,'RESUMEN CLIENTES'!$D:$D,'RESUMEN CLIENTES'!$Y:$Y,""),
      7 + COUNTIFS(
            $A$2:INDEX($A:$A,ROW()), $A2286,
            $H$2:INDEX($H:$H,ROW()), "ALEM"
          )
    )),
    1
  ),
"null"))</f>
        <v>46508</v>
      </c>
      <c r="H2286" s="169" t="s">
        <v>1876</v>
      </c>
      <c r="I2286" s="2">
        <v>750</v>
      </c>
      <c r="J2286"/>
      <c r="K2286"/>
      <c r="L2286" s="44" t="str" cm="1">
        <f t="array" ref="L2286">+_xlfn.IFS(COUNTIF(INGRESOS!E:E,Tabla6[[#This Row],[ID FACTURA]])=1,"PAGADA",Tabla6[[#This Row],[ID FACTURA]]&lt;&gt;0,"EMITIDA",Tabla6[[#This Row],[ID FACTURA]]=0,"POR EMITIR")</f>
        <v>POR EMITIR</v>
      </c>
      <c r="M2286" s="54" t="str">
        <f>+IF(Tabla6[[#This Row],[ESTADO FACTURA]]="PAGADA",Tabla6[[#This Row],[FECHA]]-_xlfn.XLOOKUP(Tabla6[[#This Row],[N° FACTURA]],INGRESOS!F:F,INGRESOS!A:A),"-")</f>
        <v>-</v>
      </c>
      <c r="O2286"/>
    </row>
    <row r="2287" spans="1:15" ht="15" customHeight="1">
      <c r="A2287" s="320" t="s">
        <v>6696</v>
      </c>
      <c r="B2287" t="str">
        <f>+_xlfn.XLOOKUP(Tabla6[[#This Row],[ID CLIENTE]],'RESUMEN CLIENTES'!D:D,'RESUMEN CLIENTES'!A:A)</f>
        <v>Stiben Lopez Vargas</v>
      </c>
      <c r="C2287" s="15" t="str">
        <f>+_xlfn.XLOOKUP(Tabla6[[#This Row],[ID CLIENTE]],'RESUMEN CLIENTES'!D:D,'RESUMEN CLIENTES'!C:C)</f>
        <v>Colombia</v>
      </c>
      <c r="D2287" s="169" t="str">
        <f>+_xlfn.XLOOKUP(Tabla6[[#This Row],[ID CLIENTE]],'RESUMEN CLIENTES'!D:D,'RESUMEN CLIENTES'!M:M)</f>
        <v xml:space="preserve">TRASPASAR </v>
      </c>
      <c r="E2287" s="71">
        <f>+_xlfn.XLOOKUP(Tabla6[[#This Row],[NOMBRE]],'RESUMEN CLIENTES'!A:A,'RESUMEN CLIENTES'!X:X)</f>
        <v>58</v>
      </c>
      <c r="F2287" s="71">
        <f>+_xlfn.XLOOKUP(Tabla6[[#This Row],[ID CLIENTE]],'RESUMEN CLIENTES'!D:D,'RESUMEN CLIENTES'!W:W)</f>
        <v>0</v>
      </c>
      <c r="G2287" s="17">
        <f>IF($H2287&lt;&gt;"ALEM","",IFERROR(
  DATE(
    YEAR(EDATE(
      _xlfn.XLOOKUP($A2287,'RESUMEN CLIENTES'!$D:$D,'RESUMEN CLIENTES'!$Y:$Y,""),
      7 + COUNTIFS(
            $A$2:INDEX($A:$A,ROW()), $A2287,
            $H$2:INDEX($H:$H,ROW()), "ALEM"
          )
    )),
    MONTH(EDATE(
      _xlfn.XLOOKUP($A2287,'RESUMEN CLIENTES'!$D:$D,'RESUMEN CLIENTES'!$Y:$Y,""),
      7 + COUNTIFS(
            $A$2:INDEX($A:$A,ROW()), $A2287,
            $H$2:INDEX($H:$H,ROW()), "ALEM"
          )
    )),
    1
  ),
"null"))</f>
        <v>46508</v>
      </c>
      <c r="H2287" s="169" t="s">
        <v>1876</v>
      </c>
      <c r="I2287" s="2">
        <v>1000</v>
      </c>
      <c r="J2287"/>
      <c r="K2287"/>
      <c r="L2287" s="44" t="str" cm="1">
        <f t="array" ref="L2287">+_xlfn.IFS(COUNTIF(INGRESOS!E:E,Tabla6[[#This Row],[ID FACTURA]])=1,"PAGADA",Tabla6[[#This Row],[ID FACTURA]]&lt;&gt;0,"EMITIDA",Tabla6[[#This Row],[ID FACTURA]]=0,"POR EMITIR")</f>
        <v>POR EMITIR</v>
      </c>
      <c r="M2287" s="54" t="str">
        <f>+IF(Tabla6[[#This Row],[ESTADO FACTURA]]="PAGADA",Tabla6[[#This Row],[FECHA]]-_xlfn.XLOOKUP(Tabla6[[#This Row],[N° FACTURA]],INGRESOS!F:F,INGRESOS!A:A),"-")</f>
        <v>-</v>
      </c>
      <c r="O2287"/>
    </row>
    <row r="2288" spans="1:15" ht="15" customHeight="1">
      <c r="A2288" s="320" t="s">
        <v>2521</v>
      </c>
      <c r="B2288" t="str">
        <f>+_xlfn.XLOOKUP(Tabla6[[#This Row],[ID CLIENTE]],'RESUMEN CLIENTES'!D:D,'RESUMEN CLIENTES'!A:A)</f>
        <v>Fabián Andrés Sarmiento Auli</v>
      </c>
      <c r="C2288" t="str">
        <f>+_xlfn.XLOOKUP(Tabla6[[#This Row],[ID CLIENTE]],'RESUMEN CLIENTES'!D:D,'RESUMEN CLIENTES'!C:C)</f>
        <v>Colombia</v>
      </c>
      <c r="D2288" s="169" t="str">
        <f>+_xlfn.XLOOKUP(Tabla6[[#This Row],[ID CLIENTE]],'RESUMEN CLIENTES'!D:D,'RESUMEN CLIENTES'!M:M)</f>
        <v>OK</v>
      </c>
      <c r="E2288" s="71">
        <f>+_xlfn.XLOOKUP(Tabla6[[#This Row],[NOMBRE]],'RESUMEN CLIENTES'!A:A,'RESUMEN CLIENTES'!X:X)</f>
        <v>0</v>
      </c>
      <c r="F2288" s="71">
        <f>+_xlfn.XLOOKUP(Tabla6[[#This Row],[ID CLIENTE]],'RESUMEN CLIENTES'!D:D,'RESUMEN CLIENTES'!W:W)</f>
        <v>0</v>
      </c>
      <c r="G2288" s="17">
        <v>46512</v>
      </c>
      <c r="H2288" s="169" t="s">
        <v>81</v>
      </c>
      <c r="I2288" s="2">
        <v>650</v>
      </c>
      <c r="J2288"/>
      <c r="K2288"/>
      <c r="L2288" s="44" t="str" cm="1">
        <f t="array" ref="L2288">+_xlfn.IFS(COUNTIF(INGRESOS!E:E,Tabla6[[#This Row],[ID FACTURA]])=1,"PAGADA",Tabla6[[#This Row],[ID FACTURA]]&lt;&gt;0,"EMITIDA",Tabla6[[#This Row],[ID FACTURA]]=0,"POR EMITIR")</f>
        <v>POR EMITIR</v>
      </c>
      <c r="M2288" s="54" t="str">
        <f>+IF(Tabla6[[#This Row],[ESTADO FACTURA]]="PAGADA",Tabla6[[#This Row],[FECHA]]-_xlfn.XLOOKUP(Tabla6[[#This Row],[N° FACTURA]],INGRESOS!F:F,INGRESOS!A:A),"-")</f>
        <v>-</v>
      </c>
      <c r="O2288"/>
    </row>
    <row r="2289" spans="1:15" ht="15" customHeight="1">
      <c r="A2289" s="320" t="s">
        <v>1416</v>
      </c>
      <c r="B2289" t="str">
        <f>+_xlfn.XLOOKUP(Tabla6[[#This Row],[ID CLIENTE]],'RESUMEN CLIENTES'!D:D,'RESUMEN CLIENTES'!A:A)</f>
        <v>Luis Armando Calderon Manzanera</v>
      </c>
      <c r="C2289" t="str">
        <f>+_xlfn.XLOOKUP(Tabla6[[#This Row],[ID CLIENTE]],'RESUMEN CLIENTES'!D:D,'RESUMEN CLIENTES'!C:C)</f>
        <v>México</v>
      </c>
      <c r="D2289" s="44" t="str">
        <f>+_xlfn.XLOOKUP(Tabla6[[#This Row],[ID CLIENTE]],'RESUMEN CLIENTES'!D:D,'RESUMEN CLIENTES'!M:M)</f>
        <v>OK</v>
      </c>
      <c r="E2289" s="71">
        <f>+_xlfn.XLOOKUP(Tabla6[[#This Row],[NOMBRE]],'RESUMEN CLIENTES'!A:A,'RESUMEN CLIENTES'!X:X)</f>
        <v>2</v>
      </c>
      <c r="F2289" s="71">
        <f>+_xlfn.XLOOKUP(Tabla6[[#This Row],[ID CLIENTE]],'RESUMEN CLIENTES'!D:D,'RESUMEN CLIENTES'!W:W)</f>
        <v>1</v>
      </c>
      <c r="G2289" s="17">
        <v>46512</v>
      </c>
      <c r="H2289" s="44" t="s">
        <v>81</v>
      </c>
      <c r="I2289" s="2">
        <v>650</v>
      </c>
      <c r="J2289"/>
      <c r="K2289"/>
      <c r="L2289" s="44" t="str" cm="1">
        <f t="array" ref="L2289">+_xlfn.IFS(COUNTIF(INGRESOS!E:E,Tabla6[[#This Row],[ID FACTURA]])=1,"PAGADA",Tabla6[[#This Row],[ID FACTURA]]&lt;&gt;0,"EMITIDA",Tabla6[[#This Row],[ID FACTURA]]=0,"POR EMITIR")</f>
        <v>POR EMITIR</v>
      </c>
      <c r="M2289" s="55" t="str">
        <f>+IF(Tabla6[[#This Row],[ESTADO FACTURA]]="PAGADA",Tabla6[[#This Row],[FECHA]]-_xlfn.XLOOKUP(Tabla6[[#This Row],[N° FACTURA]],INGRESOS!F:F,INGRESOS!A:A),"-")</f>
        <v>-</v>
      </c>
      <c r="N2289" s="2"/>
      <c r="O2289"/>
    </row>
    <row r="2290" spans="1:15" ht="15" customHeight="1">
      <c r="A2290" s="320" t="s">
        <v>703</v>
      </c>
      <c r="B2290" t="str">
        <f>+_xlfn.XLOOKUP(Tabla6[[#This Row],[ID CLIENTE]],'RESUMEN CLIENTES'!D:D,'RESUMEN CLIENTES'!A:A)</f>
        <v>Maira Paz Navas Sánchez</v>
      </c>
      <c r="C2290" t="str">
        <f>+_xlfn.XLOOKUP(Tabla6[[#This Row],[ID CLIENTE]],'RESUMEN CLIENTES'!D:D,'RESUMEN CLIENTES'!C:C)</f>
        <v>Chile</v>
      </c>
      <c r="D2290" s="44" t="str">
        <f>+_xlfn.XLOOKUP(Tabla6[[#This Row],[ID CLIENTE]],'RESUMEN CLIENTES'!D:D,'RESUMEN CLIENTES'!M:M)</f>
        <v>OK</v>
      </c>
      <c r="E2290" s="72">
        <f>+_xlfn.XLOOKUP(Tabla6[[#This Row],[NOMBRE]],'RESUMEN CLIENTES'!A:A,'RESUMEN CLIENTES'!X:X)</f>
        <v>-1.75</v>
      </c>
      <c r="F2290" s="72">
        <f>+_xlfn.XLOOKUP(Tabla6[[#This Row],[ID CLIENTE]],'RESUMEN CLIENTES'!D:D,'RESUMEN CLIENTES'!W:W)</f>
        <v>1</v>
      </c>
      <c r="G2290" s="17">
        <v>46512</v>
      </c>
      <c r="H2290" s="44" t="s">
        <v>81</v>
      </c>
      <c r="I2290" s="2">
        <v>700</v>
      </c>
      <c r="J2290"/>
      <c r="K2290"/>
      <c r="L2290" s="44" t="str" cm="1">
        <f t="array" ref="L2290">+_xlfn.IFS(COUNTIF(INGRESOS!E:E,Tabla6[[#This Row],[ID FACTURA]])=1,"PAGADA",Tabla6[[#This Row],[ID FACTURA]]&lt;&gt;0,"EMITIDA",Tabla6[[#This Row],[ID FACTURA]]=0,"POR EMITIR")</f>
        <v>POR EMITIR</v>
      </c>
      <c r="M2290" s="55" t="str">
        <f>+IF(Tabla6[[#This Row],[ESTADO FACTURA]]="PAGADA",Tabla6[[#This Row],[FECHA]]-_xlfn.XLOOKUP(Tabla6[[#This Row],[N° FACTURA]],INGRESOS!F:F,INGRESOS!A:A),"-")</f>
        <v>-</v>
      </c>
      <c r="N2290" s="2"/>
      <c r="O2290"/>
    </row>
    <row r="2291" spans="1:15" ht="15" customHeight="1">
      <c r="A2291" s="320" t="s">
        <v>281</v>
      </c>
      <c r="B2291" t="str">
        <f>+_xlfn.XLOOKUP(Tabla6[[#This Row],[ID CLIENTE]],'RESUMEN CLIENTES'!D:D,'RESUMEN CLIENTES'!A:A)</f>
        <v>Sergio Francisco Garcia Sandoval</v>
      </c>
      <c r="C2291" t="str">
        <f>+_xlfn.XLOOKUP(Tabla6[[#This Row],[ID CLIENTE]],'RESUMEN CLIENTES'!D:D,'RESUMEN CLIENTES'!C:C)</f>
        <v>Perú</v>
      </c>
      <c r="D2291" s="44" t="str">
        <f>+_xlfn.XLOOKUP(Tabla6[[#This Row],[ID CLIENTE]],'RESUMEN CLIENTES'!D:D,'RESUMEN CLIENTES'!M:M)</f>
        <v>OK</v>
      </c>
      <c r="E2291" s="72">
        <f>+_xlfn.XLOOKUP(Tabla6[[#This Row],[NOMBRE]],'RESUMEN CLIENTES'!A:A,'RESUMEN CLIENTES'!X:X)</f>
        <v>0.88888888888888884</v>
      </c>
      <c r="F2291" s="72">
        <f>+_xlfn.XLOOKUP(Tabla6[[#This Row],[ID CLIENTE]],'RESUMEN CLIENTES'!D:D,'RESUMEN CLIENTES'!W:W)</f>
        <v>1</v>
      </c>
      <c r="G2291" s="17">
        <v>46512</v>
      </c>
      <c r="H2291" s="44" t="s">
        <v>81</v>
      </c>
      <c r="I2291" s="2">
        <v>6500</v>
      </c>
      <c r="J2291"/>
      <c r="K2291"/>
      <c r="L2291" s="44" t="str" cm="1">
        <f t="array" ref="L2291">+_xlfn.IFS(COUNTIF(INGRESOS!E:E,Tabla6[[#This Row],[ID FACTURA]])=1,"PAGADA",Tabla6[[#This Row],[ID FACTURA]]&lt;&gt;0,"EMITIDA",Tabla6[[#This Row],[ID FACTURA]]=0,"POR EMITIR")</f>
        <v>POR EMITIR</v>
      </c>
      <c r="M2291" s="55" t="str">
        <f>+IF(Tabla6[[#This Row],[ESTADO FACTURA]]="PAGADA",Tabla6[[#This Row],[FECHA]]-_xlfn.XLOOKUP(Tabla6[[#This Row],[N° FACTURA]],INGRESOS!F:F,INGRESOS!A:A),"-")</f>
        <v>-</v>
      </c>
      <c r="N2291" s="2"/>
      <c r="O2291"/>
    </row>
    <row r="2292" spans="1:15" ht="15" customHeight="1">
      <c r="A2292" s="320" t="s">
        <v>1152</v>
      </c>
      <c r="B2292" t="str">
        <f>+_xlfn.XLOOKUP(Tabla6[[#This Row],[ID CLIENTE]],'RESUMEN CLIENTES'!D:D,'RESUMEN CLIENTES'!A:A)</f>
        <v>Ricardo Ernesto Miño Valencia</v>
      </c>
      <c r="C2292" t="str">
        <f>+_xlfn.XLOOKUP(Tabla6[[#This Row],[ID CLIENTE]],'RESUMEN CLIENTES'!D:D,'RESUMEN CLIENTES'!C:C)</f>
        <v>Ecuador</v>
      </c>
      <c r="D2292" s="44" t="str">
        <f>+_xlfn.XLOOKUP(Tabla6[[#This Row],[ID CLIENTE]],'RESUMEN CLIENTES'!D:D,'RESUMEN CLIENTES'!M:M)</f>
        <v>OK</v>
      </c>
      <c r="E2292" s="72">
        <f>+_xlfn.XLOOKUP(Tabla6[[#This Row],[NOMBRE]],'RESUMEN CLIENTES'!A:A,'RESUMEN CLIENTES'!X:X)</f>
        <v>-3.2</v>
      </c>
      <c r="F2292" s="72">
        <f>+_xlfn.XLOOKUP(Tabla6[[#This Row],[ID CLIENTE]],'RESUMEN CLIENTES'!D:D,'RESUMEN CLIENTES'!W:W)</f>
        <v>1</v>
      </c>
      <c r="G2292" s="17">
        <v>46513</v>
      </c>
      <c r="H2292" s="44" t="s">
        <v>81</v>
      </c>
      <c r="I2292" s="2">
        <v>700</v>
      </c>
      <c r="J2292"/>
      <c r="K2292"/>
      <c r="L2292" s="44" t="str" cm="1">
        <f t="array" ref="L2292">+_xlfn.IFS(COUNTIF(INGRESOS!E:E,Tabla6[[#This Row],[ID FACTURA]])=1,"PAGADA",Tabla6[[#This Row],[ID FACTURA]]&lt;&gt;0,"EMITIDA",Tabla6[[#This Row],[ID FACTURA]]=0,"POR EMITIR")</f>
        <v>POR EMITIR</v>
      </c>
      <c r="M2292" s="55" t="str">
        <f>+IF(Tabla6[[#This Row],[ESTADO FACTURA]]="PAGADA",Tabla6[[#This Row],[FECHA]]-_xlfn.XLOOKUP(Tabla6[[#This Row],[N° FACTURA]],INGRESOS!F:F,INGRESOS!A:A),"-")</f>
        <v>-</v>
      </c>
      <c r="N2292" s="2"/>
      <c r="O2292"/>
    </row>
    <row r="2293" spans="1:15" ht="15" customHeight="1">
      <c r="A2293" s="320" t="s">
        <v>1945</v>
      </c>
      <c r="B2293" t="str">
        <f>+_xlfn.XLOOKUP(Tabla6[[#This Row],[ID CLIENTE]],'RESUMEN CLIENTES'!D:D,'RESUMEN CLIENTES'!A:A)</f>
        <v>Fernanda Constanza Kompai Antu Arellano Guzmán</v>
      </c>
      <c r="C2293" t="str">
        <f>+_xlfn.XLOOKUP(Tabla6[[#This Row],[ID CLIENTE]],'RESUMEN CLIENTES'!D:D,'RESUMEN CLIENTES'!C:C)</f>
        <v>Chile</v>
      </c>
      <c r="D2293" s="169" t="str">
        <f>+_xlfn.XLOOKUP(Tabla6[[#This Row],[ID CLIENTE]],'RESUMEN CLIENTES'!D:D,'RESUMEN CLIENTES'!M:M)</f>
        <v>OK</v>
      </c>
      <c r="E2293" s="71">
        <f>+_xlfn.XLOOKUP(Tabla6[[#This Row],[NOMBRE]],'RESUMEN CLIENTES'!A:A,'RESUMEN CLIENTES'!X:X)</f>
        <v>0</v>
      </c>
      <c r="F2293" s="71">
        <f>+_xlfn.XLOOKUP(Tabla6[[#This Row],[ID CLIENTE]],'RESUMEN CLIENTES'!D:D,'RESUMEN CLIENTES'!W:W)</f>
        <v>0</v>
      </c>
      <c r="G2293" s="170">
        <v>46522</v>
      </c>
      <c r="H2293" s="170" t="s">
        <v>81</v>
      </c>
      <c r="I2293" s="2">
        <v>650</v>
      </c>
      <c r="J2293"/>
      <c r="K2293"/>
      <c r="L2293" s="44" t="str" cm="1">
        <f t="array" ref="L2293">+_xlfn.IFS(COUNTIF(INGRESOS!E:E,Tabla6[[#This Row],[ID FACTURA]])=1,"PAGADA",Tabla6[[#This Row],[ID FACTURA]]&lt;&gt;0,"EMITIDA",Tabla6[[#This Row],[ID FACTURA]]=0,"POR EMITIR")</f>
        <v>POR EMITIR</v>
      </c>
      <c r="M2293" s="54" t="str">
        <f>+IF(Tabla6[[#This Row],[ESTADO FACTURA]]="PAGADA",Tabla6[[#This Row],[FECHA]]-_xlfn.XLOOKUP(Tabla6[[#This Row],[N° FACTURA]],INGRESOS!F:F,INGRESOS!A:A),"-")</f>
        <v>-</v>
      </c>
      <c r="O2293"/>
    </row>
    <row r="2294" spans="1:15" ht="15" customHeight="1">
      <c r="A2294" s="320" t="s">
        <v>103</v>
      </c>
      <c r="B2294" t="str">
        <f>+_xlfn.XLOOKUP(Tabla6[[#This Row],[ID CLIENTE]],'RESUMEN CLIENTES'!D:D,'RESUMEN CLIENTES'!A:A)</f>
        <v>Isaac Ricardo Jimenez Campos</v>
      </c>
      <c r="C2294" t="str">
        <f>+_xlfn.XLOOKUP(Tabla6[[#This Row],[ID CLIENTE]],'RESUMEN CLIENTES'!D:D,'RESUMEN CLIENTES'!C:C)</f>
        <v>México</v>
      </c>
      <c r="D2294" s="44" t="str">
        <f>+_xlfn.XLOOKUP(Tabla6[[#This Row],[ID CLIENTE]],'RESUMEN CLIENTES'!D:D,'RESUMEN CLIENTES'!M:M)</f>
        <v>OK</v>
      </c>
      <c r="E2294" s="72">
        <f>+_xlfn.XLOOKUP(Tabla6[[#This Row],[NOMBRE]],'RESUMEN CLIENTES'!A:A,'RESUMEN CLIENTES'!X:X)</f>
        <v>0.5</v>
      </c>
      <c r="F2294" s="72">
        <f>+_xlfn.XLOOKUP(Tabla6[[#This Row],[ID CLIENTE]],'RESUMEN CLIENTES'!D:D,'RESUMEN CLIENTES'!W:W)</f>
        <v>1</v>
      </c>
      <c r="G2294" s="17">
        <v>46522</v>
      </c>
      <c r="H2294" s="44" t="s">
        <v>81</v>
      </c>
      <c r="I2294" s="2">
        <v>650</v>
      </c>
      <c r="J2294"/>
      <c r="K2294"/>
      <c r="L2294" s="44" t="str" cm="1">
        <f t="array" ref="L2294">+_xlfn.IFS(COUNTIF(INGRESOS!E:E,Tabla6[[#This Row],[ID FACTURA]])=1,"PAGADA",Tabla6[[#This Row],[ID FACTURA]]&lt;&gt;0,"EMITIDA",Tabla6[[#This Row],[ID FACTURA]]=0,"POR EMITIR")</f>
        <v>POR EMITIR</v>
      </c>
      <c r="M2294" s="55" t="str">
        <f>+IF(Tabla6[[#This Row],[ESTADO FACTURA]]="PAGADA",Tabla6[[#This Row],[FECHA]]-_xlfn.XLOOKUP(Tabla6[[#This Row],[N° FACTURA]],INGRESOS!F:F,INGRESOS!A:A),"-")</f>
        <v>-</v>
      </c>
      <c r="N2294" s="2"/>
      <c r="O2294"/>
    </row>
    <row r="2295" spans="1:15" ht="15" customHeight="1">
      <c r="A2295" s="321" t="s">
        <v>1875</v>
      </c>
      <c r="B2295" t="str">
        <f>+_xlfn.XLOOKUP(Tabla6[[#This Row],[ID CLIENTE]],'RESUMEN CLIENTES'!D:D,'RESUMEN CLIENTES'!A:A)</f>
        <v>Laura Giraldo</v>
      </c>
      <c r="C2295" t="str">
        <f>+_xlfn.XLOOKUP(Tabla6[[#This Row],[ID CLIENTE]],'RESUMEN CLIENTES'!D:D,'RESUMEN CLIENTES'!C:C)</f>
        <v>Colombia</v>
      </c>
      <c r="D2295" s="169" t="str">
        <f>+_xlfn.XLOOKUP(Tabla6[[#This Row],[ID CLIENTE]],'RESUMEN CLIENTES'!D:D,'RESUMEN CLIENTES'!M:M)</f>
        <v>OK</v>
      </c>
      <c r="E2295" s="71">
        <f>+_xlfn.XLOOKUP(Tabla6[[#This Row],[NOMBRE]],'RESUMEN CLIENTES'!A:A,'RESUMEN CLIENTES'!X:X)</f>
        <v>-3.25</v>
      </c>
      <c r="F2295" s="71">
        <f>+_xlfn.XLOOKUP(Tabla6[[#This Row],[ID CLIENTE]],'RESUMEN CLIENTES'!D:D,'RESUMEN CLIENTES'!W:W)</f>
        <v>1</v>
      </c>
      <c r="G2295" s="17">
        <v>46522</v>
      </c>
      <c r="H2295" s="169" t="s">
        <v>1876</v>
      </c>
      <c r="I2295" s="2">
        <v>1000</v>
      </c>
      <c r="J2295"/>
      <c r="K2295"/>
      <c r="L2295" s="44" t="str" cm="1">
        <f t="array" ref="L2295">+_xlfn.IFS(COUNTIF(INGRESOS!E:E,Tabla6[[#This Row],[ID FACTURA]])=1,"PAGADA",Tabla6[[#This Row],[ID FACTURA]]&lt;&gt;0,"EMITIDA",Tabla6[[#This Row],[ID FACTURA]]=0,"POR EMITIR")</f>
        <v>POR EMITIR</v>
      </c>
      <c r="M2295" s="54" t="str">
        <f>+IF(Tabla6[[#This Row],[ESTADO FACTURA]]="PAGADA",Tabla6[[#This Row],[FECHA]]-_xlfn.XLOOKUP(Tabla6[[#This Row],[N° FACTURA]],INGRESOS!F:F,INGRESOS!A:A),"-")</f>
        <v>-</v>
      </c>
      <c r="O2295"/>
    </row>
    <row r="2296" spans="1:15" ht="15" customHeight="1">
      <c r="A2296" s="321" t="s">
        <v>1756</v>
      </c>
      <c r="B2296" t="str">
        <f>+_xlfn.XLOOKUP(Tabla6[[#This Row],[ID CLIENTE]],'RESUMEN CLIENTES'!D:D,'RESUMEN CLIENTES'!A:A)</f>
        <v>Aylin Micaela Ortiz Chiriboga</v>
      </c>
      <c r="C2296" t="str">
        <f>+_xlfn.XLOOKUP(Tabla6[[#This Row],[ID CLIENTE]],'RESUMEN CLIENTES'!D:D,'RESUMEN CLIENTES'!C:C)</f>
        <v>Ecuador</v>
      </c>
      <c r="D2296" s="169" t="str">
        <f>+_xlfn.XLOOKUP(Tabla6[[#This Row],[ID CLIENTE]],'RESUMEN CLIENTES'!D:D,'RESUMEN CLIENTES'!M:M)</f>
        <v>¡REGULARIZAR!</v>
      </c>
      <c r="E2296" s="71">
        <f>+_xlfn.XLOOKUP(Tabla6[[#This Row],[NOMBRE]],'RESUMEN CLIENTES'!A:A,'RESUMEN CLIENTES'!X:X)</f>
        <v>0</v>
      </c>
      <c r="F2296" s="71">
        <f>+_xlfn.XLOOKUP(Tabla6[[#This Row],[ID CLIENTE]],'RESUMEN CLIENTES'!D:D,'RESUMEN CLIENTES'!W:W)</f>
        <v>1</v>
      </c>
      <c r="G2296" s="170">
        <v>46523</v>
      </c>
      <c r="H2296" s="169" t="s">
        <v>81</v>
      </c>
      <c r="I2296" s="2">
        <v>650</v>
      </c>
      <c r="J2296"/>
      <c r="K2296"/>
      <c r="L2296" s="44" t="str" cm="1">
        <f t="array" ref="L2296">+_xlfn.IFS(COUNTIF(INGRESOS!E:E,Tabla6[[#This Row],[ID FACTURA]])=1,"PAGADA",Tabla6[[#This Row],[ID FACTURA]]&lt;&gt;0,"EMITIDA",Tabla6[[#This Row],[ID FACTURA]]=0,"POR EMITIR")</f>
        <v>POR EMITIR</v>
      </c>
      <c r="M2296" s="54" t="str">
        <f>+IF(Tabla6[[#This Row],[ESTADO FACTURA]]="PAGADA",Tabla6[[#This Row],[FECHA]]-_xlfn.XLOOKUP(Tabla6[[#This Row],[N° FACTURA]],INGRESOS!F:F,INGRESOS!A:A),"-")</f>
        <v>-</v>
      </c>
      <c r="O2296"/>
    </row>
    <row r="2297" spans="1:15" ht="15" customHeight="1">
      <c r="A2297" s="320" t="s">
        <v>1996</v>
      </c>
      <c r="B2297" t="str">
        <f>+_xlfn.XLOOKUP(Tabla6[[#This Row],[ID CLIENTE]],'RESUMEN CLIENTES'!D:D,'RESUMEN CLIENTES'!A:A)</f>
        <v>Ivan Gonzales Graus</v>
      </c>
      <c r="C2297" t="str">
        <f>+_xlfn.XLOOKUP(Tabla6[[#This Row],[ID CLIENTE]],'RESUMEN CLIENTES'!D:D,'RESUMEN CLIENTES'!C:C)</f>
        <v>Perú</v>
      </c>
      <c r="D2297" s="169" t="str">
        <f>+_xlfn.XLOOKUP(Tabla6[[#This Row],[ID CLIENTE]],'RESUMEN CLIENTES'!D:D,'RESUMEN CLIENTES'!M:M)</f>
        <v>OK</v>
      </c>
      <c r="E2297" s="71">
        <f>+_xlfn.XLOOKUP(Tabla6[[#This Row],[NOMBRE]],'RESUMEN CLIENTES'!A:A,'RESUMEN CLIENTES'!X:X)</f>
        <v>-2</v>
      </c>
      <c r="F2297" s="71">
        <f>+_xlfn.XLOOKUP(Tabla6[[#This Row],[ID CLIENTE]],'RESUMEN CLIENTES'!D:D,'RESUMEN CLIENTES'!W:W)</f>
        <v>1</v>
      </c>
      <c r="G2297" s="17">
        <v>46523</v>
      </c>
      <c r="H2297" s="169" t="s">
        <v>81</v>
      </c>
      <c r="I2297" s="2">
        <v>650</v>
      </c>
      <c r="J2297"/>
      <c r="K2297"/>
      <c r="L2297" s="44" t="str" cm="1">
        <f t="array" ref="L2297">+_xlfn.IFS(COUNTIF(INGRESOS!E:E,Tabla6[[#This Row],[ID FACTURA]])=1,"PAGADA",Tabla6[[#This Row],[ID FACTURA]]&lt;&gt;0,"EMITIDA",Tabla6[[#This Row],[ID FACTURA]]=0,"POR EMITIR")</f>
        <v>POR EMITIR</v>
      </c>
      <c r="M2297" s="54" t="str">
        <f>+IF(Tabla6[[#This Row],[ESTADO FACTURA]]="PAGADA",Tabla6[[#This Row],[FECHA]]-_xlfn.XLOOKUP(Tabla6[[#This Row],[N° FACTURA]],INGRESOS!F:F,INGRESOS!A:A),"-")</f>
        <v>-</v>
      </c>
      <c r="O2297"/>
    </row>
    <row r="2298" spans="1:15" ht="15" customHeight="1">
      <c r="A2298" s="320" t="s">
        <v>2046</v>
      </c>
      <c r="B2298" t="str">
        <f>+_xlfn.XLOOKUP(Tabla6[[#This Row],[ID CLIENTE]],'RESUMEN CLIENTES'!D:D,'RESUMEN CLIENTES'!A:A)</f>
        <v>Jesica Daniela Paredes Mendoza</v>
      </c>
      <c r="C2298" t="str">
        <f>+_xlfn.XLOOKUP(Tabla6[[#This Row],[ID CLIENTE]],'RESUMEN CLIENTES'!D:D,'RESUMEN CLIENTES'!C:C)</f>
        <v>México</v>
      </c>
      <c r="D2298" s="169" t="str">
        <f>+_xlfn.XLOOKUP(Tabla6[[#This Row],[ID CLIENTE]],'RESUMEN CLIENTES'!D:D,'RESUMEN CLIENTES'!M:M)</f>
        <v>OK</v>
      </c>
      <c r="E2298" s="71">
        <f>+_xlfn.XLOOKUP(Tabla6[[#This Row],[NOMBRE]],'RESUMEN CLIENTES'!A:A,'RESUMEN CLIENTES'!X:X)</f>
        <v>-2.75</v>
      </c>
      <c r="F2298" s="71">
        <f>+_xlfn.XLOOKUP(Tabla6[[#This Row],[ID CLIENTE]],'RESUMEN CLIENTES'!D:D,'RESUMEN CLIENTES'!W:W)</f>
        <v>1</v>
      </c>
      <c r="G2298" s="17">
        <v>46523</v>
      </c>
      <c r="H2298" s="169" t="s">
        <v>81</v>
      </c>
      <c r="I2298" s="2">
        <v>500</v>
      </c>
      <c r="J2298"/>
      <c r="K2298"/>
      <c r="L2298" s="44" t="str" cm="1">
        <f t="array" ref="L2298">+_xlfn.IFS(COUNTIF(INGRESOS!E:E,Tabla6[[#This Row],[ID FACTURA]])=1,"PAGADA",Tabla6[[#This Row],[ID FACTURA]]&lt;&gt;0,"EMITIDA",Tabla6[[#This Row],[ID FACTURA]]=0,"POR EMITIR")</f>
        <v>POR EMITIR</v>
      </c>
      <c r="M2298" s="54" t="str">
        <f>+IF(Tabla6[[#This Row],[ESTADO FACTURA]]="PAGADA",Tabla6[[#This Row],[FECHA]]-_xlfn.XLOOKUP(Tabla6[[#This Row],[N° FACTURA]],INGRESOS!F:F,INGRESOS!A:A),"-")</f>
        <v>-</v>
      </c>
      <c r="O2298"/>
    </row>
    <row r="2299" spans="1:15" ht="15" customHeight="1">
      <c r="A2299" s="320" t="s">
        <v>4660</v>
      </c>
      <c r="B2299" t="str">
        <f>+_xlfn.XLOOKUP(Tabla6[[#This Row],[ID CLIENTE]],'RESUMEN CLIENTES'!D:D,'RESUMEN CLIENTES'!A:A)</f>
        <v>Edipris Flores</v>
      </c>
      <c r="C2299" s="15" t="str">
        <f>+_xlfn.XLOOKUP(Tabla6[[#This Row],[ID CLIENTE]],'RESUMEN CLIENTES'!D:D,'RESUMEN CLIENTES'!C:C)</f>
        <v>Chile</v>
      </c>
      <c r="D2299" s="169" t="str">
        <f>+_xlfn.XLOOKUP(Tabla6[[#This Row],[ID CLIENTE]],'RESUMEN CLIENTES'!D:D,'RESUMEN CLIENTES'!M:M)</f>
        <v>OK</v>
      </c>
      <c r="E2299" s="71">
        <f>+_xlfn.XLOOKUP(Tabla6[[#This Row],[NOMBRE]],'RESUMEN CLIENTES'!A:A,'RESUMEN CLIENTES'!X:X)</f>
        <v>-4</v>
      </c>
      <c r="F2299" s="71">
        <f>+_xlfn.XLOOKUP(Tabla6[[#This Row],[ID CLIENTE]],'RESUMEN CLIENTES'!D:D,'RESUMEN CLIENTES'!W:W)</f>
        <v>0</v>
      </c>
      <c r="G2299" s="17">
        <v>46527</v>
      </c>
      <c r="H2299" s="169" t="s">
        <v>81</v>
      </c>
      <c r="I2299" s="2">
        <v>1517</v>
      </c>
      <c r="J2299"/>
      <c r="K2299"/>
      <c r="L2299" s="44" t="str" cm="1">
        <f t="array" ref="L2299">+_xlfn.IFS(COUNTIF(INGRESOS!E:E,Tabla6[[#This Row],[ID FACTURA]])=1,"PAGADA",Tabla6[[#This Row],[ID FACTURA]]&lt;&gt;0,"EMITIDA",Tabla6[[#This Row],[ID FACTURA]]=0,"POR EMITIR")</f>
        <v>POR EMITIR</v>
      </c>
      <c r="M2299" s="54" t="str">
        <f>+IF(Tabla6[[#This Row],[ESTADO FACTURA]]="PAGADA",Tabla6[[#This Row],[FECHA]]-_xlfn.XLOOKUP(Tabla6[[#This Row],[N° FACTURA]],INGRESOS!F:F,INGRESOS!A:A),"-")</f>
        <v>-</v>
      </c>
      <c r="O2299"/>
    </row>
    <row r="2300" spans="1:15" ht="15" customHeight="1">
      <c r="A2300" s="320" t="s">
        <v>739</v>
      </c>
      <c r="B2300" t="str">
        <f>+_xlfn.XLOOKUP(Tabla6[[#This Row],[ID CLIENTE]],'RESUMEN CLIENTES'!D:D,'RESUMEN CLIENTES'!A:A)</f>
        <v>Gilberto Martiñon Torres</v>
      </c>
      <c r="C2300" t="str">
        <f>+_xlfn.XLOOKUP(Tabla6[[#This Row],[ID CLIENTE]],'RESUMEN CLIENTES'!D:D,'RESUMEN CLIENTES'!C:C)</f>
        <v>México</v>
      </c>
      <c r="D2300" s="44" t="str">
        <f>+_xlfn.XLOOKUP(Tabla6[[#This Row],[ID CLIENTE]],'RESUMEN CLIENTES'!D:D,'RESUMEN CLIENTES'!M:M)</f>
        <v>OK</v>
      </c>
      <c r="E2300" s="72">
        <f>+_xlfn.XLOOKUP(Tabla6[[#This Row],[NOMBRE]],'RESUMEN CLIENTES'!A:A,'RESUMEN CLIENTES'!X:X)</f>
        <v>-0.625</v>
      </c>
      <c r="F2300" s="72">
        <f>+_xlfn.XLOOKUP(Tabla6[[#This Row],[ID CLIENTE]],'RESUMEN CLIENTES'!D:D,'RESUMEN CLIENTES'!W:W)</f>
        <v>0</v>
      </c>
      <c r="G2300" s="17">
        <v>46537</v>
      </c>
      <c r="H2300" s="44" t="s">
        <v>81</v>
      </c>
      <c r="I2300" s="2">
        <v>700</v>
      </c>
      <c r="J2300"/>
      <c r="K2300"/>
      <c r="L2300" s="44" t="str" cm="1">
        <f t="array" ref="L2300">+_xlfn.IFS(COUNTIF(INGRESOS!E:E,Tabla6[[#This Row],[ID FACTURA]])=1,"PAGADA",Tabla6[[#This Row],[ID FACTURA]]&lt;&gt;0,"EMITIDA",Tabla6[[#This Row],[ID FACTURA]]=0,"POR EMITIR")</f>
        <v>POR EMITIR</v>
      </c>
      <c r="M2300" s="55" t="str">
        <f>+IF(Tabla6[[#This Row],[ESTADO FACTURA]]="PAGADA",Tabla6[[#This Row],[FECHA]]-_xlfn.XLOOKUP(Tabla6[[#This Row],[N° FACTURA]],INGRESOS!F:F,INGRESOS!A:A),"-")</f>
        <v>-</v>
      </c>
      <c r="N2300" s="2"/>
      <c r="O2300"/>
    </row>
    <row r="2301" spans="1:15" ht="15" customHeight="1">
      <c r="A2301" s="320" t="s">
        <v>139</v>
      </c>
      <c r="B2301" t="str">
        <f>+_xlfn.XLOOKUP(Tabla6[[#This Row],[ID CLIENTE]],'RESUMEN CLIENTES'!D:D,'RESUMEN CLIENTES'!A:A)</f>
        <v>Hugo Nicolás Trávez Morales</v>
      </c>
      <c r="C2301" t="str">
        <f>+_xlfn.XLOOKUP(Tabla6[[#This Row],[ID CLIENTE]],'RESUMEN CLIENTES'!D:D,'RESUMEN CLIENTES'!C:C)</f>
        <v>Ecuador</v>
      </c>
      <c r="D2301" s="169" t="str">
        <f>+_xlfn.XLOOKUP(Tabla6[[#This Row],[ID CLIENTE]],'RESUMEN CLIENTES'!D:D,'RESUMEN CLIENTES'!M:M)</f>
        <v>OK</v>
      </c>
      <c r="E2301" s="71">
        <f>+_xlfn.XLOOKUP(Tabla6[[#This Row],[NOMBRE]],'RESUMEN CLIENTES'!A:A,'RESUMEN CLIENTES'!X:X)</f>
        <v>0</v>
      </c>
      <c r="F2301" s="71">
        <f>+_xlfn.XLOOKUP(Tabla6[[#This Row],[ID CLIENTE]],'RESUMEN CLIENTES'!D:D,'RESUMEN CLIENTES'!W:W)</f>
        <v>0</v>
      </c>
      <c r="G2301" s="17">
        <v>46537</v>
      </c>
      <c r="H2301" s="44" t="s">
        <v>81</v>
      </c>
      <c r="I2301" s="2">
        <v>1000</v>
      </c>
      <c r="J2301"/>
      <c r="K2301"/>
      <c r="L2301" s="44" t="str" cm="1">
        <f t="array" ref="L2301">+_xlfn.IFS(COUNTIF(INGRESOS!E:E,Tabla6[[#This Row],[ID FACTURA]])=1,"PAGADA",Tabla6[[#This Row],[ID FACTURA]]&lt;&gt;0,"EMITIDA",Tabla6[[#This Row],[ID FACTURA]]=0,"POR EMITIR")</f>
        <v>POR EMITIR</v>
      </c>
      <c r="M2301" s="54" t="str">
        <f>+IF(Tabla6[[#This Row],[ESTADO FACTURA]]="PAGADA",Tabla6[[#This Row],[FECHA]]-_xlfn.XLOOKUP(Tabla6[[#This Row],[N° FACTURA]],INGRESOS!F:F,INGRESOS!A:A),"-")</f>
        <v>-</v>
      </c>
      <c r="O2301"/>
    </row>
    <row r="2302" spans="1:15" ht="15" customHeight="1">
      <c r="A2302" s="320" t="s">
        <v>590</v>
      </c>
      <c r="B2302" t="str">
        <f>+_xlfn.XLOOKUP(Tabla6[[#This Row],[ID CLIENTE]],'RESUMEN CLIENTES'!D:D,'RESUMEN CLIENTES'!A:A)</f>
        <v>María Lucero de Jesús Barrios Sazo</v>
      </c>
      <c r="C2302" t="str">
        <f>+_xlfn.XLOOKUP(Tabla6[[#This Row],[ID CLIENTE]],'RESUMEN CLIENTES'!D:D,'RESUMEN CLIENTES'!C:C)</f>
        <v>Guatemala</v>
      </c>
      <c r="D2302" s="44" t="str">
        <f>+_xlfn.XLOOKUP(Tabla6[[#This Row],[ID CLIENTE]],'RESUMEN CLIENTES'!D:D,'RESUMEN CLIENTES'!M:M)</f>
        <v>OK</v>
      </c>
      <c r="E2302" s="72">
        <f>+_xlfn.XLOOKUP(Tabla6[[#This Row],[NOMBRE]],'RESUMEN CLIENTES'!A:A,'RESUMEN CLIENTES'!X:X)</f>
        <v>1.25</v>
      </c>
      <c r="F2302" s="72">
        <f>+_xlfn.XLOOKUP(Tabla6[[#This Row],[ID CLIENTE]],'RESUMEN CLIENTES'!D:D,'RESUMEN CLIENTES'!W:W)</f>
        <v>0</v>
      </c>
      <c r="G2302" s="17">
        <v>46537</v>
      </c>
      <c r="H2302" s="44" t="s">
        <v>81</v>
      </c>
      <c r="I2302" s="2">
        <v>700</v>
      </c>
      <c r="J2302"/>
      <c r="K2302"/>
      <c r="L2302" s="44" t="str" cm="1">
        <f t="array" ref="L2302">+_xlfn.IFS(COUNTIF(INGRESOS!E:E,Tabla6[[#This Row],[ID FACTURA]])=1,"PAGADA",Tabla6[[#This Row],[ID FACTURA]]&lt;&gt;0,"EMITIDA",Tabla6[[#This Row],[ID FACTURA]]=0,"POR EMITIR")</f>
        <v>POR EMITIR</v>
      </c>
      <c r="M2302" s="55" t="str">
        <f>+IF(Tabla6[[#This Row],[ESTADO FACTURA]]="PAGADA",Tabla6[[#This Row],[FECHA]]-_xlfn.XLOOKUP(Tabla6[[#This Row],[N° FACTURA]],INGRESOS!F:F,INGRESOS!A:A),"-")</f>
        <v>-</v>
      </c>
      <c r="N2302" s="2"/>
      <c r="O2302"/>
    </row>
    <row r="2303" spans="1:15" ht="15" customHeight="1">
      <c r="A2303" s="320" t="s">
        <v>84</v>
      </c>
      <c r="B2303" t="str">
        <f>+_xlfn.XLOOKUP(Tabla6[[#This Row],[ID CLIENTE]],'RESUMEN CLIENTES'!D:D,'RESUMEN CLIENTES'!A:A)</f>
        <v>Andrea Corpeño López</v>
      </c>
      <c r="C2303" t="str">
        <f>+_xlfn.XLOOKUP(Tabla6[[#This Row],[ID CLIENTE]],'RESUMEN CLIENTES'!D:D,'RESUMEN CLIENTES'!C:C)</f>
        <v>El Salvador</v>
      </c>
      <c r="D2303" s="44" t="str">
        <f>+_xlfn.XLOOKUP(Tabla6[[#This Row],[ID CLIENTE]],'RESUMEN CLIENTES'!D:D,'RESUMEN CLIENTES'!M:M)</f>
        <v>OK</v>
      </c>
      <c r="E2303" s="72">
        <f>+_xlfn.XLOOKUP(Tabla6[[#This Row],[NOMBRE]],'RESUMEN CLIENTES'!A:A,'RESUMEN CLIENTES'!X:X)</f>
        <v>-0.81818181818181823</v>
      </c>
      <c r="F2303" s="72">
        <f>+_xlfn.XLOOKUP(Tabla6[[#This Row],[ID CLIENTE]],'RESUMEN CLIENTES'!D:D,'RESUMEN CLIENTES'!W:W)</f>
        <v>0</v>
      </c>
      <c r="G2303" s="17">
        <f>IF($H2303&lt;&gt;"ALEM","",IFERROR(
  DATE(
    YEAR(EDATE(
      _xlfn.XLOOKUP($A2303,'RESUMEN CLIENTES'!$D:$D,'RESUMEN CLIENTES'!$Y:$Y,""),
      7 + COUNTIFS(
            $A$2:INDEX($A:$A,ROW()), $A2303,
            $H$2:INDEX($H:$H,ROW()), "ALEM"
          )
    )),
    MONTH(EDATE(
      _xlfn.XLOOKUP($A2303,'RESUMEN CLIENTES'!$D:$D,'RESUMEN CLIENTES'!$Y:$Y,""),
      7 + COUNTIFS(
            $A$2:INDEX($A:$A,ROW()), $A2303,
            $H$2:INDEX($H:$H,ROW()), "ALEM"
          )
    )),
    1
  ),
"SIN FECHA MIG"))</f>
        <v>46539</v>
      </c>
      <c r="H2303" s="44" t="s">
        <v>1876</v>
      </c>
      <c r="I2303" s="2">
        <v>1000</v>
      </c>
      <c r="J2303"/>
      <c r="K2303"/>
      <c r="L2303" s="44" t="str" cm="1">
        <f t="array" ref="L2303">+_xlfn.IFS(COUNTIF(INGRESOS!E:E,Tabla6[[#This Row],[ID FACTURA]])=1,"PAGADA",Tabla6[[#This Row],[ID FACTURA]]&lt;&gt;0,"EMITIDA",Tabla6[[#This Row],[ID FACTURA]]=0,"POR EMITIR")</f>
        <v>POR EMITIR</v>
      </c>
      <c r="M2303" s="55" t="str">
        <f>+IF(Tabla6[[#This Row],[ESTADO FACTURA]]="PAGADA",Tabla6[[#This Row],[FECHA]]-_xlfn.XLOOKUP(Tabla6[[#This Row],[N° FACTURA]],INGRESOS!F:F,INGRESOS!A:A),"-")</f>
        <v>-</v>
      </c>
      <c r="N2303" s="2"/>
      <c r="O2303" t="s">
        <v>2086</v>
      </c>
    </row>
    <row r="2304" spans="1:15" ht="15" customHeight="1">
      <c r="A2304" s="320" t="s">
        <v>1357</v>
      </c>
      <c r="B2304" t="str">
        <f>+_xlfn.XLOOKUP(Tabla6[[#This Row],[ID CLIENTE]],'RESUMEN CLIENTES'!D:D,'RESUMEN CLIENTES'!A:A)</f>
        <v>Angel Andres Velastegui Huebla</v>
      </c>
      <c r="C2304" t="str">
        <f>+_xlfn.XLOOKUP(Tabla6[[#This Row],[ID CLIENTE]],'RESUMEN CLIENTES'!D:D,'RESUMEN CLIENTES'!C:C)</f>
        <v>Ecuador</v>
      </c>
      <c r="D2304" s="44" t="str">
        <f>+_xlfn.XLOOKUP(Tabla6[[#This Row],[ID CLIENTE]],'RESUMEN CLIENTES'!D:D,'RESUMEN CLIENTES'!M:M)</f>
        <v>OK</v>
      </c>
      <c r="E2304" s="71">
        <f>+_xlfn.XLOOKUP(Tabla6[[#This Row],[NOMBRE]],'RESUMEN CLIENTES'!A:A,'RESUMEN CLIENTES'!X:X)</f>
        <v>0</v>
      </c>
      <c r="F2304" s="71">
        <f>+_xlfn.XLOOKUP(Tabla6[[#This Row],[ID CLIENTE]],'RESUMEN CLIENTES'!D:D,'RESUMEN CLIENTES'!W:W)</f>
        <v>1</v>
      </c>
      <c r="G2304" s="17">
        <f>IF($H2304&lt;&gt;"ALEM","",IFERROR(
  DATE(
    YEAR(EDATE(
      _xlfn.XLOOKUP($A2304,'RESUMEN CLIENTES'!$D:$D,'RESUMEN CLIENTES'!$Y:$Y,""),
      7 + COUNTIFS(
            $A$2:INDEX($A:$A,ROW()), $A2304,
            $H$2:INDEX($H:$H,ROW()), "ALEM"
          )
    )),
    MONTH(EDATE(
      _xlfn.XLOOKUP($A2304,'RESUMEN CLIENTES'!$D:$D,'RESUMEN CLIENTES'!$Y:$Y,""),
      7 + COUNTIFS(
            $A$2:INDEX($A:$A,ROW()), $A2304,
            $H$2:INDEX($H:$H,ROW()), "ALEM"
          )
    )),
    1
  ),
"SIN FECHA MIG"))</f>
        <v>46539</v>
      </c>
      <c r="H2304" s="44" t="s">
        <v>1876</v>
      </c>
      <c r="I2304" s="2">
        <v>800</v>
      </c>
      <c r="J2304"/>
      <c r="K2304"/>
      <c r="L2304" s="44" t="str" cm="1">
        <f t="array" ref="L2304">+_xlfn.IFS(COUNTIF(INGRESOS!E:E,Tabla6[[#This Row],[ID FACTURA]])=1,"PAGADA",Tabla6[[#This Row],[ID FACTURA]]&lt;&gt;0,"EMITIDA",Tabla6[[#This Row],[ID FACTURA]]=0,"POR EMITIR")</f>
        <v>POR EMITIR</v>
      </c>
      <c r="M2304" s="55" t="str">
        <f>+IF(Tabla6[[#This Row],[ESTADO FACTURA]]="PAGADA",Tabla6[[#This Row],[FECHA]]-_xlfn.XLOOKUP(Tabla6[[#This Row],[N° FACTURA]],INGRESOS!F:F,INGRESOS!A:A),"-")</f>
        <v>-</v>
      </c>
      <c r="N2304" s="2"/>
      <c r="O2304"/>
    </row>
    <row r="2305" spans="1:15" ht="15" customHeight="1">
      <c r="A2305" s="320" t="s">
        <v>530</v>
      </c>
      <c r="B2305" t="str">
        <f>+_xlfn.XLOOKUP(Tabla6[[#This Row],[ID CLIENTE]],'RESUMEN CLIENTES'!D:D,'RESUMEN CLIENTES'!A:A)</f>
        <v>Antonio José Estrada Hoyo</v>
      </c>
      <c r="C2305" t="str">
        <f>+_xlfn.XLOOKUP(Tabla6[[#This Row],[ID CLIENTE]],'RESUMEN CLIENTES'!D:D,'RESUMEN CLIENTES'!C:C)</f>
        <v>Venezuela</v>
      </c>
      <c r="D2305" s="44" t="str">
        <f>+_xlfn.XLOOKUP(Tabla6[[#This Row],[ID CLIENTE]],'RESUMEN CLIENTES'!D:D,'RESUMEN CLIENTES'!M:M)</f>
        <v>OK</v>
      </c>
      <c r="E2305" s="72">
        <f>+_xlfn.XLOOKUP(Tabla6[[#This Row],[NOMBRE]],'RESUMEN CLIENTES'!A:A,'RESUMEN CLIENTES'!X:X)</f>
        <v>0</v>
      </c>
      <c r="F2305" s="72">
        <f>+_xlfn.XLOOKUP(Tabla6[[#This Row],[ID CLIENTE]],'RESUMEN CLIENTES'!D:D,'RESUMEN CLIENTES'!W:W)</f>
        <v>0</v>
      </c>
      <c r="G2305" s="17">
        <f>IF($H2305&lt;&gt;"ALEM","",IFERROR(
  DATE(
    YEAR(EDATE(
      _xlfn.XLOOKUP($A2305,'RESUMEN CLIENTES'!$D:$D,'RESUMEN CLIENTES'!$Y:$Y,""),
      7 + COUNTIFS(
            $A$2:INDEX($A:$A,ROW()), $A2305,
            $H$2:INDEX($H:$H,ROW()), "ALEM"
          )
    )),
    MONTH(EDATE(
      _xlfn.XLOOKUP($A2305,'RESUMEN CLIENTES'!$D:$D,'RESUMEN CLIENTES'!$Y:$Y,""),
      7 + COUNTIFS(
            $A$2:INDEX($A:$A,ROW()), $A2305,
            $H$2:INDEX($H:$H,ROW()), "ALEM"
          )
    )),
    1
  ),
"SIN FECHA MIG"))</f>
        <v>46539</v>
      </c>
      <c r="H2305" s="44" t="s">
        <v>1876</v>
      </c>
      <c r="I2305" s="2">
        <v>1000</v>
      </c>
      <c r="J2305"/>
      <c r="K2305"/>
      <c r="L2305" s="44" t="str" cm="1">
        <f t="array" ref="L2305">+_xlfn.IFS(COUNTIF(INGRESOS!E:E,Tabla6[[#This Row],[ID FACTURA]])=1,"PAGADA",Tabla6[[#This Row],[ID FACTURA]]&lt;&gt;0,"EMITIDA",Tabla6[[#This Row],[ID FACTURA]]=0,"POR EMITIR")</f>
        <v>POR EMITIR</v>
      </c>
      <c r="M2305" s="55" t="str">
        <f>+IF(Tabla6[[#This Row],[ESTADO FACTURA]]="PAGADA",Tabla6[[#This Row],[FECHA]]-_xlfn.XLOOKUP(Tabla6[[#This Row],[N° FACTURA]],INGRESOS!F:F,INGRESOS!A:A),"-")</f>
        <v>-</v>
      </c>
      <c r="N2305" s="2"/>
      <c r="O2305"/>
    </row>
    <row r="2306" spans="1:15" ht="15" customHeight="1">
      <c r="A2306" s="320" t="s">
        <v>2011</v>
      </c>
      <c r="B2306" t="str">
        <f>+_xlfn.XLOOKUP(Tabla6[[#This Row],[ID CLIENTE]],'RESUMEN CLIENTES'!D:D,'RESUMEN CLIENTES'!A:A)</f>
        <v>Bárbara Fuentes</v>
      </c>
      <c r="C2306" t="str">
        <f>+_xlfn.XLOOKUP(Tabla6[[#This Row],[ID CLIENTE]],'RESUMEN CLIENTES'!D:D,'RESUMEN CLIENTES'!C:C)</f>
        <v>Chile</v>
      </c>
      <c r="D2306" s="169" t="str">
        <f>+_xlfn.XLOOKUP(Tabla6[[#This Row],[ID CLIENTE]],'RESUMEN CLIENTES'!D:D,'RESUMEN CLIENTES'!M:M)</f>
        <v>OK</v>
      </c>
      <c r="E2306" s="71">
        <f>+_xlfn.XLOOKUP(Tabla6[[#This Row],[NOMBRE]],'RESUMEN CLIENTES'!A:A,'RESUMEN CLIENTES'!X:X)</f>
        <v>-0.33333333333333331</v>
      </c>
      <c r="F2306" s="71">
        <f>+_xlfn.XLOOKUP(Tabla6[[#This Row],[ID CLIENTE]],'RESUMEN CLIENTES'!D:D,'RESUMEN CLIENTES'!W:W)</f>
        <v>0</v>
      </c>
      <c r="G2306" s="17">
        <f>IF($H2306&lt;&gt;"ALEM","",IFERROR(
  DATE(
    YEAR(EDATE(
      _xlfn.XLOOKUP($A2306,'RESUMEN CLIENTES'!$D:$D,'RESUMEN CLIENTES'!$Y:$Y,""),
      7 + COUNTIFS(
            $A$2:INDEX($A:$A,ROW()), $A2306,
            $H$2:INDEX($H:$H,ROW()), "ALEM"
          )
    )),
    MONTH(EDATE(
      _xlfn.XLOOKUP($A2306,'RESUMEN CLIENTES'!$D:$D,'RESUMEN CLIENTES'!$Y:$Y,""),
      7 + COUNTIFS(
            $A$2:INDEX($A:$A,ROW()), $A2306,
            $H$2:INDEX($H:$H,ROW()), "ALEM"
          )
    )),
    1
  ),
"null"))</f>
        <v>46539</v>
      </c>
      <c r="H2306" s="169" t="s">
        <v>1876</v>
      </c>
      <c r="I2306" s="2">
        <v>1000</v>
      </c>
      <c r="J2306"/>
      <c r="K2306"/>
      <c r="L2306" s="44" t="str" cm="1">
        <f t="array" ref="L2306">+_xlfn.IFS(COUNTIF(INGRESOS!E:E,Tabla6[[#This Row],[ID FACTURA]])=1,"PAGADA",Tabla6[[#This Row],[ID FACTURA]]&lt;&gt;0,"EMITIDA",Tabla6[[#This Row],[ID FACTURA]]=0,"POR EMITIR")</f>
        <v>POR EMITIR</v>
      </c>
      <c r="M2306" s="54" t="str">
        <f>+IF(Tabla6[[#This Row],[ESTADO FACTURA]]="PAGADA",Tabla6[[#This Row],[FECHA]]-_xlfn.XLOOKUP(Tabla6[[#This Row],[N° FACTURA]],INGRESOS!F:F,INGRESOS!A:A),"-")</f>
        <v>-</v>
      </c>
      <c r="O2306"/>
    </row>
    <row r="2307" spans="1:15" ht="15" customHeight="1">
      <c r="A2307" s="320" t="s">
        <v>184</v>
      </c>
      <c r="B2307" t="str">
        <f>+_xlfn.XLOOKUP(Tabla6[[#This Row],[ID CLIENTE]],'RESUMEN CLIENTES'!D:D,'RESUMEN CLIENTES'!A:A)</f>
        <v>Boris Andrés Silva Véliz</v>
      </c>
      <c r="C2307" t="str">
        <f>+_xlfn.XLOOKUP(Tabla6[[#This Row],[ID CLIENTE]],'RESUMEN CLIENTES'!D:D,'RESUMEN CLIENTES'!C:C)</f>
        <v>Chile</v>
      </c>
      <c r="D2307" s="44" t="str">
        <f>+_xlfn.XLOOKUP(Tabla6[[#This Row],[ID CLIENTE]],'RESUMEN CLIENTES'!D:D,'RESUMEN CLIENTES'!M:M)</f>
        <v>OK</v>
      </c>
      <c r="E2307" s="72">
        <f>+_xlfn.XLOOKUP(Tabla6[[#This Row],[NOMBRE]],'RESUMEN CLIENTES'!A:A,'RESUMEN CLIENTES'!X:X)</f>
        <v>2.1111111111111112</v>
      </c>
      <c r="F2307" s="72">
        <f>+_xlfn.XLOOKUP(Tabla6[[#This Row],[ID CLIENTE]],'RESUMEN CLIENTES'!D:D,'RESUMEN CLIENTES'!W:W)</f>
        <v>0</v>
      </c>
      <c r="G2307" s="17">
        <f>IF($H2307&lt;&gt;"ALEM","",IFERROR(
  DATE(
    YEAR(EDATE(
      _xlfn.XLOOKUP($A2307,'RESUMEN CLIENTES'!$D:$D,'RESUMEN CLIENTES'!$Y:$Y,""),
      7 + COUNTIFS(
            $A$2:INDEX($A:$A,ROW()), $A2307,
            $H$2:INDEX($H:$H,ROW()), "ALEM"
          )
    )),
    MONTH(EDATE(
      _xlfn.XLOOKUP($A2307,'RESUMEN CLIENTES'!$D:$D,'RESUMEN CLIENTES'!$Y:$Y,""),
      7 + COUNTIFS(
            $A$2:INDEX($A:$A,ROW()), $A2307,
            $H$2:INDEX($H:$H,ROW()), "ALEM"
          )
    )),
    1
  ),
"SIN FECHA MIG"))</f>
        <v>46539</v>
      </c>
      <c r="H2307" s="44" t="s">
        <v>1876</v>
      </c>
      <c r="I2307" s="2">
        <v>458</v>
      </c>
      <c r="J2307"/>
      <c r="K2307"/>
      <c r="L2307" s="44" t="str" cm="1">
        <f t="array" ref="L2307">+_xlfn.IFS(COUNTIF(INGRESOS!E:E,Tabla6[[#This Row],[ID FACTURA]])=1,"PAGADA",Tabla6[[#This Row],[ID FACTURA]]&lt;&gt;0,"EMITIDA",Tabla6[[#This Row],[ID FACTURA]]=0,"POR EMITIR")</f>
        <v>POR EMITIR</v>
      </c>
      <c r="M2307" s="55" t="str">
        <f>+IF(Tabla6[[#This Row],[ESTADO FACTURA]]="PAGADA",Tabla6[[#This Row],[FECHA]]-_xlfn.XLOOKUP(Tabla6[[#This Row],[N° FACTURA]],INGRESOS!F:F,INGRESOS!A:A),"-")</f>
        <v>-</v>
      </c>
      <c r="N2307" s="2"/>
      <c r="O2307"/>
    </row>
    <row r="2308" spans="1:15" ht="15" customHeight="1">
      <c r="A2308" s="320" t="s">
        <v>1206</v>
      </c>
      <c r="B2308" t="str">
        <f>+_xlfn.XLOOKUP(Tabla6[[#This Row],[ID CLIENTE]],'RESUMEN CLIENTES'!D:D,'RESUMEN CLIENTES'!A:A)</f>
        <v>Bryan Israel Jiménez Puente</v>
      </c>
      <c r="C2308" t="str">
        <f>+_xlfn.XLOOKUP(Tabla6[[#This Row],[ID CLIENTE]],'RESUMEN CLIENTES'!D:D,'RESUMEN CLIENTES'!C:C)</f>
        <v>Ecuador</v>
      </c>
      <c r="D2308" s="44" t="str">
        <f>+_xlfn.XLOOKUP(Tabla6[[#This Row],[ID CLIENTE]],'RESUMEN CLIENTES'!D:D,'RESUMEN CLIENTES'!M:M)</f>
        <v>OK</v>
      </c>
      <c r="E2308" s="72">
        <f>+_xlfn.XLOOKUP(Tabla6[[#This Row],[NOMBRE]],'RESUMEN CLIENTES'!A:A,'RESUMEN CLIENTES'!X:X)</f>
        <v>1</v>
      </c>
      <c r="F2308" s="72">
        <f>+_xlfn.XLOOKUP(Tabla6[[#This Row],[ID CLIENTE]],'RESUMEN CLIENTES'!D:D,'RESUMEN CLIENTES'!W:W)</f>
        <v>0</v>
      </c>
      <c r="G2308" s="17">
        <f>IF($H2308&lt;&gt;"ALEM","",IFERROR(
  DATE(
    YEAR(EDATE(
      _xlfn.XLOOKUP($A2308,'RESUMEN CLIENTES'!$D:$D,'RESUMEN CLIENTES'!$Y:$Y,""),
      7 + COUNTIFS(
            $A$2:INDEX($A:$A,ROW()), $A2308,
            $H$2:INDEX($H:$H,ROW()), "ALEM"
          )
    )),
    MONTH(EDATE(
      _xlfn.XLOOKUP($A2308,'RESUMEN CLIENTES'!$D:$D,'RESUMEN CLIENTES'!$Y:$Y,""),
      7 + COUNTIFS(
            $A$2:INDEX($A:$A,ROW()), $A2308,
            $H$2:INDEX($H:$H,ROW()), "ALEM"
          )
    )),
    1
  ),
"SIN FECHA MIG"))</f>
        <v>46539</v>
      </c>
      <c r="H2308" s="44" t="s">
        <v>1876</v>
      </c>
      <c r="I2308" s="2">
        <v>800</v>
      </c>
      <c r="J2308"/>
      <c r="K2308"/>
      <c r="L2308" s="44" t="str" cm="1">
        <f t="array" ref="L2308">+_xlfn.IFS(COUNTIF(INGRESOS!E:E,Tabla6[[#This Row],[ID FACTURA]])=1,"PAGADA",Tabla6[[#This Row],[ID FACTURA]]&lt;&gt;0,"EMITIDA",Tabla6[[#This Row],[ID FACTURA]]=0,"POR EMITIR")</f>
        <v>POR EMITIR</v>
      </c>
      <c r="M2308" s="55" t="str">
        <f>+IF(Tabla6[[#This Row],[ESTADO FACTURA]]="PAGADA",Tabla6[[#This Row],[FECHA]]-_xlfn.XLOOKUP(Tabla6[[#This Row],[N° FACTURA]],INGRESOS!F:F,INGRESOS!A:A),"-")</f>
        <v>-</v>
      </c>
      <c r="N2308" s="2"/>
      <c r="O2308" t="s">
        <v>2084</v>
      </c>
    </row>
    <row r="2309" spans="1:15" ht="15" customHeight="1">
      <c r="A2309" s="320" t="s">
        <v>4768</v>
      </c>
      <c r="B2309" t="str">
        <f>+_xlfn.XLOOKUP(Tabla6[[#This Row],[ID CLIENTE]],'RESUMEN CLIENTES'!D:D,'RESUMEN CLIENTES'!A:A)</f>
        <v>Carla Elena Patínez Rondón</v>
      </c>
      <c r="C2309" s="15" t="str">
        <f>+_xlfn.XLOOKUP(Tabla6[[#This Row],[ID CLIENTE]],'RESUMEN CLIENTES'!D:D,'RESUMEN CLIENTES'!C:C)</f>
        <v>Venezuela</v>
      </c>
      <c r="D2309" s="169" t="str">
        <f>+_xlfn.XLOOKUP(Tabla6[[#This Row],[ID CLIENTE]],'RESUMEN CLIENTES'!D:D,'RESUMEN CLIENTES'!M:M)</f>
        <v>OK</v>
      </c>
      <c r="E2309" s="71">
        <f>+_xlfn.XLOOKUP(Tabla6[[#This Row],[NOMBRE]],'RESUMEN CLIENTES'!A:A,'RESUMEN CLIENTES'!X:X)</f>
        <v>-9</v>
      </c>
      <c r="F2309" s="71">
        <f>+_xlfn.XLOOKUP(Tabla6[[#This Row],[ID CLIENTE]],'RESUMEN CLIENTES'!D:D,'RESUMEN CLIENTES'!W:W)</f>
        <v>0</v>
      </c>
      <c r="G2309" s="17">
        <f>IF($H2309&lt;&gt;"ALEM","",IFERROR(
  DATE(
    YEAR(EDATE(
      _xlfn.XLOOKUP($A2309,'RESUMEN CLIENTES'!$D:$D,'RESUMEN CLIENTES'!$Y:$Y,""),
      7 + COUNTIFS(
            $A$2:INDEX($A:$A,ROW()), $A2309,
            $H$2:INDEX($H:$H,ROW()), "ALEM"
          )
    )),
    MONTH(EDATE(
      _xlfn.XLOOKUP($A2309,'RESUMEN CLIENTES'!$D:$D,'RESUMEN CLIENTES'!$Y:$Y,""),
      7 + COUNTIFS(
            $A$2:INDEX($A:$A,ROW()), $A2309,
            $H$2:INDEX($H:$H,ROW()), "ALEM"
          )
    )),
    1
  ),
"null"))</f>
        <v>46539</v>
      </c>
      <c r="H2309" s="169" t="s">
        <v>1876</v>
      </c>
      <c r="I2309" s="2">
        <v>1000</v>
      </c>
      <c r="J2309"/>
      <c r="K2309"/>
      <c r="L2309" s="44" t="str" cm="1">
        <f t="array" ref="L2309">+_xlfn.IFS(COUNTIF(INGRESOS!E:E,Tabla6[[#This Row],[ID FACTURA]])=1,"PAGADA",Tabla6[[#This Row],[ID FACTURA]]&lt;&gt;0,"EMITIDA",Tabla6[[#This Row],[ID FACTURA]]=0,"POR EMITIR")</f>
        <v>POR EMITIR</v>
      </c>
      <c r="M2309" s="54" t="str">
        <f>+IF(Tabla6[[#This Row],[ESTADO FACTURA]]="PAGADA",Tabla6[[#This Row],[FECHA]]-_xlfn.XLOOKUP(Tabla6[[#This Row],[N° FACTURA]],INGRESOS!F:F,INGRESOS!A:A),"-")</f>
        <v>-</v>
      </c>
      <c r="O2309"/>
    </row>
    <row r="2310" spans="1:15" ht="15" customHeight="1">
      <c r="A2310" s="320" t="s">
        <v>751</v>
      </c>
      <c r="B2310" t="str">
        <f>+_xlfn.XLOOKUP(Tabla6[[#This Row],[ID CLIENTE]],'RESUMEN CLIENTES'!D:D,'RESUMEN CLIENTES'!A:A)</f>
        <v>Carlos Alberto Suarez Hernandez</v>
      </c>
      <c r="C2310" t="str">
        <f>+_xlfn.XLOOKUP(Tabla6[[#This Row],[ID CLIENTE]],'RESUMEN CLIENTES'!D:D,'RESUMEN CLIENTES'!C:C)</f>
        <v>Colombia</v>
      </c>
      <c r="D2310" s="44" t="str">
        <f>+_xlfn.XLOOKUP(Tabla6[[#This Row],[ID CLIENTE]],'RESUMEN CLIENTES'!D:D,'RESUMEN CLIENTES'!M:M)</f>
        <v>OK</v>
      </c>
      <c r="E2310" s="72">
        <f>+_xlfn.XLOOKUP(Tabla6[[#This Row],[NOMBRE]],'RESUMEN CLIENTES'!A:A,'RESUMEN CLIENTES'!X:X)</f>
        <v>0</v>
      </c>
      <c r="F2310" s="72">
        <f>+_xlfn.XLOOKUP(Tabla6[[#This Row],[ID CLIENTE]],'RESUMEN CLIENTES'!D:D,'RESUMEN CLIENTES'!W:W)</f>
        <v>1</v>
      </c>
      <c r="G2310" s="17">
        <f>IF($H2310&lt;&gt;"ALEM","",IFERROR(
  DATE(
    YEAR(EDATE(
      _xlfn.XLOOKUP($A2310,'RESUMEN CLIENTES'!$D:$D,'RESUMEN CLIENTES'!$Y:$Y,""),
      7 + COUNTIFS(
            $A$2:INDEX($A:$A,ROW()), $A2310,
            $H$2:INDEX($H:$H,ROW()), "ALEM"
          )
    )),
    MONTH(EDATE(
      _xlfn.XLOOKUP($A2310,'RESUMEN CLIENTES'!$D:$D,'RESUMEN CLIENTES'!$Y:$Y,""),
      7 + COUNTIFS(
            $A$2:INDEX($A:$A,ROW()), $A2310,
            $H$2:INDEX($H:$H,ROW()), "ALEM"
          )
    )),
    1
  ),
"SIN FECHA MIG"))</f>
        <v>46539</v>
      </c>
      <c r="H2310" s="44" t="s">
        <v>1876</v>
      </c>
      <c r="I2310" s="2">
        <v>1000</v>
      </c>
      <c r="J2310"/>
      <c r="K2310"/>
      <c r="L2310" s="44" t="str" cm="1">
        <f t="array" ref="L2310">+_xlfn.IFS(COUNTIF(INGRESOS!E:E,Tabla6[[#This Row],[ID FACTURA]])=1,"PAGADA",Tabla6[[#This Row],[ID FACTURA]]&lt;&gt;0,"EMITIDA",Tabla6[[#This Row],[ID FACTURA]]=0,"POR EMITIR")</f>
        <v>POR EMITIR</v>
      </c>
      <c r="M2310" s="55" t="str">
        <f>+IF(Tabla6[[#This Row],[ESTADO FACTURA]]="PAGADA",Tabla6[[#This Row],[FECHA]]-_xlfn.XLOOKUP(Tabla6[[#This Row],[N° FACTURA]],INGRESOS!F:F,INGRESOS!A:A),"-")</f>
        <v>-</v>
      </c>
      <c r="N2310" s="2"/>
      <c r="O2310" t="s">
        <v>2084</v>
      </c>
    </row>
    <row r="2311" spans="1:15" ht="15" customHeight="1">
      <c r="A2311" s="320" t="s">
        <v>226</v>
      </c>
      <c r="B2311" t="str">
        <f>+_xlfn.XLOOKUP(Tabla6[[#This Row],[ID CLIENTE]],'RESUMEN CLIENTES'!D:D,'RESUMEN CLIENTES'!A:A)</f>
        <v>Carlos Josue Escobar Morán</v>
      </c>
      <c r="C2311" t="str">
        <f>+_xlfn.XLOOKUP(Tabla6[[#This Row],[ID CLIENTE]],'RESUMEN CLIENTES'!D:D,'RESUMEN CLIENTES'!C:C)</f>
        <v>El Salvador</v>
      </c>
      <c r="D2311" s="44" t="str">
        <f>+_xlfn.XLOOKUP(Tabla6[[#This Row],[ID CLIENTE]],'RESUMEN CLIENTES'!D:D,'RESUMEN CLIENTES'!M:M)</f>
        <v>OK</v>
      </c>
      <c r="E2311" s="72">
        <f>+_xlfn.XLOOKUP(Tabla6[[#This Row],[NOMBRE]],'RESUMEN CLIENTES'!A:A,'RESUMEN CLIENTES'!X:X)</f>
        <v>0.8</v>
      </c>
      <c r="F2311" s="72">
        <f>+_xlfn.XLOOKUP(Tabla6[[#This Row],[ID CLIENTE]],'RESUMEN CLIENTES'!D:D,'RESUMEN CLIENTES'!W:W)</f>
        <v>0</v>
      </c>
      <c r="G2311" s="17">
        <f>IF($H2311&lt;&gt;"ALEM","",IFERROR(
  DATE(
    YEAR(EDATE(
      _xlfn.XLOOKUP($A2311,'RESUMEN CLIENTES'!$D:$D,'RESUMEN CLIENTES'!$Y:$Y,""),
      7 + COUNTIFS(
            $A$2:INDEX($A:$A,ROW()), $A2311,
            $H$2:INDEX($H:$H,ROW()), "ALEM"
          )
    )),
    MONTH(EDATE(
      _xlfn.XLOOKUP($A2311,'RESUMEN CLIENTES'!$D:$D,'RESUMEN CLIENTES'!$Y:$Y,""),
      7 + COUNTIFS(
            $A$2:INDEX($A:$A,ROW()), $A2311,
            $H$2:INDEX($H:$H,ROW()), "ALEM"
          )
    )),
    1
  ),
"SIN FECHA MIG"))</f>
        <v>46539</v>
      </c>
      <c r="H2311" s="44" t="s">
        <v>1876</v>
      </c>
      <c r="I2311" s="2">
        <v>500</v>
      </c>
      <c r="J2311"/>
      <c r="K2311"/>
      <c r="L2311" s="44" t="str" cm="1">
        <f t="array" ref="L2311">+_xlfn.IFS(COUNTIF(INGRESOS!E:E,Tabla6[[#This Row],[ID FACTURA]])=1,"PAGADA",Tabla6[[#This Row],[ID FACTURA]]&lt;&gt;0,"EMITIDA",Tabla6[[#This Row],[ID FACTURA]]=0,"POR EMITIR")</f>
        <v>POR EMITIR</v>
      </c>
      <c r="M2311" s="55" t="str">
        <f>+IF(Tabla6[[#This Row],[ESTADO FACTURA]]="PAGADA",Tabla6[[#This Row],[FECHA]]-_xlfn.XLOOKUP(Tabla6[[#This Row],[N° FACTURA]],INGRESOS!F:F,INGRESOS!A:A),"-")</f>
        <v>-</v>
      </c>
      <c r="N2311" s="2"/>
      <c r="O2311"/>
    </row>
    <row r="2312" spans="1:15" ht="15" customHeight="1">
      <c r="A2312" s="320" t="s">
        <v>479</v>
      </c>
      <c r="B2312" t="str">
        <f>+_xlfn.XLOOKUP(Tabla6[[#This Row],[ID CLIENTE]],'RESUMEN CLIENTES'!D:D,'RESUMEN CLIENTES'!A:A)</f>
        <v>Carlos Mersaim Olivares Sandoval</v>
      </c>
      <c r="C2312" t="str">
        <f>+_xlfn.XLOOKUP(Tabla6[[#This Row],[ID CLIENTE]],'RESUMEN CLIENTES'!D:D,'RESUMEN CLIENTES'!C:C)</f>
        <v>México</v>
      </c>
      <c r="D2312" s="44" t="str">
        <f>+_xlfn.XLOOKUP(Tabla6[[#This Row],[ID CLIENTE]],'RESUMEN CLIENTES'!D:D,'RESUMEN CLIENTES'!M:M)</f>
        <v>OK</v>
      </c>
      <c r="E2312" s="72">
        <f>+_xlfn.XLOOKUP(Tabla6[[#This Row],[NOMBRE]],'RESUMEN CLIENTES'!A:A,'RESUMEN CLIENTES'!X:X)</f>
        <v>1.4444444444444444</v>
      </c>
      <c r="F2312" s="72">
        <f>+_xlfn.XLOOKUP(Tabla6[[#This Row],[ID CLIENTE]],'RESUMEN CLIENTES'!D:D,'RESUMEN CLIENTES'!W:W)</f>
        <v>0</v>
      </c>
      <c r="G2312" s="17">
        <f>IF($H2312&lt;&gt;"ALEM","",IFERROR(
  DATE(
    YEAR(EDATE(
      _xlfn.XLOOKUP($A2312,'RESUMEN CLIENTES'!$D:$D,'RESUMEN CLIENTES'!$Y:$Y,""),
      7 + COUNTIFS(
            $A$2:INDEX($A:$A,ROW()), $A2312,
            $H$2:INDEX($H:$H,ROW()), "ALEM"
          )
    )),
    MONTH(EDATE(
      _xlfn.XLOOKUP($A2312,'RESUMEN CLIENTES'!$D:$D,'RESUMEN CLIENTES'!$Y:$Y,""),
      7 + COUNTIFS(
            $A$2:INDEX($A:$A,ROW()), $A2312,
            $H$2:INDEX($H:$H,ROW()), "ALEM"
          )
    )),
    1
  ),
"SIN FECHA MIG"))</f>
        <v>46539</v>
      </c>
      <c r="H2312" s="44" t="s">
        <v>1876</v>
      </c>
      <c r="I2312" s="2">
        <v>1000</v>
      </c>
      <c r="J2312"/>
      <c r="K2312"/>
      <c r="L2312" s="44" t="str" cm="1">
        <f t="array" ref="L2312">+_xlfn.IFS(COUNTIF(INGRESOS!E:E,Tabla6[[#This Row],[ID FACTURA]])=1,"PAGADA",Tabla6[[#This Row],[ID FACTURA]]&lt;&gt;0,"EMITIDA",Tabla6[[#This Row],[ID FACTURA]]=0,"POR EMITIR")</f>
        <v>POR EMITIR</v>
      </c>
      <c r="M2312" s="55" t="str">
        <f>+IF(Tabla6[[#This Row],[ESTADO FACTURA]]="PAGADA",Tabla6[[#This Row],[FECHA]]-_xlfn.XLOOKUP(Tabla6[[#This Row],[N° FACTURA]],INGRESOS!F:F,INGRESOS!A:A),"-")</f>
        <v>-</v>
      </c>
      <c r="N2312" s="2"/>
      <c r="O2312"/>
    </row>
    <row r="2313" spans="1:15" ht="15" customHeight="1">
      <c r="A2313" s="320" t="s">
        <v>1245</v>
      </c>
      <c r="B2313" t="str">
        <f>+_xlfn.XLOOKUP(Tabla6[[#This Row],[ID CLIENTE]],'RESUMEN CLIENTES'!D:D,'RESUMEN CLIENTES'!A:A)</f>
        <v>Constanza Andrea Águila Vergara</v>
      </c>
      <c r="C2313" t="str">
        <f>+_xlfn.XLOOKUP(Tabla6[[#This Row],[ID CLIENTE]],'RESUMEN CLIENTES'!D:D,'RESUMEN CLIENTES'!C:C)</f>
        <v>Chile</v>
      </c>
      <c r="D2313" s="44" t="str">
        <f>+_xlfn.XLOOKUP(Tabla6[[#This Row],[ID CLIENTE]],'RESUMEN CLIENTES'!D:D,'RESUMEN CLIENTES'!M:M)</f>
        <v>OK</v>
      </c>
      <c r="E2313" s="71">
        <f>+_xlfn.XLOOKUP(Tabla6[[#This Row],[NOMBRE]],'RESUMEN CLIENTES'!A:A,'RESUMEN CLIENTES'!X:X)</f>
        <v>-0.2</v>
      </c>
      <c r="F2313" s="71">
        <f>+_xlfn.XLOOKUP(Tabla6[[#This Row],[ID CLIENTE]],'RESUMEN CLIENTES'!D:D,'RESUMEN CLIENTES'!W:W)</f>
        <v>1</v>
      </c>
      <c r="G2313" s="17">
        <f>IF($H2313&lt;&gt;"ALEM","",IFERROR(
  DATE(
    YEAR(EDATE(
      _xlfn.XLOOKUP($A2313,'RESUMEN CLIENTES'!$D:$D,'RESUMEN CLIENTES'!$Y:$Y,""),
      7 + COUNTIFS(
            $A$2:INDEX($A:$A,ROW()), $A2313,
            $H$2:INDEX($H:$H,ROW()), "ALEM"
          )
    )),
    MONTH(EDATE(
      _xlfn.XLOOKUP($A2313,'RESUMEN CLIENTES'!$D:$D,'RESUMEN CLIENTES'!$Y:$Y,""),
      7 + COUNTIFS(
            $A$2:INDEX($A:$A,ROW()), $A2313,
            $H$2:INDEX($H:$H,ROW()), "ALEM"
          )
    )),
    1
  ),
"SIN FECHA MIG"))</f>
        <v>46539</v>
      </c>
      <c r="H2313" s="44" t="s">
        <v>1876</v>
      </c>
      <c r="I2313" s="2">
        <v>800</v>
      </c>
      <c r="J2313"/>
      <c r="K2313"/>
      <c r="L2313" s="44" t="str" cm="1">
        <f t="array" ref="L2313">+_xlfn.IFS(COUNTIF(INGRESOS!E:E,Tabla6[[#This Row],[ID FACTURA]])=1,"PAGADA",Tabla6[[#This Row],[ID FACTURA]]&lt;&gt;0,"EMITIDA",Tabla6[[#This Row],[ID FACTURA]]=0,"POR EMITIR")</f>
        <v>POR EMITIR</v>
      </c>
      <c r="M2313" s="55" t="str">
        <f>+IF(Tabla6[[#This Row],[ESTADO FACTURA]]="PAGADA",Tabla6[[#This Row],[FECHA]]-_xlfn.XLOOKUP(Tabla6[[#This Row],[N° FACTURA]],INGRESOS!F:F,INGRESOS!A:A),"-")</f>
        <v>-</v>
      </c>
      <c r="N2313" s="2"/>
      <c r="O2313"/>
    </row>
    <row r="2314" spans="1:15" ht="15" customHeight="1">
      <c r="A2314" s="320" t="s">
        <v>90</v>
      </c>
      <c r="B2314" t="str">
        <f>+_xlfn.XLOOKUP(Tabla6[[#This Row],[ID CLIENTE]],'RESUMEN CLIENTES'!D:D,'RESUMEN CLIENTES'!A:A)</f>
        <v>David Enrique Díaz Mejía</v>
      </c>
      <c r="C2314" t="str">
        <f>+_xlfn.XLOOKUP(Tabla6[[#This Row],[ID CLIENTE]],'RESUMEN CLIENTES'!D:D,'RESUMEN CLIENTES'!C:C)</f>
        <v>Honduras</v>
      </c>
      <c r="D2314" s="44" t="str">
        <f>+_xlfn.XLOOKUP(Tabla6[[#This Row],[ID CLIENTE]],'RESUMEN CLIENTES'!D:D,'RESUMEN CLIENTES'!M:M)</f>
        <v>OK</v>
      </c>
      <c r="E2314" s="72">
        <f>+_xlfn.XLOOKUP(Tabla6[[#This Row],[NOMBRE]],'RESUMEN CLIENTES'!A:A,'RESUMEN CLIENTES'!X:X)</f>
        <v>-15.217592592592862</v>
      </c>
      <c r="F2314" s="72">
        <f>+_xlfn.XLOOKUP(Tabla6[[#This Row],[ID CLIENTE]],'RESUMEN CLIENTES'!D:D,'RESUMEN CLIENTES'!W:W)</f>
        <v>1</v>
      </c>
      <c r="G2314" s="17">
        <f>IF($H2314&lt;&gt;"ALEM","",IFERROR(
  DATE(
    YEAR(EDATE(
      _xlfn.XLOOKUP($A2314,'RESUMEN CLIENTES'!$D:$D,'RESUMEN CLIENTES'!$Y:$Y,""),
      7 + COUNTIFS(
            $A$2:INDEX($A:$A,ROW()), $A2314,
            $H$2:INDEX($H:$H,ROW()), "ALEM"
          )
    )),
    MONTH(EDATE(
      _xlfn.XLOOKUP($A2314,'RESUMEN CLIENTES'!$D:$D,'RESUMEN CLIENTES'!$Y:$Y,""),
      7 + COUNTIFS(
            $A$2:INDEX($A:$A,ROW()), $A2314,
            $H$2:INDEX($H:$H,ROW()), "ALEM"
          )
    )),
    1
  ),
"SIN FECHA MIG"))</f>
        <v>46539</v>
      </c>
      <c r="H2314" s="44" t="s">
        <v>1876</v>
      </c>
      <c r="I2314" s="2">
        <v>1000</v>
      </c>
      <c r="J2314"/>
      <c r="K2314"/>
      <c r="L2314" s="44" t="str" cm="1">
        <f t="array" ref="L2314">+_xlfn.IFS(COUNTIF(INGRESOS!E:E,Tabla6[[#This Row],[ID FACTURA]])=1,"PAGADA",Tabla6[[#This Row],[ID FACTURA]]&lt;&gt;0,"EMITIDA",Tabla6[[#This Row],[ID FACTURA]]=0,"POR EMITIR")</f>
        <v>POR EMITIR</v>
      </c>
      <c r="M2314" s="55" t="str">
        <f>+IF(Tabla6[[#This Row],[ESTADO FACTURA]]="PAGADA",Tabla6[[#This Row],[FECHA]]-_xlfn.XLOOKUP(Tabla6[[#This Row],[N° FACTURA]],INGRESOS!F:F,INGRESOS!A:A),"-")</f>
        <v>-</v>
      </c>
      <c r="N2314" s="2"/>
      <c r="O2314"/>
    </row>
    <row r="2315" spans="1:15" ht="15" customHeight="1">
      <c r="A2315" s="320" t="s">
        <v>1674</v>
      </c>
      <c r="B2315" t="str">
        <f>+_xlfn.XLOOKUP(Tabla6[[#This Row],[ID CLIENTE]],'RESUMEN CLIENTES'!D:D,'RESUMEN CLIENTES'!A:A)</f>
        <v>Diego Alberto Ruiz Cifuentes</v>
      </c>
      <c r="C2315" t="str">
        <f>+_xlfn.XLOOKUP(Tabla6[[#This Row],[ID CLIENTE]],'RESUMEN CLIENTES'!D:D,'RESUMEN CLIENTES'!C:C)</f>
        <v>Chile</v>
      </c>
      <c r="D2315" s="169" t="str">
        <f>+_xlfn.XLOOKUP(Tabla6[[#This Row],[ID CLIENTE]],'RESUMEN CLIENTES'!D:D,'RESUMEN CLIENTES'!M:M)</f>
        <v>OK</v>
      </c>
      <c r="E2315" s="71">
        <f>+_xlfn.XLOOKUP(Tabla6[[#This Row],[NOMBRE]],'RESUMEN CLIENTES'!A:A,'RESUMEN CLIENTES'!X:X)</f>
        <v>5.75</v>
      </c>
      <c r="F2315" s="71">
        <f>+_xlfn.XLOOKUP(Tabla6[[#This Row],[ID CLIENTE]],'RESUMEN CLIENTES'!D:D,'RESUMEN CLIENTES'!W:W)</f>
        <v>0</v>
      </c>
      <c r="G2315" s="17">
        <f>IF($H2315&lt;&gt;"ALEM","",IFERROR(
  DATE(
    YEAR(EDATE(
      _xlfn.XLOOKUP($A2315,'RESUMEN CLIENTES'!$D:$D,'RESUMEN CLIENTES'!$Y:$Y,""),
      7 + COUNTIFS(
            $A$2:INDEX($A:$A,ROW()), $A2315,
            $H$2:INDEX($H:$H,ROW()), "ALEM"
          )
    )),
    MONTH(EDATE(
      _xlfn.XLOOKUP($A2315,'RESUMEN CLIENTES'!$D:$D,'RESUMEN CLIENTES'!$Y:$Y,""),
      7 + COUNTIFS(
            $A$2:INDEX($A:$A,ROW()), $A2315,
            $H$2:INDEX($H:$H,ROW()), "ALEM"
          )
    )),
    1
  ),
"SIN FECHA MIG"))</f>
        <v>46539</v>
      </c>
      <c r="H2315" s="169" t="s">
        <v>1876</v>
      </c>
      <c r="I2315" s="2">
        <v>800</v>
      </c>
      <c r="J2315"/>
      <c r="K2315"/>
      <c r="L2315" s="44" t="str" cm="1">
        <f t="array" ref="L2315">+_xlfn.IFS(COUNTIF(INGRESOS!E:E,Tabla6[[#This Row],[ID FACTURA]])=1,"PAGADA",Tabla6[[#This Row],[ID FACTURA]]&lt;&gt;0,"EMITIDA",Tabla6[[#This Row],[ID FACTURA]]=0,"POR EMITIR")</f>
        <v>POR EMITIR</v>
      </c>
      <c r="M2315" s="55" t="str">
        <f>+IF(Tabla6[[#This Row],[ESTADO FACTURA]]="PAGADA",Tabla6[[#This Row],[FECHA]]-_xlfn.XLOOKUP(Tabla6[[#This Row],[N° FACTURA]],INGRESOS!F:F,INGRESOS!A:A),"-")</f>
        <v>-</v>
      </c>
      <c r="N2315" s="2"/>
      <c r="O2315"/>
    </row>
    <row r="2316" spans="1:15" ht="15" customHeight="1">
      <c r="A2316" s="320" t="s">
        <v>385</v>
      </c>
      <c r="B2316" t="str">
        <f>+_xlfn.XLOOKUP(Tabla6[[#This Row],[ID CLIENTE]],'RESUMEN CLIENTES'!D:D,'RESUMEN CLIENTES'!A:A)</f>
        <v>Ellen Cristina Gerónimo Bonilla</v>
      </c>
      <c r="C2316" t="str">
        <f>+_xlfn.XLOOKUP(Tabla6[[#This Row],[ID CLIENTE]],'RESUMEN CLIENTES'!D:D,'RESUMEN CLIENTES'!C:C)</f>
        <v>República Dominicana</v>
      </c>
      <c r="D2316" s="44" t="str">
        <f>+_xlfn.XLOOKUP(Tabla6[[#This Row],[ID CLIENTE]],'RESUMEN CLIENTES'!D:D,'RESUMEN CLIENTES'!M:M)</f>
        <v>OK</v>
      </c>
      <c r="E2316" s="72">
        <f>+_xlfn.XLOOKUP(Tabla6[[#This Row],[NOMBRE]],'RESUMEN CLIENTES'!A:A,'RESUMEN CLIENTES'!X:X)</f>
        <v>1.5555555555555556</v>
      </c>
      <c r="F2316" s="72">
        <f>+_xlfn.XLOOKUP(Tabla6[[#This Row],[ID CLIENTE]],'RESUMEN CLIENTES'!D:D,'RESUMEN CLIENTES'!W:W)</f>
        <v>1</v>
      </c>
      <c r="G2316" s="17">
        <f>IF($H2316&lt;&gt;"ALEM","",IFERROR(
  DATE(
    YEAR(EDATE(
      _xlfn.XLOOKUP($A2316,'RESUMEN CLIENTES'!$D:$D,'RESUMEN CLIENTES'!$Y:$Y,""),
      7 + COUNTIFS(
            $A$2:INDEX($A:$A,ROW()), $A2316,
            $H$2:INDEX($H:$H,ROW()), "ALEM"
          )
    )),
    MONTH(EDATE(
      _xlfn.XLOOKUP($A2316,'RESUMEN CLIENTES'!$D:$D,'RESUMEN CLIENTES'!$Y:$Y,""),
      7 + COUNTIFS(
            $A$2:INDEX($A:$A,ROW()), $A2316,
            $H$2:INDEX($H:$H,ROW()), "ALEM"
          )
    )),
    1
  ),
"SIN FECHA MIG"))</f>
        <v>46539</v>
      </c>
      <c r="H2316" s="44" t="s">
        <v>1876</v>
      </c>
      <c r="I2316" s="2">
        <v>1000</v>
      </c>
      <c r="J2316"/>
      <c r="K2316"/>
      <c r="L2316" s="44" t="str" cm="1">
        <f t="array" ref="L2316">+_xlfn.IFS(COUNTIF(INGRESOS!E:E,Tabla6[[#This Row],[ID FACTURA]])=1,"PAGADA",Tabla6[[#This Row],[ID FACTURA]]&lt;&gt;0,"EMITIDA",Tabla6[[#This Row],[ID FACTURA]]=0,"POR EMITIR")</f>
        <v>POR EMITIR</v>
      </c>
      <c r="M2316" s="55" t="str">
        <f>+IF(Tabla6[[#This Row],[ESTADO FACTURA]]="PAGADA",Tabla6[[#This Row],[FECHA]]-_xlfn.XLOOKUP(Tabla6[[#This Row],[N° FACTURA]],INGRESOS!F:F,INGRESOS!A:A),"-")</f>
        <v>-</v>
      </c>
      <c r="N2316" s="2"/>
      <c r="O2316"/>
    </row>
    <row r="2317" spans="1:15" ht="15" customHeight="1">
      <c r="A2317" s="320" t="s">
        <v>595</v>
      </c>
      <c r="B2317" t="str">
        <f>+_xlfn.XLOOKUP(Tabla6[[#This Row],[ID CLIENTE]],'RESUMEN CLIENTES'!D:D,'RESUMEN CLIENTES'!A:A)</f>
        <v>Erick Leonardo Chiriboga Valdiviezo</v>
      </c>
      <c r="C2317" t="str">
        <f>+_xlfn.XLOOKUP(Tabla6[[#This Row],[ID CLIENTE]],'RESUMEN CLIENTES'!D:D,'RESUMEN CLIENTES'!C:C)</f>
        <v>Ecuador</v>
      </c>
      <c r="D2317" s="44" t="str">
        <f>+_xlfn.XLOOKUP(Tabla6[[#This Row],[ID CLIENTE]],'RESUMEN CLIENTES'!D:D,'RESUMEN CLIENTES'!M:M)</f>
        <v>OK</v>
      </c>
      <c r="E2317" s="72">
        <f>+_xlfn.XLOOKUP(Tabla6[[#This Row],[NOMBRE]],'RESUMEN CLIENTES'!A:A,'RESUMEN CLIENTES'!X:X)</f>
        <v>-0.33333333333333331</v>
      </c>
      <c r="F2317" s="72">
        <f>+_xlfn.XLOOKUP(Tabla6[[#This Row],[ID CLIENTE]],'RESUMEN CLIENTES'!D:D,'RESUMEN CLIENTES'!W:W)</f>
        <v>0</v>
      </c>
      <c r="G2317" s="17">
        <f>IF($H2317&lt;&gt;"ALEM","",IFERROR(
  DATE(
    YEAR(EDATE(
      _xlfn.XLOOKUP($A2317,'RESUMEN CLIENTES'!$D:$D,'RESUMEN CLIENTES'!$Y:$Y,""),
      7 + COUNTIFS(
            $A$2:INDEX($A:$A,ROW()), $A2317,
            $H$2:INDEX($H:$H,ROW()), "ALEM"
          )
    )),
    MONTH(EDATE(
      _xlfn.XLOOKUP($A2317,'RESUMEN CLIENTES'!$D:$D,'RESUMEN CLIENTES'!$Y:$Y,""),
      7 + COUNTIFS(
            $A$2:INDEX($A:$A,ROW()), $A2317,
            $H$2:INDEX($H:$H,ROW()), "ALEM"
          )
    )),
    1
  ),
"null"))</f>
        <v>46539</v>
      </c>
      <c r="H2317" s="44" t="s">
        <v>1876</v>
      </c>
      <c r="I2317" s="2">
        <v>1000</v>
      </c>
      <c r="J2317"/>
      <c r="K2317"/>
      <c r="L2317" s="44" t="str" cm="1">
        <f t="array" ref="L2317">+_xlfn.IFS(COUNTIF(INGRESOS!E:E,Tabla6[[#This Row],[ID FACTURA]])=1,"PAGADA",Tabla6[[#This Row],[ID FACTURA]]&lt;&gt;0,"EMITIDA",Tabla6[[#This Row],[ID FACTURA]]=0,"POR EMITIR")</f>
        <v>POR EMITIR</v>
      </c>
      <c r="M2317" s="55" t="str">
        <f>+IF(Tabla6[[#This Row],[ESTADO FACTURA]]="PAGADA",Tabla6[[#This Row],[FECHA]]-_xlfn.XLOOKUP(Tabla6[[#This Row],[N° FACTURA]],INGRESOS!F:F,INGRESOS!A:A),"-")</f>
        <v>-</v>
      </c>
      <c r="N2317" s="2"/>
      <c r="O2317"/>
    </row>
    <row r="2318" spans="1:15" ht="15" customHeight="1">
      <c r="A2318" s="320" t="s">
        <v>250</v>
      </c>
      <c r="B2318" t="str">
        <f>+_xlfn.XLOOKUP(Tabla6[[#This Row],[ID CLIENTE]],'RESUMEN CLIENTES'!D:D,'RESUMEN CLIENTES'!A:A)</f>
        <v>Fernanda Castro</v>
      </c>
      <c r="C2318" t="str">
        <f>+_xlfn.XLOOKUP(Tabla6[[#This Row],[ID CLIENTE]],'RESUMEN CLIENTES'!D:D,'RESUMEN CLIENTES'!C:C)</f>
        <v>Ecuador</v>
      </c>
      <c r="D2318" s="44" t="str">
        <f>+_xlfn.XLOOKUP(Tabla6[[#This Row],[ID CLIENTE]],'RESUMEN CLIENTES'!D:D,'RESUMEN CLIENTES'!M:M)</f>
        <v>OK</v>
      </c>
      <c r="E2318" s="72">
        <f>+_xlfn.XLOOKUP(Tabla6[[#This Row],[NOMBRE]],'RESUMEN CLIENTES'!A:A,'RESUMEN CLIENTES'!X:X)</f>
        <v>0</v>
      </c>
      <c r="F2318" s="72">
        <f>+_xlfn.XLOOKUP(Tabla6[[#This Row],[ID CLIENTE]],'RESUMEN CLIENTES'!D:D,'RESUMEN CLIENTES'!W:W)</f>
        <v>1</v>
      </c>
      <c r="G2318" s="17">
        <f>IF($H2318&lt;&gt;"ALEM","",IFERROR(
  DATE(
    YEAR(EDATE(
      _xlfn.XLOOKUP($A2318,'RESUMEN CLIENTES'!$D:$D,'RESUMEN CLIENTES'!$Y:$Y,""),
      7 + COUNTIFS(
            $A$2:INDEX($A:$A,ROW()), $A2318,
            $H$2:INDEX($H:$H,ROW()), "ALEM"
          )
    )),
    MONTH(EDATE(
      _xlfn.XLOOKUP($A2318,'RESUMEN CLIENTES'!$D:$D,'RESUMEN CLIENTES'!$Y:$Y,""),
      7 + COUNTIFS(
            $A$2:INDEX($A:$A,ROW()), $A2318,
            $H$2:INDEX($H:$H,ROW()), "ALEM"
          )
    )),
    1
  ),
"SIN FECHA MIG"))</f>
        <v>46539</v>
      </c>
      <c r="H2318" s="44" t="s">
        <v>1876</v>
      </c>
      <c r="I2318" s="2">
        <v>1000</v>
      </c>
      <c r="J2318"/>
      <c r="K2318"/>
      <c r="L2318" s="44" t="str" cm="1">
        <f t="array" ref="L2318">+_xlfn.IFS(COUNTIF(INGRESOS!E:E,Tabla6[[#This Row],[ID FACTURA]])=1,"PAGADA",Tabla6[[#This Row],[ID FACTURA]]&lt;&gt;0,"EMITIDA",Tabla6[[#This Row],[ID FACTURA]]=0,"POR EMITIR")</f>
        <v>POR EMITIR</v>
      </c>
      <c r="M2318" s="55" t="str">
        <f>+IF(Tabla6[[#This Row],[ESTADO FACTURA]]="PAGADA",Tabla6[[#This Row],[FECHA]]-_xlfn.XLOOKUP(Tabla6[[#This Row],[N° FACTURA]],INGRESOS!F:F,INGRESOS!A:A),"-")</f>
        <v>-</v>
      </c>
      <c r="N2318" s="2"/>
      <c r="O2318"/>
    </row>
    <row r="2319" spans="1:15" ht="15" customHeight="1">
      <c r="A2319" s="320" t="s">
        <v>1761</v>
      </c>
      <c r="B2319" t="str">
        <f>+_xlfn.XLOOKUP(Tabla6[[#This Row],[ID CLIENTE]],'RESUMEN CLIENTES'!D:D,'RESUMEN CLIENTES'!A:A)</f>
        <v>Francisco Salas Barrera</v>
      </c>
      <c r="C2319" t="str">
        <f>+_xlfn.XLOOKUP(Tabla6[[#This Row],[ID CLIENTE]],'RESUMEN CLIENTES'!D:D,'RESUMEN CLIENTES'!C:C)</f>
        <v>México</v>
      </c>
      <c r="D2319" s="169" t="str">
        <f>+_xlfn.XLOOKUP(Tabla6[[#This Row],[ID CLIENTE]],'RESUMEN CLIENTES'!D:D,'RESUMEN CLIENTES'!M:M)</f>
        <v>OK</v>
      </c>
      <c r="E2319" s="71">
        <f>+_xlfn.XLOOKUP(Tabla6[[#This Row],[NOMBRE]],'RESUMEN CLIENTES'!A:A,'RESUMEN CLIENTES'!X:X)</f>
        <v>-0.75</v>
      </c>
      <c r="F2319" s="71">
        <f>+_xlfn.XLOOKUP(Tabla6[[#This Row],[ID CLIENTE]],'RESUMEN CLIENTES'!D:D,'RESUMEN CLIENTES'!W:W)</f>
        <v>0</v>
      </c>
      <c r="G2319" s="17">
        <f>IF($H2319&lt;&gt;"ALEM","",IFERROR(
  DATE(
    YEAR(EDATE(
      _xlfn.XLOOKUP($A2319,'RESUMEN CLIENTES'!$D:$D,'RESUMEN CLIENTES'!$Y:$Y,""),
      7 + COUNTIFS(
            $A$2:INDEX($A:$A,ROW()), $A2319,
            $H$2:INDEX($H:$H,ROW()), "ALEM"
          )
    )),
    MONTH(EDATE(
      _xlfn.XLOOKUP($A2319,'RESUMEN CLIENTES'!$D:$D,'RESUMEN CLIENTES'!$Y:$Y,""),
      7 + COUNTIFS(
            $A$2:INDEX($A:$A,ROW()), $A2319,
            $H$2:INDEX($H:$H,ROW()), "ALEM"
          )
    )),
    1
  ),
"SIN FECHA MIG"))</f>
        <v>46539</v>
      </c>
      <c r="H2319" s="169" t="s">
        <v>1876</v>
      </c>
      <c r="I2319" s="2">
        <v>800</v>
      </c>
      <c r="J2319"/>
      <c r="K2319"/>
      <c r="L2319" s="44" t="str" cm="1">
        <f t="array" ref="L2319">+_xlfn.IFS(COUNTIF(INGRESOS!E:E,Tabla6[[#This Row],[ID FACTURA]])=1,"PAGADA",Tabla6[[#This Row],[ID FACTURA]]&lt;&gt;0,"EMITIDA",Tabla6[[#This Row],[ID FACTURA]]=0,"POR EMITIR")</f>
        <v>POR EMITIR</v>
      </c>
      <c r="M2319" s="55" t="str">
        <f>+IF(Tabla6[[#This Row],[ESTADO FACTURA]]="PAGADA",Tabla6[[#This Row],[FECHA]]-_xlfn.XLOOKUP(Tabla6[[#This Row],[N° FACTURA]],INGRESOS!F:F,INGRESOS!A:A),"-")</f>
        <v>-</v>
      </c>
      <c r="O2319"/>
    </row>
    <row r="2320" spans="1:15" ht="15" customHeight="1">
      <c r="A2320" s="320" t="s">
        <v>700</v>
      </c>
      <c r="B2320" t="str">
        <f>+_xlfn.XLOOKUP(Tabla6[[#This Row],[ID CLIENTE]],'RESUMEN CLIENTES'!D:D,'RESUMEN CLIENTES'!A:A)</f>
        <v>Ignacio Manuel Jesus Orellana Gutiérrez</v>
      </c>
      <c r="C2320" t="str">
        <f>+_xlfn.XLOOKUP(Tabla6[[#This Row],[ID CLIENTE]],'RESUMEN CLIENTES'!D:D,'RESUMEN CLIENTES'!C:C)</f>
        <v>Chile</v>
      </c>
      <c r="D2320" s="44" t="str">
        <f>+_xlfn.XLOOKUP(Tabla6[[#This Row],[ID CLIENTE]],'RESUMEN CLIENTES'!D:D,'RESUMEN CLIENTES'!M:M)</f>
        <v>OK</v>
      </c>
      <c r="E2320" s="72">
        <f>+_xlfn.XLOOKUP(Tabla6[[#This Row],[NOMBRE]],'RESUMEN CLIENTES'!A:A,'RESUMEN CLIENTES'!X:X)</f>
        <v>2.4</v>
      </c>
      <c r="F2320" s="72">
        <f>+_xlfn.XLOOKUP(Tabla6[[#This Row],[ID CLIENTE]],'RESUMEN CLIENTES'!D:D,'RESUMEN CLIENTES'!W:W)</f>
        <v>0</v>
      </c>
      <c r="G2320" s="17">
        <f>IF($H2320&lt;&gt;"ALEM","",IFERROR(
  DATE(
    YEAR(EDATE(
      _xlfn.XLOOKUP($A2320,'RESUMEN CLIENTES'!$D:$D,'RESUMEN CLIENTES'!$Y:$Y,""),
      7 + COUNTIFS(
            $A$2:INDEX($A:$A,ROW()), $A2320,
            $H$2:INDEX($H:$H,ROW()), "ALEM"
          )
    )),
    MONTH(EDATE(
      _xlfn.XLOOKUP($A2320,'RESUMEN CLIENTES'!$D:$D,'RESUMEN CLIENTES'!$Y:$Y,""),
      7 + COUNTIFS(
            $A$2:INDEX($A:$A,ROW()), $A2320,
            $H$2:INDEX($H:$H,ROW()), "ALEM"
          )
    )),
    1
  ),
"SIN FECHA MIG"))</f>
        <v>46539</v>
      </c>
      <c r="H2320" s="44" t="s">
        <v>1876</v>
      </c>
      <c r="I2320" s="2">
        <v>1000</v>
      </c>
      <c r="J2320"/>
      <c r="K2320"/>
      <c r="L2320" s="44" t="str" cm="1">
        <f t="array" ref="L2320">+_xlfn.IFS(COUNTIF(INGRESOS!E:E,Tabla6[[#This Row],[ID FACTURA]])=1,"PAGADA",Tabla6[[#This Row],[ID FACTURA]]&lt;&gt;0,"EMITIDA",Tabla6[[#This Row],[ID FACTURA]]=0,"POR EMITIR")</f>
        <v>POR EMITIR</v>
      </c>
      <c r="M2320" s="55" t="str">
        <f>+IF(Tabla6[[#This Row],[ESTADO FACTURA]]="PAGADA",Tabla6[[#This Row],[FECHA]]-_xlfn.XLOOKUP(Tabla6[[#This Row],[N° FACTURA]],INGRESOS!F:F,INGRESOS!A:A),"-")</f>
        <v>-</v>
      </c>
      <c r="N2320" s="2"/>
      <c r="O2320"/>
    </row>
    <row r="2321" spans="1:15" ht="15" customHeight="1">
      <c r="A2321" s="320" t="s">
        <v>362</v>
      </c>
      <c r="B2321" t="str">
        <f>+_xlfn.XLOOKUP(Tabla6[[#This Row],[ID CLIENTE]],'RESUMEN CLIENTES'!D:D,'RESUMEN CLIENTES'!A:A)</f>
        <v>Jessica Ayelén Culla Alvarez</v>
      </c>
      <c r="C2321" t="str">
        <f>+_xlfn.XLOOKUP(Tabla6[[#This Row],[ID CLIENTE]],'RESUMEN CLIENTES'!D:D,'RESUMEN CLIENTES'!C:C)</f>
        <v>Argentina</v>
      </c>
      <c r="D2321" s="44" t="str">
        <f>+_xlfn.XLOOKUP(Tabla6[[#This Row],[ID CLIENTE]],'RESUMEN CLIENTES'!D:D,'RESUMEN CLIENTES'!M:M)</f>
        <v>OK</v>
      </c>
      <c r="E2321" s="72">
        <f>+_xlfn.XLOOKUP(Tabla6[[#This Row],[NOMBRE]],'RESUMEN CLIENTES'!A:A,'RESUMEN CLIENTES'!X:X)</f>
        <v>-2.1538461538461537</v>
      </c>
      <c r="F2321" s="72">
        <f>+_xlfn.XLOOKUP(Tabla6[[#This Row],[ID CLIENTE]],'RESUMEN CLIENTES'!D:D,'RESUMEN CLIENTES'!W:W)</f>
        <v>1</v>
      </c>
      <c r="G2321" s="17">
        <f>IF($H2321&lt;&gt;"ALEM","",IFERROR(
  DATE(
    YEAR(EDATE(
      _xlfn.XLOOKUP($A2321,'RESUMEN CLIENTES'!$D:$D,'RESUMEN CLIENTES'!$Y:$Y,""),
      7 + COUNTIFS(
            $A$2:INDEX($A:$A,ROW()), $A2321,
            $H$2:INDEX($H:$H,ROW()), "ALEM"
          )
    )),
    MONTH(EDATE(
      _xlfn.XLOOKUP($A2321,'RESUMEN CLIENTES'!$D:$D,'RESUMEN CLIENTES'!$Y:$Y,""),
      7 + COUNTIFS(
            $A$2:INDEX($A:$A,ROW()), $A2321,
            $H$2:INDEX($H:$H,ROW()), "ALEM"
          )
    )),
    1
  ),
"SIN FECHA MIG"))</f>
        <v>46539</v>
      </c>
      <c r="H2321" s="44" t="s">
        <v>1876</v>
      </c>
      <c r="I2321" s="2">
        <v>1000</v>
      </c>
      <c r="J2321"/>
      <c r="K2321"/>
      <c r="L2321" s="44" t="str" cm="1">
        <f t="array" ref="L2321">+_xlfn.IFS(COUNTIF(INGRESOS!E:E,Tabla6[[#This Row],[ID FACTURA]])=1,"PAGADA",Tabla6[[#This Row],[ID FACTURA]]&lt;&gt;0,"EMITIDA",Tabla6[[#This Row],[ID FACTURA]]=0,"POR EMITIR")</f>
        <v>POR EMITIR</v>
      </c>
      <c r="M2321" s="55" t="str">
        <f>+IF(Tabla6[[#This Row],[ESTADO FACTURA]]="PAGADA",Tabla6[[#This Row],[FECHA]]-_xlfn.XLOOKUP(Tabla6[[#This Row],[N° FACTURA]],INGRESOS!F:F,INGRESOS!A:A),"-")</f>
        <v>-</v>
      </c>
      <c r="N2321" s="2"/>
      <c r="O2321"/>
    </row>
    <row r="2322" spans="1:15" ht="15" customHeight="1">
      <c r="A2322" s="321" t="s">
        <v>1899</v>
      </c>
      <c r="B2322" t="str">
        <f>+_xlfn.XLOOKUP(Tabla6[[#This Row],[ID CLIENTE]],'RESUMEN CLIENTES'!D:D,'RESUMEN CLIENTES'!A:A)</f>
        <v>Johan Martínez</v>
      </c>
      <c r="C2322" t="str">
        <f>+_xlfn.XLOOKUP(Tabla6[[#This Row],[ID CLIENTE]],'RESUMEN CLIENTES'!D:D,'RESUMEN CLIENTES'!C:C)</f>
        <v>Colombia</v>
      </c>
      <c r="D2322" s="169" t="str">
        <f>+_xlfn.XLOOKUP(Tabla6[[#This Row],[ID CLIENTE]],'RESUMEN CLIENTES'!D:D,'RESUMEN CLIENTES'!M:M)</f>
        <v>OK</v>
      </c>
      <c r="E2322" s="71">
        <f>+_xlfn.XLOOKUP(Tabla6[[#This Row],[NOMBRE]],'RESUMEN CLIENTES'!A:A,'RESUMEN CLIENTES'!X:X)</f>
        <v>-0.66666666666666663</v>
      </c>
      <c r="F2322" s="71">
        <f>+_xlfn.XLOOKUP(Tabla6[[#This Row],[ID CLIENTE]],'RESUMEN CLIENTES'!D:D,'RESUMEN CLIENTES'!W:W)</f>
        <v>0</v>
      </c>
      <c r="G2322" s="17">
        <v>46539</v>
      </c>
      <c r="H2322" s="169" t="s">
        <v>81</v>
      </c>
      <c r="I2322" s="2">
        <v>1000</v>
      </c>
      <c r="J2322"/>
      <c r="K2322"/>
      <c r="L2322" s="44" t="str" cm="1">
        <f t="array" ref="L2322">+_xlfn.IFS(COUNTIF(INGRESOS!E:E,Tabla6[[#This Row],[ID FACTURA]])=1,"PAGADA",Tabla6[[#This Row],[ID FACTURA]]&lt;&gt;0,"EMITIDA",Tabla6[[#This Row],[ID FACTURA]]=0,"POR EMITIR")</f>
        <v>POR EMITIR</v>
      </c>
      <c r="M2322" s="54" t="str">
        <f>+IF(Tabla6[[#This Row],[ESTADO FACTURA]]="PAGADA",Tabla6[[#This Row],[FECHA]]-_xlfn.XLOOKUP(Tabla6[[#This Row],[N° FACTURA]],INGRESOS!F:F,INGRESOS!A:A),"-")</f>
        <v>-</v>
      </c>
      <c r="O2322"/>
    </row>
    <row r="2323" spans="1:15" ht="15" customHeight="1">
      <c r="A2323" s="320" t="s">
        <v>142</v>
      </c>
      <c r="B2323" t="str">
        <f>+_xlfn.XLOOKUP(Tabla6[[#This Row],[ID CLIENTE]],'RESUMEN CLIENTES'!D:D,'RESUMEN CLIENTES'!A:A)</f>
        <v>Jordan Eliecer Toledo Bravo</v>
      </c>
      <c r="C2323" t="str">
        <f>+_xlfn.XLOOKUP(Tabla6[[#This Row],[ID CLIENTE]],'RESUMEN CLIENTES'!D:D,'RESUMEN CLIENTES'!C:C)</f>
        <v>Chile</v>
      </c>
      <c r="D2323" s="169" t="str">
        <f>+_xlfn.XLOOKUP(Tabla6[[#This Row],[ID CLIENTE]],'RESUMEN CLIENTES'!D:D,'RESUMEN CLIENTES'!M:M)</f>
        <v>OK</v>
      </c>
      <c r="E2323" s="71">
        <f>+_xlfn.XLOOKUP(Tabla6[[#This Row],[NOMBRE]],'RESUMEN CLIENTES'!A:A,'RESUMEN CLIENTES'!X:X)</f>
        <v>-1.6153846153846154</v>
      </c>
      <c r="F2323" s="71">
        <f>+_xlfn.XLOOKUP(Tabla6[[#This Row],[ID CLIENTE]],'RESUMEN CLIENTES'!D:D,'RESUMEN CLIENTES'!W:W)</f>
        <v>0</v>
      </c>
      <c r="G2323" s="17">
        <f>IF($H2323&lt;&gt;"ALEM","",IFERROR(
  DATE(
    YEAR(EDATE(
      _xlfn.XLOOKUP($A2323,'RESUMEN CLIENTES'!$D:$D,'RESUMEN CLIENTES'!$Y:$Y,""),
      7 + COUNTIFS(
            $A$2:INDEX($A:$A,ROW()), $A2323,
            $H$2:INDEX($H:$H,ROW()), "ALEM"
          )
    )),
    MONTH(EDATE(
      _xlfn.XLOOKUP($A2323,'RESUMEN CLIENTES'!$D:$D,'RESUMEN CLIENTES'!$Y:$Y,""),
      7 + COUNTIFS(
            $A$2:INDEX($A:$A,ROW()), $A2323,
            $H$2:INDEX($H:$H,ROW()), "ALEM"
          )
    )),
    1
  ),
"null"))</f>
        <v>46539</v>
      </c>
      <c r="H2323" s="169" t="s">
        <v>1876</v>
      </c>
      <c r="I2323" s="2">
        <v>1000</v>
      </c>
      <c r="J2323"/>
      <c r="K2323"/>
      <c r="L2323" s="44" t="str" cm="1">
        <f t="array" ref="L2323">+_xlfn.IFS(COUNTIF(INGRESOS!E:E,Tabla6[[#This Row],[ID FACTURA]])=1,"PAGADA",Tabla6[[#This Row],[ID FACTURA]]&lt;&gt;0,"EMITIDA",Tabla6[[#This Row],[ID FACTURA]]=0,"POR EMITIR")</f>
        <v>POR EMITIR</v>
      </c>
      <c r="M2323" s="54" t="str">
        <f>+IF(Tabla6[[#This Row],[ESTADO FACTURA]]="PAGADA",Tabla6[[#This Row],[FECHA]]-_xlfn.XLOOKUP(Tabla6[[#This Row],[N° FACTURA]],INGRESOS!F:F,INGRESOS!A:A),"-")</f>
        <v>-</v>
      </c>
      <c r="O2323"/>
    </row>
    <row r="2324" spans="1:15" ht="15" customHeight="1">
      <c r="A2324" s="320" t="s">
        <v>87</v>
      </c>
      <c r="B2324" t="str">
        <f>+_xlfn.XLOOKUP(Tabla6[[#This Row],[ID CLIENTE]],'RESUMEN CLIENTES'!D:D,'RESUMEN CLIENTES'!A:A)</f>
        <v>Jose Marcelo Marroquín Guzmán</v>
      </c>
      <c r="C2324" t="str">
        <f>+_xlfn.XLOOKUP(Tabla6[[#This Row],[ID CLIENTE]],'RESUMEN CLIENTES'!D:D,'RESUMEN CLIENTES'!C:C)</f>
        <v>El Salvador</v>
      </c>
      <c r="D2324" s="44" t="str">
        <f>+_xlfn.XLOOKUP(Tabla6[[#This Row],[ID CLIENTE]],'RESUMEN CLIENTES'!D:D,'RESUMEN CLIENTES'!M:M)</f>
        <v>OK</v>
      </c>
      <c r="E2324" s="72">
        <f>+_xlfn.XLOOKUP(Tabla6[[#This Row],[NOMBRE]],'RESUMEN CLIENTES'!A:A,'RESUMEN CLIENTES'!X:X)</f>
        <v>-1.5833333333333333</v>
      </c>
      <c r="F2324" s="72">
        <f>+_xlfn.XLOOKUP(Tabla6[[#This Row],[ID CLIENTE]],'RESUMEN CLIENTES'!D:D,'RESUMEN CLIENTES'!W:W)</f>
        <v>1</v>
      </c>
      <c r="G2324" s="17">
        <f>IF($H2324&lt;&gt;"ALEM","",IFERROR(
  DATE(
    YEAR(EDATE(
      _xlfn.XLOOKUP($A2324,'RESUMEN CLIENTES'!$D:$D,'RESUMEN CLIENTES'!$Y:$Y,""),
      7 + COUNTIFS(
            $A$2:INDEX($A:$A,ROW()), $A2324,
            $H$2:INDEX($H:$H,ROW()), "ALEM"
          )
    )),
    MONTH(EDATE(
      _xlfn.XLOOKUP($A2324,'RESUMEN CLIENTES'!$D:$D,'RESUMEN CLIENTES'!$Y:$Y,""),
      7 + COUNTIFS(
            $A$2:INDEX($A:$A,ROW()), $A2324,
            $H$2:INDEX($H:$H,ROW()), "ALEM"
          )
    )),
    1
  ),
"SIN FECHA MIG"))</f>
        <v>46539</v>
      </c>
      <c r="H2324" s="44" t="s">
        <v>1876</v>
      </c>
      <c r="I2324" s="2">
        <v>1000</v>
      </c>
      <c r="J2324"/>
      <c r="K2324"/>
      <c r="L2324" s="44" t="str" cm="1">
        <f t="array" ref="L2324">+_xlfn.IFS(COUNTIF(INGRESOS!E:E,Tabla6[[#This Row],[ID FACTURA]])=1,"PAGADA",Tabla6[[#This Row],[ID FACTURA]]&lt;&gt;0,"EMITIDA",Tabla6[[#This Row],[ID FACTURA]]=0,"POR EMITIR")</f>
        <v>POR EMITIR</v>
      </c>
      <c r="M2324" s="55" t="str">
        <f>+IF(Tabla6[[#This Row],[ESTADO FACTURA]]="PAGADA",Tabla6[[#This Row],[FECHA]]-_xlfn.XLOOKUP(Tabla6[[#This Row],[N° FACTURA]],INGRESOS!F:F,INGRESOS!A:A),"-")</f>
        <v>-</v>
      </c>
      <c r="N2324" s="2"/>
      <c r="O2324" t="s">
        <v>2086</v>
      </c>
    </row>
    <row r="2325" spans="1:15" ht="15" customHeight="1">
      <c r="A2325" s="320" t="s">
        <v>798</v>
      </c>
      <c r="B2325" t="str">
        <f>+_xlfn.XLOOKUP(Tabla6[[#This Row],[ID CLIENTE]],'RESUMEN CLIENTES'!D:D,'RESUMEN CLIENTES'!A:A)</f>
        <v>Juan Manuel Paranzino</v>
      </c>
      <c r="C2325" t="str">
        <f>+_xlfn.XLOOKUP(Tabla6[[#This Row],[ID CLIENTE]],'RESUMEN CLIENTES'!D:D,'RESUMEN CLIENTES'!C:C)</f>
        <v>Argentina</v>
      </c>
      <c r="D2325" s="44" t="str">
        <f>+_xlfn.XLOOKUP(Tabla6[[#This Row],[ID CLIENTE]],'RESUMEN CLIENTES'!D:D,'RESUMEN CLIENTES'!M:M)</f>
        <v>OK</v>
      </c>
      <c r="E2325" s="72">
        <f>+_xlfn.XLOOKUP(Tabla6[[#This Row],[NOMBRE]],'RESUMEN CLIENTES'!A:A,'RESUMEN CLIENTES'!X:X)</f>
        <v>-1</v>
      </c>
      <c r="F2325" s="72">
        <f>+_xlfn.XLOOKUP(Tabla6[[#This Row],[ID CLIENTE]],'RESUMEN CLIENTES'!D:D,'RESUMEN CLIENTES'!W:W)</f>
        <v>0</v>
      </c>
      <c r="G2325" s="17">
        <f>IF($H2325&lt;&gt;"ALEM","",IFERROR(
  DATE(
    YEAR(EDATE(
      _xlfn.XLOOKUP($A2325,'RESUMEN CLIENTES'!$D:$D,'RESUMEN CLIENTES'!$Y:$Y,""),
      7 + COUNTIFS(
            $A$2:INDEX($A:$A,ROW()), $A2325,
            $H$2:INDEX($H:$H,ROW()), "ALEM"
          )
    )),
    MONTH(EDATE(
      _xlfn.XLOOKUP($A2325,'RESUMEN CLIENTES'!$D:$D,'RESUMEN CLIENTES'!$Y:$Y,""),
      7 + COUNTIFS(
            $A$2:INDEX($A:$A,ROW()), $A2325,
            $H$2:INDEX($H:$H,ROW()), "ALEM"
          )
    )),
    1
  ),
"SIN FECHA MIG"))</f>
        <v>46539</v>
      </c>
      <c r="H2325" s="44" t="s">
        <v>1876</v>
      </c>
      <c r="I2325" s="2">
        <v>1000</v>
      </c>
      <c r="J2325"/>
      <c r="K2325"/>
      <c r="L2325" s="44" t="str" cm="1">
        <f t="array" ref="L2325">+_xlfn.IFS(COUNTIF(INGRESOS!E:E,Tabla6[[#This Row],[ID FACTURA]])=1,"PAGADA",Tabla6[[#This Row],[ID FACTURA]]&lt;&gt;0,"EMITIDA",Tabla6[[#This Row],[ID FACTURA]]=0,"POR EMITIR")</f>
        <v>POR EMITIR</v>
      </c>
      <c r="M2325" s="55" t="str">
        <f>+IF(Tabla6[[#This Row],[ESTADO FACTURA]]="PAGADA",Tabla6[[#This Row],[FECHA]]-_xlfn.XLOOKUP(Tabla6[[#This Row],[N° FACTURA]],INGRESOS!F:F,INGRESOS!A:A),"-")</f>
        <v>-</v>
      </c>
      <c r="N2325" s="2"/>
      <c r="O2325" t="s">
        <v>2084</v>
      </c>
    </row>
    <row r="2326" spans="1:15" ht="15" customHeight="1">
      <c r="A2326" s="320" t="s">
        <v>711</v>
      </c>
      <c r="B2326" t="str">
        <f>+_xlfn.XLOOKUP(Tabla6[[#This Row],[ID CLIENTE]],'RESUMEN CLIENTES'!D:D,'RESUMEN CLIENTES'!A:A)</f>
        <v>Julian David Gutierrez Rodriguez</v>
      </c>
      <c r="C2326" t="str">
        <f>+_xlfn.XLOOKUP(Tabla6[[#This Row],[ID CLIENTE]],'RESUMEN CLIENTES'!D:D,'RESUMEN CLIENTES'!C:C)</f>
        <v>Colombia</v>
      </c>
      <c r="D2326" s="44" t="str">
        <f>+_xlfn.XLOOKUP(Tabla6[[#This Row],[ID CLIENTE]],'RESUMEN CLIENTES'!D:D,'RESUMEN CLIENTES'!M:M)</f>
        <v>OK</v>
      </c>
      <c r="E2326" s="72">
        <f>+_xlfn.XLOOKUP(Tabla6[[#This Row],[NOMBRE]],'RESUMEN CLIENTES'!A:A,'RESUMEN CLIENTES'!X:X)</f>
        <v>0.7142857142857143</v>
      </c>
      <c r="F2326" s="72">
        <f>+_xlfn.XLOOKUP(Tabla6[[#This Row],[ID CLIENTE]],'RESUMEN CLIENTES'!D:D,'RESUMEN CLIENTES'!W:W)</f>
        <v>1</v>
      </c>
      <c r="G2326" s="17">
        <f>IF($H2326&lt;&gt;"ALEM","",IFERROR(
  DATE(
    YEAR(EDATE(
      _xlfn.XLOOKUP($A2326,'RESUMEN CLIENTES'!$D:$D,'RESUMEN CLIENTES'!$Y:$Y,""),
      7 + COUNTIFS(
            $A$2:INDEX($A:$A,ROW()), $A2326,
            $H$2:INDEX($H:$H,ROW()), "ALEM"
          )
    )),
    MONTH(EDATE(
      _xlfn.XLOOKUP($A2326,'RESUMEN CLIENTES'!$D:$D,'RESUMEN CLIENTES'!$Y:$Y,""),
      7 + COUNTIFS(
            $A$2:INDEX($A:$A,ROW()), $A2326,
            $H$2:INDEX($H:$H,ROW()), "ALEM"
          )
    )),
    1
  ),
"SIN FECHA MIG"))</f>
        <v>46539</v>
      </c>
      <c r="H2326" s="44" t="s">
        <v>1876</v>
      </c>
      <c r="I2326" s="2">
        <v>1000</v>
      </c>
      <c r="J2326"/>
      <c r="K2326"/>
      <c r="L2326" s="44" t="str" cm="1">
        <f t="array" ref="L2326">+_xlfn.IFS(COUNTIF(INGRESOS!E:E,Tabla6[[#This Row],[ID FACTURA]])=1,"PAGADA",Tabla6[[#This Row],[ID FACTURA]]&lt;&gt;0,"EMITIDA",Tabla6[[#This Row],[ID FACTURA]]=0,"POR EMITIR")</f>
        <v>POR EMITIR</v>
      </c>
      <c r="M2326" s="55" t="str">
        <f>+IF(Tabla6[[#This Row],[ESTADO FACTURA]]="PAGADA",Tabla6[[#This Row],[FECHA]]-_xlfn.XLOOKUP(Tabla6[[#This Row],[N° FACTURA]],INGRESOS!F:F,INGRESOS!A:A),"-")</f>
        <v>-</v>
      </c>
      <c r="N2326" s="2"/>
      <c r="O2326" t="s">
        <v>2084</v>
      </c>
    </row>
    <row r="2327" spans="1:15" ht="15" customHeight="1">
      <c r="A2327" s="320" t="s">
        <v>1001</v>
      </c>
      <c r="B2327" t="str">
        <f>+_xlfn.XLOOKUP(Tabla6[[#This Row],[ID CLIENTE]],'RESUMEN CLIENTES'!D:D,'RESUMEN CLIENTES'!A:A)</f>
        <v>Karenn Yadira Tavera Lara</v>
      </c>
      <c r="C2327" t="str">
        <f>+_xlfn.XLOOKUP(Tabla6[[#This Row],[ID CLIENTE]],'RESUMEN CLIENTES'!D:D,'RESUMEN CLIENTES'!C:C)</f>
        <v>México</v>
      </c>
      <c r="D2327" s="44" t="str">
        <f>+_xlfn.XLOOKUP(Tabla6[[#This Row],[ID CLIENTE]],'RESUMEN CLIENTES'!D:D,'RESUMEN CLIENTES'!M:M)</f>
        <v>OK</v>
      </c>
      <c r="E2327" s="72">
        <f>+_xlfn.XLOOKUP(Tabla6[[#This Row],[NOMBRE]],'RESUMEN CLIENTES'!A:A,'RESUMEN CLIENTES'!X:X)</f>
        <v>1.5</v>
      </c>
      <c r="F2327" s="72">
        <f>+_xlfn.XLOOKUP(Tabla6[[#This Row],[ID CLIENTE]],'RESUMEN CLIENTES'!D:D,'RESUMEN CLIENTES'!W:W)</f>
        <v>1</v>
      </c>
      <c r="G2327" s="17">
        <f>IF($H2327&lt;&gt;"ALEM","",IFERROR(
  DATE(
    YEAR(EDATE(
      _xlfn.XLOOKUP($A2327,'RESUMEN CLIENTES'!$D:$D,'RESUMEN CLIENTES'!$Y:$Y,""),
      7 + COUNTIFS(
            $A$2:INDEX($A:$A,ROW()), $A2327,
            $H$2:INDEX($H:$H,ROW()), "ALEM"
          )
    )),
    MONTH(EDATE(
      _xlfn.XLOOKUP($A2327,'RESUMEN CLIENTES'!$D:$D,'RESUMEN CLIENTES'!$Y:$Y,""),
      7 + COUNTIFS(
            $A$2:INDEX($A:$A,ROW()), $A2327,
            $H$2:INDEX($H:$H,ROW()), "ALEM"
          )
    )),
    1
  ),
"SIN FECHA MIG"))</f>
        <v>46539</v>
      </c>
      <c r="H2327" s="44" t="s">
        <v>1876</v>
      </c>
      <c r="I2327" s="2">
        <v>1000</v>
      </c>
      <c r="J2327"/>
      <c r="K2327"/>
      <c r="L2327" s="44" t="str" cm="1">
        <f t="array" ref="L2327">+_xlfn.IFS(COUNTIF(INGRESOS!E:E,Tabla6[[#This Row],[ID FACTURA]])=1,"PAGADA",Tabla6[[#This Row],[ID FACTURA]]&lt;&gt;0,"EMITIDA",Tabla6[[#This Row],[ID FACTURA]]=0,"POR EMITIR")</f>
        <v>POR EMITIR</v>
      </c>
      <c r="M2327" s="55" t="str">
        <f>+IF(Tabla6[[#This Row],[ESTADO FACTURA]]="PAGADA",Tabla6[[#This Row],[FECHA]]-_xlfn.XLOOKUP(Tabla6[[#This Row],[N° FACTURA]],INGRESOS!F:F,INGRESOS!A:A),"-")</f>
        <v>-</v>
      </c>
      <c r="N2327" s="2"/>
      <c r="O2327"/>
    </row>
    <row r="2328" spans="1:15" ht="15" customHeight="1">
      <c r="A2328" s="320" t="s">
        <v>501</v>
      </c>
      <c r="B2328" t="str">
        <f>+_xlfn.XLOOKUP(Tabla6[[#This Row],[ID CLIENTE]],'RESUMEN CLIENTES'!D:D,'RESUMEN CLIENTES'!A:A)</f>
        <v>Kimberly Chantelle Frey Arteaga</v>
      </c>
      <c r="C2328" t="str">
        <f>+_xlfn.XLOOKUP(Tabla6[[#This Row],[ID CLIENTE]],'RESUMEN CLIENTES'!D:D,'RESUMEN CLIENTES'!C:C)</f>
        <v>México</v>
      </c>
      <c r="D2328" s="44" t="str">
        <f>+_xlfn.XLOOKUP(Tabla6[[#This Row],[ID CLIENTE]],'RESUMEN CLIENTES'!D:D,'RESUMEN CLIENTES'!M:M)</f>
        <v>OK</v>
      </c>
      <c r="E2328" s="72">
        <f>+_xlfn.XLOOKUP(Tabla6[[#This Row],[NOMBRE]],'RESUMEN CLIENTES'!A:A,'RESUMEN CLIENTES'!X:X)</f>
        <v>0</v>
      </c>
      <c r="F2328" s="72">
        <f>+_xlfn.XLOOKUP(Tabla6[[#This Row],[ID CLIENTE]],'RESUMEN CLIENTES'!D:D,'RESUMEN CLIENTES'!W:W)</f>
        <v>1</v>
      </c>
      <c r="G2328" s="17">
        <f>IF($H2328&lt;&gt;"ALEM","",IFERROR(
  DATE(
    YEAR(EDATE(
      _xlfn.XLOOKUP($A2328,'RESUMEN CLIENTES'!$D:$D,'RESUMEN CLIENTES'!$Y:$Y,""),
      7 + COUNTIFS(
            $A$2:INDEX($A:$A,ROW()), $A2328,
            $H$2:INDEX($H:$H,ROW()), "ALEM"
          )
    )),
    MONTH(EDATE(
      _xlfn.XLOOKUP($A2328,'RESUMEN CLIENTES'!$D:$D,'RESUMEN CLIENTES'!$Y:$Y,""),
      7 + COUNTIFS(
            $A$2:INDEX($A:$A,ROW()), $A2328,
            $H$2:INDEX($H:$H,ROW()), "ALEM"
          )
    )),
    1
  ),
"SIN FECHA MIG"))</f>
        <v>46539</v>
      </c>
      <c r="H2328" s="44" t="s">
        <v>1876</v>
      </c>
      <c r="I2328" s="2">
        <v>1000</v>
      </c>
      <c r="J2328"/>
      <c r="K2328"/>
      <c r="L2328" s="44" t="str" cm="1">
        <f t="array" ref="L2328">+_xlfn.IFS(COUNTIF(INGRESOS!E:E,Tabla6[[#This Row],[ID FACTURA]])=1,"PAGADA",Tabla6[[#This Row],[ID FACTURA]]&lt;&gt;0,"EMITIDA",Tabla6[[#This Row],[ID FACTURA]]=0,"POR EMITIR")</f>
        <v>POR EMITIR</v>
      </c>
      <c r="M2328" s="55" t="str">
        <f>+IF(Tabla6[[#This Row],[ESTADO FACTURA]]="PAGADA",Tabla6[[#This Row],[FECHA]]-_xlfn.XLOOKUP(Tabla6[[#This Row],[N° FACTURA]],INGRESOS!F:F,INGRESOS!A:A),"-")</f>
        <v>-</v>
      </c>
      <c r="N2328" s="2"/>
      <c r="O2328"/>
    </row>
    <row r="2329" spans="1:15" ht="15" customHeight="1">
      <c r="A2329" s="320" t="s">
        <v>703</v>
      </c>
      <c r="B2329" t="str">
        <f>+_xlfn.XLOOKUP(Tabla6[[#This Row],[ID CLIENTE]],'RESUMEN CLIENTES'!D:D,'RESUMEN CLIENTES'!A:A)</f>
        <v>Maira Paz Navas Sánchez</v>
      </c>
      <c r="C2329" t="str">
        <f>+_xlfn.XLOOKUP(Tabla6[[#This Row],[ID CLIENTE]],'RESUMEN CLIENTES'!D:D,'RESUMEN CLIENTES'!C:C)</f>
        <v>Chile</v>
      </c>
      <c r="D2329" s="44" t="str">
        <f>+_xlfn.XLOOKUP(Tabla6[[#This Row],[ID CLIENTE]],'RESUMEN CLIENTES'!D:D,'RESUMEN CLIENTES'!M:M)</f>
        <v>OK</v>
      </c>
      <c r="E2329" s="72">
        <f>+_xlfn.XLOOKUP(Tabla6[[#This Row],[NOMBRE]],'RESUMEN CLIENTES'!A:A,'RESUMEN CLIENTES'!X:X)</f>
        <v>-1.75</v>
      </c>
      <c r="F2329" s="72">
        <f>+_xlfn.XLOOKUP(Tabla6[[#This Row],[ID CLIENTE]],'RESUMEN CLIENTES'!D:D,'RESUMEN CLIENTES'!W:W)</f>
        <v>1</v>
      </c>
      <c r="G2329" s="17">
        <f>IF($H2329&lt;&gt;"ALEM","",IFERROR(
  DATE(
    YEAR(EDATE(
      _xlfn.XLOOKUP($A2329,'RESUMEN CLIENTES'!$D:$D,'RESUMEN CLIENTES'!$Y:$Y,""),
      7 + COUNTIFS(
            $A$2:INDEX($A:$A,ROW()), $A2329,
            $H$2:INDEX($H:$H,ROW()), "ALEM"
          )
    )),
    MONTH(EDATE(
      _xlfn.XLOOKUP($A2329,'RESUMEN CLIENTES'!$D:$D,'RESUMEN CLIENTES'!$Y:$Y,""),
      7 + COUNTIFS(
            $A$2:INDEX($A:$A,ROW()), $A2329,
            $H$2:INDEX($H:$H,ROW()), "ALEM"
          )
    )),
    1
  ),
"SIN FECHA MIG"))</f>
        <v>46539</v>
      </c>
      <c r="H2329" s="44" t="s">
        <v>1876</v>
      </c>
      <c r="I2329" s="2">
        <v>1000</v>
      </c>
      <c r="J2329"/>
      <c r="K2329"/>
      <c r="L2329" s="44" t="str" cm="1">
        <f t="array" ref="L2329">+_xlfn.IFS(COUNTIF(INGRESOS!E:E,Tabla6[[#This Row],[ID FACTURA]])=1,"PAGADA",Tabla6[[#This Row],[ID FACTURA]]&lt;&gt;0,"EMITIDA",Tabla6[[#This Row],[ID FACTURA]]=0,"POR EMITIR")</f>
        <v>POR EMITIR</v>
      </c>
      <c r="M2329" s="55" t="str">
        <f>+IF(Tabla6[[#This Row],[ESTADO FACTURA]]="PAGADA",Tabla6[[#This Row],[FECHA]]-_xlfn.XLOOKUP(Tabla6[[#This Row],[N° FACTURA]],INGRESOS!F:F,INGRESOS!A:A),"-")</f>
        <v>-</v>
      </c>
      <c r="N2329" s="2"/>
      <c r="O2329" t="s">
        <v>2084</v>
      </c>
    </row>
    <row r="2330" spans="1:15" ht="15" customHeight="1">
      <c r="A2330" s="320" t="s">
        <v>1551</v>
      </c>
      <c r="B2330" t="str">
        <f>+_xlfn.XLOOKUP(Tabla6[[#This Row],[ID CLIENTE]],'RESUMEN CLIENTES'!D:D,'RESUMEN CLIENTES'!A:A)</f>
        <v>María Fernanda Cid Ramírez</v>
      </c>
      <c r="C2330" t="str">
        <f>+_xlfn.XLOOKUP(Tabla6[[#This Row],[ID CLIENTE]],'RESUMEN CLIENTES'!D:D,'RESUMEN CLIENTES'!C:C)</f>
        <v>México</v>
      </c>
      <c r="D2330" s="44" t="str">
        <f>+_xlfn.XLOOKUP(Tabla6[[#This Row],[ID CLIENTE]],'RESUMEN CLIENTES'!D:D,'RESUMEN CLIENTES'!M:M)</f>
        <v>OK</v>
      </c>
      <c r="E2330" s="71">
        <f>+_xlfn.XLOOKUP(Tabla6[[#This Row],[NOMBRE]],'RESUMEN CLIENTES'!A:A,'RESUMEN CLIENTES'!X:X)</f>
        <v>-0.8571428571428571</v>
      </c>
      <c r="F2330" s="71">
        <f>+_xlfn.XLOOKUP(Tabla6[[#This Row],[ID CLIENTE]],'RESUMEN CLIENTES'!D:D,'RESUMEN CLIENTES'!W:W)</f>
        <v>0</v>
      </c>
      <c r="G2330" s="17">
        <f>IF($H2330&lt;&gt;"ALEM","",IFERROR(
  DATE(
    YEAR(EDATE(
      _xlfn.XLOOKUP($A2330,'RESUMEN CLIENTES'!$D:$D,'RESUMEN CLIENTES'!$Y:$Y,""),
      7 + COUNTIFS(
            $A$2:INDEX($A:$A,ROW()), $A2330,
            $H$2:INDEX($H:$H,ROW()), "ALEM"
          )
    )),
    MONTH(EDATE(
      _xlfn.XLOOKUP($A2330,'RESUMEN CLIENTES'!$D:$D,'RESUMEN CLIENTES'!$Y:$Y,""),
      7 + COUNTIFS(
            $A$2:INDEX($A:$A,ROW()), $A2330,
            $H$2:INDEX($H:$H,ROW()), "ALEM"
          )
    )),
    1
  ),
"SIN FECHA MIG"))</f>
        <v>46539</v>
      </c>
      <c r="H2330" s="169" t="s">
        <v>1876</v>
      </c>
      <c r="I2330" s="2">
        <v>800</v>
      </c>
      <c r="J2330"/>
      <c r="K2330"/>
      <c r="L2330" s="44" t="str" cm="1">
        <f t="array" ref="L2330">+_xlfn.IFS(COUNTIF(INGRESOS!E:E,Tabla6[[#This Row],[ID FACTURA]])=1,"PAGADA",Tabla6[[#This Row],[ID FACTURA]]&lt;&gt;0,"EMITIDA",Tabla6[[#This Row],[ID FACTURA]]=0,"POR EMITIR")</f>
        <v>POR EMITIR</v>
      </c>
      <c r="M2330" s="55" t="str">
        <f>+IF(Tabla6[[#This Row],[ESTADO FACTURA]]="PAGADA",Tabla6[[#This Row],[FECHA]]-_xlfn.XLOOKUP(Tabla6[[#This Row],[N° FACTURA]],INGRESOS!F:F,INGRESOS!A:A),"-")</f>
        <v>-</v>
      </c>
      <c r="N2330" s="2"/>
      <c r="O2330" t="s">
        <v>2086</v>
      </c>
    </row>
    <row r="2331" spans="1:15" ht="15" customHeight="1">
      <c r="A2331" s="320" t="s">
        <v>590</v>
      </c>
      <c r="B2331" t="str">
        <f>+_xlfn.XLOOKUP(Tabla6[[#This Row],[ID CLIENTE]],'RESUMEN CLIENTES'!D:D,'RESUMEN CLIENTES'!A:A)</f>
        <v>María Lucero de Jesús Barrios Sazo</v>
      </c>
      <c r="C2331" t="str">
        <f>+_xlfn.XLOOKUP(Tabla6[[#This Row],[ID CLIENTE]],'RESUMEN CLIENTES'!D:D,'RESUMEN CLIENTES'!C:C)</f>
        <v>Guatemala</v>
      </c>
      <c r="D2331" s="44" t="str">
        <f>+_xlfn.XLOOKUP(Tabla6[[#This Row],[ID CLIENTE]],'RESUMEN CLIENTES'!D:D,'RESUMEN CLIENTES'!M:M)</f>
        <v>OK</v>
      </c>
      <c r="E2331" s="72">
        <f>+_xlfn.XLOOKUP(Tabla6[[#This Row],[NOMBRE]],'RESUMEN CLIENTES'!A:A,'RESUMEN CLIENTES'!X:X)</f>
        <v>1.25</v>
      </c>
      <c r="F2331" s="72">
        <f>+_xlfn.XLOOKUP(Tabla6[[#This Row],[ID CLIENTE]],'RESUMEN CLIENTES'!D:D,'RESUMEN CLIENTES'!W:W)</f>
        <v>0</v>
      </c>
      <c r="G2331" s="17">
        <f>IF($H2331&lt;&gt;"ALEM","",IFERROR(
  DATE(
    YEAR(EDATE(
      _xlfn.XLOOKUP($A2331,'RESUMEN CLIENTES'!$D:$D,'RESUMEN CLIENTES'!$Y:$Y,""),
      7 + COUNTIFS(
            $A$2:INDEX($A:$A,ROW()), $A2331,
            $H$2:INDEX($H:$H,ROW()), "ALEM"
          )
    )),
    MONTH(EDATE(
      _xlfn.XLOOKUP($A2331,'RESUMEN CLIENTES'!$D:$D,'RESUMEN CLIENTES'!$Y:$Y,""),
      7 + COUNTIFS(
            $A$2:INDEX($A:$A,ROW()), $A2331,
            $H$2:INDEX($H:$H,ROW()), "ALEM"
          )
    )),
    1
  ),
"SIN FECHA MIG"))</f>
        <v>46539</v>
      </c>
      <c r="H2331" s="44" t="s">
        <v>1876</v>
      </c>
      <c r="I2331" s="2">
        <v>1000</v>
      </c>
      <c r="J2331"/>
      <c r="K2331"/>
      <c r="L2331" s="44" t="str" cm="1">
        <f t="array" ref="L2331">+_xlfn.IFS(COUNTIF(INGRESOS!E:E,Tabla6[[#This Row],[ID FACTURA]])=1,"PAGADA",Tabla6[[#This Row],[ID FACTURA]]&lt;&gt;0,"EMITIDA",Tabla6[[#This Row],[ID FACTURA]]=0,"POR EMITIR")</f>
        <v>POR EMITIR</v>
      </c>
      <c r="M2331" s="55" t="str">
        <f>+IF(Tabla6[[#This Row],[ESTADO FACTURA]]="PAGADA",Tabla6[[#This Row],[FECHA]]-_xlfn.XLOOKUP(Tabla6[[#This Row],[N° FACTURA]],INGRESOS!F:F,INGRESOS!A:A),"-")</f>
        <v>-</v>
      </c>
      <c r="N2331" s="2"/>
      <c r="O2331"/>
    </row>
    <row r="2332" spans="1:15" ht="15" customHeight="1">
      <c r="A2332" s="320" t="s">
        <v>1155</v>
      </c>
      <c r="B2332" t="str">
        <f>+_xlfn.XLOOKUP(Tabla6[[#This Row],[ID CLIENTE]],'RESUMEN CLIENTES'!D:D,'RESUMEN CLIENTES'!A:A)</f>
        <v>Mario Arciga Casián</v>
      </c>
      <c r="C2332" t="str">
        <f>+_xlfn.XLOOKUP(Tabla6[[#This Row],[ID CLIENTE]],'RESUMEN CLIENTES'!D:D,'RESUMEN CLIENTES'!C:C)</f>
        <v>México</v>
      </c>
      <c r="D2332" s="44" t="str">
        <f>+_xlfn.XLOOKUP(Tabla6[[#This Row],[ID CLIENTE]],'RESUMEN CLIENTES'!D:D,'RESUMEN CLIENTES'!M:M)</f>
        <v>OK</v>
      </c>
      <c r="E2332" s="72">
        <f>+_xlfn.XLOOKUP(Tabla6[[#This Row],[NOMBRE]],'RESUMEN CLIENTES'!A:A,'RESUMEN CLIENTES'!X:X)</f>
        <v>-0.66666666666666663</v>
      </c>
      <c r="F2332" s="72">
        <f>+_xlfn.XLOOKUP(Tabla6[[#This Row],[ID CLIENTE]],'RESUMEN CLIENTES'!D:D,'RESUMEN CLIENTES'!W:W)</f>
        <v>1</v>
      </c>
      <c r="G2332" s="17">
        <f>IF($H2332&lt;&gt;"ALEM","",IFERROR(
  DATE(
    YEAR(EDATE(
      _xlfn.XLOOKUP($A2332,'RESUMEN CLIENTES'!$D:$D,'RESUMEN CLIENTES'!$Y:$Y,""),
      7 + COUNTIFS(
            $A$2:INDEX($A:$A,ROW()), $A2332,
            $H$2:INDEX($H:$H,ROW()), "ALEM"
          )
    )),
    MONTH(EDATE(
      _xlfn.XLOOKUP($A2332,'RESUMEN CLIENTES'!$D:$D,'RESUMEN CLIENTES'!$Y:$Y,""),
      7 + COUNTIFS(
            $A$2:INDEX($A:$A,ROW()), $A2332,
            $H$2:INDEX($H:$H,ROW()), "ALEM"
          )
    )),
    1
  ),
"SIN FECHA MIG"))</f>
        <v>46539</v>
      </c>
      <c r="H2332" s="44" t="s">
        <v>1876</v>
      </c>
      <c r="I2332" s="2">
        <v>800</v>
      </c>
      <c r="J2332"/>
      <c r="K2332"/>
      <c r="L2332" s="44" t="str" cm="1">
        <f t="array" ref="L2332">+_xlfn.IFS(COUNTIF(INGRESOS!E:E,Tabla6[[#This Row],[ID FACTURA]])=1,"PAGADA",Tabla6[[#This Row],[ID FACTURA]]&lt;&gt;0,"EMITIDA",Tabla6[[#This Row],[ID FACTURA]]=0,"POR EMITIR")</f>
        <v>POR EMITIR</v>
      </c>
      <c r="M2332" s="55" t="str">
        <f>+IF(Tabla6[[#This Row],[ESTADO FACTURA]]="PAGADA",Tabla6[[#This Row],[FECHA]]-_xlfn.XLOOKUP(Tabla6[[#This Row],[N° FACTURA]],INGRESOS!F:F,INGRESOS!A:A),"-")</f>
        <v>-</v>
      </c>
      <c r="N2332" s="2"/>
      <c r="O2332"/>
    </row>
    <row r="2333" spans="1:15" ht="15" customHeight="1">
      <c r="A2333" s="320" t="s">
        <v>4509</v>
      </c>
      <c r="B2333" t="str">
        <f>+_xlfn.XLOOKUP(Tabla6[[#This Row],[ID CLIENTE]],'RESUMEN CLIENTES'!D:D,'RESUMEN CLIENTES'!A:A)</f>
        <v>Marisol Madeleine Ibáñez Paredes</v>
      </c>
      <c r="C2333" t="str">
        <f>+_xlfn.XLOOKUP(Tabla6[[#This Row],[ID CLIENTE]],'RESUMEN CLIENTES'!D:D,'RESUMEN CLIENTES'!C:C)</f>
        <v>Ecuador</v>
      </c>
      <c r="D2333" s="169" t="str">
        <f>+_xlfn.XLOOKUP(Tabla6[[#This Row],[ID CLIENTE]],'RESUMEN CLIENTES'!D:D,'RESUMEN CLIENTES'!M:M)</f>
        <v>OK</v>
      </c>
      <c r="E2333" s="71">
        <f>+_xlfn.XLOOKUP(Tabla6[[#This Row],[NOMBRE]],'RESUMEN CLIENTES'!A:A,'RESUMEN CLIENTES'!X:X)</f>
        <v>-3</v>
      </c>
      <c r="F2333" s="71">
        <f>+_xlfn.XLOOKUP(Tabla6[[#This Row],[ID CLIENTE]],'RESUMEN CLIENTES'!D:D,'RESUMEN CLIENTES'!W:W)</f>
        <v>0</v>
      </c>
      <c r="G2333" s="17">
        <f>IF($H2333&lt;&gt;"ALEM","",IFERROR(
  DATE(
    YEAR(EDATE(
      _xlfn.XLOOKUP($A2333,'RESUMEN CLIENTES'!$D:$D,'RESUMEN CLIENTES'!$Y:$Y,""),
      7 + COUNTIFS(
            $A$2:INDEX($A:$A,ROW()), $A2333,
            $H$2:INDEX($H:$H,ROW()), "ALEM"
          )
    )),
    MONTH(EDATE(
      _xlfn.XLOOKUP($A2333,'RESUMEN CLIENTES'!$D:$D,'RESUMEN CLIENTES'!$Y:$Y,""),
      7 + COUNTIFS(
            $A$2:INDEX($A:$A,ROW()), $A2333,
            $H$2:INDEX($H:$H,ROW()), "ALEM"
          )
    )),
    1
  ),
"null"))</f>
        <v>46539</v>
      </c>
      <c r="H2333" s="169" t="s">
        <v>1876</v>
      </c>
      <c r="I2333" s="2">
        <v>900</v>
      </c>
      <c r="J2333"/>
      <c r="K2333"/>
      <c r="L2333" s="44" t="str" cm="1">
        <f t="array" ref="L2333">+_xlfn.IFS(COUNTIF(INGRESOS!E:E,Tabla6[[#This Row],[ID FACTURA]])=1,"PAGADA",Tabla6[[#This Row],[ID FACTURA]]&lt;&gt;0,"EMITIDA",Tabla6[[#This Row],[ID FACTURA]]=0,"POR EMITIR")</f>
        <v>POR EMITIR</v>
      </c>
      <c r="M2333" s="54" t="str">
        <f>+IF(Tabla6[[#This Row],[ESTADO FACTURA]]="PAGADA",Tabla6[[#This Row],[FECHA]]-_xlfn.XLOOKUP(Tabla6[[#This Row],[N° FACTURA]],INGRESOS!F:F,INGRESOS!A:A),"-")</f>
        <v>-</v>
      </c>
      <c r="O2333"/>
    </row>
    <row r="2334" spans="1:15" ht="15" customHeight="1">
      <c r="A2334" s="320" t="s">
        <v>261</v>
      </c>
      <c r="B2334" t="str">
        <f>+_xlfn.XLOOKUP(Tabla6[[#This Row],[ID CLIENTE]],'RESUMEN CLIENTES'!D:D,'RESUMEN CLIENTES'!A:A)</f>
        <v>Maryori Elizabeth Ramos Tapia</v>
      </c>
      <c r="C2334" t="str">
        <f>+_xlfn.XLOOKUP(Tabla6[[#This Row],[ID CLIENTE]],'RESUMEN CLIENTES'!D:D,'RESUMEN CLIENTES'!C:C)</f>
        <v>Perú</v>
      </c>
      <c r="D2334" s="44" t="str">
        <f>+_xlfn.XLOOKUP(Tabla6[[#This Row],[ID CLIENTE]],'RESUMEN CLIENTES'!D:D,'RESUMEN CLIENTES'!M:M)</f>
        <v>OK</v>
      </c>
      <c r="E2334" s="72">
        <f>+_xlfn.XLOOKUP(Tabla6[[#This Row],[NOMBRE]],'RESUMEN CLIENTES'!A:A,'RESUMEN CLIENTES'!X:X)</f>
        <v>-0.88425925925952875</v>
      </c>
      <c r="F2334" s="72">
        <f>+_xlfn.XLOOKUP(Tabla6[[#This Row],[ID CLIENTE]],'RESUMEN CLIENTES'!D:D,'RESUMEN CLIENTES'!W:W)</f>
        <v>1</v>
      </c>
      <c r="G2334" s="17">
        <f>IF($H2334&lt;&gt;"ALEM","",IFERROR(
  DATE(
    YEAR(EDATE(
      _xlfn.XLOOKUP($A2334,'RESUMEN CLIENTES'!$D:$D,'RESUMEN CLIENTES'!$Y:$Y,""),
      7 + COUNTIFS(
            $A$2:INDEX($A:$A,ROW()), $A2334,
            $H$2:INDEX($H:$H,ROW()), "ALEM"
          )
    )),
    MONTH(EDATE(
      _xlfn.XLOOKUP($A2334,'RESUMEN CLIENTES'!$D:$D,'RESUMEN CLIENTES'!$Y:$Y,""),
      7 + COUNTIFS(
            $A$2:INDEX($A:$A,ROW()), $A2334,
            $H$2:INDEX($H:$H,ROW()), "ALEM"
          )
    )),
    1
  ),
"SIN FECHA MIG"))</f>
        <v>46539</v>
      </c>
      <c r="H2334" s="44" t="s">
        <v>1876</v>
      </c>
      <c r="I2334" s="2">
        <v>1000</v>
      </c>
      <c r="J2334"/>
      <c r="K2334"/>
      <c r="L2334" s="44" t="str" cm="1">
        <f t="array" ref="L2334">+_xlfn.IFS(COUNTIF(INGRESOS!E:E,Tabla6[[#This Row],[ID FACTURA]])=1,"PAGADA",Tabla6[[#This Row],[ID FACTURA]]&lt;&gt;0,"EMITIDA",Tabla6[[#This Row],[ID FACTURA]]=0,"POR EMITIR")</f>
        <v>POR EMITIR</v>
      </c>
      <c r="M2334" s="55" t="str">
        <f>+IF(Tabla6[[#This Row],[ESTADO FACTURA]]="PAGADA",Tabla6[[#This Row],[FECHA]]-_xlfn.XLOOKUP(Tabla6[[#This Row],[N° FACTURA]],INGRESOS!F:F,INGRESOS!A:A),"-")</f>
        <v>-</v>
      </c>
      <c r="N2334" s="2"/>
      <c r="O2334"/>
    </row>
    <row r="2335" spans="1:15" ht="15" customHeight="1">
      <c r="A2335" s="320" t="s">
        <v>314</v>
      </c>
      <c r="B2335" t="str">
        <f>+_xlfn.XLOOKUP(Tabla6[[#This Row],[ID CLIENTE]],'RESUMEN CLIENTES'!D:D,'RESUMEN CLIENTES'!A:A)</f>
        <v>Miguel Angel Sisalima Shiña</v>
      </c>
      <c r="C2335" t="str">
        <f>+_xlfn.XLOOKUP(Tabla6[[#This Row],[ID CLIENTE]],'RESUMEN CLIENTES'!D:D,'RESUMEN CLIENTES'!C:C)</f>
        <v>Ecuador</v>
      </c>
      <c r="D2335" s="44" t="str">
        <f>+_xlfn.XLOOKUP(Tabla6[[#This Row],[ID CLIENTE]],'RESUMEN CLIENTES'!D:D,'RESUMEN CLIENTES'!M:M)</f>
        <v>OK</v>
      </c>
      <c r="E2335" s="72">
        <f>+_xlfn.XLOOKUP(Tabla6[[#This Row],[NOMBRE]],'RESUMEN CLIENTES'!A:A,'RESUMEN CLIENTES'!X:X)</f>
        <v>0.6</v>
      </c>
      <c r="F2335" s="72">
        <f>+_xlfn.XLOOKUP(Tabla6[[#This Row],[ID CLIENTE]],'RESUMEN CLIENTES'!D:D,'RESUMEN CLIENTES'!W:W)</f>
        <v>0</v>
      </c>
      <c r="G2335" s="17">
        <f>IF($H2335&lt;&gt;"ALEM","",IFERROR(
  DATE(
    YEAR(EDATE(
      _xlfn.XLOOKUP($A2335,'RESUMEN CLIENTES'!$D:$D,'RESUMEN CLIENTES'!$Y:$Y,""),
      7 + COUNTIFS(
            $A$2:INDEX($A:$A,ROW()), $A2335,
            $H$2:INDEX($H:$H,ROW()), "ALEM"
          )
    )),
    MONTH(EDATE(
      _xlfn.XLOOKUP($A2335,'RESUMEN CLIENTES'!$D:$D,'RESUMEN CLIENTES'!$Y:$Y,""),
      7 + COUNTIFS(
            $A$2:INDEX($A:$A,ROW()), $A2335,
            $H$2:INDEX($H:$H,ROW()), "ALEM"
          )
    )),
    1
  ),
"SIN FECHA MIG"))</f>
        <v>46539</v>
      </c>
      <c r="H2335" s="44" t="s">
        <v>1876</v>
      </c>
      <c r="I2335" s="2">
        <v>1000</v>
      </c>
      <c r="J2335"/>
      <c r="K2335"/>
      <c r="L2335" s="44" t="str" cm="1">
        <f t="array" ref="L2335">+_xlfn.IFS(COUNTIF(INGRESOS!E:E,Tabla6[[#This Row],[ID FACTURA]])=1,"PAGADA",Tabla6[[#This Row],[ID FACTURA]]&lt;&gt;0,"EMITIDA",Tabla6[[#This Row],[ID FACTURA]]=0,"POR EMITIR")</f>
        <v>POR EMITIR</v>
      </c>
      <c r="M2335" s="55" t="str">
        <f>+IF(Tabla6[[#This Row],[ESTADO FACTURA]]="PAGADA",Tabla6[[#This Row],[FECHA]]-_xlfn.XLOOKUP(Tabla6[[#This Row],[N° FACTURA]],INGRESOS!F:F,INGRESOS!A:A),"-")</f>
        <v>-</v>
      </c>
      <c r="N2335" s="2"/>
      <c r="O2335"/>
    </row>
    <row r="2336" spans="1:15" ht="15" customHeight="1">
      <c r="A2336" s="320" t="s">
        <v>1658</v>
      </c>
      <c r="B2336" t="str">
        <f>+_xlfn.XLOOKUP(Tabla6[[#This Row],[ID CLIENTE]],'RESUMEN CLIENTES'!D:D,'RESUMEN CLIENTES'!A:A)</f>
        <v>Nadya Sofía García Carrasco</v>
      </c>
      <c r="C2336" t="str">
        <f>+_xlfn.XLOOKUP(Tabla6[[#This Row],[ID CLIENTE]],'RESUMEN CLIENTES'!D:D,'RESUMEN CLIENTES'!C:C)</f>
        <v>Ecuador</v>
      </c>
      <c r="D2336" s="169" t="str">
        <f>+_xlfn.XLOOKUP(Tabla6[[#This Row],[ID CLIENTE]],'RESUMEN CLIENTES'!D:D,'RESUMEN CLIENTES'!M:M)</f>
        <v>OK</v>
      </c>
      <c r="E2336" s="71">
        <f>+_xlfn.XLOOKUP(Tabla6[[#This Row],[NOMBRE]],'RESUMEN CLIENTES'!A:A,'RESUMEN CLIENTES'!X:X)</f>
        <v>0</v>
      </c>
      <c r="F2336" s="71">
        <f>+_xlfn.XLOOKUP(Tabla6[[#This Row],[ID CLIENTE]],'RESUMEN CLIENTES'!D:D,'RESUMEN CLIENTES'!W:W)</f>
        <v>1</v>
      </c>
      <c r="G2336" s="17">
        <f>IF($H2336&lt;&gt;"ALEM","",IFERROR(
  DATE(
    YEAR(EDATE(
      _xlfn.XLOOKUP($A2336,'RESUMEN CLIENTES'!$D:$D,'RESUMEN CLIENTES'!$Y:$Y,""),
      7 + COUNTIFS(
            $A$2:INDEX($A:$A,ROW()), $A2336,
            $H$2:INDEX($H:$H,ROW()), "ALEM"
          )
    )),
    MONTH(EDATE(
      _xlfn.XLOOKUP($A2336,'RESUMEN CLIENTES'!$D:$D,'RESUMEN CLIENTES'!$Y:$Y,""),
      7 + COUNTIFS(
            $A$2:INDEX($A:$A,ROW()), $A2336,
            $H$2:INDEX($H:$H,ROW()), "ALEM"
          )
    )),
    1
  ),
"SIN FECHA MIG"))</f>
        <v>46539</v>
      </c>
      <c r="H2336" s="169" t="s">
        <v>1876</v>
      </c>
      <c r="I2336" s="2">
        <v>800</v>
      </c>
      <c r="J2336"/>
      <c r="K2336"/>
      <c r="L2336" s="44" t="str" cm="1">
        <f t="array" ref="L2336">+_xlfn.IFS(COUNTIF(INGRESOS!E:E,Tabla6[[#This Row],[ID FACTURA]])=1,"PAGADA",Tabla6[[#This Row],[ID FACTURA]]&lt;&gt;0,"EMITIDA",Tabla6[[#This Row],[ID FACTURA]]=0,"POR EMITIR")</f>
        <v>POR EMITIR</v>
      </c>
      <c r="M2336" s="55" t="str">
        <f>+IF(Tabla6[[#This Row],[ESTADO FACTURA]]="PAGADA",Tabla6[[#This Row],[FECHA]]-_xlfn.XLOOKUP(Tabla6[[#This Row],[N° FACTURA]],INGRESOS!F:F,INGRESOS!A:A),"-")</f>
        <v>-</v>
      </c>
      <c r="O2336"/>
    </row>
    <row r="2337" spans="1:15" ht="15" customHeight="1">
      <c r="A2337" s="320" t="s">
        <v>229</v>
      </c>
      <c r="B2337" t="str">
        <f>+_xlfn.XLOOKUP(Tabla6[[#This Row],[ID CLIENTE]],'RESUMEN CLIENTES'!D:D,'RESUMEN CLIENTES'!A:A)</f>
        <v>Nathaly Gabriela Henríquez Masín</v>
      </c>
      <c r="C2337" t="str">
        <f>+_xlfn.XLOOKUP(Tabla6[[#This Row],[ID CLIENTE]],'RESUMEN CLIENTES'!D:D,'RESUMEN CLIENTES'!C:C)</f>
        <v>El Salvador</v>
      </c>
      <c r="D2337" s="44" t="str">
        <f>+_xlfn.XLOOKUP(Tabla6[[#This Row],[ID CLIENTE]],'RESUMEN CLIENTES'!D:D,'RESUMEN CLIENTES'!M:M)</f>
        <v>OK</v>
      </c>
      <c r="E2337" s="72">
        <f>+_xlfn.XLOOKUP(Tabla6[[#This Row],[NOMBRE]],'RESUMEN CLIENTES'!A:A,'RESUMEN CLIENTES'!X:X)</f>
        <v>0.7</v>
      </c>
      <c r="F2337" s="72">
        <f>+_xlfn.XLOOKUP(Tabla6[[#This Row],[ID CLIENTE]],'RESUMEN CLIENTES'!D:D,'RESUMEN CLIENTES'!W:W)</f>
        <v>0</v>
      </c>
      <c r="G2337" s="17">
        <f>IF($H2337&lt;&gt;"ALEM","",IFERROR(
  DATE(
    YEAR(EDATE(
      _xlfn.XLOOKUP($A2337,'RESUMEN CLIENTES'!$D:$D,'RESUMEN CLIENTES'!$Y:$Y,""),
      7 + COUNTIFS(
            $A$2:INDEX($A:$A,ROW()), $A2337,
            $H$2:INDEX($H:$H,ROW()), "ALEM"
          )
    )),
    MONTH(EDATE(
      _xlfn.XLOOKUP($A2337,'RESUMEN CLIENTES'!$D:$D,'RESUMEN CLIENTES'!$Y:$Y,""),
      7 + COUNTIFS(
            $A$2:INDEX($A:$A,ROW()), $A2337,
            $H$2:INDEX($H:$H,ROW()), "ALEM"
          )
    )),
    1
  ),
"SIN FECHA MIG"))</f>
        <v>46539</v>
      </c>
      <c r="H2337" s="44" t="s">
        <v>1876</v>
      </c>
      <c r="I2337" s="2">
        <v>500</v>
      </c>
      <c r="J2337"/>
      <c r="K2337"/>
      <c r="L2337" s="44" t="str" cm="1">
        <f t="array" ref="L2337">+_xlfn.IFS(COUNTIF(INGRESOS!E:E,Tabla6[[#This Row],[ID FACTURA]])=1,"PAGADA",Tabla6[[#This Row],[ID FACTURA]]&lt;&gt;0,"EMITIDA",Tabla6[[#This Row],[ID FACTURA]]=0,"POR EMITIR")</f>
        <v>POR EMITIR</v>
      </c>
      <c r="M2337" s="55" t="str">
        <f>+IF(Tabla6[[#This Row],[ESTADO FACTURA]]="PAGADA",Tabla6[[#This Row],[FECHA]]-_xlfn.XLOOKUP(Tabla6[[#This Row],[N° FACTURA]],INGRESOS!F:F,INGRESOS!A:A),"-")</f>
        <v>-</v>
      </c>
      <c r="N2337" s="2"/>
      <c r="O2337"/>
    </row>
    <row r="2338" spans="1:15" ht="15" customHeight="1">
      <c r="A2338" s="320" t="s">
        <v>695</v>
      </c>
      <c r="B2338" t="str">
        <f>+_xlfn.XLOOKUP(Tabla6[[#This Row],[ID CLIENTE]],'RESUMEN CLIENTES'!D:D,'RESUMEN CLIENTES'!A:A)</f>
        <v>Olguer Ariel Pruna Herrera</v>
      </c>
      <c r="C2338" t="str">
        <f>+_xlfn.XLOOKUP(Tabla6[[#This Row],[ID CLIENTE]],'RESUMEN CLIENTES'!D:D,'RESUMEN CLIENTES'!C:C)</f>
        <v>Ecuador</v>
      </c>
      <c r="D2338" s="44" t="str">
        <f>+_xlfn.XLOOKUP(Tabla6[[#This Row],[ID CLIENTE]],'RESUMEN CLIENTES'!D:D,'RESUMEN CLIENTES'!M:M)</f>
        <v>OK</v>
      </c>
      <c r="E2338" s="72">
        <f>+_xlfn.XLOOKUP(Tabla6[[#This Row],[NOMBRE]],'RESUMEN CLIENTES'!A:A,'RESUMEN CLIENTES'!X:X)</f>
        <v>0.25</v>
      </c>
      <c r="F2338" s="72">
        <f>+_xlfn.XLOOKUP(Tabla6[[#This Row],[ID CLIENTE]],'RESUMEN CLIENTES'!D:D,'RESUMEN CLIENTES'!W:W)</f>
        <v>1</v>
      </c>
      <c r="G2338" s="17">
        <f>IF($H2338&lt;&gt;"ALEM","",IFERROR(
  DATE(
    YEAR(EDATE(
      _xlfn.XLOOKUP($A2338,'RESUMEN CLIENTES'!$D:$D,'RESUMEN CLIENTES'!$Y:$Y,""),
      7 + COUNTIFS(
            $A$2:INDEX($A:$A,ROW()), $A2338,
            $H$2:INDEX($H:$H,ROW()), "ALEM"
          )
    )),
    MONTH(EDATE(
      _xlfn.XLOOKUP($A2338,'RESUMEN CLIENTES'!$D:$D,'RESUMEN CLIENTES'!$Y:$Y,""),
      7 + COUNTIFS(
            $A$2:INDEX($A:$A,ROW()), $A2338,
            $H$2:INDEX($H:$H,ROW()), "ALEM"
          )
    )),
    1
  ),
"SIN FECHA MIG"))</f>
        <v>46539</v>
      </c>
      <c r="H2338" s="44" t="s">
        <v>1876</v>
      </c>
      <c r="I2338" s="2">
        <v>1000</v>
      </c>
      <c r="J2338"/>
      <c r="K2338"/>
      <c r="L2338" s="44" t="str" cm="1">
        <f t="array" ref="L2338">+_xlfn.IFS(COUNTIF(INGRESOS!E:E,Tabla6[[#This Row],[ID FACTURA]])=1,"PAGADA",Tabla6[[#This Row],[ID FACTURA]]&lt;&gt;0,"EMITIDA",Tabla6[[#This Row],[ID FACTURA]]=0,"POR EMITIR")</f>
        <v>POR EMITIR</v>
      </c>
      <c r="M2338" s="55" t="str">
        <f>+IF(Tabla6[[#This Row],[ESTADO FACTURA]]="PAGADA",Tabla6[[#This Row],[FECHA]]-_xlfn.XLOOKUP(Tabla6[[#This Row],[N° FACTURA]],INGRESOS!F:F,INGRESOS!A:A),"-")</f>
        <v>-</v>
      </c>
      <c r="N2338" s="2"/>
      <c r="O2338" t="s">
        <v>2084</v>
      </c>
    </row>
    <row r="2339" spans="1:15" ht="15" customHeight="1">
      <c r="A2339" s="320" t="s">
        <v>855</v>
      </c>
      <c r="B2339" t="str">
        <f>+_xlfn.XLOOKUP(Tabla6[[#This Row],[ID CLIENTE]],'RESUMEN CLIENTES'!D:D,'RESUMEN CLIENTES'!A:A)</f>
        <v>Paula Ida Elisa Saris Sommer</v>
      </c>
      <c r="C2339" t="str">
        <f>+_xlfn.XLOOKUP(Tabla6[[#This Row],[ID CLIENTE]],'RESUMEN CLIENTES'!D:D,'RESUMEN CLIENTES'!C:C)</f>
        <v>Argentina</v>
      </c>
      <c r="D2339" s="44" t="str">
        <f>+_xlfn.XLOOKUP(Tabla6[[#This Row],[ID CLIENTE]],'RESUMEN CLIENTES'!D:D,'RESUMEN CLIENTES'!M:M)</f>
        <v>OK</v>
      </c>
      <c r="E2339" s="72">
        <f>+_xlfn.XLOOKUP(Tabla6[[#This Row],[NOMBRE]],'RESUMEN CLIENTES'!A:A,'RESUMEN CLIENTES'!X:X)</f>
        <v>-8.7894736842105257</v>
      </c>
      <c r="F2339" s="72">
        <f>+_xlfn.XLOOKUP(Tabla6[[#This Row],[ID CLIENTE]],'RESUMEN CLIENTES'!D:D,'RESUMEN CLIENTES'!W:W)</f>
        <v>0</v>
      </c>
      <c r="G2339" s="17">
        <f>IF($H2339&lt;&gt;"ALEM","",IFERROR(
  DATE(
    YEAR(EDATE(
      _xlfn.XLOOKUP($A2339,'RESUMEN CLIENTES'!$D:$D,'RESUMEN CLIENTES'!$Y:$Y,""),
      7 + COUNTIFS(
            $A$2:INDEX($A:$A,ROW()), $A2339,
            $H$2:INDEX($H:$H,ROW()), "ALEM"
          )
    )),
    MONTH(EDATE(
      _xlfn.XLOOKUP($A2339,'RESUMEN CLIENTES'!$D:$D,'RESUMEN CLIENTES'!$Y:$Y,""),
      7 + COUNTIFS(
            $A$2:INDEX($A:$A,ROW()), $A2339,
            $H$2:INDEX($H:$H,ROW()), "ALEM"
          )
    )),
    1
  ),
"SIN FECHA MIG"))</f>
        <v>46539</v>
      </c>
      <c r="H2339" s="44" t="s">
        <v>1876</v>
      </c>
      <c r="I2339" s="2">
        <v>1000</v>
      </c>
      <c r="J2339"/>
      <c r="K2339"/>
      <c r="L2339" s="44" t="str" cm="1">
        <f t="array" ref="L2339">+_xlfn.IFS(COUNTIF(INGRESOS!E:E,Tabla6[[#This Row],[ID FACTURA]])=1,"PAGADA",Tabla6[[#This Row],[ID FACTURA]]&lt;&gt;0,"EMITIDA",Tabla6[[#This Row],[ID FACTURA]]=0,"POR EMITIR")</f>
        <v>POR EMITIR</v>
      </c>
      <c r="M2339" s="55" t="str">
        <f>+IF(Tabla6[[#This Row],[ESTADO FACTURA]]="PAGADA",Tabla6[[#This Row],[FECHA]]-_xlfn.XLOOKUP(Tabla6[[#This Row],[N° FACTURA]],INGRESOS!F:F,INGRESOS!A:A),"-")</f>
        <v>-</v>
      </c>
      <c r="N2339" s="2"/>
      <c r="O2339" t="s">
        <v>2084</v>
      </c>
    </row>
    <row r="2340" spans="1:15" ht="15" customHeight="1">
      <c r="A2340" s="321" t="s">
        <v>1881</v>
      </c>
      <c r="B2340" t="str">
        <f>+_xlfn.XLOOKUP(Tabla6[[#This Row],[ID CLIENTE]],'RESUMEN CLIENTES'!D:D,'RESUMEN CLIENTES'!A:A)</f>
        <v>Paulina Alejandra Silva Gómez</v>
      </c>
      <c r="C2340" t="str">
        <f>+_xlfn.XLOOKUP(Tabla6[[#This Row],[ID CLIENTE]],'RESUMEN CLIENTES'!D:D,'RESUMEN CLIENTES'!C:C)</f>
        <v>Chile</v>
      </c>
      <c r="D2340" s="169" t="str">
        <f>+_xlfn.XLOOKUP(Tabla6[[#This Row],[ID CLIENTE]],'RESUMEN CLIENTES'!D:D,'RESUMEN CLIENTES'!M:M)</f>
        <v>¡REGULARIZAR!</v>
      </c>
      <c r="E2340" s="71">
        <f>+_xlfn.XLOOKUP(Tabla6[[#This Row],[NOMBRE]],'RESUMEN CLIENTES'!A:A,'RESUMEN CLIENTES'!X:X)</f>
        <v>-6.833333333333333</v>
      </c>
      <c r="F2340" s="71">
        <f>+_xlfn.XLOOKUP(Tabla6[[#This Row],[ID CLIENTE]],'RESUMEN CLIENTES'!D:D,'RESUMEN CLIENTES'!W:W)</f>
        <v>0</v>
      </c>
      <c r="G2340" s="17">
        <f>IF($H2340&lt;&gt;"ALEM","",IFERROR(
  DATE(
    YEAR(EDATE(
      _xlfn.XLOOKUP($A2340,'RESUMEN CLIENTES'!$D:$D,'RESUMEN CLIENTES'!$Y:$Y,""),
      7 + COUNTIFS(
            $A$2:INDEX($A:$A,ROW()), $A2340,
            $H$2:INDEX($H:$H,ROW()), "ALEM"
          )
    )),
    MONTH(EDATE(
      _xlfn.XLOOKUP($A2340,'RESUMEN CLIENTES'!$D:$D,'RESUMEN CLIENTES'!$Y:$Y,""),
      7 + COUNTIFS(
            $A$2:INDEX($A:$A,ROW()), $A2340,
            $H$2:INDEX($H:$H,ROW()), "ALEM"
          )
    )),
    1
  ),
"null"))</f>
        <v>46539</v>
      </c>
      <c r="H2340" s="169" t="s">
        <v>1876</v>
      </c>
      <c r="I2340" s="2">
        <v>800</v>
      </c>
      <c r="J2340"/>
      <c r="K2340"/>
      <c r="L2340" s="44" t="str" cm="1">
        <f t="array" ref="L2340">+_xlfn.IFS(COUNTIF(INGRESOS!E:E,Tabla6[[#This Row],[ID FACTURA]])=1,"PAGADA",Tabla6[[#This Row],[ID FACTURA]]&lt;&gt;0,"EMITIDA",Tabla6[[#This Row],[ID FACTURA]]=0,"POR EMITIR")</f>
        <v>POR EMITIR</v>
      </c>
      <c r="M2340" s="54" t="str">
        <f>+IF(Tabla6[[#This Row],[ESTADO FACTURA]]="PAGADA",Tabla6[[#This Row],[FECHA]]-_xlfn.XLOOKUP(Tabla6[[#This Row],[N° FACTURA]],INGRESOS!F:F,INGRESOS!A:A),"-")</f>
        <v>-</v>
      </c>
      <c r="O2340" t="s">
        <v>2092</v>
      </c>
    </row>
    <row r="2341" spans="1:15" ht="15" customHeight="1">
      <c r="A2341" s="320" t="s">
        <v>994</v>
      </c>
      <c r="B2341" t="str">
        <f>+_xlfn.XLOOKUP(Tabla6[[#This Row],[ID CLIENTE]],'RESUMEN CLIENTES'!D:D,'RESUMEN CLIENTES'!A:A)</f>
        <v>Raúl Ernesto Martínez Orantes</v>
      </c>
      <c r="C2341" t="str">
        <f>+_xlfn.XLOOKUP(Tabla6[[#This Row],[ID CLIENTE]],'RESUMEN CLIENTES'!D:D,'RESUMEN CLIENTES'!C:C)</f>
        <v>El Salvador</v>
      </c>
      <c r="D2341" s="44" t="str">
        <f>+_xlfn.XLOOKUP(Tabla6[[#This Row],[ID CLIENTE]],'RESUMEN CLIENTES'!D:D,'RESUMEN CLIENTES'!M:M)</f>
        <v>OK</v>
      </c>
      <c r="E2341" s="72">
        <f>+_xlfn.XLOOKUP(Tabla6[[#This Row],[NOMBRE]],'RESUMEN CLIENTES'!A:A,'RESUMEN CLIENTES'!X:X)</f>
        <v>1.1428571428571428</v>
      </c>
      <c r="F2341" s="72">
        <f>+_xlfn.XLOOKUP(Tabla6[[#This Row],[ID CLIENTE]],'RESUMEN CLIENTES'!D:D,'RESUMEN CLIENTES'!W:W)</f>
        <v>1</v>
      </c>
      <c r="G2341" s="17">
        <f>IF($H2341&lt;&gt;"ALEM","",IFERROR(
  DATE(
    YEAR(EDATE(
      _xlfn.XLOOKUP($A2341,'RESUMEN CLIENTES'!$D:$D,'RESUMEN CLIENTES'!$Y:$Y,""),
      7 + COUNTIFS(
            $A$2:INDEX($A:$A,ROW()), $A2341,
            $H$2:INDEX($H:$H,ROW()), "ALEM"
          )
    )),
    MONTH(EDATE(
      _xlfn.XLOOKUP($A2341,'RESUMEN CLIENTES'!$D:$D,'RESUMEN CLIENTES'!$Y:$Y,""),
      7 + COUNTIFS(
            $A$2:INDEX($A:$A,ROW()), $A2341,
            $H$2:INDEX($H:$H,ROW()), "ALEM"
          )
    )),
    1
  ),
"SIN FECHA MIG"))</f>
        <v>46539</v>
      </c>
      <c r="H2341" s="44" t="s">
        <v>1876</v>
      </c>
      <c r="I2341" s="2">
        <v>800</v>
      </c>
      <c r="J2341"/>
      <c r="K2341"/>
      <c r="L2341" s="44" t="str" cm="1">
        <f t="array" ref="L2341">+_xlfn.IFS(COUNTIF(INGRESOS!E:E,Tabla6[[#This Row],[ID FACTURA]])=1,"PAGADA",Tabla6[[#This Row],[ID FACTURA]]&lt;&gt;0,"EMITIDA",Tabla6[[#This Row],[ID FACTURA]]=0,"POR EMITIR")</f>
        <v>POR EMITIR</v>
      </c>
      <c r="M2341" s="55" t="str">
        <f>+IF(Tabla6[[#This Row],[ESTADO FACTURA]]="PAGADA",Tabla6[[#This Row],[FECHA]]-_xlfn.XLOOKUP(Tabla6[[#This Row],[N° FACTURA]],INGRESOS!F:F,INGRESOS!A:A),"-")</f>
        <v>-</v>
      </c>
      <c r="N2341" s="2"/>
      <c r="O2341"/>
    </row>
    <row r="2342" spans="1:15" ht="15" customHeight="1">
      <c r="A2342" s="320" t="s">
        <v>1152</v>
      </c>
      <c r="B2342" t="str">
        <f>+_xlfn.XLOOKUP(Tabla6[[#This Row],[ID CLIENTE]],'RESUMEN CLIENTES'!D:D,'RESUMEN CLIENTES'!A:A)</f>
        <v>Ricardo Ernesto Miño Valencia</v>
      </c>
      <c r="C2342" t="str">
        <f>+_xlfn.XLOOKUP(Tabla6[[#This Row],[ID CLIENTE]],'RESUMEN CLIENTES'!D:D,'RESUMEN CLIENTES'!C:C)</f>
        <v>Ecuador</v>
      </c>
      <c r="D2342" s="44" t="str">
        <f>+_xlfn.XLOOKUP(Tabla6[[#This Row],[ID CLIENTE]],'RESUMEN CLIENTES'!D:D,'RESUMEN CLIENTES'!M:M)</f>
        <v>OK</v>
      </c>
      <c r="E2342" s="72">
        <f>+_xlfn.XLOOKUP(Tabla6[[#This Row],[NOMBRE]],'RESUMEN CLIENTES'!A:A,'RESUMEN CLIENTES'!X:X)</f>
        <v>-3.2</v>
      </c>
      <c r="F2342" s="72">
        <f>+_xlfn.XLOOKUP(Tabla6[[#This Row],[ID CLIENTE]],'RESUMEN CLIENTES'!D:D,'RESUMEN CLIENTES'!W:W)</f>
        <v>1</v>
      </c>
      <c r="G2342" s="17">
        <f>IF($H2342&lt;&gt;"ALEM","",IFERROR(
  DATE(
    YEAR(EDATE(
      _xlfn.XLOOKUP($A2342,'RESUMEN CLIENTES'!$D:$D,'RESUMEN CLIENTES'!$Y:$Y,""),
      7 + COUNTIFS(
            $A$2:INDEX($A:$A,ROW()), $A2342,
            $H$2:INDEX($H:$H,ROW()), "ALEM"
          )
    )),
    MONTH(EDATE(
      _xlfn.XLOOKUP($A2342,'RESUMEN CLIENTES'!$D:$D,'RESUMEN CLIENTES'!$Y:$Y,""),
      7 + COUNTIFS(
            $A$2:INDEX($A:$A,ROW()), $A2342,
            $H$2:INDEX($H:$H,ROW()), "ALEM"
          )
    )),
    1
  ),
"SIN FECHA MIG"))</f>
        <v>46539</v>
      </c>
      <c r="H2342" s="44" t="s">
        <v>1876</v>
      </c>
      <c r="I2342" s="2">
        <v>1000</v>
      </c>
      <c r="J2342"/>
      <c r="K2342"/>
      <c r="L2342" s="44" t="str" cm="1">
        <f t="array" ref="L2342">+_xlfn.IFS(COUNTIF(INGRESOS!E:E,Tabla6[[#This Row],[ID FACTURA]])=1,"PAGADA",Tabla6[[#This Row],[ID FACTURA]]&lt;&gt;0,"EMITIDA",Tabla6[[#This Row],[ID FACTURA]]=0,"POR EMITIR")</f>
        <v>POR EMITIR</v>
      </c>
      <c r="M2342" s="55" t="str">
        <f>+IF(Tabla6[[#This Row],[ESTADO FACTURA]]="PAGADA",Tabla6[[#This Row],[FECHA]]-_xlfn.XLOOKUP(Tabla6[[#This Row],[N° FACTURA]],INGRESOS!F:F,INGRESOS!A:A),"-")</f>
        <v>-</v>
      </c>
      <c r="N2342" s="2"/>
      <c r="O2342" t="s">
        <v>2084</v>
      </c>
    </row>
    <row r="2343" spans="1:15" ht="15" customHeight="1">
      <c r="A2343" s="320" t="s">
        <v>275</v>
      </c>
      <c r="B2343" t="str">
        <f>+_xlfn.XLOOKUP(Tabla6[[#This Row],[ID CLIENTE]],'RESUMEN CLIENTES'!D:D,'RESUMEN CLIENTES'!A:A)</f>
        <v>Rodrigo Alfonso Busse Hernández</v>
      </c>
      <c r="C2343" t="str">
        <f>+_xlfn.XLOOKUP(Tabla6[[#This Row],[ID CLIENTE]],'RESUMEN CLIENTES'!D:D,'RESUMEN CLIENTES'!C:C)</f>
        <v>Chile</v>
      </c>
      <c r="D2343" s="44" t="str">
        <f>+_xlfn.XLOOKUP(Tabla6[[#This Row],[ID CLIENTE]],'RESUMEN CLIENTES'!D:D,'RESUMEN CLIENTES'!M:M)</f>
        <v>OK</v>
      </c>
      <c r="E2343" s="72">
        <f>+_xlfn.XLOOKUP(Tabla6[[#This Row],[NOMBRE]],'RESUMEN CLIENTES'!A:A,'RESUMEN CLIENTES'!X:X)</f>
        <v>0.33333333333333331</v>
      </c>
      <c r="F2343" s="72">
        <f>+_xlfn.XLOOKUP(Tabla6[[#This Row],[ID CLIENTE]],'RESUMEN CLIENTES'!D:D,'RESUMEN CLIENTES'!W:W)</f>
        <v>1</v>
      </c>
      <c r="G2343" s="17">
        <f>IF($H2343&lt;&gt;"ALEM","",IFERROR(
  DATE(
    YEAR(EDATE(
      _xlfn.XLOOKUP($A2343,'RESUMEN CLIENTES'!$D:$D,'RESUMEN CLIENTES'!$Y:$Y,""),
      7 + COUNTIFS(
            $A$2:INDEX($A:$A,ROW()), $A2343,
            $H$2:INDEX($H:$H,ROW()), "ALEM"
          )
    )),
    MONTH(EDATE(
      _xlfn.XLOOKUP($A2343,'RESUMEN CLIENTES'!$D:$D,'RESUMEN CLIENTES'!$Y:$Y,""),
      7 + COUNTIFS(
            $A$2:INDEX($A:$A,ROW()), $A2343,
            $H$2:INDEX($H:$H,ROW()), "ALEM"
          )
    )),
    1
  ),
"SIN FECHA MIG"))</f>
        <v>46539</v>
      </c>
      <c r="H2343" s="44" t="s">
        <v>1876</v>
      </c>
      <c r="I2343" s="2">
        <v>750</v>
      </c>
      <c r="J2343"/>
      <c r="K2343"/>
      <c r="L2343" s="44" t="str" cm="1">
        <f t="array" ref="L2343">+_xlfn.IFS(COUNTIF(INGRESOS!E:E,Tabla6[[#This Row],[ID FACTURA]])=1,"PAGADA",Tabla6[[#This Row],[ID FACTURA]]&lt;&gt;0,"EMITIDA",Tabla6[[#This Row],[ID FACTURA]]=0,"POR EMITIR")</f>
        <v>POR EMITIR</v>
      </c>
      <c r="M2343" s="55" t="str">
        <f>+IF(Tabla6[[#This Row],[ESTADO FACTURA]]="PAGADA",Tabla6[[#This Row],[FECHA]]-_xlfn.XLOOKUP(Tabla6[[#This Row],[N° FACTURA]],INGRESOS!F:F,INGRESOS!A:A),"-")</f>
        <v>-</v>
      </c>
      <c r="N2343" s="2"/>
      <c r="O2343" t="s">
        <v>2084</v>
      </c>
    </row>
    <row r="2344" spans="1:15" ht="15" customHeight="1">
      <c r="A2344" s="320" t="s">
        <v>281</v>
      </c>
      <c r="B2344" t="str">
        <f>+_xlfn.XLOOKUP(Tabla6[[#This Row],[ID CLIENTE]],'RESUMEN CLIENTES'!D:D,'RESUMEN CLIENTES'!A:A)</f>
        <v>Sergio Francisco Garcia Sandoval</v>
      </c>
      <c r="C2344" t="str">
        <f>+_xlfn.XLOOKUP(Tabla6[[#This Row],[ID CLIENTE]],'RESUMEN CLIENTES'!D:D,'RESUMEN CLIENTES'!C:C)</f>
        <v>Perú</v>
      </c>
      <c r="D2344" s="44" t="str">
        <f>+_xlfn.XLOOKUP(Tabla6[[#This Row],[ID CLIENTE]],'RESUMEN CLIENTES'!D:D,'RESUMEN CLIENTES'!M:M)</f>
        <v>OK</v>
      </c>
      <c r="E2344" s="72">
        <f>+_xlfn.XLOOKUP(Tabla6[[#This Row],[NOMBRE]],'RESUMEN CLIENTES'!A:A,'RESUMEN CLIENTES'!X:X)</f>
        <v>0.88888888888888884</v>
      </c>
      <c r="F2344" s="72">
        <f>+_xlfn.XLOOKUP(Tabla6[[#This Row],[ID CLIENTE]],'RESUMEN CLIENTES'!D:D,'RESUMEN CLIENTES'!W:W)</f>
        <v>1</v>
      </c>
      <c r="G2344" s="17">
        <f>IF($H2344&lt;&gt;"ALEM","",IFERROR(
  DATE(
    YEAR(EDATE(
      _xlfn.XLOOKUP($A2344,'RESUMEN CLIENTES'!$D:$D,'RESUMEN CLIENTES'!$Y:$Y,""),
      7 + COUNTIFS(
            $A$2:INDEX($A:$A,ROW()), $A2344,
            $H$2:INDEX($H:$H,ROW()), "ALEM"
          )
    )),
    MONTH(EDATE(
      _xlfn.XLOOKUP($A2344,'RESUMEN CLIENTES'!$D:$D,'RESUMEN CLIENTES'!$Y:$Y,""),
      7 + COUNTIFS(
            $A$2:INDEX($A:$A,ROW()), $A2344,
            $H$2:INDEX($H:$H,ROW()), "ALEM"
          )
    )),
    1
  ),
"SIN FECHA MIG"))</f>
        <v>46539</v>
      </c>
      <c r="H2344" s="44" t="s">
        <v>1876</v>
      </c>
      <c r="I2344" s="2">
        <v>1000</v>
      </c>
      <c r="J2344"/>
      <c r="K2344"/>
      <c r="L2344" s="44" t="str" cm="1">
        <f t="array" ref="L2344">+_xlfn.IFS(COUNTIF(INGRESOS!E:E,Tabla6[[#This Row],[ID FACTURA]])=1,"PAGADA",Tabla6[[#This Row],[ID FACTURA]]&lt;&gt;0,"EMITIDA",Tabla6[[#This Row],[ID FACTURA]]=0,"POR EMITIR")</f>
        <v>POR EMITIR</v>
      </c>
      <c r="M2344" s="55" t="str">
        <f>+IF(Tabla6[[#This Row],[ESTADO FACTURA]]="PAGADA",Tabla6[[#This Row],[FECHA]]-_xlfn.XLOOKUP(Tabla6[[#This Row],[N° FACTURA]],INGRESOS!F:F,INGRESOS!A:A),"-")</f>
        <v>-</v>
      </c>
      <c r="N2344" s="2"/>
      <c r="O2344"/>
    </row>
    <row r="2345" spans="1:15" ht="15" customHeight="1">
      <c r="A2345" s="320" t="s">
        <v>716</v>
      </c>
      <c r="B2345" t="str">
        <f>+_xlfn.XLOOKUP(Tabla6[[#This Row],[ID CLIENTE]],'RESUMEN CLIENTES'!D:D,'RESUMEN CLIENTES'!A:A)</f>
        <v>Sofia Martínez Restrepo</v>
      </c>
      <c r="C2345" t="str">
        <f>+_xlfn.XLOOKUP(Tabla6[[#This Row],[ID CLIENTE]],'RESUMEN CLIENTES'!D:D,'RESUMEN CLIENTES'!C:C)</f>
        <v>Colombia</v>
      </c>
      <c r="D2345" s="44" t="str">
        <f>+_xlfn.XLOOKUP(Tabla6[[#This Row],[ID CLIENTE]],'RESUMEN CLIENTES'!D:D,'RESUMEN CLIENTES'!M:M)</f>
        <v>OK</v>
      </c>
      <c r="E2345" s="72">
        <f>+_xlfn.XLOOKUP(Tabla6[[#This Row],[NOMBRE]],'RESUMEN CLIENTES'!A:A,'RESUMEN CLIENTES'!X:X)</f>
        <v>-0.33333333333333331</v>
      </c>
      <c r="F2345" s="72">
        <f>+_xlfn.XLOOKUP(Tabla6[[#This Row],[ID CLIENTE]],'RESUMEN CLIENTES'!D:D,'RESUMEN CLIENTES'!W:W)</f>
        <v>1</v>
      </c>
      <c r="G2345" s="17">
        <f>IF($H2345&lt;&gt;"ALEM","",IFERROR(
  DATE(
    YEAR(EDATE(
      _xlfn.XLOOKUP($A2345,'RESUMEN CLIENTES'!$D:$D,'RESUMEN CLIENTES'!$Y:$Y,""),
      7 + COUNTIFS(
            $A$2:INDEX($A:$A,ROW()), $A2345,
            $H$2:INDEX($H:$H,ROW()), "ALEM"
          )
    )),
    MONTH(EDATE(
      _xlfn.XLOOKUP($A2345,'RESUMEN CLIENTES'!$D:$D,'RESUMEN CLIENTES'!$Y:$Y,""),
      7 + COUNTIFS(
            $A$2:INDEX($A:$A,ROW()), $A2345,
            $H$2:INDEX($H:$H,ROW()), "ALEM"
          )
    )),
    1
  ),
"SIN FECHA MIG"))</f>
        <v>46539</v>
      </c>
      <c r="H2345" s="44" t="s">
        <v>1876</v>
      </c>
      <c r="I2345" s="2">
        <v>1000</v>
      </c>
      <c r="J2345"/>
      <c r="K2345"/>
      <c r="L2345" s="44" t="str" cm="1">
        <f t="array" ref="L2345">+_xlfn.IFS(COUNTIF(INGRESOS!E:E,Tabla6[[#This Row],[ID FACTURA]])=1,"PAGADA",Tabla6[[#This Row],[ID FACTURA]]&lt;&gt;0,"EMITIDA",Tabla6[[#This Row],[ID FACTURA]]=0,"POR EMITIR")</f>
        <v>POR EMITIR</v>
      </c>
      <c r="M2345" s="55" t="str">
        <f>+IF(Tabla6[[#This Row],[ESTADO FACTURA]]="PAGADA",Tabla6[[#This Row],[FECHA]]-_xlfn.XLOOKUP(Tabla6[[#This Row],[N° FACTURA]],INGRESOS!F:F,INGRESOS!A:A),"-")</f>
        <v>-</v>
      </c>
      <c r="N2345" s="2"/>
      <c r="O2345" t="s">
        <v>2084</v>
      </c>
    </row>
    <row r="2346" spans="1:15" ht="15" customHeight="1">
      <c r="A2346" s="320" t="s">
        <v>460</v>
      </c>
      <c r="B2346" t="str">
        <f>+_xlfn.XLOOKUP(Tabla6[[#This Row],[ID CLIENTE]],'RESUMEN CLIENTES'!D:D,'RESUMEN CLIENTES'!A:A)</f>
        <v>Valeria Carolina Heredia Peña</v>
      </c>
      <c r="C2346" t="str">
        <f>+_xlfn.XLOOKUP(Tabla6[[#This Row],[ID CLIENTE]],'RESUMEN CLIENTES'!D:D,'RESUMEN CLIENTES'!C:C)</f>
        <v>Bolivia</v>
      </c>
      <c r="D2346" s="44" t="str">
        <f>+_xlfn.XLOOKUP(Tabla6[[#This Row],[ID CLIENTE]],'RESUMEN CLIENTES'!D:D,'RESUMEN CLIENTES'!M:M)</f>
        <v>OK</v>
      </c>
      <c r="E2346" s="72">
        <f>+_xlfn.XLOOKUP(Tabla6[[#This Row],[NOMBRE]],'RESUMEN CLIENTES'!A:A,'RESUMEN CLIENTES'!X:X)</f>
        <v>2.5</v>
      </c>
      <c r="F2346" s="72">
        <f>+_xlfn.XLOOKUP(Tabla6[[#This Row],[ID CLIENTE]],'RESUMEN CLIENTES'!D:D,'RESUMEN CLIENTES'!W:W)</f>
        <v>0</v>
      </c>
      <c r="G2346" s="17">
        <f>IF($H2346&lt;&gt;"ALEM","",IFERROR(
  DATE(
    YEAR(EDATE(
      _xlfn.XLOOKUP($A2346,'RESUMEN CLIENTES'!$D:$D,'RESUMEN CLIENTES'!$Y:$Y,""),
      7 + COUNTIFS(
            $A$2:INDEX($A:$A,ROW()), $A2346,
            $H$2:INDEX($H:$H,ROW()), "ALEM"
          )
    )),
    MONTH(EDATE(
      _xlfn.XLOOKUP($A2346,'RESUMEN CLIENTES'!$D:$D,'RESUMEN CLIENTES'!$Y:$Y,""),
      7 + COUNTIFS(
            $A$2:INDEX($A:$A,ROW()), $A2346,
            $H$2:INDEX($H:$H,ROW()), "ALEM"
          )
    )),
    1
  ),
"SIN FECHA MIG"))</f>
        <v>46539</v>
      </c>
      <c r="H2346" s="44" t="s">
        <v>1876</v>
      </c>
      <c r="I2346" s="2">
        <v>1000</v>
      </c>
      <c r="J2346"/>
      <c r="K2346"/>
      <c r="L2346" s="44" t="str" cm="1">
        <f t="array" ref="L2346">+_xlfn.IFS(COUNTIF(INGRESOS!E:E,Tabla6[[#This Row],[ID FACTURA]])=1,"PAGADA",Tabla6[[#This Row],[ID FACTURA]]&lt;&gt;0,"EMITIDA",Tabla6[[#This Row],[ID FACTURA]]=0,"POR EMITIR")</f>
        <v>POR EMITIR</v>
      </c>
      <c r="M2346" s="55" t="str">
        <f>+IF(Tabla6[[#This Row],[ESTADO FACTURA]]="PAGADA",Tabla6[[#This Row],[FECHA]]-_xlfn.XLOOKUP(Tabla6[[#This Row],[N° FACTURA]],INGRESOS!F:F,INGRESOS!A:A),"-")</f>
        <v>-</v>
      </c>
      <c r="N2346" s="2"/>
      <c r="O2346"/>
    </row>
    <row r="2347" spans="1:15" ht="15" customHeight="1">
      <c r="A2347" s="320" t="s">
        <v>4442</v>
      </c>
      <c r="B2347" t="str">
        <f>+_xlfn.XLOOKUP(Tabla6[[#This Row],[ID CLIENTE]],'RESUMEN CLIENTES'!D:D,'RESUMEN CLIENTES'!A:A)</f>
        <v>Vicente Javier Campusano Banse</v>
      </c>
      <c r="C2347" t="str">
        <f>+_xlfn.XLOOKUP(Tabla6[[#This Row],[ID CLIENTE]],'RESUMEN CLIENTES'!D:D,'RESUMEN CLIENTES'!C:C)</f>
        <v>Chile</v>
      </c>
      <c r="D2347" s="169" t="str">
        <f>+_xlfn.XLOOKUP(Tabla6[[#This Row],[ID CLIENTE]],'RESUMEN CLIENTES'!D:D,'RESUMEN CLIENTES'!M:M)</f>
        <v>¡REGULARIZAR!</v>
      </c>
      <c r="E2347" s="71">
        <f>+_xlfn.XLOOKUP(Tabla6[[#This Row],[NOMBRE]],'RESUMEN CLIENTES'!A:A,'RESUMEN CLIENTES'!X:X)</f>
        <v>0</v>
      </c>
      <c r="F2347" s="71">
        <f>+_xlfn.XLOOKUP(Tabla6[[#This Row],[ID CLIENTE]],'RESUMEN CLIENTES'!D:D,'RESUMEN CLIENTES'!W:W)</f>
        <v>0</v>
      </c>
      <c r="G2347" s="428">
        <f>IF($H2347&lt;&gt;"ALEM","",IFERROR(
  DATE(
    YEAR(EDATE(
      _xlfn.XLOOKUP($A2347,'RESUMEN CLIENTES'!$D:$D,'RESUMEN CLIENTES'!$Y:$Y,""),
      7 + COUNTIFS(
            $A$2:INDEX($A:$A,ROW()), $A2347,
            $H$2:INDEX($H:$H,ROW()), "ALEM"
          )
    )),
    MONTH(EDATE(
      _xlfn.XLOOKUP($A2347,'RESUMEN CLIENTES'!$D:$D,'RESUMEN CLIENTES'!$Y:$Y,""),
      7 + COUNTIFS(
            $A$2:INDEX($A:$A,ROW()), $A2347,
            $H$2:INDEX($H:$H,ROW()), "ALEM"
          )
    )),
    1
  ),
"null"))</f>
        <v>46539</v>
      </c>
      <c r="H2347" s="169" t="s">
        <v>1876</v>
      </c>
      <c r="I2347" s="2">
        <v>750</v>
      </c>
      <c r="J2347"/>
      <c r="K2347"/>
      <c r="L2347" s="44" t="str" cm="1">
        <f t="array" ref="L2347">+_xlfn.IFS(COUNTIF(INGRESOS!E:E,Tabla6[[#This Row],[ID FACTURA]])=1,"PAGADA",Tabla6[[#This Row],[ID FACTURA]]&lt;&gt;0,"EMITIDA",Tabla6[[#This Row],[ID FACTURA]]=0,"POR EMITIR")</f>
        <v>POR EMITIR</v>
      </c>
      <c r="M2347" s="54" t="str">
        <f>+IF(Tabla6[[#This Row],[ESTADO FACTURA]]="PAGADA",Tabla6[[#This Row],[FECHA]]-_xlfn.XLOOKUP(Tabla6[[#This Row],[N° FACTURA]],INGRESOS!F:F,INGRESOS!A:A),"-")</f>
        <v>-</v>
      </c>
      <c r="O2347"/>
    </row>
    <row r="2348" spans="1:15" ht="15" customHeight="1">
      <c r="A2348" s="320" t="s">
        <v>6696</v>
      </c>
      <c r="B2348" t="str">
        <f>+_xlfn.XLOOKUP(Tabla6[[#This Row],[ID CLIENTE]],'RESUMEN CLIENTES'!D:D,'RESUMEN CLIENTES'!A:A)</f>
        <v>Stiben Lopez Vargas</v>
      </c>
      <c r="C2348" s="15" t="str">
        <f>+_xlfn.XLOOKUP(Tabla6[[#This Row],[ID CLIENTE]],'RESUMEN CLIENTES'!D:D,'RESUMEN CLIENTES'!C:C)</f>
        <v>Colombia</v>
      </c>
      <c r="D2348" s="169" t="str">
        <f>+_xlfn.XLOOKUP(Tabla6[[#This Row],[ID CLIENTE]],'RESUMEN CLIENTES'!D:D,'RESUMEN CLIENTES'!M:M)</f>
        <v xml:space="preserve">TRASPASAR </v>
      </c>
      <c r="E2348" s="71">
        <f>+_xlfn.XLOOKUP(Tabla6[[#This Row],[NOMBRE]],'RESUMEN CLIENTES'!A:A,'RESUMEN CLIENTES'!X:X)</f>
        <v>58</v>
      </c>
      <c r="F2348" s="71">
        <f>+_xlfn.XLOOKUP(Tabla6[[#This Row],[ID CLIENTE]],'RESUMEN CLIENTES'!D:D,'RESUMEN CLIENTES'!W:W)</f>
        <v>0</v>
      </c>
      <c r="G2348" s="17">
        <f>IF($H2348&lt;&gt;"ALEM","",IFERROR(
  DATE(
    YEAR(EDATE(
      _xlfn.XLOOKUP($A2348,'RESUMEN CLIENTES'!$D:$D,'RESUMEN CLIENTES'!$Y:$Y,""),
      7 + COUNTIFS(
            $A$2:INDEX($A:$A,ROW()), $A2348,
            $H$2:INDEX($H:$H,ROW()), "ALEM"
          )
    )),
    MONTH(EDATE(
      _xlfn.XLOOKUP($A2348,'RESUMEN CLIENTES'!$D:$D,'RESUMEN CLIENTES'!$Y:$Y,""),
      7 + COUNTIFS(
            $A$2:INDEX($A:$A,ROW()), $A2348,
            $H$2:INDEX($H:$H,ROW()), "ALEM"
          )
    )),
    1
  ),
"null"))</f>
        <v>46539</v>
      </c>
      <c r="H2348" s="169" t="s">
        <v>1876</v>
      </c>
      <c r="I2348" s="2">
        <v>1000</v>
      </c>
      <c r="J2348"/>
      <c r="K2348"/>
      <c r="L2348" s="44" t="str" cm="1">
        <f t="array" ref="L2348">+_xlfn.IFS(COUNTIF(INGRESOS!E:E,Tabla6[[#This Row],[ID FACTURA]])=1,"PAGADA",Tabla6[[#This Row],[ID FACTURA]]&lt;&gt;0,"EMITIDA",Tabla6[[#This Row],[ID FACTURA]]=0,"POR EMITIR")</f>
        <v>POR EMITIR</v>
      </c>
      <c r="M2348" s="54" t="str">
        <f>+IF(Tabla6[[#This Row],[ESTADO FACTURA]]="PAGADA",Tabla6[[#This Row],[FECHA]]-_xlfn.XLOOKUP(Tabla6[[#This Row],[N° FACTURA]],INGRESOS!F:F,INGRESOS!A:A),"-")</f>
        <v>-</v>
      </c>
      <c r="O2348"/>
    </row>
    <row r="2349" spans="1:15" ht="15" customHeight="1">
      <c r="A2349" s="320" t="s">
        <v>2521</v>
      </c>
      <c r="B2349" t="str">
        <f>+_xlfn.XLOOKUP(Tabla6[[#This Row],[ID CLIENTE]],'RESUMEN CLIENTES'!D:D,'RESUMEN CLIENTES'!A:A)</f>
        <v>Fabián Andrés Sarmiento Auli</v>
      </c>
      <c r="C2349" t="str">
        <f>+_xlfn.XLOOKUP(Tabla6[[#This Row],[ID CLIENTE]],'RESUMEN CLIENTES'!D:D,'RESUMEN CLIENTES'!C:C)</f>
        <v>Colombia</v>
      </c>
      <c r="D2349" s="169" t="str">
        <f>+_xlfn.XLOOKUP(Tabla6[[#This Row],[ID CLIENTE]],'RESUMEN CLIENTES'!D:D,'RESUMEN CLIENTES'!M:M)</f>
        <v>OK</v>
      </c>
      <c r="E2349" s="71">
        <f>+_xlfn.XLOOKUP(Tabla6[[#This Row],[NOMBRE]],'RESUMEN CLIENTES'!A:A,'RESUMEN CLIENTES'!X:X)</f>
        <v>0</v>
      </c>
      <c r="F2349" s="71">
        <f>+_xlfn.XLOOKUP(Tabla6[[#This Row],[ID CLIENTE]],'RESUMEN CLIENTES'!D:D,'RESUMEN CLIENTES'!W:W)</f>
        <v>0</v>
      </c>
      <c r="G2349" s="17">
        <v>46543</v>
      </c>
      <c r="H2349" s="169" t="s">
        <v>81</v>
      </c>
      <c r="I2349" s="2">
        <v>650</v>
      </c>
      <c r="J2349"/>
      <c r="K2349"/>
      <c r="L2349" s="44" t="str" cm="1">
        <f t="array" ref="L2349">+_xlfn.IFS(COUNTIF(INGRESOS!E:E,Tabla6[[#This Row],[ID FACTURA]])=1,"PAGADA",Tabla6[[#This Row],[ID FACTURA]]&lt;&gt;0,"EMITIDA",Tabla6[[#This Row],[ID FACTURA]]=0,"POR EMITIR")</f>
        <v>POR EMITIR</v>
      </c>
      <c r="M2349" s="54" t="str">
        <f>+IF(Tabla6[[#This Row],[ESTADO FACTURA]]="PAGADA",Tabla6[[#This Row],[FECHA]]-_xlfn.XLOOKUP(Tabla6[[#This Row],[N° FACTURA]],INGRESOS!F:F,INGRESOS!A:A),"-")</f>
        <v>-</v>
      </c>
      <c r="O2349"/>
    </row>
    <row r="2350" spans="1:15" ht="15" customHeight="1">
      <c r="A2350" s="320" t="s">
        <v>1416</v>
      </c>
      <c r="B2350" t="str">
        <f>+_xlfn.XLOOKUP(Tabla6[[#This Row],[ID CLIENTE]],'RESUMEN CLIENTES'!D:D,'RESUMEN CLIENTES'!A:A)</f>
        <v>Luis Armando Calderon Manzanera</v>
      </c>
      <c r="C2350" t="str">
        <f>+_xlfn.XLOOKUP(Tabla6[[#This Row],[ID CLIENTE]],'RESUMEN CLIENTES'!D:D,'RESUMEN CLIENTES'!C:C)</f>
        <v>México</v>
      </c>
      <c r="D2350" s="44" t="str">
        <f>+_xlfn.XLOOKUP(Tabla6[[#This Row],[ID CLIENTE]],'RESUMEN CLIENTES'!D:D,'RESUMEN CLIENTES'!M:M)</f>
        <v>OK</v>
      </c>
      <c r="E2350" s="71">
        <f>+_xlfn.XLOOKUP(Tabla6[[#This Row],[NOMBRE]],'RESUMEN CLIENTES'!A:A,'RESUMEN CLIENTES'!X:X)</f>
        <v>2</v>
      </c>
      <c r="F2350" s="71">
        <f>+_xlfn.XLOOKUP(Tabla6[[#This Row],[ID CLIENTE]],'RESUMEN CLIENTES'!D:D,'RESUMEN CLIENTES'!W:W)</f>
        <v>1</v>
      </c>
      <c r="G2350" s="17">
        <v>46543</v>
      </c>
      <c r="H2350" s="44" t="s">
        <v>81</v>
      </c>
      <c r="I2350" s="2">
        <v>650</v>
      </c>
      <c r="J2350"/>
      <c r="K2350"/>
      <c r="L2350" s="44" t="str" cm="1">
        <f t="array" ref="L2350">+_xlfn.IFS(COUNTIF(INGRESOS!E:E,Tabla6[[#This Row],[ID FACTURA]])=1,"PAGADA",Tabla6[[#This Row],[ID FACTURA]]&lt;&gt;0,"EMITIDA",Tabla6[[#This Row],[ID FACTURA]]=0,"POR EMITIR")</f>
        <v>POR EMITIR</v>
      </c>
      <c r="M2350" s="55" t="str">
        <f>+IF(Tabla6[[#This Row],[ESTADO FACTURA]]="PAGADA",Tabla6[[#This Row],[FECHA]]-_xlfn.XLOOKUP(Tabla6[[#This Row],[N° FACTURA]],INGRESOS!F:F,INGRESOS!A:A),"-")</f>
        <v>-</v>
      </c>
      <c r="N2350" s="2"/>
      <c r="O2350"/>
    </row>
    <row r="2351" spans="1:15" ht="15" customHeight="1">
      <c r="A2351" s="320" t="s">
        <v>703</v>
      </c>
      <c r="B2351" t="str">
        <f>+_xlfn.XLOOKUP(Tabla6[[#This Row],[ID CLIENTE]],'RESUMEN CLIENTES'!D:D,'RESUMEN CLIENTES'!A:A)</f>
        <v>Maira Paz Navas Sánchez</v>
      </c>
      <c r="C2351" t="str">
        <f>+_xlfn.XLOOKUP(Tabla6[[#This Row],[ID CLIENTE]],'RESUMEN CLIENTES'!D:D,'RESUMEN CLIENTES'!C:C)</f>
        <v>Chile</v>
      </c>
      <c r="D2351" s="44" t="str">
        <f>+_xlfn.XLOOKUP(Tabla6[[#This Row],[ID CLIENTE]],'RESUMEN CLIENTES'!D:D,'RESUMEN CLIENTES'!M:M)</f>
        <v>OK</v>
      </c>
      <c r="E2351" s="72">
        <f>+_xlfn.XLOOKUP(Tabla6[[#This Row],[NOMBRE]],'RESUMEN CLIENTES'!A:A,'RESUMEN CLIENTES'!X:X)</f>
        <v>-1.75</v>
      </c>
      <c r="F2351" s="72">
        <f>+_xlfn.XLOOKUP(Tabla6[[#This Row],[ID CLIENTE]],'RESUMEN CLIENTES'!D:D,'RESUMEN CLIENTES'!W:W)</f>
        <v>1</v>
      </c>
      <c r="G2351" s="17">
        <v>46543</v>
      </c>
      <c r="H2351" s="44" t="s">
        <v>81</v>
      </c>
      <c r="I2351" s="2">
        <v>700</v>
      </c>
      <c r="J2351"/>
      <c r="K2351"/>
      <c r="L2351" s="44" t="str" cm="1">
        <f t="array" ref="L2351">+_xlfn.IFS(COUNTIF(INGRESOS!E:E,Tabla6[[#This Row],[ID FACTURA]])=1,"PAGADA",Tabla6[[#This Row],[ID FACTURA]]&lt;&gt;0,"EMITIDA",Tabla6[[#This Row],[ID FACTURA]]=0,"POR EMITIR")</f>
        <v>POR EMITIR</v>
      </c>
      <c r="M2351" s="55" t="str">
        <f>+IF(Tabla6[[#This Row],[ESTADO FACTURA]]="PAGADA",Tabla6[[#This Row],[FECHA]]-_xlfn.XLOOKUP(Tabla6[[#This Row],[N° FACTURA]],INGRESOS!F:F,INGRESOS!A:A),"-")</f>
        <v>-</v>
      </c>
      <c r="N2351" s="2"/>
      <c r="O2351"/>
    </row>
    <row r="2352" spans="1:15" ht="15" customHeight="1">
      <c r="A2352" s="320" t="s">
        <v>1152</v>
      </c>
      <c r="B2352" t="str">
        <f>+_xlfn.XLOOKUP(Tabla6[[#This Row],[ID CLIENTE]],'RESUMEN CLIENTES'!D:D,'RESUMEN CLIENTES'!A:A)</f>
        <v>Ricardo Ernesto Miño Valencia</v>
      </c>
      <c r="C2352" t="str">
        <f>+_xlfn.XLOOKUP(Tabla6[[#This Row],[ID CLIENTE]],'RESUMEN CLIENTES'!D:D,'RESUMEN CLIENTES'!C:C)</f>
        <v>Ecuador</v>
      </c>
      <c r="D2352" s="44" t="str">
        <f>+_xlfn.XLOOKUP(Tabla6[[#This Row],[ID CLIENTE]],'RESUMEN CLIENTES'!D:D,'RESUMEN CLIENTES'!M:M)</f>
        <v>OK</v>
      </c>
      <c r="E2352" s="72">
        <f>+_xlfn.XLOOKUP(Tabla6[[#This Row],[NOMBRE]],'RESUMEN CLIENTES'!A:A,'RESUMEN CLIENTES'!X:X)</f>
        <v>-3.2</v>
      </c>
      <c r="F2352" s="72">
        <f>+_xlfn.XLOOKUP(Tabla6[[#This Row],[ID CLIENTE]],'RESUMEN CLIENTES'!D:D,'RESUMEN CLIENTES'!W:W)</f>
        <v>1</v>
      </c>
      <c r="G2352" s="17">
        <v>46544</v>
      </c>
      <c r="H2352" s="44" t="s">
        <v>81</v>
      </c>
      <c r="I2352" s="2">
        <v>700</v>
      </c>
      <c r="J2352"/>
      <c r="K2352"/>
      <c r="L2352" s="44" t="str" cm="1">
        <f t="array" ref="L2352">+_xlfn.IFS(COUNTIF(INGRESOS!E:E,Tabla6[[#This Row],[ID FACTURA]])=1,"PAGADA",Tabla6[[#This Row],[ID FACTURA]]&lt;&gt;0,"EMITIDA",Tabla6[[#This Row],[ID FACTURA]]=0,"POR EMITIR")</f>
        <v>POR EMITIR</v>
      </c>
      <c r="M2352" s="55" t="str">
        <f>+IF(Tabla6[[#This Row],[ESTADO FACTURA]]="PAGADA",Tabla6[[#This Row],[FECHA]]-_xlfn.XLOOKUP(Tabla6[[#This Row],[N° FACTURA]],INGRESOS!F:F,INGRESOS!A:A),"-")</f>
        <v>-</v>
      </c>
      <c r="N2352" s="2"/>
      <c r="O2352"/>
    </row>
    <row r="2353" spans="1:15" ht="15" customHeight="1">
      <c r="A2353" s="320" t="s">
        <v>1945</v>
      </c>
      <c r="B2353" t="str">
        <f>+_xlfn.XLOOKUP(Tabla6[[#This Row],[ID CLIENTE]],'RESUMEN CLIENTES'!D:D,'RESUMEN CLIENTES'!A:A)</f>
        <v>Fernanda Constanza Kompai Antu Arellano Guzmán</v>
      </c>
      <c r="C2353" t="str">
        <f>+_xlfn.XLOOKUP(Tabla6[[#This Row],[ID CLIENTE]],'RESUMEN CLIENTES'!D:D,'RESUMEN CLIENTES'!C:C)</f>
        <v>Chile</v>
      </c>
      <c r="D2353" s="169" t="str">
        <f>+_xlfn.XLOOKUP(Tabla6[[#This Row],[ID CLIENTE]],'RESUMEN CLIENTES'!D:D,'RESUMEN CLIENTES'!M:M)</f>
        <v>OK</v>
      </c>
      <c r="E2353" s="71">
        <f>+_xlfn.XLOOKUP(Tabla6[[#This Row],[NOMBRE]],'RESUMEN CLIENTES'!A:A,'RESUMEN CLIENTES'!X:X)</f>
        <v>0</v>
      </c>
      <c r="F2353" s="71">
        <f>+_xlfn.XLOOKUP(Tabla6[[#This Row],[ID CLIENTE]],'RESUMEN CLIENTES'!D:D,'RESUMEN CLIENTES'!W:W)</f>
        <v>0</v>
      </c>
      <c r="G2353" s="170">
        <v>46553</v>
      </c>
      <c r="H2353" s="170" t="s">
        <v>81</v>
      </c>
      <c r="I2353" s="2">
        <v>650</v>
      </c>
      <c r="J2353"/>
      <c r="K2353"/>
      <c r="L2353" s="44" t="str" cm="1">
        <f t="array" ref="L2353">+_xlfn.IFS(COUNTIF(INGRESOS!E:E,Tabla6[[#This Row],[ID FACTURA]])=1,"PAGADA",Tabla6[[#This Row],[ID FACTURA]]&lt;&gt;0,"EMITIDA",Tabla6[[#This Row],[ID FACTURA]]=0,"POR EMITIR")</f>
        <v>POR EMITIR</v>
      </c>
      <c r="M2353" s="54" t="str">
        <f>+IF(Tabla6[[#This Row],[ESTADO FACTURA]]="PAGADA",Tabla6[[#This Row],[FECHA]]-_xlfn.XLOOKUP(Tabla6[[#This Row],[N° FACTURA]],INGRESOS!F:F,INGRESOS!A:A),"-")</f>
        <v>-</v>
      </c>
      <c r="O2353"/>
    </row>
    <row r="2354" spans="1:15" ht="15" customHeight="1">
      <c r="A2354" s="321" t="s">
        <v>1875</v>
      </c>
      <c r="B2354" t="str">
        <f>+_xlfn.XLOOKUP(Tabla6[[#This Row],[ID CLIENTE]],'RESUMEN CLIENTES'!D:D,'RESUMEN CLIENTES'!A:A)</f>
        <v>Laura Giraldo</v>
      </c>
      <c r="C2354" t="str">
        <f>+_xlfn.XLOOKUP(Tabla6[[#This Row],[ID CLIENTE]],'RESUMEN CLIENTES'!D:D,'RESUMEN CLIENTES'!C:C)</f>
        <v>Colombia</v>
      </c>
      <c r="D2354" s="169" t="str">
        <f>+_xlfn.XLOOKUP(Tabla6[[#This Row],[ID CLIENTE]],'RESUMEN CLIENTES'!D:D,'RESUMEN CLIENTES'!M:M)</f>
        <v>OK</v>
      </c>
      <c r="E2354" s="71">
        <f>+_xlfn.XLOOKUP(Tabla6[[#This Row],[NOMBRE]],'RESUMEN CLIENTES'!A:A,'RESUMEN CLIENTES'!X:X)</f>
        <v>-3.25</v>
      </c>
      <c r="F2354" s="71">
        <f>+_xlfn.XLOOKUP(Tabla6[[#This Row],[ID CLIENTE]],'RESUMEN CLIENTES'!D:D,'RESUMEN CLIENTES'!W:W)</f>
        <v>1</v>
      </c>
      <c r="G2354" s="17">
        <v>46553</v>
      </c>
      <c r="H2354" s="169" t="s">
        <v>1876</v>
      </c>
      <c r="I2354" s="2">
        <v>1000</v>
      </c>
      <c r="J2354"/>
      <c r="K2354"/>
      <c r="L2354" s="44" t="str" cm="1">
        <f t="array" ref="L2354">+_xlfn.IFS(COUNTIF(INGRESOS!E:E,Tabla6[[#This Row],[ID FACTURA]])=1,"PAGADA",Tabla6[[#This Row],[ID FACTURA]]&lt;&gt;0,"EMITIDA",Tabla6[[#This Row],[ID FACTURA]]=0,"POR EMITIR")</f>
        <v>POR EMITIR</v>
      </c>
      <c r="M2354" s="54" t="str">
        <f>+IF(Tabla6[[#This Row],[ESTADO FACTURA]]="PAGADA",Tabla6[[#This Row],[FECHA]]-_xlfn.XLOOKUP(Tabla6[[#This Row],[N° FACTURA]],INGRESOS!F:F,INGRESOS!A:A),"-")</f>
        <v>-</v>
      </c>
      <c r="O2354"/>
    </row>
    <row r="2355" spans="1:15" ht="15" customHeight="1">
      <c r="A2355" s="321" t="s">
        <v>1756</v>
      </c>
      <c r="B2355" t="str">
        <f>+_xlfn.XLOOKUP(Tabla6[[#This Row],[ID CLIENTE]],'RESUMEN CLIENTES'!D:D,'RESUMEN CLIENTES'!A:A)</f>
        <v>Aylin Micaela Ortiz Chiriboga</v>
      </c>
      <c r="C2355" t="str">
        <f>+_xlfn.XLOOKUP(Tabla6[[#This Row],[ID CLIENTE]],'RESUMEN CLIENTES'!D:D,'RESUMEN CLIENTES'!C:C)</f>
        <v>Ecuador</v>
      </c>
      <c r="D2355" s="169" t="str">
        <f>+_xlfn.XLOOKUP(Tabla6[[#This Row],[ID CLIENTE]],'RESUMEN CLIENTES'!D:D,'RESUMEN CLIENTES'!M:M)</f>
        <v>¡REGULARIZAR!</v>
      </c>
      <c r="E2355" s="71">
        <f>+_xlfn.XLOOKUP(Tabla6[[#This Row],[NOMBRE]],'RESUMEN CLIENTES'!A:A,'RESUMEN CLIENTES'!X:X)</f>
        <v>0</v>
      </c>
      <c r="F2355" s="71">
        <f>+_xlfn.XLOOKUP(Tabla6[[#This Row],[ID CLIENTE]],'RESUMEN CLIENTES'!D:D,'RESUMEN CLIENTES'!W:W)</f>
        <v>1</v>
      </c>
      <c r="G2355" s="170">
        <v>46554</v>
      </c>
      <c r="H2355" s="169" t="s">
        <v>81</v>
      </c>
      <c r="I2355" s="2">
        <v>650</v>
      </c>
      <c r="J2355"/>
      <c r="K2355"/>
      <c r="L2355" s="44" t="str" cm="1">
        <f t="array" ref="L2355">+_xlfn.IFS(COUNTIF(INGRESOS!E:E,Tabla6[[#This Row],[ID FACTURA]])=1,"PAGADA",Tabla6[[#This Row],[ID FACTURA]]&lt;&gt;0,"EMITIDA",Tabla6[[#This Row],[ID FACTURA]]=0,"POR EMITIR")</f>
        <v>POR EMITIR</v>
      </c>
      <c r="M2355" s="54" t="str">
        <f>+IF(Tabla6[[#This Row],[ESTADO FACTURA]]="PAGADA",Tabla6[[#This Row],[FECHA]]-_xlfn.XLOOKUP(Tabla6[[#This Row],[N° FACTURA]],INGRESOS!F:F,INGRESOS!A:A),"-")</f>
        <v>-</v>
      </c>
      <c r="O2355"/>
    </row>
    <row r="2356" spans="1:15" ht="15" customHeight="1">
      <c r="A2356" s="320" t="s">
        <v>1996</v>
      </c>
      <c r="B2356" t="str">
        <f>+_xlfn.XLOOKUP(Tabla6[[#This Row],[ID CLIENTE]],'RESUMEN CLIENTES'!D:D,'RESUMEN CLIENTES'!A:A)</f>
        <v>Ivan Gonzales Graus</v>
      </c>
      <c r="C2356" t="str">
        <f>+_xlfn.XLOOKUP(Tabla6[[#This Row],[ID CLIENTE]],'RESUMEN CLIENTES'!D:D,'RESUMEN CLIENTES'!C:C)</f>
        <v>Perú</v>
      </c>
      <c r="D2356" s="169" t="str">
        <f>+_xlfn.XLOOKUP(Tabla6[[#This Row],[ID CLIENTE]],'RESUMEN CLIENTES'!D:D,'RESUMEN CLIENTES'!M:M)</f>
        <v>OK</v>
      </c>
      <c r="E2356" s="71">
        <f>+_xlfn.XLOOKUP(Tabla6[[#This Row],[NOMBRE]],'RESUMEN CLIENTES'!A:A,'RESUMEN CLIENTES'!X:X)</f>
        <v>-2</v>
      </c>
      <c r="F2356" s="71">
        <f>+_xlfn.XLOOKUP(Tabla6[[#This Row],[ID CLIENTE]],'RESUMEN CLIENTES'!D:D,'RESUMEN CLIENTES'!W:W)</f>
        <v>1</v>
      </c>
      <c r="G2356" s="17">
        <v>46554</v>
      </c>
      <c r="H2356" s="169" t="s">
        <v>81</v>
      </c>
      <c r="I2356" s="2">
        <v>650</v>
      </c>
      <c r="J2356"/>
      <c r="K2356"/>
      <c r="L2356" s="44" t="str" cm="1">
        <f t="array" ref="L2356">+_xlfn.IFS(COUNTIF(INGRESOS!E:E,Tabla6[[#This Row],[ID FACTURA]])=1,"PAGADA",Tabla6[[#This Row],[ID FACTURA]]&lt;&gt;0,"EMITIDA",Tabla6[[#This Row],[ID FACTURA]]=0,"POR EMITIR")</f>
        <v>POR EMITIR</v>
      </c>
      <c r="M2356" s="54" t="str">
        <f>+IF(Tabla6[[#This Row],[ESTADO FACTURA]]="PAGADA",Tabla6[[#This Row],[FECHA]]-_xlfn.XLOOKUP(Tabla6[[#This Row],[N° FACTURA]],INGRESOS!F:F,INGRESOS!A:A),"-")</f>
        <v>-</v>
      </c>
      <c r="O2356"/>
    </row>
    <row r="2357" spans="1:15" ht="15" customHeight="1">
      <c r="A2357" s="320" t="s">
        <v>2046</v>
      </c>
      <c r="B2357" t="str">
        <f>+_xlfn.XLOOKUP(Tabla6[[#This Row],[ID CLIENTE]],'RESUMEN CLIENTES'!D:D,'RESUMEN CLIENTES'!A:A)</f>
        <v>Jesica Daniela Paredes Mendoza</v>
      </c>
      <c r="C2357" t="str">
        <f>+_xlfn.XLOOKUP(Tabla6[[#This Row],[ID CLIENTE]],'RESUMEN CLIENTES'!D:D,'RESUMEN CLIENTES'!C:C)</f>
        <v>México</v>
      </c>
      <c r="D2357" s="169" t="str">
        <f>+_xlfn.XLOOKUP(Tabla6[[#This Row],[ID CLIENTE]],'RESUMEN CLIENTES'!D:D,'RESUMEN CLIENTES'!M:M)</f>
        <v>OK</v>
      </c>
      <c r="E2357" s="71">
        <f>+_xlfn.XLOOKUP(Tabla6[[#This Row],[NOMBRE]],'RESUMEN CLIENTES'!A:A,'RESUMEN CLIENTES'!X:X)</f>
        <v>-2.75</v>
      </c>
      <c r="F2357" s="71">
        <f>+_xlfn.XLOOKUP(Tabla6[[#This Row],[ID CLIENTE]],'RESUMEN CLIENTES'!D:D,'RESUMEN CLIENTES'!W:W)</f>
        <v>1</v>
      </c>
      <c r="G2357" s="17">
        <v>46554</v>
      </c>
      <c r="H2357" s="169" t="s">
        <v>81</v>
      </c>
      <c r="I2357" s="2">
        <v>500</v>
      </c>
      <c r="J2357"/>
      <c r="K2357"/>
      <c r="L2357" s="44" t="str" cm="1">
        <f t="array" ref="L2357">+_xlfn.IFS(COUNTIF(INGRESOS!E:E,Tabla6[[#This Row],[ID FACTURA]])=1,"PAGADA",Tabla6[[#This Row],[ID FACTURA]]&lt;&gt;0,"EMITIDA",Tabla6[[#This Row],[ID FACTURA]]=0,"POR EMITIR")</f>
        <v>POR EMITIR</v>
      </c>
      <c r="M2357" s="54" t="str">
        <f>+IF(Tabla6[[#This Row],[ESTADO FACTURA]]="PAGADA",Tabla6[[#This Row],[FECHA]]-_xlfn.XLOOKUP(Tabla6[[#This Row],[N° FACTURA]],INGRESOS!F:F,INGRESOS!A:A),"-")</f>
        <v>-</v>
      </c>
      <c r="O2357"/>
    </row>
    <row r="2358" spans="1:15" ht="15" customHeight="1">
      <c r="A2358" s="320" t="s">
        <v>739</v>
      </c>
      <c r="B2358" t="str">
        <f>+_xlfn.XLOOKUP(Tabla6[[#This Row],[ID CLIENTE]],'RESUMEN CLIENTES'!D:D,'RESUMEN CLIENTES'!A:A)</f>
        <v>Gilberto Martiñon Torres</v>
      </c>
      <c r="C2358" t="str">
        <f>+_xlfn.XLOOKUP(Tabla6[[#This Row],[ID CLIENTE]],'RESUMEN CLIENTES'!D:D,'RESUMEN CLIENTES'!C:C)</f>
        <v>México</v>
      </c>
      <c r="D2358" s="44" t="str">
        <f>+_xlfn.XLOOKUP(Tabla6[[#This Row],[ID CLIENTE]],'RESUMEN CLIENTES'!D:D,'RESUMEN CLIENTES'!M:M)</f>
        <v>OK</v>
      </c>
      <c r="E2358" s="72">
        <f>+_xlfn.XLOOKUP(Tabla6[[#This Row],[NOMBRE]],'RESUMEN CLIENTES'!A:A,'RESUMEN CLIENTES'!X:X)</f>
        <v>-0.625</v>
      </c>
      <c r="F2358" s="72">
        <f>+_xlfn.XLOOKUP(Tabla6[[#This Row],[ID CLIENTE]],'RESUMEN CLIENTES'!D:D,'RESUMEN CLIENTES'!W:W)</f>
        <v>0</v>
      </c>
      <c r="G2358" s="17">
        <v>46568</v>
      </c>
      <c r="H2358" s="44" t="s">
        <v>81</v>
      </c>
      <c r="I2358" s="2">
        <v>700</v>
      </c>
      <c r="J2358"/>
      <c r="K2358"/>
      <c r="L2358" s="44" t="str" cm="1">
        <f t="array" ref="L2358">+_xlfn.IFS(COUNTIF(INGRESOS!E:E,Tabla6[[#This Row],[ID FACTURA]])=1,"PAGADA",Tabla6[[#This Row],[ID FACTURA]]&lt;&gt;0,"EMITIDA",Tabla6[[#This Row],[ID FACTURA]]=0,"POR EMITIR")</f>
        <v>POR EMITIR</v>
      </c>
      <c r="M2358" s="55" t="str">
        <f>+IF(Tabla6[[#This Row],[ESTADO FACTURA]]="PAGADA",Tabla6[[#This Row],[FECHA]]-_xlfn.XLOOKUP(Tabla6[[#This Row],[N° FACTURA]],INGRESOS!F:F,INGRESOS!A:A),"-")</f>
        <v>-</v>
      </c>
      <c r="N2358" s="2"/>
      <c r="O2358"/>
    </row>
    <row r="2359" spans="1:15" ht="15" customHeight="1">
      <c r="A2359" s="320" t="s">
        <v>139</v>
      </c>
      <c r="B2359" t="str">
        <f>+_xlfn.XLOOKUP(Tabla6[[#This Row],[ID CLIENTE]],'RESUMEN CLIENTES'!D:D,'RESUMEN CLIENTES'!A:A)</f>
        <v>Hugo Nicolás Trávez Morales</v>
      </c>
      <c r="C2359" t="str">
        <f>+_xlfn.XLOOKUP(Tabla6[[#This Row],[ID CLIENTE]],'RESUMEN CLIENTES'!D:D,'RESUMEN CLIENTES'!C:C)</f>
        <v>Ecuador</v>
      </c>
      <c r="D2359" s="169" t="str">
        <f>+_xlfn.XLOOKUP(Tabla6[[#This Row],[ID CLIENTE]],'RESUMEN CLIENTES'!D:D,'RESUMEN CLIENTES'!M:M)</f>
        <v>OK</v>
      </c>
      <c r="E2359" s="71">
        <f>+_xlfn.XLOOKUP(Tabla6[[#This Row],[NOMBRE]],'RESUMEN CLIENTES'!A:A,'RESUMEN CLIENTES'!X:X)</f>
        <v>0</v>
      </c>
      <c r="F2359" s="71">
        <f>+_xlfn.XLOOKUP(Tabla6[[#This Row],[ID CLIENTE]],'RESUMEN CLIENTES'!D:D,'RESUMEN CLIENTES'!W:W)</f>
        <v>0</v>
      </c>
      <c r="G2359" s="17">
        <v>46568</v>
      </c>
      <c r="H2359" s="44" t="s">
        <v>81</v>
      </c>
      <c r="I2359" s="2">
        <v>1000</v>
      </c>
      <c r="J2359"/>
      <c r="K2359"/>
      <c r="L2359" s="44" t="str" cm="1">
        <f t="array" ref="L2359">+_xlfn.IFS(COUNTIF(INGRESOS!E:E,Tabla6[[#This Row],[ID FACTURA]])=1,"PAGADA",Tabla6[[#This Row],[ID FACTURA]]&lt;&gt;0,"EMITIDA",Tabla6[[#This Row],[ID FACTURA]]=0,"POR EMITIR")</f>
        <v>POR EMITIR</v>
      </c>
      <c r="M2359" s="54" t="str">
        <f>+IF(Tabla6[[#This Row],[ESTADO FACTURA]]="PAGADA",Tabla6[[#This Row],[FECHA]]-_xlfn.XLOOKUP(Tabla6[[#This Row],[N° FACTURA]],INGRESOS!F:F,INGRESOS!A:A),"-")</f>
        <v>-</v>
      </c>
      <c r="O2359"/>
    </row>
    <row r="2360" spans="1:15" ht="15" customHeight="1">
      <c r="A2360" s="320" t="s">
        <v>590</v>
      </c>
      <c r="B2360" t="str">
        <f>+_xlfn.XLOOKUP(Tabla6[[#This Row],[ID CLIENTE]],'RESUMEN CLIENTES'!D:D,'RESUMEN CLIENTES'!A:A)</f>
        <v>María Lucero de Jesús Barrios Sazo</v>
      </c>
      <c r="C2360" t="str">
        <f>+_xlfn.XLOOKUP(Tabla6[[#This Row],[ID CLIENTE]],'RESUMEN CLIENTES'!D:D,'RESUMEN CLIENTES'!C:C)</f>
        <v>Guatemala</v>
      </c>
      <c r="D2360" s="44" t="str">
        <f>+_xlfn.XLOOKUP(Tabla6[[#This Row],[ID CLIENTE]],'RESUMEN CLIENTES'!D:D,'RESUMEN CLIENTES'!M:M)</f>
        <v>OK</v>
      </c>
      <c r="E2360" s="72">
        <f>+_xlfn.XLOOKUP(Tabla6[[#This Row],[NOMBRE]],'RESUMEN CLIENTES'!A:A,'RESUMEN CLIENTES'!X:X)</f>
        <v>1.25</v>
      </c>
      <c r="F2360" s="72">
        <f>+_xlfn.XLOOKUP(Tabla6[[#This Row],[ID CLIENTE]],'RESUMEN CLIENTES'!D:D,'RESUMEN CLIENTES'!W:W)</f>
        <v>0</v>
      </c>
      <c r="G2360" s="17">
        <v>46568</v>
      </c>
      <c r="H2360" s="44" t="s">
        <v>81</v>
      </c>
      <c r="I2360" s="2">
        <v>700</v>
      </c>
      <c r="J2360"/>
      <c r="K2360"/>
      <c r="L2360" s="44" t="str" cm="1">
        <f t="array" ref="L2360">+_xlfn.IFS(COUNTIF(INGRESOS!E:E,Tabla6[[#This Row],[ID FACTURA]])=1,"PAGADA",Tabla6[[#This Row],[ID FACTURA]]&lt;&gt;0,"EMITIDA",Tabla6[[#This Row],[ID FACTURA]]=0,"POR EMITIR")</f>
        <v>POR EMITIR</v>
      </c>
      <c r="M2360" s="55" t="str">
        <f>+IF(Tabla6[[#This Row],[ESTADO FACTURA]]="PAGADA",Tabla6[[#This Row],[FECHA]]-_xlfn.XLOOKUP(Tabla6[[#This Row],[N° FACTURA]],INGRESOS!F:F,INGRESOS!A:A),"-")</f>
        <v>-</v>
      </c>
      <c r="N2360" s="2"/>
      <c r="O2360"/>
    </row>
    <row r="2361" spans="1:15" ht="15" customHeight="1">
      <c r="A2361" s="320" t="s">
        <v>84</v>
      </c>
      <c r="B2361" t="str">
        <f>+_xlfn.XLOOKUP(Tabla6[[#This Row],[ID CLIENTE]],'RESUMEN CLIENTES'!D:D,'RESUMEN CLIENTES'!A:A)</f>
        <v>Andrea Corpeño López</v>
      </c>
      <c r="C2361" t="str">
        <f>+_xlfn.XLOOKUP(Tabla6[[#This Row],[ID CLIENTE]],'RESUMEN CLIENTES'!D:D,'RESUMEN CLIENTES'!C:C)</f>
        <v>El Salvador</v>
      </c>
      <c r="D2361" s="44" t="str">
        <f>+_xlfn.XLOOKUP(Tabla6[[#This Row],[ID CLIENTE]],'RESUMEN CLIENTES'!D:D,'RESUMEN CLIENTES'!M:M)</f>
        <v>OK</v>
      </c>
      <c r="E2361" s="72">
        <f>+_xlfn.XLOOKUP(Tabla6[[#This Row],[NOMBRE]],'RESUMEN CLIENTES'!A:A,'RESUMEN CLIENTES'!X:X)</f>
        <v>-0.81818181818181823</v>
      </c>
      <c r="F2361" s="72">
        <f>+_xlfn.XLOOKUP(Tabla6[[#This Row],[ID CLIENTE]],'RESUMEN CLIENTES'!D:D,'RESUMEN CLIENTES'!W:W)</f>
        <v>0</v>
      </c>
      <c r="G2361" s="17">
        <f>IF($H2361&lt;&gt;"ALEM","",IFERROR(
  DATE(
    YEAR(EDATE(
      _xlfn.XLOOKUP($A2361,'RESUMEN CLIENTES'!$D:$D,'RESUMEN CLIENTES'!$Y:$Y,""),
      7 + COUNTIFS(
            $A$2:INDEX($A:$A,ROW()), $A2361,
            $H$2:INDEX($H:$H,ROW()), "ALEM"
          )
    )),
    MONTH(EDATE(
      _xlfn.XLOOKUP($A2361,'RESUMEN CLIENTES'!$D:$D,'RESUMEN CLIENTES'!$Y:$Y,""),
      7 + COUNTIFS(
            $A$2:INDEX($A:$A,ROW()), $A2361,
            $H$2:INDEX($H:$H,ROW()), "ALEM"
          )
    )),
    1
  ),
"SIN FECHA MIG"))</f>
        <v>46569</v>
      </c>
      <c r="H2361" s="44" t="s">
        <v>1876</v>
      </c>
      <c r="I2361" s="2">
        <v>1000</v>
      </c>
      <c r="J2361"/>
      <c r="K2361"/>
      <c r="L2361" s="44" t="str" cm="1">
        <f t="array" ref="L2361">+_xlfn.IFS(COUNTIF(INGRESOS!E:E,Tabla6[[#This Row],[ID FACTURA]])=1,"PAGADA",Tabla6[[#This Row],[ID FACTURA]]&lt;&gt;0,"EMITIDA",Tabla6[[#This Row],[ID FACTURA]]=0,"POR EMITIR")</f>
        <v>POR EMITIR</v>
      </c>
      <c r="M2361" s="55" t="str">
        <f>+IF(Tabla6[[#This Row],[ESTADO FACTURA]]="PAGADA",Tabla6[[#This Row],[FECHA]]-_xlfn.XLOOKUP(Tabla6[[#This Row],[N° FACTURA]],INGRESOS!F:F,INGRESOS!A:A),"-")</f>
        <v>-</v>
      </c>
      <c r="N2361" s="2"/>
      <c r="O2361" t="s">
        <v>2086</v>
      </c>
    </row>
    <row r="2362" spans="1:15" ht="15" customHeight="1">
      <c r="A2362" s="320" t="s">
        <v>527</v>
      </c>
      <c r="B2362" t="str">
        <f>+_xlfn.XLOOKUP(Tabla6[[#This Row],[ID CLIENTE]],'RESUMEN CLIENTES'!D:D,'RESUMEN CLIENTES'!A:A)</f>
        <v>Angie Pérez Cáceres</v>
      </c>
      <c r="C2362" t="str">
        <f>+_xlfn.XLOOKUP(Tabla6[[#This Row],[ID CLIENTE]],'RESUMEN CLIENTES'!D:D,'RESUMEN CLIENTES'!C:C)</f>
        <v>Perú</v>
      </c>
      <c r="D2362" s="44" t="str">
        <f>+_xlfn.XLOOKUP(Tabla6[[#This Row],[ID CLIENTE]],'RESUMEN CLIENTES'!D:D,'RESUMEN CLIENTES'!M:M)</f>
        <v>OK</v>
      </c>
      <c r="E2362" s="72">
        <f>+_xlfn.XLOOKUP(Tabla6[[#This Row],[NOMBRE]],'RESUMEN CLIENTES'!A:A,'RESUMEN CLIENTES'!X:X)</f>
        <v>1.625</v>
      </c>
      <c r="F2362" s="72">
        <f>+_xlfn.XLOOKUP(Tabla6[[#This Row],[ID CLIENTE]],'RESUMEN CLIENTES'!D:D,'RESUMEN CLIENTES'!W:W)</f>
        <v>0</v>
      </c>
      <c r="G2362" s="17">
        <f>IF($H2362&lt;&gt;"ALEM","",IFERROR(
  DATE(
    YEAR(EDATE(
      _xlfn.XLOOKUP($A2362,'RESUMEN CLIENTES'!$D:$D,'RESUMEN CLIENTES'!$Y:$Y,""),
      7 + COUNTIFS(
            $A$2:INDEX($A:$A,ROW()), $A2362,
            $H$2:INDEX($H:$H,ROW()), "ALEM"
          )
    )),
    MONTH(EDATE(
      _xlfn.XLOOKUP($A2362,'RESUMEN CLIENTES'!$D:$D,'RESUMEN CLIENTES'!$Y:$Y,""),
      7 + COUNTIFS(
            $A$2:INDEX($A:$A,ROW()), $A2362,
            $H$2:INDEX($H:$H,ROW()), "ALEM"
          )
    )),
    1
  ),
"SIN FECHA MIG"))</f>
        <v>46569</v>
      </c>
      <c r="H2362" s="44" t="s">
        <v>1876</v>
      </c>
      <c r="I2362" s="2">
        <v>1000</v>
      </c>
      <c r="J2362"/>
      <c r="K2362"/>
      <c r="L2362" s="44" t="str" cm="1">
        <f t="array" ref="L2362">+_xlfn.IFS(COUNTIF(INGRESOS!E:E,Tabla6[[#This Row],[ID FACTURA]])=1,"PAGADA",Tabla6[[#This Row],[ID FACTURA]]&lt;&gt;0,"EMITIDA",Tabla6[[#This Row],[ID FACTURA]]=0,"POR EMITIR")</f>
        <v>POR EMITIR</v>
      </c>
      <c r="M2362" s="55" t="str">
        <f>+IF(Tabla6[[#This Row],[ESTADO FACTURA]]="PAGADA",Tabla6[[#This Row],[FECHA]]-_xlfn.XLOOKUP(Tabla6[[#This Row],[N° FACTURA]],INGRESOS!F:F,INGRESOS!A:A),"-")</f>
        <v>-</v>
      </c>
      <c r="N2362" s="2"/>
      <c r="O2362" t="s">
        <v>2084</v>
      </c>
    </row>
    <row r="2363" spans="1:15" ht="15" customHeight="1">
      <c r="A2363" s="320" t="s">
        <v>530</v>
      </c>
      <c r="B2363" t="str">
        <f>+_xlfn.XLOOKUP(Tabla6[[#This Row],[ID CLIENTE]],'RESUMEN CLIENTES'!D:D,'RESUMEN CLIENTES'!A:A)</f>
        <v>Antonio José Estrada Hoyo</v>
      </c>
      <c r="C2363" t="str">
        <f>+_xlfn.XLOOKUP(Tabla6[[#This Row],[ID CLIENTE]],'RESUMEN CLIENTES'!D:D,'RESUMEN CLIENTES'!C:C)</f>
        <v>Venezuela</v>
      </c>
      <c r="D2363" s="44" t="str">
        <f>+_xlfn.XLOOKUP(Tabla6[[#This Row],[ID CLIENTE]],'RESUMEN CLIENTES'!D:D,'RESUMEN CLIENTES'!M:M)</f>
        <v>OK</v>
      </c>
      <c r="E2363" s="72">
        <f>+_xlfn.XLOOKUP(Tabla6[[#This Row],[NOMBRE]],'RESUMEN CLIENTES'!A:A,'RESUMEN CLIENTES'!X:X)</f>
        <v>0</v>
      </c>
      <c r="F2363" s="72">
        <f>+_xlfn.XLOOKUP(Tabla6[[#This Row],[ID CLIENTE]],'RESUMEN CLIENTES'!D:D,'RESUMEN CLIENTES'!W:W)</f>
        <v>0</v>
      </c>
      <c r="G2363" s="17">
        <f>IF($H2363&lt;&gt;"ALEM","",IFERROR(
  DATE(
    YEAR(EDATE(
      _xlfn.XLOOKUP($A2363,'RESUMEN CLIENTES'!$D:$D,'RESUMEN CLIENTES'!$Y:$Y,""),
      7 + COUNTIFS(
            $A$2:INDEX($A:$A,ROW()), $A2363,
            $H$2:INDEX($H:$H,ROW()), "ALEM"
          )
    )),
    MONTH(EDATE(
      _xlfn.XLOOKUP($A2363,'RESUMEN CLIENTES'!$D:$D,'RESUMEN CLIENTES'!$Y:$Y,""),
      7 + COUNTIFS(
            $A$2:INDEX($A:$A,ROW()), $A2363,
            $H$2:INDEX($H:$H,ROW()), "ALEM"
          )
    )),
    1
  ),
"SIN FECHA MIG"))</f>
        <v>46569</v>
      </c>
      <c r="H2363" s="44" t="s">
        <v>1876</v>
      </c>
      <c r="I2363" s="2">
        <v>1000</v>
      </c>
      <c r="J2363"/>
      <c r="K2363"/>
      <c r="L2363" s="44" t="str" cm="1">
        <f t="array" ref="L2363">+_xlfn.IFS(COUNTIF(INGRESOS!E:E,Tabla6[[#This Row],[ID FACTURA]])=1,"PAGADA",Tabla6[[#This Row],[ID FACTURA]]&lt;&gt;0,"EMITIDA",Tabla6[[#This Row],[ID FACTURA]]=0,"POR EMITIR")</f>
        <v>POR EMITIR</v>
      </c>
      <c r="M2363" s="55" t="str">
        <f>+IF(Tabla6[[#This Row],[ESTADO FACTURA]]="PAGADA",Tabla6[[#This Row],[FECHA]]-_xlfn.XLOOKUP(Tabla6[[#This Row],[N° FACTURA]],INGRESOS!F:F,INGRESOS!A:A),"-")</f>
        <v>-</v>
      </c>
      <c r="N2363" s="2"/>
      <c r="O2363"/>
    </row>
    <row r="2364" spans="1:15" ht="15" customHeight="1">
      <c r="A2364" s="320" t="s">
        <v>2011</v>
      </c>
      <c r="B2364" t="str">
        <f>+_xlfn.XLOOKUP(Tabla6[[#This Row],[ID CLIENTE]],'RESUMEN CLIENTES'!D:D,'RESUMEN CLIENTES'!A:A)</f>
        <v>Bárbara Fuentes</v>
      </c>
      <c r="C2364" t="str">
        <f>+_xlfn.XLOOKUP(Tabla6[[#This Row],[ID CLIENTE]],'RESUMEN CLIENTES'!D:D,'RESUMEN CLIENTES'!C:C)</f>
        <v>Chile</v>
      </c>
      <c r="D2364" s="169" t="str">
        <f>+_xlfn.XLOOKUP(Tabla6[[#This Row],[ID CLIENTE]],'RESUMEN CLIENTES'!D:D,'RESUMEN CLIENTES'!M:M)</f>
        <v>OK</v>
      </c>
      <c r="E2364" s="71">
        <f>+_xlfn.XLOOKUP(Tabla6[[#This Row],[NOMBRE]],'RESUMEN CLIENTES'!A:A,'RESUMEN CLIENTES'!X:X)</f>
        <v>-0.33333333333333331</v>
      </c>
      <c r="F2364" s="71">
        <f>+_xlfn.XLOOKUP(Tabla6[[#This Row],[ID CLIENTE]],'RESUMEN CLIENTES'!D:D,'RESUMEN CLIENTES'!W:W)</f>
        <v>0</v>
      </c>
      <c r="G2364" s="17">
        <f>IF($H2364&lt;&gt;"ALEM","",IFERROR(
  DATE(
    YEAR(EDATE(
      _xlfn.XLOOKUP($A2364,'RESUMEN CLIENTES'!$D:$D,'RESUMEN CLIENTES'!$Y:$Y,""),
      7 + COUNTIFS(
            $A$2:INDEX($A:$A,ROW()), $A2364,
            $H$2:INDEX($H:$H,ROW()), "ALEM"
          )
    )),
    MONTH(EDATE(
      _xlfn.XLOOKUP($A2364,'RESUMEN CLIENTES'!$D:$D,'RESUMEN CLIENTES'!$Y:$Y,""),
      7 + COUNTIFS(
            $A$2:INDEX($A:$A,ROW()), $A2364,
            $H$2:INDEX($H:$H,ROW()), "ALEM"
          )
    )),
    1
  ),
"null"))</f>
        <v>46569</v>
      </c>
      <c r="H2364" s="169" t="s">
        <v>1876</v>
      </c>
      <c r="I2364" s="2">
        <v>1000</v>
      </c>
      <c r="J2364"/>
      <c r="K2364"/>
      <c r="L2364" s="44" t="str" cm="1">
        <f t="array" ref="L2364">+_xlfn.IFS(COUNTIF(INGRESOS!E:E,Tabla6[[#This Row],[ID FACTURA]])=1,"PAGADA",Tabla6[[#This Row],[ID FACTURA]]&lt;&gt;0,"EMITIDA",Tabla6[[#This Row],[ID FACTURA]]=0,"POR EMITIR")</f>
        <v>POR EMITIR</v>
      </c>
      <c r="M2364" s="54" t="str">
        <f>+IF(Tabla6[[#This Row],[ESTADO FACTURA]]="PAGADA",Tabla6[[#This Row],[FECHA]]-_xlfn.XLOOKUP(Tabla6[[#This Row],[N° FACTURA]],INGRESOS!F:F,INGRESOS!A:A),"-")</f>
        <v>-</v>
      </c>
      <c r="O2364"/>
    </row>
    <row r="2365" spans="1:15" ht="15" customHeight="1">
      <c r="A2365" s="320" t="s">
        <v>184</v>
      </c>
      <c r="B2365" t="str">
        <f>+_xlfn.XLOOKUP(Tabla6[[#This Row],[ID CLIENTE]],'RESUMEN CLIENTES'!D:D,'RESUMEN CLIENTES'!A:A)</f>
        <v>Boris Andrés Silva Véliz</v>
      </c>
      <c r="C2365" t="str">
        <f>+_xlfn.XLOOKUP(Tabla6[[#This Row],[ID CLIENTE]],'RESUMEN CLIENTES'!D:D,'RESUMEN CLIENTES'!C:C)</f>
        <v>Chile</v>
      </c>
      <c r="D2365" s="44" t="str">
        <f>+_xlfn.XLOOKUP(Tabla6[[#This Row],[ID CLIENTE]],'RESUMEN CLIENTES'!D:D,'RESUMEN CLIENTES'!M:M)</f>
        <v>OK</v>
      </c>
      <c r="E2365" s="72">
        <f>+_xlfn.XLOOKUP(Tabla6[[#This Row],[NOMBRE]],'RESUMEN CLIENTES'!A:A,'RESUMEN CLIENTES'!X:X)</f>
        <v>2.1111111111111112</v>
      </c>
      <c r="F2365" s="72">
        <f>+_xlfn.XLOOKUP(Tabla6[[#This Row],[ID CLIENTE]],'RESUMEN CLIENTES'!D:D,'RESUMEN CLIENTES'!W:W)</f>
        <v>0</v>
      </c>
      <c r="G2365" s="17">
        <f>IF($H2365&lt;&gt;"ALEM","",IFERROR(
  DATE(
    YEAR(EDATE(
      _xlfn.XLOOKUP($A2365,'RESUMEN CLIENTES'!$D:$D,'RESUMEN CLIENTES'!$Y:$Y,""),
      7 + COUNTIFS(
            $A$2:INDEX($A:$A,ROW()), $A2365,
            $H$2:INDEX($H:$H,ROW()), "ALEM"
          )
    )),
    MONTH(EDATE(
      _xlfn.XLOOKUP($A2365,'RESUMEN CLIENTES'!$D:$D,'RESUMEN CLIENTES'!$Y:$Y,""),
      7 + COUNTIFS(
            $A$2:INDEX($A:$A,ROW()), $A2365,
            $H$2:INDEX($H:$H,ROW()), "ALEM"
          )
    )),
    1
  ),
"SIN FECHA MIG"))</f>
        <v>46569</v>
      </c>
      <c r="H2365" s="44" t="s">
        <v>1876</v>
      </c>
      <c r="I2365" s="2">
        <v>458</v>
      </c>
      <c r="J2365"/>
      <c r="K2365"/>
      <c r="L2365" s="44" t="str" cm="1">
        <f t="array" ref="L2365">+_xlfn.IFS(COUNTIF(INGRESOS!E:E,Tabla6[[#This Row],[ID FACTURA]])=1,"PAGADA",Tabla6[[#This Row],[ID FACTURA]]&lt;&gt;0,"EMITIDA",Tabla6[[#This Row],[ID FACTURA]]=0,"POR EMITIR")</f>
        <v>POR EMITIR</v>
      </c>
      <c r="M2365" s="55" t="str">
        <f>+IF(Tabla6[[#This Row],[ESTADO FACTURA]]="PAGADA",Tabla6[[#This Row],[FECHA]]-_xlfn.XLOOKUP(Tabla6[[#This Row],[N° FACTURA]],INGRESOS!F:F,INGRESOS!A:A),"-")</f>
        <v>-</v>
      </c>
      <c r="N2365" s="2"/>
      <c r="O2365"/>
    </row>
    <row r="2366" spans="1:15" ht="15" customHeight="1">
      <c r="A2366" s="320" t="s">
        <v>4768</v>
      </c>
      <c r="B2366" t="str">
        <f>+_xlfn.XLOOKUP(Tabla6[[#This Row],[ID CLIENTE]],'RESUMEN CLIENTES'!D:D,'RESUMEN CLIENTES'!A:A)</f>
        <v>Carla Elena Patínez Rondón</v>
      </c>
      <c r="C2366" s="15" t="str">
        <f>+_xlfn.XLOOKUP(Tabla6[[#This Row],[ID CLIENTE]],'RESUMEN CLIENTES'!D:D,'RESUMEN CLIENTES'!C:C)</f>
        <v>Venezuela</v>
      </c>
      <c r="D2366" s="169" t="str">
        <f>+_xlfn.XLOOKUP(Tabla6[[#This Row],[ID CLIENTE]],'RESUMEN CLIENTES'!D:D,'RESUMEN CLIENTES'!M:M)</f>
        <v>OK</v>
      </c>
      <c r="E2366" s="71">
        <f>+_xlfn.XLOOKUP(Tabla6[[#This Row],[NOMBRE]],'RESUMEN CLIENTES'!A:A,'RESUMEN CLIENTES'!X:X)</f>
        <v>-9</v>
      </c>
      <c r="F2366" s="71">
        <f>+_xlfn.XLOOKUP(Tabla6[[#This Row],[ID CLIENTE]],'RESUMEN CLIENTES'!D:D,'RESUMEN CLIENTES'!W:W)</f>
        <v>0</v>
      </c>
      <c r="G2366" s="17">
        <f>IF($H2366&lt;&gt;"ALEM","",IFERROR(
  DATE(
    YEAR(EDATE(
      _xlfn.XLOOKUP($A2366,'RESUMEN CLIENTES'!$D:$D,'RESUMEN CLIENTES'!$Y:$Y,""),
      7 + COUNTIFS(
            $A$2:INDEX($A:$A,ROW()), $A2366,
            $H$2:INDEX($H:$H,ROW()), "ALEM"
          )
    )),
    MONTH(EDATE(
      _xlfn.XLOOKUP($A2366,'RESUMEN CLIENTES'!$D:$D,'RESUMEN CLIENTES'!$Y:$Y,""),
      7 + COUNTIFS(
            $A$2:INDEX($A:$A,ROW()), $A2366,
            $H$2:INDEX($H:$H,ROW()), "ALEM"
          )
    )),
    1
  ),
"null"))</f>
        <v>46569</v>
      </c>
      <c r="H2366" s="169" t="s">
        <v>1876</v>
      </c>
      <c r="I2366" s="2">
        <v>1000</v>
      </c>
      <c r="J2366"/>
      <c r="K2366"/>
      <c r="L2366" s="44" t="str" cm="1">
        <f t="array" ref="L2366">+_xlfn.IFS(COUNTIF(INGRESOS!E:E,Tabla6[[#This Row],[ID FACTURA]])=1,"PAGADA",Tabla6[[#This Row],[ID FACTURA]]&lt;&gt;0,"EMITIDA",Tabla6[[#This Row],[ID FACTURA]]=0,"POR EMITIR")</f>
        <v>POR EMITIR</v>
      </c>
      <c r="M2366" s="54" t="str">
        <f>+IF(Tabla6[[#This Row],[ESTADO FACTURA]]="PAGADA",Tabla6[[#This Row],[FECHA]]-_xlfn.XLOOKUP(Tabla6[[#This Row],[N° FACTURA]],INGRESOS!F:F,INGRESOS!A:A),"-")</f>
        <v>-</v>
      </c>
      <c r="O2366"/>
    </row>
    <row r="2367" spans="1:15" ht="15" customHeight="1">
      <c r="A2367" s="320" t="s">
        <v>751</v>
      </c>
      <c r="B2367" t="str">
        <f>+_xlfn.XLOOKUP(Tabla6[[#This Row],[ID CLIENTE]],'RESUMEN CLIENTES'!D:D,'RESUMEN CLIENTES'!A:A)</f>
        <v>Carlos Alberto Suarez Hernandez</v>
      </c>
      <c r="C2367" t="str">
        <f>+_xlfn.XLOOKUP(Tabla6[[#This Row],[ID CLIENTE]],'RESUMEN CLIENTES'!D:D,'RESUMEN CLIENTES'!C:C)</f>
        <v>Colombia</v>
      </c>
      <c r="D2367" s="44" t="str">
        <f>+_xlfn.XLOOKUP(Tabla6[[#This Row],[ID CLIENTE]],'RESUMEN CLIENTES'!D:D,'RESUMEN CLIENTES'!M:M)</f>
        <v>OK</v>
      </c>
      <c r="E2367" s="72">
        <f>+_xlfn.XLOOKUP(Tabla6[[#This Row],[NOMBRE]],'RESUMEN CLIENTES'!A:A,'RESUMEN CLIENTES'!X:X)</f>
        <v>0</v>
      </c>
      <c r="F2367" s="72">
        <f>+_xlfn.XLOOKUP(Tabla6[[#This Row],[ID CLIENTE]],'RESUMEN CLIENTES'!D:D,'RESUMEN CLIENTES'!W:W)</f>
        <v>1</v>
      </c>
      <c r="G2367" s="17">
        <f>IF($H2367&lt;&gt;"ALEM","",IFERROR(
  DATE(
    YEAR(EDATE(
      _xlfn.XLOOKUP($A2367,'RESUMEN CLIENTES'!$D:$D,'RESUMEN CLIENTES'!$Y:$Y,""),
      7 + COUNTIFS(
            $A$2:INDEX($A:$A,ROW()), $A2367,
            $H$2:INDEX($H:$H,ROW()), "ALEM"
          )
    )),
    MONTH(EDATE(
      _xlfn.XLOOKUP($A2367,'RESUMEN CLIENTES'!$D:$D,'RESUMEN CLIENTES'!$Y:$Y,""),
      7 + COUNTIFS(
            $A$2:INDEX($A:$A,ROW()), $A2367,
            $H$2:INDEX($H:$H,ROW()), "ALEM"
          )
    )),
    1
  ),
"SIN FECHA MIG"))</f>
        <v>46569</v>
      </c>
      <c r="H2367" s="44" t="s">
        <v>1876</v>
      </c>
      <c r="I2367" s="2">
        <v>1000</v>
      </c>
      <c r="J2367"/>
      <c r="K2367"/>
      <c r="L2367" s="44" t="str" cm="1">
        <f t="array" ref="L2367">+_xlfn.IFS(COUNTIF(INGRESOS!E:E,Tabla6[[#This Row],[ID FACTURA]])=1,"PAGADA",Tabla6[[#This Row],[ID FACTURA]]&lt;&gt;0,"EMITIDA",Tabla6[[#This Row],[ID FACTURA]]=0,"POR EMITIR")</f>
        <v>POR EMITIR</v>
      </c>
      <c r="M2367" s="55" t="str">
        <f>+IF(Tabla6[[#This Row],[ESTADO FACTURA]]="PAGADA",Tabla6[[#This Row],[FECHA]]-_xlfn.XLOOKUP(Tabla6[[#This Row],[N° FACTURA]],INGRESOS!F:F,INGRESOS!A:A),"-")</f>
        <v>-</v>
      </c>
      <c r="N2367" s="2"/>
      <c r="O2367" t="s">
        <v>2084</v>
      </c>
    </row>
    <row r="2368" spans="1:15" ht="15" customHeight="1">
      <c r="A2368" s="320" t="s">
        <v>1245</v>
      </c>
      <c r="B2368" t="str">
        <f>+_xlfn.XLOOKUP(Tabla6[[#This Row],[ID CLIENTE]],'RESUMEN CLIENTES'!D:D,'RESUMEN CLIENTES'!A:A)</f>
        <v>Constanza Andrea Águila Vergara</v>
      </c>
      <c r="C2368" t="str">
        <f>+_xlfn.XLOOKUP(Tabla6[[#This Row],[ID CLIENTE]],'RESUMEN CLIENTES'!D:D,'RESUMEN CLIENTES'!C:C)</f>
        <v>Chile</v>
      </c>
      <c r="D2368" s="44" t="str">
        <f>+_xlfn.XLOOKUP(Tabla6[[#This Row],[ID CLIENTE]],'RESUMEN CLIENTES'!D:D,'RESUMEN CLIENTES'!M:M)</f>
        <v>OK</v>
      </c>
      <c r="E2368" s="71">
        <f>+_xlfn.XLOOKUP(Tabla6[[#This Row],[NOMBRE]],'RESUMEN CLIENTES'!A:A,'RESUMEN CLIENTES'!X:X)</f>
        <v>-0.2</v>
      </c>
      <c r="F2368" s="71">
        <f>+_xlfn.XLOOKUP(Tabla6[[#This Row],[ID CLIENTE]],'RESUMEN CLIENTES'!D:D,'RESUMEN CLIENTES'!W:W)</f>
        <v>1</v>
      </c>
      <c r="G2368" s="17">
        <f>IF($H2368&lt;&gt;"ALEM","",IFERROR(
  DATE(
    YEAR(EDATE(
      _xlfn.XLOOKUP($A2368,'RESUMEN CLIENTES'!$D:$D,'RESUMEN CLIENTES'!$Y:$Y,""),
      7 + COUNTIFS(
            $A$2:INDEX($A:$A,ROW()), $A2368,
            $H$2:INDEX($H:$H,ROW()), "ALEM"
          )
    )),
    MONTH(EDATE(
      _xlfn.XLOOKUP($A2368,'RESUMEN CLIENTES'!$D:$D,'RESUMEN CLIENTES'!$Y:$Y,""),
      7 + COUNTIFS(
            $A$2:INDEX($A:$A,ROW()), $A2368,
            $H$2:INDEX($H:$H,ROW()), "ALEM"
          )
    )),
    1
  ),
"SIN FECHA MIG"))</f>
        <v>46569</v>
      </c>
      <c r="H2368" s="44" t="s">
        <v>1876</v>
      </c>
      <c r="I2368" s="2">
        <v>800</v>
      </c>
      <c r="J2368"/>
      <c r="K2368"/>
      <c r="L2368" s="44" t="str" cm="1">
        <f t="array" ref="L2368">+_xlfn.IFS(COUNTIF(INGRESOS!E:E,Tabla6[[#This Row],[ID FACTURA]])=1,"PAGADA",Tabla6[[#This Row],[ID FACTURA]]&lt;&gt;0,"EMITIDA",Tabla6[[#This Row],[ID FACTURA]]=0,"POR EMITIR")</f>
        <v>POR EMITIR</v>
      </c>
      <c r="M2368" s="55" t="str">
        <f>+IF(Tabla6[[#This Row],[ESTADO FACTURA]]="PAGADA",Tabla6[[#This Row],[FECHA]]-_xlfn.XLOOKUP(Tabla6[[#This Row],[N° FACTURA]],INGRESOS!F:F,INGRESOS!A:A),"-")</f>
        <v>-</v>
      </c>
      <c r="N2368" s="2"/>
      <c r="O2368"/>
    </row>
    <row r="2369" spans="1:15" ht="15" customHeight="1">
      <c r="A2369" s="320" t="s">
        <v>385</v>
      </c>
      <c r="B2369" t="str">
        <f>+_xlfn.XLOOKUP(Tabla6[[#This Row],[ID CLIENTE]],'RESUMEN CLIENTES'!D:D,'RESUMEN CLIENTES'!A:A)</f>
        <v>Ellen Cristina Gerónimo Bonilla</v>
      </c>
      <c r="C2369" t="str">
        <f>+_xlfn.XLOOKUP(Tabla6[[#This Row],[ID CLIENTE]],'RESUMEN CLIENTES'!D:D,'RESUMEN CLIENTES'!C:C)</f>
        <v>República Dominicana</v>
      </c>
      <c r="D2369" s="44" t="str">
        <f>+_xlfn.XLOOKUP(Tabla6[[#This Row],[ID CLIENTE]],'RESUMEN CLIENTES'!D:D,'RESUMEN CLIENTES'!M:M)</f>
        <v>OK</v>
      </c>
      <c r="E2369" s="72">
        <f>+_xlfn.XLOOKUP(Tabla6[[#This Row],[NOMBRE]],'RESUMEN CLIENTES'!A:A,'RESUMEN CLIENTES'!X:X)</f>
        <v>1.5555555555555556</v>
      </c>
      <c r="F2369" s="72">
        <f>+_xlfn.XLOOKUP(Tabla6[[#This Row],[ID CLIENTE]],'RESUMEN CLIENTES'!D:D,'RESUMEN CLIENTES'!W:W)</f>
        <v>1</v>
      </c>
      <c r="G2369" s="17">
        <f>IF($H2369&lt;&gt;"ALEM","",IFERROR(
  DATE(
    YEAR(EDATE(
      _xlfn.XLOOKUP($A2369,'RESUMEN CLIENTES'!$D:$D,'RESUMEN CLIENTES'!$Y:$Y,""),
      7 + COUNTIFS(
            $A$2:INDEX($A:$A,ROW()), $A2369,
            $H$2:INDEX($H:$H,ROW()), "ALEM"
          )
    )),
    MONTH(EDATE(
      _xlfn.XLOOKUP($A2369,'RESUMEN CLIENTES'!$D:$D,'RESUMEN CLIENTES'!$Y:$Y,""),
      7 + COUNTIFS(
            $A$2:INDEX($A:$A,ROW()), $A2369,
            $H$2:INDEX($H:$H,ROW()), "ALEM"
          )
    )),
    1
  ),
"SIN FECHA MIG"))</f>
        <v>46569</v>
      </c>
      <c r="H2369" s="44" t="s">
        <v>1876</v>
      </c>
      <c r="I2369" s="2">
        <v>1000</v>
      </c>
      <c r="J2369"/>
      <c r="K2369"/>
      <c r="L2369" s="44" t="str" cm="1">
        <f t="array" ref="L2369">+_xlfn.IFS(COUNTIF(INGRESOS!E:E,Tabla6[[#This Row],[ID FACTURA]])=1,"PAGADA",Tabla6[[#This Row],[ID FACTURA]]&lt;&gt;0,"EMITIDA",Tabla6[[#This Row],[ID FACTURA]]=0,"POR EMITIR")</f>
        <v>POR EMITIR</v>
      </c>
      <c r="M2369" s="55" t="str">
        <f>+IF(Tabla6[[#This Row],[ESTADO FACTURA]]="PAGADA",Tabla6[[#This Row],[FECHA]]-_xlfn.XLOOKUP(Tabla6[[#This Row],[N° FACTURA]],INGRESOS!F:F,INGRESOS!A:A),"-")</f>
        <v>-</v>
      </c>
      <c r="N2369" s="2"/>
      <c r="O2369"/>
    </row>
    <row r="2370" spans="1:15" ht="15" customHeight="1">
      <c r="A2370" s="320" t="s">
        <v>1248</v>
      </c>
      <c r="B2370" t="str">
        <f>+_xlfn.XLOOKUP(Tabla6[[#This Row],[ID CLIENTE]],'RESUMEN CLIENTES'!D:D,'RESUMEN CLIENTES'!A:A)</f>
        <v>Emily Vanessa Tapia Villalobos</v>
      </c>
      <c r="C2370" t="str">
        <f>+_xlfn.XLOOKUP(Tabla6[[#This Row],[ID CLIENTE]],'RESUMEN CLIENTES'!D:D,'RESUMEN CLIENTES'!C:C)</f>
        <v>Chile</v>
      </c>
      <c r="D2370" s="44" t="str">
        <f>+_xlfn.XLOOKUP(Tabla6[[#This Row],[ID CLIENTE]],'RESUMEN CLIENTES'!D:D,'RESUMEN CLIENTES'!M:M)</f>
        <v>OK</v>
      </c>
      <c r="E2370" s="71">
        <f>+_xlfn.XLOOKUP(Tabla6[[#This Row],[NOMBRE]],'RESUMEN CLIENTES'!A:A,'RESUMEN CLIENTES'!X:X)</f>
        <v>0.33333333333333331</v>
      </c>
      <c r="F2370" s="71">
        <f>+_xlfn.XLOOKUP(Tabla6[[#This Row],[ID CLIENTE]],'RESUMEN CLIENTES'!D:D,'RESUMEN CLIENTES'!W:W)</f>
        <v>0</v>
      </c>
      <c r="G2370" s="17">
        <f>IF($H2370&lt;&gt;"ALEM","",IFERROR(
  DATE(
    YEAR(EDATE(
      _xlfn.XLOOKUP($A2370,'RESUMEN CLIENTES'!$D:$D,'RESUMEN CLIENTES'!$Y:$Y,""),
      7 + COUNTIFS(
            $A$2:INDEX($A:$A,ROW()), $A2370,
            $H$2:INDEX($H:$H,ROW()), "ALEM"
          )
    )),
    MONTH(EDATE(
      _xlfn.XLOOKUP($A2370,'RESUMEN CLIENTES'!$D:$D,'RESUMEN CLIENTES'!$Y:$Y,""),
      7 + COUNTIFS(
            $A$2:INDEX($A:$A,ROW()), $A2370,
            $H$2:INDEX($H:$H,ROW()), "ALEM"
          )
    )),
    1
  ),
"SIN FECHA MIG"))</f>
        <v>46569</v>
      </c>
      <c r="H2370" s="44" t="s">
        <v>1876</v>
      </c>
      <c r="I2370" s="2">
        <v>800</v>
      </c>
      <c r="J2370"/>
      <c r="K2370"/>
      <c r="L2370" s="44" t="str" cm="1">
        <f t="array" ref="L2370">+_xlfn.IFS(COUNTIF(INGRESOS!E:E,Tabla6[[#This Row],[ID FACTURA]])=1,"PAGADA",Tabla6[[#This Row],[ID FACTURA]]&lt;&gt;0,"EMITIDA",Tabla6[[#This Row],[ID FACTURA]]=0,"POR EMITIR")</f>
        <v>POR EMITIR</v>
      </c>
      <c r="M2370" s="55" t="str">
        <f>+IF(Tabla6[[#This Row],[ESTADO FACTURA]]="PAGADA",Tabla6[[#This Row],[FECHA]]-_xlfn.XLOOKUP(Tabla6[[#This Row],[N° FACTURA]],INGRESOS!F:F,INGRESOS!A:A),"-")</f>
        <v>-</v>
      </c>
      <c r="N2370" s="2"/>
      <c r="O2370" t="s">
        <v>2086</v>
      </c>
    </row>
    <row r="2371" spans="1:15" ht="15" customHeight="1">
      <c r="A2371" s="320" t="s">
        <v>595</v>
      </c>
      <c r="B2371" t="str">
        <f>+_xlfn.XLOOKUP(Tabla6[[#This Row],[ID CLIENTE]],'RESUMEN CLIENTES'!D:D,'RESUMEN CLIENTES'!A:A)</f>
        <v>Erick Leonardo Chiriboga Valdiviezo</v>
      </c>
      <c r="C2371" t="str">
        <f>+_xlfn.XLOOKUP(Tabla6[[#This Row],[ID CLIENTE]],'RESUMEN CLIENTES'!D:D,'RESUMEN CLIENTES'!C:C)</f>
        <v>Ecuador</v>
      </c>
      <c r="D2371" s="44" t="str">
        <f>+_xlfn.XLOOKUP(Tabla6[[#This Row],[ID CLIENTE]],'RESUMEN CLIENTES'!D:D,'RESUMEN CLIENTES'!M:M)</f>
        <v>OK</v>
      </c>
      <c r="E2371" s="72">
        <f>+_xlfn.XLOOKUP(Tabla6[[#This Row],[NOMBRE]],'RESUMEN CLIENTES'!A:A,'RESUMEN CLIENTES'!X:X)</f>
        <v>-0.33333333333333331</v>
      </c>
      <c r="F2371" s="72">
        <f>+_xlfn.XLOOKUP(Tabla6[[#This Row],[ID CLIENTE]],'RESUMEN CLIENTES'!D:D,'RESUMEN CLIENTES'!W:W)</f>
        <v>0</v>
      </c>
      <c r="G2371" s="17">
        <f>IF($H2371&lt;&gt;"ALEM","",IFERROR(
  DATE(
    YEAR(EDATE(
      _xlfn.XLOOKUP($A2371,'RESUMEN CLIENTES'!$D:$D,'RESUMEN CLIENTES'!$Y:$Y,""),
      7 + COUNTIFS(
            $A$2:INDEX($A:$A,ROW()), $A2371,
            $H$2:INDEX($H:$H,ROW()), "ALEM"
          )
    )),
    MONTH(EDATE(
      _xlfn.XLOOKUP($A2371,'RESUMEN CLIENTES'!$D:$D,'RESUMEN CLIENTES'!$Y:$Y,""),
      7 + COUNTIFS(
            $A$2:INDEX($A:$A,ROW()), $A2371,
            $H$2:INDEX($H:$H,ROW()), "ALEM"
          )
    )),
    1
  ),
"null"))</f>
        <v>46569</v>
      </c>
      <c r="H2371" s="44" t="s">
        <v>1876</v>
      </c>
      <c r="I2371" s="2">
        <v>1000</v>
      </c>
      <c r="J2371"/>
      <c r="K2371"/>
      <c r="L2371" s="44" t="str" cm="1">
        <f t="array" ref="L2371">+_xlfn.IFS(COUNTIF(INGRESOS!E:E,Tabla6[[#This Row],[ID FACTURA]])=1,"PAGADA",Tabla6[[#This Row],[ID FACTURA]]&lt;&gt;0,"EMITIDA",Tabla6[[#This Row],[ID FACTURA]]=0,"POR EMITIR")</f>
        <v>POR EMITIR</v>
      </c>
      <c r="M2371" s="55" t="str">
        <f>+IF(Tabla6[[#This Row],[ESTADO FACTURA]]="PAGADA",Tabla6[[#This Row],[FECHA]]-_xlfn.XLOOKUP(Tabla6[[#This Row],[N° FACTURA]],INGRESOS!F:F,INGRESOS!A:A),"-")</f>
        <v>-</v>
      </c>
      <c r="N2371" s="2"/>
      <c r="O2371"/>
    </row>
    <row r="2372" spans="1:15" ht="15" customHeight="1">
      <c r="A2372" s="320" t="s">
        <v>250</v>
      </c>
      <c r="B2372" t="str">
        <f>+_xlfn.XLOOKUP(Tabla6[[#This Row],[ID CLIENTE]],'RESUMEN CLIENTES'!D:D,'RESUMEN CLIENTES'!A:A)</f>
        <v>Fernanda Castro</v>
      </c>
      <c r="C2372" t="str">
        <f>+_xlfn.XLOOKUP(Tabla6[[#This Row],[ID CLIENTE]],'RESUMEN CLIENTES'!D:D,'RESUMEN CLIENTES'!C:C)</f>
        <v>Ecuador</v>
      </c>
      <c r="D2372" s="44" t="str">
        <f>+_xlfn.XLOOKUP(Tabla6[[#This Row],[ID CLIENTE]],'RESUMEN CLIENTES'!D:D,'RESUMEN CLIENTES'!M:M)</f>
        <v>OK</v>
      </c>
      <c r="E2372" s="72">
        <f>+_xlfn.XLOOKUP(Tabla6[[#This Row],[NOMBRE]],'RESUMEN CLIENTES'!A:A,'RESUMEN CLIENTES'!X:X)</f>
        <v>0</v>
      </c>
      <c r="F2372" s="72">
        <f>+_xlfn.XLOOKUP(Tabla6[[#This Row],[ID CLIENTE]],'RESUMEN CLIENTES'!D:D,'RESUMEN CLIENTES'!W:W)</f>
        <v>1</v>
      </c>
      <c r="G2372" s="17">
        <f>IF($H2372&lt;&gt;"ALEM","",IFERROR(
  DATE(
    YEAR(EDATE(
      _xlfn.XLOOKUP($A2372,'RESUMEN CLIENTES'!$D:$D,'RESUMEN CLIENTES'!$Y:$Y,""),
      7 + COUNTIFS(
            $A$2:INDEX($A:$A,ROW()), $A2372,
            $H$2:INDEX($H:$H,ROW()), "ALEM"
          )
    )),
    MONTH(EDATE(
      _xlfn.XLOOKUP($A2372,'RESUMEN CLIENTES'!$D:$D,'RESUMEN CLIENTES'!$Y:$Y,""),
      7 + COUNTIFS(
            $A$2:INDEX($A:$A,ROW()), $A2372,
            $H$2:INDEX($H:$H,ROW()), "ALEM"
          )
    )),
    1
  ),
"SIN FECHA MIG"))</f>
        <v>46569</v>
      </c>
      <c r="H2372" s="44" t="s">
        <v>1876</v>
      </c>
      <c r="I2372" s="2">
        <v>1000</v>
      </c>
      <c r="J2372"/>
      <c r="K2372"/>
      <c r="L2372" s="44" t="str" cm="1">
        <f t="array" ref="L2372">+_xlfn.IFS(COUNTIF(INGRESOS!E:E,Tabla6[[#This Row],[ID FACTURA]])=1,"PAGADA",Tabla6[[#This Row],[ID FACTURA]]&lt;&gt;0,"EMITIDA",Tabla6[[#This Row],[ID FACTURA]]=0,"POR EMITIR")</f>
        <v>POR EMITIR</v>
      </c>
      <c r="M2372" s="55" t="str">
        <f>+IF(Tabla6[[#This Row],[ESTADO FACTURA]]="PAGADA",Tabla6[[#This Row],[FECHA]]-_xlfn.XLOOKUP(Tabla6[[#This Row],[N° FACTURA]],INGRESOS!F:F,INGRESOS!A:A),"-")</f>
        <v>-</v>
      </c>
      <c r="N2372" s="2"/>
      <c r="O2372"/>
    </row>
    <row r="2373" spans="1:15" ht="15" customHeight="1">
      <c r="A2373" s="320" t="s">
        <v>1761</v>
      </c>
      <c r="B2373" t="str">
        <f>+_xlfn.XLOOKUP(Tabla6[[#This Row],[ID CLIENTE]],'RESUMEN CLIENTES'!D:D,'RESUMEN CLIENTES'!A:A)</f>
        <v>Francisco Salas Barrera</v>
      </c>
      <c r="C2373" t="str">
        <f>+_xlfn.XLOOKUP(Tabla6[[#This Row],[ID CLIENTE]],'RESUMEN CLIENTES'!D:D,'RESUMEN CLIENTES'!C:C)</f>
        <v>México</v>
      </c>
      <c r="D2373" s="169" t="str">
        <f>+_xlfn.XLOOKUP(Tabla6[[#This Row],[ID CLIENTE]],'RESUMEN CLIENTES'!D:D,'RESUMEN CLIENTES'!M:M)</f>
        <v>OK</v>
      </c>
      <c r="E2373" s="71">
        <f>+_xlfn.XLOOKUP(Tabla6[[#This Row],[NOMBRE]],'RESUMEN CLIENTES'!A:A,'RESUMEN CLIENTES'!X:X)</f>
        <v>-0.75</v>
      </c>
      <c r="F2373" s="71">
        <f>+_xlfn.XLOOKUP(Tabla6[[#This Row],[ID CLIENTE]],'RESUMEN CLIENTES'!D:D,'RESUMEN CLIENTES'!W:W)</f>
        <v>0</v>
      </c>
      <c r="G2373" s="17">
        <f>IF($H2373&lt;&gt;"ALEM","",IFERROR(
  DATE(
    YEAR(EDATE(
      _xlfn.XLOOKUP($A2373,'RESUMEN CLIENTES'!$D:$D,'RESUMEN CLIENTES'!$Y:$Y,""),
      7 + COUNTIFS(
            $A$2:INDEX($A:$A,ROW()), $A2373,
            $H$2:INDEX($H:$H,ROW()), "ALEM"
          )
    )),
    MONTH(EDATE(
      _xlfn.XLOOKUP($A2373,'RESUMEN CLIENTES'!$D:$D,'RESUMEN CLIENTES'!$Y:$Y,""),
      7 + COUNTIFS(
            $A$2:INDEX($A:$A,ROW()), $A2373,
            $H$2:INDEX($H:$H,ROW()), "ALEM"
          )
    )),
    1
  ),
"SIN FECHA MIG"))</f>
        <v>46569</v>
      </c>
      <c r="H2373" s="169" t="s">
        <v>1876</v>
      </c>
      <c r="I2373" s="2">
        <v>800</v>
      </c>
      <c r="J2373"/>
      <c r="K2373"/>
      <c r="L2373" s="44" t="str" cm="1">
        <f t="array" ref="L2373">+_xlfn.IFS(COUNTIF(INGRESOS!E:E,Tabla6[[#This Row],[ID FACTURA]])=1,"PAGADA",Tabla6[[#This Row],[ID FACTURA]]&lt;&gt;0,"EMITIDA",Tabla6[[#This Row],[ID FACTURA]]=0,"POR EMITIR")</f>
        <v>POR EMITIR</v>
      </c>
      <c r="M2373" s="55" t="str">
        <f>+IF(Tabla6[[#This Row],[ESTADO FACTURA]]="PAGADA",Tabla6[[#This Row],[FECHA]]-_xlfn.XLOOKUP(Tabla6[[#This Row],[N° FACTURA]],INGRESOS!F:F,INGRESOS!A:A),"-")</f>
        <v>-</v>
      </c>
      <c r="O2373"/>
    </row>
    <row r="2374" spans="1:15" ht="15" customHeight="1">
      <c r="A2374" s="320" t="s">
        <v>700</v>
      </c>
      <c r="B2374" t="str">
        <f>+_xlfn.XLOOKUP(Tabla6[[#This Row],[ID CLIENTE]],'RESUMEN CLIENTES'!D:D,'RESUMEN CLIENTES'!A:A)</f>
        <v>Ignacio Manuel Jesus Orellana Gutiérrez</v>
      </c>
      <c r="C2374" t="str">
        <f>+_xlfn.XLOOKUP(Tabla6[[#This Row],[ID CLIENTE]],'RESUMEN CLIENTES'!D:D,'RESUMEN CLIENTES'!C:C)</f>
        <v>Chile</v>
      </c>
      <c r="D2374" s="44" t="str">
        <f>+_xlfn.XLOOKUP(Tabla6[[#This Row],[ID CLIENTE]],'RESUMEN CLIENTES'!D:D,'RESUMEN CLIENTES'!M:M)</f>
        <v>OK</v>
      </c>
      <c r="E2374" s="72">
        <f>+_xlfn.XLOOKUP(Tabla6[[#This Row],[NOMBRE]],'RESUMEN CLIENTES'!A:A,'RESUMEN CLIENTES'!X:X)</f>
        <v>2.4</v>
      </c>
      <c r="F2374" s="72">
        <f>+_xlfn.XLOOKUP(Tabla6[[#This Row],[ID CLIENTE]],'RESUMEN CLIENTES'!D:D,'RESUMEN CLIENTES'!W:W)</f>
        <v>0</v>
      </c>
      <c r="G2374" s="17">
        <f>IF($H2374&lt;&gt;"ALEM","",IFERROR(
  DATE(
    YEAR(EDATE(
      _xlfn.XLOOKUP($A2374,'RESUMEN CLIENTES'!$D:$D,'RESUMEN CLIENTES'!$Y:$Y,""),
      7 + COUNTIFS(
            $A$2:INDEX($A:$A,ROW()), $A2374,
            $H$2:INDEX($H:$H,ROW()), "ALEM"
          )
    )),
    MONTH(EDATE(
      _xlfn.XLOOKUP($A2374,'RESUMEN CLIENTES'!$D:$D,'RESUMEN CLIENTES'!$Y:$Y,""),
      7 + COUNTIFS(
            $A$2:INDEX($A:$A,ROW()), $A2374,
            $H$2:INDEX($H:$H,ROW()), "ALEM"
          )
    )),
    1
  ),
"SIN FECHA MIG"))</f>
        <v>46569</v>
      </c>
      <c r="H2374" s="44" t="s">
        <v>1876</v>
      </c>
      <c r="I2374" s="2">
        <v>1000</v>
      </c>
      <c r="J2374"/>
      <c r="K2374"/>
      <c r="L2374" s="44" t="str" cm="1">
        <f t="array" ref="L2374">+_xlfn.IFS(COUNTIF(INGRESOS!E:E,Tabla6[[#This Row],[ID FACTURA]])=1,"PAGADA",Tabla6[[#This Row],[ID FACTURA]]&lt;&gt;0,"EMITIDA",Tabla6[[#This Row],[ID FACTURA]]=0,"POR EMITIR")</f>
        <v>POR EMITIR</v>
      </c>
      <c r="M2374" s="55" t="str">
        <f>+IF(Tabla6[[#This Row],[ESTADO FACTURA]]="PAGADA",Tabla6[[#This Row],[FECHA]]-_xlfn.XLOOKUP(Tabla6[[#This Row],[N° FACTURA]],INGRESOS!F:F,INGRESOS!A:A),"-")</f>
        <v>-</v>
      </c>
      <c r="N2374" s="2"/>
      <c r="O2374"/>
    </row>
    <row r="2375" spans="1:15" ht="15" customHeight="1">
      <c r="A2375" s="320" t="s">
        <v>1936</v>
      </c>
      <c r="B2375" t="str">
        <f>+_xlfn.XLOOKUP(Tabla6[[#This Row],[ID CLIENTE]],'RESUMEN CLIENTES'!D:D,'RESUMEN CLIENTES'!A:A)</f>
        <v>Jaime Kevin Mendez Arias</v>
      </c>
      <c r="C2375" t="str">
        <f>+_xlfn.XLOOKUP(Tabla6[[#This Row],[ID CLIENTE]],'RESUMEN CLIENTES'!D:D,'RESUMEN CLIENTES'!C:C)</f>
        <v>México</v>
      </c>
      <c r="D2375" s="169" t="str">
        <f>+_xlfn.XLOOKUP(Tabla6[[#This Row],[ID CLIENTE]],'RESUMEN CLIENTES'!D:D,'RESUMEN CLIENTES'!M:M)</f>
        <v>OK</v>
      </c>
      <c r="E2375" s="71">
        <f>+_xlfn.XLOOKUP(Tabla6[[#This Row],[NOMBRE]],'RESUMEN CLIENTES'!A:A,'RESUMEN CLIENTES'!X:X)</f>
        <v>1.6666666666666667</v>
      </c>
      <c r="F2375" s="71">
        <f>+_xlfn.XLOOKUP(Tabla6[[#This Row],[ID CLIENTE]],'RESUMEN CLIENTES'!D:D,'RESUMEN CLIENTES'!W:W)</f>
        <v>0</v>
      </c>
      <c r="G2375" s="17">
        <f>IF($H2375&lt;&gt;"ALEM","",IFERROR(
  DATE(
    YEAR(EDATE(
      _xlfn.XLOOKUP($A2375,'RESUMEN CLIENTES'!$D:$D,'RESUMEN CLIENTES'!$Y:$Y,""),
      7 + COUNTIFS(
            $A$2:INDEX($A:$A,ROW()), $A2375,
            $H$2:INDEX($H:$H,ROW()), "ALEM"
          )
    )),
    MONTH(EDATE(
      _xlfn.XLOOKUP($A2375,'RESUMEN CLIENTES'!$D:$D,'RESUMEN CLIENTES'!$Y:$Y,""),
      7 + COUNTIFS(
            $A$2:INDEX($A:$A,ROW()), $A2375,
            $H$2:INDEX($H:$H,ROW()), "ALEM"
          )
    )),
    1
  ),
"null"))</f>
        <v>46569</v>
      </c>
      <c r="H2375" s="169" t="s">
        <v>1876</v>
      </c>
      <c r="I2375" s="2">
        <v>800</v>
      </c>
      <c r="J2375"/>
      <c r="K2375"/>
      <c r="L2375" s="44" t="str" cm="1">
        <f t="array" ref="L2375">+_xlfn.IFS(COUNTIF(INGRESOS!E:E,Tabla6[[#This Row],[ID FACTURA]])=1,"PAGADA",Tabla6[[#This Row],[ID FACTURA]]&lt;&gt;0,"EMITIDA",Tabla6[[#This Row],[ID FACTURA]]=0,"POR EMITIR")</f>
        <v>POR EMITIR</v>
      </c>
      <c r="M2375" s="54" t="str">
        <f>+IF(Tabla6[[#This Row],[ESTADO FACTURA]]="PAGADA",Tabla6[[#This Row],[FECHA]]-_xlfn.XLOOKUP(Tabla6[[#This Row],[N° FACTURA]],INGRESOS!F:F,INGRESOS!A:A),"-")</f>
        <v>-</v>
      </c>
      <c r="O2375"/>
    </row>
    <row r="2376" spans="1:15" ht="15" customHeight="1">
      <c r="A2376" s="320" t="s">
        <v>362</v>
      </c>
      <c r="B2376" t="str">
        <f>+_xlfn.XLOOKUP(Tabla6[[#This Row],[ID CLIENTE]],'RESUMEN CLIENTES'!D:D,'RESUMEN CLIENTES'!A:A)</f>
        <v>Jessica Ayelén Culla Alvarez</v>
      </c>
      <c r="C2376" t="str">
        <f>+_xlfn.XLOOKUP(Tabla6[[#This Row],[ID CLIENTE]],'RESUMEN CLIENTES'!D:D,'RESUMEN CLIENTES'!C:C)</f>
        <v>Argentina</v>
      </c>
      <c r="D2376" s="44" t="str">
        <f>+_xlfn.XLOOKUP(Tabla6[[#This Row],[ID CLIENTE]],'RESUMEN CLIENTES'!D:D,'RESUMEN CLIENTES'!M:M)</f>
        <v>OK</v>
      </c>
      <c r="E2376" s="72">
        <f>+_xlfn.XLOOKUP(Tabla6[[#This Row],[NOMBRE]],'RESUMEN CLIENTES'!A:A,'RESUMEN CLIENTES'!X:X)</f>
        <v>-2.1538461538461537</v>
      </c>
      <c r="F2376" s="72">
        <f>+_xlfn.XLOOKUP(Tabla6[[#This Row],[ID CLIENTE]],'RESUMEN CLIENTES'!D:D,'RESUMEN CLIENTES'!W:W)</f>
        <v>1</v>
      </c>
      <c r="G2376" s="17">
        <f>IF($H2376&lt;&gt;"ALEM","",IFERROR(
  DATE(
    YEAR(EDATE(
      _xlfn.XLOOKUP($A2376,'RESUMEN CLIENTES'!$D:$D,'RESUMEN CLIENTES'!$Y:$Y,""),
      7 + COUNTIFS(
            $A$2:INDEX($A:$A,ROW()), $A2376,
            $H$2:INDEX($H:$H,ROW()), "ALEM"
          )
    )),
    MONTH(EDATE(
      _xlfn.XLOOKUP($A2376,'RESUMEN CLIENTES'!$D:$D,'RESUMEN CLIENTES'!$Y:$Y,""),
      7 + COUNTIFS(
            $A$2:INDEX($A:$A,ROW()), $A2376,
            $H$2:INDEX($H:$H,ROW()), "ALEM"
          )
    )),
    1
  ),
"SIN FECHA MIG"))</f>
        <v>46569</v>
      </c>
      <c r="H2376" s="44" t="s">
        <v>1876</v>
      </c>
      <c r="I2376" s="2">
        <v>1000</v>
      </c>
      <c r="J2376"/>
      <c r="K2376"/>
      <c r="L2376" s="44" t="str" cm="1">
        <f t="array" ref="L2376">+_xlfn.IFS(COUNTIF(INGRESOS!E:E,Tabla6[[#This Row],[ID FACTURA]])=1,"PAGADA",Tabla6[[#This Row],[ID FACTURA]]&lt;&gt;0,"EMITIDA",Tabla6[[#This Row],[ID FACTURA]]=0,"POR EMITIR")</f>
        <v>POR EMITIR</v>
      </c>
      <c r="M2376" s="55" t="str">
        <f>+IF(Tabla6[[#This Row],[ESTADO FACTURA]]="PAGADA",Tabla6[[#This Row],[FECHA]]-_xlfn.XLOOKUP(Tabla6[[#This Row],[N° FACTURA]],INGRESOS!F:F,INGRESOS!A:A),"-")</f>
        <v>-</v>
      </c>
      <c r="N2376" s="2"/>
      <c r="O2376"/>
    </row>
    <row r="2377" spans="1:15" ht="15" customHeight="1">
      <c r="A2377" s="320" t="s">
        <v>87</v>
      </c>
      <c r="B2377" t="str">
        <f>+_xlfn.XLOOKUP(Tabla6[[#This Row],[ID CLIENTE]],'RESUMEN CLIENTES'!D:D,'RESUMEN CLIENTES'!A:A)</f>
        <v>Jose Marcelo Marroquín Guzmán</v>
      </c>
      <c r="C2377" t="str">
        <f>+_xlfn.XLOOKUP(Tabla6[[#This Row],[ID CLIENTE]],'RESUMEN CLIENTES'!D:D,'RESUMEN CLIENTES'!C:C)</f>
        <v>El Salvador</v>
      </c>
      <c r="D2377" s="44" t="str">
        <f>+_xlfn.XLOOKUP(Tabla6[[#This Row],[ID CLIENTE]],'RESUMEN CLIENTES'!D:D,'RESUMEN CLIENTES'!M:M)</f>
        <v>OK</v>
      </c>
      <c r="E2377" s="72">
        <f>+_xlfn.XLOOKUP(Tabla6[[#This Row],[NOMBRE]],'RESUMEN CLIENTES'!A:A,'RESUMEN CLIENTES'!X:X)</f>
        <v>-1.5833333333333333</v>
      </c>
      <c r="F2377" s="72">
        <f>+_xlfn.XLOOKUP(Tabla6[[#This Row],[ID CLIENTE]],'RESUMEN CLIENTES'!D:D,'RESUMEN CLIENTES'!W:W)</f>
        <v>1</v>
      </c>
      <c r="G2377" s="17">
        <f>IF($H2377&lt;&gt;"ALEM","",IFERROR(
  DATE(
    YEAR(EDATE(
      _xlfn.XLOOKUP($A2377,'RESUMEN CLIENTES'!$D:$D,'RESUMEN CLIENTES'!$Y:$Y,""),
      7 + COUNTIFS(
            $A$2:INDEX($A:$A,ROW()), $A2377,
            $H$2:INDEX($H:$H,ROW()), "ALEM"
          )
    )),
    MONTH(EDATE(
      _xlfn.XLOOKUP($A2377,'RESUMEN CLIENTES'!$D:$D,'RESUMEN CLIENTES'!$Y:$Y,""),
      7 + COUNTIFS(
            $A$2:INDEX($A:$A,ROW()), $A2377,
            $H$2:INDEX($H:$H,ROW()), "ALEM"
          )
    )),
    1
  ),
"SIN FECHA MIG"))</f>
        <v>46569</v>
      </c>
      <c r="H2377" s="44" t="s">
        <v>1876</v>
      </c>
      <c r="I2377" s="2">
        <v>1000</v>
      </c>
      <c r="J2377"/>
      <c r="K2377"/>
      <c r="L2377" s="44" t="str" cm="1">
        <f t="array" ref="L2377">+_xlfn.IFS(COUNTIF(INGRESOS!E:E,Tabla6[[#This Row],[ID FACTURA]])=1,"PAGADA",Tabla6[[#This Row],[ID FACTURA]]&lt;&gt;0,"EMITIDA",Tabla6[[#This Row],[ID FACTURA]]=0,"POR EMITIR")</f>
        <v>POR EMITIR</v>
      </c>
      <c r="M2377" s="55" t="str">
        <f>+IF(Tabla6[[#This Row],[ESTADO FACTURA]]="PAGADA",Tabla6[[#This Row],[FECHA]]-_xlfn.XLOOKUP(Tabla6[[#This Row],[N° FACTURA]],INGRESOS!F:F,INGRESOS!A:A),"-")</f>
        <v>-</v>
      </c>
      <c r="N2377" s="2"/>
      <c r="O2377" t="s">
        <v>2086</v>
      </c>
    </row>
    <row r="2378" spans="1:15" ht="15" customHeight="1">
      <c r="A2378" s="320" t="s">
        <v>266</v>
      </c>
      <c r="B2378" t="str">
        <f>+_xlfn.XLOOKUP(Tabla6[[#This Row],[ID CLIENTE]],'RESUMEN CLIENTES'!D:D,'RESUMEN CLIENTES'!A:A)</f>
        <v>Juan Camilo Sanchez Ramirez</v>
      </c>
      <c r="C2378" t="str">
        <f>+_xlfn.XLOOKUP(Tabla6[[#This Row],[ID CLIENTE]],'RESUMEN CLIENTES'!D:D,'RESUMEN CLIENTES'!C:C)</f>
        <v>Colombia</v>
      </c>
      <c r="D2378" s="44" t="str">
        <f>+_xlfn.XLOOKUP(Tabla6[[#This Row],[ID CLIENTE]],'RESUMEN CLIENTES'!D:D,'RESUMEN CLIENTES'!M:M)</f>
        <v>OK</v>
      </c>
      <c r="E2378" s="72">
        <f>+_xlfn.XLOOKUP(Tabla6[[#This Row],[NOMBRE]],'RESUMEN CLIENTES'!A:A,'RESUMEN CLIENTES'!X:X)</f>
        <v>0.2</v>
      </c>
      <c r="F2378" s="72">
        <f>+_xlfn.XLOOKUP(Tabla6[[#This Row],[ID CLIENTE]],'RESUMEN CLIENTES'!D:D,'RESUMEN CLIENTES'!W:W)</f>
        <v>0</v>
      </c>
      <c r="G2378" s="17">
        <f>IF($H2378&lt;&gt;"ALEM","",IFERROR(
  DATE(
    YEAR(EDATE(
      _xlfn.XLOOKUP($A2378,'RESUMEN CLIENTES'!$D:$D,'RESUMEN CLIENTES'!$Y:$Y,""),
      7 + COUNTIFS(
            $A$2:INDEX($A:$A,ROW()), $A2378,
            $H$2:INDEX($H:$H,ROW()), "ALEM"
          )
    )),
    MONTH(EDATE(
      _xlfn.XLOOKUP($A2378,'RESUMEN CLIENTES'!$D:$D,'RESUMEN CLIENTES'!$Y:$Y,""),
      7 + COUNTIFS(
            $A$2:INDEX($A:$A,ROW()), $A2378,
            $H$2:INDEX($H:$H,ROW()), "ALEM"
          )
    )),
    1
  ),
"SIN FECHA MIG"))</f>
        <v>46569</v>
      </c>
      <c r="H2378" s="44" t="s">
        <v>1876</v>
      </c>
      <c r="I2378" s="2">
        <v>1000</v>
      </c>
      <c r="J2378"/>
      <c r="K2378"/>
      <c r="L2378" s="44" t="str" cm="1">
        <f t="array" ref="L2378">+_xlfn.IFS(COUNTIF(INGRESOS!E:E,Tabla6[[#This Row],[ID FACTURA]])=1,"PAGADA",Tabla6[[#This Row],[ID FACTURA]]&lt;&gt;0,"EMITIDA",Tabla6[[#This Row],[ID FACTURA]]=0,"POR EMITIR")</f>
        <v>POR EMITIR</v>
      </c>
      <c r="M2378" s="55" t="str">
        <f>+IF(Tabla6[[#This Row],[ESTADO FACTURA]]="PAGADA",Tabla6[[#This Row],[FECHA]]-_xlfn.XLOOKUP(Tabla6[[#This Row],[N° FACTURA]],INGRESOS!F:F,INGRESOS!A:A),"-")</f>
        <v>-</v>
      </c>
      <c r="N2378" s="2"/>
      <c r="O2378"/>
    </row>
    <row r="2379" spans="1:15" ht="15" customHeight="1">
      <c r="A2379" s="320" t="s">
        <v>798</v>
      </c>
      <c r="B2379" t="str">
        <f>+_xlfn.XLOOKUP(Tabla6[[#This Row],[ID CLIENTE]],'RESUMEN CLIENTES'!D:D,'RESUMEN CLIENTES'!A:A)</f>
        <v>Juan Manuel Paranzino</v>
      </c>
      <c r="C2379" t="str">
        <f>+_xlfn.XLOOKUP(Tabla6[[#This Row],[ID CLIENTE]],'RESUMEN CLIENTES'!D:D,'RESUMEN CLIENTES'!C:C)</f>
        <v>Argentina</v>
      </c>
      <c r="D2379" s="44" t="str">
        <f>+_xlfn.XLOOKUP(Tabla6[[#This Row],[ID CLIENTE]],'RESUMEN CLIENTES'!D:D,'RESUMEN CLIENTES'!M:M)</f>
        <v>OK</v>
      </c>
      <c r="E2379" s="72">
        <f>+_xlfn.XLOOKUP(Tabla6[[#This Row],[NOMBRE]],'RESUMEN CLIENTES'!A:A,'RESUMEN CLIENTES'!X:X)</f>
        <v>-1</v>
      </c>
      <c r="F2379" s="72">
        <f>+_xlfn.XLOOKUP(Tabla6[[#This Row],[ID CLIENTE]],'RESUMEN CLIENTES'!D:D,'RESUMEN CLIENTES'!W:W)</f>
        <v>0</v>
      </c>
      <c r="G2379" s="17">
        <f>IF($H2379&lt;&gt;"ALEM","",IFERROR(
  DATE(
    YEAR(EDATE(
      _xlfn.XLOOKUP($A2379,'RESUMEN CLIENTES'!$D:$D,'RESUMEN CLIENTES'!$Y:$Y,""),
      7 + COUNTIFS(
            $A$2:INDEX($A:$A,ROW()), $A2379,
            $H$2:INDEX($H:$H,ROW()), "ALEM"
          )
    )),
    MONTH(EDATE(
      _xlfn.XLOOKUP($A2379,'RESUMEN CLIENTES'!$D:$D,'RESUMEN CLIENTES'!$Y:$Y,""),
      7 + COUNTIFS(
            $A$2:INDEX($A:$A,ROW()), $A2379,
            $H$2:INDEX($H:$H,ROW()), "ALEM"
          )
    )),
    1
  ),
"SIN FECHA MIG"))</f>
        <v>46569</v>
      </c>
      <c r="H2379" s="44" t="s">
        <v>1876</v>
      </c>
      <c r="I2379" s="2">
        <v>1000</v>
      </c>
      <c r="J2379"/>
      <c r="K2379"/>
      <c r="L2379" s="44" t="str" cm="1">
        <f t="array" ref="L2379">+_xlfn.IFS(COUNTIF(INGRESOS!E:E,Tabla6[[#This Row],[ID FACTURA]])=1,"PAGADA",Tabla6[[#This Row],[ID FACTURA]]&lt;&gt;0,"EMITIDA",Tabla6[[#This Row],[ID FACTURA]]=0,"POR EMITIR")</f>
        <v>POR EMITIR</v>
      </c>
      <c r="M2379" s="55" t="str">
        <f>+IF(Tabla6[[#This Row],[ESTADO FACTURA]]="PAGADA",Tabla6[[#This Row],[FECHA]]-_xlfn.XLOOKUP(Tabla6[[#This Row],[N° FACTURA]],INGRESOS!F:F,INGRESOS!A:A),"-")</f>
        <v>-</v>
      </c>
      <c r="N2379" s="2"/>
      <c r="O2379" t="s">
        <v>2084</v>
      </c>
    </row>
    <row r="2380" spans="1:15" ht="15" customHeight="1">
      <c r="A2380" s="320" t="s">
        <v>711</v>
      </c>
      <c r="B2380" t="str">
        <f>+_xlfn.XLOOKUP(Tabla6[[#This Row],[ID CLIENTE]],'RESUMEN CLIENTES'!D:D,'RESUMEN CLIENTES'!A:A)</f>
        <v>Julian David Gutierrez Rodriguez</v>
      </c>
      <c r="C2380" t="str">
        <f>+_xlfn.XLOOKUP(Tabla6[[#This Row],[ID CLIENTE]],'RESUMEN CLIENTES'!D:D,'RESUMEN CLIENTES'!C:C)</f>
        <v>Colombia</v>
      </c>
      <c r="D2380" s="44" t="str">
        <f>+_xlfn.XLOOKUP(Tabla6[[#This Row],[ID CLIENTE]],'RESUMEN CLIENTES'!D:D,'RESUMEN CLIENTES'!M:M)</f>
        <v>OK</v>
      </c>
      <c r="E2380" s="72">
        <f>+_xlfn.XLOOKUP(Tabla6[[#This Row],[NOMBRE]],'RESUMEN CLIENTES'!A:A,'RESUMEN CLIENTES'!X:X)</f>
        <v>0.7142857142857143</v>
      </c>
      <c r="F2380" s="72">
        <f>+_xlfn.XLOOKUP(Tabla6[[#This Row],[ID CLIENTE]],'RESUMEN CLIENTES'!D:D,'RESUMEN CLIENTES'!W:W)</f>
        <v>1</v>
      </c>
      <c r="G2380" s="17">
        <f>IF($H2380&lt;&gt;"ALEM","",IFERROR(
  DATE(
    YEAR(EDATE(
      _xlfn.XLOOKUP($A2380,'RESUMEN CLIENTES'!$D:$D,'RESUMEN CLIENTES'!$Y:$Y,""),
      7 + COUNTIFS(
            $A$2:INDEX($A:$A,ROW()), $A2380,
            $H$2:INDEX($H:$H,ROW()), "ALEM"
          )
    )),
    MONTH(EDATE(
      _xlfn.XLOOKUP($A2380,'RESUMEN CLIENTES'!$D:$D,'RESUMEN CLIENTES'!$Y:$Y,""),
      7 + COUNTIFS(
            $A$2:INDEX($A:$A,ROW()), $A2380,
            $H$2:INDEX($H:$H,ROW()), "ALEM"
          )
    )),
    1
  ),
"SIN FECHA MIG"))</f>
        <v>46569</v>
      </c>
      <c r="H2380" s="44" t="s">
        <v>1876</v>
      </c>
      <c r="I2380" s="2">
        <v>1000</v>
      </c>
      <c r="J2380"/>
      <c r="K2380"/>
      <c r="L2380" s="44" t="str" cm="1">
        <f t="array" ref="L2380">+_xlfn.IFS(COUNTIF(INGRESOS!E:E,Tabla6[[#This Row],[ID FACTURA]])=1,"PAGADA",Tabla6[[#This Row],[ID FACTURA]]&lt;&gt;0,"EMITIDA",Tabla6[[#This Row],[ID FACTURA]]=0,"POR EMITIR")</f>
        <v>POR EMITIR</v>
      </c>
      <c r="M2380" s="55" t="str">
        <f>+IF(Tabla6[[#This Row],[ESTADO FACTURA]]="PAGADA",Tabla6[[#This Row],[FECHA]]-_xlfn.XLOOKUP(Tabla6[[#This Row],[N° FACTURA]],INGRESOS!F:F,INGRESOS!A:A),"-")</f>
        <v>-</v>
      </c>
      <c r="N2380" s="2"/>
      <c r="O2380" t="s">
        <v>2084</v>
      </c>
    </row>
    <row r="2381" spans="1:15" ht="15" customHeight="1">
      <c r="A2381" s="320" t="s">
        <v>1001</v>
      </c>
      <c r="B2381" t="str">
        <f>+_xlfn.XLOOKUP(Tabla6[[#This Row],[ID CLIENTE]],'RESUMEN CLIENTES'!D:D,'RESUMEN CLIENTES'!A:A)</f>
        <v>Karenn Yadira Tavera Lara</v>
      </c>
      <c r="C2381" t="str">
        <f>+_xlfn.XLOOKUP(Tabla6[[#This Row],[ID CLIENTE]],'RESUMEN CLIENTES'!D:D,'RESUMEN CLIENTES'!C:C)</f>
        <v>México</v>
      </c>
      <c r="D2381" s="44" t="str">
        <f>+_xlfn.XLOOKUP(Tabla6[[#This Row],[ID CLIENTE]],'RESUMEN CLIENTES'!D:D,'RESUMEN CLIENTES'!M:M)</f>
        <v>OK</v>
      </c>
      <c r="E2381" s="72">
        <f>+_xlfn.XLOOKUP(Tabla6[[#This Row],[NOMBRE]],'RESUMEN CLIENTES'!A:A,'RESUMEN CLIENTES'!X:X)</f>
        <v>1.5</v>
      </c>
      <c r="F2381" s="72">
        <f>+_xlfn.XLOOKUP(Tabla6[[#This Row],[ID CLIENTE]],'RESUMEN CLIENTES'!D:D,'RESUMEN CLIENTES'!W:W)</f>
        <v>1</v>
      </c>
      <c r="G2381" s="17">
        <f>IF($H2381&lt;&gt;"ALEM","",IFERROR(
  DATE(
    YEAR(EDATE(
      _xlfn.XLOOKUP($A2381,'RESUMEN CLIENTES'!$D:$D,'RESUMEN CLIENTES'!$Y:$Y,""),
      7 + COUNTIFS(
            $A$2:INDEX($A:$A,ROW()), $A2381,
            $H$2:INDEX($H:$H,ROW()), "ALEM"
          )
    )),
    MONTH(EDATE(
      _xlfn.XLOOKUP($A2381,'RESUMEN CLIENTES'!$D:$D,'RESUMEN CLIENTES'!$Y:$Y,""),
      7 + COUNTIFS(
            $A$2:INDEX($A:$A,ROW()), $A2381,
            $H$2:INDEX($H:$H,ROW()), "ALEM"
          )
    )),
    1
  ),
"SIN FECHA MIG"))</f>
        <v>46569</v>
      </c>
      <c r="H2381" s="44" t="s">
        <v>1876</v>
      </c>
      <c r="I2381" s="2">
        <v>1000</v>
      </c>
      <c r="J2381"/>
      <c r="K2381"/>
      <c r="L2381" s="44" t="str" cm="1">
        <f t="array" ref="L2381">+_xlfn.IFS(COUNTIF(INGRESOS!E:E,Tabla6[[#This Row],[ID FACTURA]])=1,"PAGADA",Tabla6[[#This Row],[ID FACTURA]]&lt;&gt;0,"EMITIDA",Tabla6[[#This Row],[ID FACTURA]]=0,"POR EMITIR")</f>
        <v>POR EMITIR</v>
      </c>
      <c r="M2381" s="55" t="str">
        <f>+IF(Tabla6[[#This Row],[ESTADO FACTURA]]="PAGADA",Tabla6[[#This Row],[FECHA]]-_xlfn.XLOOKUP(Tabla6[[#This Row],[N° FACTURA]],INGRESOS!F:F,INGRESOS!A:A),"-")</f>
        <v>-</v>
      </c>
      <c r="N2381" s="2"/>
      <c r="O2381"/>
    </row>
    <row r="2382" spans="1:15" ht="15" customHeight="1">
      <c r="A2382" s="320" t="s">
        <v>501</v>
      </c>
      <c r="B2382" t="str">
        <f>+_xlfn.XLOOKUP(Tabla6[[#This Row],[ID CLIENTE]],'RESUMEN CLIENTES'!D:D,'RESUMEN CLIENTES'!A:A)</f>
        <v>Kimberly Chantelle Frey Arteaga</v>
      </c>
      <c r="C2382" t="str">
        <f>+_xlfn.XLOOKUP(Tabla6[[#This Row],[ID CLIENTE]],'RESUMEN CLIENTES'!D:D,'RESUMEN CLIENTES'!C:C)</f>
        <v>México</v>
      </c>
      <c r="D2382" s="44" t="str">
        <f>+_xlfn.XLOOKUP(Tabla6[[#This Row],[ID CLIENTE]],'RESUMEN CLIENTES'!D:D,'RESUMEN CLIENTES'!M:M)</f>
        <v>OK</v>
      </c>
      <c r="E2382" s="72">
        <f>+_xlfn.XLOOKUP(Tabla6[[#This Row],[NOMBRE]],'RESUMEN CLIENTES'!A:A,'RESUMEN CLIENTES'!X:X)</f>
        <v>0</v>
      </c>
      <c r="F2382" s="72">
        <f>+_xlfn.XLOOKUP(Tabla6[[#This Row],[ID CLIENTE]],'RESUMEN CLIENTES'!D:D,'RESUMEN CLIENTES'!W:W)</f>
        <v>1</v>
      </c>
      <c r="G2382" s="17">
        <f>IF($H2382&lt;&gt;"ALEM","",IFERROR(
  DATE(
    YEAR(EDATE(
      _xlfn.XLOOKUP($A2382,'RESUMEN CLIENTES'!$D:$D,'RESUMEN CLIENTES'!$Y:$Y,""),
      7 + COUNTIFS(
            $A$2:INDEX($A:$A,ROW()), $A2382,
            $H$2:INDEX($H:$H,ROW()), "ALEM"
          )
    )),
    MONTH(EDATE(
      _xlfn.XLOOKUP($A2382,'RESUMEN CLIENTES'!$D:$D,'RESUMEN CLIENTES'!$Y:$Y,""),
      7 + COUNTIFS(
            $A$2:INDEX($A:$A,ROW()), $A2382,
            $H$2:INDEX($H:$H,ROW()), "ALEM"
          )
    )),
    1
  ),
"SIN FECHA MIG"))</f>
        <v>46569</v>
      </c>
      <c r="H2382" s="44" t="s">
        <v>1876</v>
      </c>
      <c r="I2382" s="2">
        <v>1000</v>
      </c>
      <c r="J2382"/>
      <c r="K2382"/>
      <c r="L2382" s="44" t="str" cm="1">
        <f t="array" ref="L2382">+_xlfn.IFS(COUNTIF(INGRESOS!E:E,Tabla6[[#This Row],[ID FACTURA]])=1,"PAGADA",Tabla6[[#This Row],[ID FACTURA]]&lt;&gt;0,"EMITIDA",Tabla6[[#This Row],[ID FACTURA]]=0,"POR EMITIR")</f>
        <v>POR EMITIR</v>
      </c>
      <c r="M2382" s="55" t="str">
        <f>+IF(Tabla6[[#This Row],[ESTADO FACTURA]]="PAGADA",Tabla6[[#This Row],[FECHA]]-_xlfn.XLOOKUP(Tabla6[[#This Row],[N° FACTURA]],INGRESOS!F:F,INGRESOS!A:A),"-")</f>
        <v>-</v>
      </c>
      <c r="N2382" s="2"/>
      <c r="O2382"/>
    </row>
    <row r="2383" spans="1:15" ht="15" customHeight="1">
      <c r="A2383" s="320" t="s">
        <v>703</v>
      </c>
      <c r="B2383" t="str">
        <f>+_xlfn.XLOOKUP(Tabla6[[#This Row],[ID CLIENTE]],'RESUMEN CLIENTES'!D:D,'RESUMEN CLIENTES'!A:A)</f>
        <v>Maira Paz Navas Sánchez</v>
      </c>
      <c r="C2383" t="str">
        <f>+_xlfn.XLOOKUP(Tabla6[[#This Row],[ID CLIENTE]],'RESUMEN CLIENTES'!D:D,'RESUMEN CLIENTES'!C:C)</f>
        <v>Chile</v>
      </c>
      <c r="D2383" s="44" t="str">
        <f>+_xlfn.XLOOKUP(Tabla6[[#This Row],[ID CLIENTE]],'RESUMEN CLIENTES'!D:D,'RESUMEN CLIENTES'!M:M)</f>
        <v>OK</v>
      </c>
      <c r="E2383" s="72">
        <f>+_xlfn.XLOOKUP(Tabla6[[#This Row],[NOMBRE]],'RESUMEN CLIENTES'!A:A,'RESUMEN CLIENTES'!X:X)</f>
        <v>-1.75</v>
      </c>
      <c r="F2383" s="72">
        <f>+_xlfn.XLOOKUP(Tabla6[[#This Row],[ID CLIENTE]],'RESUMEN CLIENTES'!D:D,'RESUMEN CLIENTES'!W:W)</f>
        <v>1</v>
      </c>
      <c r="G2383" s="17">
        <f>IF($H2383&lt;&gt;"ALEM","",IFERROR(
  DATE(
    YEAR(EDATE(
      _xlfn.XLOOKUP($A2383,'RESUMEN CLIENTES'!$D:$D,'RESUMEN CLIENTES'!$Y:$Y,""),
      7 + COUNTIFS(
            $A$2:INDEX($A:$A,ROW()), $A2383,
            $H$2:INDEX($H:$H,ROW()), "ALEM"
          )
    )),
    MONTH(EDATE(
      _xlfn.XLOOKUP($A2383,'RESUMEN CLIENTES'!$D:$D,'RESUMEN CLIENTES'!$Y:$Y,""),
      7 + COUNTIFS(
            $A$2:INDEX($A:$A,ROW()), $A2383,
            $H$2:INDEX($H:$H,ROW()), "ALEM"
          )
    )),
    1
  ),
"SIN FECHA MIG"))</f>
        <v>46569</v>
      </c>
      <c r="H2383" s="44" t="s">
        <v>1876</v>
      </c>
      <c r="I2383" s="2">
        <v>1000</v>
      </c>
      <c r="J2383"/>
      <c r="K2383"/>
      <c r="L2383" s="44" t="str" cm="1">
        <f t="array" ref="L2383">+_xlfn.IFS(COUNTIF(INGRESOS!E:E,Tabla6[[#This Row],[ID FACTURA]])=1,"PAGADA",Tabla6[[#This Row],[ID FACTURA]]&lt;&gt;0,"EMITIDA",Tabla6[[#This Row],[ID FACTURA]]=0,"POR EMITIR")</f>
        <v>POR EMITIR</v>
      </c>
      <c r="M2383" s="55" t="str">
        <f>+IF(Tabla6[[#This Row],[ESTADO FACTURA]]="PAGADA",Tabla6[[#This Row],[FECHA]]-_xlfn.XLOOKUP(Tabla6[[#This Row],[N° FACTURA]],INGRESOS!F:F,INGRESOS!A:A),"-")</f>
        <v>-</v>
      </c>
      <c r="N2383" s="2"/>
      <c r="O2383" t="s">
        <v>2084</v>
      </c>
    </row>
    <row r="2384" spans="1:15" ht="15" customHeight="1">
      <c r="A2384" s="320" t="s">
        <v>1551</v>
      </c>
      <c r="B2384" t="str">
        <f>+_xlfn.XLOOKUP(Tabla6[[#This Row],[ID CLIENTE]],'RESUMEN CLIENTES'!D:D,'RESUMEN CLIENTES'!A:A)</f>
        <v>María Fernanda Cid Ramírez</v>
      </c>
      <c r="C2384" t="str">
        <f>+_xlfn.XLOOKUP(Tabla6[[#This Row],[ID CLIENTE]],'RESUMEN CLIENTES'!D:D,'RESUMEN CLIENTES'!C:C)</f>
        <v>México</v>
      </c>
      <c r="D2384" s="44" t="str">
        <f>+_xlfn.XLOOKUP(Tabla6[[#This Row],[ID CLIENTE]],'RESUMEN CLIENTES'!D:D,'RESUMEN CLIENTES'!M:M)</f>
        <v>OK</v>
      </c>
      <c r="E2384" s="71">
        <f>+_xlfn.XLOOKUP(Tabla6[[#This Row],[NOMBRE]],'RESUMEN CLIENTES'!A:A,'RESUMEN CLIENTES'!X:X)</f>
        <v>-0.8571428571428571</v>
      </c>
      <c r="F2384" s="71">
        <f>+_xlfn.XLOOKUP(Tabla6[[#This Row],[ID CLIENTE]],'RESUMEN CLIENTES'!D:D,'RESUMEN CLIENTES'!W:W)</f>
        <v>0</v>
      </c>
      <c r="G2384" s="17">
        <f>IF($H2384&lt;&gt;"ALEM","",IFERROR(
  DATE(
    YEAR(EDATE(
      _xlfn.XLOOKUP($A2384,'RESUMEN CLIENTES'!$D:$D,'RESUMEN CLIENTES'!$Y:$Y,""),
      7 + COUNTIFS(
            $A$2:INDEX($A:$A,ROW()), $A2384,
            $H$2:INDEX($H:$H,ROW()), "ALEM"
          )
    )),
    MONTH(EDATE(
      _xlfn.XLOOKUP($A2384,'RESUMEN CLIENTES'!$D:$D,'RESUMEN CLIENTES'!$Y:$Y,""),
      7 + COUNTIFS(
            $A$2:INDEX($A:$A,ROW()), $A2384,
            $H$2:INDEX($H:$H,ROW()), "ALEM"
          )
    )),
    1
  ),
"SIN FECHA MIG"))</f>
        <v>46569</v>
      </c>
      <c r="H2384" s="169" t="s">
        <v>1876</v>
      </c>
      <c r="I2384" s="2">
        <v>800</v>
      </c>
      <c r="J2384"/>
      <c r="K2384"/>
      <c r="L2384" s="44" t="str" cm="1">
        <f t="array" ref="L2384">+_xlfn.IFS(COUNTIF(INGRESOS!E:E,Tabla6[[#This Row],[ID FACTURA]])=1,"PAGADA",Tabla6[[#This Row],[ID FACTURA]]&lt;&gt;0,"EMITIDA",Tabla6[[#This Row],[ID FACTURA]]=0,"POR EMITIR")</f>
        <v>POR EMITIR</v>
      </c>
      <c r="M2384" s="55" t="str">
        <f>+IF(Tabla6[[#This Row],[ESTADO FACTURA]]="PAGADA",Tabla6[[#This Row],[FECHA]]-_xlfn.XLOOKUP(Tabla6[[#This Row],[N° FACTURA]],INGRESOS!F:F,INGRESOS!A:A),"-")</f>
        <v>-</v>
      </c>
      <c r="N2384" s="2"/>
      <c r="O2384" t="s">
        <v>2086</v>
      </c>
    </row>
    <row r="2385" spans="1:15" ht="15" customHeight="1">
      <c r="A2385" s="320" t="s">
        <v>590</v>
      </c>
      <c r="B2385" t="str">
        <f>+_xlfn.XLOOKUP(Tabla6[[#This Row],[ID CLIENTE]],'RESUMEN CLIENTES'!D:D,'RESUMEN CLIENTES'!A:A)</f>
        <v>María Lucero de Jesús Barrios Sazo</v>
      </c>
      <c r="C2385" t="str">
        <f>+_xlfn.XLOOKUP(Tabla6[[#This Row],[ID CLIENTE]],'RESUMEN CLIENTES'!D:D,'RESUMEN CLIENTES'!C:C)</f>
        <v>Guatemala</v>
      </c>
      <c r="D2385" s="44" t="str">
        <f>+_xlfn.XLOOKUP(Tabla6[[#This Row],[ID CLIENTE]],'RESUMEN CLIENTES'!D:D,'RESUMEN CLIENTES'!M:M)</f>
        <v>OK</v>
      </c>
      <c r="E2385" s="72">
        <f>+_xlfn.XLOOKUP(Tabla6[[#This Row],[NOMBRE]],'RESUMEN CLIENTES'!A:A,'RESUMEN CLIENTES'!X:X)</f>
        <v>1.25</v>
      </c>
      <c r="F2385" s="72">
        <f>+_xlfn.XLOOKUP(Tabla6[[#This Row],[ID CLIENTE]],'RESUMEN CLIENTES'!D:D,'RESUMEN CLIENTES'!W:W)</f>
        <v>0</v>
      </c>
      <c r="G2385" s="17">
        <f>IF($H2385&lt;&gt;"ALEM","",IFERROR(
  DATE(
    YEAR(EDATE(
      _xlfn.XLOOKUP($A2385,'RESUMEN CLIENTES'!$D:$D,'RESUMEN CLIENTES'!$Y:$Y,""),
      7 + COUNTIFS(
            $A$2:INDEX($A:$A,ROW()), $A2385,
            $H$2:INDEX($H:$H,ROW()), "ALEM"
          )
    )),
    MONTH(EDATE(
      _xlfn.XLOOKUP($A2385,'RESUMEN CLIENTES'!$D:$D,'RESUMEN CLIENTES'!$Y:$Y,""),
      7 + COUNTIFS(
            $A$2:INDEX($A:$A,ROW()), $A2385,
            $H$2:INDEX($H:$H,ROW()), "ALEM"
          )
    )),
    1
  ),
"SIN FECHA MIG"))</f>
        <v>46569</v>
      </c>
      <c r="H2385" s="44" t="s">
        <v>1876</v>
      </c>
      <c r="I2385" s="2">
        <v>1000</v>
      </c>
      <c r="J2385"/>
      <c r="K2385"/>
      <c r="L2385" s="44" t="str" cm="1">
        <f t="array" ref="L2385">+_xlfn.IFS(COUNTIF(INGRESOS!E:E,Tabla6[[#This Row],[ID FACTURA]])=1,"PAGADA",Tabla6[[#This Row],[ID FACTURA]]&lt;&gt;0,"EMITIDA",Tabla6[[#This Row],[ID FACTURA]]=0,"POR EMITIR")</f>
        <v>POR EMITIR</v>
      </c>
      <c r="M2385" s="55" t="str">
        <f>+IF(Tabla6[[#This Row],[ESTADO FACTURA]]="PAGADA",Tabla6[[#This Row],[FECHA]]-_xlfn.XLOOKUP(Tabla6[[#This Row],[N° FACTURA]],INGRESOS!F:F,INGRESOS!A:A),"-")</f>
        <v>-</v>
      </c>
      <c r="N2385" s="2"/>
      <c r="O2385"/>
    </row>
    <row r="2386" spans="1:15" ht="15" customHeight="1">
      <c r="A2386" s="320" t="s">
        <v>1155</v>
      </c>
      <c r="B2386" t="str">
        <f>+_xlfn.XLOOKUP(Tabla6[[#This Row],[ID CLIENTE]],'RESUMEN CLIENTES'!D:D,'RESUMEN CLIENTES'!A:A)</f>
        <v>Mario Arciga Casián</v>
      </c>
      <c r="C2386" t="str">
        <f>+_xlfn.XLOOKUP(Tabla6[[#This Row],[ID CLIENTE]],'RESUMEN CLIENTES'!D:D,'RESUMEN CLIENTES'!C:C)</f>
        <v>México</v>
      </c>
      <c r="D2386" s="44" t="str">
        <f>+_xlfn.XLOOKUP(Tabla6[[#This Row],[ID CLIENTE]],'RESUMEN CLIENTES'!D:D,'RESUMEN CLIENTES'!M:M)</f>
        <v>OK</v>
      </c>
      <c r="E2386" s="72">
        <f>+_xlfn.XLOOKUP(Tabla6[[#This Row],[NOMBRE]],'RESUMEN CLIENTES'!A:A,'RESUMEN CLIENTES'!X:X)</f>
        <v>-0.66666666666666663</v>
      </c>
      <c r="F2386" s="72">
        <f>+_xlfn.XLOOKUP(Tabla6[[#This Row],[ID CLIENTE]],'RESUMEN CLIENTES'!D:D,'RESUMEN CLIENTES'!W:W)</f>
        <v>1</v>
      </c>
      <c r="G2386" s="17">
        <f>IF($H2386&lt;&gt;"ALEM","",IFERROR(
  DATE(
    YEAR(EDATE(
      _xlfn.XLOOKUP($A2386,'RESUMEN CLIENTES'!$D:$D,'RESUMEN CLIENTES'!$Y:$Y,""),
      7 + COUNTIFS(
            $A$2:INDEX($A:$A,ROW()), $A2386,
            $H$2:INDEX($H:$H,ROW()), "ALEM"
          )
    )),
    MONTH(EDATE(
      _xlfn.XLOOKUP($A2386,'RESUMEN CLIENTES'!$D:$D,'RESUMEN CLIENTES'!$Y:$Y,""),
      7 + COUNTIFS(
            $A$2:INDEX($A:$A,ROW()), $A2386,
            $H$2:INDEX($H:$H,ROW()), "ALEM"
          )
    )),
    1
  ),
"SIN FECHA MIG"))</f>
        <v>46569</v>
      </c>
      <c r="H2386" s="44" t="s">
        <v>1876</v>
      </c>
      <c r="I2386" s="2">
        <v>800</v>
      </c>
      <c r="J2386"/>
      <c r="K2386"/>
      <c r="L2386" s="44" t="str" cm="1">
        <f t="array" ref="L2386">+_xlfn.IFS(COUNTIF(INGRESOS!E:E,Tabla6[[#This Row],[ID FACTURA]])=1,"PAGADA",Tabla6[[#This Row],[ID FACTURA]]&lt;&gt;0,"EMITIDA",Tabla6[[#This Row],[ID FACTURA]]=0,"POR EMITIR")</f>
        <v>POR EMITIR</v>
      </c>
      <c r="M2386" s="55" t="str">
        <f>+IF(Tabla6[[#This Row],[ESTADO FACTURA]]="PAGADA",Tabla6[[#This Row],[FECHA]]-_xlfn.XLOOKUP(Tabla6[[#This Row],[N° FACTURA]],INGRESOS!F:F,INGRESOS!A:A),"-")</f>
        <v>-</v>
      </c>
      <c r="N2386" s="2"/>
      <c r="O2386"/>
    </row>
    <row r="2387" spans="1:15" ht="15" customHeight="1">
      <c r="A2387" s="320" t="s">
        <v>4509</v>
      </c>
      <c r="B2387" t="str">
        <f>+_xlfn.XLOOKUP(Tabla6[[#This Row],[ID CLIENTE]],'RESUMEN CLIENTES'!D:D,'RESUMEN CLIENTES'!A:A)</f>
        <v>Marisol Madeleine Ibáñez Paredes</v>
      </c>
      <c r="C2387" t="str">
        <f>+_xlfn.XLOOKUP(Tabla6[[#This Row],[ID CLIENTE]],'RESUMEN CLIENTES'!D:D,'RESUMEN CLIENTES'!C:C)</f>
        <v>Ecuador</v>
      </c>
      <c r="D2387" s="169" t="str">
        <f>+_xlfn.XLOOKUP(Tabla6[[#This Row],[ID CLIENTE]],'RESUMEN CLIENTES'!D:D,'RESUMEN CLIENTES'!M:M)</f>
        <v>OK</v>
      </c>
      <c r="E2387" s="71">
        <f>+_xlfn.XLOOKUP(Tabla6[[#This Row],[NOMBRE]],'RESUMEN CLIENTES'!A:A,'RESUMEN CLIENTES'!X:X)</f>
        <v>-3</v>
      </c>
      <c r="F2387" s="71">
        <f>+_xlfn.XLOOKUP(Tabla6[[#This Row],[ID CLIENTE]],'RESUMEN CLIENTES'!D:D,'RESUMEN CLIENTES'!W:W)</f>
        <v>0</v>
      </c>
      <c r="G2387" s="17">
        <f>IF($H2387&lt;&gt;"ALEM","",IFERROR(
  DATE(
    YEAR(EDATE(
      _xlfn.XLOOKUP($A2387,'RESUMEN CLIENTES'!$D:$D,'RESUMEN CLIENTES'!$Y:$Y,""),
      7 + COUNTIFS(
            $A$2:INDEX($A:$A,ROW()), $A2387,
            $H$2:INDEX($H:$H,ROW()), "ALEM"
          )
    )),
    MONTH(EDATE(
      _xlfn.XLOOKUP($A2387,'RESUMEN CLIENTES'!$D:$D,'RESUMEN CLIENTES'!$Y:$Y,""),
      7 + COUNTIFS(
            $A$2:INDEX($A:$A,ROW()), $A2387,
            $H$2:INDEX($H:$H,ROW()), "ALEM"
          )
    )),
    1
  ),
"null"))</f>
        <v>46569</v>
      </c>
      <c r="H2387" s="169" t="s">
        <v>1876</v>
      </c>
      <c r="I2387" s="2">
        <v>900</v>
      </c>
      <c r="J2387"/>
      <c r="K2387"/>
      <c r="L2387" s="44" t="str" cm="1">
        <f t="array" ref="L2387">+_xlfn.IFS(COUNTIF(INGRESOS!E:E,Tabla6[[#This Row],[ID FACTURA]])=1,"PAGADA",Tabla6[[#This Row],[ID FACTURA]]&lt;&gt;0,"EMITIDA",Tabla6[[#This Row],[ID FACTURA]]=0,"POR EMITIR")</f>
        <v>POR EMITIR</v>
      </c>
      <c r="M2387" s="54" t="str">
        <f>+IF(Tabla6[[#This Row],[ESTADO FACTURA]]="PAGADA",Tabla6[[#This Row],[FECHA]]-_xlfn.XLOOKUP(Tabla6[[#This Row],[N° FACTURA]],INGRESOS!F:F,INGRESOS!A:A),"-")</f>
        <v>-</v>
      </c>
      <c r="O2387"/>
    </row>
    <row r="2388" spans="1:15" ht="15" customHeight="1">
      <c r="A2388" s="320" t="s">
        <v>261</v>
      </c>
      <c r="B2388" t="str">
        <f>+_xlfn.XLOOKUP(Tabla6[[#This Row],[ID CLIENTE]],'RESUMEN CLIENTES'!D:D,'RESUMEN CLIENTES'!A:A)</f>
        <v>Maryori Elizabeth Ramos Tapia</v>
      </c>
      <c r="C2388" t="str">
        <f>+_xlfn.XLOOKUP(Tabla6[[#This Row],[ID CLIENTE]],'RESUMEN CLIENTES'!D:D,'RESUMEN CLIENTES'!C:C)</f>
        <v>Perú</v>
      </c>
      <c r="D2388" s="44" t="str">
        <f>+_xlfn.XLOOKUP(Tabla6[[#This Row],[ID CLIENTE]],'RESUMEN CLIENTES'!D:D,'RESUMEN CLIENTES'!M:M)</f>
        <v>OK</v>
      </c>
      <c r="E2388" s="72">
        <f>+_xlfn.XLOOKUP(Tabla6[[#This Row],[NOMBRE]],'RESUMEN CLIENTES'!A:A,'RESUMEN CLIENTES'!X:X)</f>
        <v>-0.88425925925952875</v>
      </c>
      <c r="F2388" s="72">
        <f>+_xlfn.XLOOKUP(Tabla6[[#This Row],[ID CLIENTE]],'RESUMEN CLIENTES'!D:D,'RESUMEN CLIENTES'!W:W)</f>
        <v>1</v>
      </c>
      <c r="G2388" s="17">
        <f>IF($H2388&lt;&gt;"ALEM","",IFERROR(
  DATE(
    YEAR(EDATE(
      _xlfn.XLOOKUP($A2388,'RESUMEN CLIENTES'!$D:$D,'RESUMEN CLIENTES'!$Y:$Y,""),
      7 + COUNTIFS(
            $A$2:INDEX($A:$A,ROW()), $A2388,
            $H$2:INDEX($H:$H,ROW()), "ALEM"
          )
    )),
    MONTH(EDATE(
      _xlfn.XLOOKUP($A2388,'RESUMEN CLIENTES'!$D:$D,'RESUMEN CLIENTES'!$Y:$Y,""),
      7 + COUNTIFS(
            $A$2:INDEX($A:$A,ROW()), $A2388,
            $H$2:INDEX($H:$H,ROW()), "ALEM"
          )
    )),
    1
  ),
"SIN FECHA MIG"))</f>
        <v>46569</v>
      </c>
      <c r="H2388" s="44" t="s">
        <v>1876</v>
      </c>
      <c r="I2388" s="2">
        <v>1000</v>
      </c>
      <c r="J2388"/>
      <c r="K2388"/>
      <c r="L2388" s="44" t="str" cm="1">
        <f t="array" ref="L2388">+_xlfn.IFS(COUNTIF(INGRESOS!E:E,Tabla6[[#This Row],[ID FACTURA]])=1,"PAGADA",Tabla6[[#This Row],[ID FACTURA]]&lt;&gt;0,"EMITIDA",Tabla6[[#This Row],[ID FACTURA]]=0,"POR EMITIR")</f>
        <v>POR EMITIR</v>
      </c>
      <c r="M2388" s="55" t="str">
        <f>+IF(Tabla6[[#This Row],[ESTADO FACTURA]]="PAGADA",Tabla6[[#This Row],[FECHA]]-_xlfn.XLOOKUP(Tabla6[[#This Row],[N° FACTURA]],INGRESOS!F:F,INGRESOS!A:A),"-")</f>
        <v>-</v>
      </c>
      <c r="N2388" s="2"/>
      <c r="O2388"/>
    </row>
    <row r="2389" spans="1:15" ht="15" customHeight="1">
      <c r="A2389" s="320" t="s">
        <v>314</v>
      </c>
      <c r="B2389" t="str">
        <f>+_xlfn.XLOOKUP(Tabla6[[#This Row],[ID CLIENTE]],'RESUMEN CLIENTES'!D:D,'RESUMEN CLIENTES'!A:A)</f>
        <v>Miguel Angel Sisalima Shiña</v>
      </c>
      <c r="C2389" t="str">
        <f>+_xlfn.XLOOKUP(Tabla6[[#This Row],[ID CLIENTE]],'RESUMEN CLIENTES'!D:D,'RESUMEN CLIENTES'!C:C)</f>
        <v>Ecuador</v>
      </c>
      <c r="D2389" s="44" t="str">
        <f>+_xlfn.XLOOKUP(Tabla6[[#This Row],[ID CLIENTE]],'RESUMEN CLIENTES'!D:D,'RESUMEN CLIENTES'!M:M)</f>
        <v>OK</v>
      </c>
      <c r="E2389" s="72">
        <f>+_xlfn.XLOOKUP(Tabla6[[#This Row],[NOMBRE]],'RESUMEN CLIENTES'!A:A,'RESUMEN CLIENTES'!X:X)</f>
        <v>0.6</v>
      </c>
      <c r="F2389" s="72">
        <f>+_xlfn.XLOOKUP(Tabla6[[#This Row],[ID CLIENTE]],'RESUMEN CLIENTES'!D:D,'RESUMEN CLIENTES'!W:W)</f>
        <v>0</v>
      </c>
      <c r="G2389" s="17">
        <f>IF($H2389&lt;&gt;"ALEM","",IFERROR(
  DATE(
    YEAR(EDATE(
      _xlfn.XLOOKUP($A2389,'RESUMEN CLIENTES'!$D:$D,'RESUMEN CLIENTES'!$Y:$Y,""),
      7 + COUNTIFS(
            $A$2:INDEX($A:$A,ROW()), $A2389,
            $H$2:INDEX($H:$H,ROW()), "ALEM"
          )
    )),
    MONTH(EDATE(
      _xlfn.XLOOKUP($A2389,'RESUMEN CLIENTES'!$D:$D,'RESUMEN CLIENTES'!$Y:$Y,""),
      7 + COUNTIFS(
            $A$2:INDEX($A:$A,ROW()), $A2389,
            $H$2:INDEX($H:$H,ROW()), "ALEM"
          )
    )),
    1
  ),
"SIN FECHA MIG"))</f>
        <v>46569</v>
      </c>
      <c r="H2389" s="44" t="s">
        <v>1876</v>
      </c>
      <c r="I2389" s="2">
        <v>1000</v>
      </c>
      <c r="J2389"/>
      <c r="K2389"/>
      <c r="L2389" s="44" t="str" cm="1">
        <f t="array" ref="L2389">+_xlfn.IFS(COUNTIF(INGRESOS!E:E,Tabla6[[#This Row],[ID FACTURA]])=1,"PAGADA",Tabla6[[#This Row],[ID FACTURA]]&lt;&gt;0,"EMITIDA",Tabla6[[#This Row],[ID FACTURA]]=0,"POR EMITIR")</f>
        <v>POR EMITIR</v>
      </c>
      <c r="M2389" s="55" t="str">
        <f>+IF(Tabla6[[#This Row],[ESTADO FACTURA]]="PAGADA",Tabla6[[#This Row],[FECHA]]-_xlfn.XLOOKUP(Tabla6[[#This Row],[N° FACTURA]],INGRESOS!F:F,INGRESOS!A:A),"-")</f>
        <v>-</v>
      </c>
      <c r="N2389" s="2"/>
      <c r="O2389"/>
    </row>
    <row r="2390" spans="1:15" ht="15" customHeight="1">
      <c r="A2390" s="320" t="s">
        <v>1658</v>
      </c>
      <c r="B2390" t="str">
        <f>+_xlfn.XLOOKUP(Tabla6[[#This Row],[ID CLIENTE]],'RESUMEN CLIENTES'!D:D,'RESUMEN CLIENTES'!A:A)</f>
        <v>Nadya Sofía García Carrasco</v>
      </c>
      <c r="C2390" t="str">
        <f>+_xlfn.XLOOKUP(Tabla6[[#This Row],[ID CLIENTE]],'RESUMEN CLIENTES'!D:D,'RESUMEN CLIENTES'!C:C)</f>
        <v>Ecuador</v>
      </c>
      <c r="D2390" s="169" t="str">
        <f>+_xlfn.XLOOKUP(Tabla6[[#This Row],[ID CLIENTE]],'RESUMEN CLIENTES'!D:D,'RESUMEN CLIENTES'!M:M)</f>
        <v>OK</v>
      </c>
      <c r="E2390" s="71">
        <f>+_xlfn.XLOOKUP(Tabla6[[#This Row],[NOMBRE]],'RESUMEN CLIENTES'!A:A,'RESUMEN CLIENTES'!X:X)</f>
        <v>0</v>
      </c>
      <c r="F2390" s="71">
        <f>+_xlfn.XLOOKUP(Tabla6[[#This Row],[ID CLIENTE]],'RESUMEN CLIENTES'!D:D,'RESUMEN CLIENTES'!W:W)</f>
        <v>1</v>
      </c>
      <c r="G2390" s="17">
        <f>IF($H2390&lt;&gt;"ALEM","",IFERROR(
  DATE(
    YEAR(EDATE(
      _xlfn.XLOOKUP($A2390,'RESUMEN CLIENTES'!$D:$D,'RESUMEN CLIENTES'!$Y:$Y,""),
      7 + COUNTIFS(
            $A$2:INDEX($A:$A,ROW()), $A2390,
            $H$2:INDEX($H:$H,ROW()), "ALEM"
          )
    )),
    MONTH(EDATE(
      _xlfn.XLOOKUP($A2390,'RESUMEN CLIENTES'!$D:$D,'RESUMEN CLIENTES'!$Y:$Y,""),
      7 + COUNTIFS(
            $A$2:INDEX($A:$A,ROW()), $A2390,
            $H$2:INDEX($H:$H,ROW()), "ALEM"
          )
    )),
    1
  ),
"SIN FECHA MIG"))</f>
        <v>46569</v>
      </c>
      <c r="H2390" s="169" t="s">
        <v>1876</v>
      </c>
      <c r="I2390" s="2">
        <v>800</v>
      </c>
      <c r="J2390"/>
      <c r="K2390"/>
      <c r="L2390" s="44" t="str" cm="1">
        <f t="array" ref="L2390">+_xlfn.IFS(COUNTIF(INGRESOS!E:E,Tabla6[[#This Row],[ID FACTURA]])=1,"PAGADA",Tabla6[[#This Row],[ID FACTURA]]&lt;&gt;0,"EMITIDA",Tabla6[[#This Row],[ID FACTURA]]=0,"POR EMITIR")</f>
        <v>POR EMITIR</v>
      </c>
      <c r="M2390" s="55" t="str">
        <f>+IF(Tabla6[[#This Row],[ESTADO FACTURA]]="PAGADA",Tabla6[[#This Row],[FECHA]]-_xlfn.XLOOKUP(Tabla6[[#This Row],[N° FACTURA]],INGRESOS!F:F,INGRESOS!A:A),"-")</f>
        <v>-</v>
      </c>
      <c r="O2390"/>
    </row>
    <row r="2391" spans="1:15" ht="15" customHeight="1">
      <c r="A2391" s="320" t="s">
        <v>229</v>
      </c>
      <c r="B2391" t="str">
        <f>+_xlfn.XLOOKUP(Tabla6[[#This Row],[ID CLIENTE]],'RESUMEN CLIENTES'!D:D,'RESUMEN CLIENTES'!A:A)</f>
        <v>Nathaly Gabriela Henríquez Masín</v>
      </c>
      <c r="C2391" t="str">
        <f>+_xlfn.XLOOKUP(Tabla6[[#This Row],[ID CLIENTE]],'RESUMEN CLIENTES'!D:D,'RESUMEN CLIENTES'!C:C)</f>
        <v>El Salvador</v>
      </c>
      <c r="D2391" s="44" t="str">
        <f>+_xlfn.XLOOKUP(Tabla6[[#This Row],[ID CLIENTE]],'RESUMEN CLIENTES'!D:D,'RESUMEN CLIENTES'!M:M)</f>
        <v>OK</v>
      </c>
      <c r="E2391" s="72">
        <f>+_xlfn.XLOOKUP(Tabla6[[#This Row],[NOMBRE]],'RESUMEN CLIENTES'!A:A,'RESUMEN CLIENTES'!X:X)</f>
        <v>0.7</v>
      </c>
      <c r="F2391" s="72">
        <f>+_xlfn.XLOOKUP(Tabla6[[#This Row],[ID CLIENTE]],'RESUMEN CLIENTES'!D:D,'RESUMEN CLIENTES'!W:W)</f>
        <v>0</v>
      </c>
      <c r="G2391" s="17">
        <f>IF($H2391&lt;&gt;"ALEM","",IFERROR(
  DATE(
    YEAR(EDATE(
      _xlfn.XLOOKUP($A2391,'RESUMEN CLIENTES'!$D:$D,'RESUMEN CLIENTES'!$Y:$Y,""),
      7 + COUNTIFS(
            $A$2:INDEX($A:$A,ROW()), $A2391,
            $H$2:INDEX($H:$H,ROW()), "ALEM"
          )
    )),
    MONTH(EDATE(
      _xlfn.XLOOKUP($A2391,'RESUMEN CLIENTES'!$D:$D,'RESUMEN CLIENTES'!$Y:$Y,""),
      7 + COUNTIFS(
            $A$2:INDEX($A:$A,ROW()), $A2391,
            $H$2:INDEX($H:$H,ROW()), "ALEM"
          )
    )),
    1
  ),
"SIN FECHA MIG"))</f>
        <v>46569</v>
      </c>
      <c r="H2391" s="44" t="s">
        <v>1876</v>
      </c>
      <c r="I2391" s="2">
        <v>500</v>
      </c>
      <c r="J2391"/>
      <c r="K2391"/>
      <c r="L2391" s="44" t="str" cm="1">
        <f t="array" ref="L2391">+_xlfn.IFS(COUNTIF(INGRESOS!E:E,Tabla6[[#This Row],[ID FACTURA]])=1,"PAGADA",Tabla6[[#This Row],[ID FACTURA]]&lt;&gt;0,"EMITIDA",Tabla6[[#This Row],[ID FACTURA]]=0,"POR EMITIR")</f>
        <v>POR EMITIR</v>
      </c>
      <c r="M2391" s="55" t="str">
        <f>+IF(Tabla6[[#This Row],[ESTADO FACTURA]]="PAGADA",Tabla6[[#This Row],[FECHA]]-_xlfn.XLOOKUP(Tabla6[[#This Row],[N° FACTURA]],INGRESOS!F:F,INGRESOS!A:A),"-")</f>
        <v>-</v>
      </c>
      <c r="N2391" s="2"/>
      <c r="O2391"/>
    </row>
    <row r="2392" spans="1:15" ht="15" customHeight="1">
      <c r="A2392" s="320" t="s">
        <v>695</v>
      </c>
      <c r="B2392" t="str">
        <f>+_xlfn.XLOOKUP(Tabla6[[#This Row],[ID CLIENTE]],'RESUMEN CLIENTES'!D:D,'RESUMEN CLIENTES'!A:A)</f>
        <v>Olguer Ariel Pruna Herrera</v>
      </c>
      <c r="C2392" t="str">
        <f>+_xlfn.XLOOKUP(Tabla6[[#This Row],[ID CLIENTE]],'RESUMEN CLIENTES'!D:D,'RESUMEN CLIENTES'!C:C)</f>
        <v>Ecuador</v>
      </c>
      <c r="D2392" s="44" t="str">
        <f>+_xlfn.XLOOKUP(Tabla6[[#This Row],[ID CLIENTE]],'RESUMEN CLIENTES'!D:D,'RESUMEN CLIENTES'!M:M)</f>
        <v>OK</v>
      </c>
      <c r="E2392" s="72">
        <f>+_xlfn.XLOOKUP(Tabla6[[#This Row],[NOMBRE]],'RESUMEN CLIENTES'!A:A,'RESUMEN CLIENTES'!X:X)</f>
        <v>0.25</v>
      </c>
      <c r="F2392" s="72">
        <f>+_xlfn.XLOOKUP(Tabla6[[#This Row],[ID CLIENTE]],'RESUMEN CLIENTES'!D:D,'RESUMEN CLIENTES'!W:W)</f>
        <v>1</v>
      </c>
      <c r="G2392" s="17">
        <f>IF($H2392&lt;&gt;"ALEM","",IFERROR(
  DATE(
    YEAR(EDATE(
      _xlfn.XLOOKUP($A2392,'RESUMEN CLIENTES'!$D:$D,'RESUMEN CLIENTES'!$Y:$Y,""),
      7 + COUNTIFS(
            $A$2:INDEX($A:$A,ROW()), $A2392,
            $H$2:INDEX($H:$H,ROW()), "ALEM"
          )
    )),
    MONTH(EDATE(
      _xlfn.XLOOKUP($A2392,'RESUMEN CLIENTES'!$D:$D,'RESUMEN CLIENTES'!$Y:$Y,""),
      7 + COUNTIFS(
            $A$2:INDEX($A:$A,ROW()), $A2392,
            $H$2:INDEX($H:$H,ROW()), "ALEM"
          )
    )),
    1
  ),
"SIN FECHA MIG"))</f>
        <v>46569</v>
      </c>
      <c r="H2392" s="44" t="s">
        <v>1876</v>
      </c>
      <c r="I2392" s="2">
        <v>1000</v>
      </c>
      <c r="J2392"/>
      <c r="K2392"/>
      <c r="L2392" s="44" t="str" cm="1">
        <f t="array" ref="L2392">+_xlfn.IFS(COUNTIF(INGRESOS!E:E,Tabla6[[#This Row],[ID FACTURA]])=1,"PAGADA",Tabla6[[#This Row],[ID FACTURA]]&lt;&gt;0,"EMITIDA",Tabla6[[#This Row],[ID FACTURA]]=0,"POR EMITIR")</f>
        <v>POR EMITIR</v>
      </c>
      <c r="M2392" s="55" t="str">
        <f>+IF(Tabla6[[#This Row],[ESTADO FACTURA]]="PAGADA",Tabla6[[#This Row],[FECHA]]-_xlfn.XLOOKUP(Tabla6[[#This Row],[N° FACTURA]],INGRESOS!F:F,INGRESOS!A:A),"-")</f>
        <v>-</v>
      </c>
      <c r="N2392" s="2"/>
      <c r="O2392" t="s">
        <v>2084</v>
      </c>
    </row>
    <row r="2393" spans="1:15" ht="15" customHeight="1">
      <c r="A2393" s="320" t="s">
        <v>855</v>
      </c>
      <c r="B2393" t="str">
        <f>+_xlfn.XLOOKUP(Tabla6[[#This Row],[ID CLIENTE]],'RESUMEN CLIENTES'!D:D,'RESUMEN CLIENTES'!A:A)</f>
        <v>Paula Ida Elisa Saris Sommer</v>
      </c>
      <c r="C2393" t="str">
        <f>+_xlfn.XLOOKUP(Tabla6[[#This Row],[ID CLIENTE]],'RESUMEN CLIENTES'!D:D,'RESUMEN CLIENTES'!C:C)</f>
        <v>Argentina</v>
      </c>
      <c r="D2393" s="44" t="str">
        <f>+_xlfn.XLOOKUP(Tabla6[[#This Row],[ID CLIENTE]],'RESUMEN CLIENTES'!D:D,'RESUMEN CLIENTES'!M:M)</f>
        <v>OK</v>
      </c>
      <c r="E2393" s="72">
        <f>+_xlfn.XLOOKUP(Tabla6[[#This Row],[NOMBRE]],'RESUMEN CLIENTES'!A:A,'RESUMEN CLIENTES'!X:X)</f>
        <v>-8.7894736842105257</v>
      </c>
      <c r="F2393" s="72">
        <f>+_xlfn.XLOOKUP(Tabla6[[#This Row],[ID CLIENTE]],'RESUMEN CLIENTES'!D:D,'RESUMEN CLIENTES'!W:W)</f>
        <v>0</v>
      </c>
      <c r="G2393" s="17">
        <f>IF($H2393&lt;&gt;"ALEM","",IFERROR(
  DATE(
    YEAR(EDATE(
      _xlfn.XLOOKUP($A2393,'RESUMEN CLIENTES'!$D:$D,'RESUMEN CLIENTES'!$Y:$Y,""),
      7 + COUNTIFS(
            $A$2:INDEX($A:$A,ROW()), $A2393,
            $H$2:INDEX($H:$H,ROW()), "ALEM"
          )
    )),
    MONTH(EDATE(
      _xlfn.XLOOKUP($A2393,'RESUMEN CLIENTES'!$D:$D,'RESUMEN CLIENTES'!$Y:$Y,""),
      7 + COUNTIFS(
            $A$2:INDEX($A:$A,ROW()), $A2393,
            $H$2:INDEX($H:$H,ROW()), "ALEM"
          )
    )),
    1
  ),
"SIN FECHA MIG"))</f>
        <v>46569</v>
      </c>
      <c r="H2393" s="44" t="s">
        <v>1876</v>
      </c>
      <c r="I2393" s="2">
        <v>1000</v>
      </c>
      <c r="J2393"/>
      <c r="K2393"/>
      <c r="L2393" s="44" t="str" cm="1">
        <f t="array" ref="L2393">+_xlfn.IFS(COUNTIF(INGRESOS!E:E,Tabla6[[#This Row],[ID FACTURA]])=1,"PAGADA",Tabla6[[#This Row],[ID FACTURA]]&lt;&gt;0,"EMITIDA",Tabla6[[#This Row],[ID FACTURA]]=0,"POR EMITIR")</f>
        <v>POR EMITIR</v>
      </c>
      <c r="M2393" s="55" t="str">
        <f>+IF(Tabla6[[#This Row],[ESTADO FACTURA]]="PAGADA",Tabla6[[#This Row],[FECHA]]-_xlfn.XLOOKUP(Tabla6[[#This Row],[N° FACTURA]],INGRESOS!F:F,INGRESOS!A:A),"-")</f>
        <v>-</v>
      </c>
      <c r="N2393" s="2"/>
      <c r="O2393" t="s">
        <v>2084</v>
      </c>
    </row>
    <row r="2394" spans="1:15" ht="15" customHeight="1">
      <c r="A2394" s="321" t="s">
        <v>1881</v>
      </c>
      <c r="B2394" t="str">
        <f>+_xlfn.XLOOKUP(Tabla6[[#This Row],[ID CLIENTE]],'RESUMEN CLIENTES'!D:D,'RESUMEN CLIENTES'!A:A)</f>
        <v>Paulina Alejandra Silva Gómez</v>
      </c>
      <c r="C2394" t="str">
        <f>+_xlfn.XLOOKUP(Tabla6[[#This Row],[ID CLIENTE]],'RESUMEN CLIENTES'!D:D,'RESUMEN CLIENTES'!C:C)</f>
        <v>Chile</v>
      </c>
      <c r="D2394" s="169" t="str">
        <f>+_xlfn.XLOOKUP(Tabla6[[#This Row],[ID CLIENTE]],'RESUMEN CLIENTES'!D:D,'RESUMEN CLIENTES'!M:M)</f>
        <v>¡REGULARIZAR!</v>
      </c>
      <c r="E2394" s="71">
        <f>+_xlfn.XLOOKUP(Tabla6[[#This Row],[NOMBRE]],'RESUMEN CLIENTES'!A:A,'RESUMEN CLIENTES'!X:X)</f>
        <v>-6.833333333333333</v>
      </c>
      <c r="F2394" s="71">
        <f>+_xlfn.XLOOKUP(Tabla6[[#This Row],[ID CLIENTE]],'RESUMEN CLIENTES'!D:D,'RESUMEN CLIENTES'!W:W)</f>
        <v>0</v>
      </c>
      <c r="G2394" s="17">
        <f>IF($H2394&lt;&gt;"ALEM","",IFERROR(
  DATE(
    YEAR(EDATE(
      _xlfn.XLOOKUP($A2394,'RESUMEN CLIENTES'!$D:$D,'RESUMEN CLIENTES'!$Y:$Y,""),
      7 + COUNTIFS(
            $A$2:INDEX($A:$A,ROW()), $A2394,
            $H$2:INDEX($H:$H,ROW()), "ALEM"
          )
    )),
    MONTH(EDATE(
      _xlfn.XLOOKUP($A2394,'RESUMEN CLIENTES'!$D:$D,'RESUMEN CLIENTES'!$Y:$Y,""),
      7 + COUNTIFS(
            $A$2:INDEX($A:$A,ROW()), $A2394,
            $H$2:INDEX($H:$H,ROW()), "ALEM"
          )
    )),
    1
  ),
"null"))</f>
        <v>46569</v>
      </c>
      <c r="H2394" s="169" t="s">
        <v>1876</v>
      </c>
      <c r="I2394" s="2">
        <v>800</v>
      </c>
      <c r="J2394"/>
      <c r="K2394"/>
      <c r="L2394" s="44" t="str" cm="1">
        <f t="array" ref="L2394">+_xlfn.IFS(COUNTIF(INGRESOS!E:E,Tabla6[[#This Row],[ID FACTURA]])=1,"PAGADA",Tabla6[[#This Row],[ID FACTURA]]&lt;&gt;0,"EMITIDA",Tabla6[[#This Row],[ID FACTURA]]=0,"POR EMITIR")</f>
        <v>POR EMITIR</v>
      </c>
      <c r="M2394" s="54" t="str">
        <f>+IF(Tabla6[[#This Row],[ESTADO FACTURA]]="PAGADA",Tabla6[[#This Row],[FECHA]]-_xlfn.XLOOKUP(Tabla6[[#This Row],[N° FACTURA]],INGRESOS!F:F,INGRESOS!A:A),"-")</f>
        <v>-</v>
      </c>
      <c r="O2394" t="s">
        <v>2092</v>
      </c>
    </row>
    <row r="2395" spans="1:15" ht="15" customHeight="1">
      <c r="A2395" s="320" t="s">
        <v>994</v>
      </c>
      <c r="B2395" t="str">
        <f>+_xlfn.XLOOKUP(Tabla6[[#This Row],[ID CLIENTE]],'RESUMEN CLIENTES'!D:D,'RESUMEN CLIENTES'!A:A)</f>
        <v>Raúl Ernesto Martínez Orantes</v>
      </c>
      <c r="C2395" t="str">
        <f>+_xlfn.XLOOKUP(Tabla6[[#This Row],[ID CLIENTE]],'RESUMEN CLIENTES'!D:D,'RESUMEN CLIENTES'!C:C)</f>
        <v>El Salvador</v>
      </c>
      <c r="D2395" s="44" t="str">
        <f>+_xlfn.XLOOKUP(Tabla6[[#This Row],[ID CLIENTE]],'RESUMEN CLIENTES'!D:D,'RESUMEN CLIENTES'!M:M)</f>
        <v>OK</v>
      </c>
      <c r="E2395" s="72">
        <f>+_xlfn.XLOOKUP(Tabla6[[#This Row],[NOMBRE]],'RESUMEN CLIENTES'!A:A,'RESUMEN CLIENTES'!X:X)</f>
        <v>1.1428571428571428</v>
      </c>
      <c r="F2395" s="72">
        <f>+_xlfn.XLOOKUP(Tabla6[[#This Row],[ID CLIENTE]],'RESUMEN CLIENTES'!D:D,'RESUMEN CLIENTES'!W:W)</f>
        <v>1</v>
      </c>
      <c r="G2395" s="17">
        <f>IF($H2395&lt;&gt;"ALEM","",IFERROR(
  DATE(
    YEAR(EDATE(
      _xlfn.XLOOKUP($A2395,'RESUMEN CLIENTES'!$D:$D,'RESUMEN CLIENTES'!$Y:$Y,""),
      7 + COUNTIFS(
            $A$2:INDEX($A:$A,ROW()), $A2395,
            $H$2:INDEX($H:$H,ROW()), "ALEM"
          )
    )),
    MONTH(EDATE(
      _xlfn.XLOOKUP($A2395,'RESUMEN CLIENTES'!$D:$D,'RESUMEN CLIENTES'!$Y:$Y,""),
      7 + COUNTIFS(
            $A$2:INDEX($A:$A,ROW()), $A2395,
            $H$2:INDEX($H:$H,ROW()), "ALEM"
          )
    )),
    1
  ),
"SIN FECHA MIG"))</f>
        <v>46569</v>
      </c>
      <c r="H2395" s="44" t="s">
        <v>1876</v>
      </c>
      <c r="I2395" s="2">
        <v>800</v>
      </c>
      <c r="J2395"/>
      <c r="K2395"/>
      <c r="L2395" s="44" t="str" cm="1">
        <f t="array" ref="L2395">+_xlfn.IFS(COUNTIF(INGRESOS!E:E,Tabla6[[#This Row],[ID FACTURA]])=1,"PAGADA",Tabla6[[#This Row],[ID FACTURA]]&lt;&gt;0,"EMITIDA",Tabla6[[#This Row],[ID FACTURA]]=0,"POR EMITIR")</f>
        <v>POR EMITIR</v>
      </c>
      <c r="M2395" s="55" t="str">
        <f>+IF(Tabla6[[#This Row],[ESTADO FACTURA]]="PAGADA",Tabla6[[#This Row],[FECHA]]-_xlfn.XLOOKUP(Tabla6[[#This Row],[N° FACTURA]],INGRESOS!F:F,INGRESOS!A:A),"-")</f>
        <v>-</v>
      </c>
      <c r="N2395" s="2"/>
      <c r="O2395"/>
    </row>
    <row r="2396" spans="1:15" ht="15" customHeight="1">
      <c r="A2396" s="320" t="s">
        <v>1152</v>
      </c>
      <c r="B2396" t="str">
        <f>+_xlfn.XLOOKUP(Tabla6[[#This Row],[ID CLIENTE]],'RESUMEN CLIENTES'!D:D,'RESUMEN CLIENTES'!A:A)</f>
        <v>Ricardo Ernesto Miño Valencia</v>
      </c>
      <c r="C2396" t="str">
        <f>+_xlfn.XLOOKUP(Tabla6[[#This Row],[ID CLIENTE]],'RESUMEN CLIENTES'!D:D,'RESUMEN CLIENTES'!C:C)</f>
        <v>Ecuador</v>
      </c>
      <c r="D2396" s="44" t="str">
        <f>+_xlfn.XLOOKUP(Tabla6[[#This Row],[ID CLIENTE]],'RESUMEN CLIENTES'!D:D,'RESUMEN CLIENTES'!M:M)</f>
        <v>OK</v>
      </c>
      <c r="E2396" s="72">
        <f>+_xlfn.XLOOKUP(Tabla6[[#This Row],[NOMBRE]],'RESUMEN CLIENTES'!A:A,'RESUMEN CLIENTES'!X:X)</f>
        <v>-3.2</v>
      </c>
      <c r="F2396" s="72">
        <f>+_xlfn.XLOOKUP(Tabla6[[#This Row],[ID CLIENTE]],'RESUMEN CLIENTES'!D:D,'RESUMEN CLIENTES'!W:W)</f>
        <v>1</v>
      </c>
      <c r="G2396" s="17">
        <f>IF($H2396&lt;&gt;"ALEM","",IFERROR(
  DATE(
    YEAR(EDATE(
      _xlfn.XLOOKUP($A2396,'RESUMEN CLIENTES'!$D:$D,'RESUMEN CLIENTES'!$Y:$Y,""),
      7 + COUNTIFS(
            $A$2:INDEX($A:$A,ROW()), $A2396,
            $H$2:INDEX($H:$H,ROW()), "ALEM"
          )
    )),
    MONTH(EDATE(
      _xlfn.XLOOKUP($A2396,'RESUMEN CLIENTES'!$D:$D,'RESUMEN CLIENTES'!$Y:$Y,""),
      7 + COUNTIFS(
            $A$2:INDEX($A:$A,ROW()), $A2396,
            $H$2:INDEX($H:$H,ROW()), "ALEM"
          )
    )),
    1
  ),
"SIN FECHA MIG"))</f>
        <v>46569</v>
      </c>
      <c r="H2396" s="44" t="s">
        <v>1876</v>
      </c>
      <c r="I2396" s="2">
        <v>1000</v>
      </c>
      <c r="J2396"/>
      <c r="K2396"/>
      <c r="L2396" s="44" t="str" cm="1">
        <f t="array" ref="L2396">+_xlfn.IFS(COUNTIF(INGRESOS!E:E,Tabla6[[#This Row],[ID FACTURA]])=1,"PAGADA",Tabla6[[#This Row],[ID FACTURA]]&lt;&gt;0,"EMITIDA",Tabla6[[#This Row],[ID FACTURA]]=0,"POR EMITIR")</f>
        <v>POR EMITIR</v>
      </c>
      <c r="M2396" s="55" t="str">
        <f>+IF(Tabla6[[#This Row],[ESTADO FACTURA]]="PAGADA",Tabla6[[#This Row],[FECHA]]-_xlfn.XLOOKUP(Tabla6[[#This Row],[N° FACTURA]],INGRESOS!F:F,INGRESOS!A:A),"-")</f>
        <v>-</v>
      </c>
      <c r="N2396" s="2"/>
      <c r="O2396" t="s">
        <v>2084</v>
      </c>
    </row>
    <row r="2397" spans="1:15" ht="15" customHeight="1">
      <c r="A2397" s="320" t="s">
        <v>275</v>
      </c>
      <c r="B2397" t="str">
        <f>+_xlfn.XLOOKUP(Tabla6[[#This Row],[ID CLIENTE]],'RESUMEN CLIENTES'!D:D,'RESUMEN CLIENTES'!A:A)</f>
        <v>Rodrigo Alfonso Busse Hernández</v>
      </c>
      <c r="C2397" t="str">
        <f>+_xlfn.XLOOKUP(Tabla6[[#This Row],[ID CLIENTE]],'RESUMEN CLIENTES'!D:D,'RESUMEN CLIENTES'!C:C)</f>
        <v>Chile</v>
      </c>
      <c r="D2397" s="44" t="str">
        <f>+_xlfn.XLOOKUP(Tabla6[[#This Row],[ID CLIENTE]],'RESUMEN CLIENTES'!D:D,'RESUMEN CLIENTES'!M:M)</f>
        <v>OK</v>
      </c>
      <c r="E2397" s="72">
        <f>+_xlfn.XLOOKUP(Tabla6[[#This Row],[NOMBRE]],'RESUMEN CLIENTES'!A:A,'RESUMEN CLIENTES'!X:X)</f>
        <v>0.33333333333333331</v>
      </c>
      <c r="F2397" s="72">
        <f>+_xlfn.XLOOKUP(Tabla6[[#This Row],[ID CLIENTE]],'RESUMEN CLIENTES'!D:D,'RESUMEN CLIENTES'!W:W)</f>
        <v>1</v>
      </c>
      <c r="G2397" s="17">
        <f>IF($H2397&lt;&gt;"ALEM","",IFERROR(
  DATE(
    YEAR(EDATE(
      _xlfn.XLOOKUP($A2397,'RESUMEN CLIENTES'!$D:$D,'RESUMEN CLIENTES'!$Y:$Y,""),
      7 + COUNTIFS(
            $A$2:INDEX($A:$A,ROW()), $A2397,
            $H$2:INDEX($H:$H,ROW()), "ALEM"
          )
    )),
    MONTH(EDATE(
      _xlfn.XLOOKUP($A2397,'RESUMEN CLIENTES'!$D:$D,'RESUMEN CLIENTES'!$Y:$Y,""),
      7 + COUNTIFS(
            $A$2:INDEX($A:$A,ROW()), $A2397,
            $H$2:INDEX($H:$H,ROW()), "ALEM"
          )
    )),
    1
  ),
"SIN FECHA MIG"))</f>
        <v>46569</v>
      </c>
      <c r="H2397" s="44" t="s">
        <v>1876</v>
      </c>
      <c r="I2397" s="2">
        <v>750</v>
      </c>
      <c r="J2397"/>
      <c r="K2397"/>
      <c r="L2397" s="44" t="str" cm="1">
        <f t="array" ref="L2397">+_xlfn.IFS(COUNTIF(INGRESOS!E:E,Tabla6[[#This Row],[ID FACTURA]])=1,"PAGADA",Tabla6[[#This Row],[ID FACTURA]]&lt;&gt;0,"EMITIDA",Tabla6[[#This Row],[ID FACTURA]]=0,"POR EMITIR")</f>
        <v>POR EMITIR</v>
      </c>
      <c r="M2397" s="55" t="str">
        <f>+IF(Tabla6[[#This Row],[ESTADO FACTURA]]="PAGADA",Tabla6[[#This Row],[FECHA]]-_xlfn.XLOOKUP(Tabla6[[#This Row],[N° FACTURA]],INGRESOS!F:F,INGRESOS!A:A),"-")</f>
        <v>-</v>
      </c>
      <c r="N2397" s="2"/>
      <c r="O2397" t="s">
        <v>2084</v>
      </c>
    </row>
    <row r="2398" spans="1:15" ht="15" customHeight="1">
      <c r="A2398" s="320" t="s">
        <v>460</v>
      </c>
      <c r="B2398" t="str">
        <f>+_xlfn.XLOOKUP(Tabla6[[#This Row],[ID CLIENTE]],'RESUMEN CLIENTES'!D:D,'RESUMEN CLIENTES'!A:A)</f>
        <v>Valeria Carolina Heredia Peña</v>
      </c>
      <c r="C2398" t="str">
        <f>+_xlfn.XLOOKUP(Tabla6[[#This Row],[ID CLIENTE]],'RESUMEN CLIENTES'!D:D,'RESUMEN CLIENTES'!C:C)</f>
        <v>Bolivia</v>
      </c>
      <c r="D2398" s="44" t="str">
        <f>+_xlfn.XLOOKUP(Tabla6[[#This Row],[ID CLIENTE]],'RESUMEN CLIENTES'!D:D,'RESUMEN CLIENTES'!M:M)</f>
        <v>OK</v>
      </c>
      <c r="E2398" s="72">
        <f>+_xlfn.XLOOKUP(Tabla6[[#This Row],[NOMBRE]],'RESUMEN CLIENTES'!A:A,'RESUMEN CLIENTES'!X:X)</f>
        <v>2.5</v>
      </c>
      <c r="F2398" s="72">
        <f>+_xlfn.XLOOKUP(Tabla6[[#This Row],[ID CLIENTE]],'RESUMEN CLIENTES'!D:D,'RESUMEN CLIENTES'!W:W)</f>
        <v>0</v>
      </c>
      <c r="G2398" s="17">
        <f>IF($H2398&lt;&gt;"ALEM","",IFERROR(
  DATE(
    YEAR(EDATE(
      _xlfn.XLOOKUP($A2398,'RESUMEN CLIENTES'!$D:$D,'RESUMEN CLIENTES'!$Y:$Y,""),
      7 + COUNTIFS(
            $A$2:INDEX($A:$A,ROW()), $A2398,
            $H$2:INDEX($H:$H,ROW()), "ALEM"
          )
    )),
    MONTH(EDATE(
      _xlfn.XLOOKUP($A2398,'RESUMEN CLIENTES'!$D:$D,'RESUMEN CLIENTES'!$Y:$Y,""),
      7 + COUNTIFS(
            $A$2:INDEX($A:$A,ROW()), $A2398,
            $H$2:INDEX($H:$H,ROW()), "ALEM"
          )
    )),
    1
  ),
"SIN FECHA MIG"))</f>
        <v>46569</v>
      </c>
      <c r="H2398" s="44" t="s">
        <v>1876</v>
      </c>
      <c r="I2398" s="2">
        <v>1000</v>
      </c>
      <c r="J2398"/>
      <c r="K2398"/>
      <c r="L2398" s="44" t="str" cm="1">
        <f t="array" ref="L2398">+_xlfn.IFS(COUNTIF(INGRESOS!E:E,Tabla6[[#This Row],[ID FACTURA]])=1,"PAGADA",Tabla6[[#This Row],[ID FACTURA]]&lt;&gt;0,"EMITIDA",Tabla6[[#This Row],[ID FACTURA]]=0,"POR EMITIR")</f>
        <v>POR EMITIR</v>
      </c>
      <c r="M2398" s="55" t="str">
        <f>+IF(Tabla6[[#This Row],[ESTADO FACTURA]]="PAGADA",Tabla6[[#This Row],[FECHA]]-_xlfn.XLOOKUP(Tabla6[[#This Row],[N° FACTURA]],INGRESOS!F:F,INGRESOS!A:A),"-")</f>
        <v>-</v>
      </c>
      <c r="N2398" s="2"/>
      <c r="O2398"/>
    </row>
    <row r="2399" spans="1:15" ht="15" customHeight="1">
      <c r="A2399" s="320" t="s">
        <v>4442</v>
      </c>
      <c r="B2399" t="str">
        <f>+_xlfn.XLOOKUP(Tabla6[[#This Row],[ID CLIENTE]],'RESUMEN CLIENTES'!D:D,'RESUMEN CLIENTES'!A:A)</f>
        <v>Vicente Javier Campusano Banse</v>
      </c>
      <c r="C2399" t="str">
        <f>+_xlfn.XLOOKUP(Tabla6[[#This Row],[ID CLIENTE]],'RESUMEN CLIENTES'!D:D,'RESUMEN CLIENTES'!C:C)</f>
        <v>Chile</v>
      </c>
      <c r="D2399" s="169" t="str">
        <f>+_xlfn.XLOOKUP(Tabla6[[#This Row],[ID CLIENTE]],'RESUMEN CLIENTES'!D:D,'RESUMEN CLIENTES'!M:M)</f>
        <v>¡REGULARIZAR!</v>
      </c>
      <c r="E2399" s="71">
        <f>+_xlfn.XLOOKUP(Tabla6[[#This Row],[NOMBRE]],'RESUMEN CLIENTES'!A:A,'RESUMEN CLIENTES'!X:X)</f>
        <v>0</v>
      </c>
      <c r="F2399" s="71">
        <f>+_xlfn.XLOOKUP(Tabla6[[#This Row],[ID CLIENTE]],'RESUMEN CLIENTES'!D:D,'RESUMEN CLIENTES'!W:W)</f>
        <v>0</v>
      </c>
      <c r="G2399" s="428">
        <f>IF($H2399&lt;&gt;"ALEM","",IFERROR(
  DATE(
    YEAR(EDATE(
      _xlfn.XLOOKUP($A2399,'RESUMEN CLIENTES'!$D:$D,'RESUMEN CLIENTES'!$Y:$Y,""),
      7 + COUNTIFS(
            $A$2:INDEX($A:$A,ROW()), $A2399,
            $H$2:INDEX($H:$H,ROW()), "ALEM"
          )
    )),
    MONTH(EDATE(
      _xlfn.XLOOKUP($A2399,'RESUMEN CLIENTES'!$D:$D,'RESUMEN CLIENTES'!$Y:$Y,""),
      7 + COUNTIFS(
            $A$2:INDEX($A:$A,ROW()), $A2399,
            $H$2:INDEX($H:$H,ROW()), "ALEM"
          )
    )),
    1
  ),
"null"))</f>
        <v>46569</v>
      </c>
      <c r="H2399" s="169" t="s">
        <v>1876</v>
      </c>
      <c r="I2399" s="2">
        <v>750</v>
      </c>
      <c r="J2399"/>
      <c r="K2399"/>
      <c r="L2399" s="44" t="str" cm="1">
        <f t="array" ref="L2399">+_xlfn.IFS(COUNTIF(INGRESOS!E:E,Tabla6[[#This Row],[ID FACTURA]])=1,"PAGADA",Tabla6[[#This Row],[ID FACTURA]]&lt;&gt;0,"EMITIDA",Tabla6[[#This Row],[ID FACTURA]]=0,"POR EMITIR")</f>
        <v>POR EMITIR</v>
      </c>
      <c r="M2399" s="54" t="str">
        <f>+IF(Tabla6[[#This Row],[ESTADO FACTURA]]="PAGADA",Tabla6[[#This Row],[FECHA]]-_xlfn.XLOOKUP(Tabla6[[#This Row],[N° FACTURA]],INGRESOS!F:F,INGRESOS!A:A),"-")</f>
        <v>-</v>
      </c>
      <c r="O2399"/>
    </row>
    <row r="2400" spans="1:15" ht="15" customHeight="1">
      <c r="A2400" s="320" t="s">
        <v>6696</v>
      </c>
      <c r="B2400" t="str">
        <f>+_xlfn.XLOOKUP(Tabla6[[#This Row],[ID CLIENTE]],'RESUMEN CLIENTES'!D:D,'RESUMEN CLIENTES'!A:A)</f>
        <v>Stiben Lopez Vargas</v>
      </c>
      <c r="C2400" s="15" t="str">
        <f>+_xlfn.XLOOKUP(Tabla6[[#This Row],[ID CLIENTE]],'RESUMEN CLIENTES'!D:D,'RESUMEN CLIENTES'!C:C)</f>
        <v>Colombia</v>
      </c>
      <c r="D2400" s="169" t="str">
        <f>+_xlfn.XLOOKUP(Tabla6[[#This Row],[ID CLIENTE]],'RESUMEN CLIENTES'!D:D,'RESUMEN CLIENTES'!M:M)</f>
        <v xml:space="preserve">TRASPASAR </v>
      </c>
      <c r="E2400" s="71">
        <f>+_xlfn.XLOOKUP(Tabla6[[#This Row],[NOMBRE]],'RESUMEN CLIENTES'!A:A,'RESUMEN CLIENTES'!X:X)</f>
        <v>58</v>
      </c>
      <c r="F2400" s="71">
        <f>+_xlfn.XLOOKUP(Tabla6[[#This Row],[ID CLIENTE]],'RESUMEN CLIENTES'!D:D,'RESUMEN CLIENTES'!W:W)</f>
        <v>0</v>
      </c>
      <c r="G2400" s="17">
        <f>IF($H2400&lt;&gt;"ALEM","",IFERROR(
  DATE(
    YEAR(EDATE(
      _xlfn.XLOOKUP($A2400,'RESUMEN CLIENTES'!$D:$D,'RESUMEN CLIENTES'!$Y:$Y,""),
      7 + COUNTIFS(
            $A$2:INDEX($A:$A,ROW()), $A2400,
            $H$2:INDEX($H:$H,ROW()), "ALEM"
          )
    )),
    MONTH(EDATE(
      _xlfn.XLOOKUP($A2400,'RESUMEN CLIENTES'!$D:$D,'RESUMEN CLIENTES'!$Y:$Y,""),
      7 + COUNTIFS(
            $A$2:INDEX($A:$A,ROW()), $A2400,
            $H$2:INDEX($H:$H,ROW()), "ALEM"
          )
    )),
    1
  ),
"null"))</f>
        <v>46569</v>
      </c>
      <c r="H2400" s="169" t="s">
        <v>1876</v>
      </c>
      <c r="I2400" s="2">
        <v>1000</v>
      </c>
      <c r="J2400"/>
      <c r="K2400"/>
      <c r="L2400" s="44" t="str" cm="1">
        <f t="array" ref="L2400">+_xlfn.IFS(COUNTIF(INGRESOS!E:E,Tabla6[[#This Row],[ID FACTURA]])=1,"PAGADA",Tabla6[[#This Row],[ID FACTURA]]&lt;&gt;0,"EMITIDA",Tabla6[[#This Row],[ID FACTURA]]=0,"POR EMITIR")</f>
        <v>POR EMITIR</v>
      </c>
      <c r="M2400" s="54" t="str">
        <f>+IF(Tabla6[[#This Row],[ESTADO FACTURA]]="PAGADA",Tabla6[[#This Row],[FECHA]]-_xlfn.XLOOKUP(Tabla6[[#This Row],[N° FACTURA]],INGRESOS!F:F,INGRESOS!A:A),"-")</f>
        <v>-</v>
      </c>
      <c r="O2400"/>
    </row>
    <row r="2401" spans="1:15" ht="15" customHeight="1">
      <c r="A2401" s="320" t="s">
        <v>2521</v>
      </c>
      <c r="B2401" t="str">
        <f>+_xlfn.XLOOKUP(Tabla6[[#This Row],[ID CLIENTE]],'RESUMEN CLIENTES'!D:D,'RESUMEN CLIENTES'!A:A)</f>
        <v>Fabián Andrés Sarmiento Auli</v>
      </c>
      <c r="C2401" t="str">
        <f>+_xlfn.XLOOKUP(Tabla6[[#This Row],[ID CLIENTE]],'RESUMEN CLIENTES'!D:D,'RESUMEN CLIENTES'!C:C)</f>
        <v>Colombia</v>
      </c>
      <c r="D2401" s="169" t="str">
        <f>+_xlfn.XLOOKUP(Tabla6[[#This Row],[ID CLIENTE]],'RESUMEN CLIENTES'!D:D,'RESUMEN CLIENTES'!M:M)</f>
        <v>OK</v>
      </c>
      <c r="E2401" s="71">
        <f>+_xlfn.XLOOKUP(Tabla6[[#This Row],[NOMBRE]],'RESUMEN CLIENTES'!A:A,'RESUMEN CLIENTES'!X:X)</f>
        <v>0</v>
      </c>
      <c r="F2401" s="71">
        <f>+_xlfn.XLOOKUP(Tabla6[[#This Row],[ID CLIENTE]],'RESUMEN CLIENTES'!D:D,'RESUMEN CLIENTES'!W:W)</f>
        <v>0</v>
      </c>
      <c r="G2401" s="17">
        <v>46573</v>
      </c>
      <c r="H2401" s="169" t="s">
        <v>81</v>
      </c>
      <c r="I2401" s="2">
        <v>650</v>
      </c>
      <c r="J2401"/>
      <c r="K2401"/>
      <c r="L2401" s="44" t="str" cm="1">
        <f t="array" ref="L2401">+_xlfn.IFS(COUNTIF(INGRESOS!E:E,Tabla6[[#This Row],[ID FACTURA]])=1,"PAGADA",Tabla6[[#This Row],[ID FACTURA]]&lt;&gt;0,"EMITIDA",Tabla6[[#This Row],[ID FACTURA]]=0,"POR EMITIR")</f>
        <v>POR EMITIR</v>
      </c>
      <c r="M2401" s="54" t="str">
        <f>+IF(Tabla6[[#This Row],[ESTADO FACTURA]]="PAGADA",Tabla6[[#This Row],[FECHA]]-_xlfn.XLOOKUP(Tabla6[[#This Row],[N° FACTURA]],INGRESOS!F:F,INGRESOS!A:A),"-")</f>
        <v>-</v>
      </c>
      <c r="O2401"/>
    </row>
    <row r="2402" spans="1:15" ht="15" customHeight="1">
      <c r="A2402" s="320" t="s">
        <v>1416</v>
      </c>
      <c r="B2402" t="str">
        <f>+_xlfn.XLOOKUP(Tabla6[[#This Row],[ID CLIENTE]],'RESUMEN CLIENTES'!D:D,'RESUMEN CLIENTES'!A:A)</f>
        <v>Luis Armando Calderon Manzanera</v>
      </c>
      <c r="C2402" t="str">
        <f>+_xlfn.XLOOKUP(Tabla6[[#This Row],[ID CLIENTE]],'RESUMEN CLIENTES'!D:D,'RESUMEN CLIENTES'!C:C)</f>
        <v>México</v>
      </c>
      <c r="D2402" s="44" t="str">
        <f>+_xlfn.XLOOKUP(Tabla6[[#This Row],[ID CLIENTE]],'RESUMEN CLIENTES'!D:D,'RESUMEN CLIENTES'!M:M)</f>
        <v>OK</v>
      </c>
      <c r="E2402" s="71">
        <f>+_xlfn.XLOOKUP(Tabla6[[#This Row],[NOMBRE]],'RESUMEN CLIENTES'!A:A,'RESUMEN CLIENTES'!X:X)</f>
        <v>2</v>
      </c>
      <c r="F2402" s="71">
        <f>+_xlfn.XLOOKUP(Tabla6[[#This Row],[ID CLIENTE]],'RESUMEN CLIENTES'!D:D,'RESUMEN CLIENTES'!W:W)</f>
        <v>1</v>
      </c>
      <c r="G2402" s="17">
        <v>46573</v>
      </c>
      <c r="H2402" s="44" t="s">
        <v>81</v>
      </c>
      <c r="I2402" s="2">
        <v>650</v>
      </c>
      <c r="J2402"/>
      <c r="K2402"/>
      <c r="L2402" s="44" t="str" cm="1">
        <f t="array" ref="L2402">+_xlfn.IFS(COUNTIF(INGRESOS!E:E,Tabla6[[#This Row],[ID FACTURA]])=1,"PAGADA",Tabla6[[#This Row],[ID FACTURA]]&lt;&gt;0,"EMITIDA",Tabla6[[#This Row],[ID FACTURA]]=0,"POR EMITIR")</f>
        <v>POR EMITIR</v>
      </c>
      <c r="M2402" s="55" t="str">
        <f>+IF(Tabla6[[#This Row],[ESTADO FACTURA]]="PAGADA",Tabla6[[#This Row],[FECHA]]-_xlfn.XLOOKUP(Tabla6[[#This Row],[N° FACTURA]],INGRESOS!F:F,INGRESOS!A:A),"-")</f>
        <v>-</v>
      </c>
      <c r="N2402" s="2"/>
      <c r="O2402"/>
    </row>
    <row r="2403" spans="1:15" ht="15" customHeight="1">
      <c r="A2403" s="320" t="s">
        <v>703</v>
      </c>
      <c r="B2403" t="str">
        <f>+_xlfn.XLOOKUP(Tabla6[[#This Row],[ID CLIENTE]],'RESUMEN CLIENTES'!D:D,'RESUMEN CLIENTES'!A:A)</f>
        <v>Maira Paz Navas Sánchez</v>
      </c>
      <c r="C2403" t="str">
        <f>+_xlfn.XLOOKUP(Tabla6[[#This Row],[ID CLIENTE]],'RESUMEN CLIENTES'!D:D,'RESUMEN CLIENTES'!C:C)</f>
        <v>Chile</v>
      </c>
      <c r="D2403" s="44" t="str">
        <f>+_xlfn.XLOOKUP(Tabla6[[#This Row],[ID CLIENTE]],'RESUMEN CLIENTES'!D:D,'RESUMEN CLIENTES'!M:M)</f>
        <v>OK</v>
      </c>
      <c r="E2403" s="72">
        <f>+_xlfn.XLOOKUP(Tabla6[[#This Row],[NOMBRE]],'RESUMEN CLIENTES'!A:A,'RESUMEN CLIENTES'!X:X)</f>
        <v>-1.75</v>
      </c>
      <c r="F2403" s="72">
        <f>+_xlfn.XLOOKUP(Tabla6[[#This Row],[ID CLIENTE]],'RESUMEN CLIENTES'!D:D,'RESUMEN CLIENTES'!W:W)</f>
        <v>1</v>
      </c>
      <c r="G2403" s="17">
        <v>46573</v>
      </c>
      <c r="H2403" s="44" t="s">
        <v>81</v>
      </c>
      <c r="I2403" s="2">
        <v>700</v>
      </c>
      <c r="J2403"/>
      <c r="K2403"/>
      <c r="L2403" s="44" t="str" cm="1">
        <f t="array" ref="L2403">+_xlfn.IFS(COUNTIF(INGRESOS!E:E,Tabla6[[#This Row],[ID FACTURA]])=1,"PAGADA",Tabla6[[#This Row],[ID FACTURA]]&lt;&gt;0,"EMITIDA",Tabla6[[#This Row],[ID FACTURA]]=0,"POR EMITIR")</f>
        <v>POR EMITIR</v>
      </c>
      <c r="M2403" s="55" t="str">
        <f>+IF(Tabla6[[#This Row],[ESTADO FACTURA]]="PAGADA",Tabla6[[#This Row],[FECHA]]-_xlfn.XLOOKUP(Tabla6[[#This Row],[N° FACTURA]],INGRESOS!F:F,INGRESOS!A:A),"-")</f>
        <v>-</v>
      </c>
      <c r="N2403" s="2"/>
      <c r="O2403"/>
    </row>
    <row r="2404" spans="1:15" ht="15" customHeight="1">
      <c r="A2404" s="320" t="s">
        <v>1945</v>
      </c>
      <c r="B2404" t="str">
        <f>+_xlfn.XLOOKUP(Tabla6[[#This Row],[ID CLIENTE]],'RESUMEN CLIENTES'!D:D,'RESUMEN CLIENTES'!A:A)</f>
        <v>Fernanda Constanza Kompai Antu Arellano Guzmán</v>
      </c>
      <c r="C2404" t="str">
        <f>+_xlfn.XLOOKUP(Tabla6[[#This Row],[ID CLIENTE]],'RESUMEN CLIENTES'!D:D,'RESUMEN CLIENTES'!C:C)</f>
        <v>Chile</v>
      </c>
      <c r="D2404" s="169" t="str">
        <f>+_xlfn.XLOOKUP(Tabla6[[#This Row],[ID CLIENTE]],'RESUMEN CLIENTES'!D:D,'RESUMEN CLIENTES'!M:M)</f>
        <v>OK</v>
      </c>
      <c r="E2404" s="71">
        <f>+_xlfn.XLOOKUP(Tabla6[[#This Row],[NOMBRE]],'RESUMEN CLIENTES'!A:A,'RESUMEN CLIENTES'!X:X)</f>
        <v>0</v>
      </c>
      <c r="F2404" s="71">
        <f>+_xlfn.XLOOKUP(Tabla6[[#This Row],[ID CLIENTE]],'RESUMEN CLIENTES'!D:D,'RESUMEN CLIENTES'!W:W)</f>
        <v>0</v>
      </c>
      <c r="G2404" s="170">
        <v>46583</v>
      </c>
      <c r="H2404" s="170" t="s">
        <v>81</v>
      </c>
      <c r="I2404" s="2">
        <v>650</v>
      </c>
      <c r="J2404"/>
      <c r="K2404"/>
      <c r="L2404" s="44" t="str" cm="1">
        <f t="array" ref="L2404">+_xlfn.IFS(COUNTIF(INGRESOS!E:E,Tabla6[[#This Row],[ID FACTURA]])=1,"PAGADA",Tabla6[[#This Row],[ID FACTURA]]&lt;&gt;0,"EMITIDA",Tabla6[[#This Row],[ID FACTURA]]=0,"POR EMITIR")</f>
        <v>POR EMITIR</v>
      </c>
      <c r="M2404" s="54" t="str">
        <f>+IF(Tabla6[[#This Row],[ESTADO FACTURA]]="PAGADA",Tabla6[[#This Row],[FECHA]]-_xlfn.XLOOKUP(Tabla6[[#This Row],[N° FACTURA]],INGRESOS!F:F,INGRESOS!A:A),"-")</f>
        <v>-</v>
      </c>
      <c r="O2404"/>
    </row>
    <row r="2405" spans="1:15" ht="15" customHeight="1">
      <c r="A2405" s="321" t="s">
        <v>1875</v>
      </c>
      <c r="B2405" t="str">
        <f>+_xlfn.XLOOKUP(Tabla6[[#This Row],[ID CLIENTE]],'RESUMEN CLIENTES'!D:D,'RESUMEN CLIENTES'!A:A)</f>
        <v>Laura Giraldo</v>
      </c>
      <c r="C2405" t="str">
        <f>+_xlfn.XLOOKUP(Tabla6[[#This Row],[ID CLIENTE]],'RESUMEN CLIENTES'!D:D,'RESUMEN CLIENTES'!C:C)</f>
        <v>Colombia</v>
      </c>
      <c r="D2405" s="169" t="str">
        <f>+_xlfn.XLOOKUP(Tabla6[[#This Row],[ID CLIENTE]],'RESUMEN CLIENTES'!D:D,'RESUMEN CLIENTES'!M:M)</f>
        <v>OK</v>
      </c>
      <c r="E2405" s="71">
        <f>+_xlfn.XLOOKUP(Tabla6[[#This Row],[NOMBRE]],'RESUMEN CLIENTES'!A:A,'RESUMEN CLIENTES'!X:X)</f>
        <v>-3.25</v>
      </c>
      <c r="F2405" s="71">
        <f>+_xlfn.XLOOKUP(Tabla6[[#This Row],[ID CLIENTE]],'RESUMEN CLIENTES'!D:D,'RESUMEN CLIENTES'!W:W)</f>
        <v>1</v>
      </c>
      <c r="G2405" s="17">
        <v>46583</v>
      </c>
      <c r="H2405" s="169" t="s">
        <v>1876</v>
      </c>
      <c r="I2405" s="2">
        <v>1000</v>
      </c>
      <c r="J2405"/>
      <c r="K2405"/>
      <c r="L2405" s="44" t="str" cm="1">
        <f t="array" ref="L2405">+_xlfn.IFS(COUNTIF(INGRESOS!E:E,Tabla6[[#This Row],[ID FACTURA]])=1,"PAGADA",Tabla6[[#This Row],[ID FACTURA]]&lt;&gt;0,"EMITIDA",Tabla6[[#This Row],[ID FACTURA]]=0,"POR EMITIR")</f>
        <v>POR EMITIR</v>
      </c>
      <c r="M2405" s="54" t="str">
        <f>+IF(Tabla6[[#This Row],[ESTADO FACTURA]]="PAGADA",Tabla6[[#This Row],[FECHA]]-_xlfn.XLOOKUP(Tabla6[[#This Row],[N° FACTURA]],INGRESOS!F:F,INGRESOS!A:A),"-")</f>
        <v>-</v>
      </c>
      <c r="O2405"/>
    </row>
    <row r="2406" spans="1:15" ht="15" customHeight="1">
      <c r="A2406" s="321" t="s">
        <v>1756</v>
      </c>
      <c r="B2406" t="str">
        <f>+_xlfn.XLOOKUP(Tabla6[[#This Row],[ID CLIENTE]],'RESUMEN CLIENTES'!D:D,'RESUMEN CLIENTES'!A:A)</f>
        <v>Aylin Micaela Ortiz Chiriboga</v>
      </c>
      <c r="C2406" t="str">
        <f>+_xlfn.XLOOKUP(Tabla6[[#This Row],[ID CLIENTE]],'RESUMEN CLIENTES'!D:D,'RESUMEN CLIENTES'!C:C)</f>
        <v>Ecuador</v>
      </c>
      <c r="D2406" s="169" t="str">
        <f>+_xlfn.XLOOKUP(Tabla6[[#This Row],[ID CLIENTE]],'RESUMEN CLIENTES'!D:D,'RESUMEN CLIENTES'!M:M)</f>
        <v>¡REGULARIZAR!</v>
      </c>
      <c r="E2406" s="71">
        <f>+_xlfn.XLOOKUP(Tabla6[[#This Row],[NOMBRE]],'RESUMEN CLIENTES'!A:A,'RESUMEN CLIENTES'!X:X)</f>
        <v>0</v>
      </c>
      <c r="F2406" s="71">
        <f>+_xlfn.XLOOKUP(Tabla6[[#This Row],[ID CLIENTE]],'RESUMEN CLIENTES'!D:D,'RESUMEN CLIENTES'!W:W)</f>
        <v>1</v>
      </c>
      <c r="G2406" s="170">
        <v>46584</v>
      </c>
      <c r="H2406" s="169" t="s">
        <v>81</v>
      </c>
      <c r="I2406" s="2">
        <v>650</v>
      </c>
      <c r="J2406"/>
      <c r="K2406"/>
      <c r="L2406" s="44" t="str" cm="1">
        <f t="array" ref="L2406">+_xlfn.IFS(COUNTIF(INGRESOS!E:E,Tabla6[[#This Row],[ID FACTURA]])=1,"PAGADA",Tabla6[[#This Row],[ID FACTURA]]&lt;&gt;0,"EMITIDA",Tabla6[[#This Row],[ID FACTURA]]=0,"POR EMITIR")</f>
        <v>POR EMITIR</v>
      </c>
      <c r="M2406" s="54" t="str">
        <f>+IF(Tabla6[[#This Row],[ESTADO FACTURA]]="PAGADA",Tabla6[[#This Row],[FECHA]]-_xlfn.XLOOKUP(Tabla6[[#This Row],[N° FACTURA]],INGRESOS!F:F,INGRESOS!A:A),"-")</f>
        <v>-</v>
      </c>
      <c r="O2406"/>
    </row>
    <row r="2407" spans="1:15" ht="15" customHeight="1">
      <c r="A2407" s="320" t="s">
        <v>1996</v>
      </c>
      <c r="B2407" t="str">
        <f>+_xlfn.XLOOKUP(Tabla6[[#This Row],[ID CLIENTE]],'RESUMEN CLIENTES'!D:D,'RESUMEN CLIENTES'!A:A)</f>
        <v>Ivan Gonzales Graus</v>
      </c>
      <c r="C2407" t="str">
        <f>+_xlfn.XLOOKUP(Tabla6[[#This Row],[ID CLIENTE]],'RESUMEN CLIENTES'!D:D,'RESUMEN CLIENTES'!C:C)</f>
        <v>Perú</v>
      </c>
      <c r="D2407" s="169" t="str">
        <f>+_xlfn.XLOOKUP(Tabla6[[#This Row],[ID CLIENTE]],'RESUMEN CLIENTES'!D:D,'RESUMEN CLIENTES'!M:M)</f>
        <v>OK</v>
      </c>
      <c r="E2407" s="71">
        <f>+_xlfn.XLOOKUP(Tabla6[[#This Row],[NOMBRE]],'RESUMEN CLIENTES'!A:A,'RESUMEN CLIENTES'!X:X)</f>
        <v>-2</v>
      </c>
      <c r="F2407" s="71">
        <f>+_xlfn.XLOOKUP(Tabla6[[#This Row],[ID CLIENTE]],'RESUMEN CLIENTES'!D:D,'RESUMEN CLIENTES'!W:W)</f>
        <v>1</v>
      </c>
      <c r="G2407" s="17">
        <v>46584</v>
      </c>
      <c r="H2407" s="169" t="s">
        <v>1669</v>
      </c>
      <c r="I2407" s="2">
        <v>3950</v>
      </c>
      <c r="J2407"/>
      <c r="K2407"/>
      <c r="L2407" s="44" t="str" cm="1">
        <f t="array" ref="L2407">+_xlfn.IFS(COUNTIF(INGRESOS!E:E,Tabla6[[#This Row],[ID FACTURA]])=1,"PAGADA",Tabla6[[#This Row],[ID FACTURA]]&lt;&gt;0,"EMITIDA",Tabla6[[#This Row],[ID FACTURA]]=0,"POR EMITIR")</f>
        <v>POR EMITIR</v>
      </c>
      <c r="M2407" s="54" t="str">
        <f>+IF(Tabla6[[#This Row],[ESTADO FACTURA]]="PAGADA",Tabla6[[#This Row],[FECHA]]-_xlfn.XLOOKUP(Tabla6[[#This Row],[N° FACTURA]],INGRESOS!F:F,INGRESOS!A:A),"-")</f>
        <v>-</v>
      </c>
      <c r="O2407"/>
    </row>
    <row r="2408" spans="1:15" ht="15" customHeight="1">
      <c r="A2408" s="320" t="s">
        <v>2046</v>
      </c>
      <c r="B2408" t="str">
        <f>+_xlfn.XLOOKUP(Tabla6[[#This Row],[ID CLIENTE]],'RESUMEN CLIENTES'!D:D,'RESUMEN CLIENTES'!A:A)</f>
        <v>Jesica Daniela Paredes Mendoza</v>
      </c>
      <c r="C2408" t="str">
        <f>+_xlfn.XLOOKUP(Tabla6[[#This Row],[ID CLIENTE]],'RESUMEN CLIENTES'!D:D,'RESUMEN CLIENTES'!C:C)</f>
        <v>México</v>
      </c>
      <c r="D2408" s="169" t="str">
        <f>+_xlfn.XLOOKUP(Tabla6[[#This Row],[ID CLIENTE]],'RESUMEN CLIENTES'!D:D,'RESUMEN CLIENTES'!M:M)</f>
        <v>OK</v>
      </c>
      <c r="E2408" s="71">
        <f>+_xlfn.XLOOKUP(Tabla6[[#This Row],[NOMBRE]],'RESUMEN CLIENTES'!A:A,'RESUMEN CLIENTES'!X:X)</f>
        <v>-2.75</v>
      </c>
      <c r="F2408" s="71">
        <f>+_xlfn.XLOOKUP(Tabla6[[#This Row],[ID CLIENTE]],'RESUMEN CLIENTES'!D:D,'RESUMEN CLIENTES'!W:W)</f>
        <v>1</v>
      </c>
      <c r="G2408" s="17">
        <v>46584</v>
      </c>
      <c r="H2408" s="169" t="s">
        <v>81</v>
      </c>
      <c r="I2408" s="2">
        <v>500</v>
      </c>
      <c r="J2408"/>
      <c r="K2408"/>
      <c r="L2408" s="44" t="str" cm="1">
        <f t="array" ref="L2408">+_xlfn.IFS(COUNTIF(INGRESOS!E:E,Tabla6[[#This Row],[ID FACTURA]])=1,"PAGADA",Tabla6[[#This Row],[ID FACTURA]]&lt;&gt;0,"EMITIDA",Tabla6[[#This Row],[ID FACTURA]]=0,"POR EMITIR")</f>
        <v>POR EMITIR</v>
      </c>
      <c r="M2408" s="54" t="str">
        <f>+IF(Tabla6[[#This Row],[ESTADO FACTURA]]="PAGADA",Tabla6[[#This Row],[FECHA]]-_xlfn.XLOOKUP(Tabla6[[#This Row],[N° FACTURA]],INGRESOS!F:F,INGRESOS!A:A),"-")</f>
        <v>-</v>
      </c>
      <c r="O2408"/>
    </row>
    <row r="2409" spans="1:15" ht="15" customHeight="1">
      <c r="A2409" s="320" t="s">
        <v>739</v>
      </c>
      <c r="B2409" t="str">
        <f>+_xlfn.XLOOKUP(Tabla6[[#This Row],[ID CLIENTE]],'RESUMEN CLIENTES'!D:D,'RESUMEN CLIENTES'!A:A)</f>
        <v>Gilberto Martiñon Torres</v>
      </c>
      <c r="C2409" t="str">
        <f>+_xlfn.XLOOKUP(Tabla6[[#This Row],[ID CLIENTE]],'RESUMEN CLIENTES'!D:D,'RESUMEN CLIENTES'!C:C)</f>
        <v>México</v>
      </c>
      <c r="D2409" s="44" t="str">
        <f>+_xlfn.XLOOKUP(Tabla6[[#This Row],[ID CLIENTE]],'RESUMEN CLIENTES'!D:D,'RESUMEN CLIENTES'!M:M)</f>
        <v>OK</v>
      </c>
      <c r="E2409" s="72">
        <f>+_xlfn.XLOOKUP(Tabla6[[#This Row],[NOMBRE]],'RESUMEN CLIENTES'!A:A,'RESUMEN CLIENTES'!X:X)</f>
        <v>-0.625</v>
      </c>
      <c r="F2409" s="72">
        <f>+_xlfn.XLOOKUP(Tabla6[[#This Row],[ID CLIENTE]],'RESUMEN CLIENTES'!D:D,'RESUMEN CLIENTES'!W:W)</f>
        <v>0</v>
      </c>
      <c r="G2409" s="17">
        <v>46598</v>
      </c>
      <c r="H2409" s="44" t="s">
        <v>81</v>
      </c>
      <c r="I2409" s="2">
        <v>700</v>
      </c>
      <c r="J2409"/>
      <c r="K2409"/>
      <c r="L2409" s="44" t="str" cm="1">
        <f t="array" ref="L2409">+_xlfn.IFS(COUNTIF(INGRESOS!E:E,Tabla6[[#This Row],[ID FACTURA]])=1,"PAGADA",Tabla6[[#This Row],[ID FACTURA]]&lt;&gt;0,"EMITIDA",Tabla6[[#This Row],[ID FACTURA]]=0,"POR EMITIR")</f>
        <v>POR EMITIR</v>
      </c>
      <c r="M2409" s="55" t="str">
        <f>+IF(Tabla6[[#This Row],[ESTADO FACTURA]]="PAGADA",Tabla6[[#This Row],[FECHA]]-_xlfn.XLOOKUP(Tabla6[[#This Row],[N° FACTURA]],INGRESOS!F:F,INGRESOS!A:A),"-")</f>
        <v>-</v>
      </c>
      <c r="N2409" s="2"/>
      <c r="O2409"/>
    </row>
    <row r="2410" spans="1:15" ht="15" customHeight="1">
      <c r="A2410" s="320" t="s">
        <v>139</v>
      </c>
      <c r="B2410" t="str">
        <f>+_xlfn.XLOOKUP(Tabla6[[#This Row],[ID CLIENTE]],'RESUMEN CLIENTES'!D:D,'RESUMEN CLIENTES'!A:A)</f>
        <v>Hugo Nicolás Trávez Morales</v>
      </c>
      <c r="C2410" t="str">
        <f>+_xlfn.XLOOKUP(Tabla6[[#This Row],[ID CLIENTE]],'RESUMEN CLIENTES'!D:D,'RESUMEN CLIENTES'!C:C)</f>
        <v>Ecuador</v>
      </c>
      <c r="D2410" s="169" t="str">
        <f>+_xlfn.XLOOKUP(Tabla6[[#This Row],[ID CLIENTE]],'RESUMEN CLIENTES'!D:D,'RESUMEN CLIENTES'!M:M)</f>
        <v>OK</v>
      </c>
      <c r="E2410" s="71">
        <f>+_xlfn.XLOOKUP(Tabla6[[#This Row],[NOMBRE]],'RESUMEN CLIENTES'!A:A,'RESUMEN CLIENTES'!X:X)</f>
        <v>0</v>
      </c>
      <c r="F2410" s="71">
        <f>+_xlfn.XLOOKUP(Tabla6[[#This Row],[ID CLIENTE]],'RESUMEN CLIENTES'!D:D,'RESUMEN CLIENTES'!W:W)</f>
        <v>0</v>
      </c>
      <c r="G2410" s="17">
        <v>46598</v>
      </c>
      <c r="H2410" s="44" t="s">
        <v>81</v>
      </c>
      <c r="I2410" s="2">
        <v>1000</v>
      </c>
      <c r="J2410"/>
      <c r="K2410"/>
      <c r="L2410" s="44" t="str" cm="1">
        <f t="array" ref="L2410">+_xlfn.IFS(COUNTIF(INGRESOS!E:E,Tabla6[[#This Row],[ID FACTURA]])=1,"PAGADA",Tabla6[[#This Row],[ID FACTURA]]&lt;&gt;0,"EMITIDA",Tabla6[[#This Row],[ID FACTURA]]=0,"POR EMITIR")</f>
        <v>POR EMITIR</v>
      </c>
      <c r="M2410" s="54" t="str">
        <f>+IF(Tabla6[[#This Row],[ESTADO FACTURA]]="PAGADA",Tabla6[[#This Row],[FECHA]]-_xlfn.XLOOKUP(Tabla6[[#This Row],[N° FACTURA]],INGRESOS!F:F,INGRESOS!A:A),"-")</f>
        <v>-</v>
      </c>
      <c r="O2410"/>
    </row>
    <row r="2411" spans="1:15" ht="15" customHeight="1">
      <c r="A2411" s="320" t="s">
        <v>590</v>
      </c>
      <c r="B2411" t="str">
        <f>+_xlfn.XLOOKUP(Tabla6[[#This Row],[ID CLIENTE]],'RESUMEN CLIENTES'!D:D,'RESUMEN CLIENTES'!A:A)</f>
        <v>María Lucero de Jesús Barrios Sazo</v>
      </c>
      <c r="C2411" t="str">
        <f>+_xlfn.XLOOKUP(Tabla6[[#This Row],[ID CLIENTE]],'RESUMEN CLIENTES'!D:D,'RESUMEN CLIENTES'!C:C)</f>
        <v>Guatemala</v>
      </c>
      <c r="D2411" s="44" t="str">
        <f>+_xlfn.XLOOKUP(Tabla6[[#This Row],[ID CLIENTE]],'RESUMEN CLIENTES'!D:D,'RESUMEN CLIENTES'!M:M)</f>
        <v>OK</v>
      </c>
      <c r="E2411" s="72">
        <f>+_xlfn.XLOOKUP(Tabla6[[#This Row],[NOMBRE]],'RESUMEN CLIENTES'!A:A,'RESUMEN CLIENTES'!X:X)</f>
        <v>1.25</v>
      </c>
      <c r="F2411" s="72">
        <f>+_xlfn.XLOOKUP(Tabla6[[#This Row],[ID CLIENTE]],'RESUMEN CLIENTES'!D:D,'RESUMEN CLIENTES'!W:W)</f>
        <v>0</v>
      </c>
      <c r="G2411" s="17">
        <v>46598</v>
      </c>
      <c r="H2411" s="44" t="s">
        <v>81</v>
      </c>
      <c r="I2411" s="2">
        <v>700</v>
      </c>
      <c r="J2411"/>
      <c r="K2411"/>
      <c r="L2411" s="44" t="str" cm="1">
        <f t="array" ref="L2411">+_xlfn.IFS(COUNTIF(INGRESOS!E:E,Tabla6[[#This Row],[ID FACTURA]])=1,"PAGADA",Tabla6[[#This Row],[ID FACTURA]]&lt;&gt;0,"EMITIDA",Tabla6[[#This Row],[ID FACTURA]]=0,"POR EMITIR")</f>
        <v>POR EMITIR</v>
      </c>
      <c r="M2411" s="55" t="str">
        <f>+IF(Tabla6[[#This Row],[ESTADO FACTURA]]="PAGADA",Tabla6[[#This Row],[FECHA]]-_xlfn.XLOOKUP(Tabla6[[#This Row],[N° FACTURA]],INGRESOS!F:F,INGRESOS!A:A),"-")</f>
        <v>-</v>
      </c>
      <c r="N2411" s="2"/>
      <c r="O2411"/>
    </row>
    <row r="2412" spans="1:15" ht="15" customHeight="1">
      <c r="A2412" s="320" t="s">
        <v>84</v>
      </c>
      <c r="B2412" t="str">
        <f>+_xlfn.XLOOKUP(Tabla6[[#This Row],[ID CLIENTE]],'RESUMEN CLIENTES'!D:D,'RESUMEN CLIENTES'!A:A)</f>
        <v>Andrea Corpeño López</v>
      </c>
      <c r="C2412" t="str">
        <f>+_xlfn.XLOOKUP(Tabla6[[#This Row],[ID CLIENTE]],'RESUMEN CLIENTES'!D:D,'RESUMEN CLIENTES'!C:C)</f>
        <v>El Salvador</v>
      </c>
      <c r="D2412" s="44" t="str">
        <f>+_xlfn.XLOOKUP(Tabla6[[#This Row],[ID CLIENTE]],'RESUMEN CLIENTES'!D:D,'RESUMEN CLIENTES'!M:M)</f>
        <v>OK</v>
      </c>
      <c r="E2412" s="72">
        <f>+_xlfn.XLOOKUP(Tabla6[[#This Row],[NOMBRE]],'RESUMEN CLIENTES'!A:A,'RESUMEN CLIENTES'!X:X)</f>
        <v>-0.81818181818181823</v>
      </c>
      <c r="F2412" s="72">
        <f>+_xlfn.XLOOKUP(Tabla6[[#This Row],[ID CLIENTE]],'RESUMEN CLIENTES'!D:D,'RESUMEN CLIENTES'!W:W)</f>
        <v>0</v>
      </c>
      <c r="G2412" s="17">
        <f>IF($H2412&lt;&gt;"ALEM","",IFERROR(
  DATE(
    YEAR(EDATE(
      _xlfn.XLOOKUP($A2412,'RESUMEN CLIENTES'!$D:$D,'RESUMEN CLIENTES'!$Y:$Y,""),
      7 + COUNTIFS(
            $A$2:INDEX($A:$A,ROW()), $A2412,
            $H$2:INDEX($H:$H,ROW()), "ALEM"
          )
    )),
    MONTH(EDATE(
      _xlfn.XLOOKUP($A2412,'RESUMEN CLIENTES'!$D:$D,'RESUMEN CLIENTES'!$Y:$Y,""),
      7 + COUNTIFS(
            $A$2:INDEX($A:$A,ROW()), $A2412,
            $H$2:INDEX($H:$H,ROW()), "ALEM"
          )
    )),
    1
  ),
"SIN FECHA MIG"))</f>
        <v>46600</v>
      </c>
      <c r="H2412" s="44" t="s">
        <v>1876</v>
      </c>
      <c r="I2412" s="2">
        <v>1676</v>
      </c>
      <c r="J2412"/>
      <c r="K2412"/>
      <c r="L2412" s="44" t="str" cm="1">
        <f t="array" ref="L2412">+_xlfn.IFS(COUNTIF(INGRESOS!E:E,Tabla6[[#This Row],[ID FACTURA]])=1,"PAGADA",Tabla6[[#This Row],[ID FACTURA]]&lt;&gt;0,"EMITIDA",Tabla6[[#This Row],[ID FACTURA]]=0,"POR EMITIR")</f>
        <v>POR EMITIR</v>
      </c>
      <c r="M2412" s="55" t="str">
        <f>+IF(Tabla6[[#This Row],[ESTADO FACTURA]]="PAGADA",Tabla6[[#This Row],[FECHA]]-_xlfn.XLOOKUP(Tabla6[[#This Row],[N° FACTURA]],INGRESOS!F:F,INGRESOS!A:A),"-")</f>
        <v>-</v>
      </c>
      <c r="N2412" s="2"/>
      <c r="O2412" t="s">
        <v>2086</v>
      </c>
    </row>
    <row r="2413" spans="1:15" ht="15" customHeight="1">
      <c r="A2413" s="320" t="s">
        <v>527</v>
      </c>
      <c r="B2413" t="str">
        <f>+_xlfn.XLOOKUP(Tabla6[[#This Row],[ID CLIENTE]],'RESUMEN CLIENTES'!D:D,'RESUMEN CLIENTES'!A:A)</f>
        <v>Angie Pérez Cáceres</v>
      </c>
      <c r="C2413" t="str">
        <f>+_xlfn.XLOOKUP(Tabla6[[#This Row],[ID CLIENTE]],'RESUMEN CLIENTES'!D:D,'RESUMEN CLIENTES'!C:C)</f>
        <v>Perú</v>
      </c>
      <c r="D2413" s="44" t="str">
        <f>+_xlfn.XLOOKUP(Tabla6[[#This Row],[ID CLIENTE]],'RESUMEN CLIENTES'!D:D,'RESUMEN CLIENTES'!M:M)</f>
        <v>OK</v>
      </c>
      <c r="E2413" s="72">
        <f>+_xlfn.XLOOKUP(Tabla6[[#This Row],[NOMBRE]],'RESUMEN CLIENTES'!A:A,'RESUMEN CLIENTES'!X:X)</f>
        <v>1.625</v>
      </c>
      <c r="F2413" s="72">
        <f>+_xlfn.XLOOKUP(Tabla6[[#This Row],[ID CLIENTE]],'RESUMEN CLIENTES'!D:D,'RESUMEN CLIENTES'!W:W)</f>
        <v>0</v>
      </c>
      <c r="G2413" s="17">
        <f>IF($H2413&lt;&gt;"ALEM","",IFERROR(
  DATE(
    YEAR(EDATE(
      _xlfn.XLOOKUP($A2413,'RESUMEN CLIENTES'!$D:$D,'RESUMEN CLIENTES'!$Y:$Y,""),
      7 + COUNTIFS(
            $A$2:INDEX($A:$A,ROW()), $A2413,
            $H$2:INDEX($H:$H,ROW()), "ALEM"
          )
    )),
    MONTH(EDATE(
      _xlfn.XLOOKUP($A2413,'RESUMEN CLIENTES'!$D:$D,'RESUMEN CLIENTES'!$Y:$Y,""),
      7 + COUNTIFS(
            $A$2:INDEX($A:$A,ROW()), $A2413,
            $H$2:INDEX($H:$H,ROW()), "ALEM"
          )
    )),
    1
  ),
"SIN FECHA MIG"))</f>
        <v>46600</v>
      </c>
      <c r="H2413" s="44" t="s">
        <v>1876</v>
      </c>
      <c r="I2413" s="2">
        <v>1000</v>
      </c>
      <c r="J2413"/>
      <c r="K2413"/>
      <c r="L2413" s="44" t="str" cm="1">
        <f t="array" ref="L2413">+_xlfn.IFS(COUNTIF(INGRESOS!E:E,Tabla6[[#This Row],[ID FACTURA]])=1,"PAGADA",Tabla6[[#This Row],[ID FACTURA]]&lt;&gt;0,"EMITIDA",Tabla6[[#This Row],[ID FACTURA]]=0,"POR EMITIR")</f>
        <v>POR EMITIR</v>
      </c>
      <c r="M2413" s="55" t="str">
        <f>+IF(Tabla6[[#This Row],[ESTADO FACTURA]]="PAGADA",Tabla6[[#This Row],[FECHA]]-_xlfn.XLOOKUP(Tabla6[[#This Row],[N° FACTURA]],INGRESOS!F:F,INGRESOS!A:A),"-")</f>
        <v>-</v>
      </c>
      <c r="N2413" s="2"/>
      <c r="O2413" t="s">
        <v>2084</v>
      </c>
    </row>
    <row r="2414" spans="1:15" ht="15" customHeight="1">
      <c r="A2414" s="320" t="s">
        <v>530</v>
      </c>
      <c r="B2414" t="str">
        <f>+_xlfn.XLOOKUP(Tabla6[[#This Row],[ID CLIENTE]],'RESUMEN CLIENTES'!D:D,'RESUMEN CLIENTES'!A:A)</f>
        <v>Antonio José Estrada Hoyo</v>
      </c>
      <c r="C2414" t="str">
        <f>+_xlfn.XLOOKUP(Tabla6[[#This Row],[ID CLIENTE]],'RESUMEN CLIENTES'!D:D,'RESUMEN CLIENTES'!C:C)</f>
        <v>Venezuela</v>
      </c>
      <c r="D2414" s="44" t="str">
        <f>+_xlfn.XLOOKUP(Tabla6[[#This Row],[ID CLIENTE]],'RESUMEN CLIENTES'!D:D,'RESUMEN CLIENTES'!M:M)</f>
        <v>OK</v>
      </c>
      <c r="E2414" s="72">
        <f>+_xlfn.XLOOKUP(Tabla6[[#This Row],[NOMBRE]],'RESUMEN CLIENTES'!A:A,'RESUMEN CLIENTES'!X:X)</f>
        <v>0</v>
      </c>
      <c r="F2414" s="72">
        <f>+_xlfn.XLOOKUP(Tabla6[[#This Row],[ID CLIENTE]],'RESUMEN CLIENTES'!D:D,'RESUMEN CLIENTES'!W:W)</f>
        <v>0</v>
      </c>
      <c r="G2414" s="17">
        <f>IF($H2414&lt;&gt;"ALEM","",IFERROR(
  DATE(
    YEAR(EDATE(
      _xlfn.XLOOKUP($A2414,'RESUMEN CLIENTES'!$D:$D,'RESUMEN CLIENTES'!$Y:$Y,""),
      7 + COUNTIFS(
            $A$2:INDEX($A:$A,ROW()), $A2414,
            $H$2:INDEX($H:$H,ROW()), "ALEM"
          )
    )),
    MONTH(EDATE(
      _xlfn.XLOOKUP($A2414,'RESUMEN CLIENTES'!$D:$D,'RESUMEN CLIENTES'!$Y:$Y,""),
      7 + COUNTIFS(
            $A$2:INDEX($A:$A,ROW()), $A2414,
            $H$2:INDEX($H:$H,ROW()), "ALEM"
          )
    )),
    1
  ),
"SIN FECHA MIG"))</f>
        <v>46600</v>
      </c>
      <c r="H2414" s="44" t="s">
        <v>1876</v>
      </c>
      <c r="I2414" s="2">
        <v>1000</v>
      </c>
      <c r="J2414"/>
      <c r="K2414"/>
      <c r="L2414" s="44" t="str" cm="1">
        <f t="array" ref="L2414">+_xlfn.IFS(COUNTIF(INGRESOS!E:E,Tabla6[[#This Row],[ID FACTURA]])=1,"PAGADA",Tabla6[[#This Row],[ID FACTURA]]&lt;&gt;0,"EMITIDA",Tabla6[[#This Row],[ID FACTURA]]=0,"POR EMITIR")</f>
        <v>POR EMITIR</v>
      </c>
      <c r="M2414" s="55" t="str">
        <f>+IF(Tabla6[[#This Row],[ESTADO FACTURA]]="PAGADA",Tabla6[[#This Row],[FECHA]]-_xlfn.XLOOKUP(Tabla6[[#This Row],[N° FACTURA]],INGRESOS!F:F,INGRESOS!A:A),"-")</f>
        <v>-</v>
      </c>
      <c r="N2414" s="2"/>
      <c r="O2414"/>
    </row>
    <row r="2415" spans="1:15" ht="15" customHeight="1">
      <c r="A2415" s="320" t="s">
        <v>2011</v>
      </c>
      <c r="B2415" t="str">
        <f>+_xlfn.XLOOKUP(Tabla6[[#This Row],[ID CLIENTE]],'RESUMEN CLIENTES'!D:D,'RESUMEN CLIENTES'!A:A)</f>
        <v>Bárbara Fuentes</v>
      </c>
      <c r="C2415" t="str">
        <f>+_xlfn.XLOOKUP(Tabla6[[#This Row],[ID CLIENTE]],'RESUMEN CLIENTES'!D:D,'RESUMEN CLIENTES'!C:C)</f>
        <v>Chile</v>
      </c>
      <c r="D2415" s="169" t="str">
        <f>+_xlfn.XLOOKUP(Tabla6[[#This Row],[ID CLIENTE]],'RESUMEN CLIENTES'!D:D,'RESUMEN CLIENTES'!M:M)</f>
        <v>OK</v>
      </c>
      <c r="E2415" s="71">
        <f>+_xlfn.XLOOKUP(Tabla6[[#This Row],[NOMBRE]],'RESUMEN CLIENTES'!A:A,'RESUMEN CLIENTES'!X:X)</f>
        <v>-0.33333333333333331</v>
      </c>
      <c r="F2415" s="71">
        <f>+_xlfn.XLOOKUP(Tabla6[[#This Row],[ID CLIENTE]],'RESUMEN CLIENTES'!D:D,'RESUMEN CLIENTES'!W:W)</f>
        <v>0</v>
      </c>
      <c r="G2415" s="17">
        <f>IF($H2415&lt;&gt;"ALEM","",IFERROR(
  DATE(
    YEAR(EDATE(
      _xlfn.XLOOKUP($A2415,'RESUMEN CLIENTES'!$D:$D,'RESUMEN CLIENTES'!$Y:$Y,""),
      7 + COUNTIFS(
            $A$2:INDEX($A:$A,ROW()), $A2415,
            $H$2:INDEX($H:$H,ROW()), "ALEM"
          )
    )),
    MONTH(EDATE(
      _xlfn.XLOOKUP($A2415,'RESUMEN CLIENTES'!$D:$D,'RESUMEN CLIENTES'!$Y:$Y,""),
      7 + COUNTIFS(
            $A$2:INDEX($A:$A,ROW()), $A2415,
            $H$2:INDEX($H:$H,ROW()), "ALEM"
          )
    )),
    1
  ),
"null"))</f>
        <v>46600</v>
      </c>
      <c r="H2415" s="169" t="s">
        <v>1876</v>
      </c>
      <c r="I2415" s="2">
        <v>1000</v>
      </c>
      <c r="J2415"/>
      <c r="K2415"/>
      <c r="L2415" s="44" t="str" cm="1">
        <f t="array" ref="L2415">+_xlfn.IFS(COUNTIF(INGRESOS!E:E,Tabla6[[#This Row],[ID FACTURA]])=1,"PAGADA",Tabla6[[#This Row],[ID FACTURA]]&lt;&gt;0,"EMITIDA",Tabla6[[#This Row],[ID FACTURA]]=0,"POR EMITIR")</f>
        <v>POR EMITIR</v>
      </c>
      <c r="M2415" s="54" t="str">
        <f>+IF(Tabla6[[#This Row],[ESTADO FACTURA]]="PAGADA",Tabla6[[#This Row],[FECHA]]-_xlfn.XLOOKUP(Tabla6[[#This Row],[N° FACTURA]],INGRESOS!F:F,INGRESOS!A:A),"-")</f>
        <v>-</v>
      </c>
      <c r="O2415"/>
    </row>
    <row r="2416" spans="1:15" ht="15" customHeight="1">
      <c r="A2416" s="320" t="s">
        <v>184</v>
      </c>
      <c r="B2416" t="str">
        <f>+_xlfn.XLOOKUP(Tabla6[[#This Row],[ID CLIENTE]],'RESUMEN CLIENTES'!D:D,'RESUMEN CLIENTES'!A:A)</f>
        <v>Boris Andrés Silva Véliz</v>
      </c>
      <c r="C2416" t="str">
        <f>+_xlfn.XLOOKUP(Tabla6[[#This Row],[ID CLIENTE]],'RESUMEN CLIENTES'!D:D,'RESUMEN CLIENTES'!C:C)</f>
        <v>Chile</v>
      </c>
      <c r="D2416" s="44" t="str">
        <f>+_xlfn.XLOOKUP(Tabla6[[#This Row],[ID CLIENTE]],'RESUMEN CLIENTES'!D:D,'RESUMEN CLIENTES'!M:M)</f>
        <v>OK</v>
      </c>
      <c r="E2416" s="72">
        <f>+_xlfn.XLOOKUP(Tabla6[[#This Row],[NOMBRE]],'RESUMEN CLIENTES'!A:A,'RESUMEN CLIENTES'!X:X)</f>
        <v>2.1111111111111112</v>
      </c>
      <c r="F2416" s="72">
        <f>+_xlfn.XLOOKUP(Tabla6[[#This Row],[ID CLIENTE]],'RESUMEN CLIENTES'!D:D,'RESUMEN CLIENTES'!W:W)</f>
        <v>0</v>
      </c>
      <c r="G2416" s="17">
        <f>IF($H2416&lt;&gt;"ALEM","",IFERROR(
  DATE(
    YEAR(EDATE(
      _xlfn.XLOOKUP($A2416,'RESUMEN CLIENTES'!$D:$D,'RESUMEN CLIENTES'!$Y:$Y,""),
      7 + COUNTIFS(
            $A$2:INDEX($A:$A,ROW()), $A2416,
            $H$2:INDEX($H:$H,ROW()), "ALEM"
          )
    )),
    MONTH(EDATE(
      _xlfn.XLOOKUP($A2416,'RESUMEN CLIENTES'!$D:$D,'RESUMEN CLIENTES'!$Y:$Y,""),
      7 + COUNTIFS(
            $A$2:INDEX($A:$A,ROW()), $A2416,
            $H$2:INDEX($H:$H,ROW()), "ALEM"
          )
    )),
    1
  ),
"SIN FECHA MIG"))</f>
        <v>46600</v>
      </c>
      <c r="H2416" s="44" t="s">
        <v>1876</v>
      </c>
      <c r="I2416" s="2">
        <v>458</v>
      </c>
      <c r="J2416"/>
      <c r="K2416"/>
      <c r="L2416" s="44" t="str" cm="1">
        <f t="array" ref="L2416">+_xlfn.IFS(COUNTIF(INGRESOS!E:E,Tabla6[[#This Row],[ID FACTURA]])=1,"PAGADA",Tabla6[[#This Row],[ID FACTURA]]&lt;&gt;0,"EMITIDA",Tabla6[[#This Row],[ID FACTURA]]=0,"POR EMITIR")</f>
        <v>POR EMITIR</v>
      </c>
      <c r="M2416" s="55" t="str">
        <f>+IF(Tabla6[[#This Row],[ESTADO FACTURA]]="PAGADA",Tabla6[[#This Row],[FECHA]]-_xlfn.XLOOKUP(Tabla6[[#This Row],[N° FACTURA]],INGRESOS!F:F,INGRESOS!A:A),"-")</f>
        <v>-</v>
      </c>
      <c r="N2416" s="2"/>
      <c r="O2416"/>
    </row>
    <row r="2417" spans="1:15" ht="15" customHeight="1">
      <c r="A2417" s="320" t="s">
        <v>4768</v>
      </c>
      <c r="B2417" t="str">
        <f>+_xlfn.XLOOKUP(Tabla6[[#This Row],[ID CLIENTE]],'RESUMEN CLIENTES'!D:D,'RESUMEN CLIENTES'!A:A)</f>
        <v>Carla Elena Patínez Rondón</v>
      </c>
      <c r="C2417" s="15" t="str">
        <f>+_xlfn.XLOOKUP(Tabla6[[#This Row],[ID CLIENTE]],'RESUMEN CLIENTES'!D:D,'RESUMEN CLIENTES'!C:C)</f>
        <v>Venezuela</v>
      </c>
      <c r="D2417" s="169" t="str">
        <f>+_xlfn.XLOOKUP(Tabla6[[#This Row],[ID CLIENTE]],'RESUMEN CLIENTES'!D:D,'RESUMEN CLIENTES'!M:M)</f>
        <v>OK</v>
      </c>
      <c r="E2417" s="71">
        <f>+_xlfn.XLOOKUP(Tabla6[[#This Row],[NOMBRE]],'RESUMEN CLIENTES'!A:A,'RESUMEN CLIENTES'!X:X)</f>
        <v>-9</v>
      </c>
      <c r="F2417" s="71">
        <f>+_xlfn.XLOOKUP(Tabla6[[#This Row],[ID CLIENTE]],'RESUMEN CLIENTES'!D:D,'RESUMEN CLIENTES'!W:W)</f>
        <v>0</v>
      </c>
      <c r="G2417" s="17">
        <f>IF($H2417&lt;&gt;"ALEM","",IFERROR(
  DATE(
    YEAR(EDATE(
      _xlfn.XLOOKUP($A2417,'RESUMEN CLIENTES'!$D:$D,'RESUMEN CLIENTES'!$Y:$Y,""),
      7 + COUNTIFS(
            $A$2:INDEX($A:$A,ROW()), $A2417,
            $H$2:INDEX($H:$H,ROW()), "ALEM"
          )
    )),
    MONTH(EDATE(
      _xlfn.XLOOKUP($A2417,'RESUMEN CLIENTES'!$D:$D,'RESUMEN CLIENTES'!$Y:$Y,""),
      7 + COUNTIFS(
            $A$2:INDEX($A:$A,ROW()), $A2417,
            $H$2:INDEX($H:$H,ROW()), "ALEM"
          )
    )),
    1
  ),
"null"))</f>
        <v>46600</v>
      </c>
      <c r="H2417" s="169" t="s">
        <v>1876</v>
      </c>
      <c r="I2417" s="2">
        <v>1000</v>
      </c>
      <c r="J2417"/>
      <c r="K2417"/>
      <c r="L2417" s="44" t="str" cm="1">
        <f t="array" ref="L2417">+_xlfn.IFS(COUNTIF(INGRESOS!E:E,Tabla6[[#This Row],[ID FACTURA]])=1,"PAGADA",Tabla6[[#This Row],[ID FACTURA]]&lt;&gt;0,"EMITIDA",Tabla6[[#This Row],[ID FACTURA]]=0,"POR EMITIR")</f>
        <v>POR EMITIR</v>
      </c>
      <c r="M2417" s="54" t="str">
        <f>+IF(Tabla6[[#This Row],[ESTADO FACTURA]]="PAGADA",Tabla6[[#This Row],[FECHA]]-_xlfn.XLOOKUP(Tabla6[[#This Row],[N° FACTURA]],INGRESOS!F:F,INGRESOS!A:A),"-")</f>
        <v>-</v>
      </c>
      <c r="O2417"/>
    </row>
    <row r="2418" spans="1:15" ht="15" customHeight="1">
      <c r="A2418" s="320" t="s">
        <v>751</v>
      </c>
      <c r="B2418" t="str">
        <f>+_xlfn.XLOOKUP(Tabla6[[#This Row],[ID CLIENTE]],'RESUMEN CLIENTES'!D:D,'RESUMEN CLIENTES'!A:A)</f>
        <v>Carlos Alberto Suarez Hernandez</v>
      </c>
      <c r="C2418" t="str">
        <f>+_xlfn.XLOOKUP(Tabla6[[#This Row],[ID CLIENTE]],'RESUMEN CLIENTES'!D:D,'RESUMEN CLIENTES'!C:C)</f>
        <v>Colombia</v>
      </c>
      <c r="D2418" s="44" t="str">
        <f>+_xlfn.XLOOKUP(Tabla6[[#This Row],[ID CLIENTE]],'RESUMEN CLIENTES'!D:D,'RESUMEN CLIENTES'!M:M)</f>
        <v>OK</v>
      </c>
      <c r="E2418" s="72">
        <f>+_xlfn.XLOOKUP(Tabla6[[#This Row],[NOMBRE]],'RESUMEN CLIENTES'!A:A,'RESUMEN CLIENTES'!X:X)</f>
        <v>0</v>
      </c>
      <c r="F2418" s="72">
        <f>+_xlfn.XLOOKUP(Tabla6[[#This Row],[ID CLIENTE]],'RESUMEN CLIENTES'!D:D,'RESUMEN CLIENTES'!W:W)</f>
        <v>1</v>
      </c>
      <c r="G2418" s="17">
        <f>IF($H2418&lt;&gt;"ALEM","",IFERROR(
  DATE(
    YEAR(EDATE(
      _xlfn.XLOOKUP($A2418,'RESUMEN CLIENTES'!$D:$D,'RESUMEN CLIENTES'!$Y:$Y,""),
      7 + COUNTIFS(
            $A$2:INDEX($A:$A,ROW()), $A2418,
            $H$2:INDEX($H:$H,ROW()), "ALEM"
          )
    )),
    MONTH(EDATE(
      _xlfn.XLOOKUP($A2418,'RESUMEN CLIENTES'!$D:$D,'RESUMEN CLIENTES'!$Y:$Y,""),
      7 + COUNTIFS(
            $A$2:INDEX($A:$A,ROW()), $A2418,
            $H$2:INDEX($H:$H,ROW()), "ALEM"
          )
    )),
    1
  ),
"SIN FECHA MIG"))</f>
        <v>46600</v>
      </c>
      <c r="H2418" s="44" t="s">
        <v>1876</v>
      </c>
      <c r="I2418" s="2">
        <v>1000</v>
      </c>
      <c r="J2418"/>
      <c r="K2418"/>
      <c r="L2418" s="44" t="str" cm="1">
        <f t="array" ref="L2418">+_xlfn.IFS(COUNTIF(INGRESOS!E:E,Tabla6[[#This Row],[ID FACTURA]])=1,"PAGADA",Tabla6[[#This Row],[ID FACTURA]]&lt;&gt;0,"EMITIDA",Tabla6[[#This Row],[ID FACTURA]]=0,"POR EMITIR")</f>
        <v>POR EMITIR</v>
      </c>
      <c r="M2418" s="55" t="str">
        <f>+IF(Tabla6[[#This Row],[ESTADO FACTURA]]="PAGADA",Tabla6[[#This Row],[FECHA]]-_xlfn.XLOOKUP(Tabla6[[#This Row],[N° FACTURA]],INGRESOS!F:F,INGRESOS!A:A),"-")</f>
        <v>-</v>
      </c>
      <c r="N2418" s="2"/>
      <c r="O2418" t="s">
        <v>2084</v>
      </c>
    </row>
    <row r="2419" spans="1:15" ht="15" customHeight="1">
      <c r="A2419" s="320" t="s">
        <v>1245</v>
      </c>
      <c r="B2419" t="str">
        <f>+_xlfn.XLOOKUP(Tabla6[[#This Row],[ID CLIENTE]],'RESUMEN CLIENTES'!D:D,'RESUMEN CLIENTES'!A:A)</f>
        <v>Constanza Andrea Águila Vergara</v>
      </c>
      <c r="C2419" t="str">
        <f>+_xlfn.XLOOKUP(Tabla6[[#This Row],[ID CLIENTE]],'RESUMEN CLIENTES'!D:D,'RESUMEN CLIENTES'!C:C)</f>
        <v>Chile</v>
      </c>
      <c r="D2419" s="44" t="str">
        <f>+_xlfn.XLOOKUP(Tabla6[[#This Row],[ID CLIENTE]],'RESUMEN CLIENTES'!D:D,'RESUMEN CLIENTES'!M:M)</f>
        <v>OK</v>
      </c>
      <c r="E2419" s="71">
        <f>+_xlfn.XLOOKUP(Tabla6[[#This Row],[NOMBRE]],'RESUMEN CLIENTES'!A:A,'RESUMEN CLIENTES'!X:X)</f>
        <v>-0.2</v>
      </c>
      <c r="F2419" s="71">
        <f>+_xlfn.XLOOKUP(Tabla6[[#This Row],[ID CLIENTE]],'RESUMEN CLIENTES'!D:D,'RESUMEN CLIENTES'!W:W)</f>
        <v>1</v>
      </c>
      <c r="G2419" s="17">
        <f>IF($H2419&lt;&gt;"ALEM","",IFERROR(
  DATE(
    YEAR(EDATE(
      _xlfn.XLOOKUP($A2419,'RESUMEN CLIENTES'!$D:$D,'RESUMEN CLIENTES'!$Y:$Y,""),
      7 + COUNTIFS(
            $A$2:INDEX($A:$A,ROW()), $A2419,
            $H$2:INDEX($H:$H,ROW()), "ALEM"
          )
    )),
    MONTH(EDATE(
      _xlfn.XLOOKUP($A2419,'RESUMEN CLIENTES'!$D:$D,'RESUMEN CLIENTES'!$Y:$Y,""),
      7 + COUNTIFS(
            $A$2:INDEX($A:$A,ROW()), $A2419,
            $H$2:INDEX($H:$H,ROW()), "ALEM"
          )
    )),
    1
  ),
"SIN FECHA MIG"))</f>
        <v>46600</v>
      </c>
      <c r="H2419" s="44" t="s">
        <v>1876</v>
      </c>
      <c r="I2419" s="2">
        <v>800</v>
      </c>
      <c r="J2419"/>
      <c r="K2419"/>
      <c r="L2419" s="44" t="str" cm="1">
        <f t="array" ref="L2419">+_xlfn.IFS(COUNTIF(INGRESOS!E:E,Tabla6[[#This Row],[ID FACTURA]])=1,"PAGADA",Tabla6[[#This Row],[ID FACTURA]]&lt;&gt;0,"EMITIDA",Tabla6[[#This Row],[ID FACTURA]]=0,"POR EMITIR")</f>
        <v>POR EMITIR</v>
      </c>
      <c r="M2419" s="55" t="str">
        <f>+IF(Tabla6[[#This Row],[ESTADO FACTURA]]="PAGADA",Tabla6[[#This Row],[FECHA]]-_xlfn.XLOOKUP(Tabla6[[#This Row],[N° FACTURA]],INGRESOS!F:F,INGRESOS!A:A),"-")</f>
        <v>-</v>
      </c>
      <c r="N2419" s="2"/>
      <c r="O2419"/>
    </row>
    <row r="2420" spans="1:15" ht="15" customHeight="1">
      <c r="A2420" s="320" t="s">
        <v>1248</v>
      </c>
      <c r="B2420" t="str">
        <f>+_xlfn.XLOOKUP(Tabla6[[#This Row],[ID CLIENTE]],'RESUMEN CLIENTES'!D:D,'RESUMEN CLIENTES'!A:A)</f>
        <v>Emily Vanessa Tapia Villalobos</v>
      </c>
      <c r="C2420" t="str">
        <f>+_xlfn.XLOOKUP(Tabla6[[#This Row],[ID CLIENTE]],'RESUMEN CLIENTES'!D:D,'RESUMEN CLIENTES'!C:C)</f>
        <v>Chile</v>
      </c>
      <c r="D2420" s="44" t="str">
        <f>+_xlfn.XLOOKUP(Tabla6[[#This Row],[ID CLIENTE]],'RESUMEN CLIENTES'!D:D,'RESUMEN CLIENTES'!M:M)</f>
        <v>OK</v>
      </c>
      <c r="E2420" s="71">
        <f>+_xlfn.XLOOKUP(Tabla6[[#This Row],[NOMBRE]],'RESUMEN CLIENTES'!A:A,'RESUMEN CLIENTES'!X:X)</f>
        <v>0.33333333333333331</v>
      </c>
      <c r="F2420" s="71">
        <f>+_xlfn.XLOOKUP(Tabla6[[#This Row],[ID CLIENTE]],'RESUMEN CLIENTES'!D:D,'RESUMEN CLIENTES'!W:W)</f>
        <v>0</v>
      </c>
      <c r="G2420" s="17">
        <f>IF($H2420&lt;&gt;"ALEM","",IFERROR(
  DATE(
    YEAR(EDATE(
      _xlfn.XLOOKUP($A2420,'RESUMEN CLIENTES'!$D:$D,'RESUMEN CLIENTES'!$Y:$Y,""),
      7 + COUNTIFS(
            $A$2:INDEX($A:$A,ROW()), $A2420,
            $H$2:INDEX($H:$H,ROW()), "ALEM"
          )
    )),
    MONTH(EDATE(
      _xlfn.XLOOKUP($A2420,'RESUMEN CLIENTES'!$D:$D,'RESUMEN CLIENTES'!$Y:$Y,""),
      7 + COUNTIFS(
            $A$2:INDEX($A:$A,ROW()), $A2420,
            $H$2:INDEX($H:$H,ROW()), "ALEM"
          )
    )),
    1
  ),
"SIN FECHA MIG"))</f>
        <v>46600</v>
      </c>
      <c r="H2420" s="44" t="s">
        <v>1876</v>
      </c>
      <c r="I2420" s="2">
        <v>800</v>
      </c>
      <c r="J2420"/>
      <c r="K2420"/>
      <c r="L2420" s="44" t="str" cm="1">
        <f t="array" ref="L2420">+_xlfn.IFS(COUNTIF(INGRESOS!E:E,Tabla6[[#This Row],[ID FACTURA]])=1,"PAGADA",Tabla6[[#This Row],[ID FACTURA]]&lt;&gt;0,"EMITIDA",Tabla6[[#This Row],[ID FACTURA]]=0,"POR EMITIR")</f>
        <v>POR EMITIR</v>
      </c>
      <c r="M2420" s="55" t="str">
        <f>+IF(Tabla6[[#This Row],[ESTADO FACTURA]]="PAGADA",Tabla6[[#This Row],[FECHA]]-_xlfn.XLOOKUP(Tabla6[[#This Row],[N° FACTURA]],INGRESOS!F:F,INGRESOS!A:A),"-")</f>
        <v>-</v>
      </c>
      <c r="N2420" s="2"/>
      <c r="O2420" t="s">
        <v>2086</v>
      </c>
    </row>
    <row r="2421" spans="1:15" ht="15" customHeight="1">
      <c r="A2421" s="320" t="s">
        <v>1761</v>
      </c>
      <c r="B2421" t="str">
        <f>+_xlfn.XLOOKUP(Tabla6[[#This Row],[ID CLIENTE]],'RESUMEN CLIENTES'!D:D,'RESUMEN CLIENTES'!A:A)</f>
        <v>Francisco Salas Barrera</v>
      </c>
      <c r="C2421" t="str">
        <f>+_xlfn.XLOOKUP(Tabla6[[#This Row],[ID CLIENTE]],'RESUMEN CLIENTES'!D:D,'RESUMEN CLIENTES'!C:C)</f>
        <v>México</v>
      </c>
      <c r="D2421" s="169" t="str">
        <f>+_xlfn.XLOOKUP(Tabla6[[#This Row],[ID CLIENTE]],'RESUMEN CLIENTES'!D:D,'RESUMEN CLIENTES'!M:M)</f>
        <v>OK</v>
      </c>
      <c r="E2421" s="71">
        <f>+_xlfn.XLOOKUP(Tabla6[[#This Row],[NOMBRE]],'RESUMEN CLIENTES'!A:A,'RESUMEN CLIENTES'!X:X)</f>
        <v>-0.75</v>
      </c>
      <c r="F2421" s="71">
        <f>+_xlfn.XLOOKUP(Tabla6[[#This Row],[ID CLIENTE]],'RESUMEN CLIENTES'!D:D,'RESUMEN CLIENTES'!W:W)</f>
        <v>0</v>
      </c>
      <c r="G2421" s="17">
        <f>IF($H2421&lt;&gt;"ALEM","",IFERROR(
  DATE(
    YEAR(EDATE(
      _xlfn.XLOOKUP($A2421,'RESUMEN CLIENTES'!$D:$D,'RESUMEN CLIENTES'!$Y:$Y,""),
      7 + COUNTIFS(
            $A$2:INDEX($A:$A,ROW()), $A2421,
            $H$2:INDEX($H:$H,ROW()), "ALEM"
          )
    )),
    MONTH(EDATE(
      _xlfn.XLOOKUP($A2421,'RESUMEN CLIENTES'!$D:$D,'RESUMEN CLIENTES'!$Y:$Y,""),
      7 + COUNTIFS(
            $A$2:INDEX($A:$A,ROW()), $A2421,
            $H$2:INDEX($H:$H,ROW()), "ALEM"
          )
    )),
    1
  ),
"SIN FECHA MIG"))</f>
        <v>46600</v>
      </c>
      <c r="H2421" s="169" t="s">
        <v>1876</v>
      </c>
      <c r="I2421" s="2">
        <v>800</v>
      </c>
      <c r="J2421"/>
      <c r="K2421"/>
      <c r="L2421" s="44" t="str" cm="1">
        <f t="array" ref="L2421">+_xlfn.IFS(COUNTIF(INGRESOS!E:E,Tabla6[[#This Row],[ID FACTURA]])=1,"PAGADA",Tabla6[[#This Row],[ID FACTURA]]&lt;&gt;0,"EMITIDA",Tabla6[[#This Row],[ID FACTURA]]=0,"POR EMITIR")</f>
        <v>POR EMITIR</v>
      </c>
      <c r="M2421" s="55" t="str">
        <f>+IF(Tabla6[[#This Row],[ESTADO FACTURA]]="PAGADA",Tabla6[[#This Row],[FECHA]]-_xlfn.XLOOKUP(Tabla6[[#This Row],[N° FACTURA]],INGRESOS!F:F,INGRESOS!A:A),"-")</f>
        <v>-</v>
      </c>
      <c r="O2421"/>
    </row>
    <row r="2422" spans="1:15" ht="15" customHeight="1">
      <c r="A2422" s="320" t="s">
        <v>1936</v>
      </c>
      <c r="B2422" t="str">
        <f>+_xlfn.XLOOKUP(Tabla6[[#This Row],[ID CLIENTE]],'RESUMEN CLIENTES'!D:D,'RESUMEN CLIENTES'!A:A)</f>
        <v>Jaime Kevin Mendez Arias</v>
      </c>
      <c r="C2422" t="str">
        <f>+_xlfn.XLOOKUP(Tabla6[[#This Row],[ID CLIENTE]],'RESUMEN CLIENTES'!D:D,'RESUMEN CLIENTES'!C:C)</f>
        <v>México</v>
      </c>
      <c r="D2422" s="169" t="str">
        <f>+_xlfn.XLOOKUP(Tabla6[[#This Row],[ID CLIENTE]],'RESUMEN CLIENTES'!D:D,'RESUMEN CLIENTES'!M:M)</f>
        <v>OK</v>
      </c>
      <c r="E2422" s="71">
        <f>+_xlfn.XLOOKUP(Tabla6[[#This Row],[NOMBRE]],'RESUMEN CLIENTES'!A:A,'RESUMEN CLIENTES'!X:X)</f>
        <v>1.6666666666666667</v>
      </c>
      <c r="F2422" s="71">
        <f>+_xlfn.XLOOKUP(Tabla6[[#This Row],[ID CLIENTE]],'RESUMEN CLIENTES'!D:D,'RESUMEN CLIENTES'!W:W)</f>
        <v>0</v>
      </c>
      <c r="G2422" s="17">
        <f>IF($H2422&lt;&gt;"ALEM","",IFERROR(
  DATE(
    YEAR(EDATE(
      _xlfn.XLOOKUP($A2422,'RESUMEN CLIENTES'!$D:$D,'RESUMEN CLIENTES'!$Y:$Y,""),
      7 + COUNTIFS(
            $A$2:INDEX($A:$A,ROW()), $A2422,
            $H$2:INDEX($H:$H,ROW()), "ALEM"
          )
    )),
    MONTH(EDATE(
      _xlfn.XLOOKUP($A2422,'RESUMEN CLIENTES'!$D:$D,'RESUMEN CLIENTES'!$Y:$Y,""),
      7 + COUNTIFS(
            $A$2:INDEX($A:$A,ROW()), $A2422,
            $H$2:INDEX($H:$H,ROW()), "ALEM"
          )
    )),
    1
  ),
"null"))</f>
        <v>46600</v>
      </c>
      <c r="H2422" s="169" t="s">
        <v>1876</v>
      </c>
      <c r="I2422" s="2">
        <v>800</v>
      </c>
      <c r="J2422"/>
      <c r="K2422"/>
      <c r="L2422" s="44" t="str" cm="1">
        <f t="array" ref="L2422">+_xlfn.IFS(COUNTIF(INGRESOS!E:E,Tabla6[[#This Row],[ID FACTURA]])=1,"PAGADA",Tabla6[[#This Row],[ID FACTURA]]&lt;&gt;0,"EMITIDA",Tabla6[[#This Row],[ID FACTURA]]=0,"POR EMITIR")</f>
        <v>POR EMITIR</v>
      </c>
      <c r="M2422" s="54" t="str">
        <f>+IF(Tabla6[[#This Row],[ESTADO FACTURA]]="PAGADA",Tabla6[[#This Row],[FECHA]]-_xlfn.XLOOKUP(Tabla6[[#This Row],[N° FACTURA]],INGRESOS!F:F,INGRESOS!A:A),"-")</f>
        <v>-</v>
      </c>
      <c r="O2422"/>
    </row>
    <row r="2423" spans="1:15" ht="15" customHeight="1">
      <c r="A2423" s="320" t="s">
        <v>362</v>
      </c>
      <c r="B2423" t="str">
        <f>+_xlfn.XLOOKUP(Tabla6[[#This Row],[ID CLIENTE]],'RESUMEN CLIENTES'!D:D,'RESUMEN CLIENTES'!A:A)</f>
        <v>Jessica Ayelén Culla Alvarez</v>
      </c>
      <c r="C2423" t="str">
        <f>+_xlfn.XLOOKUP(Tabla6[[#This Row],[ID CLIENTE]],'RESUMEN CLIENTES'!D:D,'RESUMEN CLIENTES'!C:C)</f>
        <v>Argentina</v>
      </c>
      <c r="D2423" s="44" t="str">
        <f>+_xlfn.XLOOKUP(Tabla6[[#This Row],[ID CLIENTE]],'RESUMEN CLIENTES'!D:D,'RESUMEN CLIENTES'!M:M)</f>
        <v>OK</v>
      </c>
      <c r="E2423" s="72">
        <f>+_xlfn.XLOOKUP(Tabla6[[#This Row],[NOMBRE]],'RESUMEN CLIENTES'!A:A,'RESUMEN CLIENTES'!X:X)</f>
        <v>-2.1538461538461537</v>
      </c>
      <c r="F2423" s="72">
        <f>+_xlfn.XLOOKUP(Tabla6[[#This Row],[ID CLIENTE]],'RESUMEN CLIENTES'!D:D,'RESUMEN CLIENTES'!W:W)</f>
        <v>1</v>
      </c>
      <c r="G2423" s="17">
        <f>IF($H2423&lt;&gt;"ALEM","",IFERROR(
  DATE(
    YEAR(EDATE(
      _xlfn.XLOOKUP($A2423,'RESUMEN CLIENTES'!$D:$D,'RESUMEN CLIENTES'!$Y:$Y,""),
      7 + COUNTIFS(
            $A$2:INDEX($A:$A,ROW()), $A2423,
            $H$2:INDEX($H:$H,ROW()), "ALEM"
          )
    )),
    MONTH(EDATE(
      _xlfn.XLOOKUP($A2423,'RESUMEN CLIENTES'!$D:$D,'RESUMEN CLIENTES'!$Y:$Y,""),
      7 + COUNTIFS(
            $A$2:INDEX($A:$A,ROW()), $A2423,
            $H$2:INDEX($H:$H,ROW()), "ALEM"
          )
    )),
    1
  ),
"SIN FECHA MIG"))</f>
        <v>46600</v>
      </c>
      <c r="H2423" s="44" t="s">
        <v>1876</v>
      </c>
      <c r="I2423" s="2">
        <v>1000</v>
      </c>
      <c r="J2423"/>
      <c r="K2423"/>
      <c r="L2423" s="44" t="str" cm="1">
        <f t="array" ref="L2423">+_xlfn.IFS(COUNTIF(INGRESOS!E:E,Tabla6[[#This Row],[ID FACTURA]])=1,"PAGADA",Tabla6[[#This Row],[ID FACTURA]]&lt;&gt;0,"EMITIDA",Tabla6[[#This Row],[ID FACTURA]]=0,"POR EMITIR")</f>
        <v>POR EMITIR</v>
      </c>
      <c r="M2423" s="55" t="str">
        <f>+IF(Tabla6[[#This Row],[ESTADO FACTURA]]="PAGADA",Tabla6[[#This Row],[FECHA]]-_xlfn.XLOOKUP(Tabla6[[#This Row],[N° FACTURA]],INGRESOS!F:F,INGRESOS!A:A),"-")</f>
        <v>-</v>
      </c>
      <c r="N2423" s="2"/>
      <c r="O2423"/>
    </row>
    <row r="2424" spans="1:15" ht="15" customHeight="1">
      <c r="A2424" s="320" t="s">
        <v>87</v>
      </c>
      <c r="B2424" t="str">
        <f>+_xlfn.XLOOKUP(Tabla6[[#This Row],[ID CLIENTE]],'RESUMEN CLIENTES'!D:D,'RESUMEN CLIENTES'!A:A)</f>
        <v>Jose Marcelo Marroquín Guzmán</v>
      </c>
      <c r="C2424" t="str">
        <f>+_xlfn.XLOOKUP(Tabla6[[#This Row],[ID CLIENTE]],'RESUMEN CLIENTES'!D:D,'RESUMEN CLIENTES'!C:C)</f>
        <v>El Salvador</v>
      </c>
      <c r="D2424" s="44" t="str">
        <f>+_xlfn.XLOOKUP(Tabla6[[#This Row],[ID CLIENTE]],'RESUMEN CLIENTES'!D:D,'RESUMEN CLIENTES'!M:M)</f>
        <v>OK</v>
      </c>
      <c r="E2424" s="72">
        <f>+_xlfn.XLOOKUP(Tabla6[[#This Row],[NOMBRE]],'RESUMEN CLIENTES'!A:A,'RESUMEN CLIENTES'!X:X)</f>
        <v>-1.5833333333333333</v>
      </c>
      <c r="F2424" s="72">
        <f>+_xlfn.XLOOKUP(Tabla6[[#This Row],[ID CLIENTE]],'RESUMEN CLIENTES'!D:D,'RESUMEN CLIENTES'!W:W)</f>
        <v>1</v>
      </c>
      <c r="G2424" s="17">
        <f>IF($H2424&lt;&gt;"ALEM","",IFERROR(
  DATE(
    YEAR(EDATE(
      _xlfn.XLOOKUP($A2424,'RESUMEN CLIENTES'!$D:$D,'RESUMEN CLIENTES'!$Y:$Y,""),
      7 + COUNTIFS(
            $A$2:INDEX($A:$A,ROW()), $A2424,
            $H$2:INDEX($H:$H,ROW()), "ALEM"
          )
    )),
    MONTH(EDATE(
      _xlfn.XLOOKUP($A2424,'RESUMEN CLIENTES'!$D:$D,'RESUMEN CLIENTES'!$Y:$Y,""),
      7 + COUNTIFS(
            $A$2:INDEX($A:$A,ROW()), $A2424,
            $H$2:INDEX($H:$H,ROW()), "ALEM"
          )
    )),
    1
  ),
"SIN FECHA MIG"))</f>
        <v>46600</v>
      </c>
      <c r="H2424" s="44" t="s">
        <v>1876</v>
      </c>
      <c r="I2424" s="2">
        <v>1411</v>
      </c>
      <c r="J2424"/>
      <c r="K2424"/>
      <c r="L2424" s="44" t="str" cm="1">
        <f t="array" ref="L2424">+_xlfn.IFS(COUNTIF(INGRESOS!E:E,Tabla6[[#This Row],[ID FACTURA]])=1,"PAGADA",Tabla6[[#This Row],[ID FACTURA]]&lt;&gt;0,"EMITIDA",Tabla6[[#This Row],[ID FACTURA]]=0,"POR EMITIR")</f>
        <v>POR EMITIR</v>
      </c>
      <c r="M2424" s="55" t="str">
        <f>+IF(Tabla6[[#This Row],[ESTADO FACTURA]]="PAGADA",Tabla6[[#This Row],[FECHA]]-_xlfn.XLOOKUP(Tabla6[[#This Row],[N° FACTURA]],INGRESOS!F:F,INGRESOS!A:A),"-")</f>
        <v>-</v>
      </c>
      <c r="N2424" s="2"/>
      <c r="O2424" t="s">
        <v>2086</v>
      </c>
    </row>
    <row r="2425" spans="1:15" ht="15" customHeight="1">
      <c r="A2425" s="320" t="s">
        <v>1931</v>
      </c>
      <c r="B2425" t="str">
        <f>+_xlfn.XLOOKUP(Tabla6[[#This Row],[ID CLIENTE]],'RESUMEN CLIENTES'!D:D,'RESUMEN CLIENTES'!A:A)</f>
        <v>Josué Bernardo Reyes Flores</v>
      </c>
      <c r="C2425" t="str">
        <f>+_xlfn.XLOOKUP(Tabla6[[#This Row],[ID CLIENTE]],'RESUMEN CLIENTES'!D:D,'RESUMEN CLIENTES'!C:C)</f>
        <v>México</v>
      </c>
      <c r="D2425" s="169" t="str">
        <f>+_xlfn.XLOOKUP(Tabla6[[#This Row],[ID CLIENTE]],'RESUMEN CLIENTES'!D:D,'RESUMEN CLIENTES'!M:M)</f>
        <v>OK</v>
      </c>
      <c r="E2425" s="71">
        <f>+_xlfn.XLOOKUP(Tabla6[[#This Row],[NOMBRE]],'RESUMEN CLIENTES'!A:A,'RESUMEN CLIENTES'!X:X)</f>
        <v>0</v>
      </c>
      <c r="F2425" s="71">
        <f>+_xlfn.XLOOKUP(Tabla6[[#This Row],[ID CLIENTE]],'RESUMEN CLIENTES'!D:D,'RESUMEN CLIENTES'!W:W)</f>
        <v>1</v>
      </c>
      <c r="G2425" s="17">
        <f>IF($H2425&lt;&gt;"ALEM","",IFERROR(
  DATE(
    YEAR(EDATE(
      _xlfn.XLOOKUP($A2425,'RESUMEN CLIENTES'!$D:$D,'RESUMEN CLIENTES'!$Y:$Y,""),
      7 + COUNTIFS(
            $A$2:INDEX($A:$A,ROW()), $A2425,
            $H$2:INDEX($H:$H,ROW()), "ALEM"
          )
    )),
    MONTH(EDATE(
      _xlfn.XLOOKUP($A2425,'RESUMEN CLIENTES'!$D:$D,'RESUMEN CLIENTES'!$Y:$Y,""),
      7 + COUNTIFS(
            $A$2:INDEX($A:$A,ROW()), $A2425,
            $H$2:INDEX($H:$H,ROW()), "ALEM"
          )
    )),
    1
  ),
"null"))</f>
        <v>46600</v>
      </c>
      <c r="H2425" s="169" t="s">
        <v>1876</v>
      </c>
      <c r="I2425" s="2">
        <v>800</v>
      </c>
      <c r="J2425"/>
      <c r="K2425"/>
      <c r="L2425" s="44" t="str" cm="1">
        <f t="array" ref="L2425">+_xlfn.IFS(COUNTIF(INGRESOS!E:E,Tabla6[[#This Row],[ID FACTURA]])=1,"PAGADA",Tabla6[[#This Row],[ID FACTURA]]&lt;&gt;0,"EMITIDA",Tabla6[[#This Row],[ID FACTURA]]=0,"POR EMITIR")</f>
        <v>POR EMITIR</v>
      </c>
      <c r="M2425" s="54" t="str">
        <f>+IF(Tabla6[[#This Row],[ESTADO FACTURA]]="PAGADA",Tabla6[[#This Row],[FECHA]]-_xlfn.XLOOKUP(Tabla6[[#This Row],[N° FACTURA]],INGRESOS!F:F,INGRESOS!A:A),"-")</f>
        <v>-</v>
      </c>
      <c r="O2425"/>
    </row>
    <row r="2426" spans="1:15" ht="15" customHeight="1">
      <c r="A2426" s="320" t="s">
        <v>266</v>
      </c>
      <c r="B2426" t="str">
        <f>+_xlfn.XLOOKUP(Tabla6[[#This Row],[ID CLIENTE]],'RESUMEN CLIENTES'!D:D,'RESUMEN CLIENTES'!A:A)</f>
        <v>Juan Camilo Sanchez Ramirez</v>
      </c>
      <c r="C2426" t="str">
        <f>+_xlfn.XLOOKUP(Tabla6[[#This Row],[ID CLIENTE]],'RESUMEN CLIENTES'!D:D,'RESUMEN CLIENTES'!C:C)</f>
        <v>Colombia</v>
      </c>
      <c r="D2426" s="44" t="str">
        <f>+_xlfn.XLOOKUP(Tabla6[[#This Row],[ID CLIENTE]],'RESUMEN CLIENTES'!D:D,'RESUMEN CLIENTES'!M:M)</f>
        <v>OK</v>
      </c>
      <c r="E2426" s="72">
        <f>+_xlfn.XLOOKUP(Tabla6[[#This Row],[NOMBRE]],'RESUMEN CLIENTES'!A:A,'RESUMEN CLIENTES'!X:X)</f>
        <v>0.2</v>
      </c>
      <c r="F2426" s="72">
        <f>+_xlfn.XLOOKUP(Tabla6[[#This Row],[ID CLIENTE]],'RESUMEN CLIENTES'!D:D,'RESUMEN CLIENTES'!W:W)</f>
        <v>0</v>
      </c>
      <c r="G2426" s="17">
        <f>IF($H2426&lt;&gt;"ALEM","",IFERROR(
  DATE(
    YEAR(EDATE(
      _xlfn.XLOOKUP($A2426,'RESUMEN CLIENTES'!$D:$D,'RESUMEN CLIENTES'!$Y:$Y,""),
      7 + COUNTIFS(
            $A$2:INDEX($A:$A,ROW()), $A2426,
            $H$2:INDEX($H:$H,ROW()), "ALEM"
          )
    )),
    MONTH(EDATE(
      _xlfn.XLOOKUP($A2426,'RESUMEN CLIENTES'!$D:$D,'RESUMEN CLIENTES'!$Y:$Y,""),
      7 + COUNTIFS(
            $A$2:INDEX($A:$A,ROW()), $A2426,
            $H$2:INDEX($H:$H,ROW()), "ALEM"
          )
    )),
    1
  ),
"SIN FECHA MIG"))</f>
        <v>46600</v>
      </c>
      <c r="H2426" s="44" t="s">
        <v>1876</v>
      </c>
      <c r="I2426" s="2">
        <v>1000</v>
      </c>
      <c r="J2426"/>
      <c r="K2426"/>
      <c r="L2426" s="44" t="str" cm="1">
        <f t="array" ref="L2426">+_xlfn.IFS(COUNTIF(INGRESOS!E:E,Tabla6[[#This Row],[ID FACTURA]])=1,"PAGADA",Tabla6[[#This Row],[ID FACTURA]]&lt;&gt;0,"EMITIDA",Tabla6[[#This Row],[ID FACTURA]]=0,"POR EMITIR")</f>
        <v>POR EMITIR</v>
      </c>
      <c r="M2426" s="55" t="str">
        <f>+IF(Tabla6[[#This Row],[ESTADO FACTURA]]="PAGADA",Tabla6[[#This Row],[FECHA]]-_xlfn.XLOOKUP(Tabla6[[#This Row],[N° FACTURA]],INGRESOS!F:F,INGRESOS!A:A),"-")</f>
        <v>-</v>
      </c>
      <c r="N2426" s="2"/>
      <c r="O2426"/>
    </row>
    <row r="2427" spans="1:15" ht="15" customHeight="1">
      <c r="A2427" s="320" t="s">
        <v>798</v>
      </c>
      <c r="B2427" t="str">
        <f>+_xlfn.XLOOKUP(Tabla6[[#This Row],[ID CLIENTE]],'RESUMEN CLIENTES'!D:D,'RESUMEN CLIENTES'!A:A)</f>
        <v>Juan Manuel Paranzino</v>
      </c>
      <c r="C2427" t="str">
        <f>+_xlfn.XLOOKUP(Tabla6[[#This Row],[ID CLIENTE]],'RESUMEN CLIENTES'!D:D,'RESUMEN CLIENTES'!C:C)</f>
        <v>Argentina</v>
      </c>
      <c r="D2427" s="44" t="str">
        <f>+_xlfn.XLOOKUP(Tabla6[[#This Row],[ID CLIENTE]],'RESUMEN CLIENTES'!D:D,'RESUMEN CLIENTES'!M:M)</f>
        <v>OK</v>
      </c>
      <c r="E2427" s="72">
        <f>+_xlfn.XLOOKUP(Tabla6[[#This Row],[NOMBRE]],'RESUMEN CLIENTES'!A:A,'RESUMEN CLIENTES'!X:X)</f>
        <v>-1</v>
      </c>
      <c r="F2427" s="72">
        <f>+_xlfn.XLOOKUP(Tabla6[[#This Row],[ID CLIENTE]],'RESUMEN CLIENTES'!D:D,'RESUMEN CLIENTES'!W:W)</f>
        <v>0</v>
      </c>
      <c r="G2427" s="17">
        <f>IF($H2427&lt;&gt;"ALEM","",IFERROR(
  DATE(
    YEAR(EDATE(
      _xlfn.XLOOKUP($A2427,'RESUMEN CLIENTES'!$D:$D,'RESUMEN CLIENTES'!$Y:$Y,""),
      7 + COUNTIFS(
            $A$2:INDEX($A:$A,ROW()), $A2427,
            $H$2:INDEX($H:$H,ROW()), "ALEM"
          )
    )),
    MONTH(EDATE(
      _xlfn.XLOOKUP($A2427,'RESUMEN CLIENTES'!$D:$D,'RESUMEN CLIENTES'!$Y:$Y,""),
      7 + COUNTIFS(
            $A$2:INDEX($A:$A,ROW()), $A2427,
            $H$2:INDEX($H:$H,ROW()), "ALEM"
          )
    )),
    1
  ),
"SIN FECHA MIG"))</f>
        <v>46600</v>
      </c>
      <c r="H2427" s="44" t="s">
        <v>1876</v>
      </c>
      <c r="I2427" s="2">
        <v>1000</v>
      </c>
      <c r="J2427"/>
      <c r="K2427"/>
      <c r="L2427" s="44" t="str" cm="1">
        <f t="array" ref="L2427">+_xlfn.IFS(COUNTIF(INGRESOS!E:E,Tabla6[[#This Row],[ID FACTURA]])=1,"PAGADA",Tabla6[[#This Row],[ID FACTURA]]&lt;&gt;0,"EMITIDA",Tabla6[[#This Row],[ID FACTURA]]=0,"POR EMITIR")</f>
        <v>POR EMITIR</v>
      </c>
      <c r="M2427" s="55" t="str">
        <f>+IF(Tabla6[[#This Row],[ESTADO FACTURA]]="PAGADA",Tabla6[[#This Row],[FECHA]]-_xlfn.XLOOKUP(Tabla6[[#This Row],[N° FACTURA]],INGRESOS!F:F,INGRESOS!A:A),"-")</f>
        <v>-</v>
      </c>
      <c r="N2427" s="2"/>
      <c r="O2427" t="s">
        <v>2084</v>
      </c>
    </row>
    <row r="2428" spans="1:15" ht="15" customHeight="1">
      <c r="A2428" s="320" t="s">
        <v>711</v>
      </c>
      <c r="B2428" t="str">
        <f>+_xlfn.XLOOKUP(Tabla6[[#This Row],[ID CLIENTE]],'RESUMEN CLIENTES'!D:D,'RESUMEN CLIENTES'!A:A)</f>
        <v>Julian David Gutierrez Rodriguez</v>
      </c>
      <c r="C2428" t="str">
        <f>+_xlfn.XLOOKUP(Tabla6[[#This Row],[ID CLIENTE]],'RESUMEN CLIENTES'!D:D,'RESUMEN CLIENTES'!C:C)</f>
        <v>Colombia</v>
      </c>
      <c r="D2428" s="44" t="str">
        <f>+_xlfn.XLOOKUP(Tabla6[[#This Row],[ID CLIENTE]],'RESUMEN CLIENTES'!D:D,'RESUMEN CLIENTES'!M:M)</f>
        <v>OK</v>
      </c>
      <c r="E2428" s="72">
        <f>+_xlfn.XLOOKUP(Tabla6[[#This Row],[NOMBRE]],'RESUMEN CLIENTES'!A:A,'RESUMEN CLIENTES'!X:X)</f>
        <v>0.7142857142857143</v>
      </c>
      <c r="F2428" s="72">
        <f>+_xlfn.XLOOKUP(Tabla6[[#This Row],[ID CLIENTE]],'RESUMEN CLIENTES'!D:D,'RESUMEN CLIENTES'!W:W)</f>
        <v>1</v>
      </c>
      <c r="G2428" s="17">
        <f>IF($H2428&lt;&gt;"ALEM","",IFERROR(
  DATE(
    YEAR(EDATE(
      _xlfn.XLOOKUP($A2428,'RESUMEN CLIENTES'!$D:$D,'RESUMEN CLIENTES'!$Y:$Y,""),
      7 + COUNTIFS(
            $A$2:INDEX($A:$A,ROW()), $A2428,
            $H$2:INDEX($H:$H,ROW()), "ALEM"
          )
    )),
    MONTH(EDATE(
      _xlfn.XLOOKUP($A2428,'RESUMEN CLIENTES'!$D:$D,'RESUMEN CLIENTES'!$Y:$Y,""),
      7 + COUNTIFS(
            $A$2:INDEX($A:$A,ROW()), $A2428,
            $H$2:INDEX($H:$H,ROW()), "ALEM"
          )
    )),
    1
  ),
"SIN FECHA MIG"))</f>
        <v>46600</v>
      </c>
      <c r="H2428" s="44" t="s">
        <v>1876</v>
      </c>
      <c r="I2428" s="2">
        <v>1000</v>
      </c>
      <c r="J2428"/>
      <c r="K2428"/>
      <c r="L2428" s="44" t="str" cm="1">
        <f t="array" ref="L2428">+_xlfn.IFS(COUNTIF(INGRESOS!E:E,Tabla6[[#This Row],[ID FACTURA]])=1,"PAGADA",Tabla6[[#This Row],[ID FACTURA]]&lt;&gt;0,"EMITIDA",Tabla6[[#This Row],[ID FACTURA]]=0,"POR EMITIR")</f>
        <v>POR EMITIR</v>
      </c>
      <c r="M2428" s="55" t="str">
        <f>+IF(Tabla6[[#This Row],[ESTADO FACTURA]]="PAGADA",Tabla6[[#This Row],[FECHA]]-_xlfn.XLOOKUP(Tabla6[[#This Row],[N° FACTURA]],INGRESOS!F:F,INGRESOS!A:A),"-")</f>
        <v>-</v>
      </c>
      <c r="N2428" s="2"/>
      <c r="O2428" t="s">
        <v>2084</v>
      </c>
    </row>
    <row r="2429" spans="1:15" ht="15" customHeight="1">
      <c r="A2429" s="320" t="s">
        <v>1001</v>
      </c>
      <c r="B2429" t="str">
        <f>+_xlfn.XLOOKUP(Tabla6[[#This Row],[ID CLIENTE]],'RESUMEN CLIENTES'!D:D,'RESUMEN CLIENTES'!A:A)</f>
        <v>Karenn Yadira Tavera Lara</v>
      </c>
      <c r="C2429" t="str">
        <f>+_xlfn.XLOOKUP(Tabla6[[#This Row],[ID CLIENTE]],'RESUMEN CLIENTES'!D:D,'RESUMEN CLIENTES'!C:C)</f>
        <v>México</v>
      </c>
      <c r="D2429" s="44" t="str">
        <f>+_xlfn.XLOOKUP(Tabla6[[#This Row],[ID CLIENTE]],'RESUMEN CLIENTES'!D:D,'RESUMEN CLIENTES'!M:M)</f>
        <v>OK</v>
      </c>
      <c r="E2429" s="72">
        <f>+_xlfn.XLOOKUP(Tabla6[[#This Row],[NOMBRE]],'RESUMEN CLIENTES'!A:A,'RESUMEN CLIENTES'!X:X)</f>
        <v>1.5</v>
      </c>
      <c r="F2429" s="72">
        <f>+_xlfn.XLOOKUP(Tabla6[[#This Row],[ID CLIENTE]],'RESUMEN CLIENTES'!D:D,'RESUMEN CLIENTES'!W:W)</f>
        <v>1</v>
      </c>
      <c r="G2429" s="17">
        <f>IF($H2429&lt;&gt;"ALEM","",IFERROR(
  DATE(
    YEAR(EDATE(
      _xlfn.XLOOKUP($A2429,'RESUMEN CLIENTES'!$D:$D,'RESUMEN CLIENTES'!$Y:$Y,""),
      7 + COUNTIFS(
            $A$2:INDEX($A:$A,ROW()), $A2429,
            $H$2:INDEX($H:$H,ROW()), "ALEM"
          )
    )),
    MONTH(EDATE(
      _xlfn.XLOOKUP($A2429,'RESUMEN CLIENTES'!$D:$D,'RESUMEN CLIENTES'!$Y:$Y,""),
      7 + COUNTIFS(
            $A$2:INDEX($A:$A,ROW()), $A2429,
            $H$2:INDEX($H:$H,ROW()), "ALEM"
          )
    )),
    1
  ),
"SIN FECHA MIG"))</f>
        <v>46600</v>
      </c>
      <c r="H2429" s="44" t="s">
        <v>1876</v>
      </c>
      <c r="I2429" s="2">
        <v>1000</v>
      </c>
      <c r="J2429"/>
      <c r="K2429"/>
      <c r="L2429" s="44" t="str" cm="1">
        <f t="array" ref="L2429">+_xlfn.IFS(COUNTIF(INGRESOS!E:E,Tabla6[[#This Row],[ID FACTURA]])=1,"PAGADA",Tabla6[[#This Row],[ID FACTURA]]&lt;&gt;0,"EMITIDA",Tabla6[[#This Row],[ID FACTURA]]=0,"POR EMITIR")</f>
        <v>POR EMITIR</v>
      </c>
      <c r="M2429" s="55" t="str">
        <f>+IF(Tabla6[[#This Row],[ESTADO FACTURA]]="PAGADA",Tabla6[[#This Row],[FECHA]]-_xlfn.XLOOKUP(Tabla6[[#This Row],[N° FACTURA]],INGRESOS!F:F,INGRESOS!A:A),"-")</f>
        <v>-</v>
      </c>
      <c r="N2429" s="2"/>
      <c r="O2429"/>
    </row>
    <row r="2430" spans="1:15" ht="15" customHeight="1">
      <c r="A2430" s="320" t="s">
        <v>1461</v>
      </c>
      <c r="B2430" t="str">
        <f>+_xlfn.XLOOKUP(Tabla6[[#This Row],[ID CLIENTE]],'RESUMEN CLIENTES'!D:D,'RESUMEN CLIENTES'!A:A)</f>
        <v>Katerine Marianela Verastegui Mendoza</v>
      </c>
      <c r="C2430" t="str">
        <f>+_xlfn.XLOOKUP(Tabla6[[#This Row],[ID CLIENTE]],'RESUMEN CLIENTES'!D:D,'RESUMEN CLIENTES'!C:C)</f>
        <v>Perú</v>
      </c>
      <c r="D2430" s="44" t="str">
        <f>+_xlfn.XLOOKUP(Tabla6[[#This Row],[ID CLIENTE]],'RESUMEN CLIENTES'!D:D,'RESUMEN CLIENTES'!M:M)</f>
        <v>OK</v>
      </c>
      <c r="E2430" s="71">
        <f>+_xlfn.XLOOKUP(Tabla6[[#This Row],[NOMBRE]],'RESUMEN CLIENTES'!A:A,'RESUMEN CLIENTES'!X:X)</f>
        <v>-2</v>
      </c>
      <c r="F2430" s="71">
        <f>+_xlfn.XLOOKUP(Tabla6[[#This Row],[ID CLIENTE]],'RESUMEN CLIENTES'!D:D,'RESUMEN CLIENTES'!W:W)</f>
        <v>0</v>
      </c>
      <c r="G2430" s="17">
        <f>IF($H2430&lt;&gt;"ALEM","",IFERROR(
  DATE(
    YEAR(EDATE(
      _xlfn.XLOOKUP($A2430,'RESUMEN CLIENTES'!$D:$D,'RESUMEN CLIENTES'!$Y:$Y,""),
      7 + COUNTIFS(
            $A$2:INDEX($A:$A,ROW()), $A2430,
            $H$2:INDEX($H:$H,ROW()), "ALEM"
          )
    )),
    MONTH(EDATE(
      _xlfn.XLOOKUP($A2430,'RESUMEN CLIENTES'!$D:$D,'RESUMEN CLIENTES'!$Y:$Y,""),
      7 + COUNTIFS(
            $A$2:INDEX($A:$A,ROW()), $A2430,
            $H$2:INDEX($H:$H,ROW()), "ALEM"
          )
    )),
    1
  ),
"SIN FECHA MIG"))</f>
        <v>46600</v>
      </c>
      <c r="H2430" s="169" t="s">
        <v>1876</v>
      </c>
      <c r="I2430" s="2">
        <v>1000</v>
      </c>
      <c r="J2430"/>
      <c r="K2430"/>
      <c r="L2430" s="44" t="str" cm="1">
        <f t="array" ref="L2430">+_xlfn.IFS(COUNTIF(INGRESOS!E:E,Tabla6[[#This Row],[ID FACTURA]])=1,"PAGADA",Tabla6[[#This Row],[ID FACTURA]]&lt;&gt;0,"EMITIDA",Tabla6[[#This Row],[ID FACTURA]]=0,"POR EMITIR")</f>
        <v>POR EMITIR</v>
      </c>
      <c r="M2430" s="55" t="str">
        <f>+IF(Tabla6[[#This Row],[ESTADO FACTURA]]="PAGADA",Tabla6[[#This Row],[FECHA]]-_xlfn.XLOOKUP(Tabla6[[#This Row],[N° FACTURA]],INGRESOS!F:F,INGRESOS!A:A),"-")</f>
        <v>-</v>
      </c>
      <c r="N2430" s="2"/>
      <c r="O2430" t="s">
        <v>2086</v>
      </c>
    </row>
    <row r="2431" spans="1:15" ht="15" customHeight="1">
      <c r="A2431" s="320" t="s">
        <v>501</v>
      </c>
      <c r="B2431" t="str">
        <f>+_xlfn.XLOOKUP(Tabla6[[#This Row],[ID CLIENTE]],'RESUMEN CLIENTES'!D:D,'RESUMEN CLIENTES'!A:A)</f>
        <v>Kimberly Chantelle Frey Arteaga</v>
      </c>
      <c r="C2431" t="str">
        <f>+_xlfn.XLOOKUP(Tabla6[[#This Row],[ID CLIENTE]],'RESUMEN CLIENTES'!D:D,'RESUMEN CLIENTES'!C:C)</f>
        <v>México</v>
      </c>
      <c r="D2431" s="44" t="str">
        <f>+_xlfn.XLOOKUP(Tabla6[[#This Row],[ID CLIENTE]],'RESUMEN CLIENTES'!D:D,'RESUMEN CLIENTES'!M:M)</f>
        <v>OK</v>
      </c>
      <c r="E2431" s="72">
        <f>+_xlfn.XLOOKUP(Tabla6[[#This Row],[NOMBRE]],'RESUMEN CLIENTES'!A:A,'RESUMEN CLIENTES'!X:X)</f>
        <v>0</v>
      </c>
      <c r="F2431" s="72">
        <f>+_xlfn.XLOOKUP(Tabla6[[#This Row],[ID CLIENTE]],'RESUMEN CLIENTES'!D:D,'RESUMEN CLIENTES'!W:W)</f>
        <v>1</v>
      </c>
      <c r="G2431" s="17">
        <f>IF($H2431&lt;&gt;"ALEM","",IFERROR(
  DATE(
    YEAR(EDATE(
      _xlfn.XLOOKUP($A2431,'RESUMEN CLIENTES'!$D:$D,'RESUMEN CLIENTES'!$Y:$Y,""),
      7 + COUNTIFS(
            $A$2:INDEX($A:$A,ROW()), $A2431,
            $H$2:INDEX($H:$H,ROW()), "ALEM"
          )
    )),
    MONTH(EDATE(
      _xlfn.XLOOKUP($A2431,'RESUMEN CLIENTES'!$D:$D,'RESUMEN CLIENTES'!$Y:$Y,""),
      7 + COUNTIFS(
            $A$2:INDEX($A:$A,ROW()), $A2431,
            $H$2:INDEX($H:$H,ROW()), "ALEM"
          )
    )),
    1
  ),
"SIN FECHA MIG"))</f>
        <v>46600</v>
      </c>
      <c r="H2431" s="44" t="s">
        <v>1876</v>
      </c>
      <c r="I2431" s="2">
        <v>1000</v>
      </c>
      <c r="J2431"/>
      <c r="K2431"/>
      <c r="L2431" s="44" t="str" cm="1">
        <f t="array" ref="L2431">+_xlfn.IFS(COUNTIF(INGRESOS!E:E,Tabla6[[#This Row],[ID FACTURA]])=1,"PAGADA",Tabla6[[#This Row],[ID FACTURA]]&lt;&gt;0,"EMITIDA",Tabla6[[#This Row],[ID FACTURA]]=0,"POR EMITIR")</f>
        <v>POR EMITIR</v>
      </c>
      <c r="M2431" s="55" t="str">
        <f>+IF(Tabla6[[#This Row],[ESTADO FACTURA]]="PAGADA",Tabla6[[#This Row],[FECHA]]-_xlfn.XLOOKUP(Tabla6[[#This Row],[N° FACTURA]],INGRESOS!F:F,INGRESOS!A:A),"-")</f>
        <v>-</v>
      </c>
      <c r="N2431" s="2"/>
      <c r="O2431"/>
    </row>
    <row r="2432" spans="1:15" ht="15" customHeight="1">
      <c r="A2432" s="320" t="s">
        <v>703</v>
      </c>
      <c r="B2432" t="str">
        <f>+_xlfn.XLOOKUP(Tabla6[[#This Row],[ID CLIENTE]],'RESUMEN CLIENTES'!D:D,'RESUMEN CLIENTES'!A:A)</f>
        <v>Maira Paz Navas Sánchez</v>
      </c>
      <c r="C2432" t="str">
        <f>+_xlfn.XLOOKUP(Tabla6[[#This Row],[ID CLIENTE]],'RESUMEN CLIENTES'!D:D,'RESUMEN CLIENTES'!C:C)</f>
        <v>Chile</v>
      </c>
      <c r="D2432" s="44" t="str">
        <f>+_xlfn.XLOOKUP(Tabla6[[#This Row],[ID CLIENTE]],'RESUMEN CLIENTES'!D:D,'RESUMEN CLIENTES'!M:M)</f>
        <v>OK</v>
      </c>
      <c r="E2432" s="72">
        <f>+_xlfn.XLOOKUP(Tabla6[[#This Row],[NOMBRE]],'RESUMEN CLIENTES'!A:A,'RESUMEN CLIENTES'!X:X)</f>
        <v>-1.75</v>
      </c>
      <c r="F2432" s="72">
        <f>+_xlfn.XLOOKUP(Tabla6[[#This Row],[ID CLIENTE]],'RESUMEN CLIENTES'!D:D,'RESUMEN CLIENTES'!W:W)</f>
        <v>1</v>
      </c>
      <c r="G2432" s="17">
        <f>IF($H2432&lt;&gt;"ALEM","",IFERROR(
  DATE(
    YEAR(EDATE(
      _xlfn.XLOOKUP($A2432,'RESUMEN CLIENTES'!$D:$D,'RESUMEN CLIENTES'!$Y:$Y,""),
      7 + COUNTIFS(
            $A$2:INDEX($A:$A,ROW()), $A2432,
            $H$2:INDEX($H:$H,ROW()), "ALEM"
          )
    )),
    MONTH(EDATE(
      _xlfn.XLOOKUP($A2432,'RESUMEN CLIENTES'!$D:$D,'RESUMEN CLIENTES'!$Y:$Y,""),
      7 + COUNTIFS(
            $A$2:INDEX($A:$A,ROW()), $A2432,
            $H$2:INDEX($H:$H,ROW()), "ALEM"
          )
    )),
    1
  ),
"SIN FECHA MIG"))</f>
        <v>46600</v>
      </c>
      <c r="H2432" s="44" t="s">
        <v>1876</v>
      </c>
      <c r="I2432" s="2">
        <v>1000</v>
      </c>
      <c r="J2432"/>
      <c r="K2432"/>
      <c r="L2432" s="44" t="str" cm="1">
        <f t="array" ref="L2432">+_xlfn.IFS(COUNTIF(INGRESOS!E:E,Tabla6[[#This Row],[ID FACTURA]])=1,"PAGADA",Tabla6[[#This Row],[ID FACTURA]]&lt;&gt;0,"EMITIDA",Tabla6[[#This Row],[ID FACTURA]]=0,"POR EMITIR")</f>
        <v>POR EMITIR</v>
      </c>
      <c r="M2432" s="55" t="str">
        <f>+IF(Tabla6[[#This Row],[ESTADO FACTURA]]="PAGADA",Tabla6[[#This Row],[FECHA]]-_xlfn.XLOOKUP(Tabla6[[#This Row],[N° FACTURA]],INGRESOS!F:F,INGRESOS!A:A),"-")</f>
        <v>-</v>
      </c>
      <c r="N2432" s="2"/>
      <c r="O2432" t="s">
        <v>2084</v>
      </c>
    </row>
    <row r="2433" spans="1:15" ht="15" customHeight="1">
      <c r="A2433" s="320" t="s">
        <v>1551</v>
      </c>
      <c r="B2433" t="str">
        <f>+_xlfn.XLOOKUP(Tabla6[[#This Row],[ID CLIENTE]],'RESUMEN CLIENTES'!D:D,'RESUMEN CLIENTES'!A:A)</f>
        <v>María Fernanda Cid Ramírez</v>
      </c>
      <c r="C2433" t="str">
        <f>+_xlfn.XLOOKUP(Tabla6[[#This Row],[ID CLIENTE]],'RESUMEN CLIENTES'!D:D,'RESUMEN CLIENTES'!C:C)</f>
        <v>México</v>
      </c>
      <c r="D2433" s="44" t="str">
        <f>+_xlfn.XLOOKUP(Tabla6[[#This Row],[ID CLIENTE]],'RESUMEN CLIENTES'!D:D,'RESUMEN CLIENTES'!M:M)</f>
        <v>OK</v>
      </c>
      <c r="E2433" s="71">
        <f>+_xlfn.XLOOKUP(Tabla6[[#This Row],[NOMBRE]],'RESUMEN CLIENTES'!A:A,'RESUMEN CLIENTES'!X:X)</f>
        <v>-0.8571428571428571</v>
      </c>
      <c r="F2433" s="71">
        <f>+_xlfn.XLOOKUP(Tabla6[[#This Row],[ID CLIENTE]],'RESUMEN CLIENTES'!D:D,'RESUMEN CLIENTES'!W:W)</f>
        <v>0</v>
      </c>
      <c r="G2433" s="17">
        <f>IF($H2433&lt;&gt;"ALEM","",IFERROR(
  DATE(
    YEAR(EDATE(
      _xlfn.XLOOKUP($A2433,'RESUMEN CLIENTES'!$D:$D,'RESUMEN CLIENTES'!$Y:$Y,""),
      7 + COUNTIFS(
            $A$2:INDEX($A:$A,ROW()), $A2433,
            $H$2:INDEX($H:$H,ROW()), "ALEM"
          )
    )),
    MONTH(EDATE(
      _xlfn.XLOOKUP($A2433,'RESUMEN CLIENTES'!$D:$D,'RESUMEN CLIENTES'!$Y:$Y,""),
      7 + COUNTIFS(
            $A$2:INDEX($A:$A,ROW()), $A2433,
            $H$2:INDEX($H:$H,ROW()), "ALEM"
          )
    )),
    1
  ),
"SIN FECHA MIG"))</f>
        <v>46600</v>
      </c>
      <c r="H2433" s="169" t="s">
        <v>1876</v>
      </c>
      <c r="I2433" s="2">
        <v>800</v>
      </c>
      <c r="J2433"/>
      <c r="K2433"/>
      <c r="L2433" s="44" t="str" cm="1">
        <f t="array" ref="L2433">+_xlfn.IFS(COUNTIF(INGRESOS!E:E,Tabla6[[#This Row],[ID FACTURA]])=1,"PAGADA",Tabla6[[#This Row],[ID FACTURA]]&lt;&gt;0,"EMITIDA",Tabla6[[#This Row],[ID FACTURA]]=0,"POR EMITIR")</f>
        <v>POR EMITIR</v>
      </c>
      <c r="M2433" s="55" t="str">
        <f>+IF(Tabla6[[#This Row],[ESTADO FACTURA]]="PAGADA",Tabla6[[#This Row],[FECHA]]-_xlfn.XLOOKUP(Tabla6[[#This Row],[N° FACTURA]],INGRESOS!F:F,INGRESOS!A:A),"-")</f>
        <v>-</v>
      </c>
      <c r="N2433" s="2"/>
      <c r="O2433" t="s">
        <v>2086</v>
      </c>
    </row>
    <row r="2434" spans="1:15" ht="15" customHeight="1">
      <c r="A2434" s="320" t="s">
        <v>590</v>
      </c>
      <c r="B2434" t="str">
        <f>+_xlfn.XLOOKUP(Tabla6[[#This Row],[ID CLIENTE]],'RESUMEN CLIENTES'!D:D,'RESUMEN CLIENTES'!A:A)</f>
        <v>María Lucero de Jesús Barrios Sazo</v>
      </c>
      <c r="C2434" t="str">
        <f>+_xlfn.XLOOKUP(Tabla6[[#This Row],[ID CLIENTE]],'RESUMEN CLIENTES'!D:D,'RESUMEN CLIENTES'!C:C)</f>
        <v>Guatemala</v>
      </c>
      <c r="D2434" s="44" t="str">
        <f>+_xlfn.XLOOKUP(Tabla6[[#This Row],[ID CLIENTE]],'RESUMEN CLIENTES'!D:D,'RESUMEN CLIENTES'!M:M)</f>
        <v>OK</v>
      </c>
      <c r="E2434" s="72">
        <f>+_xlfn.XLOOKUP(Tabla6[[#This Row],[NOMBRE]],'RESUMEN CLIENTES'!A:A,'RESUMEN CLIENTES'!X:X)</f>
        <v>1.25</v>
      </c>
      <c r="F2434" s="72">
        <f>+_xlfn.XLOOKUP(Tabla6[[#This Row],[ID CLIENTE]],'RESUMEN CLIENTES'!D:D,'RESUMEN CLIENTES'!W:W)</f>
        <v>0</v>
      </c>
      <c r="G2434" s="17">
        <f>IF($H2434&lt;&gt;"ALEM","",IFERROR(
  DATE(
    YEAR(EDATE(
      _xlfn.XLOOKUP($A2434,'RESUMEN CLIENTES'!$D:$D,'RESUMEN CLIENTES'!$Y:$Y,""),
      7 + COUNTIFS(
            $A$2:INDEX($A:$A,ROW()), $A2434,
            $H$2:INDEX($H:$H,ROW()), "ALEM"
          )
    )),
    MONTH(EDATE(
      _xlfn.XLOOKUP($A2434,'RESUMEN CLIENTES'!$D:$D,'RESUMEN CLIENTES'!$Y:$Y,""),
      7 + COUNTIFS(
            $A$2:INDEX($A:$A,ROW()), $A2434,
            $H$2:INDEX($H:$H,ROW()), "ALEM"
          )
    )),
    1
  ),
"SIN FECHA MIG"))</f>
        <v>46600</v>
      </c>
      <c r="H2434" s="44" t="s">
        <v>1876</v>
      </c>
      <c r="I2434" s="2">
        <v>1000</v>
      </c>
      <c r="J2434"/>
      <c r="K2434"/>
      <c r="L2434" s="44" t="str" cm="1">
        <f t="array" ref="L2434">+_xlfn.IFS(COUNTIF(INGRESOS!E:E,Tabla6[[#This Row],[ID FACTURA]])=1,"PAGADA",Tabla6[[#This Row],[ID FACTURA]]&lt;&gt;0,"EMITIDA",Tabla6[[#This Row],[ID FACTURA]]=0,"POR EMITIR")</f>
        <v>POR EMITIR</v>
      </c>
      <c r="M2434" s="55" t="str">
        <f>+IF(Tabla6[[#This Row],[ESTADO FACTURA]]="PAGADA",Tabla6[[#This Row],[FECHA]]-_xlfn.XLOOKUP(Tabla6[[#This Row],[N° FACTURA]],INGRESOS!F:F,INGRESOS!A:A),"-")</f>
        <v>-</v>
      </c>
      <c r="N2434" s="2"/>
      <c r="O2434"/>
    </row>
    <row r="2435" spans="1:15" ht="15" customHeight="1">
      <c r="A2435" s="320" t="s">
        <v>1155</v>
      </c>
      <c r="B2435" t="str">
        <f>+_xlfn.XLOOKUP(Tabla6[[#This Row],[ID CLIENTE]],'RESUMEN CLIENTES'!D:D,'RESUMEN CLIENTES'!A:A)</f>
        <v>Mario Arciga Casián</v>
      </c>
      <c r="C2435" t="str">
        <f>+_xlfn.XLOOKUP(Tabla6[[#This Row],[ID CLIENTE]],'RESUMEN CLIENTES'!D:D,'RESUMEN CLIENTES'!C:C)</f>
        <v>México</v>
      </c>
      <c r="D2435" s="44" t="str">
        <f>+_xlfn.XLOOKUP(Tabla6[[#This Row],[ID CLIENTE]],'RESUMEN CLIENTES'!D:D,'RESUMEN CLIENTES'!M:M)</f>
        <v>OK</v>
      </c>
      <c r="E2435" s="72">
        <f>+_xlfn.XLOOKUP(Tabla6[[#This Row],[NOMBRE]],'RESUMEN CLIENTES'!A:A,'RESUMEN CLIENTES'!X:X)</f>
        <v>-0.66666666666666663</v>
      </c>
      <c r="F2435" s="72">
        <f>+_xlfn.XLOOKUP(Tabla6[[#This Row],[ID CLIENTE]],'RESUMEN CLIENTES'!D:D,'RESUMEN CLIENTES'!W:W)</f>
        <v>1</v>
      </c>
      <c r="G2435" s="17">
        <f>IF($H2435&lt;&gt;"ALEM","",IFERROR(
  DATE(
    YEAR(EDATE(
      _xlfn.XLOOKUP($A2435,'RESUMEN CLIENTES'!$D:$D,'RESUMEN CLIENTES'!$Y:$Y,""),
      7 + COUNTIFS(
            $A$2:INDEX($A:$A,ROW()), $A2435,
            $H$2:INDEX($H:$H,ROW()), "ALEM"
          )
    )),
    MONTH(EDATE(
      _xlfn.XLOOKUP($A2435,'RESUMEN CLIENTES'!$D:$D,'RESUMEN CLIENTES'!$Y:$Y,""),
      7 + COUNTIFS(
            $A$2:INDEX($A:$A,ROW()), $A2435,
            $H$2:INDEX($H:$H,ROW()), "ALEM"
          )
    )),
    1
  ),
"SIN FECHA MIG"))</f>
        <v>46600</v>
      </c>
      <c r="H2435" s="44" t="s">
        <v>1876</v>
      </c>
      <c r="I2435" s="2">
        <v>800</v>
      </c>
      <c r="J2435"/>
      <c r="K2435"/>
      <c r="L2435" s="44" t="str" cm="1">
        <f t="array" ref="L2435">+_xlfn.IFS(COUNTIF(INGRESOS!E:E,Tabla6[[#This Row],[ID FACTURA]])=1,"PAGADA",Tabla6[[#This Row],[ID FACTURA]]&lt;&gt;0,"EMITIDA",Tabla6[[#This Row],[ID FACTURA]]=0,"POR EMITIR")</f>
        <v>POR EMITIR</v>
      </c>
      <c r="M2435" s="55" t="str">
        <f>+IF(Tabla6[[#This Row],[ESTADO FACTURA]]="PAGADA",Tabla6[[#This Row],[FECHA]]-_xlfn.XLOOKUP(Tabla6[[#This Row],[N° FACTURA]],INGRESOS!F:F,INGRESOS!A:A),"-")</f>
        <v>-</v>
      </c>
      <c r="N2435" s="2"/>
      <c r="O2435"/>
    </row>
    <row r="2436" spans="1:15" ht="15" customHeight="1">
      <c r="A2436" s="320" t="s">
        <v>4509</v>
      </c>
      <c r="B2436" t="str">
        <f>+_xlfn.XLOOKUP(Tabla6[[#This Row],[ID CLIENTE]],'RESUMEN CLIENTES'!D:D,'RESUMEN CLIENTES'!A:A)</f>
        <v>Marisol Madeleine Ibáñez Paredes</v>
      </c>
      <c r="C2436" t="str">
        <f>+_xlfn.XLOOKUP(Tabla6[[#This Row],[ID CLIENTE]],'RESUMEN CLIENTES'!D:D,'RESUMEN CLIENTES'!C:C)</f>
        <v>Ecuador</v>
      </c>
      <c r="D2436" s="169" t="str">
        <f>+_xlfn.XLOOKUP(Tabla6[[#This Row],[ID CLIENTE]],'RESUMEN CLIENTES'!D:D,'RESUMEN CLIENTES'!M:M)</f>
        <v>OK</v>
      </c>
      <c r="E2436" s="71">
        <f>+_xlfn.XLOOKUP(Tabla6[[#This Row],[NOMBRE]],'RESUMEN CLIENTES'!A:A,'RESUMEN CLIENTES'!X:X)</f>
        <v>-3</v>
      </c>
      <c r="F2436" s="71">
        <f>+_xlfn.XLOOKUP(Tabla6[[#This Row],[ID CLIENTE]],'RESUMEN CLIENTES'!D:D,'RESUMEN CLIENTES'!W:W)</f>
        <v>0</v>
      </c>
      <c r="G2436" s="17">
        <f>IF($H2436&lt;&gt;"ALEM","",IFERROR(
  DATE(
    YEAR(EDATE(
      _xlfn.XLOOKUP($A2436,'RESUMEN CLIENTES'!$D:$D,'RESUMEN CLIENTES'!$Y:$Y,""),
      7 + COUNTIFS(
            $A$2:INDEX($A:$A,ROW()), $A2436,
            $H$2:INDEX($H:$H,ROW()), "ALEM"
          )
    )),
    MONTH(EDATE(
      _xlfn.XLOOKUP($A2436,'RESUMEN CLIENTES'!$D:$D,'RESUMEN CLIENTES'!$Y:$Y,""),
      7 + COUNTIFS(
            $A$2:INDEX($A:$A,ROW()), $A2436,
            $H$2:INDEX($H:$H,ROW()), "ALEM"
          )
    )),
    1
  ),
"null"))</f>
        <v>46600</v>
      </c>
      <c r="H2436" s="169" t="s">
        <v>1876</v>
      </c>
      <c r="I2436" s="2">
        <v>900</v>
      </c>
      <c r="J2436"/>
      <c r="K2436"/>
      <c r="L2436" s="44" t="str" cm="1">
        <f t="array" ref="L2436">+_xlfn.IFS(COUNTIF(INGRESOS!E:E,Tabla6[[#This Row],[ID FACTURA]])=1,"PAGADA",Tabla6[[#This Row],[ID FACTURA]]&lt;&gt;0,"EMITIDA",Tabla6[[#This Row],[ID FACTURA]]=0,"POR EMITIR")</f>
        <v>POR EMITIR</v>
      </c>
      <c r="M2436" s="54" t="str">
        <f>+IF(Tabla6[[#This Row],[ESTADO FACTURA]]="PAGADA",Tabla6[[#This Row],[FECHA]]-_xlfn.XLOOKUP(Tabla6[[#This Row],[N° FACTURA]],INGRESOS!F:F,INGRESOS!A:A),"-")</f>
        <v>-</v>
      </c>
      <c r="O2436"/>
    </row>
    <row r="2437" spans="1:15" ht="15" customHeight="1">
      <c r="A2437" s="320" t="s">
        <v>261</v>
      </c>
      <c r="B2437" t="str">
        <f>+_xlfn.XLOOKUP(Tabla6[[#This Row],[ID CLIENTE]],'RESUMEN CLIENTES'!D:D,'RESUMEN CLIENTES'!A:A)</f>
        <v>Maryori Elizabeth Ramos Tapia</v>
      </c>
      <c r="C2437" t="str">
        <f>+_xlfn.XLOOKUP(Tabla6[[#This Row],[ID CLIENTE]],'RESUMEN CLIENTES'!D:D,'RESUMEN CLIENTES'!C:C)</f>
        <v>Perú</v>
      </c>
      <c r="D2437" s="44" t="str">
        <f>+_xlfn.XLOOKUP(Tabla6[[#This Row],[ID CLIENTE]],'RESUMEN CLIENTES'!D:D,'RESUMEN CLIENTES'!M:M)</f>
        <v>OK</v>
      </c>
      <c r="E2437" s="72">
        <f>+_xlfn.XLOOKUP(Tabla6[[#This Row],[NOMBRE]],'RESUMEN CLIENTES'!A:A,'RESUMEN CLIENTES'!X:X)</f>
        <v>-0.88425925925952875</v>
      </c>
      <c r="F2437" s="72">
        <f>+_xlfn.XLOOKUP(Tabla6[[#This Row],[ID CLIENTE]],'RESUMEN CLIENTES'!D:D,'RESUMEN CLIENTES'!W:W)</f>
        <v>1</v>
      </c>
      <c r="G2437" s="17">
        <f>IF($H2437&lt;&gt;"ALEM","",IFERROR(
  DATE(
    YEAR(EDATE(
      _xlfn.XLOOKUP($A2437,'RESUMEN CLIENTES'!$D:$D,'RESUMEN CLIENTES'!$Y:$Y,""),
      7 + COUNTIFS(
            $A$2:INDEX($A:$A,ROW()), $A2437,
            $H$2:INDEX($H:$H,ROW()), "ALEM"
          )
    )),
    MONTH(EDATE(
      _xlfn.XLOOKUP($A2437,'RESUMEN CLIENTES'!$D:$D,'RESUMEN CLIENTES'!$Y:$Y,""),
      7 + COUNTIFS(
            $A$2:INDEX($A:$A,ROW()), $A2437,
            $H$2:INDEX($H:$H,ROW()), "ALEM"
          )
    )),
    1
  ),
"SIN FECHA MIG"))</f>
        <v>46600</v>
      </c>
      <c r="H2437" s="44" t="s">
        <v>1876</v>
      </c>
      <c r="I2437" s="2">
        <v>1000</v>
      </c>
      <c r="J2437"/>
      <c r="K2437"/>
      <c r="L2437" s="44" t="str" cm="1">
        <f t="array" ref="L2437">+_xlfn.IFS(COUNTIF(INGRESOS!E:E,Tabla6[[#This Row],[ID FACTURA]])=1,"PAGADA",Tabla6[[#This Row],[ID FACTURA]]&lt;&gt;0,"EMITIDA",Tabla6[[#This Row],[ID FACTURA]]=0,"POR EMITIR")</f>
        <v>POR EMITIR</v>
      </c>
      <c r="M2437" s="55" t="str">
        <f>+IF(Tabla6[[#This Row],[ESTADO FACTURA]]="PAGADA",Tabla6[[#This Row],[FECHA]]-_xlfn.XLOOKUP(Tabla6[[#This Row],[N° FACTURA]],INGRESOS!F:F,INGRESOS!A:A),"-")</f>
        <v>-</v>
      </c>
      <c r="N2437" s="2"/>
      <c r="O2437"/>
    </row>
    <row r="2438" spans="1:15" ht="15" customHeight="1">
      <c r="A2438" s="320" t="s">
        <v>314</v>
      </c>
      <c r="B2438" t="str">
        <f>+_xlfn.XLOOKUP(Tabla6[[#This Row],[ID CLIENTE]],'RESUMEN CLIENTES'!D:D,'RESUMEN CLIENTES'!A:A)</f>
        <v>Miguel Angel Sisalima Shiña</v>
      </c>
      <c r="C2438" t="str">
        <f>+_xlfn.XLOOKUP(Tabla6[[#This Row],[ID CLIENTE]],'RESUMEN CLIENTES'!D:D,'RESUMEN CLIENTES'!C:C)</f>
        <v>Ecuador</v>
      </c>
      <c r="D2438" s="44" t="str">
        <f>+_xlfn.XLOOKUP(Tabla6[[#This Row],[ID CLIENTE]],'RESUMEN CLIENTES'!D:D,'RESUMEN CLIENTES'!M:M)</f>
        <v>OK</v>
      </c>
      <c r="E2438" s="72">
        <f>+_xlfn.XLOOKUP(Tabla6[[#This Row],[NOMBRE]],'RESUMEN CLIENTES'!A:A,'RESUMEN CLIENTES'!X:X)</f>
        <v>0.6</v>
      </c>
      <c r="F2438" s="72">
        <f>+_xlfn.XLOOKUP(Tabla6[[#This Row],[ID CLIENTE]],'RESUMEN CLIENTES'!D:D,'RESUMEN CLIENTES'!W:W)</f>
        <v>0</v>
      </c>
      <c r="G2438" s="17">
        <f>IF($H2438&lt;&gt;"ALEM","",IFERROR(
  DATE(
    YEAR(EDATE(
      _xlfn.XLOOKUP($A2438,'RESUMEN CLIENTES'!$D:$D,'RESUMEN CLIENTES'!$Y:$Y,""),
      7 + COUNTIFS(
            $A$2:INDEX($A:$A,ROW()), $A2438,
            $H$2:INDEX($H:$H,ROW()), "ALEM"
          )
    )),
    MONTH(EDATE(
      _xlfn.XLOOKUP($A2438,'RESUMEN CLIENTES'!$D:$D,'RESUMEN CLIENTES'!$Y:$Y,""),
      7 + COUNTIFS(
            $A$2:INDEX($A:$A,ROW()), $A2438,
            $H$2:INDEX($H:$H,ROW()), "ALEM"
          )
    )),
    1
  ),
"SIN FECHA MIG"))</f>
        <v>46600</v>
      </c>
      <c r="H2438" s="44" t="s">
        <v>1876</v>
      </c>
      <c r="I2438" s="2">
        <v>1000</v>
      </c>
      <c r="J2438"/>
      <c r="K2438"/>
      <c r="L2438" s="44" t="str" cm="1">
        <f t="array" ref="L2438">+_xlfn.IFS(COUNTIF(INGRESOS!E:E,Tabla6[[#This Row],[ID FACTURA]])=1,"PAGADA",Tabla6[[#This Row],[ID FACTURA]]&lt;&gt;0,"EMITIDA",Tabla6[[#This Row],[ID FACTURA]]=0,"POR EMITIR")</f>
        <v>POR EMITIR</v>
      </c>
      <c r="M2438" s="55" t="str">
        <f>+IF(Tabla6[[#This Row],[ESTADO FACTURA]]="PAGADA",Tabla6[[#This Row],[FECHA]]-_xlfn.XLOOKUP(Tabla6[[#This Row],[N° FACTURA]],INGRESOS!F:F,INGRESOS!A:A),"-")</f>
        <v>-</v>
      </c>
      <c r="N2438" s="2"/>
      <c r="O2438"/>
    </row>
    <row r="2439" spans="1:15" ht="15" customHeight="1">
      <c r="A2439" s="320" t="s">
        <v>1658</v>
      </c>
      <c r="B2439" t="str">
        <f>+_xlfn.XLOOKUP(Tabla6[[#This Row],[ID CLIENTE]],'RESUMEN CLIENTES'!D:D,'RESUMEN CLIENTES'!A:A)</f>
        <v>Nadya Sofía García Carrasco</v>
      </c>
      <c r="C2439" t="str">
        <f>+_xlfn.XLOOKUP(Tabla6[[#This Row],[ID CLIENTE]],'RESUMEN CLIENTES'!D:D,'RESUMEN CLIENTES'!C:C)</f>
        <v>Ecuador</v>
      </c>
      <c r="D2439" s="169" t="str">
        <f>+_xlfn.XLOOKUP(Tabla6[[#This Row],[ID CLIENTE]],'RESUMEN CLIENTES'!D:D,'RESUMEN CLIENTES'!M:M)</f>
        <v>OK</v>
      </c>
      <c r="E2439" s="71">
        <f>+_xlfn.XLOOKUP(Tabla6[[#This Row],[NOMBRE]],'RESUMEN CLIENTES'!A:A,'RESUMEN CLIENTES'!X:X)</f>
        <v>0</v>
      </c>
      <c r="F2439" s="71">
        <f>+_xlfn.XLOOKUP(Tabla6[[#This Row],[ID CLIENTE]],'RESUMEN CLIENTES'!D:D,'RESUMEN CLIENTES'!W:W)</f>
        <v>1</v>
      </c>
      <c r="G2439" s="17">
        <f>IF($H2439&lt;&gt;"ALEM","",IFERROR(
  DATE(
    YEAR(EDATE(
      _xlfn.XLOOKUP($A2439,'RESUMEN CLIENTES'!$D:$D,'RESUMEN CLIENTES'!$Y:$Y,""),
      7 + COUNTIFS(
            $A$2:INDEX($A:$A,ROW()), $A2439,
            $H$2:INDEX($H:$H,ROW()), "ALEM"
          )
    )),
    MONTH(EDATE(
      _xlfn.XLOOKUP($A2439,'RESUMEN CLIENTES'!$D:$D,'RESUMEN CLIENTES'!$Y:$Y,""),
      7 + COUNTIFS(
            $A$2:INDEX($A:$A,ROW()), $A2439,
            $H$2:INDEX($H:$H,ROW()), "ALEM"
          )
    )),
    1
  ),
"SIN FECHA MIG"))</f>
        <v>46600</v>
      </c>
      <c r="H2439" s="169" t="s">
        <v>1876</v>
      </c>
      <c r="I2439" s="2">
        <v>800</v>
      </c>
      <c r="J2439"/>
      <c r="K2439"/>
      <c r="L2439" s="44" t="str" cm="1">
        <f t="array" ref="L2439">+_xlfn.IFS(COUNTIF(INGRESOS!E:E,Tabla6[[#This Row],[ID FACTURA]])=1,"PAGADA",Tabla6[[#This Row],[ID FACTURA]]&lt;&gt;0,"EMITIDA",Tabla6[[#This Row],[ID FACTURA]]=0,"POR EMITIR")</f>
        <v>POR EMITIR</v>
      </c>
      <c r="M2439" s="55" t="str">
        <f>+IF(Tabla6[[#This Row],[ESTADO FACTURA]]="PAGADA",Tabla6[[#This Row],[FECHA]]-_xlfn.XLOOKUP(Tabla6[[#This Row],[N° FACTURA]],INGRESOS!F:F,INGRESOS!A:A),"-")</f>
        <v>-</v>
      </c>
      <c r="O2439"/>
    </row>
    <row r="2440" spans="1:15" ht="15" customHeight="1">
      <c r="A2440" s="320" t="s">
        <v>229</v>
      </c>
      <c r="B2440" t="str">
        <f>+_xlfn.XLOOKUP(Tabla6[[#This Row],[ID CLIENTE]],'RESUMEN CLIENTES'!D:D,'RESUMEN CLIENTES'!A:A)</f>
        <v>Nathaly Gabriela Henríquez Masín</v>
      </c>
      <c r="C2440" t="str">
        <f>+_xlfn.XLOOKUP(Tabla6[[#This Row],[ID CLIENTE]],'RESUMEN CLIENTES'!D:D,'RESUMEN CLIENTES'!C:C)</f>
        <v>El Salvador</v>
      </c>
      <c r="D2440" s="44" t="str">
        <f>+_xlfn.XLOOKUP(Tabla6[[#This Row],[ID CLIENTE]],'RESUMEN CLIENTES'!D:D,'RESUMEN CLIENTES'!M:M)</f>
        <v>OK</v>
      </c>
      <c r="E2440" s="72">
        <f>+_xlfn.XLOOKUP(Tabla6[[#This Row],[NOMBRE]],'RESUMEN CLIENTES'!A:A,'RESUMEN CLIENTES'!X:X)</f>
        <v>0.7</v>
      </c>
      <c r="F2440" s="72">
        <f>+_xlfn.XLOOKUP(Tabla6[[#This Row],[ID CLIENTE]],'RESUMEN CLIENTES'!D:D,'RESUMEN CLIENTES'!W:W)</f>
        <v>0</v>
      </c>
      <c r="G2440" s="17">
        <f>IF($H2440&lt;&gt;"ALEM","",IFERROR(
  DATE(
    YEAR(EDATE(
      _xlfn.XLOOKUP($A2440,'RESUMEN CLIENTES'!$D:$D,'RESUMEN CLIENTES'!$Y:$Y,""),
      7 + COUNTIFS(
            $A$2:INDEX($A:$A,ROW()), $A2440,
            $H$2:INDEX($H:$H,ROW()), "ALEM"
          )
    )),
    MONTH(EDATE(
      _xlfn.XLOOKUP($A2440,'RESUMEN CLIENTES'!$D:$D,'RESUMEN CLIENTES'!$Y:$Y,""),
      7 + COUNTIFS(
            $A$2:INDEX($A:$A,ROW()), $A2440,
            $H$2:INDEX($H:$H,ROW()), "ALEM"
          )
    )),
    1
  ),
"SIN FECHA MIG"))</f>
        <v>46600</v>
      </c>
      <c r="H2440" s="44" t="s">
        <v>1876</v>
      </c>
      <c r="I2440" s="2">
        <v>500</v>
      </c>
      <c r="J2440"/>
      <c r="K2440"/>
      <c r="L2440" s="44" t="str" cm="1">
        <f t="array" ref="L2440">+_xlfn.IFS(COUNTIF(INGRESOS!E:E,Tabla6[[#This Row],[ID FACTURA]])=1,"PAGADA",Tabla6[[#This Row],[ID FACTURA]]&lt;&gt;0,"EMITIDA",Tabla6[[#This Row],[ID FACTURA]]=0,"POR EMITIR")</f>
        <v>POR EMITIR</v>
      </c>
      <c r="M2440" s="55" t="str">
        <f>+IF(Tabla6[[#This Row],[ESTADO FACTURA]]="PAGADA",Tabla6[[#This Row],[FECHA]]-_xlfn.XLOOKUP(Tabla6[[#This Row],[N° FACTURA]],INGRESOS!F:F,INGRESOS!A:A),"-")</f>
        <v>-</v>
      </c>
      <c r="N2440" s="2"/>
      <c r="O2440"/>
    </row>
    <row r="2441" spans="1:15" ht="15" customHeight="1">
      <c r="A2441" s="320" t="s">
        <v>695</v>
      </c>
      <c r="B2441" t="str">
        <f>+_xlfn.XLOOKUP(Tabla6[[#This Row],[ID CLIENTE]],'RESUMEN CLIENTES'!D:D,'RESUMEN CLIENTES'!A:A)</f>
        <v>Olguer Ariel Pruna Herrera</v>
      </c>
      <c r="C2441" t="str">
        <f>+_xlfn.XLOOKUP(Tabla6[[#This Row],[ID CLIENTE]],'RESUMEN CLIENTES'!D:D,'RESUMEN CLIENTES'!C:C)</f>
        <v>Ecuador</v>
      </c>
      <c r="D2441" s="44" t="str">
        <f>+_xlfn.XLOOKUP(Tabla6[[#This Row],[ID CLIENTE]],'RESUMEN CLIENTES'!D:D,'RESUMEN CLIENTES'!M:M)</f>
        <v>OK</v>
      </c>
      <c r="E2441" s="72">
        <f>+_xlfn.XLOOKUP(Tabla6[[#This Row],[NOMBRE]],'RESUMEN CLIENTES'!A:A,'RESUMEN CLIENTES'!X:X)</f>
        <v>0.25</v>
      </c>
      <c r="F2441" s="72">
        <f>+_xlfn.XLOOKUP(Tabla6[[#This Row],[ID CLIENTE]],'RESUMEN CLIENTES'!D:D,'RESUMEN CLIENTES'!W:W)</f>
        <v>1</v>
      </c>
      <c r="G2441" s="17">
        <f>IF($H2441&lt;&gt;"ALEM","",IFERROR(
  DATE(
    YEAR(EDATE(
      _xlfn.XLOOKUP($A2441,'RESUMEN CLIENTES'!$D:$D,'RESUMEN CLIENTES'!$Y:$Y,""),
      7 + COUNTIFS(
            $A$2:INDEX($A:$A,ROW()), $A2441,
            $H$2:INDEX($H:$H,ROW()), "ALEM"
          )
    )),
    MONTH(EDATE(
      _xlfn.XLOOKUP($A2441,'RESUMEN CLIENTES'!$D:$D,'RESUMEN CLIENTES'!$Y:$Y,""),
      7 + COUNTIFS(
            $A$2:INDEX($A:$A,ROW()), $A2441,
            $H$2:INDEX($H:$H,ROW()), "ALEM"
          )
    )),
    1
  ),
"SIN FECHA MIG"))</f>
        <v>46600</v>
      </c>
      <c r="H2441" s="44" t="s">
        <v>1876</v>
      </c>
      <c r="I2441" s="2">
        <v>1000</v>
      </c>
      <c r="J2441"/>
      <c r="K2441"/>
      <c r="L2441" s="44" t="str" cm="1">
        <f t="array" ref="L2441">+_xlfn.IFS(COUNTIF(INGRESOS!E:E,Tabla6[[#This Row],[ID FACTURA]])=1,"PAGADA",Tabla6[[#This Row],[ID FACTURA]]&lt;&gt;0,"EMITIDA",Tabla6[[#This Row],[ID FACTURA]]=0,"POR EMITIR")</f>
        <v>POR EMITIR</v>
      </c>
      <c r="M2441" s="55" t="str">
        <f>+IF(Tabla6[[#This Row],[ESTADO FACTURA]]="PAGADA",Tabla6[[#This Row],[FECHA]]-_xlfn.XLOOKUP(Tabla6[[#This Row],[N° FACTURA]],INGRESOS!F:F,INGRESOS!A:A),"-")</f>
        <v>-</v>
      </c>
      <c r="N2441" s="2"/>
      <c r="O2441" t="s">
        <v>2084</v>
      </c>
    </row>
    <row r="2442" spans="1:15" ht="15" customHeight="1">
      <c r="A2442" s="320" t="s">
        <v>855</v>
      </c>
      <c r="B2442" t="str">
        <f>+_xlfn.XLOOKUP(Tabla6[[#This Row],[ID CLIENTE]],'RESUMEN CLIENTES'!D:D,'RESUMEN CLIENTES'!A:A)</f>
        <v>Paula Ida Elisa Saris Sommer</v>
      </c>
      <c r="C2442" t="str">
        <f>+_xlfn.XLOOKUP(Tabla6[[#This Row],[ID CLIENTE]],'RESUMEN CLIENTES'!D:D,'RESUMEN CLIENTES'!C:C)</f>
        <v>Argentina</v>
      </c>
      <c r="D2442" s="44" t="str">
        <f>+_xlfn.XLOOKUP(Tabla6[[#This Row],[ID CLIENTE]],'RESUMEN CLIENTES'!D:D,'RESUMEN CLIENTES'!M:M)</f>
        <v>OK</v>
      </c>
      <c r="E2442" s="72">
        <f>+_xlfn.XLOOKUP(Tabla6[[#This Row],[NOMBRE]],'RESUMEN CLIENTES'!A:A,'RESUMEN CLIENTES'!X:X)</f>
        <v>-8.7894736842105257</v>
      </c>
      <c r="F2442" s="72">
        <f>+_xlfn.XLOOKUP(Tabla6[[#This Row],[ID CLIENTE]],'RESUMEN CLIENTES'!D:D,'RESUMEN CLIENTES'!W:W)</f>
        <v>0</v>
      </c>
      <c r="G2442" s="17">
        <f>IF($H2442&lt;&gt;"ALEM","",IFERROR(
  DATE(
    YEAR(EDATE(
      _xlfn.XLOOKUP($A2442,'RESUMEN CLIENTES'!$D:$D,'RESUMEN CLIENTES'!$Y:$Y,""),
      7 + COUNTIFS(
            $A$2:INDEX($A:$A,ROW()), $A2442,
            $H$2:INDEX($H:$H,ROW()), "ALEM"
          )
    )),
    MONTH(EDATE(
      _xlfn.XLOOKUP($A2442,'RESUMEN CLIENTES'!$D:$D,'RESUMEN CLIENTES'!$Y:$Y,""),
      7 + COUNTIFS(
            $A$2:INDEX($A:$A,ROW()), $A2442,
            $H$2:INDEX($H:$H,ROW()), "ALEM"
          )
    )),
    1
  ),
"SIN FECHA MIG"))</f>
        <v>46600</v>
      </c>
      <c r="H2442" s="44" t="s">
        <v>1876</v>
      </c>
      <c r="I2442" s="2">
        <v>1000</v>
      </c>
      <c r="J2442"/>
      <c r="K2442"/>
      <c r="L2442" s="44" t="str" cm="1">
        <f t="array" ref="L2442">+_xlfn.IFS(COUNTIF(INGRESOS!E:E,Tabla6[[#This Row],[ID FACTURA]])=1,"PAGADA",Tabla6[[#This Row],[ID FACTURA]]&lt;&gt;0,"EMITIDA",Tabla6[[#This Row],[ID FACTURA]]=0,"POR EMITIR")</f>
        <v>POR EMITIR</v>
      </c>
      <c r="M2442" s="55" t="str">
        <f>+IF(Tabla6[[#This Row],[ESTADO FACTURA]]="PAGADA",Tabla6[[#This Row],[FECHA]]-_xlfn.XLOOKUP(Tabla6[[#This Row],[N° FACTURA]],INGRESOS!F:F,INGRESOS!A:A),"-")</f>
        <v>-</v>
      </c>
      <c r="N2442" s="2"/>
      <c r="O2442" t="s">
        <v>2084</v>
      </c>
    </row>
    <row r="2443" spans="1:15" ht="15" customHeight="1">
      <c r="A2443" s="321" t="s">
        <v>1881</v>
      </c>
      <c r="B2443" t="str">
        <f>+_xlfn.XLOOKUP(Tabla6[[#This Row],[ID CLIENTE]],'RESUMEN CLIENTES'!D:D,'RESUMEN CLIENTES'!A:A)</f>
        <v>Paulina Alejandra Silva Gómez</v>
      </c>
      <c r="C2443" t="str">
        <f>+_xlfn.XLOOKUP(Tabla6[[#This Row],[ID CLIENTE]],'RESUMEN CLIENTES'!D:D,'RESUMEN CLIENTES'!C:C)</f>
        <v>Chile</v>
      </c>
      <c r="D2443" s="169" t="str">
        <f>+_xlfn.XLOOKUP(Tabla6[[#This Row],[ID CLIENTE]],'RESUMEN CLIENTES'!D:D,'RESUMEN CLIENTES'!M:M)</f>
        <v>¡REGULARIZAR!</v>
      </c>
      <c r="E2443" s="71">
        <f>+_xlfn.XLOOKUP(Tabla6[[#This Row],[NOMBRE]],'RESUMEN CLIENTES'!A:A,'RESUMEN CLIENTES'!X:X)</f>
        <v>-6.833333333333333</v>
      </c>
      <c r="F2443" s="71">
        <f>+_xlfn.XLOOKUP(Tabla6[[#This Row],[ID CLIENTE]],'RESUMEN CLIENTES'!D:D,'RESUMEN CLIENTES'!W:W)</f>
        <v>0</v>
      </c>
      <c r="G2443" s="17">
        <f>IF($H2443&lt;&gt;"ALEM","",IFERROR(
  DATE(
    YEAR(EDATE(
      _xlfn.XLOOKUP($A2443,'RESUMEN CLIENTES'!$D:$D,'RESUMEN CLIENTES'!$Y:$Y,""),
      7 + COUNTIFS(
            $A$2:INDEX($A:$A,ROW()), $A2443,
            $H$2:INDEX($H:$H,ROW()), "ALEM"
          )
    )),
    MONTH(EDATE(
      _xlfn.XLOOKUP($A2443,'RESUMEN CLIENTES'!$D:$D,'RESUMEN CLIENTES'!$Y:$Y,""),
      7 + COUNTIFS(
            $A$2:INDEX($A:$A,ROW()), $A2443,
            $H$2:INDEX($H:$H,ROW()), "ALEM"
          )
    )),
    1
  ),
"null"))</f>
        <v>46600</v>
      </c>
      <c r="H2443" s="169" t="s">
        <v>1876</v>
      </c>
      <c r="I2443" s="2">
        <v>800</v>
      </c>
      <c r="J2443"/>
      <c r="K2443"/>
      <c r="L2443" s="44" t="str" cm="1">
        <f t="array" ref="L2443">+_xlfn.IFS(COUNTIF(INGRESOS!E:E,Tabla6[[#This Row],[ID FACTURA]])=1,"PAGADA",Tabla6[[#This Row],[ID FACTURA]]&lt;&gt;0,"EMITIDA",Tabla6[[#This Row],[ID FACTURA]]=0,"POR EMITIR")</f>
        <v>POR EMITIR</v>
      </c>
      <c r="M2443" s="54" t="str">
        <f>+IF(Tabla6[[#This Row],[ESTADO FACTURA]]="PAGADA",Tabla6[[#This Row],[FECHA]]-_xlfn.XLOOKUP(Tabla6[[#This Row],[N° FACTURA]],INGRESOS!F:F,INGRESOS!A:A),"-")</f>
        <v>-</v>
      </c>
      <c r="O2443" t="s">
        <v>2092</v>
      </c>
    </row>
    <row r="2444" spans="1:15" ht="15" customHeight="1">
      <c r="A2444" s="320" t="s">
        <v>994</v>
      </c>
      <c r="B2444" t="str">
        <f>+_xlfn.XLOOKUP(Tabla6[[#This Row],[ID CLIENTE]],'RESUMEN CLIENTES'!D:D,'RESUMEN CLIENTES'!A:A)</f>
        <v>Raúl Ernesto Martínez Orantes</v>
      </c>
      <c r="C2444" t="str">
        <f>+_xlfn.XLOOKUP(Tabla6[[#This Row],[ID CLIENTE]],'RESUMEN CLIENTES'!D:D,'RESUMEN CLIENTES'!C:C)</f>
        <v>El Salvador</v>
      </c>
      <c r="D2444" s="44" t="str">
        <f>+_xlfn.XLOOKUP(Tabla6[[#This Row],[ID CLIENTE]],'RESUMEN CLIENTES'!D:D,'RESUMEN CLIENTES'!M:M)</f>
        <v>OK</v>
      </c>
      <c r="E2444" s="72">
        <f>+_xlfn.XLOOKUP(Tabla6[[#This Row],[NOMBRE]],'RESUMEN CLIENTES'!A:A,'RESUMEN CLIENTES'!X:X)</f>
        <v>1.1428571428571428</v>
      </c>
      <c r="F2444" s="72">
        <f>+_xlfn.XLOOKUP(Tabla6[[#This Row],[ID CLIENTE]],'RESUMEN CLIENTES'!D:D,'RESUMEN CLIENTES'!W:W)</f>
        <v>1</v>
      </c>
      <c r="G2444" s="17">
        <f>IF($H2444&lt;&gt;"ALEM","",IFERROR(
  DATE(
    YEAR(EDATE(
      _xlfn.XLOOKUP($A2444,'RESUMEN CLIENTES'!$D:$D,'RESUMEN CLIENTES'!$Y:$Y,""),
      7 + COUNTIFS(
            $A$2:INDEX($A:$A,ROW()), $A2444,
            $H$2:INDEX($H:$H,ROW()), "ALEM"
          )
    )),
    MONTH(EDATE(
      _xlfn.XLOOKUP($A2444,'RESUMEN CLIENTES'!$D:$D,'RESUMEN CLIENTES'!$Y:$Y,""),
      7 + COUNTIFS(
            $A$2:INDEX($A:$A,ROW()), $A2444,
            $H$2:INDEX($H:$H,ROW()), "ALEM"
          )
    )),
    1
  ),
"SIN FECHA MIG"))</f>
        <v>46600</v>
      </c>
      <c r="H2444" s="44" t="s">
        <v>1876</v>
      </c>
      <c r="I2444" s="2">
        <v>800</v>
      </c>
      <c r="J2444"/>
      <c r="K2444"/>
      <c r="L2444" s="44" t="str" cm="1">
        <f t="array" ref="L2444">+_xlfn.IFS(COUNTIF(INGRESOS!E:E,Tabla6[[#This Row],[ID FACTURA]])=1,"PAGADA",Tabla6[[#This Row],[ID FACTURA]]&lt;&gt;0,"EMITIDA",Tabla6[[#This Row],[ID FACTURA]]=0,"POR EMITIR")</f>
        <v>POR EMITIR</v>
      </c>
      <c r="M2444" s="55" t="str">
        <f>+IF(Tabla6[[#This Row],[ESTADO FACTURA]]="PAGADA",Tabla6[[#This Row],[FECHA]]-_xlfn.XLOOKUP(Tabla6[[#This Row],[N° FACTURA]],INGRESOS!F:F,INGRESOS!A:A),"-")</f>
        <v>-</v>
      </c>
      <c r="N2444" s="2"/>
      <c r="O2444"/>
    </row>
    <row r="2445" spans="1:15" ht="15" customHeight="1">
      <c r="A2445" s="320" t="s">
        <v>1152</v>
      </c>
      <c r="B2445" t="str">
        <f>+_xlfn.XLOOKUP(Tabla6[[#This Row],[ID CLIENTE]],'RESUMEN CLIENTES'!D:D,'RESUMEN CLIENTES'!A:A)</f>
        <v>Ricardo Ernesto Miño Valencia</v>
      </c>
      <c r="C2445" t="str">
        <f>+_xlfn.XLOOKUP(Tabla6[[#This Row],[ID CLIENTE]],'RESUMEN CLIENTES'!D:D,'RESUMEN CLIENTES'!C:C)</f>
        <v>Ecuador</v>
      </c>
      <c r="D2445" s="44" t="str">
        <f>+_xlfn.XLOOKUP(Tabla6[[#This Row],[ID CLIENTE]],'RESUMEN CLIENTES'!D:D,'RESUMEN CLIENTES'!M:M)</f>
        <v>OK</v>
      </c>
      <c r="E2445" s="72">
        <f>+_xlfn.XLOOKUP(Tabla6[[#This Row],[NOMBRE]],'RESUMEN CLIENTES'!A:A,'RESUMEN CLIENTES'!X:X)</f>
        <v>-3.2</v>
      </c>
      <c r="F2445" s="72">
        <f>+_xlfn.XLOOKUP(Tabla6[[#This Row],[ID CLIENTE]],'RESUMEN CLIENTES'!D:D,'RESUMEN CLIENTES'!W:W)</f>
        <v>1</v>
      </c>
      <c r="G2445" s="17">
        <f>IF($H2445&lt;&gt;"ALEM","",IFERROR(
  DATE(
    YEAR(EDATE(
      _xlfn.XLOOKUP($A2445,'RESUMEN CLIENTES'!$D:$D,'RESUMEN CLIENTES'!$Y:$Y,""),
      7 + COUNTIFS(
            $A$2:INDEX($A:$A,ROW()), $A2445,
            $H$2:INDEX($H:$H,ROW()), "ALEM"
          )
    )),
    MONTH(EDATE(
      _xlfn.XLOOKUP($A2445,'RESUMEN CLIENTES'!$D:$D,'RESUMEN CLIENTES'!$Y:$Y,""),
      7 + COUNTIFS(
            $A$2:INDEX($A:$A,ROW()), $A2445,
            $H$2:INDEX($H:$H,ROW()), "ALEM"
          )
    )),
    1
  ),
"SIN FECHA MIG"))</f>
        <v>46600</v>
      </c>
      <c r="H2445" s="44" t="s">
        <v>1876</v>
      </c>
      <c r="I2445" s="2">
        <v>1000</v>
      </c>
      <c r="J2445"/>
      <c r="K2445"/>
      <c r="L2445" s="44" t="str" cm="1">
        <f t="array" ref="L2445">+_xlfn.IFS(COUNTIF(INGRESOS!E:E,Tabla6[[#This Row],[ID FACTURA]])=1,"PAGADA",Tabla6[[#This Row],[ID FACTURA]]&lt;&gt;0,"EMITIDA",Tabla6[[#This Row],[ID FACTURA]]=0,"POR EMITIR")</f>
        <v>POR EMITIR</v>
      </c>
      <c r="M2445" s="55" t="str">
        <f>+IF(Tabla6[[#This Row],[ESTADO FACTURA]]="PAGADA",Tabla6[[#This Row],[FECHA]]-_xlfn.XLOOKUP(Tabla6[[#This Row],[N° FACTURA]],INGRESOS!F:F,INGRESOS!A:A),"-")</f>
        <v>-</v>
      </c>
      <c r="N2445" s="2"/>
      <c r="O2445" t="s">
        <v>2084</v>
      </c>
    </row>
    <row r="2446" spans="1:15" ht="15" customHeight="1">
      <c r="A2446" s="320" t="s">
        <v>275</v>
      </c>
      <c r="B2446" t="str">
        <f>+_xlfn.XLOOKUP(Tabla6[[#This Row],[ID CLIENTE]],'RESUMEN CLIENTES'!D:D,'RESUMEN CLIENTES'!A:A)</f>
        <v>Rodrigo Alfonso Busse Hernández</v>
      </c>
      <c r="C2446" t="str">
        <f>+_xlfn.XLOOKUP(Tabla6[[#This Row],[ID CLIENTE]],'RESUMEN CLIENTES'!D:D,'RESUMEN CLIENTES'!C:C)</f>
        <v>Chile</v>
      </c>
      <c r="D2446" s="44" t="str">
        <f>+_xlfn.XLOOKUP(Tabla6[[#This Row],[ID CLIENTE]],'RESUMEN CLIENTES'!D:D,'RESUMEN CLIENTES'!M:M)</f>
        <v>OK</v>
      </c>
      <c r="E2446" s="72">
        <f>+_xlfn.XLOOKUP(Tabla6[[#This Row],[NOMBRE]],'RESUMEN CLIENTES'!A:A,'RESUMEN CLIENTES'!X:X)</f>
        <v>0.33333333333333331</v>
      </c>
      <c r="F2446" s="72">
        <f>+_xlfn.XLOOKUP(Tabla6[[#This Row],[ID CLIENTE]],'RESUMEN CLIENTES'!D:D,'RESUMEN CLIENTES'!W:W)</f>
        <v>1</v>
      </c>
      <c r="G2446" s="17">
        <f>IF($H2446&lt;&gt;"ALEM","",IFERROR(
  DATE(
    YEAR(EDATE(
      _xlfn.XLOOKUP($A2446,'RESUMEN CLIENTES'!$D:$D,'RESUMEN CLIENTES'!$Y:$Y,""),
      7 + COUNTIFS(
            $A$2:INDEX($A:$A,ROW()), $A2446,
            $H$2:INDEX($H:$H,ROW()), "ALEM"
          )
    )),
    MONTH(EDATE(
      _xlfn.XLOOKUP($A2446,'RESUMEN CLIENTES'!$D:$D,'RESUMEN CLIENTES'!$Y:$Y,""),
      7 + COUNTIFS(
            $A$2:INDEX($A:$A,ROW()), $A2446,
            $H$2:INDEX($H:$H,ROW()), "ALEM"
          )
    )),
    1
  ),
"SIN FECHA MIG"))</f>
        <v>46600</v>
      </c>
      <c r="H2446" s="44" t="s">
        <v>1876</v>
      </c>
      <c r="I2446" s="2">
        <v>750</v>
      </c>
      <c r="J2446"/>
      <c r="K2446"/>
      <c r="L2446" s="44" t="str" cm="1">
        <f t="array" ref="L2446">+_xlfn.IFS(COUNTIF(INGRESOS!E:E,Tabla6[[#This Row],[ID FACTURA]])=1,"PAGADA",Tabla6[[#This Row],[ID FACTURA]]&lt;&gt;0,"EMITIDA",Tabla6[[#This Row],[ID FACTURA]]=0,"POR EMITIR")</f>
        <v>POR EMITIR</v>
      </c>
      <c r="M2446" s="55" t="str">
        <f>+IF(Tabla6[[#This Row],[ESTADO FACTURA]]="PAGADA",Tabla6[[#This Row],[FECHA]]-_xlfn.XLOOKUP(Tabla6[[#This Row],[N° FACTURA]],INGRESOS!F:F,INGRESOS!A:A),"-")</f>
        <v>-</v>
      </c>
      <c r="N2446" s="2"/>
      <c r="O2446" t="s">
        <v>2084</v>
      </c>
    </row>
    <row r="2447" spans="1:15" ht="15" customHeight="1">
      <c r="A2447" s="320" t="s">
        <v>460</v>
      </c>
      <c r="B2447" t="str">
        <f>+_xlfn.XLOOKUP(Tabla6[[#This Row],[ID CLIENTE]],'RESUMEN CLIENTES'!D:D,'RESUMEN CLIENTES'!A:A)</f>
        <v>Valeria Carolina Heredia Peña</v>
      </c>
      <c r="C2447" t="str">
        <f>+_xlfn.XLOOKUP(Tabla6[[#This Row],[ID CLIENTE]],'RESUMEN CLIENTES'!D:D,'RESUMEN CLIENTES'!C:C)</f>
        <v>Bolivia</v>
      </c>
      <c r="D2447" s="44" t="str">
        <f>+_xlfn.XLOOKUP(Tabla6[[#This Row],[ID CLIENTE]],'RESUMEN CLIENTES'!D:D,'RESUMEN CLIENTES'!M:M)</f>
        <v>OK</v>
      </c>
      <c r="E2447" s="72">
        <f>+_xlfn.XLOOKUP(Tabla6[[#This Row],[NOMBRE]],'RESUMEN CLIENTES'!A:A,'RESUMEN CLIENTES'!X:X)</f>
        <v>2.5</v>
      </c>
      <c r="F2447" s="72">
        <f>+_xlfn.XLOOKUP(Tabla6[[#This Row],[ID CLIENTE]],'RESUMEN CLIENTES'!D:D,'RESUMEN CLIENTES'!W:W)</f>
        <v>0</v>
      </c>
      <c r="G2447" s="17">
        <f>IF($H2447&lt;&gt;"ALEM","",IFERROR(
  DATE(
    YEAR(EDATE(
      _xlfn.XLOOKUP($A2447,'RESUMEN CLIENTES'!$D:$D,'RESUMEN CLIENTES'!$Y:$Y,""),
      7 + COUNTIFS(
            $A$2:INDEX($A:$A,ROW()), $A2447,
            $H$2:INDEX($H:$H,ROW()), "ALEM"
          )
    )),
    MONTH(EDATE(
      _xlfn.XLOOKUP($A2447,'RESUMEN CLIENTES'!$D:$D,'RESUMEN CLIENTES'!$Y:$Y,""),
      7 + COUNTIFS(
            $A$2:INDEX($A:$A,ROW()), $A2447,
            $H$2:INDEX($H:$H,ROW()), "ALEM"
          )
    )),
    1
  ),
"SIN FECHA MIG"))</f>
        <v>46600</v>
      </c>
      <c r="H2447" s="44" t="s">
        <v>1876</v>
      </c>
      <c r="I2447" s="2">
        <v>1000</v>
      </c>
      <c r="J2447"/>
      <c r="K2447"/>
      <c r="L2447" s="44" t="str" cm="1">
        <f t="array" ref="L2447">+_xlfn.IFS(COUNTIF(INGRESOS!E:E,Tabla6[[#This Row],[ID FACTURA]])=1,"PAGADA",Tabla6[[#This Row],[ID FACTURA]]&lt;&gt;0,"EMITIDA",Tabla6[[#This Row],[ID FACTURA]]=0,"POR EMITIR")</f>
        <v>POR EMITIR</v>
      </c>
      <c r="M2447" s="55" t="str">
        <f>+IF(Tabla6[[#This Row],[ESTADO FACTURA]]="PAGADA",Tabla6[[#This Row],[FECHA]]-_xlfn.XLOOKUP(Tabla6[[#This Row],[N° FACTURA]],INGRESOS!F:F,INGRESOS!A:A),"-")</f>
        <v>-</v>
      </c>
      <c r="N2447" s="2"/>
      <c r="O2447"/>
    </row>
    <row r="2448" spans="1:15" ht="15" customHeight="1">
      <c r="A2448" s="320" t="s">
        <v>6696</v>
      </c>
      <c r="B2448" t="str">
        <f>+_xlfn.XLOOKUP(Tabla6[[#This Row],[ID CLIENTE]],'RESUMEN CLIENTES'!D:D,'RESUMEN CLIENTES'!A:A)</f>
        <v>Stiben Lopez Vargas</v>
      </c>
      <c r="C2448" s="15" t="str">
        <f>+_xlfn.XLOOKUP(Tabla6[[#This Row],[ID CLIENTE]],'RESUMEN CLIENTES'!D:D,'RESUMEN CLIENTES'!C:C)</f>
        <v>Colombia</v>
      </c>
      <c r="D2448" s="169" t="str">
        <f>+_xlfn.XLOOKUP(Tabla6[[#This Row],[ID CLIENTE]],'RESUMEN CLIENTES'!D:D,'RESUMEN CLIENTES'!M:M)</f>
        <v xml:space="preserve">TRASPASAR </v>
      </c>
      <c r="E2448" s="71">
        <f>+_xlfn.XLOOKUP(Tabla6[[#This Row],[NOMBRE]],'RESUMEN CLIENTES'!A:A,'RESUMEN CLIENTES'!X:X)</f>
        <v>58</v>
      </c>
      <c r="F2448" s="71">
        <f>+_xlfn.XLOOKUP(Tabla6[[#This Row],[ID CLIENTE]],'RESUMEN CLIENTES'!D:D,'RESUMEN CLIENTES'!W:W)</f>
        <v>0</v>
      </c>
      <c r="G2448" s="17">
        <f>IF($H2448&lt;&gt;"ALEM","",IFERROR(
  DATE(
    YEAR(EDATE(
      _xlfn.XLOOKUP($A2448,'RESUMEN CLIENTES'!$D:$D,'RESUMEN CLIENTES'!$Y:$Y,""),
      7 + COUNTIFS(
            $A$2:INDEX($A:$A,ROW()), $A2448,
            $H$2:INDEX($H:$H,ROW()), "ALEM"
          )
    )),
    MONTH(EDATE(
      _xlfn.XLOOKUP($A2448,'RESUMEN CLIENTES'!$D:$D,'RESUMEN CLIENTES'!$Y:$Y,""),
      7 + COUNTIFS(
            $A$2:INDEX($A:$A,ROW()), $A2448,
            $H$2:INDEX($H:$H,ROW()), "ALEM"
          )
    )),
    1
  ),
"null"))</f>
        <v>46600</v>
      </c>
      <c r="H2448" s="169" t="s">
        <v>1876</v>
      </c>
      <c r="I2448" s="2">
        <v>1000</v>
      </c>
      <c r="J2448"/>
      <c r="K2448"/>
      <c r="L2448" s="44" t="str" cm="1">
        <f t="array" ref="L2448">+_xlfn.IFS(COUNTIF(INGRESOS!E:E,Tabla6[[#This Row],[ID FACTURA]])=1,"PAGADA",Tabla6[[#This Row],[ID FACTURA]]&lt;&gt;0,"EMITIDA",Tabla6[[#This Row],[ID FACTURA]]=0,"POR EMITIR")</f>
        <v>POR EMITIR</v>
      </c>
      <c r="M2448" s="54" t="str">
        <f>+IF(Tabla6[[#This Row],[ESTADO FACTURA]]="PAGADA",Tabla6[[#This Row],[FECHA]]-_xlfn.XLOOKUP(Tabla6[[#This Row],[N° FACTURA]],INGRESOS!F:F,INGRESOS!A:A),"-")</f>
        <v>-</v>
      </c>
      <c r="O2448"/>
    </row>
    <row r="2449" spans="1:15" ht="15" customHeight="1">
      <c r="A2449" s="320" t="s">
        <v>2521</v>
      </c>
      <c r="B2449" t="str">
        <f>+_xlfn.XLOOKUP(Tabla6[[#This Row],[ID CLIENTE]],'RESUMEN CLIENTES'!D:D,'RESUMEN CLIENTES'!A:A)</f>
        <v>Fabián Andrés Sarmiento Auli</v>
      </c>
      <c r="C2449" t="str">
        <f>+_xlfn.XLOOKUP(Tabla6[[#This Row],[ID CLIENTE]],'RESUMEN CLIENTES'!D:D,'RESUMEN CLIENTES'!C:C)</f>
        <v>Colombia</v>
      </c>
      <c r="D2449" s="169" t="str">
        <f>+_xlfn.XLOOKUP(Tabla6[[#This Row],[ID CLIENTE]],'RESUMEN CLIENTES'!D:D,'RESUMEN CLIENTES'!M:M)</f>
        <v>OK</v>
      </c>
      <c r="E2449" s="71">
        <f>+_xlfn.XLOOKUP(Tabla6[[#This Row],[NOMBRE]],'RESUMEN CLIENTES'!A:A,'RESUMEN CLIENTES'!X:X)</f>
        <v>0</v>
      </c>
      <c r="F2449" s="71">
        <f>+_xlfn.XLOOKUP(Tabla6[[#This Row],[ID CLIENTE]],'RESUMEN CLIENTES'!D:D,'RESUMEN CLIENTES'!W:W)</f>
        <v>0</v>
      </c>
      <c r="G2449" s="17">
        <v>46604</v>
      </c>
      <c r="H2449" s="169" t="s">
        <v>81</v>
      </c>
      <c r="I2449" s="2">
        <v>650</v>
      </c>
      <c r="J2449"/>
      <c r="K2449"/>
      <c r="L2449" s="44" t="str" cm="1">
        <f t="array" ref="L2449">+_xlfn.IFS(COUNTIF(INGRESOS!E:E,Tabla6[[#This Row],[ID FACTURA]])=1,"PAGADA",Tabla6[[#This Row],[ID FACTURA]]&lt;&gt;0,"EMITIDA",Tabla6[[#This Row],[ID FACTURA]]=0,"POR EMITIR")</f>
        <v>POR EMITIR</v>
      </c>
      <c r="M2449" s="54" t="str">
        <f>+IF(Tabla6[[#This Row],[ESTADO FACTURA]]="PAGADA",Tabla6[[#This Row],[FECHA]]-_xlfn.XLOOKUP(Tabla6[[#This Row],[N° FACTURA]],INGRESOS!F:F,INGRESOS!A:A),"-")</f>
        <v>-</v>
      </c>
      <c r="O2449"/>
    </row>
    <row r="2450" spans="1:15" ht="15" customHeight="1">
      <c r="A2450" s="320" t="s">
        <v>1416</v>
      </c>
      <c r="B2450" t="str">
        <f>+_xlfn.XLOOKUP(Tabla6[[#This Row],[ID CLIENTE]],'RESUMEN CLIENTES'!D:D,'RESUMEN CLIENTES'!A:A)</f>
        <v>Luis Armando Calderon Manzanera</v>
      </c>
      <c r="C2450" t="str">
        <f>+_xlfn.XLOOKUP(Tabla6[[#This Row],[ID CLIENTE]],'RESUMEN CLIENTES'!D:D,'RESUMEN CLIENTES'!C:C)</f>
        <v>México</v>
      </c>
      <c r="D2450" s="44" t="str">
        <f>+_xlfn.XLOOKUP(Tabla6[[#This Row],[ID CLIENTE]],'RESUMEN CLIENTES'!D:D,'RESUMEN CLIENTES'!M:M)</f>
        <v>OK</v>
      </c>
      <c r="E2450" s="71">
        <f>+_xlfn.XLOOKUP(Tabla6[[#This Row],[NOMBRE]],'RESUMEN CLIENTES'!A:A,'RESUMEN CLIENTES'!X:X)</f>
        <v>2</v>
      </c>
      <c r="F2450" s="71">
        <f>+_xlfn.XLOOKUP(Tabla6[[#This Row],[ID CLIENTE]],'RESUMEN CLIENTES'!D:D,'RESUMEN CLIENTES'!W:W)</f>
        <v>1</v>
      </c>
      <c r="G2450" s="17">
        <v>46604</v>
      </c>
      <c r="H2450" s="44" t="s">
        <v>81</v>
      </c>
      <c r="I2450" s="2">
        <v>650</v>
      </c>
      <c r="J2450"/>
      <c r="K2450"/>
      <c r="L2450" s="44" t="str" cm="1">
        <f t="array" ref="L2450">+_xlfn.IFS(COUNTIF(INGRESOS!E:E,Tabla6[[#This Row],[ID FACTURA]])=1,"PAGADA",Tabla6[[#This Row],[ID FACTURA]]&lt;&gt;0,"EMITIDA",Tabla6[[#This Row],[ID FACTURA]]=0,"POR EMITIR")</f>
        <v>POR EMITIR</v>
      </c>
      <c r="M2450" s="55" t="str">
        <f>+IF(Tabla6[[#This Row],[ESTADO FACTURA]]="PAGADA",Tabla6[[#This Row],[FECHA]]-_xlfn.XLOOKUP(Tabla6[[#This Row],[N° FACTURA]],INGRESOS!F:F,INGRESOS!A:A),"-")</f>
        <v>-</v>
      </c>
      <c r="N2450" s="2"/>
      <c r="O2450"/>
    </row>
    <row r="2451" spans="1:15" ht="15" customHeight="1">
      <c r="A2451" s="320" t="s">
        <v>703</v>
      </c>
      <c r="B2451" t="str">
        <f>+_xlfn.XLOOKUP(Tabla6[[#This Row],[ID CLIENTE]],'RESUMEN CLIENTES'!D:D,'RESUMEN CLIENTES'!A:A)</f>
        <v>Maira Paz Navas Sánchez</v>
      </c>
      <c r="C2451" t="str">
        <f>+_xlfn.XLOOKUP(Tabla6[[#This Row],[ID CLIENTE]],'RESUMEN CLIENTES'!D:D,'RESUMEN CLIENTES'!C:C)</f>
        <v>Chile</v>
      </c>
      <c r="D2451" s="44" t="str">
        <f>+_xlfn.XLOOKUP(Tabla6[[#This Row],[ID CLIENTE]],'RESUMEN CLIENTES'!D:D,'RESUMEN CLIENTES'!M:M)</f>
        <v>OK</v>
      </c>
      <c r="E2451" s="72">
        <f>+_xlfn.XLOOKUP(Tabla6[[#This Row],[NOMBRE]],'RESUMEN CLIENTES'!A:A,'RESUMEN CLIENTES'!X:X)</f>
        <v>-1.75</v>
      </c>
      <c r="F2451" s="72">
        <f>+_xlfn.XLOOKUP(Tabla6[[#This Row],[ID CLIENTE]],'RESUMEN CLIENTES'!D:D,'RESUMEN CLIENTES'!W:W)</f>
        <v>1</v>
      </c>
      <c r="G2451" s="17">
        <v>46604</v>
      </c>
      <c r="H2451" s="44" t="s">
        <v>81</v>
      </c>
      <c r="I2451" s="2">
        <v>700</v>
      </c>
      <c r="J2451"/>
      <c r="K2451"/>
      <c r="L2451" s="44" t="str" cm="1">
        <f t="array" ref="L2451">+_xlfn.IFS(COUNTIF(INGRESOS!E:E,Tabla6[[#This Row],[ID FACTURA]])=1,"PAGADA",Tabla6[[#This Row],[ID FACTURA]]&lt;&gt;0,"EMITIDA",Tabla6[[#This Row],[ID FACTURA]]=0,"POR EMITIR")</f>
        <v>POR EMITIR</v>
      </c>
      <c r="M2451" s="55" t="str">
        <f>+IF(Tabla6[[#This Row],[ESTADO FACTURA]]="PAGADA",Tabla6[[#This Row],[FECHA]]-_xlfn.XLOOKUP(Tabla6[[#This Row],[N° FACTURA]],INGRESOS!F:F,INGRESOS!A:A),"-")</f>
        <v>-</v>
      </c>
      <c r="N2451" s="2"/>
      <c r="O2451"/>
    </row>
    <row r="2452" spans="1:15" ht="15" customHeight="1">
      <c r="A2452" s="320" t="s">
        <v>1945</v>
      </c>
      <c r="B2452" t="str">
        <f>+_xlfn.XLOOKUP(Tabla6[[#This Row],[ID CLIENTE]],'RESUMEN CLIENTES'!D:D,'RESUMEN CLIENTES'!A:A)</f>
        <v>Fernanda Constanza Kompai Antu Arellano Guzmán</v>
      </c>
      <c r="C2452" t="str">
        <f>+_xlfn.XLOOKUP(Tabla6[[#This Row],[ID CLIENTE]],'RESUMEN CLIENTES'!D:D,'RESUMEN CLIENTES'!C:C)</f>
        <v>Chile</v>
      </c>
      <c r="D2452" s="169" t="str">
        <f>+_xlfn.XLOOKUP(Tabla6[[#This Row],[ID CLIENTE]],'RESUMEN CLIENTES'!D:D,'RESUMEN CLIENTES'!M:M)</f>
        <v>OK</v>
      </c>
      <c r="E2452" s="71">
        <f>+_xlfn.XLOOKUP(Tabla6[[#This Row],[NOMBRE]],'RESUMEN CLIENTES'!A:A,'RESUMEN CLIENTES'!X:X)</f>
        <v>0</v>
      </c>
      <c r="F2452" s="71">
        <f>+_xlfn.XLOOKUP(Tabla6[[#This Row],[ID CLIENTE]],'RESUMEN CLIENTES'!D:D,'RESUMEN CLIENTES'!W:W)</f>
        <v>0</v>
      </c>
      <c r="G2452" s="170">
        <v>46614</v>
      </c>
      <c r="H2452" s="170" t="s">
        <v>81</v>
      </c>
      <c r="I2452" s="2">
        <v>650</v>
      </c>
      <c r="J2452"/>
      <c r="K2452"/>
      <c r="L2452" s="44" t="str" cm="1">
        <f t="array" ref="L2452">+_xlfn.IFS(COUNTIF(INGRESOS!E:E,Tabla6[[#This Row],[ID FACTURA]])=1,"PAGADA",Tabla6[[#This Row],[ID FACTURA]]&lt;&gt;0,"EMITIDA",Tabla6[[#This Row],[ID FACTURA]]=0,"POR EMITIR")</f>
        <v>POR EMITIR</v>
      </c>
      <c r="M2452" s="54" t="str">
        <f>+IF(Tabla6[[#This Row],[ESTADO FACTURA]]="PAGADA",Tabla6[[#This Row],[FECHA]]-_xlfn.XLOOKUP(Tabla6[[#This Row],[N° FACTURA]],INGRESOS!F:F,INGRESOS!A:A),"-")</f>
        <v>-</v>
      </c>
      <c r="O2452"/>
    </row>
    <row r="2453" spans="1:15" ht="15" customHeight="1">
      <c r="A2453" s="321" t="s">
        <v>1875</v>
      </c>
      <c r="B2453" t="str">
        <f>+_xlfn.XLOOKUP(Tabla6[[#This Row],[ID CLIENTE]],'RESUMEN CLIENTES'!D:D,'RESUMEN CLIENTES'!A:A)</f>
        <v>Laura Giraldo</v>
      </c>
      <c r="C2453" t="str">
        <f>+_xlfn.XLOOKUP(Tabla6[[#This Row],[ID CLIENTE]],'RESUMEN CLIENTES'!D:D,'RESUMEN CLIENTES'!C:C)</f>
        <v>Colombia</v>
      </c>
      <c r="D2453" s="169" t="str">
        <f>+_xlfn.XLOOKUP(Tabla6[[#This Row],[ID CLIENTE]],'RESUMEN CLIENTES'!D:D,'RESUMEN CLIENTES'!M:M)</f>
        <v>OK</v>
      </c>
      <c r="E2453" s="71">
        <f>+_xlfn.XLOOKUP(Tabla6[[#This Row],[NOMBRE]],'RESUMEN CLIENTES'!A:A,'RESUMEN CLIENTES'!X:X)</f>
        <v>-3.25</v>
      </c>
      <c r="F2453" s="71">
        <f>+_xlfn.XLOOKUP(Tabla6[[#This Row],[ID CLIENTE]],'RESUMEN CLIENTES'!D:D,'RESUMEN CLIENTES'!W:W)</f>
        <v>1</v>
      </c>
      <c r="G2453" s="17">
        <v>46614</v>
      </c>
      <c r="H2453" s="169" t="s">
        <v>1876</v>
      </c>
      <c r="I2453" s="2">
        <v>1000</v>
      </c>
      <c r="J2453"/>
      <c r="K2453"/>
      <c r="L2453" s="44" t="str" cm="1">
        <f t="array" ref="L2453">+_xlfn.IFS(COUNTIF(INGRESOS!E:E,Tabla6[[#This Row],[ID FACTURA]])=1,"PAGADA",Tabla6[[#This Row],[ID FACTURA]]&lt;&gt;0,"EMITIDA",Tabla6[[#This Row],[ID FACTURA]]=0,"POR EMITIR")</f>
        <v>POR EMITIR</v>
      </c>
      <c r="M2453" s="54" t="str">
        <f>+IF(Tabla6[[#This Row],[ESTADO FACTURA]]="PAGADA",Tabla6[[#This Row],[FECHA]]-_xlfn.XLOOKUP(Tabla6[[#This Row],[N° FACTURA]],INGRESOS!F:F,INGRESOS!A:A),"-")</f>
        <v>-</v>
      </c>
      <c r="O2453"/>
    </row>
    <row r="2454" spans="1:15" ht="15" customHeight="1">
      <c r="A2454" s="321" t="s">
        <v>1756</v>
      </c>
      <c r="B2454" t="str">
        <f>+_xlfn.XLOOKUP(Tabla6[[#This Row],[ID CLIENTE]],'RESUMEN CLIENTES'!D:D,'RESUMEN CLIENTES'!A:A)</f>
        <v>Aylin Micaela Ortiz Chiriboga</v>
      </c>
      <c r="C2454" t="str">
        <f>+_xlfn.XLOOKUP(Tabla6[[#This Row],[ID CLIENTE]],'RESUMEN CLIENTES'!D:D,'RESUMEN CLIENTES'!C:C)</f>
        <v>Ecuador</v>
      </c>
      <c r="D2454" s="169" t="str">
        <f>+_xlfn.XLOOKUP(Tabla6[[#This Row],[ID CLIENTE]],'RESUMEN CLIENTES'!D:D,'RESUMEN CLIENTES'!M:M)</f>
        <v>¡REGULARIZAR!</v>
      </c>
      <c r="E2454" s="71">
        <f>+_xlfn.XLOOKUP(Tabla6[[#This Row],[NOMBRE]],'RESUMEN CLIENTES'!A:A,'RESUMEN CLIENTES'!X:X)</f>
        <v>0</v>
      </c>
      <c r="F2454" s="71">
        <f>+_xlfn.XLOOKUP(Tabla6[[#This Row],[ID CLIENTE]],'RESUMEN CLIENTES'!D:D,'RESUMEN CLIENTES'!W:W)</f>
        <v>1</v>
      </c>
      <c r="G2454" s="170">
        <v>46615</v>
      </c>
      <c r="H2454" s="169" t="s">
        <v>81</v>
      </c>
      <c r="I2454" s="2">
        <v>650</v>
      </c>
      <c r="J2454"/>
      <c r="K2454"/>
      <c r="L2454" s="44" t="str" cm="1">
        <f t="array" ref="L2454">+_xlfn.IFS(COUNTIF(INGRESOS!E:E,Tabla6[[#This Row],[ID FACTURA]])=1,"PAGADA",Tabla6[[#This Row],[ID FACTURA]]&lt;&gt;0,"EMITIDA",Tabla6[[#This Row],[ID FACTURA]]=0,"POR EMITIR")</f>
        <v>POR EMITIR</v>
      </c>
      <c r="M2454" s="54" t="str">
        <f>+IF(Tabla6[[#This Row],[ESTADO FACTURA]]="PAGADA",Tabla6[[#This Row],[FECHA]]-_xlfn.XLOOKUP(Tabla6[[#This Row],[N° FACTURA]],INGRESOS!F:F,INGRESOS!A:A),"-")</f>
        <v>-</v>
      </c>
      <c r="O2454"/>
    </row>
    <row r="2455" spans="1:15" ht="15" customHeight="1">
      <c r="A2455" s="320" t="s">
        <v>2046</v>
      </c>
      <c r="B2455" t="str">
        <f>+_xlfn.XLOOKUP(Tabla6[[#This Row],[ID CLIENTE]],'RESUMEN CLIENTES'!D:D,'RESUMEN CLIENTES'!A:A)</f>
        <v>Jesica Daniela Paredes Mendoza</v>
      </c>
      <c r="C2455" t="str">
        <f>+_xlfn.XLOOKUP(Tabla6[[#This Row],[ID CLIENTE]],'RESUMEN CLIENTES'!D:D,'RESUMEN CLIENTES'!C:C)</f>
        <v>México</v>
      </c>
      <c r="D2455" s="169" t="str">
        <f>+_xlfn.XLOOKUP(Tabla6[[#This Row],[ID CLIENTE]],'RESUMEN CLIENTES'!D:D,'RESUMEN CLIENTES'!M:M)</f>
        <v>OK</v>
      </c>
      <c r="E2455" s="71">
        <f>+_xlfn.XLOOKUP(Tabla6[[#This Row],[NOMBRE]],'RESUMEN CLIENTES'!A:A,'RESUMEN CLIENTES'!X:X)</f>
        <v>-2.75</v>
      </c>
      <c r="F2455" s="71">
        <f>+_xlfn.XLOOKUP(Tabla6[[#This Row],[ID CLIENTE]],'RESUMEN CLIENTES'!D:D,'RESUMEN CLIENTES'!W:W)</f>
        <v>1</v>
      </c>
      <c r="G2455" s="17">
        <v>46615</v>
      </c>
      <c r="H2455" s="169" t="s">
        <v>81</v>
      </c>
      <c r="I2455" s="2">
        <v>500</v>
      </c>
      <c r="J2455"/>
      <c r="K2455"/>
      <c r="L2455" s="44" t="str" cm="1">
        <f t="array" ref="L2455">+_xlfn.IFS(COUNTIF(INGRESOS!E:E,Tabla6[[#This Row],[ID FACTURA]])=1,"PAGADA",Tabla6[[#This Row],[ID FACTURA]]&lt;&gt;0,"EMITIDA",Tabla6[[#This Row],[ID FACTURA]]=0,"POR EMITIR")</f>
        <v>POR EMITIR</v>
      </c>
      <c r="M2455" s="54" t="str">
        <f>+IF(Tabla6[[#This Row],[ESTADO FACTURA]]="PAGADA",Tabla6[[#This Row],[FECHA]]-_xlfn.XLOOKUP(Tabla6[[#This Row],[N° FACTURA]],INGRESOS!F:F,INGRESOS!A:A),"-")</f>
        <v>-</v>
      </c>
      <c r="O2455"/>
    </row>
    <row r="2456" spans="1:15" ht="15" customHeight="1">
      <c r="A2456" s="320" t="s">
        <v>739</v>
      </c>
      <c r="B2456" t="str">
        <f>+_xlfn.XLOOKUP(Tabla6[[#This Row],[ID CLIENTE]],'RESUMEN CLIENTES'!D:D,'RESUMEN CLIENTES'!A:A)</f>
        <v>Gilberto Martiñon Torres</v>
      </c>
      <c r="C2456" t="str">
        <f>+_xlfn.XLOOKUP(Tabla6[[#This Row],[ID CLIENTE]],'RESUMEN CLIENTES'!D:D,'RESUMEN CLIENTES'!C:C)</f>
        <v>México</v>
      </c>
      <c r="D2456" s="44" t="str">
        <f>+_xlfn.XLOOKUP(Tabla6[[#This Row],[ID CLIENTE]],'RESUMEN CLIENTES'!D:D,'RESUMEN CLIENTES'!M:M)</f>
        <v>OK</v>
      </c>
      <c r="E2456" s="72">
        <f>+_xlfn.XLOOKUP(Tabla6[[#This Row],[NOMBRE]],'RESUMEN CLIENTES'!A:A,'RESUMEN CLIENTES'!X:X)</f>
        <v>-0.625</v>
      </c>
      <c r="F2456" s="72">
        <f>+_xlfn.XLOOKUP(Tabla6[[#This Row],[ID CLIENTE]],'RESUMEN CLIENTES'!D:D,'RESUMEN CLIENTES'!W:W)</f>
        <v>0</v>
      </c>
      <c r="G2456" s="17">
        <v>46629</v>
      </c>
      <c r="H2456" s="44" t="s">
        <v>81</v>
      </c>
      <c r="I2456" s="2">
        <v>700</v>
      </c>
      <c r="J2456"/>
      <c r="K2456"/>
      <c r="L2456" s="44" t="str" cm="1">
        <f t="array" ref="L2456">+_xlfn.IFS(COUNTIF(INGRESOS!E:E,Tabla6[[#This Row],[ID FACTURA]])=1,"PAGADA",Tabla6[[#This Row],[ID FACTURA]]&lt;&gt;0,"EMITIDA",Tabla6[[#This Row],[ID FACTURA]]=0,"POR EMITIR")</f>
        <v>POR EMITIR</v>
      </c>
      <c r="M2456" s="55" t="str">
        <f>+IF(Tabla6[[#This Row],[ESTADO FACTURA]]="PAGADA",Tabla6[[#This Row],[FECHA]]-_xlfn.XLOOKUP(Tabla6[[#This Row],[N° FACTURA]],INGRESOS!F:F,INGRESOS!A:A),"-")</f>
        <v>-</v>
      </c>
      <c r="N2456" s="2"/>
      <c r="O2456"/>
    </row>
    <row r="2457" spans="1:15" ht="15" customHeight="1">
      <c r="A2457" s="320" t="s">
        <v>139</v>
      </c>
      <c r="B2457" t="str">
        <f>+_xlfn.XLOOKUP(Tabla6[[#This Row],[ID CLIENTE]],'RESUMEN CLIENTES'!D:D,'RESUMEN CLIENTES'!A:A)</f>
        <v>Hugo Nicolás Trávez Morales</v>
      </c>
      <c r="C2457" t="str">
        <f>+_xlfn.XLOOKUP(Tabla6[[#This Row],[ID CLIENTE]],'RESUMEN CLIENTES'!D:D,'RESUMEN CLIENTES'!C:C)</f>
        <v>Ecuador</v>
      </c>
      <c r="D2457" s="169" t="str">
        <f>+_xlfn.XLOOKUP(Tabla6[[#This Row],[ID CLIENTE]],'RESUMEN CLIENTES'!D:D,'RESUMEN CLIENTES'!M:M)</f>
        <v>OK</v>
      </c>
      <c r="E2457" s="71">
        <f>+_xlfn.XLOOKUP(Tabla6[[#This Row],[NOMBRE]],'RESUMEN CLIENTES'!A:A,'RESUMEN CLIENTES'!X:X)</f>
        <v>0</v>
      </c>
      <c r="F2457" s="71">
        <f>+_xlfn.XLOOKUP(Tabla6[[#This Row],[ID CLIENTE]],'RESUMEN CLIENTES'!D:D,'RESUMEN CLIENTES'!W:W)</f>
        <v>0</v>
      </c>
      <c r="G2457" s="17">
        <v>46629</v>
      </c>
      <c r="H2457" s="44" t="s">
        <v>81</v>
      </c>
      <c r="I2457" s="2">
        <v>1000</v>
      </c>
      <c r="J2457"/>
      <c r="K2457"/>
      <c r="L2457" s="44" t="str" cm="1">
        <f t="array" ref="L2457">+_xlfn.IFS(COUNTIF(INGRESOS!E:E,Tabla6[[#This Row],[ID FACTURA]])=1,"PAGADA",Tabla6[[#This Row],[ID FACTURA]]&lt;&gt;0,"EMITIDA",Tabla6[[#This Row],[ID FACTURA]]=0,"POR EMITIR")</f>
        <v>POR EMITIR</v>
      </c>
      <c r="M2457" s="54" t="str">
        <f>+IF(Tabla6[[#This Row],[ESTADO FACTURA]]="PAGADA",Tabla6[[#This Row],[FECHA]]-_xlfn.XLOOKUP(Tabla6[[#This Row],[N° FACTURA]],INGRESOS!F:F,INGRESOS!A:A),"-")</f>
        <v>-</v>
      </c>
      <c r="O2457"/>
    </row>
    <row r="2458" spans="1:15" ht="15" customHeight="1">
      <c r="A2458" s="320" t="s">
        <v>590</v>
      </c>
      <c r="B2458" t="str">
        <f>+_xlfn.XLOOKUP(Tabla6[[#This Row],[ID CLIENTE]],'RESUMEN CLIENTES'!D:D,'RESUMEN CLIENTES'!A:A)</f>
        <v>María Lucero de Jesús Barrios Sazo</v>
      </c>
      <c r="C2458" t="str">
        <f>+_xlfn.XLOOKUP(Tabla6[[#This Row],[ID CLIENTE]],'RESUMEN CLIENTES'!D:D,'RESUMEN CLIENTES'!C:C)</f>
        <v>Guatemala</v>
      </c>
      <c r="D2458" s="44" t="str">
        <f>+_xlfn.XLOOKUP(Tabla6[[#This Row],[ID CLIENTE]],'RESUMEN CLIENTES'!D:D,'RESUMEN CLIENTES'!M:M)</f>
        <v>OK</v>
      </c>
      <c r="E2458" s="72">
        <f>+_xlfn.XLOOKUP(Tabla6[[#This Row],[NOMBRE]],'RESUMEN CLIENTES'!A:A,'RESUMEN CLIENTES'!X:X)</f>
        <v>1.25</v>
      </c>
      <c r="F2458" s="72">
        <f>+_xlfn.XLOOKUP(Tabla6[[#This Row],[ID CLIENTE]],'RESUMEN CLIENTES'!D:D,'RESUMEN CLIENTES'!W:W)</f>
        <v>0</v>
      </c>
      <c r="G2458" s="17">
        <v>46629</v>
      </c>
      <c r="H2458" s="44" t="s">
        <v>81</v>
      </c>
      <c r="I2458" s="2">
        <v>700</v>
      </c>
      <c r="J2458"/>
      <c r="K2458"/>
      <c r="L2458" s="44" t="str" cm="1">
        <f t="array" ref="L2458">+_xlfn.IFS(COUNTIF(INGRESOS!E:E,Tabla6[[#This Row],[ID FACTURA]])=1,"PAGADA",Tabla6[[#This Row],[ID FACTURA]]&lt;&gt;0,"EMITIDA",Tabla6[[#This Row],[ID FACTURA]]=0,"POR EMITIR")</f>
        <v>POR EMITIR</v>
      </c>
      <c r="M2458" s="55" t="str">
        <f>+IF(Tabla6[[#This Row],[ESTADO FACTURA]]="PAGADA",Tabla6[[#This Row],[FECHA]]-_xlfn.XLOOKUP(Tabla6[[#This Row],[N° FACTURA]],INGRESOS!F:F,INGRESOS!A:A),"-")</f>
        <v>-</v>
      </c>
      <c r="N2458" s="2"/>
      <c r="O2458"/>
    </row>
    <row r="2459" spans="1:15" ht="15" customHeight="1">
      <c r="A2459" s="320" t="s">
        <v>527</v>
      </c>
      <c r="B2459" t="str">
        <f>+_xlfn.XLOOKUP(Tabla6[[#This Row],[ID CLIENTE]],'RESUMEN CLIENTES'!D:D,'RESUMEN CLIENTES'!A:A)</f>
        <v>Angie Pérez Cáceres</v>
      </c>
      <c r="C2459" t="str">
        <f>+_xlfn.XLOOKUP(Tabla6[[#This Row],[ID CLIENTE]],'RESUMEN CLIENTES'!D:D,'RESUMEN CLIENTES'!C:C)</f>
        <v>Perú</v>
      </c>
      <c r="D2459" s="44" t="str">
        <f>+_xlfn.XLOOKUP(Tabla6[[#This Row],[ID CLIENTE]],'RESUMEN CLIENTES'!D:D,'RESUMEN CLIENTES'!M:M)</f>
        <v>OK</v>
      </c>
      <c r="E2459" s="72">
        <f>+_xlfn.XLOOKUP(Tabla6[[#This Row],[NOMBRE]],'RESUMEN CLIENTES'!A:A,'RESUMEN CLIENTES'!X:X)</f>
        <v>1.625</v>
      </c>
      <c r="F2459" s="72">
        <f>+_xlfn.XLOOKUP(Tabla6[[#This Row],[ID CLIENTE]],'RESUMEN CLIENTES'!D:D,'RESUMEN CLIENTES'!W:W)</f>
        <v>0</v>
      </c>
      <c r="G2459" s="17">
        <f>IF($H2459&lt;&gt;"ALEM","",IFERROR(
  DATE(
    YEAR(EDATE(
      _xlfn.XLOOKUP($A2459,'RESUMEN CLIENTES'!$D:$D,'RESUMEN CLIENTES'!$Y:$Y,""),
      7 + COUNTIFS(
            $A$2:INDEX($A:$A,ROW()), $A2459,
            $H$2:INDEX($H:$H,ROW()), "ALEM"
          )
    )),
    MONTH(EDATE(
      _xlfn.XLOOKUP($A2459,'RESUMEN CLIENTES'!$D:$D,'RESUMEN CLIENTES'!$Y:$Y,""),
      7 + COUNTIFS(
            $A$2:INDEX($A:$A,ROW()), $A2459,
            $H$2:INDEX($H:$H,ROW()), "ALEM"
          )
    )),
    1
  ),
"SIN FECHA MIG"))</f>
        <v>46631</v>
      </c>
      <c r="H2459" s="44" t="s">
        <v>1876</v>
      </c>
      <c r="I2459" s="2">
        <v>1000</v>
      </c>
      <c r="J2459"/>
      <c r="K2459"/>
      <c r="L2459" s="44" t="str" cm="1">
        <f t="array" ref="L2459">+_xlfn.IFS(COUNTIF(INGRESOS!E:E,Tabla6[[#This Row],[ID FACTURA]])=1,"PAGADA",Tabla6[[#This Row],[ID FACTURA]]&lt;&gt;0,"EMITIDA",Tabla6[[#This Row],[ID FACTURA]]=0,"POR EMITIR")</f>
        <v>POR EMITIR</v>
      </c>
      <c r="M2459" s="55" t="str">
        <f>+IF(Tabla6[[#This Row],[ESTADO FACTURA]]="PAGADA",Tabla6[[#This Row],[FECHA]]-_xlfn.XLOOKUP(Tabla6[[#This Row],[N° FACTURA]],INGRESOS!F:F,INGRESOS!A:A),"-")</f>
        <v>-</v>
      </c>
      <c r="N2459" s="2"/>
      <c r="O2459" t="s">
        <v>2084</v>
      </c>
    </row>
    <row r="2460" spans="1:15" ht="15" customHeight="1">
      <c r="A2460" s="320" t="s">
        <v>530</v>
      </c>
      <c r="B2460" t="str">
        <f>+_xlfn.XLOOKUP(Tabla6[[#This Row],[ID CLIENTE]],'RESUMEN CLIENTES'!D:D,'RESUMEN CLIENTES'!A:A)</f>
        <v>Antonio José Estrada Hoyo</v>
      </c>
      <c r="C2460" t="str">
        <f>+_xlfn.XLOOKUP(Tabla6[[#This Row],[ID CLIENTE]],'RESUMEN CLIENTES'!D:D,'RESUMEN CLIENTES'!C:C)</f>
        <v>Venezuela</v>
      </c>
      <c r="D2460" s="44" t="str">
        <f>+_xlfn.XLOOKUP(Tabla6[[#This Row],[ID CLIENTE]],'RESUMEN CLIENTES'!D:D,'RESUMEN CLIENTES'!M:M)</f>
        <v>OK</v>
      </c>
      <c r="E2460" s="72">
        <f>+_xlfn.XLOOKUP(Tabla6[[#This Row],[NOMBRE]],'RESUMEN CLIENTES'!A:A,'RESUMEN CLIENTES'!X:X)</f>
        <v>0</v>
      </c>
      <c r="F2460" s="72">
        <f>+_xlfn.XLOOKUP(Tabla6[[#This Row],[ID CLIENTE]],'RESUMEN CLIENTES'!D:D,'RESUMEN CLIENTES'!W:W)</f>
        <v>0</v>
      </c>
      <c r="G2460" s="17">
        <f>IF($H2460&lt;&gt;"ALEM","",IFERROR(
  DATE(
    YEAR(EDATE(
      _xlfn.XLOOKUP($A2460,'RESUMEN CLIENTES'!$D:$D,'RESUMEN CLIENTES'!$Y:$Y,""),
      7 + COUNTIFS(
            $A$2:INDEX($A:$A,ROW()), $A2460,
            $H$2:INDEX($H:$H,ROW()), "ALEM"
          )
    )),
    MONTH(EDATE(
      _xlfn.XLOOKUP($A2460,'RESUMEN CLIENTES'!$D:$D,'RESUMEN CLIENTES'!$Y:$Y,""),
      7 + COUNTIFS(
            $A$2:INDEX($A:$A,ROW()), $A2460,
            $H$2:INDEX($H:$H,ROW()), "ALEM"
          )
    )),
    1
  ),
"SIN FECHA MIG"))</f>
        <v>46631</v>
      </c>
      <c r="H2460" s="44" t="s">
        <v>1876</v>
      </c>
      <c r="I2460" s="2">
        <v>1000</v>
      </c>
      <c r="J2460"/>
      <c r="K2460"/>
      <c r="L2460" s="44" t="str" cm="1">
        <f t="array" ref="L2460">+_xlfn.IFS(COUNTIF(INGRESOS!E:E,Tabla6[[#This Row],[ID FACTURA]])=1,"PAGADA",Tabla6[[#This Row],[ID FACTURA]]&lt;&gt;0,"EMITIDA",Tabla6[[#This Row],[ID FACTURA]]=0,"POR EMITIR")</f>
        <v>POR EMITIR</v>
      </c>
      <c r="M2460" s="55" t="str">
        <f>+IF(Tabla6[[#This Row],[ESTADO FACTURA]]="PAGADA",Tabla6[[#This Row],[FECHA]]-_xlfn.XLOOKUP(Tabla6[[#This Row],[N° FACTURA]],INGRESOS!F:F,INGRESOS!A:A),"-")</f>
        <v>-</v>
      </c>
      <c r="N2460" s="2"/>
      <c r="O2460"/>
    </row>
    <row r="2461" spans="1:15" ht="15" customHeight="1">
      <c r="A2461" s="320" t="s">
        <v>6035</v>
      </c>
      <c r="B2461" t="str">
        <f>+_xlfn.XLOOKUP(Tabla6[[#This Row],[ID CLIENTE]],'RESUMEN CLIENTES'!D:D,'RESUMEN CLIENTES'!A:A)</f>
        <v>Ari Sifuentes Becerra</v>
      </c>
      <c r="C2461" s="15" t="str">
        <f>+_xlfn.XLOOKUP(Tabla6[[#This Row],[ID CLIENTE]],'RESUMEN CLIENTES'!D:D,'RESUMEN CLIENTES'!C:C)</f>
        <v>México</v>
      </c>
      <c r="D2461" s="169" t="str">
        <f>+_xlfn.XLOOKUP(Tabla6[[#This Row],[ID CLIENTE]],'RESUMEN CLIENTES'!D:D,'RESUMEN CLIENTES'!M:M)</f>
        <v>OK</v>
      </c>
      <c r="E2461" s="71">
        <f>+_xlfn.XLOOKUP(Tabla6[[#This Row],[NOMBRE]],'RESUMEN CLIENTES'!A:A,'RESUMEN CLIENTES'!X:X)</f>
        <v>-1</v>
      </c>
      <c r="F2461" s="71">
        <f>+_xlfn.XLOOKUP(Tabla6[[#This Row],[ID CLIENTE]],'RESUMEN CLIENTES'!D:D,'RESUMEN CLIENTES'!W:W)</f>
        <v>0</v>
      </c>
      <c r="G2461" s="17">
        <v>46631</v>
      </c>
      <c r="H2461" s="169" t="s">
        <v>1876</v>
      </c>
      <c r="I2461" s="2">
        <v>800</v>
      </c>
      <c r="J2461"/>
      <c r="K2461"/>
      <c r="L2461" s="44" t="str" cm="1">
        <f t="array" ref="L2461">+_xlfn.IFS(COUNTIF(INGRESOS!E:E,Tabla6[[#This Row],[ID FACTURA]])=1,"PAGADA",Tabla6[[#This Row],[ID FACTURA]]&lt;&gt;0,"EMITIDA",Tabla6[[#This Row],[ID FACTURA]]=0,"POR EMITIR")</f>
        <v>POR EMITIR</v>
      </c>
      <c r="M2461" s="54" t="str">
        <f>+IF(Tabla6[[#This Row],[ESTADO FACTURA]]="PAGADA",Tabla6[[#This Row],[FECHA]]-_xlfn.XLOOKUP(Tabla6[[#This Row],[N° FACTURA]],INGRESOS!F:F,INGRESOS!A:A),"-")</f>
        <v>-</v>
      </c>
      <c r="O2461"/>
    </row>
    <row r="2462" spans="1:15" ht="15" customHeight="1">
      <c r="A2462" s="320" t="s">
        <v>2011</v>
      </c>
      <c r="B2462" t="str">
        <f>+_xlfn.XLOOKUP(Tabla6[[#This Row],[ID CLIENTE]],'RESUMEN CLIENTES'!D:D,'RESUMEN CLIENTES'!A:A)</f>
        <v>Bárbara Fuentes</v>
      </c>
      <c r="C2462" t="str">
        <f>+_xlfn.XLOOKUP(Tabla6[[#This Row],[ID CLIENTE]],'RESUMEN CLIENTES'!D:D,'RESUMEN CLIENTES'!C:C)</f>
        <v>Chile</v>
      </c>
      <c r="D2462" s="169" t="str">
        <f>+_xlfn.XLOOKUP(Tabla6[[#This Row],[ID CLIENTE]],'RESUMEN CLIENTES'!D:D,'RESUMEN CLIENTES'!M:M)</f>
        <v>OK</v>
      </c>
      <c r="E2462" s="71">
        <f>+_xlfn.XLOOKUP(Tabla6[[#This Row],[NOMBRE]],'RESUMEN CLIENTES'!A:A,'RESUMEN CLIENTES'!X:X)</f>
        <v>-0.33333333333333331</v>
      </c>
      <c r="F2462" s="71">
        <f>+_xlfn.XLOOKUP(Tabla6[[#This Row],[ID CLIENTE]],'RESUMEN CLIENTES'!D:D,'RESUMEN CLIENTES'!W:W)</f>
        <v>0</v>
      </c>
      <c r="G2462" s="17">
        <f>IF($H2462&lt;&gt;"ALEM","",IFERROR(
  DATE(
    YEAR(EDATE(
      _xlfn.XLOOKUP($A2462,'RESUMEN CLIENTES'!$D:$D,'RESUMEN CLIENTES'!$Y:$Y,""),
      7 + COUNTIFS(
            $A$2:INDEX($A:$A,ROW()), $A2462,
            $H$2:INDEX($H:$H,ROW()), "ALEM"
          )
    )),
    MONTH(EDATE(
      _xlfn.XLOOKUP($A2462,'RESUMEN CLIENTES'!$D:$D,'RESUMEN CLIENTES'!$Y:$Y,""),
      7 + COUNTIFS(
            $A$2:INDEX($A:$A,ROW()), $A2462,
            $H$2:INDEX($H:$H,ROW()), "ALEM"
          )
    )),
    1
  ),
"null"))</f>
        <v>46631</v>
      </c>
      <c r="H2462" s="169" t="s">
        <v>1876</v>
      </c>
      <c r="I2462" s="2">
        <v>1000</v>
      </c>
      <c r="J2462"/>
      <c r="K2462"/>
      <c r="L2462" s="44" t="str" cm="1">
        <f t="array" ref="L2462">+_xlfn.IFS(COUNTIF(INGRESOS!E:E,Tabla6[[#This Row],[ID FACTURA]])=1,"PAGADA",Tabla6[[#This Row],[ID FACTURA]]&lt;&gt;0,"EMITIDA",Tabla6[[#This Row],[ID FACTURA]]=0,"POR EMITIR")</f>
        <v>POR EMITIR</v>
      </c>
      <c r="M2462" s="54" t="str">
        <f>+IF(Tabla6[[#This Row],[ESTADO FACTURA]]="PAGADA",Tabla6[[#This Row],[FECHA]]-_xlfn.XLOOKUP(Tabla6[[#This Row],[N° FACTURA]],INGRESOS!F:F,INGRESOS!A:A),"-")</f>
        <v>-</v>
      </c>
      <c r="O2462"/>
    </row>
    <row r="2463" spans="1:15" ht="15" customHeight="1">
      <c r="A2463" s="321" t="s">
        <v>1870</v>
      </c>
      <c r="B2463" t="str">
        <f>+_xlfn.XLOOKUP(Tabla6[[#This Row],[ID CLIENTE]],'RESUMEN CLIENTES'!D:D,'RESUMEN CLIENTES'!A:A)</f>
        <v>Berenisse Shadia Yarango Garay</v>
      </c>
      <c r="C2463" t="str">
        <f>+_xlfn.XLOOKUP(Tabla6[[#This Row],[ID CLIENTE]],'RESUMEN CLIENTES'!D:D,'RESUMEN CLIENTES'!C:C)</f>
        <v>Perú</v>
      </c>
      <c r="D2463" s="169" t="str">
        <f>+_xlfn.XLOOKUP(Tabla6[[#This Row],[ID CLIENTE]],'RESUMEN CLIENTES'!D:D,'RESUMEN CLIENTES'!M:M)</f>
        <v>OK</v>
      </c>
      <c r="E2463" s="71">
        <f>+_xlfn.XLOOKUP(Tabla6[[#This Row],[NOMBRE]],'RESUMEN CLIENTES'!A:A,'RESUMEN CLIENTES'!X:X)</f>
        <v>-0.33333333333333331</v>
      </c>
      <c r="F2463" s="71">
        <f>+_xlfn.XLOOKUP(Tabla6[[#This Row],[ID CLIENTE]],'RESUMEN CLIENTES'!D:D,'RESUMEN CLIENTES'!W:W)</f>
        <v>0</v>
      </c>
      <c r="G2463" s="17">
        <f>IF($H2463&lt;&gt;"ALEM","",IFERROR(
  DATE(
    YEAR(EDATE(
      _xlfn.XLOOKUP($A2463,'RESUMEN CLIENTES'!$D:$D,'RESUMEN CLIENTES'!$Y:$Y,""),
      7 + COUNTIFS(
            $A$2:INDEX($A:$A,ROW()), $A2463,
            $H$2:INDEX($H:$H,ROW()), "ALEM"
          )
    )),
    MONTH(EDATE(
      _xlfn.XLOOKUP($A2463,'RESUMEN CLIENTES'!$D:$D,'RESUMEN CLIENTES'!$Y:$Y,""),
      7 + COUNTIFS(
            $A$2:INDEX($A:$A,ROW()), $A2463,
            $H$2:INDEX($H:$H,ROW()), "ALEM"
          )
    )),
    1
  ),
"null"))</f>
        <v>46631</v>
      </c>
      <c r="H2463" s="169" t="s">
        <v>1876</v>
      </c>
      <c r="I2463" s="2">
        <v>800</v>
      </c>
      <c r="J2463"/>
      <c r="K2463"/>
      <c r="L2463" s="44" t="str" cm="1">
        <f t="array" ref="L2463">+_xlfn.IFS(COUNTIF(INGRESOS!E:E,Tabla6[[#This Row],[ID FACTURA]])=1,"PAGADA",Tabla6[[#This Row],[ID FACTURA]]&lt;&gt;0,"EMITIDA",Tabla6[[#This Row],[ID FACTURA]]=0,"POR EMITIR")</f>
        <v>POR EMITIR</v>
      </c>
      <c r="M2463" s="54" t="str">
        <f>+IF(Tabla6[[#This Row],[ESTADO FACTURA]]="PAGADA",Tabla6[[#This Row],[FECHA]]-_xlfn.XLOOKUP(Tabla6[[#This Row],[N° FACTURA]],INGRESOS!F:F,INGRESOS!A:A),"-")</f>
        <v>-</v>
      </c>
      <c r="O2463"/>
    </row>
    <row r="2464" spans="1:15" ht="15" customHeight="1">
      <c r="A2464" s="320" t="s">
        <v>184</v>
      </c>
      <c r="B2464" t="str">
        <f>+_xlfn.XLOOKUP(Tabla6[[#This Row],[ID CLIENTE]],'RESUMEN CLIENTES'!D:D,'RESUMEN CLIENTES'!A:A)</f>
        <v>Boris Andrés Silva Véliz</v>
      </c>
      <c r="C2464" t="str">
        <f>+_xlfn.XLOOKUP(Tabla6[[#This Row],[ID CLIENTE]],'RESUMEN CLIENTES'!D:D,'RESUMEN CLIENTES'!C:C)</f>
        <v>Chile</v>
      </c>
      <c r="D2464" s="44" t="str">
        <f>+_xlfn.XLOOKUP(Tabla6[[#This Row],[ID CLIENTE]],'RESUMEN CLIENTES'!D:D,'RESUMEN CLIENTES'!M:M)</f>
        <v>OK</v>
      </c>
      <c r="E2464" s="72">
        <f>+_xlfn.XLOOKUP(Tabla6[[#This Row],[NOMBRE]],'RESUMEN CLIENTES'!A:A,'RESUMEN CLIENTES'!X:X)</f>
        <v>2.1111111111111112</v>
      </c>
      <c r="F2464" s="72">
        <f>+_xlfn.XLOOKUP(Tabla6[[#This Row],[ID CLIENTE]],'RESUMEN CLIENTES'!D:D,'RESUMEN CLIENTES'!W:W)</f>
        <v>0</v>
      </c>
      <c r="G2464" s="17">
        <f>IF($H2464&lt;&gt;"ALEM","",IFERROR(
  DATE(
    YEAR(EDATE(
      _xlfn.XLOOKUP($A2464,'RESUMEN CLIENTES'!$D:$D,'RESUMEN CLIENTES'!$Y:$Y,""),
      7 + COUNTIFS(
            $A$2:INDEX($A:$A,ROW()), $A2464,
            $H$2:INDEX($H:$H,ROW()), "ALEM"
          )
    )),
    MONTH(EDATE(
      _xlfn.XLOOKUP($A2464,'RESUMEN CLIENTES'!$D:$D,'RESUMEN CLIENTES'!$Y:$Y,""),
      7 + COUNTIFS(
            $A$2:INDEX($A:$A,ROW()), $A2464,
            $H$2:INDEX($H:$H,ROW()), "ALEM"
          )
    )),
    1
  ),
"SIN FECHA MIG"))</f>
        <v>46631</v>
      </c>
      <c r="H2464" s="44" t="s">
        <v>1876</v>
      </c>
      <c r="I2464" s="2">
        <v>458</v>
      </c>
      <c r="J2464"/>
      <c r="K2464"/>
      <c r="L2464" s="44" t="str" cm="1">
        <f t="array" ref="L2464">+_xlfn.IFS(COUNTIF(INGRESOS!E:E,Tabla6[[#This Row],[ID FACTURA]])=1,"PAGADA",Tabla6[[#This Row],[ID FACTURA]]&lt;&gt;0,"EMITIDA",Tabla6[[#This Row],[ID FACTURA]]=0,"POR EMITIR")</f>
        <v>POR EMITIR</v>
      </c>
      <c r="M2464" s="55" t="str">
        <f>+IF(Tabla6[[#This Row],[ESTADO FACTURA]]="PAGADA",Tabla6[[#This Row],[FECHA]]-_xlfn.XLOOKUP(Tabla6[[#This Row],[N° FACTURA]],INGRESOS!F:F,INGRESOS!A:A),"-")</f>
        <v>-</v>
      </c>
      <c r="N2464" s="2"/>
      <c r="O2464"/>
    </row>
    <row r="2465" spans="1:15" ht="15" customHeight="1">
      <c r="A2465" s="320" t="s">
        <v>4768</v>
      </c>
      <c r="B2465" t="str">
        <f>+_xlfn.XLOOKUP(Tabla6[[#This Row],[ID CLIENTE]],'RESUMEN CLIENTES'!D:D,'RESUMEN CLIENTES'!A:A)</f>
        <v>Carla Elena Patínez Rondón</v>
      </c>
      <c r="C2465" s="15" t="str">
        <f>+_xlfn.XLOOKUP(Tabla6[[#This Row],[ID CLIENTE]],'RESUMEN CLIENTES'!D:D,'RESUMEN CLIENTES'!C:C)</f>
        <v>Venezuela</v>
      </c>
      <c r="D2465" s="169" t="str">
        <f>+_xlfn.XLOOKUP(Tabla6[[#This Row],[ID CLIENTE]],'RESUMEN CLIENTES'!D:D,'RESUMEN CLIENTES'!M:M)</f>
        <v>OK</v>
      </c>
      <c r="E2465" s="71">
        <f>+_xlfn.XLOOKUP(Tabla6[[#This Row],[NOMBRE]],'RESUMEN CLIENTES'!A:A,'RESUMEN CLIENTES'!X:X)</f>
        <v>-9</v>
      </c>
      <c r="F2465" s="71">
        <f>+_xlfn.XLOOKUP(Tabla6[[#This Row],[ID CLIENTE]],'RESUMEN CLIENTES'!D:D,'RESUMEN CLIENTES'!W:W)</f>
        <v>0</v>
      </c>
      <c r="G2465" s="17">
        <f>IF($H2465&lt;&gt;"ALEM","",IFERROR(
  DATE(
    YEAR(EDATE(
      _xlfn.XLOOKUP($A2465,'RESUMEN CLIENTES'!$D:$D,'RESUMEN CLIENTES'!$Y:$Y,""),
      7 + COUNTIFS(
            $A$2:INDEX($A:$A,ROW()), $A2465,
            $H$2:INDEX($H:$H,ROW()), "ALEM"
          )
    )),
    MONTH(EDATE(
      _xlfn.XLOOKUP($A2465,'RESUMEN CLIENTES'!$D:$D,'RESUMEN CLIENTES'!$Y:$Y,""),
      7 + COUNTIFS(
            $A$2:INDEX($A:$A,ROW()), $A2465,
            $H$2:INDEX($H:$H,ROW()), "ALEM"
          )
    )),
    1
  ),
"null"))</f>
        <v>46631</v>
      </c>
      <c r="H2465" s="169" t="s">
        <v>1876</v>
      </c>
      <c r="I2465" s="2">
        <v>1000</v>
      </c>
      <c r="J2465"/>
      <c r="K2465"/>
      <c r="L2465" s="44" t="str" cm="1">
        <f t="array" ref="L2465">+_xlfn.IFS(COUNTIF(INGRESOS!E:E,Tabla6[[#This Row],[ID FACTURA]])=1,"PAGADA",Tabla6[[#This Row],[ID FACTURA]]&lt;&gt;0,"EMITIDA",Tabla6[[#This Row],[ID FACTURA]]=0,"POR EMITIR")</f>
        <v>POR EMITIR</v>
      </c>
      <c r="M2465" s="54" t="str">
        <f>+IF(Tabla6[[#This Row],[ESTADO FACTURA]]="PAGADA",Tabla6[[#This Row],[FECHA]]-_xlfn.XLOOKUP(Tabla6[[#This Row],[N° FACTURA]],INGRESOS!F:F,INGRESOS!A:A),"-")</f>
        <v>-</v>
      </c>
      <c r="O2465"/>
    </row>
    <row r="2466" spans="1:15" ht="15" customHeight="1">
      <c r="A2466" s="320" t="s">
        <v>751</v>
      </c>
      <c r="B2466" t="str">
        <f>+_xlfn.XLOOKUP(Tabla6[[#This Row],[ID CLIENTE]],'RESUMEN CLIENTES'!D:D,'RESUMEN CLIENTES'!A:A)</f>
        <v>Carlos Alberto Suarez Hernandez</v>
      </c>
      <c r="C2466" t="str">
        <f>+_xlfn.XLOOKUP(Tabla6[[#This Row],[ID CLIENTE]],'RESUMEN CLIENTES'!D:D,'RESUMEN CLIENTES'!C:C)</f>
        <v>Colombia</v>
      </c>
      <c r="D2466" s="44" t="str">
        <f>+_xlfn.XLOOKUP(Tabla6[[#This Row],[ID CLIENTE]],'RESUMEN CLIENTES'!D:D,'RESUMEN CLIENTES'!M:M)</f>
        <v>OK</v>
      </c>
      <c r="E2466" s="72">
        <f>+_xlfn.XLOOKUP(Tabla6[[#This Row],[NOMBRE]],'RESUMEN CLIENTES'!A:A,'RESUMEN CLIENTES'!X:X)</f>
        <v>0</v>
      </c>
      <c r="F2466" s="72">
        <f>+_xlfn.XLOOKUP(Tabla6[[#This Row],[ID CLIENTE]],'RESUMEN CLIENTES'!D:D,'RESUMEN CLIENTES'!W:W)</f>
        <v>1</v>
      </c>
      <c r="G2466" s="17">
        <f>IF($H2466&lt;&gt;"ALEM","",IFERROR(
  DATE(
    YEAR(EDATE(
      _xlfn.XLOOKUP($A2466,'RESUMEN CLIENTES'!$D:$D,'RESUMEN CLIENTES'!$Y:$Y,""),
      7 + COUNTIFS(
            $A$2:INDEX($A:$A,ROW()), $A2466,
            $H$2:INDEX($H:$H,ROW()), "ALEM"
          )
    )),
    MONTH(EDATE(
      _xlfn.XLOOKUP($A2466,'RESUMEN CLIENTES'!$D:$D,'RESUMEN CLIENTES'!$Y:$Y,""),
      7 + COUNTIFS(
            $A$2:INDEX($A:$A,ROW()), $A2466,
            $H$2:INDEX($H:$H,ROW()), "ALEM"
          )
    )),
    1
  ),
"SIN FECHA MIG"))</f>
        <v>46631</v>
      </c>
      <c r="H2466" s="44" t="s">
        <v>1876</v>
      </c>
      <c r="I2466" s="2">
        <v>1000</v>
      </c>
      <c r="J2466"/>
      <c r="K2466"/>
      <c r="L2466" s="44" t="str" cm="1">
        <f t="array" ref="L2466">+_xlfn.IFS(COUNTIF(INGRESOS!E:E,Tabla6[[#This Row],[ID FACTURA]])=1,"PAGADA",Tabla6[[#This Row],[ID FACTURA]]&lt;&gt;0,"EMITIDA",Tabla6[[#This Row],[ID FACTURA]]=0,"POR EMITIR")</f>
        <v>POR EMITIR</v>
      </c>
      <c r="M2466" s="55" t="str">
        <f>+IF(Tabla6[[#This Row],[ESTADO FACTURA]]="PAGADA",Tabla6[[#This Row],[FECHA]]-_xlfn.XLOOKUP(Tabla6[[#This Row],[N° FACTURA]],INGRESOS!F:F,INGRESOS!A:A),"-")</f>
        <v>-</v>
      </c>
      <c r="N2466" s="2"/>
      <c r="O2466" t="s">
        <v>2084</v>
      </c>
    </row>
    <row r="2467" spans="1:15" ht="15" customHeight="1">
      <c r="A2467" s="320" t="s">
        <v>1245</v>
      </c>
      <c r="B2467" t="str">
        <f>+_xlfn.XLOOKUP(Tabla6[[#This Row],[ID CLIENTE]],'RESUMEN CLIENTES'!D:D,'RESUMEN CLIENTES'!A:A)</f>
        <v>Constanza Andrea Águila Vergara</v>
      </c>
      <c r="C2467" t="str">
        <f>+_xlfn.XLOOKUP(Tabla6[[#This Row],[ID CLIENTE]],'RESUMEN CLIENTES'!D:D,'RESUMEN CLIENTES'!C:C)</f>
        <v>Chile</v>
      </c>
      <c r="D2467" s="44" t="str">
        <f>+_xlfn.XLOOKUP(Tabla6[[#This Row],[ID CLIENTE]],'RESUMEN CLIENTES'!D:D,'RESUMEN CLIENTES'!M:M)</f>
        <v>OK</v>
      </c>
      <c r="E2467" s="71">
        <f>+_xlfn.XLOOKUP(Tabla6[[#This Row],[NOMBRE]],'RESUMEN CLIENTES'!A:A,'RESUMEN CLIENTES'!X:X)</f>
        <v>-0.2</v>
      </c>
      <c r="F2467" s="71">
        <f>+_xlfn.XLOOKUP(Tabla6[[#This Row],[ID CLIENTE]],'RESUMEN CLIENTES'!D:D,'RESUMEN CLIENTES'!W:W)</f>
        <v>1</v>
      </c>
      <c r="G2467" s="17">
        <f>IF($H2467&lt;&gt;"ALEM","",IFERROR(
  DATE(
    YEAR(EDATE(
      _xlfn.XLOOKUP($A2467,'RESUMEN CLIENTES'!$D:$D,'RESUMEN CLIENTES'!$Y:$Y,""),
      7 + COUNTIFS(
            $A$2:INDEX($A:$A,ROW()), $A2467,
            $H$2:INDEX($H:$H,ROW()), "ALEM"
          )
    )),
    MONTH(EDATE(
      _xlfn.XLOOKUP($A2467,'RESUMEN CLIENTES'!$D:$D,'RESUMEN CLIENTES'!$Y:$Y,""),
      7 + COUNTIFS(
            $A$2:INDEX($A:$A,ROW()), $A2467,
            $H$2:INDEX($H:$H,ROW()), "ALEM"
          )
    )),
    1
  ),
"SIN FECHA MIG"))</f>
        <v>46631</v>
      </c>
      <c r="H2467" s="44" t="s">
        <v>1876</v>
      </c>
      <c r="I2467" s="2">
        <v>800</v>
      </c>
      <c r="J2467"/>
      <c r="K2467"/>
      <c r="L2467" s="44" t="str" cm="1">
        <f t="array" ref="L2467">+_xlfn.IFS(COUNTIF(INGRESOS!E:E,Tabla6[[#This Row],[ID FACTURA]])=1,"PAGADA",Tabla6[[#This Row],[ID FACTURA]]&lt;&gt;0,"EMITIDA",Tabla6[[#This Row],[ID FACTURA]]=0,"POR EMITIR")</f>
        <v>POR EMITIR</v>
      </c>
      <c r="M2467" s="55" t="str">
        <f>+IF(Tabla6[[#This Row],[ESTADO FACTURA]]="PAGADA",Tabla6[[#This Row],[FECHA]]-_xlfn.XLOOKUP(Tabla6[[#This Row],[N° FACTURA]],INGRESOS!F:F,INGRESOS!A:A),"-")</f>
        <v>-</v>
      </c>
      <c r="N2467" s="2"/>
      <c r="O2467"/>
    </row>
    <row r="2468" spans="1:15" ht="15" customHeight="1">
      <c r="A2468" s="320" t="s">
        <v>4660</v>
      </c>
      <c r="B2468" t="str">
        <f>+_xlfn.XLOOKUP(Tabla6[[#This Row],[ID CLIENTE]],'RESUMEN CLIENTES'!D:D,'RESUMEN CLIENTES'!A:A)</f>
        <v>Edipris Flores</v>
      </c>
      <c r="C2468" s="15" t="str">
        <f>+_xlfn.XLOOKUP(Tabla6[[#This Row],[ID CLIENTE]],'RESUMEN CLIENTES'!D:D,'RESUMEN CLIENTES'!C:C)</f>
        <v>Chile</v>
      </c>
      <c r="D2468" s="169" t="str">
        <f>+_xlfn.XLOOKUP(Tabla6[[#This Row],[ID CLIENTE]],'RESUMEN CLIENTES'!D:D,'RESUMEN CLIENTES'!M:M)</f>
        <v>OK</v>
      </c>
      <c r="E2468" s="71">
        <f>+_xlfn.XLOOKUP(Tabla6[[#This Row],[NOMBRE]],'RESUMEN CLIENTES'!A:A,'RESUMEN CLIENTES'!X:X)</f>
        <v>-4</v>
      </c>
      <c r="F2468" s="71">
        <f>+_xlfn.XLOOKUP(Tabla6[[#This Row],[ID CLIENTE]],'RESUMEN CLIENTES'!D:D,'RESUMEN CLIENTES'!W:W)</f>
        <v>0</v>
      </c>
      <c r="G2468" s="17">
        <f>IF($H2468&lt;&gt;"ALEM","",IFERROR(
  DATE(
    YEAR(EDATE(
      _xlfn.XLOOKUP($A2468,'RESUMEN CLIENTES'!$D:$D,'RESUMEN CLIENTES'!$Y:$Y,""),
      7 + COUNTIFS(
            $A$2:INDEX($A:$A,ROW()), $A2468,
            $H$2:INDEX($H:$H,ROW()), "ALEM"
          )
    )),
    MONTH(EDATE(
      _xlfn.XLOOKUP($A2468,'RESUMEN CLIENTES'!$D:$D,'RESUMEN CLIENTES'!$Y:$Y,""),
      7 + COUNTIFS(
            $A$2:INDEX($A:$A,ROW()), $A2468,
            $H$2:INDEX($H:$H,ROW()), "ALEM"
          )
    )),
    1
  ),
"null"))</f>
        <v>46631</v>
      </c>
      <c r="H2468" s="169" t="s">
        <v>1876</v>
      </c>
      <c r="I2468" s="2">
        <v>800</v>
      </c>
      <c r="J2468"/>
      <c r="K2468"/>
      <c r="L2468" s="44" t="str" cm="1">
        <f t="array" ref="L2468">+_xlfn.IFS(COUNTIF(INGRESOS!E:E,Tabla6[[#This Row],[ID FACTURA]])=1,"PAGADA",Tabla6[[#This Row],[ID FACTURA]]&lt;&gt;0,"EMITIDA",Tabla6[[#This Row],[ID FACTURA]]=0,"POR EMITIR")</f>
        <v>POR EMITIR</v>
      </c>
      <c r="M2468" s="54" t="str">
        <f>+IF(Tabla6[[#This Row],[ESTADO FACTURA]]="PAGADA",Tabla6[[#This Row],[FECHA]]-_xlfn.XLOOKUP(Tabla6[[#This Row],[N° FACTURA]],INGRESOS!F:F,INGRESOS!A:A),"-")</f>
        <v>-</v>
      </c>
      <c r="O2468"/>
    </row>
    <row r="2469" spans="1:15" ht="15" customHeight="1">
      <c r="A2469" s="320" t="s">
        <v>1248</v>
      </c>
      <c r="B2469" t="str">
        <f>+_xlfn.XLOOKUP(Tabla6[[#This Row],[ID CLIENTE]],'RESUMEN CLIENTES'!D:D,'RESUMEN CLIENTES'!A:A)</f>
        <v>Emily Vanessa Tapia Villalobos</v>
      </c>
      <c r="C2469" t="str">
        <f>+_xlfn.XLOOKUP(Tabla6[[#This Row],[ID CLIENTE]],'RESUMEN CLIENTES'!D:D,'RESUMEN CLIENTES'!C:C)</f>
        <v>Chile</v>
      </c>
      <c r="D2469" s="44" t="str">
        <f>+_xlfn.XLOOKUP(Tabla6[[#This Row],[ID CLIENTE]],'RESUMEN CLIENTES'!D:D,'RESUMEN CLIENTES'!M:M)</f>
        <v>OK</v>
      </c>
      <c r="E2469" s="71">
        <f>+_xlfn.XLOOKUP(Tabla6[[#This Row],[NOMBRE]],'RESUMEN CLIENTES'!A:A,'RESUMEN CLIENTES'!X:X)</f>
        <v>0.33333333333333331</v>
      </c>
      <c r="F2469" s="71">
        <f>+_xlfn.XLOOKUP(Tabla6[[#This Row],[ID CLIENTE]],'RESUMEN CLIENTES'!D:D,'RESUMEN CLIENTES'!W:W)</f>
        <v>0</v>
      </c>
      <c r="G2469" s="17">
        <f>IF($H2469&lt;&gt;"ALEM","",IFERROR(
  DATE(
    YEAR(EDATE(
      _xlfn.XLOOKUP($A2469,'RESUMEN CLIENTES'!$D:$D,'RESUMEN CLIENTES'!$Y:$Y,""),
      7 + COUNTIFS(
            $A$2:INDEX($A:$A,ROW()), $A2469,
            $H$2:INDEX($H:$H,ROW()), "ALEM"
          )
    )),
    MONTH(EDATE(
      _xlfn.XLOOKUP($A2469,'RESUMEN CLIENTES'!$D:$D,'RESUMEN CLIENTES'!$Y:$Y,""),
      7 + COUNTIFS(
            $A$2:INDEX($A:$A,ROW()), $A2469,
            $H$2:INDEX($H:$H,ROW()), "ALEM"
          )
    )),
    1
  ),
"SIN FECHA MIG"))</f>
        <v>46631</v>
      </c>
      <c r="H2469" s="44" t="s">
        <v>1876</v>
      </c>
      <c r="I2469" s="2">
        <v>800</v>
      </c>
      <c r="J2469"/>
      <c r="K2469"/>
      <c r="L2469" s="44" t="str" cm="1">
        <f t="array" ref="L2469">+_xlfn.IFS(COUNTIF(INGRESOS!E:E,Tabla6[[#This Row],[ID FACTURA]])=1,"PAGADA",Tabla6[[#This Row],[ID FACTURA]]&lt;&gt;0,"EMITIDA",Tabla6[[#This Row],[ID FACTURA]]=0,"POR EMITIR")</f>
        <v>POR EMITIR</v>
      </c>
      <c r="M2469" s="55" t="str">
        <f>+IF(Tabla6[[#This Row],[ESTADO FACTURA]]="PAGADA",Tabla6[[#This Row],[FECHA]]-_xlfn.XLOOKUP(Tabla6[[#This Row],[N° FACTURA]],INGRESOS!F:F,INGRESOS!A:A),"-")</f>
        <v>-</v>
      </c>
      <c r="N2469" s="2"/>
      <c r="O2469" t="s">
        <v>2086</v>
      </c>
    </row>
    <row r="2470" spans="1:15" ht="15" customHeight="1">
      <c r="A2470" s="320" t="s">
        <v>1945</v>
      </c>
      <c r="B2470" t="str">
        <f>+_xlfn.XLOOKUP(Tabla6[[#This Row],[ID CLIENTE]],'RESUMEN CLIENTES'!D:D,'RESUMEN CLIENTES'!A:A)</f>
        <v>Fernanda Constanza Kompai Antu Arellano Guzmán</v>
      </c>
      <c r="C2470" t="str">
        <f>+_xlfn.XLOOKUP(Tabla6[[#This Row],[ID CLIENTE]],'RESUMEN CLIENTES'!D:D,'RESUMEN CLIENTES'!C:C)</f>
        <v>Chile</v>
      </c>
      <c r="D2470" s="169" t="str">
        <f>+_xlfn.XLOOKUP(Tabla6[[#This Row],[ID CLIENTE]],'RESUMEN CLIENTES'!D:D,'RESUMEN CLIENTES'!M:M)</f>
        <v>OK</v>
      </c>
      <c r="E2470" s="71">
        <f>+_xlfn.XLOOKUP(Tabla6[[#This Row],[NOMBRE]],'RESUMEN CLIENTES'!A:A,'RESUMEN CLIENTES'!X:X)</f>
        <v>0</v>
      </c>
      <c r="F2470" s="71">
        <f>+_xlfn.XLOOKUP(Tabla6[[#This Row],[ID CLIENTE]],'RESUMEN CLIENTES'!D:D,'RESUMEN CLIENTES'!W:W)</f>
        <v>0</v>
      </c>
      <c r="G2470" s="17">
        <f>IF($H2470&lt;&gt;"ALEM","",IFERROR(
  DATE(
    YEAR(EDATE(
      _xlfn.XLOOKUP($A2470,'RESUMEN CLIENTES'!$D:$D,'RESUMEN CLIENTES'!$Y:$Y,""),
      7 + COUNTIFS(
            $A$2:INDEX($A:$A,ROW()), $A2470,
            $H$2:INDEX($H:$H,ROW()), "ALEM"
          )
    )),
    MONTH(EDATE(
      _xlfn.XLOOKUP($A2470,'RESUMEN CLIENTES'!$D:$D,'RESUMEN CLIENTES'!$Y:$Y,""),
      7 + COUNTIFS(
            $A$2:INDEX($A:$A,ROW()), $A2470,
            $H$2:INDEX($H:$H,ROW()), "ALEM"
          )
    )),
    1
  ),
"null"))</f>
        <v>46631</v>
      </c>
      <c r="H2470" s="170" t="s">
        <v>1876</v>
      </c>
      <c r="I2470" s="2">
        <v>800</v>
      </c>
      <c r="J2470"/>
      <c r="K2470"/>
      <c r="L2470" s="44" t="str" cm="1">
        <f t="array" ref="L2470">+_xlfn.IFS(COUNTIF(INGRESOS!E:E,Tabla6[[#This Row],[ID FACTURA]])=1,"PAGADA",Tabla6[[#This Row],[ID FACTURA]]&lt;&gt;0,"EMITIDA",Tabla6[[#This Row],[ID FACTURA]]=0,"POR EMITIR")</f>
        <v>POR EMITIR</v>
      </c>
      <c r="M2470" s="54" t="str">
        <f>+IF(Tabla6[[#This Row],[ESTADO FACTURA]]="PAGADA",Tabla6[[#This Row],[FECHA]]-_xlfn.XLOOKUP(Tabla6[[#This Row],[N° FACTURA]],INGRESOS!F:F,INGRESOS!A:A),"-")</f>
        <v>-</v>
      </c>
      <c r="O2470"/>
    </row>
    <row r="2471" spans="1:15" ht="15" customHeight="1">
      <c r="A2471" s="320" t="s">
        <v>1761</v>
      </c>
      <c r="B2471" t="str">
        <f>+_xlfn.XLOOKUP(Tabla6[[#This Row],[ID CLIENTE]],'RESUMEN CLIENTES'!D:D,'RESUMEN CLIENTES'!A:A)</f>
        <v>Francisco Salas Barrera</v>
      </c>
      <c r="C2471" t="str">
        <f>+_xlfn.XLOOKUP(Tabla6[[#This Row],[ID CLIENTE]],'RESUMEN CLIENTES'!D:D,'RESUMEN CLIENTES'!C:C)</f>
        <v>México</v>
      </c>
      <c r="D2471" s="169" t="str">
        <f>+_xlfn.XLOOKUP(Tabla6[[#This Row],[ID CLIENTE]],'RESUMEN CLIENTES'!D:D,'RESUMEN CLIENTES'!M:M)</f>
        <v>OK</v>
      </c>
      <c r="E2471" s="71">
        <f>+_xlfn.XLOOKUP(Tabla6[[#This Row],[NOMBRE]],'RESUMEN CLIENTES'!A:A,'RESUMEN CLIENTES'!X:X)</f>
        <v>-0.75</v>
      </c>
      <c r="F2471" s="71">
        <f>+_xlfn.XLOOKUP(Tabla6[[#This Row],[ID CLIENTE]],'RESUMEN CLIENTES'!D:D,'RESUMEN CLIENTES'!W:W)</f>
        <v>0</v>
      </c>
      <c r="G2471" s="17">
        <f>IF($H2471&lt;&gt;"ALEM","",IFERROR(
  DATE(
    YEAR(EDATE(
      _xlfn.XLOOKUP($A2471,'RESUMEN CLIENTES'!$D:$D,'RESUMEN CLIENTES'!$Y:$Y,""),
      7 + COUNTIFS(
            $A$2:INDEX($A:$A,ROW()), $A2471,
            $H$2:INDEX($H:$H,ROW()), "ALEM"
          )
    )),
    MONTH(EDATE(
      _xlfn.XLOOKUP($A2471,'RESUMEN CLIENTES'!$D:$D,'RESUMEN CLIENTES'!$Y:$Y,""),
      7 + COUNTIFS(
            $A$2:INDEX($A:$A,ROW()), $A2471,
            $H$2:INDEX($H:$H,ROW()), "ALEM"
          )
    )),
    1
  ),
"SIN FECHA MIG"))</f>
        <v>46631</v>
      </c>
      <c r="H2471" s="169" t="s">
        <v>1876</v>
      </c>
      <c r="I2471" s="2">
        <v>800</v>
      </c>
      <c r="J2471"/>
      <c r="K2471"/>
      <c r="L2471" s="44" t="str" cm="1">
        <f t="array" ref="L2471">+_xlfn.IFS(COUNTIF(INGRESOS!E:E,Tabla6[[#This Row],[ID FACTURA]])=1,"PAGADA",Tabla6[[#This Row],[ID FACTURA]]&lt;&gt;0,"EMITIDA",Tabla6[[#This Row],[ID FACTURA]]=0,"POR EMITIR")</f>
        <v>POR EMITIR</v>
      </c>
      <c r="M2471" s="55" t="str">
        <f>+IF(Tabla6[[#This Row],[ESTADO FACTURA]]="PAGADA",Tabla6[[#This Row],[FECHA]]-_xlfn.XLOOKUP(Tabla6[[#This Row],[N° FACTURA]],INGRESOS!F:F,INGRESOS!A:A),"-")</f>
        <v>-</v>
      </c>
      <c r="O2471"/>
    </row>
    <row r="2472" spans="1:15" ht="15" customHeight="1">
      <c r="A2472" s="320" t="s">
        <v>1996</v>
      </c>
      <c r="B2472" t="str">
        <f>+_xlfn.XLOOKUP(Tabla6[[#This Row],[ID CLIENTE]],'RESUMEN CLIENTES'!D:D,'RESUMEN CLIENTES'!A:A)</f>
        <v>Ivan Gonzales Graus</v>
      </c>
      <c r="C2472" t="str">
        <f>+_xlfn.XLOOKUP(Tabla6[[#This Row],[ID CLIENTE]],'RESUMEN CLIENTES'!D:D,'RESUMEN CLIENTES'!C:C)</f>
        <v>Perú</v>
      </c>
      <c r="D2472" s="169" t="str">
        <f>+_xlfn.XLOOKUP(Tabla6[[#This Row],[ID CLIENTE]],'RESUMEN CLIENTES'!D:D,'RESUMEN CLIENTES'!M:M)</f>
        <v>OK</v>
      </c>
      <c r="E2472" s="71">
        <f>+_xlfn.XLOOKUP(Tabla6[[#This Row],[NOMBRE]],'RESUMEN CLIENTES'!A:A,'RESUMEN CLIENTES'!X:X)</f>
        <v>-2</v>
      </c>
      <c r="F2472" s="71">
        <f>+_xlfn.XLOOKUP(Tabla6[[#This Row],[ID CLIENTE]],'RESUMEN CLIENTES'!D:D,'RESUMEN CLIENTES'!W:W)</f>
        <v>1</v>
      </c>
      <c r="G2472" s="17">
        <f>IF($H2472&lt;&gt;"ALEM","",IFERROR(
  DATE(
    YEAR(EDATE(
      _xlfn.XLOOKUP($A2472,'RESUMEN CLIENTES'!$D:$D,'RESUMEN CLIENTES'!$Y:$Y,""),
      7 + COUNTIFS(
            $A$2:INDEX($A:$A,ROW()), $A2472,
            $H$2:INDEX($H:$H,ROW()), "ALEM"
          )
    )),
    MONTH(EDATE(
      _xlfn.XLOOKUP($A2472,'RESUMEN CLIENTES'!$D:$D,'RESUMEN CLIENTES'!$Y:$Y,""),
      7 + COUNTIFS(
            $A$2:INDEX($A:$A,ROW()), $A2472,
            $H$2:INDEX($H:$H,ROW()), "ALEM"
          )
    )),
    1
  ),
"null"))</f>
        <v>46631</v>
      </c>
      <c r="H2472" s="169" t="s">
        <v>1876</v>
      </c>
      <c r="I2472" s="2">
        <v>1000</v>
      </c>
      <c r="J2472"/>
      <c r="K2472"/>
      <c r="L2472" s="44" t="str" cm="1">
        <f t="array" ref="L2472">+_xlfn.IFS(COUNTIF(INGRESOS!E:E,Tabla6[[#This Row],[ID FACTURA]])=1,"PAGADA",Tabla6[[#This Row],[ID FACTURA]]&lt;&gt;0,"EMITIDA",Tabla6[[#This Row],[ID FACTURA]]=0,"POR EMITIR")</f>
        <v>POR EMITIR</v>
      </c>
      <c r="M2472" s="54" t="str">
        <f>+IF(Tabla6[[#This Row],[ESTADO FACTURA]]="PAGADA",Tabla6[[#This Row],[FECHA]]-_xlfn.XLOOKUP(Tabla6[[#This Row],[N° FACTURA]],INGRESOS!F:F,INGRESOS!A:A),"-")</f>
        <v>-</v>
      </c>
      <c r="O2472"/>
    </row>
    <row r="2473" spans="1:15" ht="15" customHeight="1">
      <c r="A2473" s="320" t="s">
        <v>1936</v>
      </c>
      <c r="B2473" t="str">
        <f>+_xlfn.XLOOKUP(Tabla6[[#This Row],[ID CLIENTE]],'RESUMEN CLIENTES'!D:D,'RESUMEN CLIENTES'!A:A)</f>
        <v>Jaime Kevin Mendez Arias</v>
      </c>
      <c r="C2473" t="str">
        <f>+_xlfn.XLOOKUP(Tabla6[[#This Row],[ID CLIENTE]],'RESUMEN CLIENTES'!D:D,'RESUMEN CLIENTES'!C:C)</f>
        <v>México</v>
      </c>
      <c r="D2473" s="169" t="str">
        <f>+_xlfn.XLOOKUP(Tabla6[[#This Row],[ID CLIENTE]],'RESUMEN CLIENTES'!D:D,'RESUMEN CLIENTES'!M:M)</f>
        <v>OK</v>
      </c>
      <c r="E2473" s="71">
        <f>+_xlfn.XLOOKUP(Tabla6[[#This Row],[NOMBRE]],'RESUMEN CLIENTES'!A:A,'RESUMEN CLIENTES'!X:X)</f>
        <v>1.6666666666666667</v>
      </c>
      <c r="F2473" s="71">
        <f>+_xlfn.XLOOKUP(Tabla6[[#This Row],[ID CLIENTE]],'RESUMEN CLIENTES'!D:D,'RESUMEN CLIENTES'!W:W)</f>
        <v>0</v>
      </c>
      <c r="G2473" s="17">
        <f>IF($H2473&lt;&gt;"ALEM","",IFERROR(
  DATE(
    YEAR(EDATE(
      _xlfn.XLOOKUP($A2473,'RESUMEN CLIENTES'!$D:$D,'RESUMEN CLIENTES'!$Y:$Y,""),
      7 + COUNTIFS(
            $A$2:INDEX($A:$A,ROW()), $A2473,
            $H$2:INDEX($H:$H,ROW()), "ALEM"
          )
    )),
    MONTH(EDATE(
      _xlfn.XLOOKUP($A2473,'RESUMEN CLIENTES'!$D:$D,'RESUMEN CLIENTES'!$Y:$Y,""),
      7 + COUNTIFS(
            $A$2:INDEX($A:$A,ROW()), $A2473,
            $H$2:INDEX($H:$H,ROW()), "ALEM"
          )
    )),
    1
  ),
"null"))</f>
        <v>46631</v>
      </c>
      <c r="H2473" s="169" t="s">
        <v>1876</v>
      </c>
      <c r="I2473" s="2">
        <v>800</v>
      </c>
      <c r="J2473"/>
      <c r="K2473"/>
      <c r="L2473" s="44" t="str" cm="1">
        <f t="array" ref="L2473">+_xlfn.IFS(COUNTIF(INGRESOS!E:E,Tabla6[[#This Row],[ID FACTURA]])=1,"PAGADA",Tabla6[[#This Row],[ID FACTURA]]&lt;&gt;0,"EMITIDA",Tabla6[[#This Row],[ID FACTURA]]=0,"POR EMITIR")</f>
        <v>POR EMITIR</v>
      </c>
      <c r="M2473" s="54" t="str">
        <f>+IF(Tabla6[[#This Row],[ESTADO FACTURA]]="PAGADA",Tabla6[[#This Row],[FECHA]]-_xlfn.XLOOKUP(Tabla6[[#This Row],[N° FACTURA]],INGRESOS!F:F,INGRESOS!A:A),"-")</f>
        <v>-</v>
      </c>
      <c r="O2473"/>
    </row>
    <row r="2474" spans="1:15" ht="15" customHeight="1">
      <c r="A2474" s="321" t="s">
        <v>1899</v>
      </c>
      <c r="B2474" t="str">
        <f>+_xlfn.XLOOKUP(Tabla6[[#This Row],[ID CLIENTE]],'RESUMEN CLIENTES'!D:D,'RESUMEN CLIENTES'!A:A)</f>
        <v>Johan Martínez</v>
      </c>
      <c r="C2474" t="str">
        <f>+_xlfn.XLOOKUP(Tabla6[[#This Row],[ID CLIENTE]],'RESUMEN CLIENTES'!D:D,'RESUMEN CLIENTES'!C:C)</f>
        <v>Colombia</v>
      </c>
      <c r="D2474" s="169" t="str">
        <f>+_xlfn.XLOOKUP(Tabla6[[#This Row],[ID CLIENTE]],'RESUMEN CLIENTES'!D:D,'RESUMEN CLIENTES'!M:M)</f>
        <v>OK</v>
      </c>
      <c r="E2474" s="71">
        <f>+_xlfn.XLOOKUP(Tabla6[[#This Row],[NOMBRE]],'RESUMEN CLIENTES'!A:A,'RESUMEN CLIENTES'!X:X)</f>
        <v>-0.66666666666666663</v>
      </c>
      <c r="F2474" s="71">
        <f>+_xlfn.XLOOKUP(Tabla6[[#This Row],[ID CLIENTE]],'RESUMEN CLIENTES'!D:D,'RESUMEN CLIENTES'!W:W)</f>
        <v>0</v>
      </c>
      <c r="G2474" s="17">
        <f>IF($H2474&lt;&gt;"ALEM","",IFERROR(
  DATE(
    YEAR(EDATE(
      _xlfn.XLOOKUP($A2474,'RESUMEN CLIENTES'!$D:$D,'RESUMEN CLIENTES'!$Y:$Y,""),
      7 + COUNTIFS(
            $A$2:INDEX($A:$A,ROW()), $A2474,
            $H$2:INDEX($H:$H,ROW()), "ALEM"
          )
    )),
    MONTH(EDATE(
      _xlfn.XLOOKUP($A2474,'RESUMEN CLIENTES'!$D:$D,'RESUMEN CLIENTES'!$Y:$Y,""),
      7 + COUNTIFS(
            $A$2:INDEX($A:$A,ROW()), $A2474,
            $H$2:INDEX($H:$H,ROW()), "ALEM"
          )
    )),
    1
  ),
"null"))</f>
        <v>46631</v>
      </c>
      <c r="H2474" s="169" t="s">
        <v>1876</v>
      </c>
      <c r="I2474" s="2">
        <v>800</v>
      </c>
      <c r="J2474"/>
      <c r="K2474"/>
      <c r="L2474" s="44" t="str" cm="1">
        <f t="array" ref="L2474">+_xlfn.IFS(COUNTIF(INGRESOS!E:E,Tabla6[[#This Row],[ID FACTURA]])=1,"PAGADA",Tabla6[[#This Row],[ID FACTURA]]&lt;&gt;0,"EMITIDA",Tabla6[[#This Row],[ID FACTURA]]=0,"POR EMITIR")</f>
        <v>POR EMITIR</v>
      </c>
      <c r="M2474" s="54" t="str">
        <f>+IF(Tabla6[[#This Row],[ESTADO FACTURA]]="PAGADA",Tabla6[[#This Row],[FECHA]]-_xlfn.XLOOKUP(Tabla6[[#This Row],[N° FACTURA]],INGRESOS!F:F,INGRESOS!A:A),"-")</f>
        <v>-</v>
      </c>
      <c r="O2474" t="s">
        <v>2086</v>
      </c>
    </row>
    <row r="2475" spans="1:15" ht="15" customHeight="1">
      <c r="A2475" s="321" t="s">
        <v>367</v>
      </c>
      <c r="B2475" t="str">
        <f>+_xlfn.XLOOKUP(Tabla6[[#This Row],[ID CLIENTE]],'RESUMEN CLIENTES'!D:D,'RESUMEN CLIENTES'!A:A)</f>
        <v>José Miguel Undurraga Saavedra</v>
      </c>
      <c r="C2475" t="str">
        <f>+_xlfn.XLOOKUP(Tabla6[[#This Row],[ID CLIENTE]],'RESUMEN CLIENTES'!D:D,'RESUMEN CLIENTES'!C:C)</f>
        <v>Chile</v>
      </c>
      <c r="D2475" s="169" t="str">
        <f>+_xlfn.XLOOKUP(Tabla6[[#This Row],[ID CLIENTE]],'RESUMEN CLIENTES'!D:D,'RESUMEN CLIENTES'!M:M)</f>
        <v>OK</v>
      </c>
      <c r="E2475" s="71">
        <f>+_xlfn.XLOOKUP(Tabla6[[#This Row],[NOMBRE]],'RESUMEN CLIENTES'!A:A,'RESUMEN CLIENTES'!X:X)</f>
        <v>-11.5</v>
      </c>
      <c r="F2475" s="71">
        <f>+_xlfn.XLOOKUP(Tabla6[[#This Row],[ID CLIENTE]],'RESUMEN CLIENTES'!D:D,'RESUMEN CLIENTES'!W:W)</f>
        <v>0</v>
      </c>
      <c r="G2475" s="17">
        <f>IF($H2475&lt;&gt;"ALEM","",IFERROR(
  DATE(
    YEAR(EDATE(
      _xlfn.XLOOKUP($A2475,'RESUMEN CLIENTES'!$D:$D,'RESUMEN CLIENTES'!$Y:$Y,""),
      7 + COUNTIFS(
            $A$2:INDEX($A:$A,ROW()), $A2475,
            $H$2:INDEX($H:$H,ROW()), "ALEM"
          )
    )),
    MONTH(EDATE(
      _xlfn.XLOOKUP($A2475,'RESUMEN CLIENTES'!$D:$D,'RESUMEN CLIENTES'!$Y:$Y,""),
      7 + COUNTIFS(
            $A$2:INDEX($A:$A,ROW()), $A2475,
            $H$2:INDEX($H:$H,ROW()), "ALEM"
          )
    )),
    1
  ),
"null"))</f>
        <v>46631</v>
      </c>
      <c r="H2475" s="169" t="s">
        <v>1876</v>
      </c>
      <c r="I2475" s="2">
        <v>1000</v>
      </c>
      <c r="J2475"/>
      <c r="K2475"/>
      <c r="L2475" s="44" t="str" cm="1">
        <f t="array" ref="L2475">+_xlfn.IFS(COUNTIF(INGRESOS!E:E,Tabla6[[#This Row],[ID FACTURA]])=1,"PAGADA",Tabla6[[#This Row],[ID FACTURA]]&lt;&gt;0,"EMITIDA",Tabla6[[#This Row],[ID FACTURA]]=0,"POR EMITIR")</f>
        <v>POR EMITIR</v>
      </c>
      <c r="M2475" s="54" t="str">
        <f>+IF(Tabla6[[#This Row],[ESTADO FACTURA]]="PAGADA",Tabla6[[#This Row],[FECHA]]-_xlfn.XLOOKUP(Tabla6[[#This Row],[N° FACTURA]],INGRESOS!F:F,INGRESOS!A:A),"-")</f>
        <v>-</v>
      </c>
      <c r="O2475" t="s">
        <v>2086</v>
      </c>
    </row>
    <row r="2476" spans="1:15" ht="15" customHeight="1">
      <c r="A2476" s="320" t="s">
        <v>1931</v>
      </c>
      <c r="B2476" t="str">
        <f>+_xlfn.XLOOKUP(Tabla6[[#This Row],[ID CLIENTE]],'RESUMEN CLIENTES'!D:D,'RESUMEN CLIENTES'!A:A)</f>
        <v>Josué Bernardo Reyes Flores</v>
      </c>
      <c r="C2476" t="str">
        <f>+_xlfn.XLOOKUP(Tabla6[[#This Row],[ID CLIENTE]],'RESUMEN CLIENTES'!D:D,'RESUMEN CLIENTES'!C:C)</f>
        <v>México</v>
      </c>
      <c r="D2476" s="169" t="str">
        <f>+_xlfn.XLOOKUP(Tabla6[[#This Row],[ID CLIENTE]],'RESUMEN CLIENTES'!D:D,'RESUMEN CLIENTES'!M:M)</f>
        <v>OK</v>
      </c>
      <c r="E2476" s="71">
        <f>+_xlfn.XLOOKUP(Tabla6[[#This Row],[NOMBRE]],'RESUMEN CLIENTES'!A:A,'RESUMEN CLIENTES'!X:X)</f>
        <v>0</v>
      </c>
      <c r="F2476" s="71">
        <f>+_xlfn.XLOOKUP(Tabla6[[#This Row],[ID CLIENTE]],'RESUMEN CLIENTES'!D:D,'RESUMEN CLIENTES'!W:W)</f>
        <v>1</v>
      </c>
      <c r="G2476" s="17">
        <f>IF($H2476&lt;&gt;"ALEM","",IFERROR(
  DATE(
    YEAR(EDATE(
      _xlfn.XLOOKUP($A2476,'RESUMEN CLIENTES'!$D:$D,'RESUMEN CLIENTES'!$Y:$Y,""),
      7 + COUNTIFS(
            $A$2:INDEX($A:$A,ROW()), $A2476,
            $H$2:INDEX($H:$H,ROW()), "ALEM"
          )
    )),
    MONTH(EDATE(
      _xlfn.XLOOKUP($A2476,'RESUMEN CLIENTES'!$D:$D,'RESUMEN CLIENTES'!$Y:$Y,""),
      7 + COUNTIFS(
            $A$2:INDEX($A:$A,ROW()), $A2476,
            $H$2:INDEX($H:$H,ROW()), "ALEM"
          )
    )),
    1
  ),
"null"))</f>
        <v>46631</v>
      </c>
      <c r="H2476" s="169" t="s">
        <v>1876</v>
      </c>
      <c r="I2476" s="2">
        <v>800</v>
      </c>
      <c r="J2476"/>
      <c r="K2476"/>
      <c r="L2476" s="44" t="str" cm="1">
        <f t="array" ref="L2476">+_xlfn.IFS(COUNTIF(INGRESOS!E:E,Tabla6[[#This Row],[ID FACTURA]])=1,"PAGADA",Tabla6[[#This Row],[ID FACTURA]]&lt;&gt;0,"EMITIDA",Tabla6[[#This Row],[ID FACTURA]]=0,"POR EMITIR")</f>
        <v>POR EMITIR</v>
      </c>
      <c r="M2476" s="54" t="str">
        <f>+IF(Tabla6[[#This Row],[ESTADO FACTURA]]="PAGADA",Tabla6[[#This Row],[FECHA]]-_xlfn.XLOOKUP(Tabla6[[#This Row],[N° FACTURA]],INGRESOS!F:F,INGRESOS!A:A),"-")</f>
        <v>-</v>
      </c>
      <c r="O2476"/>
    </row>
    <row r="2477" spans="1:15" ht="15" customHeight="1">
      <c r="A2477" s="320" t="s">
        <v>266</v>
      </c>
      <c r="B2477" t="str">
        <f>+_xlfn.XLOOKUP(Tabla6[[#This Row],[ID CLIENTE]],'RESUMEN CLIENTES'!D:D,'RESUMEN CLIENTES'!A:A)</f>
        <v>Juan Camilo Sanchez Ramirez</v>
      </c>
      <c r="C2477" t="str">
        <f>+_xlfn.XLOOKUP(Tabla6[[#This Row],[ID CLIENTE]],'RESUMEN CLIENTES'!D:D,'RESUMEN CLIENTES'!C:C)</f>
        <v>Colombia</v>
      </c>
      <c r="D2477" s="44" t="str">
        <f>+_xlfn.XLOOKUP(Tabla6[[#This Row],[ID CLIENTE]],'RESUMEN CLIENTES'!D:D,'RESUMEN CLIENTES'!M:M)</f>
        <v>OK</v>
      </c>
      <c r="E2477" s="72">
        <f>+_xlfn.XLOOKUP(Tabla6[[#This Row],[NOMBRE]],'RESUMEN CLIENTES'!A:A,'RESUMEN CLIENTES'!X:X)</f>
        <v>0.2</v>
      </c>
      <c r="F2477" s="72">
        <f>+_xlfn.XLOOKUP(Tabla6[[#This Row],[ID CLIENTE]],'RESUMEN CLIENTES'!D:D,'RESUMEN CLIENTES'!W:W)</f>
        <v>0</v>
      </c>
      <c r="G2477" s="17">
        <f>IF($H2477&lt;&gt;"ALEM","",IFERROR(
  DATE(
    YEAR(EDATE(
      _xlfn.XLOOKUP($A2477,'RESUMEN CLIENTES'!$D:$D,'RESUMEN CLIENTES'!$Y:$Y,""),
      7 + COUNTIFS(
            $A$2:INDEX($A:$A,ROW()), $A2477,
            $H$2:INDEX($H:$H,ROW()), "ALEM"
          )
    )),
    MONTH(EDATE(
      _xlfn.XLOOKUP($A2477,'RESUMEN CLIENTES'!$D:$D,'RESUMEN CLIENTES'!$Y:$Y,""),
      7 + COUNTIFS(
            $A$2:INDEX($A:$A,ROW()), $A2477,
            $H$2:INDEX($H:$H,ROW()), "ALEM"
          )
    )),
    1
  ),
"SIN FECHA MIG"))</f>
        <v>46631</v>
      </c>
      <c r="H2477" s="44" t="s">
        <v>1876</v>
      </c>
      <c r="I2477" s="2">
        <v>1000</v>
      </c>
      <c r="J2477"/>
      <c r="K2477"/>
      <c r="L2477" s="44" t="str" cm="1">
        <f t="array" ref="L2477">+_xlfn.IFS(COUNTIF(INGRESOS!E:E,Tabla6[[#This Row],[ID FACTURA]])=1,"PAGADA",Tabla6[[#This Row],[ID FACTURA]]&lt;&gt;0,"EMITIDA",Tabla6[[#This Row],[ID FACTURA]]=0,"POR EMITIR")</f>
        <v>POR EMITIR</v>
      </c>
      <c r="M2477" s="55" t="str">
        <f>+IF(Tabla6[[#This Row],[ESTADO FACTURA]]="PAGADA",Tabla6[[#This Row],[FECHA]]-_xlfn.XLOOKUP(Tabla6[[#This Row],[N° FACTURA]],INGRESOS!F:F,INGRESOS!A:A),"-")</f>
        <v>-</v>
      </c>
      <c r="N2477" s="2"/>
      <c r="O2477"/>
    </row>
    <row r="2478" spans="1:15" ht="15" customHeight="1">
      <c r="A2478" s="320" t="s">
        <v>798</v>
      </c>
      <c r="B2478" t="str">
        <f>+_xlfn.XLOOKUP(Tabla6[[#This Row],[ID CLIENTE]],'RESUMEN CLIENTES'!D:D,'RESUMEN CLIENTES'!A:A)</f>
        <v>Juan Manuel Paranzino</v>
      </c>
      <c r="C2478" t="str">
        <f>+_xlfn.XLOOKUP(Tabla6[[#This Row],[ID CLIENTE]],'RESUMEN CLIENTES'!D:D,'RESUMEN CLIENTES'!C:C)</f>
        <v>Argentina</v>
      </c>
      <c r="D2478" s="44" t="str">
        <f>+_xlfn.XLOOKUP(Tabla6[[#This Row],[ID CLIENTE]],'RESUMEN CLIENTES'!D:D,'RESUMEN CLIENTES'!M:M)</f>
        <v>OK</v>
      </c>
      <c r="E2478" s="72">
        <f>+_xlfn.XLOOKUP(Tabla6[[#This Row],[NOMBRE]],'RESUMEN CLIENTES'!A:A,'RESUMEN CLIENTES'!X:X)</f>
        <v>-1</v>
      </c>
      <c r="F2478" s="72">
        <f>+_xlfn.XLOOKUP(Tabla6[[#This Row],[ID CLIENTE]],'RESUMEN CLIENTES'!D:D,'RESUMEN CLIENTES'!W:W)</f>
        <v>0</v>
      </c>
      <c r="G2478" s="17">
        <f>IF($H2478&lt;&gt;"ALEM","",IFERROR(
  DATE(
    YEAR(EDATE(
      _xlfn.XLOOKUP($A2478,'RESUMEN CLIENTES'!$D:$D,'RESUMEN CLIENTES'!$Y:$Y,""),
      7 + COUNTIFS(
            $A$2:INDEX($A:$A,ROW()), $A2478,
            $H$2:INDEX($H:$H,ROW()), "ALEM"
          )
    )),
    MONTH(EDATE(
      _xlfn.XLOOKUP($A2478,'RESUMEN CLIENTES'!$D:$D,'RESUMEN CLIENTES'!$Y:$Y,""),
      7 + COUNTIFS(
            $A$2:INDEX($A:$A,ROW()), $A2478,
            $H$2:INDEX($H:$H,ROW()), "ALEM"
          )
    )),
    1
  ),
"SIN FECHA MIG"))</f>
        <v>46631</v>
      </c>
      <c r="H2478" s="44" t="s">
        <v>1876</v>
      </c>
      <c r="I2478" s="2">
        <v>1000</v>
      </c>
      <c r="J2478"/>
      <c r="K2478"/>
      <c r="L2478" s="44" t="str" cm="1">
        <f t="array" ref="L2478">+_xlfn.IFS(COUNTIF(INGRESOS!E:E,Tabla6[[#This Row],[ID FACTURA]])=1,"PAGADA",Tabla6[[#This Row],[ID FACTURA]]&lt;&gt;0,"EMITIDA",Tabla6[[#This Row],[ID FACTURA]]=0,"POR EMITIR")</f>
        <v>POR EMITIR</v>
      </c>
      <c r="M2478" s="55" t="str">
        <f>+IF(Tabla6[[#This Row],[ESTADO FACTURA]]="PAGADA",Tabla6[[#This Row],[FECHA]]-_xlfn.XLOOKUP(Tabla6[[#This Row],[N° FACTURA]],INGRESOS!F:F,INGRESOS!A:A),"-")</f>
        <v>-</v>
      </c>
      <c r="N2478" s="2"/>
      <c r="O2478" t="s">
        <v>2084</v>
      </c>
    </row>
    <row r="2479" spans="1:15" ht="15" customHeight="1">
      <c r="A2479" s="320" t="s">
        <v>1461</v>
      </c>
      <c r="B2479" t="str">
        <f>+_xlfn.XLOOKUP(Tabla6[[#This Row],[ID CLIENTE]],'RESUMEN CLIENTES'!D:D,'RESUMEN CLIENTES'!A:A)</f>
        <v>Katerine Marianela Verastegui Mendoza</v>
      </c>
      <c r="C2479" t="str">
        <f>+_xlfn.XLOOKUP(Tabla6[[#This Row],[ID CLIENTE]],'RESUMEN CLIENTES'!D:D,'RESUMEN CLIENTES'!C:C)</f>
        <v>Perú</v>
      </c>
      <c r="D2479" s="44" t="str">
        <f>+_xlfn.XLOOKUP(Tabla6[[#This Row],[ID CLIENTE]],'RESUMEN CLIENTES'!D:D,'RESUMEN CLIENTES'!M:M)</f>
        <v>OK</v>
      </c>
      <c r="E2479" s="71">
        <f>+_xlfn.XLOOKUP(Tabla6[[#This Row],[NOMBRE]],'RESUMEN CLIENTES'!A:A,'RESUMEN CLIENTES'!X:X)</f>
        <v>-2</v>
      </c>
      <c r="F2479" s="71">
        <f>+_xlfn.XLOOKUP(Tabla6[[#This Row],[ID CLIENTE]],'RESUMEN CLIENTES'!D:D,'RESUMEN CLIENTES'!W:W)</f>
        <v>0</v>
      </c>
      <c r="G2479" s="17">
        <f>IF($H2479&lt;&gt;"ALEM","",IFERROR(
  DATE(
    YEAR(EDATE(
      _xlfn.XLOOKUP($A2479,'RESUMEN CLIENTES'!$D:$D,'RESUMEN CLIENTES'!$Y:$Y,""),
      7 + COUNTIFS(
            $A$2:INDEX($A:$A,ROW()), $A2479,
            $H$2:INDEX($H:$H,ROW()), "ALEM"
          )
    )),
    MONTH(EDATE(
      _xlfn.XLOOKUP($A2479,'RESUMEN CLIENTES'!$D:$D,'RESUMEN CLIENTES'!$Y:$Y,""),
      7 + COUNTIFS(
            $A$2:INDEX($A:$A,ROW()), $A2479,
            $H$2:INDEX($H:$H,ROW()), "ALEM"
          )
    )),
    1
  ),
"SIN FECHA MIG"))</f>
        <v>46631</v>
      </c>
      <c r="H2479" s="169" t="s">
        <v>1876</v>
      </c>
      <c r="I2479" s="2">
        <v>1000</v>
      </c>
      <c r="J2479"/>
      <c r="K2479"/>
      <c r="L2479" s="44" t="str" cm="1">
        <f t="array" ref="L2479">+_xlfn.IFS(COUNTIF(INGRESOS!E:E,Tabla6[[#This Row],[ID FACTURA]])=1,"PAGADA",Tabla6[[#This Row],[ID FACTURA]]&lt;&gt;0,"EMITIDA",Tabla6[[#This Row],[ID FACTURA]]=0,"POR EMITIR")</f>
        <v>POR EMITIR</v>
      </c>
      <c r="M2479" s="55" t="str">
        <f>+IF(Tabla6[[#This Row],[ESTADO FACTURA]]="PAGADA",Tabla6[[#This Row],[FECHA]]-_xlfn.XLOOKUP(Tabla6[[#This Row],[N° FACTURA]],INGRESOS!F:F,INGRESOS!A:A),"-")</f>
        <v>-</v>
      </c>
      <c r="N2479" s="2"/>
      <c r="O2479" t="s">
        <v>2086</v>
      </c>
    </row>
    <row r="2480" spans="1:15" ht="15" customHeight="1">
      <c r="A2480" s="320" t="s">
        <v>501</v>
      </c>
      <c r="B2480" t="str">
        <f>+_xlfn.XLOOKUP(Tabla6[[#This Row],[ID CLIENTE]],'RESUMEN CLIENTES'!D:D,'RESUMEN CLIENTES'!A:A)</f>
        <v>Kimberly Chantelle Frey Arteaga</v>
      </c>
      <c r="C2480" t="str">
        <f>+_xlfn.XLOOKUP(Tabla6[[#This Row],[ID CLIENTE]],'RESUMEN CLIENTES'!D:D,'RESUMEN CLIENTES'!C:C)</f>
        <v>México</v>
      </c>
      <c r="D2480" s="44" t="str">
        <f>+_xlfn.XLOOKUP(Tabla6[[#This Row],[ID CLIENTE]],'RESUMEN CLIENTES'!D:D,'RESUMEN CLIENTES'!M:M)</f>
        <v>OK</v>
      </c>
      <c r="E2480" s="72">
        <f>+_xlfn.XLOOKUP(Tabla6[[#This Row],[NOMBRE]],'RESUMEN CLIENTES'!A:A,'RESUMEN CLIENTES'!X:X)</f>
        <v>0</v>
      </c>
      <c r="F2480" s="72">
        <f>+_xlfn.XLOOKUP(Tabla6[[#This Row],[ID CLIENTE]],'RESUMEN CLIENTES'!D:D,'RESUMEN CLIENTES'!W:W)</f>
        <v>1</v>
      </c>
      <c r="G2480" s="17">
        <f>IF($H2480&lt;&gt;"ALEM","",IFERROR(
  DATE(
    YEAR(EDATE(
      _xlfn.XLOOKUP($A2480,'RESUMEN CLIENTES'!$D:$D,'RESUMEN CLIENTES'!$Y:$Y,""),
      7 + COUNTIFS(
            $A$2:INDEX($A:$A,ROW()), $A2480,
            $H$2:INDEX($H:$H,ROW()), "ALEM"
          )
    )),
    MONTH(EDATE(
      _xlfn.XLOOKUP($A2480,'RESUMEN CLIENTES'!$D:$D,'RESUMEN CLIENTES'!$Y:$Y,""),
      7 + COUNTIFS(
            $A$2:INDEX($A:$A,ROW()), $A2480,
            $H$2:INDEX($H:$H,ROW()), "ALEM"
          )
    )),
    1
  ),
"SIN FECHA MIG"))</f>
        <v>46631</v>
      </c>
      <c r="H2480" s="44" t="s">
        <v>1876</v>
      </c>
      <c r="I2480" s="2">
        <v>1000</v>
      </c>
      <c r="J2480"/>
      <c r="K2480"/>
      <c r="L2480" s="44" t="str" cm="1">
        <f t="array" ref="L2480">+_xlfn.IFS(COUNTIF(INGRESOS!E:E,Tabla6[[#This Row],[ID FACTURA]])=1,"PAGADA",Tabla6[[#This Row],[ID FACTURA]]&lt;&gt;0,"EMITIDA",Tabla6[[#This Row],[ID FACTURA]]=0,"POR EMITIR")</f>
        <v>POR EMITIR</v>
      </c>
      <c r="M2480" s="55" t="str">
        <f>+IF(Tabla6[[#This Row],[ESTADO FACTURA]]="PAGADA",Tabla6[[#This Row],[FECHA]]-_xlfn.XLOOKUP(Tabla6[[#This Row],[N° FACTURA]],INGRESOS!F:F,INGRESOS!A:A),"-")</f>
        <v>-</v>
      </c>
      <c r="N2480" s="2"/>
      <c r="O2480"/>
    </row>
    <row r="2481" spans="1:15" ht="15" customHeight="1">
      <c r="A2481" s="320" t="s">
        <v>703</v>
      </c>
      <c r="B2481" t="str">
        <f>+_xlfn.XLOOKUP(Tabla6[[#This Row],[ID CLIENTE]],'RESUMEN CLIENTES'!D:D,'RESUMEN CLIENTES'!A:A)</f>
        <v>Maira Paz Navas Sánchez</v>
      </c>
      <c r="C2481" t="str">
        <f>+_xlfn.XLOOKUP(Tabla6[[#This Row],[ID CLIENTE]],'RESUMEN CLIENTES'!D:D,'RESUMEN CLIENTES'!C:C)</f>
        <v>Chile</v>
      </c>
      <c r="D2481" s="44" t="str">
        <f>+_xlfn.XLOOKUP(Tabla6[[#This Row],[ID CLIENTE]],'RESUMEN CLIENTES'!D:D,'RESUMEN CLIENTES'!M:M)</f>
        <v>OK</v>
      </c>
      <c r="E2481" s="72">
        <f>+_xlfn.XLOOKUP(Tabla6[[#This Row],[NOMBRE]],'RESUMEN CLIENTES'!A:A,'RESUMEN CLIENTES'!X:X)</f>
        <v>-1.75</v>
      </c>
      <c r="F2481" s="72">
        <f>+_xlfn.XLOOKUP(Tabla6[[#This Row],[ID CLIENTE]],'RESUMEN CLIENTES'!D:D,'RESUMEN CLIENTES'!W:W)</f>
        <v>1</v>
      </c>
      <c r="G2481" s="17">
        <f>IF($H2481&lt;&gt;"ALEM","",IFERROR(
  DATE(
    YEAR(EDATE(
      _xlfn.XLOOKUP($A2481,'RESUMEN CLIENTES'!$D:$D,'RESUMEN CLIENTES'!$Y:$Y,""),
      7 + COUNTIFS(
            $A$2:INDEX($A:$A,ROW()), $A2481,
            $H$2:INDEX($H:$H,ROW()), "ALEM"
          )
    )),
    MONTH(EDATE(
      _xlfn.XLOOKUP($A2481,'RESUMEN CLIENTES'!$D:$D,'RESUMEN CLIENTES'!$Y:$Y,""),
      7 + COUNTIFS(
            $A$2:INDEX($A:$A,ROW()), $A2481,
            $H$2:INDEX($H:$H,ROW()), "ALEM"
          )
    )),
    1
  ),
"SIN FECHA MIG"))</f>
        <v>46631</v>
      </c>
      <c r="H2481" s="44" t="s">
        <v>1876</v>
      </c>
      <c r="I2481" s="2">
        <v>1000</v>
      </c>
      <c r="J2481"/>
      <c r="K2481"/>
      <c r="L2481" s="44" t="str" cm="1">
        <f t="array" ref="L2481">+_xlfn.IFS(COUNTIF(INGRESOS!E:E,Tabla6[[#This Row],[ID FACTURA]])=1,"PAGADA",Tabla6[[#This Row],[ID FACTURA]]&lt;&gt;0,"EMITIDA",Tabla6[[#This Row],[ID FACTURA]]=0,"POR EMITIR")</f>
        <v>POR EMITIR</v>
      </c>
      <c r="M2481" s="55" t="str">
        <f>+IF(Tabla6[[#This Row],[ESTADO FACTURA]]="PAGADA",Tabla6[[#This Row],[FECHA]]-_xlfn.XLOOKUP(Tabla6[[#This Row],[N° FACTURA]],INGRESOS!F:F,INGRESOS!A:A),"-")</f>
        <v>-</v>
      </c>
      <c r="N2481" s="2"/>
      <c r="O2481" t="s">
        <v>2084</v>
      </c>
    </row>
    <row r="2482" spans="1:15" ht="15" customHeight="1">
      <c r="A2482" s="320" t="s">
        <v>1551</v>
      </c>
      <c r="B2482" t="str">
        <f>+_xlfn.XLOOKUP(Tabla6[[#This Row],[ID CLIENTE]],'RESUMEN CLIENTES'!D:D,'RESUMEN CLIENTES'!A:A)</f>
        <v>María Fernanda Cid Ramírez</v>
      </c>
      <c r="C2482" t="str">
        <f>+_xlfn.XLOOKUP(Tabla6[[#This Row],[ID CLIENTE]],'RESUMEN CLIENTES'!D:D,'RESUMEN CLIENTES'!C:C)</f>
        <v>México</v>
      </c>
      <c r="D2482" s="44" t="str">
        <f>+_xlfn.XLOOKUP(Tabla6[[#This Row],[ID CLIENTE]],'RESUMEN CLIENTES'!D:D,'RESUMEN CLIENTES'!M:M)</f>
        <v>OK</v>
      </c>
      <c r="E2482" s="71">
        <f>+_xlfn.XLOOKUP(Tabla6[[#This Row],[NOMBRE]],'RESUMEN CLIENTES'!A:A,'RESUMEN CLIENTES'!X:X)</f>
        <v>-0.8571428571428571</v>
      </c>
      <c r="F2482" s="71">
        <f>+_xlfn.XLOOKUP(Tabla6[[#This Row],[ID CLIENTE]],'RESUMEN CLIENTES'!D:D,'RESUMEN CLIENTES'!W:W)</f>
        <v>0</v>
      </c>
      <c r="G2482" s="17">
        <f>IF($H2482&lt;&gt;"ALEM","",IFERROR(
  DATE(
    YEAR(EDATE(
      _xlfn.XLOOKUP($A2482,'RESUMEN CLIENTES'!$D:$D,'RESUMEN CLIENTES'!$Y:$Y,""),
      7 + COUNTIFS(
            $A$2:INDEX($A:$A,ROW()), $A2482,
            $H$2:INDEX($H:$H,ROW()), "ALEM"
          )
    )),
    MONTH(EDATE(
      _xlfn.XLOOKUP($A2482,'RESUMEN CLIENTES'!$D:$D,'RESUMEN CLIENTES'!$Y:$Y,""),
      7 + COUNTIFS(
            $A$2:INDEX($A:$A,ROW()), $A2482,
            $H$2:INDEX($H:$H,ROW()), "ALEM"
          )
    )),
    1
  ),
"SIN FECHA MIG"))</f>
        <v>46631</v>
      </c>
      <c r="H2482" s="169" t="s">
        <v>1876</v>
      </c>
      <c r="I2482" s="2">
        <v>800</v>
      </c>
      <c r="J2482"/>
      <c r="K2482"/>
      <c r="L2482" s="44" t="str" cm="1">
        <f t="array" ref="L2482">+_xlfn.IFS(COUNTIF(INGRESOS!E:E,Tabla6[[#This Row],[ID FACTURA]])=1,"PAGADA",Tabla6[[#This Row],[ID FACTURA]]&lt;&gt;0,"EMITIDA",Tabla6[[#This Row],[ID FACTURA]]=0,"POR EMITIR")</f>
        <v>POR EMITIR</v>
      </c>
      <c r="M2482" s="55" t="str">
        <f>+IF(Tabla6[[#This Row],[ESTADO FACTURA]]="PAGADA",Tabla6[[#This Row],[FECHA]]-_xlfn.XLOOKUP(Tabla6[[#This Row],[N° FACTURA]],INGRESOS!F:F,INGRESOS!A:A),"-")</f>
        <v>-</v>
      </c>
      <c r="N2482" s="2"/>
      <c r="O2482" t="s">
        <v>2086</v>
      </c>
    </row>
    <row r="2483" spans="1:15" ht="15" customHeight="1">
      <c r="A2483" s="320" t="s">
        <v>1201</v>
      </c>
      <c r="B2483" t="str">
        <f>+_xlfn.XLOOKUP(Tabla6[[#This Row],[ID CLIENTE]],'RESUMEN CLIENTES'!D:D,'RESUMEN CLIENTES'!A:A)</f>
        <v>María Soledad Tituana Asanza</v>
      </c>
      <c r="C2483" t="str">
        <f>+_xlfn.XLOOKUP(Tabla6[[#This Row],[ID CLIENTE]],'RESUMEN CLIENTES'!D:D,'RESUMEN CLIENTES'!C:C)</f>
        <v>Ecuador</v>
      </c>
      <c r="D2483" s="44" t="str">
        <f>+_xlfn.XLOOKUP(Tabla6[[#This Row],[ID CLIENTE]],'RESUMEN CLIENTES'!D:D,'RESUMEN CLIENTES'!M:M)</f>
        <v>OK</v>
      </c>
      <c r="E2483" s="72">
        <f>+_xlfn.XLOOKUP(Tabla6[[#This Row],[NOMBRE]],'RESUMEN CLIENTES'!A:A,'RESUMEN CLIENTES'!X:X)</f>
        <v>-0.16666666666666666</v>
      </c>
      <c r="F2483" s="72">
        <f>+_xlfn.XLOOKUP(Tabla6[[#This Row],[ID CLIENTE]],'RESUMEN CLIENTES'!D:D,'RESUMEN CLIENTES'!W:W)</f>
        <v>0</v>
      </c>
      <c r="G2483" s="17">
        <f>IF($H2483&lt;&gt;"ALEM","",IFERROR(
  DATE(
    YEAR(EDATE(
      _xlfn.XLOOKUP($A2483,'RESUMEN CLIENTES'!$D:$D,'RESUMEN CLIENTES'!$Y:$Y,""),
      7 + COUNTIFS(
            $A$2:INDEX($A:$A,ROW()), $A2483,
            $H$2:INDEX($H:$H,ROW()), "ALEM"
          )
    )),
    MONTH(EDATE(
      _xlfn.XLOOKUP($A2483,'RESUMEN CLIENTES'!$D:$D,'RESUMEN CLIENTES'!$Y:$Y,""),
      7 + COUNTIFS(
            $A$2:INDEX($A:$A,ROW()), $A2483,
            $H$2:INDEX($H:$H,ROW()), "ALEM"
          )
    )),
    1
  ),
"SIN FECHA MIG"))</f>
        <v>46631</v>
      </c>
      <c r="H2483" s="44" t="s">
        <v>1876</v>
      </c>
      <c r="I2483" s="2">
        <v>1000</v>
      </c>
      <c r="J2483"/>
      <c r="K2483"/>
      <c r="L2483" s="44" t="str" cm="1">
        <f t="array" ref="L2483">+_xlfn.IFS(COUNTIF(INGRESOS!E:E,Tabla6[[#This Row],[ID FACTURA]])=1,"PAGADA",Tabla6[[#This Row],[ID FACTURA]]&lt;&gt;0,"EMITIDA",Tabla6[[#This Row],[ID FACTURA]]=0,"POR EMITIR")</f>
        <v>POR EMITIR</v>
      </c>
      <c r="M2483" s="55" t="str">
        <f>+IF(Tabla6[[#This Row],[ESTADO FACTURA]]="PAGADA",Tabla6[[#This Row],[FECHA]]-_xlfn.XLOOKUP(Tabla6[[#This Row],[N° FACTURA]],INGRESOS!F:F,INGRESOS!A:A),"-")</f>
        <v>-</v>
      </c>
      <c r="N2483" s="2"/>
      <c r="O2483" t="s">
        <v>2084</v>
      </c>
    </row>
    <row r="2484" spans="1:15" ht="15" customHeight="1">
      <c r="A2484" s="320" t="s">
        <v>1155</v>
      </c>
      <c r="B2484" t="str">
        <f>+_xlfn.XLOOKUP(Tabla6[[#This Row],[ID CLIENTE]],'RESUMEN CLIENTES'!D:D,'RESUMEN CLIENTES'!A:A)</f>
        <v>Mario Arciga Casián</v>
      </c>
      <c r="C2484" t="str">
        <f>+_xlfn.XLOOKUP(Tabla6[[#This Row],[ID CLIENTE]],'RESUMEN CLIENTES'!D:D,'RESUMEN CLIENTES'!C:C)</f>
        <v>México</v>
      </c>
      <c r="D2484" s="44" t="str">
        <f>+_xlfn.XLOOKUP(Tabla6[[#This Row],[ID CLIENTE]],'RESUMEN CLIENTES'!D:D,'RESUMEN CLIENTES'!M:M)</f>
        <v>OK</v>
      </c>
      <c r="E2484" s="72">
        <f>+_xlfn.XLOOKUP(Tabla6[[#This Row],[NOMBRE]],'RESUMEN CLIENTES'!A:A,'RESUMEN CLIENTES'!X:X)</f>
        <v>-0.66666666666666663</v>
      </c>
      <c r="F2484" s="72">
        <f>+_xlfn.XLOOKUP(Tabla6[[#This Row],[ID CLIENTE]],'RESUMEN CLIENTES'!D:D,'RESUMEN CLIENTES'!W:W)</f>
        <v>1</v>
      </c>
      <c r="G2484" s="17">
        <f>IF($H2484&lt;&gt;"ALEM","",IFERROR(
  DATE(
    YEAR(EDATE(
      _xlfn.XLOOKUP($A2484,'RESUMEN CLIENTES'!$D:$D,'RESUMEN CLIENTES'!$Y:$Y,""),
      7 + COUNTIFS(
            $A$2:INDEX($A:$A,ROW()), $A2484,
            $H$2:INDEX($H:$H,ROW()), "ALEM"
          )
    )),
    MONTH(EDATE(
      _xlfn.XLOOKUP($A2484,'RESUMEN CLIENTES'!$D:$D,'RESUMEN CLIENTES'!$Y:$Y,""),
      7 + COUNTIFS(
            $A$2:INDEX($A:$A,ROW()), $A2484,
            $H$2:INDEX($H:$H,ROW()), "ALEM"
          )
    )),
    1
  ),
"SIN FECHA MIG"))</f>
        <v>46631</v>
      </c>
      <c r="H2484" s="44" t="s">
        <v>1876</v>
      </c>
      <c r="I2484" s="2">
        <v>800</v>
      </c>
      <c r="J2484"/>
      <c r="K2484"/>
      <c r="L2484" s="44" t="str" cm="1">
        <f t="array" ref="L2484">+_xlfn.IFS(COUNTIF(INGRESOS!E:E,Tabla6[[#This Row],[ID FACTURA]])=1,"PAGADA",Tabla6[[#This Row],[ID FACTURA]]&lt;&gt;0,"EMITIDA",Tabla6[[#This Row],[ID FACTURA]]=0,"POR EMITIR")</f>
        <v>POR EMITIR</v>
      </c>
      <c r="M2484" s="55" t="str">
        <f>+IF(Tabla6[[#This Row],[ESTADO FACTURA]]="PAGADA",Tabla6[[#This Row],[FECHA]]-_xlfn.XLOOKUP(Tabla6[[#This Row],[N° FACTURA]],INGRESOS!F:F,INGRESOS!A:A),"-")</f>
        <v>-</v>
      </c>
      <c r="N2484" s="2"/>
      <c r="O2484"/>
    </row>
    <row r="2485" spans="1:15" ht="15" customHeight="1">
      <c r="A2485" s="320" t="s">
        <v>4509</v>
      </c>
      <c r="B2485" t="str">
        <f>+_xlfn.XLOOKUP(Tabla6[[#This Row],[ID CLIENTE]],'RESUMEN CLIENTES'!D:D,'RESUMEN CLIENTES'!A:A)</f>
        <v>Marisol Madeleine Ibáñez Paredes</v>
      </c>
      <c r="C2485" t="str">
        <f>+_xlfn.XLOOKUP(Tabla6[[#This Row],[ID CLIENTE]],'RESUMEN CLIENTES'!D:D,'RESUMEN CLIENTES'!C:C)</f>
        <v>Ecuador</v>
      </c>
      <c r="D2485" s="169" t="str">
        <f>+_xlfn.XLOOKUP(Tabla6[[#This Row],[ID CLIENTE]],'RESUMEN CLIENTES'!D:D,'RESUMEN CLIENTES'!M:M)</f>
        <v>OK</v>
      </c>
      <c r="E2485" s="71">
        <f>+_xlfn.XLOOKUP(Tabla6[[#This Row],[NOMBRE]],'RESUMEN CLIENTES'!A:A,'RESUMEN CLIENTES'!X:X)</f>
        <v>-3</v>
      </c>
      <c r="F2485" s="71">
        <f>+_xlfn.XLOOKUP(Tabla6[[#This Row],[ID CLIENTE]],'RESUMEN CLIENTES'!D:D,'RESUMEN CLIENTES'!W:W)</f>
        <v>0</v>
      </c>
      <c r="G2485" s="17">
        <f>IF($H2485&lt;&gt;"ALEM","",IFERROR(
  DATE(
    YEAR(EDATE(
      _xlfn.XLOOKUP($A2485,'RESUMEN CLIENTES'!$D:$D,'RESUMEN CLIENTES'!$Y:$Y,""),
      7 + COUNTIFS(
            $A$2:INDEX($A:$A,ROW()), $A2485,
            $H$2:INDEX($H:$H,ROW()), "ALEM"
          )
    )),
    MONTH(EDATE(
      _xlfn.XLOOKUP($A2485,'RESUMEN CLIENTES'!$D:$D,'RESUMEN CLIENTES'!$Y:$Y,""),
      7 + COUNTIFS(
            $A$2:INDEX($A:$A,ROW()), $A2485,
            $H$2:INDEX($H:$H,ROW()), "ALEM"
          )
    )),
    1
  ),
"null"))</f>
        <v>46631</v>
      </c>
      <c r="H2485" s="169" t="s">
        <v>1876</v>
      </c>
      <c r="I2485" s="2">
        <v>900</v>
      </c>
      <c r="J2485"/>
      <c r="K2485"/>
      <c r="L2485" s="44" t="str" cm="1">
        <f t="array" ref="L2485">+_xlfn.IFS(COUNTIF(INGRESOS!E:E,Tabla6[[#This Row],[ID FACTURA]])=1,"PAGADA",Tabla6[[#This Row],[ID FACTURA]]&lt;&gt;0,"EMITIDA",Tabla6[[#This Row],[ID FACTURA]]=0,"POR EMITIR")</f>
        <v>POR EMITIR</v>
      </c>
      <c r="M2485" s="54" t="str">
        <f>+IF(Tabla6[[#This Row],[ESTADO FACTURA]]="PAGADA",Tabla6[[#This Row],[FECHA]]-_xlfn.XLOOKUP(Tabla6[[#This Row],[N° FACTURA]],INGRESOS!F:F,INGRESOS!A:A),"-")</f>
        <v>-</v>
      </c>
      <c r="O2485"/>
    </row>
    <row r="2486" spans="1:15" ht="15" customHeight="1">
      <c r="A2486" s="320" t="s">
        <v>314</v>
      </c>
      <c r="B2486" t="str">
        <f>+_xlfn.XLOOKUP(Tabla6[[#This Row],[ID CLIENTE]],'RESUMEN CLIENTES'!D:D,'RESUMEN CLIENTES'!A:A)</f>
        <v>Miguel Angel Sisalima Shiña</v>
      </c>
      <c r="C2486" t="str">
        <f>+_xlfn.XLOOKUP(Tabla6[[#This Row],[ID CLIENTE]],'RESUMEN CLIENTES'!D:D,'RESUMEN CLIENTES'!C:C)</f>
        <v>Ecuador</v>
      </c>
      <c r="D2486" s="44" t="str">
        <f>+_xlfn.XLOOKUP(Tabla6[[#This Row],[ID CLIENTE]],'RESUMEN CLIENTES'!D:D,'RESUMEN CLIENTES'!M:M)</f>
        <v>OK</v>
      </c>
      <c r="E2486" s="72">
        <f>+_xlfn.XLOOKUP(Tabla6[[#This Row],[NOMBRE]],'RESUMEN CLIENTES'!A:A,'RESUMEN CLIENTES'!X:X)</f>
        <v>0.6</v>
      </c>
      <c r="F2486" s="72">
        <f>+_xlfn.XLOOKUP(Tabla6[[#This Row],[ID CLIENTE]],'RESUMEN CLIENTES'!D:D,'RESUMEN CLIENTES'!W:W)</f>
        <v>0</v>
      </c>
      <c r="G2486" s="17">
        <f>IF($H2486&lt;&gt;"ALEM","",IFERROR(
  DATE(
    YEAR(EDATE(
      _xlfn.XLOOKUP($A2486,'RESUMEN CLIENTES'!$D:$D,'RESUMEN CLIENTES'!$Y:$Y,""),
      7 + COUNTIFS(
            $A$2:INDEX($A:$A,ROW()), $A2486,
            $H$2:INDEX($H:$H,ROW()), "ALEM"
          )
    )),
    MONTH(EDATE(
      _xlfn.XLOOKUP($A2486,'RESUMEN CLIENTES'!$D:$D,'RESUMEN CLIENTES'!$Y:$Y,""),
      7 + COUNTIFS(
            $A$2:INDEX($A:$A,ROW()), $A2486,
            $H$2:INDEX($H:$H,ROW()), "ALEM"
          )
    )),
    1
  ),
"SIN FECHA MIG"))</f>
        <v>46631</v>
      </c>
      <c r="H2486" s="44" t="s">
        <v>1876</v>
      </c>
      <c r="I2486" s="2">
        <v>1000</v>
      </c>
      <c r="J2486"/>
      <c r="K2486"/>
      <c r="L2486" s="44" t="str" cm="1">
        <f t="array" ref="L2486">+_xlfn.IFS(COUNTIF(INGRESOS!E:E,Tabla6[[#This Row],[ID FACTURA]])=1,"PAGADA",Tabla6[[#This Row],[ID FACTURA]]&lt;&gt;0,"EMITIDA",Tabla6[[#This Row],[ID FACTURA]]=0,"POR EMITIR")</f>
        <v>POR EMITIR</v>
      </c>
      <c r="M2486" s="55" t="str">
        <f>+IF(Tabla6[[#This Row],[ESTADO FACTURA]]="PAGADA",Tabla6[[#This Row],[FECHA]]-_xlfn.XLOOKUP(Tabla6[[#This Row],[N° FACTURA]],INGRESOS!F:F,INGRESOS!A:A),"-")</f>
        <v>-</v>
      </c>
      <c r="N2486" s="2"/>
      <c r="O2486"/>
    </row>
    <row r="2487" spans="1:15" ht="15" customHeight="1">
      <c r="A2487" s="320" t="s">
        <v>1658</v>
      </c>
      <c r="B2487" t="str">
        <f>+_xlfn.XLOOKUP(Tabla6[[#This Row],[ID CLIENTE]],'RESUMEN CLIENTES'!D:D,'RESUMEN CLIENTES'!A:A)</f>
        <v>Nadya Sofía García Carrasco</v>
      </c>
      <c r="C2487" t="str">
        <f>+_xlfn.XLOOKUP(Tabla6[[#This Row],[ID CLIENTE]],'RESUMEN CLIENTES'!D:D,'RESUMEN CLIENTES'!C:C)</f>
        <v>Ecuador</v>
      </c>
      <c r="D2487" s="169" t="str">
        <f>+_xlfn.XLOOKUP(Tabla6[[#This Row],[ID CLIENTE]],'RESUMEN CLIENTES'!D:D,'RESUMEN CLIENTES'!M:M)</f>
        <v>OK</v>
      </c>
      <c r="E2487" s="71">
        <f>+_xlfn.XLOOKUP(Tabla6[[#This Row],[NOMBRE]],'RESUMEN CLIENTES'!A:A,'RESUMEN CLIENTES'!X:X)</f>
        <v>0</v>
      </c>
      <c r="F2487" s="71">
        <f>+_xlfn.XLOOKUP(Tabla6[[#This Row],[ID CLIENTE]],'RESUMEN CLIENTES'!D:D,'RESUMEN CLIENTES'!W:W)</f>
        <v>1</v>
      </c>
      <c r="G2487" s="17">
        <f>IF($H2487&lt;&gt;"ALEM","",IFERROR(
  DATE(
    YEAR(EDATE(
      _xlfn.XLOOKUP($A2487,'RESUMEN CLIENTES'!$D:$D,'RESUMEN CLIENTES'!$Y:$Y,""),
      7 + COUNTIFS(
            $A$2:INDEX($A:$A,ROW()), $A2487,
            $H$2:INDEX($H:$H,ROW()), "ALEM"
          )
    )),
    MONTH(EDATE(
      _xlfn.XLOOKUP($A2487,'RESUMEN CLIENTES'!$D:$D,'RESUMEN CLIENTES'!$Y:$Y,""),
      7 + COUNTIFS(
            $A$2:INDEX($A:$A,ROW()), $A2487,
            $H$2:INDEX($H:$H,ROW()), "ALEM"
          )
    )),
    1
  ),
"SIN FECHA MIG"))</f>
        <v>46631</v>
      </c>
      <c r="H2487" s="169" t="s">
        <v>1876</v>
      </c>
      <c r="I2487" s="2">
        <v>800</v>
      </c>
      <c r="J2487"/>
      <c r="K2487"/>
      <c r="L2487" s="44" t="str" cm="1">
        <f t="array" ref="L2487">+_xlfn.IFS(COUNTIF(INGRESOS!E:E,Tabla6[[#This Row],[ID FACTURA]])=1,"PAGADA",Tabla6[[#This Row],[ID FACTURA]]&lt;&gt;0,"EMITIDA",Tabla6[[#This Row],[ID FACTURA]]=0,"POR EMITIR")</f>
        <v>POR EMITIR</v>
      </c>
      <c r="M2487" s="55" t="str">
        <f>+IF(Tabla6[[#This Row],[ESTADO FACTURA]]="PAGADA",Tabla6[[#This Row],[FECHA]]-_xlfn.XLOOKUP(Tabla6[[#This Row],[N° FACTURA]],INGRESOS!F:F,INGRESOS!A:A),"-")</f>
        <v>-</v>
      </c>
      <c r="O2487"/>
    </row>
    <row r="2488" spans="1:15" ht="15" customHeight="1">
      <c r="A2488" s="320" t="s">
        <v>229</v>
      </c>
      <c r="B2488" t="str">
        <f>+_xlfn.XLOOKUP(Tabla6[[#This Row],[ID CLIENTE]],'RESUMEN CLIENTES'!D:D,'RESUMEN CLIENTES'!A:A)</f>
        <v>Nathaly Gabriela Henríquez Masín</v>
      </c>
      <c r="C2488" t="str">
        <f>+_xlfn.XLOOKUP(Tabla6[[#This Row],[ID CLIENTE]],'RESUMEN CLIENTES'!D:D,'RESUMEN CLIENTES'!C:C)</f>
        <v>El Salvador</v>
      </c>
      <c r="D2488" s="44" t="str">
        <f>+_xlfn.XLOOKUP(Tabla6[[#This Row],[ID CLIENTE]],'RESUMEN CLIENTES'!D:D,'RESUMEN CLIENTES'!M:M)</f>
        <v>OK</v>
      </c>
      <c r="E2488" s="72">
        <f>+_xlfn.XLOOKUP(Tabla6[[#This Row],[NOMBRE]],'RESUMEN CLIENTES'!A:A,'RESUMEN CLIENTES'!X:X)</f>
        <v>0.7</v>
      </c>
      <c r="F2488" s="72">
        <f>+_xlfn.XLOOKUP(Tabla6[[#This Row],[ID CLIENTE]],'RESUMEN CLIENTES'!D:D,'RESUMEN CLIENTES'!W:W)</f>
        <v>0</v>
      </c>
      <c r="G2488" s="17">
        <f>IF($H2488&lt;&gt;"ALEM","",IFERROR(
  DATE(
    YEAR(EDATE(
      _xlfn.XLOOKUP($A2488,'RESUMEN CLIENTES'!$D:$D,'RESUMEN CLIENTES'!$Y:$Y,""),
      7 + COUNTIFS(
            $A$2:INDEX($A:$A,ROW()), $A2488,
            $H$2:INDEX($H:$H,ROW()), "ALEM"
          )
    )),
    MONTH(EDATE(
      _xlfn.XLOOKUP($A2488,'RESUMEN CLIENTES'!$D:$D,'RESUMEN CLIENTES'!$Y:$Y,""),
      7 + COUNTIFS(
            $A$2:INDEX($A:$A,ROW()), $A2488,
            $H$2:INDEX($H:$H,ROW()), "ALEM"
          )
    )),
    1
  ),
"SIN FECHA MIG"))</f>
        <v>46631</v>
      </c>
      <c r="H2488" s="44" t="s">
        <v>1876</v>
      </c>
      <c r="I2488" s="2">
        <v>500</v>
      </c>
      <c r="J2488"/>
      <c r="K2488"/>
      <c r="L2488" s="44" t="str" cm="1">
        <f t="array" ref="L2488">+_xlfn.IFS(COUNTIF(INGRESOS!E:E,Tabla6[[#This Row],[ID FACTURA]])=1,"PAGADA",Tabla6[[#This Row],[ID FACTURA]]&lt;&gt;0,"EMITIDA",Tabla6[[#This Row],[ID FACTURA]]=0,"POR EMITIR")</f>
        <v>POR EMITIR</v>
      </c>
      <c r="M2488" s="55" t="str">
        <f>+IF(Tabla6[[#This Row],[ESTADO FACTURA]]="PAGADA",Tabla6[[#This Row],[FECHA]]-_xlfn.XLOOKUP(Tabla6[[#This Row],[N° FACTURA]],INGRESOS!F:F,INGRESOS!A:A),"-")</f>
        <v>-</v>
      </c>
      <c r="N2488" s="2"/>
      <c r="O2488"/>
    </row>
    <row r="2489" spans="1:15" ht="15" customHeight="1">
      <c r="A2489" s="320" t="s">
        <v>695</v>
      </c>
      <c r="B2489" t="str">
        <f>+_xlfn.XLOOKUP(Tabla6[[#This Row],[ID CLIENTE]],'RESUMEN CLIENTES'!D:D,'RESUMEN CLIENTES'!A:A)</f>
        <v>Olguer Ariel Pruna Herrera</v>
      </c>
      <c r="C2489" t="str">
        <f>+_xlfn.XLOOKUP(Tabla6[[#This Row],[ID CLIENTE]],'RESUMEN CLIENTES'!D:D,'RESUMEN CLIENTES'!C:C)</f>
        <v>Ecuador</v>
      </c>
      <c r="D2489" s="44" t="str">
        <f>+_xlfn.XLOOKUP(Tabla6[[#This Row],[ID CLIENTE]],'RESUMEN CLIENTES'!D:D,'RESUMEN CLIENTES'!M:M)</f>
        <v>OK</v>
      </c>
      <c r="E2489" s="72">
        <f>+_xlfn.XLOOKUP(Tabla6[[#This Row],[NOMBRE]],'RESUMEN CLIENTES'!A:A,'RESUMEN CLIENTES'!X:X)</f>
        <v>0.25</v>
      </c>
      <c r="F2489" s="72">
        <f>+_xlfn.XLOOKUP(Tabla6[[#This Row],[ID CLIENTE]],'RESUMEN CLIENTES'!D:D,'RESUMEN CLIENTES'!W:W)</f>
        <v>1</v>
      </c>
      <c r="G2489" s="17">
        <f>IF($H2489&lt;&gt;"ALEM","",IFERROR(
  DATE(
    YEAR(EDATE(
      _xlfn.XLOOKUP($A2489,'RESUMEN CLIENTES'!$D:$D,'RESUMEN CLIENTES'!$Y:$Y,""),
      7 + COUNTIFS(
            $A$2:INDEX($A:$A,ROW()), $A2489,
            $H$2:INDEX($H:$H,ROW()), "ALEM"
          )
    )),
    MONTH(EDATE(
      _xlfn.XLOOKUP($A2489,'RESUMEN CLIENTES'!$D:$D,'RESUMEN CLIENTES'!$Y:$Y,""),
      7 + COUNTIFS(
            $A$2:INDEX($A:$A,ROW()), $A2489,
            $H$2:INDEX($H:$H,ROW()), "ALEM"
          )
    )),
    1
  ),
"SIN FECHA MIG"))</f>
        <v>46631</v>
      </c>
      <c r="H2489" s="44" t="s">
        <v>1876</v>
      </c>
      <c r="I2489" s="2">
        <v>1000</v>
      </c>
      <c r="J2489"/>
      <c r="K2489"/>
      <c r="L2489" s="44" t="str" cm="1">
        <f t="array" ref="L2489">+_xlfn.IFS(COUNTIF(INGRESOS!E:E,Tabla6[[#This Row],[ID FACTURA]])=1,"PAGADA",Tabla6[[#This Row],[ID FACTURA]]&lt;&gt;0,"EMITIDA",Tabla6[[#This Row],[ID FACTURA]]=0,"POR EMITIR")</f>
        <v>POR EMITIR</v>
      </c>
      <c r="M2489" s="55" t="str">
        <f>+IF(Tabla6[[#This Row],[ESTADO FACTURA]]="PAGADA",Tabla6[[#This Row],[FECHA]]-_xlfn.XLOOKUP(Tabla6[[#This Row],[N° FACTURA]],INGRESOS!F:F,INGRESOS!A:A),"-")</f>
        <v>-</v>
      </c>
      <c r="N2489" s="2"/>
      <c r="O2489" t="s">
        <v>2084</v>
      </c>
    </row>
    <row r="2490" spans="1:15" ht="15" customHeight="1">
      <c r="A2490" s="321" t="s">
        <v>1881</v>
      </c>
      <c r="B2490" t="str">
        <f>+_xlfn.XLOOKUP(Tabla6[[#This Row],[ID CLIENTE]],'RESUMEN CLIENTES'!D:D,'RESUMEN CLIENTES'!A:A)</f>
        <v>Paulina Alejandra Silva Gómez</v>
      </c>
      <c r="C2490" t="str">
        <f>+_xlfn.XLOOKUP(Tabla6[[#This Row],[ID CLIENTE]],'RESUMEN CLIENTES'!D:D,'RESUMEN CLIENTES'!C:C)</f>
        <v>Chile</v>
      </c>
      <c r="D2490" s="169" t="str">
        <f>+_xlfn.XLOOKUP(Tabla6[[#This Row],[ID CLIENTE]],'RESUMEN CLIENTES'!D:D,'RESUMEN CLIENTES'!M:M)</f>
        <v>¡REGULARIZAR!</v>
      </c>
      <c r="E2490" s="71">
        <f>+_xlfn.XLOOKUP(Tabla6[[#This Row],[NOMBRE]],'RESUMEN CLIENTES'!A:A,'RESUMEN CLIENTES'!X:X)</f>
        <v>-6.833333333333333</v>
      </c>
      <c r="F2490" s="71">
        <f>+_xlfn.XLOOKUP(Tabla6[[#This Row],[ID CLIENTE]],'RESUMEN CLIENTES'!D:D,'RESUMEN CLIENTES'!W:W)</f>
        <v>0</v>
      </c>
      <c r="G2490" s="17">
        <f>IF($H2490&lt;&gt;"ALEM","",IFERROR(
  DATE(
    YEAR(EDATE(
      _xlfn.XLOOKUP($A2490,'RESUMEN CLIENTES'!$D:$D,'RESUMEN CLIENTES'!$Y:$Y,""),
      7 + COUNTIFS(
            $A$2:INDEX($A:$A,ROW()), $A2490,
            $H$2:INDEX($H:$H,ROW()), "ALEM"
          )
    )),
    MONTH(EDATE(
      _xlfn.XLOOKUP($A2490,'RESUMEN CLIENTES'!$D:$D,'RESUMEN CLIENTES'!$Y:$Y,""),
      7 + COUNTIFS(
            $A$2:INDEX($A:$A,ROW()), $A2490,
            $H$2:INDEX($H:$H,ROW()), "ALEM"
          )
    )),
    1
  ),
"null"))</f>
        <v>46631</v>
      </c>
      <c r="H2490" s="169" t="s">
        <v>1876</v>
      </c>
      <c r="I2490" s="2">
        <v>800</v>
      </c>
      <c r="J2490"/>
      <c r="K2490"/>
      <c r="L2490" s="44" t="str" cm="1">
        <f t="array" ref="L2490">+_xlfn.IFS(COUNTIF(INGRESOS!E:E,Tabla6[[#This Row],[ID FACTURA]])=1,"PAGADA",Tabla6[[#This Row],[ID FACTURA]]&lt;&gt;0,"EMITIDA",Tabla6[[#This Row],[ID FACTURA]]=0,"POR EMITIR")</f>
        <v>POR EMITIR</v>
      </c>
      <c r="M2490" s="54" t="str">
        <f>+IF(Tabla6[[#This Row],[ESTADO FACTURA]]="PAGADA",Tabla6[[#This Row],[FECHA]]-_xlfn.XLOOKUP(Tabla6[[#This Row],[N° FACTURA]],INGRESOS!F:F,INGRESOS!A:A),"-")</f>
        <v>-</v>
      </c>
      <c r="O2490" t="s">
        <v>2092</v>
      </c>
    </row>
    <row r="2491" spans="1:15" ht="15" customHeight="1">
      <c r="A2491" s="320" t="s">
        <v>994</v>
      </c>
      <c r="B2491" t="str">
        <f>+_xlfn.XLOOKUP(Tabla6[[#This Row],[ID CLIENTE]],'RESUMEN CLIENTES'!D:D,'RESUMEN CLIENTES'!A:A)</f>
        <v>Raúl Ernesto Martínez Orantes</v>
      </c>
      <c r="C2491" t="str">
        <f>+_xlfn.XLOOKUP(Tabla6[[#This Row],[ID CLIENTE]],'RESUMEN CLIENTES'!D:D,'RESUMEN CLIENTES'!C:C)</f>
        <v>El Salvador</v>
      </c>
      <c r="D2491" s="44" t="str">
        <f>+_xlfn.XLOOKUP(Tabla6[[#This Row],[ID CLIENTE]],'RESUMEN CLIENTES'!D:D,'RESUMEN CLIENTES'!M:M)</f>
        <v>OK</v>
      </c>
      <c r="E2491" s="72">
        <f>+_xlfn.XLOOKUP(Tabla6[[#This Row],[NOMBRE]],'RESUMEN CLIENTES'!A:A,'RESUMEN CLIENTES'!X:X)</f>
        <v>1.1428571428571428</v>
      </c>
      <c r="F2491" s="72">
        <f>+_xlfn.XLOOKUP(Tabla6[[#This Row],[ID CLIENTE]],'RESUMEN CLIENTES'!D:D,'RESUMEN CLIENTES'!W:W)</f>
        <v>1</v>
      </c>
      <c r="G2491" s="17">
        <f>IF($H2491&lt;&gt;"ALEM","",IFERROR(
  DATE(
    YEAR(EDATE(
      _xlfn.XLOOKUP($A2491,'RESUMEN CLIENTES'!$D:$D,'RESUMEN CLIENTES'!$Y:$Y,""),
      7 + COUNTIFS(
            $A$2:INDEX($A:$A,ROW()), $A2491,
            $H$2:INDEX($H:$H,ROW()), "ALEM"
          )
    )),
    MONTH(EDATE(
      _xlfn.XLOOKUP($A2491,'RESUMEN CLIENTES'!$D:$D,'RESUMEN CLIENTES'!$Y:$Y,""),
      7 + COUNTIFS(
            $A$2:INDEX($A:$A,ROW()), $A2491,
            $H$2:INDEX($H:$H,ROW()), "ALEM"
          )
    )),
    1
  ),
"SIN FECHA MIG"))</f>
        <v>46631</v>
      </c>
      <c r="H2491" s="44" t="s">
        <v>1876</v>
      </c>
      <c r="I2491" s="2">
        <v>800</v>
      </c>
      <c r="J2491"/>
      <c r="K2491"/>
      <c r="L2491" s="44" t="str" cm="1">
        <f t="array" ref="L2491">+_xlfn.IFS(COUNTIF(INGRESOS!E:E,Tabla6[[#This Row],[ID FACTURA]])=1,"PAGADA",Tabla6[[#This Row],[ID FACTURA]]&lt;&gt;0,"EMITIDA",Tabla6[[#This Row],[ID FACTURA]]=0,"POR EMITIR")</f>
        <v>POR EMITIR</v>
      </c>
      <c r="M2491" s="55" t="str">
        <f>+IF(Tabla6[[#This Row],[ESTADO FACTURA]]="PAGADA",Tabla6[[#This Row],[FECHA]]-_xlfn.XLOOKUP(Tabla6[[#This Row],[N° FACTURA]],INGRESOS!F:F,INGRESOS!A:A),"-")</f>
        <v>-</v>
      </c>
      <c r="N2491" s="2"/>
      <c r="O2491"/>
    </row>
    <row r="2492" spans="1:15" ht="15" customHeight="1">
      <c r="A2492" s="320" t="s">
        <v>1419</v>
      </c>
      <c r="B2492" t="str">
        <f>+_xlfn.XLOOKUP(Tabla6[[#This Row],[ID CLIENTE]],'RESUMEN CLIENTES'!D:D,'RESUMEN CLIENTES'!A:A)</f>
        <v>Rocio Natalia López Núñez</v>
      </c>
      <c r="C2492" t="str">
        <f>+_xlfn.XLOOKUP(Tabla6[[#This Row],[ID CLIENTE]],'RESUMEN CLIENTES'!D:D,'RESUMEN CLIENTES'!C:C)</f>
        <v>Chile</v>
      </c>
      <c r="D2492" s="44" t="str">
        <f>+_xlfn.XLOOKUP(Tabla6[[#This Row],[ID CLIENTE]],'RESUMEN CLIENTES'!D:D,'RESUMEN CLIENTES'!M:M)</f>
        <v>OK</v>
      </c>
      <c r="E2492" s="71">
        <f>+_xlfn.XLOOKUP(Tabla6[[#This Row],[NOMBRE]],'RESUMEN CLIENTES'!A:A,'RESUMEN CLIENTES'!X:X)</f>
        <v>0</v>
      </c>
      <c r="F2492" s="71">
        <f>+_xlfn.XLOOKUP(Tabla6[[#This Row],[ID CLIENTE]],'RESUMEN CLIENTES'!D:D,'RESUMEN CLIENTES'!W:W)</f>
        <v>0</v>
      </c>
      <c r="G2492" s="17">
        <f>IF($H2492&lt;&gt;"ALEM","",IFERROR(
  DATE(
    YEAR(EDATE(
      _xlfn.XLOOKUP($A2492,'RESUMEN CLIENTES'!$D:$D,'RESUMEN CLIENTES'!$Y:$Y,""),
      7 + COUNTIFS(
            $A$2:INDEX($A:$A,ROW()), $A2492,
            $H$2:INDEX($H:$H,ROW()), "ALEM"
          )
    )),
    MONTH(EDATE(
      _xlfn.XLOOKUP($A2492,'RESUMEN CLIENTES'!$D:$D,'RESUMEN CLIENTES'!$Y:$Y,""),
      7 + COUNTIFS(
            $A$2:INDEX($A:$A,ROW()), $A2492,
            $H$2:INDEX($H:$H,ROW()), "ALEM"
          )
    )),
    1
  ),
"SIN FECHA MIG"))</f>
        <v>46631</v>
      </c>
      <c r="H2492" s="169" t="s">
        <v>1876</v>
      </c>
      <c r="I2492" s="2">
        <v>800</v>
      </c>
      <c r="J2492"/>
      <c r="K2492"/>
      <c r="L2492" s="44" t="str" cm="1">
        <f t="array" ref="L2492">+_xlfn.IFS(COUNTIF(INGRESOS!E:E,Tabla6[[#This Row],[ID FACTURA]])=1,"PAGADA",Tabla6[[#This Row],[ID FACTURA]]&lt;&gt;0,"EMITIDA",Tabla6[[#This Row],[ID FACTURA]]=0,"POR EMITIR")</f>
        <v>POR EMITIR</v>
      </c>
      <c r="M2492" s="55" t="str">
        <f>+IF(Tabla6[[#This Row],[ESTADO FACTURA]]="PAGADA",Tabla6[[#This Row],[FECHA]]-_xlfn.XLOOKUP(Tabla6[[#This Row],[N° FACTURA]],INGRESOS!F:F,INGRESOS!A:A),"-")</f>
        <v>-</v>
      </c>
      <c r="N2492" s="2"/>
      <c r="O2492"/>
    </row>
    <row r="2493" spans="1:15" ht="15" customHeight="1">
      <c r="A2493" s="320" t="s">
        <v>6696</v>
      </c>
      <c r="B2493" t="str">
        <f>+_xlfn.XLOOKUP(Tabla6[[#This Row],[ID CLIENTE]],'RESUMEN CLIENTES'!D:D,'RESUMEN CLIENTES'!A:A)</f>
        <v>Stiben Lopez Vargas</v>
      </c>
      <c r="C2493" s="15" t="str">
        <f>+_xlfn.XLOOKUP(Tabla6[[#This Row],[ID CLIENTE]],'RESUMEN CLIENTES'!D:D,'RESUMEN CLIENTES'!C:C)</f>
        <v>Colombia</v>
      </c>
      <c r="D2493" s="169" t="str">
        <f>+_xlfn.XLOOKUP(Tabla6[[#This Row],[ID CLIENTE]],'RESUMEN CLIENTES'!D:D,'RESUMEN CLIENTES'!M:M)</f>
        <v xml:space="preserve">TRASPASAR </v>
      </c>
      <c r="E2493" s="71">
        <f>+_xlfn.XLOOKUP(Tabla6[[#This Row],[NOMBRE]],'RESUMEN CLIENTES'!A:A,'RESUMEN CLIENTES'!X:X)</f>
        <v>58</v>
      </c>
      <c r="F2493" s="71">
        <f>+_xlfn.XLOOKUP(Tabla6[[#This Row],[ID CLIENTE]],'RESUMEN CLIENTES'!D:D,'RESUMEN CLIENTES'!W:W)</f>
        <v>0</v>
      </c>
      <c r="G2493" s="17">
        <f>IF($H2493&lt;&gt;"ALEM","",IFERROR(
  DATE(
    YEAR(EDATE(
      _xlfn.XLOOKUP($A2493,'RESUMEN CLIENTES'!$D:$D,'RESUMEN CLIENTES'!$Y:$Y,""),
      7 + COUNTIFS(
            $A$2:INDEX($A:$A,ROW()), $A2493,
            $H$2:INDEX($H:$H,ROW()), "ALEM"
          )
    )),
    MONTH(EDATE(
      _xlfn.XLOOKUP($A2493,'RESUMEN CLIENTES'!$D:$D,'RESUMEN CLIENTES'!$Y:$Y,""),
      7 + COUNTIFS(
            $A$2:INDEX($A:$A,ROW()), $A2493,
            $H$2:INDEX($H:$H,ROW()), "ALEM"
          )
    )),
    1
  ),
"null"))</f>
        <v>46631</v>
      </c>
      <c r="H2493" s="169" t="s">
        <v>1876</v>
      </c>
      <c r="I2493" s="2">
        <v>1000</v>
      </c>
      <c r="J2493"/>
      <c r="K2493"/>
      <c r="L2493" s="44" t="str" cm="1">
        <f t="array" ref="L2493">+_xlfn.IFS(COUNTIF(INGRESOS!E:E,Tabla6[[#This Row],[ID FACTURA]])=1,"PAGADA",Tabla6[[#This Row],[ID FACTURA]]&lt;&gt;0,"EMITIDA",Tabla6[[#This Row],[ID FACTURA]]=0,"POR EMITIR")</f>
        <v>POR EMITIR</v>
      </c>
      <c r="M2493" s="54" t="str">
        <f>+IF(Tabla6[[#This Row],[ESTADO FACTURA]]="PAGADA",Tabla6[[#This Row],[FECHA]]-_xlfn.XLOOKUP(Tabla6[[#This Row],[N° FACTURA]],INGRESOS!F:F,INGRESOS!A:A),"-")</f>
        <v>-</v>
      </c>
      <c r="O2493"/>
    </row>
    <row r="2494" spans="1:15" ht="15" customHeight="1">
      <c r="A2494" s="320" t="s">
        <v>2521</v>
      </c>
      <c r="B2494" t="str">
        <f>+_xlfn.XLOOKUP(Tabla6[[#This Row],[ID CLIENTE]],'RESUMEN CLIENTES'!D:D,'RESUMEN CLIENTES'!A:A)</f>
        <v>Fabián Andrés Sarmiento Auli</v>
      </c>
      <c r="C2494" t="str">
        <f>+_xlfn.XLOOKUP(Tabla6[[#This Row],[ID CLIENTE]],'RESUMEN CLIENTES'!D:D,'RESUMEN CLIENTES'!C:C)</f>
        <v>Colombia</v>
      </c>
      <c r="D2494" s="169" t="str">
        <f>+_xlfn.XLOOKUP(Tabla6[[#This Row],[ID CLIENTE]],'RESUMEN CLIENTES'!D:D,'RESUMEN CLIENTES'!M:M)</f>
        <v>OK</v>
      </c>
      <c r="E2494" s="71">
        <f>+_xlfn.XLOOKUP(Tabla6[[#This Row],[NOMBRE]],'RESUMEN CLIENTES'!A:A,'RESUMEN CLIENTES'!X:X)</f>
        <v>0</v>
      </c>
      <c r="F2494" s="71">
        <f>+_xlfn.XLOOKUP(Tabla6[[#This Row],[ID CLIENTE]],'RESUMEN CLIENTES'!D:D,'RESUMEN CLIENTES'!W:W)</f>
        <v>0</v>
      </c>
      <c r="G2494" s="17">
        <v>46635</v>
      </c>
      <c r="H2494" s="169" t="s">
        <v>81</v>
      </c>
      <c r="I2494" s="2">
        <v>650</v>
      </c>
      <c r="J2494"/>
      <c r="K2494"/>
      <c r="L2494" s="44" t="str" cm="1">
        <f t="array" ref="L2494">+_xlfn.IFS(COUNTIF(INGRESOS!E:E,Tabla6[[#This Row],[ID FACTURA]])=1,"PAGADA",Tabla6[[#This Row],[ID FACTURA]]&lt;&gt;0,"EMITIDA",Tabla6[[#This Row],[ID FACTURA]]=0,"POR EMITIR")</f>
        <v>POR EMITIR</v>
      </c>
      <c r="M2494" s="54" t="str">
        <f>+IF(Tabla6[[#This Row],[ESTADO FACTURA]]="PAGADA",Tabla6[[#This Row],[FECHA]]-_xlfn.XLOOKUP(Tabla6[[#This Row],[N° FACTURA]],INGRESOS!F:F,INGRESOS!A:A),"-")</f>
        <v>-</v>
      </c>
      <c r="O2494"/>
    </row>
    <row r="2495" spans="1:15" ht="15" customHeight="1">
      <c r="A2495" s="320" t="s">
        <v>1416</v>
      </c>
      <c r="B2495" t="str">
        <f>+_xlfn.XLOOKUP(Tabla6[[#This Row],[ID CLIENTE]],'RESUMEN CLIENTES'!D:D,'RESUMEN CLIENTES'!A:A)</f>
        <v>Luis Armando Calderon Manzanera</v>
      </c>
      <c r="C2495" t="str">
        <f>+_xlfn.XLOOKUP(Tabla6[[#This Row],[ID CLIENTE]],'RESUMEN CLIENTES'!D:D,'RESUMEN CLIENTES'!C:C)</f>
        <v>México</v>
      </c>
      <c r="D2495" s="44" t="str">
        <f>+_xlfn.XLOOKUP(Tabla6[[#This Row],[ID CLIENTE]],'RESUMEN CLIENTES'!D:D,'RESUMEN CLIENTES'!M:M)</f>
        <v>OK</v>
      </c>
      <c r="E2495" s="71">
        <f>+_xlfn.XLOOKUP(Tabla6[[#This Row],[NOMBRE]],'RESUMEN CLIENTES'!A:A,'RESUMEN CLIENTES'!X:X)</f>
        <v>2</v>
      </c>
      <c r="F2495" s="71">
        <f>+_xlfn.XLOOKUP(Tabla6[[#This Row],[ID CLIENTE]],'RESUMEN CLIENTES'!D:D,'RESUMEN CLIENTES'!W:W)</f>
        <v>1</v>
      </c>
      <c r="G2495" s="17">
        <v>46635</v>
      </c>
      <c r="H2495" s="44" t="s">
        <v>81</v>
      </c>
      <c r="I2495" s="2">
        <v>650</v>
      </c>
      <c r="J2495"/>
      <c r="K2495"/>
      <c r="L2495" s="44" t="str" cm="1">
        <f t="array" ref="L2495">+_xlfn.IFS(COUNTIF(INGRESOS!E:E,Tabla6[[#This Row],[ID FACTURA]])=1,"PAGADA",Tabla6[[#This Row],[ID FACTURA]]&lt;&gt;0,"EMITIDA",Tabla6[[#This Row],[ID FACTURA]]=0,"POR EMITIR")</f>
        <v>POR EMITIR</v>
      </c>
      <c r="M2495" s="55" t="str">
        <f>+IF(Tabla6[[#This Row],[ESTADO FACTURA]]="PAGADA",Tabla6[[#This Row],[FECHA]]-_xlfn.XLOOKUP(Tabla6[[#This Row],[N° FACTURA]],INGRESOS!F:F,INGRESOS!A:A),"-")</f>
        <v>-</v>
      </c>
      <c r="N2495" s="2"/>
      <c r="O2495"/>
    </row>
    <row r="2496" spans="1:15" ht="15" customHeight="1">
      <c r="A2496" s="320" t="s">
        <v>703</v>
      </c>
      <c r="B2496" t="str">
        <f>+_xlfn.XLOOKUP(Tabla6[[#This Row],[ID CLIENTE]],'RESUMEN CLIENTES'!D:D,'RESUMEN CLIENTES'!A:A)</f>
        <v>Maira Paz Navas Sánchez</v>
      </c>
      <c r="C2496" t="str">
        <f>+_xlfn.XLOOKUP(Tabla6[[#This Row],[ID CLIENTE]],'RESUMEN CLIENTES'!D:D,'RESUMEN CLIENTES'!C:C)</f>
        <v>Chile</v>
      </c>
      <c r="D2496" s="44" t="str">
        <f>+_xlfn.XLOOKUP(Tabla6[[#This Row],[ID CLIENTE]],'RESUMEN CLIENTES'!D:D,'RESUMEN CLIENTES'!M:M)</f>
        <v>OK</v>
      </c>
      <c r="E2496" s="72">
        <f>+_xlfn.XLOOKUP(Tabla6[[#This Row],[NOMBRE]],'RESUMEN CLIENTES'!A:A,'RESUMEN CLIENTES'!X:X)</f>
        <v>-1.75</v>
      </c>
      <c r="F2496" s="72">
        <f>+_xlfn.XLOOKUP(Tabla6[[#This Row],[ID CLIENTE]],'RESUMEN CLIENTES'!D:D,'RESUMEN CLIENTES'!W:W)</f>
        <v>1</v>
      </c>
      <c r="G2496" s="17">
        <v>46635</v>
      </c>
      <c r="H2496" s="44" t="s">
        <v>81</v>
      </c>
      <c r="I2496" s="2">
        <v>700</v>
      </c>
      <c r="J2496"/>
      <c r="K2496"/>
      <c r="L2496" s="44" t="str" cm="1">
        <f t="array" ref="L2496">+_xlfn.IFS(COUNTIF(INGRESOS!E:E,Tabla6[[#This Row],[ID FACTURA]])=1,"PAGADA",Tabla6[[#This Row],[ID FACTURA]]&lt;&gt;0,"EMITIDA",Tabla6[[#This Row],[ID FACTURA]]=0,"POR EMITIR")</f>
        <v>POR EMITIR</v>
      </c>
      <c r="M2496" s="55" t="str">
        <f>+IF(Tabla6[[#This Row],[ESTADO FACTURA]]="PAGADA",Tabla6[[#This Row],[FECHA]]-_xlfn.XLOOKUP(Tabla6[[#This Row],[N° FACTURA]],INGRESOS!F:F,INGRESOS!A:A),"-")</f>
        <v>-</v>
      </c>
      <c r="N2496" s="2"/>
      <c r="O2496"/>
    </row>
    <row r="2497" spans="1:15" ht="15" customHeight="1">
      <c r="A2497" s="320" t="s">
        <v>1945</v>
      </c>
      <c r="B2497" t="str">
        <f>+_xlfn.XLOOKUP(Tabla6[[#This Row],[ID CLIENTE]],'RESUMEN CLIENTES'!D:D,'RESUMEN CLIENTES'!A:A)</f>
        <v>Fernanda Constanza Kompai Antu Arellano Guzmán</v>
      </c>
      <c r="C2497" t="str">
        <f>+_xlfn.XLOOKUP(Tabla6[[#This Row],[ID CLIENTE]],'RESUMEN CLIENTES'!D:D,'RESUMEN CLIENTES'!C:C)</f>
        <v>Chile</v>
      </c>
      <c r="D2497" s="169" t="str">
        <f>+_xlfn.XLOOKUP(Tabla6[[#This Row],[ID CLIENTE]],'RESUMEN CLIENTES'!D:D,'RESUMEN CLIENTES'!M:M)</f>
        <v>OK</v>
      </c>
      <c r="E2497" s="71">
        <f>+_xlfn.XLOOKUP(Tabla6[[#This Row],[NOMBRE]],'RESUMEN CLIENTES'!A:A,'RESUMEN CLIENTES'!X:X)</f>
        <v>0</v>
      </c>
      <c r="F2497" s="71">
        <f>+_xlfn.XLOOKUP(Tabla6[[#This Row],[ID CLIENTE]],'RESUMEN CLIENTES'!D:D,'RESUMEN CLIENTES'!W:W)</f>
        <v>0</v>
      </c>
      <c r="G2497" s="170">
        <v>46645</v>
      </c>
      <c r="H2497" s="170" t="s">
        <v>81</v>
      </c>
      <c r="I2497" s="2">
        <v>650</v>
      </c>
      <c r="J2497"/>
      <c r="K2497"/>
      <c r="L2497" s="44" t="str" cm="1">
        <f t="array" ref="L2497">+_xlfn.IFS(COUNTIF(INGRESOS!E:E,Tabla6[[#This Row],[ID FACTURA]])=1,"PAGADA",Tabla6[[#This Row],[ID FACTURA]]&lt;&gt;0,"EMITIDA",Tabla6[[#This Row],[ID FACTURA]]=0,"POR EMITIR")</f>
        <v>POR EMITIR</v>
      </c>
      <c r="M2497" s="54" t="str">
        <f>+IF(Tabla6[[#This Row],[ESTADO FACTURA]]="PAGADA",Tabla6[[#This Row],[FECHA]]-_xlfn.XLOOKUP(Tabla6[[#This Row],[N° FACTURA]],INGRESOS!F:F,INGRESOS!A:A),"-")</f>
        <v>-</v>
      </c>
      <c r="O2497"/>
    </row>
    <row r="2498" spans="1:15" ht="15" customHeight="1">
      <c r="A2498" s="321" t="s">
        <v>1756</v>
      </c>
      <c r="B2498" t="str">
        <f>+_xlfn.XLOOKUP(Tabla6[[#This Row],[ID CLIENTE]],'RESUMEN CLIENTES'!D:D,'RESUMEN CLIENTES'!A:A)</f>
        <v>Aylin Micaela Ortiz Chiriboga</v>
      </c>
      <c r="C2498" t="str">
        <f>+_xlfn.XLOOKUP(Tabla6[[#This Row],[ID CLIENTE]],'RESUMEN CLIENTES'!D:D,'RESUMEN CLIENTES'!C:C)</f>
        <v>Ecuador</v>
      </c>
      <c r="D2498" s="169" t="str">
        <f>+_xlfn.XLOOKUP(Tabla6[[#This Row],[ID CLIENTE]],'RESUMEN CLIENTES'!D:D,'RESUMEN CLIENTES'!M:M)</f>
        <v>¡REGULARIZAR!</v>
      </c>
      <c r="E2498" s="71">
        <f>+_xlfn.XLOOKUP(Tabla6[[#This Row],[NOMBRE]],'RESUMEN CLIENTES'!A:A,'RESUMEN CLIENTES'!X:X)</f>
        <v>0</v>
      </c>
      <c r="F2498" s="71">
        <f>+_xlfn.XLOOKUP(Tabla6[[#This Row],[ID CLIENTE]],'RESUMEN CLIENTES'!D:D,'RESUMEN CLIENTES'!W:W)</f>
        <v>1</v>
      </c>
      <c r="G2498" s="170">
        <v>46646</v>
      </c>
      <c r="H2498" s="169" t="s">
        <v>81</v>
      </c>
      <c r="I2498" s="2">
        <v>650</v>
      </c>
      <c r="J2498"/>
      <c r="K2498"/>
      <c r="L2498" s="44" t="str" cm="1">
        <f t="array" ref="L2498">+_xlfn.IFS(COUNTIF(INGRESOS!E:E,Tabla6[[#This Row],[ID FACTURA]])=1,"PAGADA",Tabla6[[#This Row],[ID FACTURA]]&lt;&gt;0,"EMITIDA",Tabla6[[#This Row],[ID FACTURA]]=0,"POR EMITIR")</f>
        <v>POR EMITIR</v>
      </c>
      <c r="M2498" s="54" t="str">
        <f>+IF(Tabla6[[#This Row],[ESTADO FACTURA]]="PAGADA",Tabla6[[#This Row],[FECHA]]-_xlfn.XLOOKUP(Tabla6[[#This Row],[N° FACTURA]],INGRESOS!F:F,INGRESOS!A:A),"-")</f>
        <v>-</v>
      </c>
      <c r="O2498"/>
    </row>
    <row r="2499" spans="1:15" ht="15" customHeight="1">
      <c r="A2499" s="320" t="s">
        <v>2046</v>
      </c>
      <c r="B2499" t="str">
        <f>+_xlfn.XLOOKUP(Tabla6[[#This Row],[ID CLIENTE]],'RESUMEN CLIENTES'!D:D,'RESUMEN CLIENTES'!A:A)</f>
        <v>Jesica Daniela Paredes Mendoza</v>
      </c>
      <c r="C2499" t="str">
        <f>+_xlfn.XLOOKUP(Tabla6[[#This Row],[ID CLIENTE]],'RESUMEN CLIENTES'!D:D,'RESUMEN CLIENTES'!C:C)</f>
        <v>México</v>
      </c>
      <c r="D2499" s="169" t="str">
        <f>+_xlfn.XLOOKUP(Tabla6[[#This Row],[ID CLIENTE]],'RESUMEN CLIENTES'!D:D,'RESUMEN CLIENTES'!M:M)</f>
        <v>OK</v>
      </c>
      <c r="E2499" s="71">
        <f>+_xlfn.XLOOKUP(Tabla6[[#This Row],[NOMBRE]],'RESUMEN CLIENTES'!A:A,'RESUMEN CLIENTES'!X:X)</f>
        <v>-2.75</v>
      </c>
      <c r="F2499" s="71">
        <f>+_xlfn.XLOOKUP(Tabla6[[#This Row],[ID CLIENTE]],'RESUMEN CLIENTES'!D:D,'RESUMEN CLIENTES'!W:W)</f>
        <v>1</v>
      </c>
      <c r="G2499" s="17">
        <v>46646</v>
      </c>
      <c r="H2499" s="169" t="s">
        <v>81</v>
      </c>
      <c r="I2499" s="2">
        <v>500</v>
      </c>
      <c r="J2499"/>
      <c r="K2499"/>
      <c r="L2499" s="44" t="str" cm="1">
        <f t="array" ref="L2499">+_xlfn.IFS(COUNTIF(INGRESOS!E:E,Tabla6[[#This Row],[ID FACTURA]])=1,"PAGADA",Tabla6[[#This Row],[ID FACTURA]]&lt;&gt;0,"EMITIDA",Tabla6[[#This Row],[ID FACTURA]]=0,"POR EMITIR")</f>
        <v>POR EMITIR</v>
      </c>
      <c r="M2499" s="54" t="str">
        <f>+IF(Tabla6[[#This Row],[ESTADO FACTURA]]="PAGADA",Tabla6[[#This Row],[FECHA]]-_xlfn.XLOOKUP(Tabla6[[#This Row],[N° FACTURA]],INGRESOS!F:F,INGRESOS!A:A),"-")</f>
        <v>-</v>
      </c>
      <c r="O2499"/>
    </row>
    <row r="2500" spans="1:15" ht="15" customHeight="1">
      <c r="A2500" s="320" t="s">
        <v>139</v>
      </c>
      <c r="B2500" t="str">
        <f>+_xlfn.XLOOKUP(Tabla6[[#This Row],[ID CLIENTE]],'RESUMEN CLIENTES'!D:D,'RESUMEN CLIENTES'!A:A)</f>
        <v>Hugo Nicolás Trávez Morales</v>
      </c>
      <c r="C2500" t="str">
        <f>+_xlfn.XLOOKUP(Tabla6[[#This Row],[ID CLIENTE]],'RESUMEN CLIENTES'!D:D,'RESUMEN CLIENTES'!C:C)</f>
        <v>Ecuador</v>
      </c>
      <c r="D2500" s="169" t="str">
        <f>+_xlfn.XLOOKUP(Tabla6[[#This Row],[ID CLIENTE]],'RESUMEN CLIENTES'!D:D,'RESUMEN CLIENTES'!M:M)</f>
        <v>OK</v>
      </c>
      <c r="E2500" s="71">
        <f>+_xlfn.XLOOKUP(Tabla6[[#This Row],[NOMBRE]],'RESUMEN CLIENTES'!A:A,'RESUMEN CLIENTES'!X:X)</f>
        <v>0</v>
      </c>
      <c r="F2500" s="71">
        <f>+_xlfn.XLOOKUP(Tabla6[[#This Row],[ID CLIENTE]],'RESUMEN CLIENTES'!D:D,'RESUMEN CLIENTES'!W:W)</f>
        <v>0</v>
      </c>
      <c r="G2500" s="17">
        <v>46660</v>
      </c>
      <c r="H2500" s="44" t="s">
        <v>81</v>
      </c>
      <c r="I2500" s="2">
        <v>1000</v>
      </c>
      <c r="J2500"/>
      <c r="K2500"/>
      <c r="L2500" s="44" t="str" cm="1">
        <f t="array" ref="L2500">+_xlfn.IFS(COUNTIF(INGRESOS!E:E,Tabla6[[#This Row],[ID FACTURA]])=1,"PAGADA",Tabla6[[#This Row],[ID FACTURA]]&lt;&gt;0,"EMITIDA",Tabla6[[#This Row],[ID FACTURA]]=0,"POR EMITIR")</f>
        <v>POR EMITIR</v>
      </c>
      <c r="M2500" s="54" t="str">
        <f>+IF(Tabla6[[#This Row],[ESTADO FACTURA]]="PAGADA",Tabla6[[#This Row],[FECHA]]-_xlfn.XLOOKUP(Tabla6[[#This Row],[N° FACTURA]],INGRESOS!F:F,INGRESOS!A:A),"-")</f>
        <v>-</v>
      </c>
      <c r="O2500"/>
    </row>
    <row r="2501" spans="1:15" ht="15" customHeight="1">
      <c r="A2501" s="320" t="s">
        <v>590</v>
      </c>
      <c r="B2501" t="str">
        <f>+_xlfn.XLOOKUP(Tabla6[[#This Row],[ID CLIENTE]],'RESUMEN CLIENTES'!D:D,'RESUMEN CLIENTES'!A:A)</f>
        <v>María Lucero de Jesús Barrios Sazo</v>
      </c>
      <c r="C2501" t="str">
        <f>+_xlfn.XLOOKUP(Tabla6[[#This Row],[ID CLIENTE]],'RESUMEN CLIENTES'!D:D,'RESUMEN CLIENTES'!C:C)</f>
        <v>Guatemala</v>
      </c>
      <c r="D2501" s="44" t="str">
        <f>+_xlfn.XLOOKUP(Tabla6[[#This Row],[ID CLIENTE]],'RESUMEN CLIENTES'!D:D,'RESUMEN CLIENTES'!M:M)</f>
        <v>OK</v>
      </c>
      <c r="E2501" s="72">
        <f>+_xlfn.XLOOKUP(Tabla6[[#This Row],[NOMBRE]],'RESUMEN CLIENTES'!A:A,'RESUMEN CLIENTES'!X:X)</f>
        <v>1.25</v>
      </c>
      <c r="F2501" s="72">
        <f>+_xlfn.XLOOKUP(Tabla6[[#This Row],[ID CLIENTE]],'RESUMEN CLIENTES'!D:D,'RESUMEN CLIENTES'!W:W)</f>
        <v>0</v>
      </c>
      <c r="G2501" s="17">
        <v>46660</v>
      </c>
      <c r="H2501" s="44" t="s">
        <v>81</v>
      </c>
      <c r="I2501" s="2">
        <v>700</v>
      </c>
      <c r="J2501"/>
      <c r="K2501"/>
      <c r="L2501" s="44" t="str" cm="1">
        <f t="array" ref="L2501">+_xlfn.IFS(COUNTIF(INGRESOS!E:E,Tabla6[[#This Row],[ID FACTURA]])=1,"PAGADA",Tabla6[[#This Row],[ID FACTURA]]&lt;&gt;0,"EMITIDA",Tabla6[[#This Row],[ID FACTURA]]=0,"POR EMITIR")</f>
        <v>POR EMITIR</v>
      </c>
      <c r="M2501" s="55" t="str">
        <f>+IF(Tabla6[[#This Row],[ESTADO FACTURA]]="PAGADA",Tabla6[[#This Row],[FECHA]]-_xlfn.XLOOKUP(Tabla6[[#This Row],[N° FACTURA]],INGRESOS!F:F,INGRESOS!A:A),"-")</f>
        <v>-</v>
      </c>
      <c r="N2501" s="2"/>
      <c r="O2501"/>
    </row>
    <row r="2502" spans="1:15" ht="15" customHeight="1">
      <c r="A2502" s="320" t="s">
        <v>527</v>
      </c>
      <c r="B2502" t="str">
        <f>+_xlfn.XLOOKUP(Tabla6[[#This Row],[ID CLIENTE]],'RESUMEN CLIENTES'!D:D,'RESUMEN CLIENTES'!A:A)</f>
        <v>Angie Pérez Cáceres</v>
      </c>
      <c r="C2502" t="str">
        <f>+_xlfn.XLOOKUP(Tabla6[[#This Row],[ID CLIENTE]],'RESUMEN CLIENTES'!D:D,'RESUMEN CLIENTES'!C:C)</f>
        <v>Perú</v>
      </c>
      <c r="D2502" s="44" t="str">
        <f>+_xlfn.XLOOKUP(Tabla6[[#This Row],[ID CLIENTE]],'RESUMEN CLIENTES'!D:D,'RESUMEN CLIENTES'!M:M)</f>
        <v>OK</v>
      </c>
      <c r="E2502" s="72">
        <f>+_xlfn.XLOOKUP(Tabla6[[#This Row],[NOMBRE]],'RESUMEN CLIENTES'!A:A,'RESUMEN CLIENTES'!X:X)</f>
        <v>1.625</v>
      </c>
      <c r="F2502" s="72">
        <f>+_xlfn.XLOOKUP(Tabla6[[#This Row],[ID CLIENTE]],'RESUMEN CLIENTES'!D:D,'RESUMEN CLIENTES'!W:W)</f>
        <v>0</v>
      </c>
      <c r="G2502" s="17">
        <f>IF($H2502&lt;&gt;"ALEM","",IFERROR(
  DATE(
    YEAR(EDATE(
      _xlfn.XLOOKUP($A2502,'RESUMEN CLIENTES'!$D:$D,'RESUMEN CLIENTES'!$Y:$Y,""),
      7 + COUNTIFS(
            $A$2:INDEX($A:$A,ROW()), $A2502,
            $H$2:INDEX($H:$H,ROW()), "ALEM"
          )
    )),
    MONTH(EDATE(
      _xlfn.XLOOKUP($A2502,'RESUMEN CLIENTES'!$D:$D,'RESUMEN CLIENTES'!$Y:$Y,""),
      7 + COUNTIFS(
            $A$2:INDEX($A:$A,ROW()), $A2502,
            $H$2:INDEX($H:$H,ROW()), "ALEM"
          )
    )),
    1
  ),
"SIN FECHA MIG"))</f>
        <v>46661</v>
      </c>
      <c r="H2502" s="44" t="s">
        <v>1876</v>
      </c>
      <c r="I2502" s="2">
        <v>1000</v>
      </c>
      <c r="J2502"/>
      <c r="K2502"/>
      <c r="L2502" s="44" t="str" cm="1">
        <f t="array" ref="L2502">+_xlfn.IFS(COUNTIF(INGRESOS!E:E,Tabla6[[#This Row],[ID FACTURA]])=1,"PAGADA",Tabla6[[#This Row],[ID FACTURA]]&lt;&gt;0,"EMITIDA",Tabla6[[#This Row],[ID FACTURA]]=0,"POR EMITIR")</f>
        <v>POR EMITIR</v>
      </c>
      <c r="M2502" s="55" t="str">
        <f>+IF(Tabla6[[#This Row],[ESTADO FACTURA]]="PAGADA",Tabla6[[#This Row],[FECHA]]-_xlfn.XLOOKUP(Tabla6[[#This Row],[N° FACTURA]],INGRESOS!F:F,INGRESOS!A:A),"-")</f>
        <v>-</v>
      </c>
      <c r="N2502" s="2"/>
      <c r="O2502" t="s">
        <v>2084</v>
      </c>
    </row>
    <row r="2503" spans="1:15" ht="15" customHeight="1">
      <c r="A2503" s="320" t="s">
        <v>530</v>
      </c>
      <c r="B2503" t="str">
        <f>+_xlfn.XLOOKUP(Tabla6[[#This Row],[ID CLIENTE]],'RESUMEN CLIENTES'!D:D,'RESUMEN CLIENTES'!A:A)</f>
        <v>Antonio José Estrada Hoyo</v>
      </c>
      <c r="C2503" t="str">
        <f>+_xlfn.XLOOKUP(Tabla6[[#This Row],[ID CLIENTE]],'RESUMEN CLIENTES'!D:D,'RESUMEN CLIENTES'!C:C)</f>
        <v>Venezuela</v>
      </c>
      <c r="D2503" s="44" t="str">
        <f>+_xlfn.XLOOKUP(Tabla6[[#This Row],[ID CLIENTE]],'RESUMEN CLIENTES'!D:D,'RESUMEN CLIENTES'!M:M)</f>
        <v>OK</v>
      </c>
      <c r="E2503" s="72">
        <f>+_xlfn.XLOOKUP(Tabla6[[#This Row],[NOMBRE]],'RESUMEN CLIENTES'!A:A,'RESUMEN CLIENTES'!X:X)</f>
        <v>0</v>
      </c>
      <c r="F2503" s="72">
        <f>+_xlfn.XLOOKUP(Tabla6[[#This Row],[ID CLIENTE]],'RESUMEN CLIENTES'!D:D,'RESUMEN CLIENTES'!W:W)</f>
        <v>0</v>
      </c>
      <c r="G2503" s="17">
        <f>IF($H2503&lt;&gt;"ALEM","",IFERROR(
  DATE(
    YEAR(EDATE(
      _xlfn.XLOOKUP($A2503,'RESUMEN CLIENTES'!$D:$D,'RESUMEN CLIENTES'!$Y:$Y,""),
      7 + COUNTIFS(
            $A$2:INDEX($A:$A,ROW()), $A2503,
            $H$2:INDEX($H:$H,ROW()), "ALEM"
          )
    )),
    MONTH(EDATE(
      _xlfn.XLOOKUP($A2503,'RESUMEN CLIENTES'!$D:$D,'RESUMEN CLIENTES'!$Y:$Y,""),
      7 + COUNTIFS(
            $A$2:INDEX($A:$A,ROW()), $A2503,
            $H$2:INDEX($H:$H,ROW()), "ALEM"
          )
    )),
    1
  ),
"SIN FECHA MIG"))</f>
        <v>46661</v>
      </c>
      <c r="H2503" s="44" t="s">
        <v>1876</v>
      </c>
      <c r="I2503" s="2">
        <v>1000</v>
      </c>
      <c r="J2503"/>
      <c r="K2503"/>
      <c r="L2503" s="44" t="str" cm="1">
        <f t="array" ref="L2503">+_xlfn.IFS(COUNTIF(INGRESOS!E:E,Tabla6[[#This Row],[ID FACTURA]])=1,"PAGADA",Tabla6[[#This Row],[ID FACTURA]]&lt;&gt;0,"EMITIDA",Tabla6[[#This Row],[ID FACTURA]]=0,"POR EMITIR")</f>
        <v>POR EMITIR</v>
      </c>
      <c r="M2503" s="55" t="str">
        <f>+IF(Tabla6[[#This Row],[ESTADO FACTURA]]="PAGADA",Tabla6[[#This Row],[FECHA]]-_xlfn.XLOOKUP(Tabla6[[#This Row],[N° FACTURA]],INGRESOS!F:F,INGRESOS!A:A),"-")</f>
        <v>-</v>
      </c>
      <c r="N2503" s="2"/>
      <c r="O2503"/>
    </row>
    <row r="2504" spans="1:15" ht="15" customHeight="1">
      <c r="A2504" s="320" t="s">
        <v>6035</v>
      </c>
      <c r="B2504" t="str">
        <f>+_xlfn.XLOOKUP(Tabla6[[#This Row],[ID CLIENTE]],'RESUMEN CLIENTES'!D:D,'RESUMEN CLIENTES'!A:A)</f>
        <v>Ari Sifuentes Becerra</v>
      </c>
      <c r="C2504" s="15" t="str">
        <f>+_xlfn.XLOOKUP(Tabla6[[#This Row],[ID CLIENTE]],'RESUMEN CLIENTES'!D:D,'RESUMEN CLIENTES'!C:C)</f>
        <v>México</v>
      </c>
      <c r="D2504" s="169" t="str">
        <f>+_xlfn.XLOOKUP(Tabla6[[#This Row],[ID CLIENTE]],'RESUMEN CLIENTES'!D:D,'RESUMEN CLIENTES'!M:M)</f>
        <v>OK</v>
      </c>
      <c r="E2504" s="71">
        <f>+_xlfn.XLOOKUP(Tabla6[[#This Row],[NOMBRE]],'RESUMEN CLIENTES'!A:A,'RESUMEN CLIENTES'!X:X)</f>
        <v>-1</v>
      </c>
      <c r="F2504" s="71">
        <f>+_xlfn.XLOOKUP(Tabla6[[#This Row],[ID CLIENTE]],'RESUMEN CLIENTES'!D:D,'RESUMEN CLIENTES'!W:W)</f>
        <v>0</v>
      </c>
      <c r="G2504" s="17">
        <v>46661</v>
      </c>
      <c r="H2504" s="169" t="s">
        <v>1876</v>
      </c>
      <c r="I2504" s="2">
        <v>800</v>
      </c>
      <c r="J2504"/>
      <c r="K2504"/>
      <c r="L2504" s="44" t="str" cm="1">
        <f t="array" ref="L2504">+_xlfn.IFS(COUNTIF(INGRESOS!E:E,Tabla6[[#This Row],[ID FACTURA]])=1,"PAGADA",Tabla6[[#This Row],[ID FACTURA]]&lt;&gt;0,"EMITIDA",Tabla6[[#This Row],[ID FACTURA]]=0,"POR EMITIR")</f>
        <v>POR EMITIR</v>
      </c>
      <c r="M2504" s="54" t="str">
        <f>+IF(Tabla6[[#This Row],[ESTADO FACTURA]]="PAGADA",Tabla6[[#This Row],[FECHA]]-_xlfn.XLOOKUP(Tabla6[[#This Row],[N° FACTURA]],INGRESOS!F:F,INGRESOS!A:A),"-")</f>
        <v>-</v>
      </c>
      <c r="O2504"/>
    </row>
    <row r="2505" spans="1:15" ht="15" customHeight="1">
      <c r="A2505" s="320" t="s">
        <v>2011</v>
      </c>
      <c r="B2505" t="str">
        <f>+_xlfn.XLOOKUP(Tabla6[[#This Row],[ID CLIENTE]],'RESUMEN CLIENTES'!D:D,'RESUMEN CLIENTES'!A:A)</f>
        <v>Bárbara Fuentes</v>
      </c>
      <c r="C2505" t="str">
        <f>+_xlfn.XLOOKUP(Tabla6[[#This Row],[ID CLIENTE]],'RESUMEN CLIENTES'!D:D,'RESUMEN CLIENTES'!C:C)</f>
        <v>Chile</v>
      </c>
      <c r="D2505" s="169" t="str">
        <f>+_xlfn.XLOOKUP(Tabla6[[#This Row],[ID CLIENTE]],'RESUMEN CLIENTES'!D:D,'RESUMEN CLIENTES'!M:M)</f>
        <v>OK</v>
      </c>
      <c r="E2505" s="71">
        <f>+_xlfn.XLOOKUP(Tabla6[[#This Row],[NOMBRE]],'RESUMEN CLIENTES'!A:A,'RESUMEN CLIENTES'!X:X)</f>
        <v>-0.33333333333333331</v>
      </c>
      <c r="F2505" s="71">
        <f>+_xlfn.XLOOKUP(Tabla6[[#This Row],[ID CLIENTE]],'RESUMEN CLIENTES'!D:D,'RESUMEN CLIENTES'!W:W)</f>
        <v>0</v>
      </c>
      <c r="G2505" s="17">
        <f>IF($H2505&lt;&gt;"ALEM","",IFERROR(
  DATE(
    YEAR(EDATE(
      _xlfn.XLOOKUP($A2505,'RESUMEN CLIENTES'!$D:$D,'RESUMEN CLIENTES'!$Y:$Y,""),
      7 + COUNTIFS(
            $A$2:INDEX($A:$A,ROW()), $A2505,
            $H$2:INDEX($H:$H,ROW()), "ALEM"
          )
    )),
    MONTH(EDATE(
      _xlfn.XLOOKUP($A2505,'RESUMEN CLIENTES'!$D:$D,'RESUMEN CLIENTES'!$Y:$Y,""),
      7 + COUNTIFS(
            $A$2:INDEX($A:$A,ROW()), $A2505,
            $H$2:INDEX($H:$H,ROW()), "ALEM"
          )
    )),
    1
  ),
"null"))</f>
        <v>46661</v>
      </c>
      <c r="H2505" s="169" t="s">
        <v>1876</v>
      </c>
      <c r="I2505" s="2">
        <v>1000</v>
      </c>
      <c r="J2505"/>
      <c r="K2505"/>
      <c r="L2505" s="44" t="str" cm="1">
        <f t="array" ref="L2505">+_xlfn.IFS(COUNTIF(INGRESOS!E:E,Tabla6[[#This Row],[ID FACTURA]])=1,"PAGADA",Tabla6[[#This Row],[ID FACTURA]]&lt;&gt;0,"EMITIDA",Tabla6[[#This Row],[ID FACTURA]]=0,"POR EMITIR")</f>
        <v>POR EMITIR</v>
      </c>
      <c r="M2505" s="54" t="str">
        <f>+IF(Tabla6[[#This Row],[ESTADO FACTURA]]="PAGADA",Tabla6[[#This Row],[FECHA]]-_xlfn.XLOOKUP(Tabla6[[#This Row],[N° FACTURA]],INGRESOS!F:F,INGRESOS!A:A),"-")</f>
        <v>-</v>
      </c>
      <c r="O2505"/>
    </row>
    <row r="2506" spans="1:15" ht="15" customHeight="1">
      <c r="A2506" s="321" t="s">
        <v>1870</v>
      </c>
      <c r="B2506" t="str">
        <f>+_xlfn.XLOOKUP(Tabla6[[#This Row],[ID CLIENTE]],'RESUMEN CLIENTES'!D:D,'RESUMEN CLIENTES'!A:A)</f>
        <v>Berenisse Shadia Yarango Garay</v>
      </c>
      <c r="C2506" t="str">
        <f>+_xlfn.XLOOKUP(Tabla6[[#This Row],[ID CLIENTE]],'RESUMEN CLIENTES'!D:D,'RESUMEN CLIENTES'!C:C)</f>
        <v>Perú</v>
      </c>
      <c r="D2506" s="169" t="str">
        <f>+_xlfn.XLOOKUP(Tabla6[[#This Row],[ID CLIENTE]],'RESUMEN CLIENTES'!D:D,'RESUMEN CLIENTES'!M:M)</f>
        <v>OK</v>
      </c>
      <c r="E2506" s="71">
        <f>+_xlfn.XLOOKUP(Tabla6[[#This Row],[NOMBRE]],'RESUMEN CLIENTES'!A:A,'RESUMEN CLIENTES'!X:X)</f>
        <v>-0.33333333333333331</v>
      </c>
      <c r="F2506" s="71">
        <f>+_xlfn.XLOOKUP(Tabla6[[#This Row],[ID CLIENTE]],'RESUMEN CLIENTES'!D:D,'RESUMEN CLIENTES'!W:W)</f>
        <v>0</v>
      </c>
      <c r="G2506" s="17">
        <f>IF($H2506&lt;&gt;"ALEM","",IFERROR(
  DATE(
    YEAR(EDATE(
      _xlfn.XLOOKUP($A2506,'RESUMEN CLIENTES'!$D:$D,'RESUMEN CLIENTES'!$Y:$Y,""),
      7 + COUNTIFS(
            $A$2:INDEX($A:$A,ROW()), $A2506,
            $H$2:INDEX($H:$H,ROW()), "ALEM"
          )
    )),
    MONTH(EDATE(
      _xlfn.XLOOKUP($A2506,'RESUMEN CLIENTES'!$D:$D,'RESUMEN CLIENTES'!$Y:$Y,""),
      7 + COUNTIFS(
            $A$2:INDEX($A:$A,ROW()), $A2506,
            $H$2:INDEX($H:$H,ROW()), "ALEM"
          )
    )),
    1
  ),
"null"))</f>
        <v>46661</v>
      </c>
      <c r="H2506" s="169" t="s">
        <v>1876</v>
      </c>
      <c r="I2506" s="2">
        <v>800</v>
      </c>
      <c r="J2506"/>
      <c r="K2506"/>
      <c r="L2506" s="44" t="str" cm="1">
        <f t="array" ref="L2506">+_xlfn.IFS(COUNTIF(INGRESOS!E:E,Tabla6[[#This Row],[ID FACTURA]])=1,"PAGADA",Tabla6[[#This Row],[ID FACTURA]]&lt;&gt;0,"EMITIDA",Tabla6[[#This Row],[ID FACTURA]]=0,"POR EMITIR")</f>
        <v>POR EMITIR</v>
      </c>
      <c r="M2506" s="54" t="str">
        <f>+IF(Tabla6[[#This Row],[ESTADO FACTURA]]="PAGADA",Tabla6[[#This Row],[FECHA]]-_xlfn.XLOOKUP(Tabla6[[#This Row],[N° FACTURA]],INGRESOS!F:F,INGRESOS!A:A),"-")</f>
        <v>-</v>
      </c>
      <c r="O2506"/>
    </row>
    <row r="2507" spans="1:15">
      <c r="A2507" s="320" t="s">
        <v>184</v>
      </c>
      <c r="B2507" t="str">
        <f>+_xlfn.XLOOKUP(Tabla6[[#This Row],[ID CLIENTE]],'RESUMEN CLIENTES'!D:D,'RESUMEN CLIENTES'!A:A)</f>
        <v>Boris Andrés Silva Véliz</v>
      </c>
      <c r="C2507" t="str">
        <f>+_xlfn.XLOOKUP(Tabla6[[#This Row],[ID CLIENTE]],'RESUMEN CLIENTES'!D:D,'RESUMEN CLIENTES'!C:C)</f>
        <v>Chile</v>
      </c>
      <c r="D2507" s="44" t="str">
        <f>+_xlfn.XLOOKUP(Tabla6[[#This Row],[ID CLIENTE]],'RESUMEN CLIENTES'!D:D,'RESUMEN CLIENTES'!M:M)</f>
        <v>OK</v>
      </c>
      <c r="E2507" s="72">
        <f>+_xlfn.XLOOKUP(Tabla6[[#This Row],[NOMBRE]],'RESUMEN CLIENTES'!A:A,'RESUMEN CLIENTES'!X:X)</f>
        <v>2.1111111111111112</v>
      </c>
      <c r="F2507" s="72">
        <f>+_xlfn.XLOOKUP(Tabla6[[#This Row],[ID CLIENTE]],'RESUMEN CLIENTES'!D:D,'RESUMEN CLIENTES'!W:W)</f>
        <v>0</v>
      </c>
      <c r="G2507" s="17">
        <f>IF($H2507&lt;&gt;"ALEM","",IFERROR(
  DATE(
    YEAR(EDATE(
      _xlfn.XLOOKUP($A2507,'RESUMEN CLIENTES'!$D:$D,'RESUMEN CLIENTES'!$Y:$Y,""),
      7 + COUNTIFS(
            $A$2:INDEX($A:$A,ROW()), $A2507,
            $H$2:INDEX($H:$H,ROW()), "ALEM"
          )
    )),
    MONTH(EDATE(
      _xlfn.XLOOKUP($A2507,'RESUMEN CLIENTES'!$D:$D,'RESUMEN CLIENTES'!$Y:$Y,""),
      7 + COUNTIFS(
            $A$2:INDEX($A:$A,ROW()), $A2507,
            $H$2:INDEX($H:$H,ROW()), "ALEM"
          )
    )),
    1
  ),
"SIN FECHA MIG"))</f>
        <v>46661</v>
      </c>
      <c r="H2507" s="44" t="s">
        <v>1876</v>
      </c>
      <c r="I2507" s="2">
        <v>458</v>
      </c>
      <c r="J2507"/>
      <c r="K2507"/>
      <c r="L2507" s="44" t="str" cm="1">
        <f t="array" ref="L2507">+_xlfn.IFS(COUNTIF(INGRESOS!E:E,Tabla6[[#This Row],[ID FACTURA]])=1,"PAGADA",Tabla6[[#This Row],[ID FACTURA]]&lt;&gt;0,"EMITIDA",Tabla6[[#This Row],[ID FACTURA]]=0,"POR EMITIR")</f>
        <v>POR EMITIR</v>
      </c>
      <c r="M2507" s="55" t="str">
        <f>+IF(Tabla6[[#This Row],[ESTADO FACTURA]]="PAGADA",Tabla6[[#This Row],[FECHA]]-_xlfn.XLOOKUP(Tabla6[[#This Row],[N° FACTURA]],INGRESOS!F:F,INGRESOS!A:A),"-")</f>
        <v>-</v>
      </c>
      <c r="N2507" s="2"/>
      <c r="O2507"/>
    </row>
    <row r="2508" spans="1:15">
      <c r="A2508" s="320" t="s">
        <v>4768</v>
      </c>
      <c r="B2508" t="str">
        <f>+_xlfn.XLOOKUP(Tabla6[[#This Row],[ID CLIENTE]],'RESUMEN CLIENTES'!D:D,'RESUMEN CLIENTES'!A:A)</f>
        <v>Carla Elena Patínez Rondón</v>
      </c>
      <c r="C2508" s="15" t="str">
        <f>+_xlfn.XLOOKUP(Tabla6[[#This Row],[ID CLIENTE]],'RESUMEN CLIENTES'!D:D,'RESUMEN CLIENTES'!C:C)</f>
        <v>Venezuela</v>
      </c>
      <c r="D2508" s="169" t="str">
        <f>+_xlfn.XLOOKUP(Tabla6[[#This Row],[ID CLIENTE]],'RESUMEN CLIENTES'!D:D,'RESUMEN CLIENTES'!M:M)</f>
        <v>OK</v>
      </c>
      <c r="E2508" s="71">
        <f>+_xlfn.XLOOKUP(Tabla6[[#This Row],[NOMBRE]],'RESUMEN CLIENTES'!A:A,'RESUMEN CLIENTES'!X:X)</f>
        <v>-9</v>
      </c>
      <c r="F2508" s="71">
        <f>+_xlfn.XLOOKUP(Tabla6[[#This Row],[ID CLIENTE]],'RESUMEN CLIENTES'!D:D,'RESUMEN CLIENTES'!W:W)</f>
        <v>0</v>
      </c>
      <c r="G2508" s="17">
        <f>IF($H2508&lt;&gt;"ALEM","",IFERROR(
  DATE(
    YEAR(EDATE(
      _xlfn.XLOOKUP($A2508,'RESUMEN CLIENTES'!$D:$D,'RESUMEN CLIENTES'!$Y:$Y,""),
      7 + COUNTIFS(
            $A$2:INDEX($A:$A,ROW()), $A2508,
            $H$2:INDEX($H:$H,ROW()), "ALEM"
          )
    )),
    MONTH(EDATE(
      _xlfn.XLOOKUP($A2508,'RESUMEN CLIENTES'!$D:$D,'RESUMEN CLIENTES'!$Y:$Y,""),
      7 + COUNTIFS(
            $A$2:INDEX($A:$A,ROW()), $A2508,
            $H$2:INDEX($H:$H,ROW()), "ALEM"
          )
    )),
    1
  ),
"null"))</f>
        <v>46661</v>
      </c>
      <c r="H2508" s="169" t="s">
        <v>1876</v>
      </c>
      <c r="I2508" s="2">
        <v>1000</v>
      </c>
      <c r="J2508"/>
      <c r="K2508"/>
      <c r="L2508" s="44" t="str" cm="1">
        <f t="array" ref="L2508">+_xlfn.IFS(COUNTIF(INGRESOS!E:E,Tabla6[[#This Row],[ID FACTURA]])=1,"PAGADA",Tabla6[[#This Row],[ID FACTURA]]&lt;&gt;0,"EMITIDA",Tabla6[[#This Row],[ID FACTURA]]=0,"POR EMITIR")</f>
        <v>POR EMITIR</v>
      </c>
      <c r="M2508" s="54" t="str">
        <f>+IF(Tabla6[[#This Row],[ESTADO FACTURA]]="PAGADA",Tabla6[[#This Row],[FECHA]]-_xlfn.XLOOKUP(Tabla6[[#This Row],[N° FACTURA]],INGRESOS!F:F,INGRESOS!A:A),"-")</f>
        <v>-</v>
      </c>
      <c r="O2508"/>
    </row>
    <row r="2509" spans="1:15">
      <c r="A2509" s="320" t="s">
        <v>751</v>
      </c>
      <c r="B2509" t="str">
        <f>+_xlfn.XLOOKUP(Tabla6[[#This Row],[ID CLIENTE]],'RESUMEN CLIENTES'!D:D,'RESUMEN CLIENTES'!A:A)</f>
        <v>Carlos Alberto Suarez Hernandez</v>
      </c>
      <c r="C2509" t="str">
        <f>+_xlfn.XLOOKUP(Tabla6[[#This Row],[ID CLIENTE]],'RESUMEN CLIENTES'!D:D,'RESUMEN CLIENTES'!C:C)</f>
        <v>Colombia</v>
      </c>
      <c r="D2509" s="44" t="str">
        <f>+_xlfn.XLOOKUP(Tabla6[[#This Row],[ID CLIENTE]],'RESUMEN CLIENTES'!D:D,'RESUMEN CLIENTES'!M:M)</f>
        <v>OK</v>
      </c>
      <c r="E2509" s="72">
        <f>+_xlfn.XLOOKUP(Tabla6[[#This Row],[NOMBRE]],'RESUMEN CLIENTES'!A:A,'RESUMEN CLIENTES'!X:X)</f>
        <v>0</v>
      </c>
      <c r="F2509" s="72">
        <f>+_xlfn.XLOOKUP(Tabla6[[#This Row],[ID CLIENTE]],'RESUMEN CLIENTES'!D:D,'RESUMEN CLIENTES'!W:W)</f>
        <v>1</v>
      </c>
      <c r="G2509" s="17">
        <f>IF($H2509&lt;&gt;"ALEM","",IFERROR(
  DATE(
    YEAR(EDATE(
      _xlfn.XLOOKUP($A2509,'RESUMEN CLIENTES'!$D:$D,'RESUMEN CLIENTES'!$Y:$Y,""),
      7 + COUNTIFS(
            $A$2:INDEX($A:$A,ROW()), $A2509,
            $H$2:INDEX($H:$H,ROW()), "ALEM"
          )
    )),
    MONTH(EDATE(
      _xlfn.XLOOKUP($A2509,'RESUMEN CLIENTES'!$D:$D,'RESUMEN CLIENTES'!$Y:$Y,""),
      7 + COUNTIFS(
            $A$2:INDEX($A:$A,ROW()), $A2509,
            $H$2:INDEX($H:$H,ROW()), "ALEM"
          )
    )),
    1
  ),
"SIN FECHA MIG"))</f>
        <v>46661</v>
      </c>
      <c r="H2509" s="44" t="s">
        <v>1876</v>
      </c>
      <c r="I2509" s="2">
        <v>1000</v>
      </c>
      <c r="J2509"/>
      <c r="K2509"/>
      <c r="L2509" s="44" t="str" cm="1">
        <f t="array" ref="L2509">+_xlfn.IFS(COUNTIF(INGRESOS!E:E,Tabla6[[#This Row],[ID FACTURA]])=1,"PAGADA",Tabla6[[#This Row],[ID FACTURA]]&lt;&gt;0,"EMITIDA",Tabla6[[#This Row],[ID FACTURA]]=0,"POR EMITIR")</f>
        <v>POR EMITIR</v>
      </c>
      <c r="M2509" s="55" t="str">
        <f>+IF(Tabla6[[#This Row],[ESTADO FACTURA]]="PAGADA",Tabla6[[#This Row],[FECHA]]-_xlfn.XLOOKUP(Tabla6[[#This Row],[N° FACTURA]],INGRESOS!F:F,INGRESOS!A:A),"-")</f>
        <v>-</v>
      </c>
      <c r="N2509" s="2"/>
      <c r="O2509" t="s">
        <v>2084</v>
      </c>
    </row>
    <row r="2510" spans="1:15">
      <c r="A2510" s="320" t="s">
        <v>1178</v>
      </c>
      <c r="B2510" t="str">
        <f>+_xlfn.XLOOKUP(Tabla6[[#This Row],[ID CLIENTE]],'RESUMEN CLIENTES'!D:D,'RESUMEN CLIENTES'!A:A)</f>
        <v>Daniel Flores</v>
      </c>
      <c r="C2510" t="str">
        <f>+_xlfn.XLOOKUP(Tabla6[[#This Row],[ID CLIENTE]],'RESUMEN CLIENTES'!D:D,'RESUMEN CLIENTES'!C:C)</f>
        <v>Ecuador</v>
      </c>
      <c r="D2510" s="44" t="str">
        <f>+_xlfn.XLOOKUP(Tabla6[[#This Row],[ID CLIENTE]],'RESUMEN CLIENTES'!D:D,'RESUMEN CLIENTES'!M:M)</f>
        <v>OK</v>
      </c>
      <c r="E2510" s="72">
        <f>+_xlfn.XLOOKUP(Tabla6[[#This Row],[NOMBRE]],'RESUMEN CLIENTES'!A:A,'RESUMEN CLIENTES'!X:X)</f>
        <v>3.8333333333333335</v>
      </c>
      <c r="F2510" s="72">
        <f>+_xlfn.XLOOKUP(Tabla6[[#This Row],[ID CLIENTE]],'RESUMEN CLIENTES'!D:D,'RESUMEN CLIENTES'!W:W)</f>
        <v>1</v>
      </c>
      <c r="G2510" s="17">
        <f>IF($H2510&lt;&gt;"ALEM","",IFERROR(
  DATE(
    YEAR(EDATE(
      _xlfn.XLOOKUP($A2510,'RESUMEN CLIENTES'!$D:$D,'RESUMEN CLIENTES'!$Y:$Y,""),
      7 + COUNTIFS(
            $A$2:INDEX($A:$A,ROW()), $A2510,
            $H$2:INDEX($H:$H,ROW()), "ALEM"
          )
    )),
    MONTH(EDATE(
      _xlfn.XLOOKUP($A2510,'RESUMEN CLIENTES'!$D:$D,'RESUMEN CLIENTES'!$Y:$Y,""),
      7 + COUNTIFS(
            $A$2:INDEX($A:$A,ROW()), $A2510,
            $H$2:INDEX($H:$H,ROW()), "ALEM"
          )
    )),
    1
  ),
"SIN FECHA MIG"))</f>
        <v>46661</v>
      </c>
      <c r="H2510" s="44" t="s">
        <v>1876</v>
      </c>
      <c r="I2510" s="2">
        <v>800</v>
      </c>
      <c r="J2510"/>
      <c r="K2510"/>
      <c r="L2510" s="44" t="str" cm="1">
        <f t="array" ref="L2510">+_xlfn.IFS(COUNTIF(INGRESOS!E:E,Tabla6[[#This Row],[ID FACTURA]])=1,"PAGADA",Tabla6[[#This Row],[ID FACTURA]]&lt;&gt;0,"EMITIDA",Tabla6[[#This Row],[ID FACTURA]]=0,"POR EMITIR")</f>
        <v>POR EMITIR</v>
      </c>
      <c r="M2510" s="55" t="str">
        <f>+IF(Tabla6[[#This Row],[ESTADO FACTURA]]="PAGADA",Tabla6[[#This Row],[FECHA]]-_xlfn.XLOOKUP(Tabla6[[#This Row],[N° FACTURA]],INGRESOS!F:F,INGRESOS!A:A),"-")</f>
        <v>-</v>
      </c>
      <c r="N2510" s="2"/>
      <c r="O2510" t="s">
        <v>2084</v>
      </c>
    </row>
    <row r="2511" spans="1:15">
      <c r="A2511" s="320" t="s">
        <v>4660</v>
      </c>
      <c r="B2511" t="str">
        <f>+_xlfn.XLOOKUP(Tabla6[[#This Row],[ID CLIENTE]],'RESUMEN CLIENTES'!D:D,'RESUMEN CLIENTES'!A:A)</f>
        <v>Edipris Flores</v>
      </c>
      <c r="C2511" s="15" t="str">
        <f>+_xlfn.XLOOKUP(Tabla6[[#This Row],[ID CLIENTE]],'RESUMEN CLIENTES'!D:D,'RESUMEN CLIENTES'!C:C)</f>
        <v>Chile</v>
      </c>
      <c r="D2511" s="169" t="str">
        <f>+_xlfn.XLOOKUP(Tabla6[[#This Row],[ID CLIENTE]],'RESUMEN CLIENTES'!D:D,'RESUMEN CLIENTES'!M:M)</f>
        <v>OK</v>
      </c>
      <c r="E2511" s="71">
        <f>+_xlfn.XLOOKUP(Tabla6[[#This Row],[NOMBRE]],'RESUMEN CLIENTES'!A:A,'RESUMEN CLIENTES'!X:X)</f>
        <v>-4</v>
      </c>
      <c r="F2511" s="71">
        <f>+_xlfn.XLOOKUP(Tabla6[[#This Row],[ID CLIENTE]],'RESUMEN CLIENTES'!D:D,'RESUMEN CLIENTES'!W:W)</f>
        <v>0</v>
      </c>
      <c r="G2511" s="17">
        <f>IF($H2511&lt;&gt;"ALEM","",IFERROR(
  DATE(
    YEAR(EDATE(
      _xlfn.XLOOKUP($A2511,'RESUMEN CLIENTES'!$D:$D,'RESUMEN CLIENTES'!$Y:$Y,""),
      7 + COUNTIFS(
            $A$2:INDEX($A:$A,ROW()), $A2511,
            $H$2:INDEX($H:$H,ROW()), "ALEM"
          )
    )),
    MONTH(EDATE(
      _xlfn.XLOOKUP($A2511,'RESUMEN CLIENTES'!$D:$D,'RESUMEN CLIENTES'!$Y:$Y,""),
      7 + COUNTIFS(
            $A$2:INDEX($A:$A,ROW()), $A2511,
            $H$2:INDEX($H:$H,ROW()), "ALEM"
          )
    )),
    1
  ),
"null"))</f>
        <v>46661</v>
      </c>
      <c r="H2511" s="169" t="s">
        <v>1876</v>
      </c>
      <c r="I2511" s="2">
        <v>800</v>
      </c>
      <c r="J2511"/>
      <c r="K2511"/>
      <c r="L2511" s="44" t="str" cm="1">
        <f t="array" ref="L2511">+_xlfn.IFS(COUNTIF(INGRESOS!E:E,Tabla6[[#This Row],[ID FACTURA]])=1,"PAGADA",Tabla6[[#This Row],[ID FACTURA]]&lt;&gt;0,"EMITIDA",Tabla6[[#This Row],[ID FACTURA]]=0,"POR EMITIR")</f>
        <v>POR EMITIR</v>
      </c>
      <c r="M2511" s="54" t="str">
        <f>+IF(Tabla6[[#This Row],[ESTADO FACTURA]]="PAGADA",Tabla6[[#This Row],[FECHA]]-_xlfn.XLOOKUP(Tabla6[[#This Row],[N° FACTURA]],INGRESOS!F:F,INGRESOS!A:A),"-")</f>
        <v>-</v>
      </c>
      <c r="O2511"/>
    </row>
    <row r="2512" spans="1:15">
      <c r="A2512" s="320" t="s">
        <v>1248</v>
      </c>
      <c r="B2512" t="str">
        <f>+_xlfn.XLOOKUP(Tabla6[[#This Row],[ID CLIENTE]],'RESUMEN CLIENTES'!D:D,'RESUMEN CLIENTES'!A:A)</f>
        <v>Emily Vanessa Tapia Villalobos</v>
      </c>
      <c r="C2512" t="str">
        <f>+_xlfn.XLOOKUP(Tabla6[[#This Row],[ID CLIENTE]],'RESUMEN CLIENTES'!D:D,'RESUMEN CLIENTES'!C:C)</f>
        <v>Chile</v>
      </c>
      <c r="D2512" s="44" t="str">
        <f>+_xlfn.XLOOKUP(Tabla6[[#This Row],[ID CLIENTE]],'RESUMEN CLIENTES'!D:D,'RESUMEN CLIENTES'!M:M)</f>
        <v>OK</v>
      </c>
      <c r="E2512" s="71">
        <f>+_xlfn.XLOOKUP(Tabla6[[#This Row],[NOMBRE]],'RESUMEN CLIENTES'!A:A,'RESUMEN CLIENTES'!X:X)</f>
        <v>0.33333333333333331</v>
      </c>
      <c r="F2512" s="71">
        <f>+_xlfn.XLOOKUP(Tabla6[[#This Row],[ID CLIENTE]],'RESUMEN CLIENTES'!D:D,'RESUMEN CLIENTES'!W:W)</f>
        <v>0</v>
      </c>
      <c r="G2512" s="17">
        <f>IF($H2512&lt;&gt;"ALEM","",IFERROR(
  DATE(
    YEAR(EDATE(
      _xlfn.XLOOKUP($A2512,'RESUMEN CLIENTES'!$D:$D,'RESUMEN CLIENTES'!$Y:$Y,""),
      7 + COUNTIFS(
            $A$2:INDEX($A:$A,ROW()), $A2512,
            $H$2:INDEX($H:$H,ROW()), "ALEM"
          )
    )),
    MONTH(EDATE(
      _xlfn.XLOOKUP($A2512,'RESUMEN CLIENTES'!$D:$D,'RESUMEN CLIENTES'!$Y:$Y,""),
      7 + COUNTIFS(
            $A$2:INDEX($A:$A,ROW()), $A2512,
            $H$2:INDEX($H:$H,ROW()), "ALEM"
          )
    )),
    1
  ),
"SIN FECHA MIG"))</f>
        <v>46661</v>
      </c>
      <c r="H2512" s="44" t="s">
        <v>1876</v>
      </c>
      <c r="I2512" s="2">
        <v>800</v>
      </c>
      <c r="J2512"/>
      <c r="K2512"/>
      <c r="L2512" s="44" t="str" cm="1">
        <f t="array" ref="L2512">+_xlfn.IFS(COUNTIF(INGRESOS!E:E,Tabla6[[#This Row],[ID FACTURA]])=1,"PAGADA",Tabla6[[#This Row],[ID FACTURA]]&lt;&gt;0,"EMITIDA",Tabla6[[#This Row],[ID FACTURA]]=0,"POR EMITIR")</f>
        <v>POR EMITIR</v>
      </c>
      <c r="M2512" s="55" t="str">
        <f>+IF(Tabla6[[#This Row],[ESTADO FACTURA]]="PAGADA",Tabla6[[#This Row],[FECHA]]-_xlfn.XLOOKUP(Tabla6[[#This Row],[N° FACTURA]],INGRESOS!F:F,INGRESOS!A:A),"-")</f>
        <v>-</v>
      </c>
      <c r="N2512" s="2"/>
      <c r="O2512" t="s">
        <v>2086</v>
      </c>
    </row>
    <row r="2513" spans="1:15">
      <c r="A2513" s="320" t="s">
        <v>1945</v>
      </c>
      <c r="B2513" t="str">
        <f>+_xlfn.XLOOKUP(Tabla6[[#This Row],[ID CLIENTE]],'RESUMEN CLIENTES'!D:D,'RESUMEN CLIENTES'!A:A)</f>
        <v>Fernanda Constanza Kompai Antu Arellano Guzmán</v>
      </c>
      <c r="C2513" t="str">
        <f>+_xlfn.XLOOKUP(Tabla6[[#This Row],[ID CLIENTE]],'RESUMEN CLIENTES'!D:D,'RESUMEN CLIENTES'!C:C)</f>
        <v>Chile</v>
      </c>
      <c r="D2513" s="169" t="str">
        <f>+_xlfn.XLOOKUP(Tabla6[[#This Row],[ID CLIENTE]],'RESUMEN CLIENTES'!D:D,'RESUMEN CLIENTES'!M:M)</f>
        <v>OK</v>
      </c>
      <c r="E2513" s="71">
        <f>+_xlfn.XLOOKUP(Tabla6[[#This Row],[NOMBRE]],'RESUMEN CLIENTES'!A:A,'RESUMEN CLIENTES'!X:X)</f>
        <v>0</v>
      </c>
      <c r="F2513" s="71">
        <f>+_xlfn.XLOOKUP(Tabla6[[#This Row],[ID CLIENTE]],'RESUMEN CLIENTES'!D:D,'RESUMEN CLIENTES'!W:W)</f>
        <v>0</v>
      </c>
      <c r="G2513" s="17">
        <f>IF($H2513&lt;&gt;"ALEM","",IFERROR(
  DATE(
    YEAR(EDATE(
      _xlfn.XLOOKUP($A2513,'RESUMEN CLIENTES'!$D:$D,'RESUMEN CLIENTES'!$Y:$Y,""),
      7 + COUNTIFS(
            $A$2:INDEX($A:$A,ROW()), $A2513,
            $H$2:INDEX($H:$H,ROW()), "ALEM"
          )
    )),
    MONTH(EDATE(
      _xlfn.XLOOKUP($A2513,'RESUMEN CLIENTES'!$D:$D,'RESUMEN CLIENTES'!$Y:$Y,""),
      7 + COUNTIFS(
            $A$2:INDEX($A:$A,ROW()), $A2513,
            $H$2:INDEX($H:$H,ROW()), "ALEM"
          )
    )),
    1
  ),
"null"))</f>
        <v>46661</v>
      </c>
      <c r="H2513" s="170" t="s">
        <v>1876</v>
      </c>
      <c r="I2513" s="2">
        <v>800</v>
      </c>
      <c r="J2513"/>
      <c r="K2513"/>
      <c r="L2513" s="44" t="str" cm="1">
        <f t="array" ref="L2513">+_xlfn.IFS(COUNTIF(INGRESOS!E:E,Tabla6[[#This Row],[ID FACTURA]])=1,"PAGADA",Tabla6[[#This Row],[ID FACTURA]]&lt;&gt;0,"EMITIDA",Tabla6[[#This Row],[ID FACTURA]]=0,"POR EMITIR")</f>
        <v>POR EMITIR</v>
      </c>
      <c r="M2513" s="54" t="str">
        <f>+IF(Tabla6[[#This Row],[ESTADO FACTURA]]="PAGADA",Tabla6[[#This Row],[FECHA]]-_xlfn.XLOOKUP(Tabla6[[#This Row],[N° FACTURA]],INGRESOS!F:F,INGRESOS!A:A),"-")</f>
        <v>-</v>
      </c>
      <c r="O2513"/>
    </row>
    <row r="2514" spans="1:15">
      <c r="A2514" s="320" t="s">
        <v>1761</v>
      </c>
      <c r="B2514" t="str">
        <f>+_xlfn.XLOOKUP(Tabla6[[#This Row],[ID CLIENTE]],'RESUMEN CLIENTES'!D:D,'RESUMEN CLIENTES'!A:A)</f>
        <v>Francisco Salas Barrera</v>
      </c>
      <c r="C2514" t="str">
        <f>+_xlfn.XLOOKUP(Tabla6[[#This Row],[ID CLIENTE]],'RESUMEN CLIENTES'!D:D,'RESUMEN CLIENTES'!C:C)</f>
        <v>México</v>
      </c>
      <c r="D2514" s="169" t="str">
        <f>+_xlfn.XLOOKUP(Tabla6[[#This Row],[ID CLIENTE]],'RESUMEN CLIENTES'!D:D,'RESUMEN CLIENTES'!M:M)</f>
        <v>OK</v>
      </c>
      <c r="E2514" s="71">
        <f>+_xlfn.XLOOKUP(Tabla6[[#This Row],[NOMBRE]],'RESUMEN CLIENTES'!A:A,'RESUMEN CLIENTES'!X:X)</f>
        <v>-0.75</v>
      </c>
      <c r="F2514" s="71">
        <f>+_xlfn.XLOOKUP(Tabla6[[#This Row],[ID CLIENTE]],'RESUMEN CLIENTES'!D:D,'RESUMEN CLIENTES'!W:W)</f>
        <v>0</v>
      </c>
      <c r="G2514" s="17">
        <f>IF($H2514&lt;&gt;"ALEM","",IFERROR(
  DATE(
    YEAR(EDATE(
      _xlfn.XLOOKUP($A2514,'RESUMEN CLIENTES'!$D:$D,'RESUMEN CLIENTES'!$Y:$Y,""),
      7 + COUNTIFS(
            $A$2:INDEX($A:$A,ROW()), $A2514,
            $H$2:INDEX($H:$H,ROW()), "ALEM"
          )
    )),
    MONTH(EDATE(
      _xlfn.XLOOKUP($A2514,'RESUMEN CLIENTES'!$D:$D,'RESUMEN CLIENTES'!$Y:$Y,""),
      7 + COUNTIFS(
            $A$2:INDEX($A:$A,ROW()), $A2514,
            $H$2:INDEX($H:$H,ROW()), "ALEM"
          )
    )),
    1
  ),
"SIN FECHA MIG"))</f>
        <v>46661</v>
      </c>
      <c r="H2514" s="169" t="s">
        <v>1876</v>
      </c>
      <c r="I2514" s="2">
        <v>800</v>
      </c>
      <c r="J2514"/>
      <c r="K2514"/>
      <c r="L2514" s="44" t="str" cm="1">
        <f t="array" ref="L2514">+_xlfn.IFS(COUNTIF(INGRESOS!E:E,Tabla6[[#This Row],[ID FACTURA]])=1,"PAGADA",Tabla6[[#This Row],[ID FACTURA]]&lt;&gt;0,"EMITIDA",Tabla6[[#This Row],[ID FACTURA]]=0,"POR EMITIR")</f>
        <v>POR EMITIR</v>
      </c>
      <c r="M2514" s="55" t="str">
        <f>+IF(Tabla6[[#This Row],[ESTADO FACTURA]]="PAGADA",Tabla6[[#This Row],[FECHA]]-_xlfn.XLOOKUP(Tabla6[[#This Row],[N° FACTURA]],INGRESOS!F:F,INGRESOS!A:A),"-")</f>
        <v>-</v>
      </c>
      <c r="O2514"/>
    </row>
    <row r="2515" spans="1:15">
      <c r="A2515" s="320" t="s">
        <v>1996</v>
      </c>
      <c r="B2515" t="str">
        <f>+_xlfn.XLOOKUP(Tabla6[[#This Row],[ID CLIENTE]],'RESUMEN CLIENTES'!D:D,'RESUMEN CLIENTES'!A:A)</f>
        <v>Ivan Gonzales Graus</v>
      </c>
      <c r="C2515" t="str">
        <f>+_xlfn.XLOOKUP(Tabla6[[#This Row],[ID CLIENTE]],'RESUMEN CLIENTES'!D:D,'RESUMEN CLIENTES'!C:C)</f>
        <v>Perú</v>
      </c>
      <c r="D2515" s="169" t="str">
        <f>+_xlfn.XLOOKUP(Tabla6[[#This Row],[ID CLIENTE]],'RESUMEN CLIENTES'!D:D,'RESUMEN CLIENTES'!M:M)</f>
        <v>OK</v>
      </c>
      <c r="E2515" s="71">
        <f>+_xlfn.XLOOKUP(Tabla6[[#This Row],[NOMBRE]],'RESUMEN CLIENTES'!A:A,'RESUMEN CLIENTES'!X:X)</f>
        <v>-2</v>
      </c>
      <c r="F2515" s="71">
        <f>+_xlfn.XLOOKUP(Tabla6[[#This Row],[ID CLIENTE]],'RESUMEN CLIENTES'!D:D,'RESUMEN CLIENTES'!W:W)</f>
        <v>1</v>
      </c>
      <c r="G2515" s="17">
        <f>IF($H2515&lt;&gt;"ALEM","",IFERROR(
  DATE(
    YEAR(EDATE(
      _xlfn.XLOOKUP($A2515,'RESUMEN CLIENTES'!$D:$D,'RESUMEN CLIENTES'!$Y:$Y,""),
      7 + COUNTIFS(
            $A$2:INDEX($A:$A,ROW()), $A2515,
            $H$2:INDEX($H:$H,ROW()), "ALEM"
          )
    )),
    MONTH(EDATE(
      _xlfn.XLOOKUP($A2515,'RESUMEN CLIENTES'!$D:$D,'RESUMEN CLIENTES'!$Y:$Y,""),
      7 + COUNTIFS(
            $A$2:INDEX($A:$A,ROW()), $A2515,
            $H$2:INDEX($H:$H,ROW()), "ALEM"
          )
    )),
    1
  ),
"null"))</f>
        <v>46661</v>
      </c>
      <c r="H2515" s="169" t="s">
        <v>1876</v>
      </c>
      <c r="I2515" s="2">
        <v>1000</v>
      </c>
      <c r="J2515"/>
      <c r="K2515"/>
      <c r="L2515" s="44" t="str" cm="1">
        <f t="array" ref="L2515">+_xlfn.IFS(COUNTIF(INGRESOS!E:E,Tabla6[[#This Row],[ID FACTURA]])=1,"PAGADA",Tabla6[[#This Row],[ID FACTURA]]&lt;&gt;0,"EMITIDA",Tabla6[[#This Row],[ID FACTURA]]=0,"POR EMITIR")</f>
        <v>POR EMITIR</v>
      </c>
      <c r="M2515" s="54" t="str">
        <f>+IF(Tabla6[[#This Row],[ESTADO FACTURA]]="PAGADA",Tabla6[[#This Row],[FECHA]]-_xlfn.XLOOKUP(Tabla6[[#This Row],[N° FACTURA]],INGRESOS!F:F,INGRESOS!A:A),"-")</f>
        <v>-</v>
      </c>
      <c r="O2515"/>
    </row>
    <row r="2516" spans="1:15">
      <c r="A2516" s="320" t="s">
        <v>1936</v>
      </c>
      <c r="B2516" t="str">
        <f>+_xlfn.XLOOKUP(Tabla6[[#This Row],[ID CLIENTE]],'RESUMEN CLIENTES'!D:D,'RESUMEN CLIENTES'!A:A)</f>
        <v>Jaime Kevin Mendez Arias</v>
      </c>
      <c r="C2516" t="str">
        <f>+_xlfn.XLOOKUP(Tabla6[[#This Row],[ID CLIENTE]],'RESUMEN CLIENTES'!D:D,'RESUMEN CLIENTES'!C:C)</f>
        <v>México</v>
      </c>
      <c r="D2516" s="169" t="str">
        <f>+_xlfn.XLOOKUP(Tabla6[[#This Row],[ID CLIENTE]],'RESUMEN CLIENTES'!D:D,'RESUMEN CLIENTES'!M:M)</f>
        <v>OK</v>
      </c>
      <c r="E2516" s="71">
        <f>+_xlfn.XLOOKUP(Tabla6[[#This Row],[NOMBRE]],'RESUMEN CLIENTES'!A:A,'RESUMEN CLIENTES'!X:X)</f>
        <v>1.6666666666666667</v>
      </c>
      <c r="F2516" s="71">
        <f>+_xlfn.XLOOKUP(Tabla6[[#This Row],[ID CLIENTE]],'RESUMEN CLIENTES'!D:D,'RESUMEN CLIENTES'!W:W)</f>
        <v>0</v>
      </c>
      <c r="G2516" s="17">
        <f>IF($H2516&lt;&gt;"ALEM","",IFERROR(
  DATE(
    YEAR(EDATE(
      _xlfn.XLOOKUP($A2516,'RESUMEN CLIENTES'!$D:$D,'RESUMEN CLIENTES'!$Y:$Y,""),
      7 + COUNTIFS(
            $A$2:INDEX($A:$A,ROW()), $A2516,
            $H$2:INDEX($H:$H,ROW()), "ALEM"
          )
    )),
    MONTH(EDATE(
      _xlfn.XLOOKUP($A2516,'RESUMEN CLIENTES'!$D:$D,'RESUMEN CLIENTES'!$Y:$Y,""),
      7 + COUNTIFS(
            $A$2:INDEX($A:$A,ROW()), $A2516,
            $H$2:INDEX($H:$H,ROW()), "ALEM"
          )
    )),
    1
  ),
"null"))</f>
        <v>46661</v>
      </c>
      <c r="H2516" s="169" t="s">
        <v>1876</v>
      </c>
      <c r="I2516" s="2">
        <v>800</v>
      </c>
      <c r="J2516"/>
      <c r="K2516"/>
      <c r="L2516" s="44" t="str" cm="1">
        <f t="array" ref="L2516">+_xlfn.IFS(COUNTIF(INGRESOS!E:E,Tabla6[[#This Row],[ID FACTURA]])=1,"PAGADA",Tabla6[[#This Row],[ID FACTURA]]&lt;&gt;0,"EMITIDA",Tabla6[[#This Row],[ID FACTURA]]=0,"POR EMITIR")</f>
        <v>POR EMITIR</v>
      </c>
      <c r="M2516" s="54" t="str">
        <f>+IF(Tabla6[[#This Row],[ESTADO FACTURA]]="PAGADA",Tabla6[[#This Row],[FECHA]]-_xlfn.XLOOKUP(Tabla6[[#This Row],[N° FACTURA]],INGRESOS!F:F,INGRESOS!A:A),"-")</f>
        <v>-</v>
      </c>
      <c r="O2516"/>
    </row>
    <row r="2517" spans="1:15">
      <c r="A2517" s="321" t="s">
        <v>1899</v>
      </c>
      <c r="B2517" t="str">
        <f>+_xlfn.XLOOKUP(Tabla6[[#This Row],[ID CLIENTE]],'RESUMEN CLIENTES'!D:D,'RESUMEN CLIENTES'!A:A)</f>
        <v>Johan Martínez</v>
      </c>
      <c r="C2517" t="str">
        <f>+_xlfn.XLOOKUP(Tabla6[[#This Row],[ID CLIENTE]],'RESUMEN CLIENTES'!D:D,'RESUMEN CLIENTES'!C:C)</f>
        <v>Colombia</v>
      </c>
      <c r="D2517" s="169" t="str">
        <f>+_xlfn.XLOOKUP(Tabla6[[#This Row],[ID CLIENTE]],'RESUMEN CLIENTES'!D:D,'RESUMEN CLIENTES'!M:M)</f>
        <v>OK</v>
      </c>
      <c r="E2517" s="71">
        <f>+_xlfn.XLOOKUP(Tabla6[[#This Row],[NOMBRE]],'RESUMEN CLIENTES'!A:A,'RESUMEN CLIENTES'!X:X)</f>
        <v>-0.66666666666666663</v>
      </c>
      <c r="F2517" s="71">
        <f>+_xlfn.XLOOKUP(Tabla6[[#This Row],[ID CLIENTE]],'RESUMEN CLIENTES'!D:D,'RESUMEN CLIENTES'!W:W)</f>
        <v>0</v>
      </c>
      <c r="G2517" s="17">
        <f>IF($H2517&lt;&gt;"ALEM","",IFERROR(
  DATE(
    YEAR(EDATE(
      _xlfn.XLOOKUP($A2517,'RESUMEN CLIENTES'!$D:$D,'RESUMEN CLIENTES'!$Y:$Y,""),
      7 + COUNTIFS(
            $A$2:INDEX($A:$A,ROW()), $A2517,
            $H$2:INDEX($H:$H,ROW()), "ALEM"
          )
    )),
    MONTH(EDATE(
      _xlfn.XLOOKUP($A2517,'RESUMEN CLIENTES'!$D:$D,'RESUMEN CLIENTES'!$Y:$Y,""),
      7 + COUNTIFS(
            $A$2:INDEX($A:$A,ROW()), $A2517,
            $H$2:INDEX($H:$H,ROW()), "ALEM"
          )
    )),
    1
  ),
"null"))</f>
        <v>46661</v>
      </c>
      <c r="H2517" s="169" t="s">
        <v>1876</v>
      </c>
      <c r="I2517" s="2">
        <v>800</v>
      </c>
      <c r="J2517"/>
      <c r="K2517"/>
      <c r="L2517" s="44" t="str" cm="1">
        <f t="array" ref="L2517">+_xlfn.IFS(COUNTIF(INGRESOS!E:E,Tabla6[[#This Row],[ID FACTURA]])=1,"PAGADA",Tabla6[[#This Row],[ID FACTURA]]&lt;&gt;0,"EMITIDA",Tabla6[[#This Row],[ID FACTURA]]=0,"POR EMITIR")</f>
        <v>POR EMITIR</v>
      </c>
      <c r="M2517" s="54" t="str">
        <f>+IF(Tabla6[[#This Row],[ESTADO FACTURA]]="PAGADA",Tabla6[[#This Row],[FECHA]]-_xlfn.XLOOKUP(Tabla6[[#This Row],[N° FACTURA]],INGRESOS!F:F,INGRESOS!A:A),"-")</f>
        <v>-</v>
      </c>
      <c r="O2517" t="s">
        <v>2086</v>
      </c>
    </row>
    <row r="2518" spans="1:15">
      <c r="A2518" s="321" t="s">
        <v>367</v>
      </c>
      <c r="B2518" t="str">
        <f>+_xlfn.XLOOKUP(Tabla6[[#This Row],[ID CLIENTE]],'RESUMEN CLIENTES'!D:D,'RESUMEN CLIENTES'!A:A)</f>
        <v>José Miguel Undurraga Saavedra</v>
      </c>
      <c r="C2518" t="str">
        <f>+_xlfn.XLOOKUP(Tabla6[[#This Row],[ID CLIENTE]],'RESUMEN CLIENTES'!D:D,'RESUMEN CLIENTES'!C:C)</f>
        <v>Chile</v>
      </c>
      <c r="D2518" s="169" t="str">
        <f>+_xlfn.XLOOKUP(Tabla6[[#This Row],[ID CLIENTE]],'RESUMEN CLIENTES'!D:D,'RESUMEN CLIENTES'!M:M)</f>
        <v>OK</v>
      </c>
      <c r="E2518" s="71">
        <f>+_xlfn.XLOOKUP(Tabla6[[#This Row],[NOMBRE]],'RESUMEN CLIENTES'!A:A,'RESUMEN CLIENTES'!X:X)</f>
        <v>-11.5</v>
      </c>
      <c r="F2518" s="71">
        <f>+_xlfn.XLOOKUP(Tabla6[[#This Row],[ID CLIENTE]],'RESUMEN CLIENTES'!D:D,'RESUMEN CLIENTES'!W:W)</f>
        <v>0</v>
      </c>
      <c r="G2518" s="17">
        <f>IF($H2518&lt;&gt;"ALEM","",IFERROR(
  DATE(
    YEAR(EDATE(
      _xlfn.XLOOKUP($A2518,'RESUMEN CLIENTES'!$D:$D,'RESUMEN CLIENTES'!$Y:$Y,""),
      7 + COUNTIFS(
            $A$2:INDEX($A:$A,ROW()), $A2518,
            $H$2:INDEX($H:$H,ROW()), "ALEM"
          )
    )),
    MONTH(EDATE(
      _xlfn.XLOOKUP($A2518,'RESUMEN CLIENTES'!$D:$D,'RESUMEN CLIENTES'!$Y:$Y,""),
      7 + COUNTIFS(
            $A$2:INDEX($A:$A,ROW()), $A2518,
            $H$2:INDEX($H:$H,ROW()), "ALEM"
          )
    )),
    1
  ),
"null"))</f>
        <v>46661</v>
      </c>
      <c r="H2518" s="169" t="s">
        <v>1876</v>
      </c>
      <c r="I2518" s="2">
        <v>1000</v>
      </c>
      <c r="J2518"/>
      <c r="K2518"/>
      <c r="L2518" s="44" t="str" cm="1">
        <f t="array" ref="L2518">+_xlfn.IFS(COUNTIF(INGRESOS!E:E,Tabla6[[#This Row],[ID FACTURA]])=1,"PAGADA",Tabla6[[#This Row],[ID FACTURA]]&lt;&gt;0,"EMITIDA",Tabla6[[#This Row],[ID FACTURA]]=0,"POR EMITIR")</f>
        <v>POR EMITIR</v>
      </c>
      <c r="M2518" s="54" t="str">
        <f>+IF(Tabla6[[#This Row],[ESTADO FACTURA]]="PAGADA",Tabla6[[#This Row],[FECHA]]-_xlfn.XLOOKUP(Tabla6[[#This Row],[N° FACTURA]],INGRESOS!F:F,INGRESOS!A:A),"-")</f>
        <v>-</v>
      </c>
      <c r="O2518" t="s">
        <v>2086</v>
      </c>
    </row>
    <row r="2519" spans="1:15">
      <c r="A2519" s="320" t="s">
        <v>1931</v>
      </c>
      <c r="B2519" t="str">
        <f>+_xlfn.XLOOKUP(Tabla6[[#This Row],[ID CLIENTE]],'RESUMEN CLIENTES'!D:D,'RESUMEN CLIENTES'!A:A)</f>
        <v>Josué Bernardo Reyes Flores</v>
      </c>
      <c r="C2519" t="str">
        <f>+_xlfn.XLOOKUP(Tabla6[[#This Row],[ID CLIENTE]],'RESUMEN CLIENTES'!D:D,'RESUMEN CLIENTES'!C:C)</f>
        <v>México</v>
      </c>
      <c r="D2519" s="169" t="str">
        <f>+_xlfn.XLOOKUP(Tabla6[[#This Row],[ID CLIENTE]],'RESUMEN CLIENTES'!D:D,'RESUMEN CLIENTES'!M:M)</f>
        <v>OK</v>
      </c>
      <c r="E2519" s="71">
        <f>+_xlfn.XLOOKUP(Tabla6[[#This Row],[NOMBRE]],'RESUMEN CLIENTES'!A:A,'RESUMEN CLIENTES'!X:X)</f>
        <v>0</v>
      </c>
      <c r="F2519" s="71">
        <f>+_xlfn.XLOOKUP(Tabla6[[#This Row],[ID CLIENTE]],'RESUMEN CLIENTES'!D:D,'RESUMEN CLIENTES'!W:W)</f>
        <v>1</v>
      </c>
      <c r="G2519" s="17">
        <f>IF($H2519&lt;&gt;"ALEM","",IFERROR(
  DATE(
    YEAR(EDATE(
      _xlfn.XLOOKUP($A2519,'RESUMEN CLIENTES'!$D:$D,'RESUMEN CLIENTES'!$Y:$Y,""),
      7 + COUNTIFS(
            $A$2:INDEX($A:$A,ROW()), $A2519,
            $H$2:INDEX($H:$H,ROW()), "ALEM"
          )
    )),
    MONTH(EDATE(
      _xlfn.XLOOKUP($A2519,'RESUMEN CLIENTES'!$D:$D,'RESUMEN CLIENTES'!$Y:$Y,""),
      7 + COUNTIFS(
            $A$2:INDEX($A:$A,ROW()), $A2519,
            $H$2:INDEX($H:$H,ROW()), "ALEM"
          )
    )),
    1
  ),
"null"))</f>
        <v>46661</v>
      </c>
      <c r="H2519" s="169" t="s">
        <v>1876</v>
      </c>
      <c r="I2519" s="2">
        <v>800</v>
      </c>
      <c r="J2519"/>
      <c r="K2519"/>
      <c r="L2519" s="44" t="str" cm="1">
        <f t="array" ref="L2519">+_xlfn.IFS(COUNTIF(INGRESOS!E:E,Tabla6[[#This Row],[ID FACTURA]])=1,"PAGADA",Tabla6[[#This Row],[ID FACTURA]]&lt;&gt;0,"EMITIDA",Tabla6[[#This Row],[ID FACTURA]]=0,"POR EMITIR")</f>
        <v>POR EMITIR</v>
      </c>
      <c r="M2519" s="54" t="str">
        <f>+IF(Tabla6[[#This Row],[ESTADO FACTURA]]="PAGADA",Tabla6[[#This Row],[FECHA]]-_xlfn.XLOOKUP(Tabla6[[#This Row],[N° FACTURA]],INGRESOS!F:F,INGRESOS!A:A),"-")</f>
        <v>-</v>
      </c>
      <c r="O2519"/>
    </row>
    <row r="2520" spans="1:15">
      <c r="A2520" s="320" t="s">
        <v>266</v>
      </c>
      <c r="B2520" t="str">
        <f>+_xlfn.XLOOKUP(Tabla6[[#This Row],[ID CLIENTE]],'RESUMEN CLIENTES'!D:D,'RESUMEN CLIENTES'!A:A)</f>
        <v>Juan Camilo Sanchez Ramirez</v>
      </c>
      <c r="C2520" t="str">
        <f>+_xlfn.XLOOKUP(Tabla6[[#This Row],[ID CLIENTE]],'RESUMEN CLIENTES'!D:D,'RESUMEN CLIENTES'!C:C)</f>
        <v>Colombia</v>
      </c>
      <c r="D2520" s="44" t="str">
        <f>+_xlfn.XLOOKUP(Tabla6[[#This Row],[ID CLIENTE]],'RESUMEN CLIENTES'!D:D,'RESUMEN CLIENTES'!M:M)</f>
        <v>OK</v>
      </c>
      <c r="E2520" s="72">
        <f>+_xlfn.XLOOKUP(Tabla6[[#This Row],[NOMBRE]],'RESUMEN CLIENTES'!A:A,'RESUMEN CLIENTES'!X:X)</f>
        <v>0.2</v>
      </c>
      <c r="F2520" s="72">
        <f>+_xlfn.XLOOKUP(Tabla6[[#This Row],[ID CLIENTE]],'RESUMEN CLIENTES'!D:D,'RESUMEN CLIENTES'!W:W)</f>
        <v>0</v>
      </c>
      <c r="G2520" s="17">
        <f>IF($H2520&lt;&gt;"ALEM","",IFERROR(
  DATE(
    YEAR(EDATE(
      _xlfn.XLOOKUP($A2520,'RESUMEN CLIENTES'!$D:$D,'RESUMEN CLIENTES'!$Y:$Y,""),
      7 + COUNTIFS(
            $A$2:INDEX($A:$A,ROW()), $A2520,
            $H$2:INDEX($H:$H,ROW()), "ALEM"
          )
    )),
    MONTH(EDATE(
      _xlfn.XLOOKUP($A2520,'RESUMEN CLIENTES'!$D:$D,'RESUMEN CLIENTES'!$Y:$Y,""),
      7 + COUNTIFS(
            $A$2:INDEX($A:$A,ROW()), $A2520,
            $H$2:INDEX($H:$H,ROW()), "ALEM"
          )
    )),
    1
  ),
"SIN FECHA MIG"))</f>
        <v>46661</v>
      </c>
      <c r="H2520" s="44" t="s">
        <v>1876</v>
      </c>
      <c r="I2520" s="2">
        <v>1000</v>
      </c>
      <c r="J2520"/>
      <c r="K2520"/>
      <c r="L2520" s="44" t="str" cm="1">
        <f t="array" ref="L2520">+_xlfn.IFS(COUNTIF(INGRESOS!E:E,Tabla6[[#This Row],[ID FACTURA]])=1,"PAGADA",Tabla6[[#This Row],[ID FACTURA]]&lt;&gt;0,"EMITIDA",Tabla6[[#This Row],[ID FACTURA]]=0,"POR EMITIR")</f>
        <v>POR EMITIR</v>
      </c>
      <c r="M2520" s="55" t="str">
        <f>+IF(Tabla6[[#This Row],[ESTADO FACTURA]]="PAGADA",Tabla6[[#This Row],[FECHA]]-_xlfn.XLOOKUP(Tabla6[[#This Row],[N° FACTURA]],INGRESOS!F:F,INGRESOS!A:A),"-")</f>
        <v>-</v>
      </c>
      <c r="N2520" s="2"/>
      <c r="O2520"/>
    </row>
    <row r="2521" spans="1:15">
      <c r="A2521" s="320" t="s">
        <v>798</v>
      </c>
      <c r="B2521" t="str">
        <f>+_xlfn.XLOOKUP(Tabla6[[#This Row],[ID CLIENTE]],'RESUMEN CLIENTES'!D:D,'RESUMEN CLIENTES'!A:A)</f>
        <v>Juan Manuel Paranzino</v>
      </c>
      <c r="C2521" t="str">
        <f>+_xlfn.XLOOKUP(Tabla6[[#This Row],[ID CLIENTE]],'RESUMEN CLIENTES'!D:D,'RESUMEN CLIENTES'!C:C)</f>
        <v>Argentina</v>
      </c>
      <c r="D2521" s="44" t="str">
        <f>+_xlfn.XLOOKUP(Tabla6[[#This Row],[ID CLIENTE]],'RESUMEN CLIENTES'!D:D,'RESUMEN CLIENTES'!M:M)</f>
        <v>OK</v>
      </c>
      <c r="E2521" s="72">
        <f>+_xlfn.XLOOKUP(Tabla6[[#This Row],[NOMBRE]],'RESUMEN CLIENTES'!A:A,'RESUMEN CLIENTES'!X:X)</f>
        <v>-1</v>
      </c>
      <c r="F2521" s="72">
        <f>+_xlfn.XLOOKUP(Tabla6[[#This Row],[ID CLIENTE]],'RESUMEN CLIENTES'!D:D,'RESUMEN CLIENTES'!W:W)</f>
        <v>0</v>
      </c>
      <c r="G2521" s="17">
        <f>IF($H2521&lt;&gt;"ALEM","",IFERROR(
  DATE(
    YEAR(EDATE(
      _xlfn.XLOOKUP($A2521,'RESUMEN CLIENTES'!$D:$D,'RESUMEN CLIENTES'!$Y:$Y,""),
      7 + COUNTIFS(
            $A$2:INDEX($A:$A,ROW()), $A2521,
            $H$2:INDEX($H:$H,ROW()), "ALEM"
          )
    )),
    MONTH(EDATE(
      _xlfn.XLOOKUP($A2521,'RESUMEN CLIENTES'!$D:$D,'RESUMEN CLIENTES'!$Y:$Y,""),
      7 + COUNTIFS(
            $A$2:INDEX($A:$A,ROW()), $A2521,
            $H$2:INDEX($H:$H,ROW()), "ALEM"
          )
    )),
    1
  ),
"SIN FECHA MIG"))</f>
        <v>46661</v>
      </c>
      <c r="H2521" s="44" t="s">
        <v>1876</v>
      </c>
      <c r="I2521" s="2">
        <v>1000</v>
      </c>
      <c r="J2521"/>
      <c r="K2521"/>
      <c r="L2521" s="44" t="str" cm="1">
        <f t="array" ref="L2521">+_xlfn.IFS(COUNTIF(INGRESOS!E:E,Tabla6[[#This Row],[ID FACTURA]])=1,"PAGADA",Tabla6[[#This Row],[ID FACTURA]]&lt;&gt;0,"EMITIDA",Tabla6[[#This Row],[ID FACTURA]]=0,"POR EMITIR")</f>
        <v>POR EMITIR</v>
      </c>
      <c r="M2521" s="55" t="str">
        <f>+IF(Tabla6[[#This Row],[ESTADO FACTURA]]="PAGADA",Tabla6[[#This Row],[FECHA]]-_xlfn.XLOOKUP(Tabla6[[#This Row],[N° FACTURA]],INGRESOS!F:F,INGRESOS!A:A),"-")</f>
        <v>-</v>
      </c>
      <c r="N2521" s="2"/>
      <c r="O2521" t="s">
        <v>2084</v>
      </c>
    </row>
    <row r="2522" spans="1:15">
      <c r="A2522" s="320" t="s">
        <v>1461</v>
      </c>
      <c r="B2522" t="str">
        <f>+_xlfn.XLOOKUP(Tabla6[[#This Row],[ID CLIENTE]],'RESUMEN CLIENTES'!D:D,'RESUMEN CLIENTES'!A:A)</f>
        <v>Katerine Marianela Verastegui Mendoza</v>
      </c>
      <c r="C2522" t="str">
        <f>+_xlfn.XLOOKUP(Tabla6[[#This Row],[ID CLIENTE]],'RESUMEN CLIENTES'!D:D,'RESUMEN CLIENTES'!C:C)</f>
        <v>Perú</v>
      </c>
      <c r="D2522" s="44" t="str">
        <f>+_xlfn.XLOOKUP(Tabla6[[#This Row],[ID CLIENTE]],'RESUMEN CLIENTES'!D:D,'RESUMEN CLIENTES'!M:M)</f>
        <v>OK</v>
      </c>
      <c r="E2522" s="71">
        <f>+_xlfn.XLOOKUP(Tabla6[[#This Row],[NOMBRE]],'RESUMEN CLIENTES'!A:A,'RESUMEN CLIENTES'!X:X)</f>
        <v>-2</v>
      </c>
      <c r="F2522" s="71">
        <f>+_xlfn.XLOOKUP(Tabla6[[#This Row],[ID CLIENTE]],'RESUMEN CLIENTES'!D:D,'RESUMEN CLIENTES'!W:W)</f>
        <v>0</v>
      </c>
      <c r="G2522" s="17">
        <f>IF($H2522&lt;&gt;"ALEM","",IFERROR(
  DATE(
    YEAR(EDATE(
      _xlfn.XLOOKUP($A2522,'RESUMEN CLIENTES'!$D:$D,'RESUMEN CLIENTES'!$Y:$Y,""),
      7 + COUNTIFS(
            $A$2:INDEX($A:$A,ROW()), $A2522,
            $H$2:INDEX($H:$H,ROW()), "ALEM"
          )
    )),
    MONTH(EDATE(
      _xlfn.XLOOKUP($A2522,'RESUMEN CLIENTES'!$D:$D,'RESUMEN CLIENTES'!$Y:$Y,""),
      7 + COUNTIFS(
            $A$2:INDEX($A:$A,ROW()), $A2522,
            $H$2:INDEX($H:$H,ROW()), "ALEM"
          )
    )),
    1
  ),
"SIN FECHA MIG"))</f>
        <v>46661</v>
      </c>
      <c r="H2522" s="169" t="s">
        <v>1876</v>
      </c>
      <c r="I2522" s="2">
        <v>1000</v>
      </c>
      <c r="J2522"/>
      <c r="K2522"/>
      <c r="L2522" s="44" t="str" cm="1">
        <f t="array" ref="L2522">+_xlfn.IFS(COUNTIF(INGRESOS!E:E,Tabla6[[#This Row],[ID FACTURA]])=1,"PAGADA",Tabla6[[#This Row],[ID FACTURA]]&lt;&gt;0,"EMITIDA",Tabla6[[#This Row],[ID FACTURA]]=0,"POR EMITIR")</f>
        <v>POR EMITIR</v>
      </c>
      <c r="M2522" s="55" t="str">
        <f>+IF(Tabla6[[#This Row],[ESTADO FACTURA]]="PAGADA",Tabla6[[#This Row],[FECHA]]-_xlfn.XLOOKUP(Tabla6[[#This Row],[N° FACTURA]],INGRESOS!F:F,INGRESOS!A:A),"-")</f>
        <v>-</v>
      </c>
      <c r="N2522" s="2"/>
      <c r="O2522" t="s">
        <v>2086</v>
      </c>
    </row>
    <row r="2523" spans="1:15">
      <c r="A2523" s="320" t="s">
        <v>501</v>
      </c>
      <c r="B2523" t="str">
        <f>+_xlfn.XLOOKUP(Tabla6[[#This Row],[ID CLIENTE]],'RESUMEN CLIENTES'!D:D,'RESUMEN CLIENTES'!A:A)</f>
        <v>Kimberly Chantelle Frey Arteaga</v>
      </c>
      <c r="C2523" t="str">
        <f>+_xlfn.XLOOKUP(Tabla6[[#This Row],[ID CLIENTE]],'RESUMEN CLIENTES'!D:D,'RESUMEN CLIENTES'!C:C)</f>
        <v>México</v>
      </c>
      <c r="D2523" s="44" t="str">
        <f>+_xlfn.XLOOKUP(Tabla6[[#This Row],[ID CLIENTE]],'RESUMEN CLIENTES'!D:D,'RESUMEN CLIENTES'!M:M)</f>
        <v>OK</v>
      </c>
      <c r="E2523" s="72">
        <f>+_xlfn.XLOOKUP(Tabla6[[#This Row],[NOMBRE]],'RESUMEN CLIENTES'!A:A,'RESUMEN CLIENTES'!X:X)</f>
        <v>0</v>
      </c>
      <c r="F2523" s="72">
        <f>+_xlfn.XLOOKUP(Tabla6[[#This Row],[ID CLIENTE]],'RESUMEN CLIENTES'!D:D,'RESUMEN CLIENTES'!W:W)</f>
        <v>1</v>
      </c>
      <c r="G2523" s="17">
        <f>IF($H2523&lt;&gt;"ALEM","",IFERROR(
  DATE(
    YEAR(EDATE(
      _xlfn.XLOOKUP($A2523,'RESUMEN CLIENTES'!$D:$D,'RESUMEN CLIENTES'!$Y:$Y,""),
      7 + COUNTIFS(
            $A$2:INDEX($A:$A,ROW()), $A2523,
            $H$2:INDEX($H:$H,ROW()), "ALEM"
          )
    )),
    MONTH(EDATE(
      _xlfn.XLOOKUP($A2523,'RESUMEN CLIENTES'!$D:$D,'RESUMEN CLIENTES'!$Y:$Y,""),
      7 + COUNTIFS(
            $A$2:INDEX($A:$A,ROW()), $A2523,
            $H$2:INDEX($H:$H,ROW()), "ALEM"
          )
    )),
    1
  ),
"SIN FECHA MIG"))</f>
        <v>46661</v>
      </c>
      <c r="H2523" s="44" t="s">
        <v>1876</v>
      </c>
      <c r="I2523" s="2">
        <v>1000</v>
      </c>
      <c r="J2523"/>
      <c r="K2523"/>
      <c r="L2523" s="44" t="str" cm="1">
        <f t="array" ref="L2523">+_xlfn.IFS(COUNTIF(INGRESOS!E:E,Tabla6[[#This Row],[ID FACTURA]])=1,"PAGADA",Tabla6[[#This Row],[ID FACTURA]]&lt;&gt;0,"EMITIDA",Tabla6[[#This Row],[ID FACTURA]]=0,"POR EMITIR")</f>
        <v>POR EMITIR</v>
      </c>
      <c r="M2523" s="55" t="str">
        <f>+IF(Tabla6[[#This Row],[ESTADO FACTURA]]="PAGADA",Tabla6[[#This Row],[FECHA]]-_xlfn.XLOOKUP(Tabla6[[#This Row],[N° FACTURA]],INGRESOS!F:F,INGRESOS!A:A),"-")</f>
        <v>-</v>
      </c>
      <c r="N2523" s="2"/>
      <c r="O2523"/>
    </row>
    <row r="2524" spans="1:15">
      <c r="A2524" s="320" t="s">
        <v>1551</v>
      </c>
      <c r="B2524" t="str">
        <f>+_xlfn.XLOOKUP(Tabla6[[#This Row],[ID CLIENTE]],'RESUMEN CLIENTES'!D:D,'RESUMEN CLIENTES'!A:A)</f>
        <v>María Fernanda Cid Ramírez</v>
      </c>
      <c r="C2524" t="str">
        <f>+_xlfn.XLOOKUP(Tabla6[[#This Row],[ID CLIENTE]],'RESUMEN CLIENTES'!D:D,'RESUMEN CLIENTES'!C:C)</f>
        <v>México</v>
      </c>
      <c r="D2524" s="44" t="str">
        <f>+_xlfn.XLOOKUP(Tabla6[[#This Row],[ID CLIENTE]],'RESUMEN CLIENTES'!D:D,'RESUMEN CLIENTES'!M:M)</f>
        <v>OK</v>
      </c>
      <c r="E2524" s="71">
        <f>+_xlfn.XLOOKUP(Tabla6[[#This Row],[NOMBRE]],'RESUMEN CLIENTES'!A:A,'RESUMEN CLIENTES'!X:X)</f>
        <v>-0.8571428571428571</v>
      </c>
      <c r="F2524" s="71">
        <f>+_xlfn.XLOOKUP(Tabla6[[#This Row],[ID CLIENTE]],'RESUMEN CLIENTES'!D:D,'RESUMEN CLIENTES'!W:W)</f>
        <v>0</v>
      </c>
      <c r="G2524" s="17">
        <f>IF($H2524&lt;&gt;"ALEM","",IFERROR(
  DATE(
    YEAR(EDATE(
      _xlfn.XLOOKUP($A2524,'RESUMEN CLIENTES'!$D:$D,'RESUMEN CLIENTES'!$Y:$Y,""),
      7 + COUNTIFS(
            $A$2:INDEX($A:$A,ROW()), $A2524,
            $H$2:INDEX($H:$H,ROW()), "ALEM"
          )
    )),
    MONTH(EDATE(
      _xlfn.XLOOKUP($A2524,'RESUMEN CLIENTES'!$D:$D,'RESUMEN CLIENTES'!$Y:$Y,""),
      7 + COUNTIFS(
            $A$2:INDEX($A:$A,ROW()), $A2524,
            $H$2:INDEX($H:$H,ROW()), "ALEM"
          )
    )),
    1
  ),
"SIN FECHA MIG"))</f>
        <v>46661</v>
      </c>
      <c r="H2524" s="169" t="s">
        <v>1876</v>
      </c>
      <c r="I2524" s="2">
        <v>800</v>
      </c>
      <c r="J2524"/>
      <c r="K2524"/>
      <c r="L2524" s="44" t="str" cm="1">
        <f t="array" ref="L2524">+_xlfn.IFS(COUNTIF(INGRESOS!E:E,Tabla6[[#This Row],[ID FACTURA]])=1,"PAGADA",Tabla6[[#This Row],[ID FACTURA]]&lt;&gt;0,"EMITIDA",Tabla6[[#This Row],[ID FACTURA]]=0,"POR EMITIR")</f>
        <v>POR EMITIR</v>
      </c>
      <c r="M2524" s="55" t="str">
        <f>+IF(Tabla6[[#This Row],[ESTADO FACTURA]]="PAGADA",Tabla6[[#This Row],[FECHA]]-_xlfn.XLOOKUP(Tabla6[[#This Row],[N° FACTURA]],INGRESOS!F:F,INGRESOS!A:A),"-")</f>
        <v>-</v>
      </c>
      <c r="N2524" s="2"/>
      <c r="O2524" t="s">
        <v>2086</v>
      </c>
    </row>
    <row r="2525" spans="1:15">
      <c r="A2525" s="320" t="s">
        <v>1201</v>
      </c>
      <c r="B2525" t="str">
        <f>+_xlfn.XLOOKUP(Tabla6[[#This Row],[ID CLIENTE]],'RESUMEN CLIENTES'!D:D,'RESUMEN CLIENTES'!A:A)</f>
        <v>María Soledad Tituana Asanza</v>
      </c>
      <c r="C2525" t="str">
        <f>+_xlfn.XLOOKUP(Tabla6[[#This Row],[ID CLIENTE]],'RESUMEN CLIENTES'!D:D,'RESUMEN CLIENTES'!C:C)</f>
        <v>Ecuador</v>
      </c>
      <c r="D2525" s="44" t="str">
        <f>+_xlfn.XLOOKUP(Tabla6[[#This Row],[ID CLIENTE]],'RESUMEN CLIENTES'!D:D,'RESUMEN CLIENTES'!M:M)</f>
        <v>OK</v>
      </c>
      <c r="E2525" s="72">
        <f>+_xlfn.XLOOKUP(Tabla6[[#This Row],[NOMBRE]],'RESUMEN CLIENTES'!A:A,'RESUMEN CLIENTES'!X:X)</f>
        <v>-0.16666666666666666</v>
      </c>
      <c r="F2525" s="72">
        <f>+_xlfn.XLOOKUP(Tabla6[[#This Row],[ID CLIENTE]],'RESUMEN CLIENTES'!D:D,'RESUMEN CLIENTES'!W:W)</f>
        <v>0</v>
      </c>
      <c r="G2525" s="17">
        <f>IF($H2525&lt;&gt;"ALEM","",IFERROR(
  DATE(
    YEAR(EDATE(
      _xlfn.XLOOKUP($A2525,'RESUMEN CLIENTES'!$D:$D,'RESUMEN CLIENTES'!$Y:$Y,""),
      7 + COUNTIFS(
            $A$2:INDEX($A:$A,ROW()), $A2525,
            $H$2:INDEX($H:$H,ROW()), "ALEM"
          )
    )),
    MONTH(EDATE(
      _xlfn.XLOOKUP($A2525,'RESUMEN CLIENTES'!$D:$D,'RESUMEN CLIENTES'!$Y:$Y,""),
      7 + COUNTIFS(
            $A$2:INDEX($A:$A,ROW()), $A2525,
            $H$2:INDEX($H:$H,ROW()), "ALEM"
          )
    )),
    1
  ),
"SIN FECHA MIG"))</f>
        <v>46661</v>
      </c>
      <c r="H2525" s="44" t="s">
        <v>1876</v>
      </c>
      <c r="I2525" s="2">
        <v>1000</v>
      </c>
      <c r="J2525"/>
      <c r="K2525"/>
      <c r="L2525" s="44" t="str" cm="1">
        <f t="array" ref="L2525">+_xlfn.IFS(COUNTIF(INGRESOS!E:E,Tabla6[[#This Row],[ID FACTURA]])=1,"PAGADA",Tabla6[[#This Row],[ID FACTURA]]&lt;&gt;0,"EMITIDA",Tabla6[[#This Row],[ID FACTURA]]=0,"POR EMITIR")</f>
        <v>POR EMITIR</v>
      </c>
      <c r="M2525" s="55" t="str">
        <f>+IF(Tabla6[[#This Row],[ESTADO FACTURA]]="PAGADA",Tabla6[[#This Row],[FECHA]]-_xlfn.XLOOKUP(Tabla6[[#This Row],[N° FACTURA]],INGRESOS!F:F,INGRESOS!A:A),"-")</f>
        <v>-</v>
      </c>
      <c r="N2525" s="2"/>
      <c r="O2525" t="s">
        <v>2084</v>
      </c>
    </row>
    <row r="2526" spans="1:15">
      <c r="A2526" s="320" t="s">
        <v>1155</v>
      </c>
      <c r="B2526" t="str">
        <f>+_xlfn.XLOOKUP(Tabla6[[#This Row],[ID CLIENTE]],'RESUMEN CLIENTES'!D:D,'RESUMEN CLIENTES'!A:A)</f>
        <v>Mario Arciga Casián</v>
      </c>
      <c r="C2526" t="str">
        <f>+_xlfn.XLOOKUP(Tabla6[[#This Row],[ID CLIENTE]],'RESUMEN CLIENTES'!D:D,'RESUMEN CLIENTES'!C:C)</f>
        <v>México</v>
      </c>
      <c r="D2526" s="44" t="str">
        <f>+_xlfn.XLOOKUP(Tabla6[[#This Row],[ID CLIENTE]],'RESUMEN CLIENTES'!D:D,'RESUMEN CLIENTES'!M:M)</f>
        <v>OK</v>
      </c>
      <c r="E2526" s="72">
        <f>+_xlfn.XLOOKUP(Tabla6[[#This Row],[NOMBRE]],'RESUMEN CLIENTES'!A:A,'RESUMEN CLIENTES'!X:X)</f>
        <v>-0.66666666666666663</v>
      </c>
      <c r="F2526" s="72">
        <f>+_xlfn.XLOOKUP(Tabla6[[#This Row],[ID CLIENTE]],'RESUMEN CLIENTES'!D:D,'RESUMEN CLIENTES'!W:W)</f>
        <v>1</v>
      </c>
      <c r="G2526" s="17">
        <f>IF($H2526&lt;&gt;"ALEM","",IFERROR(
  DATE(
    YEAR(EDATE(
      _xlfn.XLOOKUP($A2526,'RESUMEN CLIENTES'!$D:$D,'RESUMEN CLIENTES'!$Y:$Y,""),
      7 + COUNTIFS(
            $A$2:INDEX($A:$A,ROW()), $A2526,
            $H$2:INDEX($H:$H,ROW()), "ALEM"
          )
    )),
    MONTH(EDATE(
      _xlfn.XLOOKUP($A2526,'RESUMEN CLIENTES'!$D:$D,'RESUMEN CLIENTES'!$Y:$Y,""),
      7 + COUNTIFS(
            $A$2:INDEX($A:$A,ROW()), $A2526,
            $H$2:INDEX($H:$H,ROW()), "ALEM"
          )
    )),
    1
  ),
"SIN FECHA MIG"))</f>
        <v>46661</v>
      </c>
      <c r="H2526" s="44" t="s">
        <v>1876</v>
      </c>
      <c r="I2526" s="2">
        <v>800</v>
      </c>
      <c r="J2526"/>
      <c r="K2526"/>
      <c r="L2526" s="44" t="str" cm="1">
        <f t="array" ref="L2526">+_xlfn.IFS(COUNTIF(INGRESOS!E:E,Tabla6[[#This Row],[ID FACTURA]])=1,"PAGADA",Tabla6[[#This Row],[ID FACTURA]]&lt;&gt;0,"EMITIDA",Tabla6[[#This Row],[ID FACTURA]]=0,"POR EMITIR")</f>
        <v>POR EMITIR</v>
      </c>
      <c r="M2526" s="55" t="str">
        <f>+IF(Tabla6[[#This Row],[ESTADO FACTURA]]="PAGADA",Tabla6[[#This Row],[FECHA]]-_xlfn.XLOOKUP(Tabla6[[#This Row],[N° FACTURA]],INGRESOS!F:F,INGRESOS!A:A),"-")</f>
        <v>-</v>
      </c>
      <c r="N2526" s="2"/>
      <c r="O2526"/>
    </row>
    <row r="2527" spans="1:15">
      <c r="A2527" s="320" t="s">
        <v>4509</v>
      </c>
      <c r="B2527" t="str">
        <f>+_xlfn.XLOOKUP(Tabla6[[#This Row],[ID CLIENTE]],'RESUMEN CLIENTES'!D:D,'RESUMEN CLIENTES'!A:A)</f>
        <v>Marisol Madeleine Ibáñez Paredes</v>
      </c>
      <c r="C2527" t="str">
        <f>+_xlfn.XLOOKUP(Tabla6[[#This Row],[ID CLIENTE]],'RESUMEN CLIENTES'!D:D,'RESUMEN CLIENTES'!C:C)</f>
        <v>Ecuador</v>
      </c>
      <c r="D2527" s="169" t="str">
        <f>+_xlfn.XLOOKUP(Tabla6[[#This Row],[ID CLIENTE]],'RESUMEN CLIENTES'!D:D,'RESUMEN CLIENTES'!M:M)</f>
        <v>OK</v>
      </c>
      <c r="E2527" s="71">
        <f>+_xlfn.XLOOKUP(Tabla6[[#This Row],[NOMBRE]],'RESUMEN CLIENTES'!A:A,'RESUMEN CLIENTES'!X:X)</f>
        <v>-3</v>
      </c>
      <c r="F2527" s="71">
        <f>+_xlfn.XLOOKUP(Tabla6[[#This Row],[ID CLIENTE]],'RESUMEN CLIENTES'!D:D,'RESUMEN CLIENTES'!W:W)</f>
        <v>0</v>
      </c>
      <c r="G2527" s="17">
        <f>IF($H2527&lt;&gt;"ALEM","",IFERROR(
  DATE(
    YEAR(EDATE(
      _xlfn.XLOOKUP($A2527,'RESUMEN CLIENTES'!$D:$D,'RESUMEN CLIENTES'!$Y:$Y,""),
      7 + COUNTIFS(
            $A$2:INDEX($A:$A,ROW()), $A2527,
            $H$2:INDEX($H:$H,ROW()), "ALEM"
          )
    )),
    MONTH(EDATE(
      _xlfn.XLOOKUP($A2527,'RESUMEN CLIENTES'!$D:$D,'RESUMEN CLIENTES'!$Y:$Y,""),
      7 + COUNTIFS(
            $A$2:INDEX($A:$A,ROW()), $A2527,
            $H$2:INDEX($H:$H,ROW()), "ALEM"
          )
    )),
    1
  ),
"null"))</f>
        <v>46661</v>
      </c>
      <c r="H2527" s="169" t="s">
        <v>1876</v>
      </c>
      <c r="I2527" s="2">
        <v>900</v>
      </c>
      <c r="J2527"/>
      <c r="K2527"/>
      <c r="L2527" s="44" t="str" cm="1">
        <f t="array" ref="L2527">+_xlfn.IFS(COUNTIF(INGRESOS!E:E,Tabla6[[#This Row],[ID FACTURA]])=1,"PAGADA",Tabla6[[#This Row],[ID FACTURA]]&lt;&gt;0,"EMITIDA",Tabla6[[#This Row],[ID FACTURA]]=0,"POR EMITIR")</f>
        <v>POR EMITIR</v>
      </c>
      <c r="M2527" s="54" t="str">
        <f>+IF(Tabla6[[#This Row],[ESTADO FACTURA]]="PAGADA",Tabla6[[#This Row],[FECHA]]-_xlfn.XLOOKUP(Tabla6[[#This Row],[N° FACTURA]],INGRESOS!F:F,INGRESOS!A:A),"-")</f>
        <v>-</v>
      </c>
      <c r="O2527"/>
    </row>
    <row r="2528" spans="1:15">
      <c r="A2528" s="320" t="s">
        <v>314</v>
      </c>
      <c r="B2528" t="str">
        <f>+_xlfn.XLOOKUP(Tabla6[[#This Row],[ID CLIENTE]],'RESUMEN CLIENTES'!D:D,'RESUMEN CLIENTES'!A:A)</f>
        <v>Miguel Angel Sisalima Shiña</v>
      </c>
      <c r="C2528" t="str">
        <f>+_xlfn.XLOOKUP(Tabla6[[#This Row],[ID CLIENTE]],'RESUMEN CLIENTES'!D:D,'RESUMEN CLIENTES'!C:C)</f>
        <v>Ecuador</v>
      </c>
      <c r="D2528" s="44" t="str">
        <f>+_xlfn.XLOOKUP(Tabla6[[#This Row],[ID CLIENTE]],'RESUMEN CLIENTES'!D:D,'RESUMEN CLIENTES'!M:M)</f>
        <v>OK</v>
      </c>
      <c r="E2528" s="72">
        <f>+_xlfn.XLOOKUP(Tabla6[[#This Row],[NOMBRE]],'RESUMEN CLIENTES'!A:A,'RESUMEN CLIENTES'!X:X)</f>
        <v>0.6</v>
      </c>
      <c r="F2528" s="72">
        <f>+_xlfn.XLOOKUP(Tabla6[[#This Row],[ID CLIENTE]],'RESUMEN CLIENTES'!D:D,'RESUMEN CLIENTES'!W:W)</f>
        <v>0</v>
      </c>
      <c r="G2528" s="17">
        <f>IF($H2528&lt;&gt;"ALEM","",IFERROR(
  DATE(
    YEAR(EDATE(
      _xlfn.XLOOKUP($A2528,'RESUMEN CLIENTES'!$D:$D,'RESUMEN CLIENTES'!$Y:$Y,""),
      7 + COUNTIFS(
            $A$2:INDEX($A:$A,ROW()), $A2528,
            $H$2:INDEX($H:$H,ROW()), "ALEM"
          )
    )),
    MONTH(EDATE(
      _xlfn.XLOOKUP($A2528,'RESUMEN CLIENTES'!$D:$D,'RESUMEN CLIENTES'!$Y:$Y,""),
      7 + COUNTIFS(
            $A$2:INDEX($A:$A,ROW()), $A2528,
            $H$2:INDEX($H:$H,ROW()), "ALEM"
          )
    )),
    1
  ),
"SIN FECHA MIG"))</f>
        <v>46661</v>
      </c>
      <c r="H2528" s="44" t="s">
        <v>1876</v>
      </c>
      <c r="I2528" s="2">
        <v>1000</v>
      </c>
      <c r="J2528"/>
      <c r="K2528"/>
      <c r="L2528" s="44" t="str" cm="1">
        <f t="array" ref="L2528">+_xlfn.IFS(COUNTIF(INGRESOS!E:E,Tabla6[[#This Row],[ID FACTURA]])=1,"PAGADA",Tabla6[[#This Row],[ID FACTURA]]&lt;&gt;0,"EMITIDA",Tabla6[[#This Row],[ID FACTURA]]=0,"POR EMITIR")</f>
        <v>POR EMITIR</v>
      </c>
      <c r="M2528" s="55" t="str">
        <f>+IF(Tabla6[[#This Row],[ESTADO FACTURA]]="PAGADA",Tabla6[[#This Row],[FECHA]]-_xlfn.XLOOKUP(Tabla6[[#This Row],[N° FACTURA]],INGRESOS!F:F,INGRESOS!A:A),"-")</f>
        <v>-</v>
      </c>
      <c r="N2528" s="2"/>
      <c r="O2528"/>
    </row>
    <row r="2529" spans="1:15">
      <c r="A2529" s="320" t="s">
        <v>1658</v>
      </c>
      <c r="B2529" t="str">
        <f>+_xlfn.XLOOKUP(Tabla6[[#This Row],[ID CLIENTE]],'RESUMEN CLIENTES'!D:D,'RESUMEN CLIENTES'!A:A)</f>
        <v>Nadya Sofía García Carrasco</v>
      </c>
      <c r="C2529" t="str">
        <f>+_xlfn.XLOOKUP(Tabla6[[#This Row],[ID CLIENTE]],'RESUMEN CLIENTES'!D:D,'RESUMEN CLIENTES'!C:C)</f>
        <v>Ecuador</v>
      </c>
      <c r="D2529" s="169" t="str">
        <f>+_xlfn.XLOOKUP(Tabla6[[#This Row],[ID CLIENTE]],'RESUMEN CLIENTES'!D:D,'RESUMEN CLIENTES'!M:M)</f>
        <v>OK</v>
      </c>
      <c r="E2529" s="71">
        <f>+_xlfn.XLOOKUP(Tabla6[[#This Row],[NOMBRE]],'RESUMEN CLIENTES'!A:A,'RESUMEN CLIENTES'!X:X)</f>
        <v>0</v>
      </c>
      <c r="F2529" s="71">
        <f>+_xlfn.XLOOKUP(Tabla6[[#This Row],[ID CLIENTE]],'RESUMEN CLIENTES'!D:D,'RESUMEN CLIENTES'!W:W)</f>
        <v>1</v>
      </c>
      <c r="G2529" s="17">
        <f>IF($H2529&lt;&gt;"ALEM","",IFERROR(
  DATE(
    YEAR(EDATE(
      _xlfn.XLOOKUP($A2529,'RESUMEN CLIENTES'!$D:$D,'RESUMEN CLIENTES'!$Y:$Y,""),
      7 + COUNTIFS(
            $A$2:INDEX($A:$A,ROW()), $A2529,
            $H$2:INDEX($H:$H,ROW()), "ALEM"
          )
    )),
    MONTH(EDATE(
      _xlfn.XLOOKUP($A2529,'RESUMEN CLIENTES'!$D:$D,'RESUMEN CLIENTES'!$Y:$Y,""),
      7 + COUNTIFS(
            $A$2:INDEX($A:$A,ROW()), $A2529,
            $H$2:INDEX($H:$H,ROW()), "ALEM"
          )
    )),
    1
  ),
"SIN FECHA MIG"))</f>
        <v>46661</v>
      </c>
      <c r="H2529" s="169" t="s">
        <v>1876</v>
      </c>
      <c r="I2529" s="2">
        <v>800</v>
      </c>
      <c r="J2529"/>
      <c r="K2529"/>
      <c r="L2529" s="44" t="str" cm="1">
        <f t="array" ref="L2529">+_xlfn.IFS(COUNTIF(INGRESOS!E:E,Tabla6[[#This Row],[ID FACTURA]])=1,"PAGADA",Tabla6[[#This Row],[ID FACTURA]]&lt;&gt;0,"EMITIDA",Tabla6[[#This Row],[ID FACTURA]]=0,"POR EMITIR")</f>
        <v>POR EMITIR</v>
      </c>
      <c r="M2529" s="55" t="str">
        <f>+IF(Tabla6[[#This Row],[ESTADO FACTURA]]="PAGADA",Tabla6[[#This Row],[FECHA]]-_xlfn.XLOOKUP(Tabla6[[#This Row],[N° FACTURA]],INGRESOS!F:F,INGRESOS!A:A),"-")</f>
        <v>-</v>
      </c>
      <c r="O2529"/>
    </row>
    <row r="2530" spans="1:15">
      <c r="A2530" s="321" t="s">
        <v>1881</v>
      </c>
      <c r="B2530" t="str">
        <f>+_xlfn.XLOOKUP(Tabla6[[#This Row],[ID CLIENTE]],'RESUMEN CLIENTES'!D:D,'RESUMEN CLIENTES'!A:A)</f>
        <v>Paulina Alejandra Silva Gómez</v>
      </c>
      <c r="C2530" t="str">
        <f>+_xlfn.XLOOKUP(Tabla6[[#This Row],[ID CLIENTE]],'RESUMEN CLIENTES'!D:D,'RESUMEN CLIENTES'!C:C)</f>
        <v>Chile</v>
      </c>
      <c r="D2530" s="169" t="str">
        <f>+_xlfn.XLOOKUP(Tabla6[[#This Row],[ID CLIENTE]],'RESUMEN CLIENTES'!D:D,'RESUMEN CLIENTES'!M:M)</f>
        <v>¡REGULARIZAR!</v>
      </c>
      <c r="E2530" s="71">
        <f>+_xlfn.XLOOKUP(Tabla6[[#This Row],[NOMBRE]],'RESUMEN CLIENTES'!A:A,'RESUMEN CLIENTES'!X:X)</f>
        <v>-6.833333333333333</v>
      </c>
      <c r="F2530" s="71">
        <f>+_xlfn.XLOOKUP(Tabla6[[#This Row],[ID CLIENTE]],'RESUMEN CLIENTES'!D:D,'RESUMEN CLIENTES'!W:W)</f>
        <v>0</v>
      </c>
      <c r="G2530" s="17">
        <f>IF($H2530&lt;&gt;"ALEM","",IFERROR(
  DATE(
    YEAR(EDATE(
      _xlfn.XLOOKUP($A2530,'RESUMEN CLIENTES'!$D:$D,'RESUMEN CLIENTES'!$Y:$Y,""),
      7 + COUNTIFS(
            $A$2:INDEX($A:$A,ROW()), $A2530,
            $H$2:INDEX($H:$H,ROW()), "ALEM"
          )
    )),
    MONTH(EDATE(
      _xlfn.XLOOKUP($A2530,'RESUMEN CLIENTES'!$D:$D,'RESUMEN CLIENTES'!$Y:$Y,""),
      7 + COUNTIFS(
            $A$2:INDEX($A:$A,ROW()), $A2530,
            $H$2:INDEX($H:$H,ROW()), "ALEM"
          )
    )),
    1
  ),
"null"))</f>
        <v>46661</v>
      </c>
      <c r="H2530" s="169" t="s">
        <v>1876</v>
      </c>
      <c r="I2530" s="2">
        <v>800</v>
      </c>
      <c r="J2530"/>
      <c r="K2530"/>
      <c r="L2530" s="44" t="str" cm="1">
        <f t="array" ref="L2530">+_xlfn.IFS(COUNTIF(INGRESOS!E:E,Tabla6[[#This Row],[ID FACTURA]])=1,"PAGADA",Tabla6[[#This Row],[ID FACTURA]]&lt;&gt;0,"EMITIDA",Tabla6[[#This Row],[ID FACTURA]]=0,"POR EMITIR")</f>
        <v>POR EMITIR</v>
      </c>
      <c r="M2530" s="54" t="str">
        <f>+IF(Tabla6[[#This Row],[ESTADO FACTURA]]="PAGADA",Tabla6[[#This Row],[FECHA]]-_xlfn.XLOOKUP(Tabla6[[#This Row],[N° FACTURA]],INGRESOS!F:F,INGRESOS!A:A),"-")</f>
        <v>-</v>
      </c>
      <c r="O2530" t="s">
        <v>2092</v>
      </c>
    </row>
    <row r="2531" spans="1:15">
      <c r="A2531" s="320" t="s">
        <v>994</v>
      </c>
      <c r="B2531" t="str">
        <f>+_xlfn.XLOOKUP(Tabla6[[#This Row],[ID CLIENTE]],'RESUMEN CLIENTES'!D:D,'RESUMEN CLIENTES'!A:A)</f>
        <v>Raúl Ernesto Martínez Orantes</v>
      </c>
      <c r="C2531" t="str">
        <f>+_xlfn.XLOOKUP(Tabla6[[#This Row],[ID CLIENTE]],'RESUMEN CLIENTES'!D:D,'RESUMEN CLIENTES'!C:C)</f>
        <v>El Salvador</v>
      </c>
      <c r="D2531" s="44" t="str">
        <f>+_xlfn.XLOOKUP(Tabla6[[#This Row],[ID CLIENTE]],'RESUMEN CLIENTES'!D:D,'RESUMEN CLIENTES'!M:M)</f>
        <v>OK</v>
      </c>
      <c r="E2531" s="72">
        <f>+_xlfn.XLOOKUP(Tabla6[[#This Row],[NOMBRE]],'RESUMEN CLIENTES'!A:A,'RESUMEN CLIENTES'!X:X)</f>
        <v>1.1428571428571428</v>
      </c>
      <c r="F2531" s="72">
        <f>+_xlfn.XLOOKUP(Tabla6[[#This Row],[ID CLIENTE]],'RESUMEN CLIENTES'!D:D,'RESUMEN CLIENTES'!W:W)</f>
        <v>1</v>
      </c>
      <c r="G2531" s="17">
        <f>IF($H2531&lt;&gt;"ALEM","",IFERROR(
  DATE(
    YEAR(EDATE(
      _xlfn.XLOOKUP($A2531,'RESUMEN CLIENTES'!$D:$D,'RESUMEN CLIENTES'!$Y:$Y,""),
      7 + COUNTIFS(
            $A$2:INDEX($A:$A,ROW()), $A2531,
            $H$2:INDEX($H:$H,ROW()), "ALEM"
          )
    )),
    MONTH(EDATE(
      _xlfn.XLOOKUP($A2531,'RESUMEN CLIENTES'!$D:$D,'RESUMEN CLIENTES'!$Y:$Y,""),
      7 + COUNTIFS(
            $A$2:INDEX($A:$A,ROW()), $A2531,
            $H$2:INDEX($H:$H,ROW()), "ALEM"
          )
    )),
    1
  ),
"SIN FECHA MIG"))</f>
        <v>46661</v>
      </c>
      <c r="H2531" s="44" t="s">
        <v>1876</v>
      </c>
      <c r="I2531" s="2">
        <v>800</v>
      </c>
      <c r="J2531"/>
      <c r="K2531"/>
      <c r="L2531" s="44" t="str" cm="1">
        <f t="array" ref="L2531">+_xlfn.IFS(COUNTIF(INGRESOS!E:E,Tabla6[[#This Row],[ID FACTURA]])=1,"PAGADA",Tabla6[[#This Row],[ID FACTURA]]&lt;&gt;0,"EMITIDA",Tabla6[[#This Row],[ID FACTURA]]=0,"POR EMITIR")</f>
        <v>POR EMITIR</v>
      </c>
      <c r="M2531" s="55" t="str">
        <f>+IF(Tabla6[[#This Row],[ESTADO FACTURA]]="PAGADA",Tabla6[[#This Row],[FECHA]]-_xlfn.XLOOKUP(Tabla6[[#This Row],[N° FACTURA]],INGRESOS!F:F,INGRESOS!A:A),"-")</f>
        <v>-</v>
      </c>
      <c r="N2531" s="2"/>
      <c r="O2531"/>
    </row>
    <row r="2532" spans="1:15">
      <c r="A2532" s="320" t="s">
        <v>1419</v>
      </c>
      <c r="B2532" t="str">
        <f>+_xlfn.XLOOKUP(Tabla6[[#This Row],[ID CLIENTE]],'RESUMEN CLIENTES'!D:D,'RESUMEN CLIENTES'!A:A)</f>
        <v>Rocio Natalia López Núñez</v>
      </c>
      <c r="C2532" t="str">
        <f>+_xlfn.XLOOKUP(Tabla6[[#This Row],[ID CLIENTE]],'RESUMEN CLIENTES'!D:D,'RESUMEN CLIENTES'!C:C)</f>
        <v>Chile</v>
      </c>
      <c r="D2532" s="44" t="str">
        <f>+_xlfn.XLOOKUP(Tabla6[[#This Row],[ID CLIENTE]],'RESUMEN CLIENTES'!D:D,'RESUMEN CLIENTES'!M:M)</f>
        <v>OK</v>
      </c>
      <c r="E2532" s="71">
        <f>+_xlfn.XLOOKUP(Tabla6[[#This Row],[NOMBRE]],'RESUMEN CLIENTES'!A:A,'RESUMEN CLIENTES'!X:X)</f>
        <v>0</v>
      </c>
      <c r="F2532" s="71">
        <f>+_xlfn.XLOOKUP(Tabla6[[#This Row],[ID CLIENTE]],'RESUMEN CLIENTES'!D:D,'RESUMEN CLIENTES'!W:W)</f>
        <v>0</v>
      </c>
      <c r="G2532" s="17">
        <f>IF($H2532&lt;&gt;"ALEM","",IFERROR(
  DATE(
    YEAR(EDATE(
      _xlfn.XLOOKUP($A2532,'RESUMEN CLIENTES'!$D:$D,'RESUMEN CLIENTES'!$Y:$Y,""),
      7 + COUNTIFS(
            $A$2:INDEX($A:$A,ROW()), $A2532,
            $H$2:INDEX($H:$H,ROW()), "ALEM"
          )
    )),
    MONTH(EDATE(
      _xlfn.XLOOKUP($A2532,'RESUMEN CLIENTES'!$D:$D,'RESUMEN CLIENTES'!$Y:$Y,""),
      7 + COUNTIFS(
            $A$2:INDEX($A:$A,ROW()), $A2532,
            $H$2:INDEX($H:$H,ROW()), "ALEM"
          )
    )),
    1
  ),
"SIN FECHA MIG"))</f>
        <v>46661</v>
      </c>
      <c r="H2532" s="169" t="s">
        <v>1876</v>
      </c>
      <c r="I2532" s="2">
        <v>800</v>
      </c>
      <c r="J2532"/>
      <c r="K2532"/>
      <c r="L2532" s="44" t="str" cm="1">
        <f t="array" ref="L2532">+_xlfn.IFS(COUNTIF(INGRESOS!E:E,Tabla6[[#This Row],[ID FACTURA]])=1,"PAGADA",Tabla6[[#This Row],[ID FACTURA]]&lt;&gt;0,"EMITIDA",Tabla6[[#This Row],[ID FACTURA]]=0,"POR EMITIR")</f>
        <v>POR EMITIR</v>
      </c>
      <c r="M2532" s="55" t="str">
        <f>+IF(Tabla6[[#This Row],[ESTADO FACTURA]]="PAGADA",Tabla6[[#This Row],[FECHA]]-_xlfn.XLOOKUP(Tabla6[[#This Row],[N° FACTURA]],INGRESOS!F:F,INGRESOS!A:A),"-")</f>
        <v>-</v>
      </c>
      <c r="N2532" s="2"/>
      <c r="O2532"/>
    </row>
    <row r="2533" spans="1:15">
      <c r="A2533" s="320" t="s">
        <v>6696</v>
      </c>
      <c r="B2533" t="str">
        <f>+_xlfn.XLOOKUP(Tabla6[[#This Row],[ID CLIENTE]],'RESUMEN CLIENTES'!D:D,'RESUMEN CLIENTES'!A:A)</f>
        <v>Stiben Lopez Vargas</v>
      </c>
      <c r="C2533" s="15" t="str">
        <f>+_xlfn.XLOOKUP(Tabla6[[#This Row],[ID CLIENTE]],'RESUMEN CLIENTES'!D:D,'RESUMEN CLIENTES'!C:C)</f>
        <v>Colombia</v>
      </c>
      <c r="D2533" s="169" t="str">
        <f>+_xlfn.XLOOKUP(Tabla6[[#This Row],[ID CLIENTE]],'RESUMEN CLIENTES'!D:D,'RESUMEN CLIENTES'!M:M)</f>
        <v xml:space="preserve">TRASPASAR </v>
      </c>
      <c r="E2533" s="71">
        <f>+_xlfn.XLOOKUP(Tabla6[[#This Row],[NOMBRE]],'RESUMEN CLIENTES'!A:A,'RESUMEN CLIENTES'!X:X)</f>
        <v>58</v>
      </c>
      <c r="F2533" s="71">
        <f>+_xlfn.XLOOKUP(Tabla6[[#This Row],[ID CLIENTE]],'RESUMEN CLIENTES'!D:D,'RESUMEN CLIENTES'!W:W)</f>
        <v>0</v>
      </c>
      <c r="G2533" s="17">
        <f>IF($H2533&lt;&gt;"ALEM","",IFERROR(
  DATE(
    YEAR(EDATE(
      _xlfn.XLOOKUP($A2533,'RESUMEN CLIENTES'!$D:$D,'RESUMEN CLIENTES'!$Y:$Y,""),
      7 + COUNTIFS(
            $A$2:INDEX($A:$A,ROW()), $A2533,
            $H$2:INDEX($H:$H,ROW()), "ALEM"
          )
    )),
    MONTH(EDATE(
      _xlfn.XLOOKUP($A2533,'RESUMEN CLIENTES'!$D:$D,'RESUMEN CLIENTES'!$Y:$Y,""),
      7 + COUNTIFS(
            $A$2:INDEX($A:$A,ROW()), $A2533,
            $H$2:INDEX($H:$H,ROW()), "ALEM"
          )
    )),
    1
  ),
"null"))</f>
        <v>46661</v>
      </c>
      <c r="H2533" s="169" t="s">
        <v>1876</v>
      </c>
      <c r="I2533" s="2">
        <v>1000</v>
      </c>
      <c r="J2533"/>
      <c r="K2533"/>
      <c r="L2533" s="44" t="str" cm="1">
        <f t="array" ref="L2533">+_xlfn.IFS(COUNTIF(INGRESOS!E:E,Tabla6[[#This Row],[ID FACTURA]])=1,"PAGADA",Tabla6[[#This Row],[ID FACTURA]]&lt;&gt;0,"EMITIDA",Tabla6[[#This Row],[ID FACTURA]]=0,"POR EMITIR")</f>
        <v>POR EMITIR</v>
      </c>
      <c r="M2533" s="54" t="str">
        <f>+IF(Tabla6[[#This Row],[ESTADO FACTURA]]="PAGADA",Tabla6[[#This Row],[FECHA]]-_xlfn.XLOOKUP(Tabla6[[#This Row],[N° FACTURA]],INGRESOS!F:F,INGRESOS!A:A),"-")</f>
        <v>-</v>
      </c>
      <c r="O2533"/>
    </row>
    <row r="2534" spans="1:15">
      <c r="A2534" s="320" t="s">
        <v>2521</v>
      </c>
      <c r="B2534" t="str">
        <f>+_xlfn.XLOOKUP(Tabla6[[#This Row],[ID CLIENTE]],'RESUMEN CLIENTES'!D:D,'RESUMEN CLIENTES'!A:A)</f>
        <v>Fabián Andrés Sarmiento Auli</v>
      </c>
      <c r="C2534" t="str">
        <f>+_xlfn.XLOOKUP(Tabla6[[#This Row],[ID CLIENTE]],'RESUMEN CLIENTES'!D:D,'RESUMEN CLIENTES'!C:C)</f>
        <v>Colombia</v>
      </c>
      <c r="D2534" s="169" t="str">
        <f>+_xlfn.XLOOKUP(Tabla6[[#This Row],[ID CLIENTE]],'RESUMEN CLIENTES'!D:D,'RESUMEN CLIENTES'!M:M)</f>
        <v>OK</v>
      </c>
      <c r="E2534" s="71">
        <f>+_xlfn.XLOOKUP(Tabla6[[#This Row],[NOMBRE]],'RESUMEN CLIENTES'!A:A,'RESUMEN CLIENTES'!X:X)</f>
        <v>0</v>
      </c>
      <c r="F2534" s="71">
        <f>+_xlfn.XLOOKUP(Tabla6[[#This Row],[ID CLIENTE]],'RESUMEN CLIENTES'!D:D,'RESUMEN CLIENTES'!W:W)</f>
        <v>0</v>
      </c>
      <c r="G2534" s="17">
        <v>46665</v>
      </c>
      <c r="H2534" s="169" t="s">
        <v>81</v>
      </c>
      <c r="I2534" s="2">
        <v>650</v>
      </c>
      <c r="J2534"/>
      <c r="K2534"/>
      <c r="L2534" s="44" t="str" cm="1">
        <f t="array" ref="L2534">+_xlfn.IFS(COUNTIF(INGRESOS!E:E,Tabla6[[#This Row],[ID FACTURA]])=1,"PAGADA",Tabla6[[#This Row],[ID FACTURA]]&lt;&gt;0,"EMITIDA",Tabla6[[#This Row],[ID FACTURA]]=0,"POR EMITIR")</f>
        <v>POR EMITIR</v>
      </c>
      <c r="M2534" s="54" t="str">
        <f>+IF(Tabla6[[#This Row],[ESTADO FACTURA]]="PAGADA",Tabla6[[#This Row],[FECHA]]-_xlfn.XLOOKUP(Tabla6[[#This Row],[N° FACTURA]],INGRESOS!F:F,INGRESOS!A:A),"-")</f>
        <v>-</v>
      </c>
      <c r="O2534"/>
    </row>
    <row r="2535" spans="1:15">
      <c r="A2535" s="320" t="s">
        <v>1416</v>
      </c>
      <c r="B2535" t="str">
        <f>+_xlfn.XLOOKUP(Tabla6[[#This Row],[ID CLIENTE]],'RESUMEN CLIENTES'!D:D,'RESUMEN CLIENTES'!A:A)</f>
        <v>Luis Armando Calderon Manzanera</v>
      </c>
      <c r="C2535" t="str">
        <f>+_xlfn.XLOOKUP(Tabla6[[#This Row],[ID CLIENTE]],'RESUMEN CLIENTES'!D:D,'RESUMEN CLIENTES'!C:C)</f>
        <v>México</v>
      </c>
      <c r="D2535" s="44" t="str">
        <f>+_xlfn.XLOOKUP(Tabla6[[#This Row],[ID CLIENTE]],'RESUMEN CLIENTES'!D:D,'RESUMEN CLIENTES'!M:M)</f>
        <v>OK</v>
      </c>
      <c r="E2535" s="71">
        <f>+_xlfn.XLOOKUP(Tabla6[[#This Row],[NOMBRE]],'RESUMEN CLIENTES'!A:A,'RESUMEN CLIENTES'!X:X)</f>
        <v>2</v>
      </c>
      <c r="F2535" s="71">
        <f>+_xlfn.XLOOKUP(Tabla6[[#This Row],[ID CLIENTE]],'RESUMEN CLIENTES'!D:D,'RESUMEN CLIENTES'!W:W)</f>
        <v>1</v>
      </c>
      <c r="G2535" s="17">
        <v>46665</v>
      </c>
      <c r="H2535" s="44" t="s">
        <v>81</v>
      </c>
      <c r="I2535" s="2">
        <v>650</v>
      </c>
      <c r="J2535"/>
      <c r="K2535"/>
      <c r="L2535" s="44" t="str" cm="1">
        <f t="array" ref="L2535">+_xlfn.IFS(COUNTIF(INGRESOS!E:E,Tabla6[[#This Row],[ID FACTURA]])=1,"PAGADA",Tabla6[[#This Row],[ID FACTURA]]&lt;&gt;0,"EMITIDA",Tabla6[[#This Row],[ID FACTURA]]=0,"POR EMITIR")</f>
        <v>POR EMITIR</v>
      </c>
      <c r="M2535" s="55" t="str">
        <f>+IF(Tabla6[[#This Row],[ESTADO FACTURA]]="PAGADA",Tabla6[[#This Row],[FECHA]]-_xlfn.XLOOKUP(Tabla6[[#This Row],[N° FACTURA]],INGRESOS!F:F,INGRESOS!A:A),"-")</f>
        <v>-</v>
      </c>
      <c r="N2535" s="2"/>
      <c r="O2535"/>
    </row>
    <row r="2536" spans="1:15">
      <c r="A2536" s="320" t="s">
        <v>1945</v>
      </c>
      <c r="B2536" t="str">
        <f>+_xlfn.XLOOKUP(Tabla6[[#This Row],[ID CLIENTE]],'RESUMEN CLIENTES'!D:D,'RESUMEN CLIENTES'!A:A)</f>
        <v>Fernanda Constanza Kompai Antu Arellano Guzmán</v>
      </c>
      <c r="C2536" t="str">
        <f>+_xlfn.XLOOKUP(Tabla6[[#This Row],[ID CLIENTE]],'RESUMEN CLIENTES'!D:D,'RESUMEN CLIENTES'!C:C)</f>
        <v>Chile</v>
      </c>
      <c r="D2536" s="169" t="str">
        <f>+_xlfn.XLOOKUP(Tabla6[[#This Row],[ID CLIENTE]],'RESUMEN CLIENTES'!D:D,'RESUMEN CLIENTES'!M:M)</f>
        <v>OK</v>
      </c>
      <c r="E2536" s="71">
        <f>+_xlfn.XLOOKUP(Tabla6[[#This Row],[NOMBRE]],'RESUMEN CLIENTES'!A:A,'RESUMEN CLIENTES'!X:X)</f>
        <v>0</v>
      </c>
      <c r="F2536" s="71">
        <f>+_xlfn.XLOOKUP(Tabla6[[#This Row],[ID CLIENTE]],'RESUMEN CLIENTES'!D:D,'RESUMEN CLIENTES'!W:W)</f>
        <v>0</v>
      </c>
      <c r="G2536" s="170">
        <v>46675</v>
      </c>
      <c r="H2536" s="170" t="s">
        <v>81</v>
      </c>
      <c r="I2536" s="2">
        <v>650</v>
      </c>
      <c r="J2536"/>
      <c r="K2536"/>
      <c r="L2536" s="44" t="str" cm="1">
        <f t="array" ref="L2536">+_xlfn.IFS(COUNTIF(INGRESOS!E:E,Tabla6[[#This Row],[ID FACTURA]])=1,"PAGADA",Tabla6[[#This Row],[ID FACTURA]]&lt;&gt;0,"EMITIDA",Tabla6[[#This Row],[ID FACTURA]]=0,"POR EMITIR")</f>
        <v>POR EMITIR</v>
      </c>
      <c r="M2536" s="54" t="str">
        <f>+IF(Tabla6[[#This Row],[ESTADO FACTURA]]="PAGADA",Tabla6[[#This Row],[FECHA]]-_xlfn.XLOOKUP(Tabla6[[#This Row],[N° FACTURA]],INGRESOS!F:F,INGRESOS!A:A),"-")</f>
        <v>-</v>
      </c>
      <c r="O2536"/>
    </row>
    <row r="2537" spans="1:15">
      <c r="A2537" s="321" t="s">
        <v>1756</v>
      </c>
      <c r="B2537" t="str">
        <f>+_xlfn.XLOOKUP(Tabla6[[#This Row],[ID CLIENTE]],'RESUMEN CLIENTES'!D:D,'RESUMEN CLIENTES'!A:A)</f>
        <v>Aylin Micaela Ortiz Chiriboga</v>
      </c>
      <c r="C2537" t="str">
        <f>+_xlfn.XLOOKUP(Tabla6[[#This Row],[ID CLIENTE]],'RESUMEN CLIENTES'!D:D,'RESUMEN CLIENTES'!C:C)</f>
        <v>Ecuador</v>
      </c>
      <c r="D2537" s="169" t="str">
        <f>+_xlfn.XLOOKUP(Tabla6[[#This Row],[ID CLIENTE]],'RESUMEN CLIENTES'!D:D,'RESUMEN CLIENTES'!M:M)</f>
        <v>¡REGULARIZAR!</v>
      </c>
      <c r="E2537" s="71">
        <f>+_xlfn.XLOOKUP(Tabla6[[#This Row],[NOMBRE]],'RESUMEN CLIENTES'!A:A,'RESUMEN CLIENTES'!X:X)</f>
        <v>0</v>
      </c>
      <c r="F2537" s="71">
        <f>+_xlfn.XLOOKUP(Tabla6[[#This Row],[ID CLIENTE]],'RESUMEN CLIENTES'!D:D,'RESUMEN CLIENTES'!W:W)</f>
        <v>1</v>
      </c>
      <c r="G2537" s="170">
        <v>46676</v>
      </c>
      <c r="H2537" s="169" t="s">
        <v>81</v>
      </c>
      <c r="I2537" s="2">
        <v>650</v>
      </c>
      <c r="J2537"/>
      <c r="K2537"/>
      <c r="L2537" s="44" t="str" cm="1">
        <f t="array" ref="L2537">+_xlfn.IFS(COUNTIF(INGRESOS!E:E,Tabla6[[#This Row],[ID FACTURA]])=1,"PAGADA",Tabla6[[#This Row],[ID FACTURA]]&lt;&gt;0,"EMITIDA",Tabla6[[#This Row],[ID FACTURA]]=0,"POR EMITIR")</f>
        <v>POR EMITIR</v>
      </c>
      <c r="M2537" s="54" t="str">
        <f>+IF(Tabla6[[#This Row],[ESTADO FACTURA]]="PAGADA",Tabla6[[#This Row],[FECHA]]-_xlfn.XLOOKUP(Tabla6[[#This Row],[N° FACTURA]],INGRESOS!F:F,INGRESOS!A:A),"-")</f>
        <v>-</v>
      </c>
      <c r="O2537"/>
    </row>
    <row r="2538" spans="1:15">
      <c r="A2538" s="320" t="s">
        <v>2046</v>
      </c>
      <c r="B2538" t="str">
        <f>+_xlfn.XLOOKUP(Tabla6[[#This Row],[ID CLIENTE]],'RESUMEN CLIENTES'!D:D,'RESUMEN CLIENTES'!A:A)</f>
        <v>Jesica Daniela Paredes Mendoza</v>
      </c>
      <c r="C2538" t="str">
        <f>+_xlfn.XLOOKUP(Tabla6[[#This Row],[ID CLIENTE]],'RESUMEN CLIENTES'!D:D,'RESUMEN CLIENTES'!C:C)</f>
        <v>México</v>
      </c>
      <c r="D2538" s="169" t="str">
        <f>+_xlfn.XLOOKUP(Tabla6[[#This Row],[ID CLIENTE]],'RESUMEN CLIENTES'!D:D,'RESUMEN CLIENTES'!M:M)</f>
        <v>OK</v>
      </c>
      <c r="E2538" s="71">
        <f>+_xlfn.XLOOKUP(Tabla6[[#This Row],[NOMBRE]],'RESUMEN CLIENTES'!A:A,'RESUMEN CLIENTES'!X:X)</f>
        <v>-2.75</v>
      </c>
      <c r="F2538" s="71">
        <f>+_xlfn.XLOOKUP(Tabla6[[#This Row],[ID CLIENTE]],'RESUMEN CLIENTES'!D:D,'RESUMEN CLIENTES'!W:W)</f>
        <v>1</v>
      </c>
      <c r="G2538" s="17">
        <v>46676</v>
      </c>
      <c r="H2538" s="169" t="s">
        <v>81</v>
      </c>
      <c r="I2538" s="2">
        <v>500</v>
      </c>
      <c r="J2538"/>
      <c r="K2538"/>
      <c r="L2538" s="44" t="str" cm="1">
        <f t="array" ref="L2538">+_xlfn.IFS(COUNTIF(INGRESOS!E:E,Tabla6[[#This Row],[ID FACTURA]])=1,"PAGADA",Tabla6[[#This Row],[ID FACTURA]]&lt;&gt;0,"EMITIDA",Tabla6[[#This Row],[ID FACTURA]]=0,"POR EMITIR")</f>
        <v>POR EMITIR</v>
      </c>
      <c r="M2538" s="54" t="str">
        <f>+IF(Tabla6[[#This Row],[ESTADO FACTURA]]="PAGADA",Tabla6[[#This Row],[FECHA]]-_xlfn.XLOOKUP(Tabla6[[#This Row],[N° FACTURA]],INGRESOS!F:F,INGRESOS!A:A),"-")</f>
        <v>-</v>
      </c>
      <c r="O2538"/>
    </row>
    <row r="2539" spans="1:15">
      <c r="A2539" s="320" t="s">
        <v>139</v>
      </c>
      <c r="B2539" t="str">
        <f>+_xlfn.XLOOKUP(Tabla6[[#This Row],[ID CLIENTE]],'RESUMEN CLIENTES'!D:D,'RESUMEN CLIENTES'!A:A)</f>
        <v>Hugo Nicolás Trávez Morales</v>
      </c>
      <c r="C2539" t="str">
        <f>+_xlfn.XLOOKUP(Tabla6[[#This Row],[ID CLIENTE]],'RESUMEN CLIENTES'!D:D,'RESUMEN CLIENTES'!C:C)</f>
        <v>Ecuador</v>
      </c>
      <c r="D2539" s="169" t="str">
        <f>+_xlfn.XLOOKUP(Tabla6[[#This Row],[ID CLIENTE]],'RESUMEN CLIENTES'!D:D,'RESUMEN CLIENTES'!M:M)</f>
        <v>OK</v>
      </c>
      <c r="E2539" s="71">
        <f>+_xlfn.XLOOKUP(Tabla6[[#This Row],[NOMBRE]],'RESUMEN CLIENTES'!A:A,'RESUMEN CLIENTES'!X:X)</f>
        <v>0</v>
      </c>
      <c r="F2539" s="71">
        <f>+_xlfn.XLOOKUP(Tabla6[[#This Row],[ID CLIENTE]],'RESUMEN CLIENTES'!D:D,'RESUMEN CLIENTES'!W:W)</f>
        <v>0</v>
      </c>
      <c r="G2539" s="17">
        <v>46690</v>
      </c>
      <c r="H2539" s="44" t="s">
        <v>81</v>
      </c>
      <c r="I2539" s="2">
        <v>1000</v>
      </c>
      <c r="J2539"/>
      <c r="K2539"/>
      <c r="L2539" s="44" t="str" cm="1">
        <f t="array" ref="L2539">+_xlfn.IFS(COUNTIF(INGRESOS!E:E,Tabla6[[#This Row],[ID FACTURA]])=1,"PAGADA",Tabla6[[#This Row],[ID FACTURA]]&lt;&gt;0,"EMITIDA",Tabla6[[#This Row],[ID FACTURA]]=0,"POR EMITIR")</f>
        <v>POR EMITIR</v>
      </c>
      <c r="M2539" s="54" t="str">
        <f>+IF(Tabla6[[#This Row],[ESTADO FACTURA]]="PAGADA",Tabla6[[#This Row],[FECHA]]-_xlfn.XLOOKUP(Tabla6[[#This Row],[N° FACTURA]],INGRESOS!F:F,INGRESOS!A:A),"-")</f>
        <v>-</v>
      </c>
      <c r="O2539"/>
    </row>
    <row r="2540" spans="1:15">
      <c r="A2540" s="320" t="s">
        <v>527</v>
      </c>
      <c r="B2540" t="str">
        <f>+_xlfn.XLOOKUP(Tabla6[[#This Row],[ID CLIENTE]],'RESUMEN CLIENTES'!D:D,'RESUMEN CLIENTES'!A:A)</f>
        <v>Angie Pérez Cáceres</v>
      </c>
      <c r="C2540" t="str">
        <f>+_xlfn.XLOOKUP(Tabla6[[#This Row],[ID CLIENTE]],'RESUMEN CLIENTES'!D:D,'RESUMEN CLIENTES'!C:C)</f>
        <v>Perú</v>
      </c>
      <c r="D2540" s="44" t="str">
        <f>+_xlfn.XLOOKUP(Tabla6[[#This Row],[ID CLIENTE]],'RESUMEN CLIENTES'!D:D,'RESUMEN CLIENTES'!M:M)</f>
        <v>OK</v>
      </c>
      <c r="E2540" s="72">
        <f>+_xlfn.XLOOKUP(Tabla6[[#This Row],[NOMBRE]],'RESUMEN CLIENTES'!A:A,'RESUMEN CLIENTES'!X:X)</f>
        <v>1.625</v>
      </c>
      <c r="F2540" s="72">
        <f>+_xlfn.XLOOKUP(Tabla6[[#This Row],[ID CLIENTE]],'RESUMEN CLIENTES'!D:D,'RESUMEN CLIENTES'!W:W)</f>
        <v>0</v>
      </c>
      <c r="G2540" s="17">
        <f>IF($H2540&lt;&gt;"ALEM","",IFERROR(
  DATE(
    YEAR(EDATE(
      _xlfn.XLOOKUP($A2540,'RESUMEN CLIENTES'!$D:$D,'RESUMEN CLIENTES'!$Y:$Y,""),
      7 + COUNTIFS(
            $A$2:INDEX($A:$A,ROW()), $A2540,
            $H$2:INDEX($H:$H,ROW()), "ALEM"
          )
    )),
    MONTH(EDATE(
      _xlfn.XLOOKUP($A2540,'RESUMEN CLIENTES'!$D:$D,'RESUMEN CLIENTES'!$Y:$Y,""),
      7 + COUNTIFS(
            $A$2:INDEX($A:$A,ROW()), $A2540,
            $H$2:INDEX($H:$H,ROW()), "ALEM"
          )
    )),
    1
  ),
"SIN FECHA MIG"))</f>
        <v>46692</v>
      </c>
      <c r="H2540" s="44" t="s">
        <v>1876</v>
      </c>
      <c r="I2540" s="2">
        <v>1000</v>
      </c>
      <c r="J2540"/>
      <c r="K2540"/>
      <c r="L2540" s="44" t="str" cm="1">
        <f t="array" ref="L2540">+_xlfn.IFS(COUNTIF(INGRESOS!E:E,Tabla6[[#This Row],[ID FACTURA]])=1,"PAGADA",Tabla6[[#This Row],[ID FACTURA]]&lt;&gt;0,"EMITIDA",Tabla6[[#This Row],[ID FACTURA]]=0,"POR EMITIR")</f>
        <v>POR EMITIR</v>
      </c>
      <c r="M2540" s="55" t="str">
        <f>+IF(Tabla6[[#This Row],[ESTADO FACTURA]]="PAGADA",Tabla6[[#This Row],[FECHA]]-_xlfn.XLOOKUP(Tabla6[[#This Row],[N° FACTURA]],INGRESOS!F:F,INGRESOS!A:A),"-")</f>
        <v>-</v>
      </c>
      <c r="N2540" s="2"/>
      <c r="O2540" t="s">
        <v>2084</v>
      </c>
    </row>
    <row r="2541" spans="1:15">
      <c r="A2541" s="320" t="s">
        <v>6035</v>
      </c>
      <c r="B2541" t="str">
        <f>+_xlfn.XLOOKUP(Tabla6[[#This Row],[ID CLIENTE]],'RESUMEN CLIENTES'!D:D,'RESUMEN CLIENTES'!A:A)</f>
        <v>Ari Sifuentes Becerra</v>
      </c>
      <c r="C2541" s="15" t="str">
        <f>+_xlfn.XLOOKUP(Tabla6[[#This Row],[ID CLIENTE]],'RESUMEN CLIENTES'!D:D,'RESUMEN CLIENTES'!C:C)</f>
        <v>México</v>
      </c>
      <c r="D2541" s="169" t="str">
        <f>+_xlfn.XLOOKUP(Tabla6[[#This Row],[ID CLIENTE]],'RESUMEN CLIENTES'!D:D,'RESUMEN CLIENTES'!M:M)</f>
        <v>OK</v>
      </c>
      <c r="E2541" s="71">
        <f>+_xlfn.XLOOKUP(Tabla6[[#This Row],[NOMBRE]],'RESUMEN CLIENTES'!A:A,'RESUMEN CLIENTES'!X:X)</f>
        <v>-1</v>
      </c>
      <c r="F2541" s="71">
        <f>+_xlfn.XLOOKUP(Tabla6[[#This Row],[ID CLIENTE]],'RESUMEN CLIENTES'!D:D,'RESUMEN CLIENTES'!W:W)</f>
        <v>0</v>
      </c>
      <c r="G2541" s="17">
        <v>46692</v>
      </c>
      <c r="H2541" s="169" t="s">
        <v>1876</v>
      </c>
      <c r="I2541" s="2">
        <v>800</v>
      </c>
      <c r="J2541"/>
      <c r="K2541"/>
      <c r="L2541" s="44" t="str" cm="1">
        <f t="array" ref="L2541">+_xlfn.IFS(COUNTIF(INGRESOS!E:E,Tabla6[[#This Row],[ID FACTURA]])=1,"PAGADA",Tabla6[[#This Row],[ID FACTURA]]&lt;&gt;0,"EMITIDA",Tabla6[[#This Row],[ID FACTURA]]=0,"POR EMITIR")</f>
        <v>POR EMITIR</v>
      </c>
      <c r="M2541" s="54" t="str">
        <f>+IF(Tabla6[[#This Row],[ESTADO FACTURA]]="PAGADA",Tabla6[[#This Row],[FECHA]]-_xlfn.XLOOKUP(Tabla6[[#This Row],[N° FACTURA]],INGRESOS!F:F,INGRESOS!A:A),"-")</f>
        <v>-</v>
      </c>
      <c r="O2541"/>
    </row>
    <row r="2542" spans="1:15">
      <c r="A2542" s="320" t="s">
        <v>2011</v>
      </c>
      <c r="B2542" t="str">
        <f>+_xlfn.XLOOKUP(Tabla6[[#This Row],[ID CLIENTE]],'RESUMEN CLIENTES'!D:D,'RESUMEN CLIENTES'!A:A)</f>
        <v>Bárbara Fuentes</v>
      </c>
      <c r="C2542" t="str">
        <f>+_xlfn.XLOOKUP(Tabla6[[#This Row],[ID CLIENTE]],'RESUMEN CLIENTES'!D:D,'RESUMEN CLIENTES'!C:C)</f>
        <v>Chile</v>
      </c>
      <c r="D2542" s="169" t="str">
        <f>+_xlfn.XLOOKUP(Tabla6[[#This Row],[ID CLIENTE]],'RESUMEN CLIENTES'!D:D,'RESUMEN CLIENTES'!M:M)</f>
        <v>OK</v>
      </c>
      <c r="E2542" s="71">
        <f>+_xlfn.XLOOKUP(Tabla6[[#This Row],[NOMBRE]],'RESUMEN CLIENTES'!A:A,'RESUMEN CLIENTES'!X:X)</f>
        <v>-0.33333333333333331</v>
      </c>
      <c r="F2542" s="71">
        <f>+_xlfn.XLOOKUP(Tabla6[[#This Row],[ID CLIENTE]],'RESUMEN CLIENTES'!D:D,'RESUMEN CLIENTES'!W:W)</f>
        <v>0</v>
      </c>
      <c r="G2542" s="17">
        <f>IF($H2542&lt;&gt;"ALEM","",IFERROR(
  DATE(
    YEAR(EDATE(
      _xlfn.XLOOKUP($A2542,'RESUMEN CLIENTES'!$D:$D,'RESUMEN CLIENTES'!$Y:$Y,""),
      7 + COUNTIFS(
            $A$2:INDEX($A:$A,ROW()), $A2542,
            $H$2:INDEX($H:$H,ROW()), "ALEM"
          )
    )),
    MONTH(EDATE(
      _xlfn.XLOOKUP($A2542,'RESUMEN CLIENTES'!$D:$D,'RESUMEN CLIENTES'!$Y:$Y,""),
      7 + COUNTIFS(
            $A$2:INDEX($A:$A,ROW()), $A2542,
            $H$2:INDEX($H:$H,ROW()), "ALEM"
          )
    )),
    1
  ),
"null"))</f>
        <v>46692</v>
      </c>
      <c r="H2542" s="169" t="s">
        <v>1876</v>
      </c>
      <c r="I2542" s="2">
        <v>1000</v>
      </c>
      <c r="J2542"/>
      <c r="K2542"/>
      <c r="L2542" s="44" t="str" cm="1">
        <f t="array" ref="L2542">+_xlfn.IFS(COUNTIF(INGRESOS!E:E,Tabla6[[#This Row],[ID FACTURA]])=1,"PAGADA",Tabla6[[#This Row],[ID FACTURA]]&lt;&gt;0,"EMITIDA",Tabla6[[#This Row],[ID FACTURA]]=0,"POR EMITIR")</f>
        <v>POR EMITIR</v>
      </c>
      <c r="M2542" s="54" t="str">
        <f>+IF(Tabla6[[#This Row],[ESTADO FACTURA]]="PAGADA",Tabla6[[#This Row],[FECHA]]-_xlfn.XLOOKUP(Tabla6[[#This Row],[N° FACTURA]],INGRESOS!F:F,INGRESOS!A:A),"-")</f>
        <v>-</v>
      </c>
      <c r="O2542"/>
    </row>
    <row r="2543" spans="1:15">
      <c r="A2543" s="321" t="s">
        <v>1870</v>
      </c>
      <c r="B2543" t="str">
        <f>+_xlfn.XLOOKUP(Tabla6[[#This Row],[ID CLIENTE]],'RESUMEN CLIENTES'!D:D,'RESUMEN CLIENTES'!A:A)</f>
        <v>Berenisse Shadia Yarango Garay</v>
      </c>
      <c r="C2543" t="str">
        <f>+_xlfn.XLOOKUP(Tabla6[[#This Row],[ID CLIENTE]],'RESUMEN CLIENTES'!D:D,'RESUMEN CLIENTES'!C:C)</f>
        <v>Perú</v>
      </c>
      <c r="D2543" s="169" t="str">
        <f>+_xlfn.XLOOKUP(Tabla6[[#This Row],[ID CLIENTE]],'RESUMEN CLIENTES'!D:D,'RESUMEN CLIENTES'!M:M)</f>
        <v>OK</v>
      </c>
      <c r="E2543" s="71">
        <f>+_xlfn.XLOOKUP(Tabla6[[#This Row],[NOMBRE]],'RESUMEN CLIENTES'!A:A,'RESUMEN CLIENTES'!X:X)</f>
        <v>-0.33333333333333331</v>
      </c>
      <c r="F2543" s="71">
        <f>+_xlfn.XLOOKUP(Tabla6[[#This Row],[ID CLIENTE]],'RESUMEN CLIENTES'!D:D,'RESUMEN CLIENTES'!W:W)</f>
        <v>0</v>
      </c>
      <c r="G2543" s="17">
        <f>IF($H2543&lt;&gt;"ALEM","",IFERROR(
  DATE(
    YEAR(EDATE(
      _xlfn.XLOOKUP($A2543,'RESUMEN CLIENTES'!$D:$D,'RESUMEN CLIENTES'!$Y:$Y,""),
      7 + COUNTIFS(
            $A$2:INDEX($A:$A,ROW()), $A2543,
            $H$2:INDEX($H:$H,ROW()), "ALEM"
          )
    )),
    MONTH(EDATE(
      _xlfn.XLOOKUP($A2543,'RESUMEN CLIENTES'!$D:$D,'RESUMEN CLIENTES'!$Y:$Y,""),
      7 + COUNTIFS(
            $A$2:INDEX($A:$A,ROW()), $A2543,
            $H$2:INDEX($H:$H,ROW()), "ALEM"
          )
    )),
    1
  ),
"null"))</f>
        <v>46692</v>
      </c>
      <c r="H2543" s="169" t="s">
        <v>1876</v>
      </c>
      <c r="I2543" s="2">
        <v>800</v>
      </c>
      <c r="J2543"/>
      <c r="K2543"/>
      <c r="L2543" s="44" t="str" cm="1">
        <f t="array" ref="L2543">+_xlfn.IFS(COUNTIF(INGRESOS!E:E,Tabla6[[#This Row],[ID FACTURA]])=1,"PAGADA",Tabla6[[#This Row],[ID FACTURA]]&lt;&gt;0,"EMITIDA",Tabla6[[#This Row],[ID FACTURA]]=0,"POR EMITIR")</f>
        <v>POR EMITIR</v>
      </c>
      <c r="M2543" s="54" t="str">
        <f>+IF(Tabla6[[#This Row],[ESTADO FACTURA]]="PAGADA",Tabla6[[#This Row],[FECHA]]-_xlfn.XLOOKUP(Tabla6[[#This Row],[N° FACTURA]],INGRESOS!F:F,INGRESOS!A:A),"-")</f>
        <v>-</v>
      </c>
      <c r="O2543"/>
    </row>
    <row r="2544" spans="1:15">
      <c r="A2544" s="320" t="s">
        <v>184</v>
      </c>
      <c r="B2544" t="str">
        <f>+_xlfn.XLOOKUP(Tabla6[[#This Row],[ID CLIENTE]],'RESUMEN CLIENTES'!D:D,'RESUMEN CLIENTES'!A:A)</f>
        <v>Boris Andrés Silva Véliz</v>
      </c>
      <c r="C2544" t="str">
        <f>+_xlfn.XLOOKUP(Tabla6[[#This Row],[ID CLIENTE]],'RESUMEN CLIENTES'!D:D,'RESUMEN CLIENTES'!C:C)</f>
        <v>Chile</v>
      </c>
      <c r="D2544" s="44" t="str">
        <f>+_xlfn.XLOOKUP(Tabla6[[#This Row],[ID CLIENTE]],'RESUMEN CLIENTES'!D:D,'RESUMEN CLIENTES'!M:M)</f>
        <v>OK</v>
      </c>
      <c r="E2544" s="72">
        <f>+_xlfn.XLOOKUP(Tabla6[[#This Row],[NOMBRE]],'RESUMEN CLIENTES'!A:A,'RESUMEN CLIENTES'!X:X)</f>
        <v>2.1111111111111112</v>
      </c>
      <c r="F2544" s="72">
        <f>+_xlfn.XLOOKUP(Tabla6[[#This Row],[ID CLIENTE]],'RESUMEN CLIENTES'!D:D,'RESUMEN CLIENTES'!W:W)</f>
        <v>0</v>
      </c>
      <c r="G2544" s="17">
        <f>IF($H2544&lt;&gt;"ALEM","",IFERROR(
  DATE(
    YEAR(EDATE(
      _xlfn.XLOOKUP($A2544,'RESUMEN CLIENTES'!$D:$D,'RESUMEN CLIENTES'!$Y:$Y,""),
      7 + COUNTIFS(
            $A$2:INDEX($A:$A,ROW()), $A2544,
            $H$2:INDEX($H:$H,ROW()), "ALEM"
          )
    )),
    MONTH(EDATE(
      _xlfn.XLOOKUP($A2544,'RESUMEN CLIENTES'!$D:$D,'RESUMEN CLIENTES'!$Y:$Y,""),
      7 + COUNTIFS(
            $A$2:INDEX($A:$A,ROW()), $A2544,
            $H$2:INDEX($H:$H,ROW()), "ALEM"
          )
    )),
    1
  ),
"SIN FECHA MIG"))</f>
        <v>46692</v>
      </c>
      <c r="H2544" s="44" t="s">
        <v>1876</v>
      </c>
      <c r="I2544" s="2">
        <v>458</v>
      </c>
      <c r="J2544"/>
      <c r="K2544"/>
      <c r="L2544" s="44" t="str" cm="1">
        <f t="array" ref="L2544">+_xlfn.IFS(COUNTIF(INGRESOS!E:E,Tabla6[[#This Row],[ID FACTURA]])=1,"PAGADA",Tabla6[[#This Row],[ID FACTURA]]&lt;&gt;0,"EMITIDA",Tabla6[[#This Row],[ID FACTURA]]=0,"POR EMITIR")</f>
        <v>POR EMITIR</v>
      </c>
      <c r="M2544" s="55" t="str">
        <f>+IF(Tabla6[[#This Row],[ESTADO FACTURA]]="PAGADA",Tabla6[[#This Row],[FECHA]]-_xlfn.XLOOKUP(Tabla6[[#This Row],[N° FACTURA]],INGRESOS!F:F,INGRESOS!A:A),"-")</f>
        <v>-</v>
      </c>
      <c r="N2544" s="2"/>
      <c r="O2544"/>
    </row>
    <row r="2545" spans="1:15">
      <c r="A2545" s="320" t="s">
        <v>4768</v>
      </c>
      <c r="B2545" t="str">
        <f>+_xlfn.XLOOKUP(Tabla6[[#This Row],[ID CLIENTE]],'RESUMEN CLIENTES'!D:D,'RESUMEN CLIENTES'!A:A)</f>
        <v>Carla Elena Patínez Rondón</v>
      </c>
      <c r="C2545" s="15" t="str">
        <f>+_xlfn.XLOOKUP(Tabla6[[#This Row],[ID CLIENTE]],'RESUMEN CLIENTES'!D:D,'RESUMEN CLIENTES'!C:C)</f>
        <v>Venezuela</v>
      </c>
      <c r="D2545" s="169" t="str">
        <f>+_xlfn.XLOOKUP(Tabla6[[#This Row],[ID CLIENTE]],'RESUMEN CLIENTES'!D:D,'RESUMEN CLIENTES'!M:M)</f>
        <v>OK</v>
      </c>
      <c r="E2545" s="71">
        <f>+_xlfn.XLOOKUP(Tabla6[[#This Row],[NOMBRE]],'RESUMEN CLIENTES'!A:A,'RESUMEN CLIENTES'!X:X)</f>
        <v>-9</v>
      </c>
      <c r="F2545" s="71">
        <f>+_xlfn.XLOOKUP(Tabla6[[#This Row],[ID CLIENTE]],'RESUMEN CLIENTES'!D:D,'RESUMEN CLIENTES'!W:W)</f>
        <v>0</v>
      </c>
      <c r="G2545" s="17">
        <f>IF($H2545&lt;&gt;"ALEM","",IFERROR(
  DATE(
    YEAR(EDATE(
      _xlfn.XLOOKUP($A2545,'RESUMEN CLIENTES'!$D:$D,'RESUMEN CLIENTES'!$Y:$Y,""),
      7 + COUNTIFS(
            $A$2:INDEX($A:$A,ROW()), $A2545,
            $H$2:INDEX($H:$H,ROW()), "ALEM"
          )
    )),
    MONTH(EDATE(
      _xlfn.XLOOKUP($A2545,'RESUMEN CLIENTES'!$D:$D,'RESUMEN CLIENTES'!$Y:$Y,""),
      7 + COUNTIFS(
            $A$2:INDEX($A:$A,ROW()), $A2545,
            $H$2:INDEX($H:$H,ROW()), "ALEM"
          )
    )),
    1
  ),
"null"))</f>
        <v>46692</v>
      </c>
      <c r="H2545" s="169" t="s">
        <v>1876</v>
      </c>
      <c r="I2545" s="2">
        <v>1000</v>
      </c>
      <c r="J2545"/>
      <c r="K2545"/>
      <c r="L2545" s="44" t="str" cm="1">
        <f t="array" ref="L2545">+_xlfn.IFS(COUNTIF(INGRESOS!E:E,Tabla6[[#This Row],[ID FACTURA]])=1,"PAGADA",Tabla6[[#This Row],[ID FACTURA]]&lt;&gt;0,"EMITIDA",Tabla6[[#This Row],[ID FACTURA]]=0,"POR EMITIR")</f>
        <v>POR EMITIR</v>
      </c>
      <c r="M2545" s="54" t="str">
        <f>+IF(Tabla6[[#This Row],[ESTADO FACTURA]]="PAGADA",Tabla6[[#This Row],[FECHA]]-_xlfn.XLOOKUP(Tabla6[[#This Row],[N° FACTURA]],INGRESOS!F:F,INGRESOS!A:A),"-")</f>
        <v>-</v>
      </c>
      <c r="O2545"/>
    </row>
    <row r="2546" spans="1:15">
      <c r="A2546" s="320" t="s">
        <v>751</v>
      </c>
      <c r="B2546" t="str">
        <f>+_xlfn.XLOOKUP(Tabla6[[#This Row],[ID CLIENTE]],'RESUMEN CLIENTES'!D:D,'RESUMEN CLIENTES'!A:A)</f>
        <v>Carlos Alberto Suarez Hernandez</v>
      </c>
      <c r="C2546" t="str">
        <f>+_xlfn.XLOOKUP(Tabla6[[#This Row],[ID CLIENTE]],'RESUMEN CLIENTES'!D:D,'RESUMEN CLIENTES'!C:C)</f>
        <v>Colombia</v>
      </c>
      <c r="D2546" s="44" t="str">
        <f>+_xlfn.XLOOKUP(Tabla6[[#This Row],[ID CLIENTE]],'RESUMEN CLIENTES'!D:D,'RESUMEN CLIENTES'!M:M)</f>
        <v>OK</v>
      </c>
      <c r="E2546" s="72">
        <f>+_xlfn.XLOOKUP(Tabla6[[#This Row],[NOMBRE]],'RESUMEN CLIENTES'!A:A,'RESUMEN CLIENTES'!X:X)</f>
        <v>0</v>
      </c>
      <c r="F2546" s="72">
        <f>+_xlfn.XLOOKUP(Tabla6[[#This Row],[ID CLIENTE]],'RESUMEN CLIENTES'!D:D,'RESUMEN CLIENTES'!W:W)</f>
        <v>1</v>
      </c>
      <c r="G2546" s="17">
        <f>IF($H2546&lt;&gt;"ALEM","",IFERROR(
  DATE(
    YEAR(EDATE(
      _xlfn.XLOOKUP($A2546,'RESUMEN CLIENTES'!$D:$D,'RESUMEN CLIENTES'!$Y:$Y,""),
      7 + COUNTIFS(
            $A$2:INDEX($A:$A,ROW()), $A2546,
            $H$2:INDEX($H:$H,ROW()), "ALEM"
          )
    )),
    MONTH(EDATE(
      _xlfn.XLOOKUP($A2546,'RESUMEN CLIENTES'!$D:$D,'RESUMEN CLIENTES'!$Y:$Y,""),
      7 + COUNTIFS(
            $A$2:INDEX($A:$A,ROW()), $A2546,
            $H$2:INDEX($H:$H,ROW()), "ALEM"
          )
    )),
    1
  ),
"SIN FECHA MIG"))</f>
        <v>46692</v>
      </c>
      <c r="H2546" s="44" t="s">
        <v>1876</v>
      </c>
      <c r="I2546" s="2">
        <v>1000</v>
      </c>
      <c r="J2546"/>
      <c r="K2546"/>
      <c r="L2546" s="44" t="str" cm="1">
        <f t="array" ref="L2546">+_xlfn.IFS(COUNTIF(INGRESOS!E:E,Tabla6[[#This Row],[ID FACTURA]])=1,"PAGADA",Tabla6[[#This Row],[ID FACTURA]]&lt;&gt;0,"EMITIDA",Tabla6[[#This Row],[ID FACTURA]]=0,"POR EMITIR")</f>
        <v>POR EMITIR</v>
      </c>
      <c r="M2546" s="55" t="str">
        <f>+IF(Tabla6[[#This Row],[ESTADO FACTURA]]="PAGADA",Tabla6[[#This Row],[FECHA]]-_xlfn.XLOOKUP(Tabla6[[#This Row],[N° FACTURA]],INGRESOS!F:F,INGRESOS!A:A),"-")</f>
        <v>-</v>
      </c>
      <c r="N2546" s="2"/>
      <c r="O2546" t="s">
        <v>2084</v>
      </c>
    </row>
    <row r="2547" spans="1:15">
      <c r="A2547" s="320" t="s">
        <v>1178</v>
      </c>
      <c r="B2547" t="str">
        <f>+_xlfn.XLOOKUP(Tabla6[[#This Row],[ID CLIENTE]],'RESUMEN CLIENTES'!D:D,'RESUMEN CLIENTES'!A:A)</f>
        <v>Daniel Flores</v>
      </c>
      <c r="C2547" t="str">
        <f>+_xlfn.XLOOKUP(Tabla6[[#This Row],[ID CLIENTE]],'RESUMEN CLIENTES'!D:D,'RESUMEN CLIENTES'!C:C)</f>
        <v>Ecuador</v>
      </c>
      <c r="D2547" s="44" t="str">
        <f>+_xlfn.XLOOKUP(Tabla6[[#This Row],[ID CLIENTE]],'RESUMEN CLIENTES'!D:D,'RESUMEN CLIENTES'!M:M)</f>
        <v>OK</v>
      </c>
      <c r="E2547" s="72">
        <f>+_xlfn.XLOOKUP(Tabla6[[#This Row],[NOMBRE]],'RESUMEN CLIENTES'!A:A,'RESUMEN CLIENTES'!X:X)</f>
        <v>3.8333333333333335</v>
      </c>
      <c r="F2547" s="72">
        <f>+_xlfn.XLOOKUP(Tabla6[[#This Row],[ID CLIENTE]],'RESUMEN CLIENTES'!D:D,'RESUMEN CLIENTES'!W:W)</f>
        <v>1</v>
      </c>
      <c r="G2547" s="17">
        <f>IF($H2547&lt;&gt;"ALEM","",IFERROR(
  DATE(
    YEAR(EDATE(
      _xlfn.XLOOKUP($A2547,'RESUMEN CLIENTES'!$D:$D,'RESUMEN CLIENTES'!$Y:$Y,""),
      7 + COUNTIFS(
            $A$2:INDEX($A:$A,ROW()), $A2547,
            $H$2:INDEX($H:$H,ROW()), "ALEM"
          )
    )),
    MONTH(EDATE(
      _xlfn.XLOOKUP($A2547,'RESUMEN CLIENTES'!$D:$D,'RESUMEN CLIENTES'!$Y:$Y,""),
      7 + COUNTIFS(
            $A$2:INDEX($A:$A,ROW()), $A2547,
            $H$2:INDEX($H:$H,ROW()), "ALEM"
          )
    )),
    1
  ),
"SIN FECHA MIG"))</f>
        <v>46692</v>
      </c>
      <c r="H2547" s="44" t="s">
        <v>1876</v>
      </c>
      <c r="I2547" s="2">
        <v>800</v>
      </c>
      <c r="J2547"/>
      <c r="K2547"/>
      <c r="L2547" s="44" t="str" cm="1">
        <f t="array" ref="L2547">+_xlfn.IFS(COUNTIF(INGRESOS!E:E,Tabla6[[#This Row],[ID FACTURA]])=1,"PAGADA",Tabla6[[#This Row],[ID FACTURA]]&lt;&gt;0,"EMITIDA",Tabla6[[#This Row],[ID FACTURA]]=0,"POR EMITIR")</f>
        <v>POR EMITIR</v>
      </c>
      <c r="M2547" s="55" t="str">
        <f>+IF(Tabla6[[#This Row],[ESTADO FACTURA]]="PAGADA",Tabla6[[#This Row],[FECHA]]-_xlfn.XLOOKUP(Tabla6[[#This Row],[N° FACTURA]],INGRESOS!F:F,INGRESOS!A:A),"-")</f>
        <v>-</v>
      </c>
      <c r="N2547" s="2"/>
      <c r="O2547" t="s">
        <v>2084</v>
      </c>
    </row>
    <row r="2548" spans="1:15">
      <c r="A2548" s="320" t="s">
        <v>4660</v>
      </c>
      <c r="B2548" t="str">
        <f>+_xlfn.XLOOKUP(Tabla6[[#This Row],[ID CLIENTE]],'RESUMEN CLIENTES'!D:D,'RESUMEN CLIENTES'!A:A)</f>
        <v>Edipris Flores</v>
      </c>
      <c r="C2548" s="15" t="str">
        <f>+_xlfn.XLOOKUP(Tabla6[[#This Row],[ID CLIENTE]],'RESUMEN CLIENTES'!D:D,'RESUMEN CLIENTES'!C:C)</f>
        <v>Chile</v>
      </c>
      <c r="D2548" s="169" t="str">
        <f>+_xlfn.XLOOKUP(Tabla6[[#This Row],[ID CLIENTE]],'RESUMEN CLIENTES'!D:D,'RESUMEN CLIENTES'!M:M)</f>
        <v>OK</v>
      </c>
      <c r="E2548" s="71">
        <f>+_xlfn.XLOOKUP(Tabla6[[#This Row],[NOMBRE]],'RESUMEN CLIENTES'!A:A,'RESUMEN CLIENTES'!X:X)</f>
        <v>-4</v>
      </c>
      <c r="F2548" s="71">
        <f>+_xlfn.XLOOKUP(Tabla6[[#This Row],[ID CLIENTE]],'RESUMEN CLIENTES'!D:D,'RESUMEN CLIENTES'!W:W)</f>
        <v>0</v>
      </c>
      <c r="G2548" s="17">
        <f>IF($H2548&lt;&gt;"ALEM","",IFERROR(
  DATE(
    YEAR(EDATE(
      _xlfn.XLOOKUP($A2548,'RESUMEN CLIENTES'!$D:$D,'RESUMEN CLIENTES'!$Y:$Y,""),
      7 + COUNTIFS(
            $A$2:INDEX($A:$A,ROW()), $A2548,
            $H$2:INDEX($H:$H,ROW()), "ALEM"
          )
    )),
    MONTH(EDATE(
      _xlfn.XLOOKUP($A2548,'RESUMEN CLIENTES'!$D:$D,'RESUMEN CLIENTES'!$Y:$Y,""),
      7 + COUNTIFS(
            $A$2:INDEX($A:$A,ROW()), $A2548,
            $H$2:INDEX($H:$H,ROW()), "ALEM"
          )
    )),
    1
  ),
"null"))</f>
        <v>46692</v>
      </c>
      <c r="H2548" s="169" t="s">
        <v>1876</v>
      </c>
      <c r="I2548" s="2">
        <v>800</v>
      </c>
      <c r="J2548"/>
      <c r="K2548"/>
      <c r="L2548" s="44" t="str" cm="1">
        <f t="array" ref="L2548">+_xlfn.IFS(COUNTIF(INGRESOS!E:E,Tabla6[[#This Row],[ID FACTURA]])=1,"PAGADA",Tabla6[[#This Row],[ID FACTURA]]&lt;&gt;0,"EMITIDA",Tabla6[[#This Row],[ID FACTURA]]=0,"POR EMITIR")</f>
        <v>POR EMITIR</v>
      </c>
      <c r="M2548" s="54" t="str">
        <f>+IF(Tabla6[[#This Row],[ESTADO FACTURA]]="PAGADA",Tabla6[[#This Row],[FECHA]]-_xlfn.XLOOKUP(Tabla6[[#This Row],[N° FACTURA]],INGRESOS!F:F,INGRESOS!A:A),"-")</f>
        <v>-</v>
      </c>
      <c r="O2548"/>
    </row>
    <row r="2549" spans="1:15">
      <c r="A2549" s="320" t="s">
        <v>1248</v>
      </c>
      <c r="B2549" t="str">
        <f>+_xlfn.XLOOKUP(Tabla6[[#This Row],[ID CLIENTE]],'RESUMEN CLIENTES'!D:D,'RESUMEN CLIENTES'!A:A)</f>
        <v>Emily Vanessa Tapia Villalobos</v>
      </c>
      <c r="C2549" t="str">
        <f>+_xlfn.XLOOKUP(Tabla6[[#This Row],[ID CLIENTE]],'RESUMEN CLIENTES'!D:D,'RESUMEN CLIENTES'!C:C)</f>
        <v>Chile</v>
      </c>
      <c r="D2549" s="44" t="str">
        <f>+_xlfn.XLOOKUP(Tabla6[[#This Row],[ID CLIENTE]],'RESUMEN CLIENTES'!D:D,'RESUMEN CLIENTES'!M:M)</f>
        <v>OK</v>
      </c>
      <c r="E2549" s="71">
        <f>+_xlfn.XLOOKUP(Tabla6[[#This Row],[NOMBRE]],'RESUMEN CLIENTES'!A:A,'RESUMEN CLIENTES'!X:X)</f>
        <v>0.33333333333333331</v>
      </c>
      <c r="F2549" s="71">
        <f>+_xlfn.XLOOKUP(Tabla6[[#This Row],[ID CLIENTE]],'RESUMEN CLIENTES'!D:D,'RESUMEN CLIENTES'!W:W)</f>
        <v>0</v>
      </c>
      <c r="G2549" s="17">
        <f>IF($H2549&lt;&gt;"ALEM","",IFERROR(
  DATE(
    YEAR(EDATE(
      _xlfn.XLOOKUP($A2549,'RESUMEN CLIENTES'!$D:$D,'RESUMEN CLIENTES'!$Y:$Y,""),
      7 + COUNTIFS(
            $A$2:INDEX($A:$A,ROW()), $A2549,
            $H$2:INDEX($H:$H,ROW()), "ALEM"
          )
    )),
    MONTH(EDATE(
      _xlfn.XLOOKUP($A2549,'RESUMEN CLIENTES'!$D:$D,'RESUMEN CLIENTES'!$Y:$Y,""),
      7 + COUNTIFS(
            $A$2:INDEX($A:$A,ROW()), $A2549,
            $H$2:INDEX($H:$H,ROW()), "ALEM"
          )
    )),
    1
  ),
"SIN FECHA MIG"))</f>
        <v>46692</v>
      </c>
      <c r="H2549" s="44" t="s">
        <v>1876</v>
      </c>
      <c r="I2549" s="2">
        <v>800</v>
      </c>
      <c r="J2549"/>
      <c r="K2549"/>
      <c r="L2549" s="44" t="str" cm="1">
        <f t="array" ref="L2549">+_xlfn.IFS(COUNTIF(INGRESOS!E:E,Tabla6[[#This Row],[ID FACTURA]])=1,"PAGADA",Tabla6[[#This Row],[ID FACTURA]]&lt;&gt;0,"EMITIDA",Tabla6[[#This Row],[ID FACTURA]]=0,"POR EMITIR")</f>
        <v>POR EMITIR</v>
      </c>
      <c r="M2549" s="55" t="str">
        <f>+IF(Tabla6[[#This Row],[ESTADO FACTURA]]="PAGADA",Tabla6[[#This Row],[FECHA]]-_xlfn.XLOOKUP(Tabla6[[#This Row],[N° FACTURA]],INGRESOS!F:F,INGRESOS!A:A),"-")</f>
        <v>-</v>
      </c>
      <c r="N2549" s="2"/>
      <c r="O2549" t="s">
        <v>2086</v>
      </c>
    </row>
    <row r="2550" spans="1:15">
      <c r="A2550" s="320" t="s">
        <v>1945</v>
      </c>
      <c r="B2550" t="str">
        <f>+_xlfn.XLOOKUP(Tabla6[[#This Row],[ID CLIENTE]],'RESUMEN CLIENTES'!D:D,'RESUMEN CLIENTES'!A:A)</f>
        <v>Fernanda Constanza Kompai Antu Arellano Guzmán</v>
      </c>
      <c r="C2550" t="str">
        <f>+_xlfn.XLOOKUP(Tabla6[[#This Row],[ID CLIENTE]],'RESUMEN CLIENTES'!D:D,'RESUMEN CLIENTES'!C:C)</f>
        <v>Chile</v>
      </c>
      <c r="D2550" s="169" t="str">
        <f>+_xlfn.XLOOKUP(Tabla6[[#This Row],[ID CLIENTE]],'RESUMEN CLIENTES'!D:D,'RESUMEN CLIENTES'!M:M)</f>
        <v>OK</v>
      </c>
      <c r="E2550" s="71">
        <f>+_xlfn.XLOOKUP(Tabla6[[#This Row],[NOMBRE]],'RESUMEN CLIENTES'!A:A,'RESUMEN CLIENTES'!X:X)</f>
        <v>0</v>
      </c>
      <c r="F2550" s="71">
        <f>+_xlfn.XLOOKUP(Tabla6[[#This Row],[ID CLIENTE]],'RESUMEN CLIENTES'!D:D,'RESUMEN CLIENTES'!W:W)</f>
        <v>0</v>
      </c>
      <c r="G2550" s="17">
        <f>IF($H2550&lt;&gt;"ALEM","",IFERROR(
  DATE(
    YEAR(EDATE(
      _xlfn.XLOOKUP($A2550,'RESUMEN CLIENTES'!$D:$D,'RESUMEN CLIENTES'!$Y:$Y,""),
      7 + COUNTIFS(
            $A$2:INDEX($A:$A,ROW()), $A2550,
            $H$2:INDEX($H:$H,ROW()), "ALEM"
          )
    )),
    MONTH(EDATE(
      _xlfn.XLOOKUP($A2550,'RESUMEN CLIENTES'!$D:$D,'RESUMEN CLIENTES'!$Y:$Y,""),
      7 + COUNTIFS(
            $A$2:INDEX($A:$A,ROW()), $A2550,
            $H$2:INDEX($H:$H,ROW()), "ALEM"
          )
    )),
    1
  ),
"null"))</f>
        <v>46692</v>
      </c>
      <c r="H2550" s="170" t="s">
        <v>1876</v>
      </c>
      <c r="I2550" s="2">
        <v>800</v>
      </c>
      <c r="J2550"/>
      <c r="K2550"/>
      <c r="L2550" s="44" t="str" cm="1">
        <f t="array" ref="L2550">+_xlfn.IFS(COUNTIF(INGRESOS!E:E,Tabla6[[#This Row],[ID FACTURA]])=1,"PAGADA",Tabla6[[#This Row],[ID FACTURA]]&lt;&gt;0,"EMITIDA",Tabla6[[#This Row],[ID FACTURA]]=0,"POR EMITIR")</f>
        <v>POR EMITIR</v>
      </c>
      <c r="M2550" s="54" t="str">
        <f>+IF(Tabla6[[#This Row],[ESTADO FACTURA]]="PAGADA",Tabla6[[#This Row],[FECHA]]-_xlfn.XLOOKUP(Tabla6[[#This Row],[N° FACTURA]],INGRESOS!F:F,INGRESOS!A:A),"-")</f>
        <v>-</v>
      </c>
      <c r="O2550"/>
    </row>
    <row r="2551" spans="1:15">
      <c r="A2551" s="320" t="s">
        <v>787</v>
      </c>
      <c r="B2551" t="str">
        <f>+_xlfn.XLOOKUP(Tabla6[[#This Row],[ID CLIENTE]],'RESUMEN CLIENTES'!D:D,'RESUMEN CLIENTES'!A:A)</f>
        <v>Florencia Luján Sapia</v>
      </c>
      <c r="C2551" t="str">
        <f>+_xlfn.XLOOKUP(Tabla6[[#This Row],[ID CLIENTE]],'RESUMEN CLIENTES'!D:D,'RESUMEN CLIENTES'!C:C)</f>
        <v>Argentina</v>
      </c>
      <c r="D2551" s="44" t="str">
        <f>+_xlfn.XLOOKUP(Tabla6[[#This Row],[ID CLIENTE]],'RESUMEN CLIENTES'!D:D,'RESUMEN CLIENTES'!M:M)</f>
        <v>OK</v>
      </c>
      <c r="E2551" s="72">
        <f>+_xlfn.XLOOKUP(Tabla6[[#This Row],[NOMBRE]],'RESUMEN CLIENTES'!A:A,'RESUMEN CLIENTES'!X:X)</f>
        <v>-0.77777777777777779</v>
      </c>
      <c r="F2551" s="72">
        <f>+_xlfn.XLOOKUP(Tabla6[[#This Row],[ID CLIENTE]],'RESUMEN CLIENTES'!D:D,'RESUMEN CLIENTES'!W:W)</f>
        <v>1</v>
      </c>
      <c r="G2551" s="17">
        <f>IF($H2551&lt;&gt;"ALEM","",IFERROR(
  DATE(
    YEAR(EDATE(
      _xlfn.XLOOKUP($A2551,'RESUMEN CLIENTES'!$D:$D,'RESUMEN CLIENTES'!$Y:$Y,""),
      7 + COUNTIFS(
            $A$2:INDEX($A:$A,ROW()), $A2551,
            $H$2:INDEX($H:$H,ROW()), "ALEM"
          )
    )),
    MONTH(EDATE(
      _xlfn.XLOOKUP($A2551,'RESUMEN CLIENTES'!$D:$D,'RESUMEN CLIENTES'!$Y:$Y,""),
      7 + COUNTIFS(
            $A$2:INDEX($A:$A,ROW()), $A2551,
            $H$2:INDEX($H:$H,ROW()), "ALEM"
          )
    )),
    1
  ),
"SIN FECHA MIG"))</f>
        <v>46692</v>
      </c>
      <c r="H2551" s="44" t="s">
        <v>1876</v>
      </c>
      <c r="I2551" s="2">
        <v>1000</v>
      </c>
      <c r="J2551"/>
      <c r="K2551"/>
      <c r="L2551" s="44" t="str" cm="1">
        <f t="array" ref="L2551">+_xlfn.IFS(COUNTIF(INGRESOS!E:E,Tabla6[[#This Row],[ID FACTURA]])=1,"PAGADA",Tabla6[[#This Row],[ID FACTURA]]&lt;&gt;0,"EMITIDA",Tabla6[[#This Row],[ID FACTURA]]=0,"POR EMITIR")</f>
        <v>POR EMITIR</v>
      </c>
      <c r="M2551" s="55" t="str">
        <f>+IF(Tabla6[[#This Row],[ESTADO FACTURA]]="PAGADA",Tabla6[[#This Row],[FECHA]]-_xlfn.XLOOKUP(Tabla6[[#This Row],[N° FACTURA]],INGRESOS!F:F,INGRESOS!A:A),"-")</f>
        <v>-</v>
      </c>
      <c r="N2551" s="2"/>
      <c r="O2551" t="s">
        <v>2084</v>
      </c>
    </row>
    <row r="2552" spans="1:15">
      <c r="A2552" s="320" t="s">
        <v>1761</v>
      </c>
      <c r="B2552" t="str">
        <f>+_xlfn.XLOOKUP(Tabla6[[#This Row],[ID CLIENTE]],'RESUMEN CLIENTES'!D:D,'RESUMEN CLIENTES'!A:A)</f>
        <v>Francisco Salas Barrera</v>
      </c>
      <c r="C2552" t="str">
        <f>+_xlfn.XLOOKUP(Tabla6[[#This Row],[ID CLIENTE]],'RESUMEN CLIENTES'!D:D,'RESUMEN CLIENTES'!C:C)</f>
        <v>México</v>
      </c>
      <c r="D2552" s="169" t="str">
        <f>+_xlfn.XLOOKUP(Tabla6[[#This Row],[ID CLIENTE]],'RESUMEN CLIENTES'!D:D,'RESUMEN CLIENTES'!M:M)</f>
        <v>OK</v>
      </c>
      <c r="E2552" s="71">
        <f>+_xlfn.XLOOKUP(Tabla6[[#This Row],[NOMBRE]],'RESUMEN CLIENTES'!A:A,'RESUMEN CLIENTES'!X:X)</f>
        <v>-0.75</v>
      </c>
      <c r="F2552" s="71">
        <f>+_xlfn.XLOOKUP(Tabla6[[#This Row],[ID CLIENTE]],'RESUMEN CLIENTES'!D:D,'RESUMEN CLIENTES'!W:W)</f>
        <v>0</v>
      </c>
      <c r="G2552" s="17">
        <f>IF($H2552&lt;&gt;"ALEM","",IFERROR(
  DATE(
    YEAR(EDATE(
      _xlfn.XLOOKUP($A2552,'RESUMEN CLIENTES'!$D:$D,'RESUMEN CLIENTES'!$Y:$Y,""),
      7 + COUNTIFS(
            $A$2:INDEX($A:$A,ROW()), $A2552,
            $H$2:INDEX($H:$H,ROW()), "ALEM"
          )
    )),
    MONTH(EDATE(
      _xlfn.XLOOKUP($A2552,'RESUMEN CLIENTES'!$D:$D,'RESUMEN CLIENTES'!$Y:$Y,""),
      7 + COUNTIFS(
            $A$2:INDEX($A:$A,ROW()), $A2552,
            $H$2:INDEX($H:$H,ROW()), "ALEM"
          )
    )),
    1
  ),
"SIN FECHA MIG"))</f>
        <v>46692</v>
      </c>
      <c r="H2552" s="169" t="s">
        <v>1876</v>
      </c>
      <c r="I2552" s="2">
        <v>800</v>
      </c>
      <c r="J2552"/>
      <c r="K2552"/>
      <c r="L2552" s="44" t="str" cm="1">
        <f t="array" ref="L2552">+_xlfn.IFS(COUNTIF(INGRESOS!E:E,Tabla6[[#This Row],[ID FACTURA]])=1,"PAGADA",Tabla6[[#This Row],[ID FACTURA]]&lt;&gt;0,"EMITIDA",Tabla6[[#This Row],[ID FACTURA]]=0,"POR EMITIR")</f>
        <v>POR EMITIR</v>
      </c>
      <c r="M2552" s="55" t="str">
        <f>+IF(Tabla6[[#This Row],[ESTADO FACTURA]]="PAGADA",Tabla6[[#This Row],[FECHA]]-_xlfn.XLOOKUP(Tabla6[[#This Row],[N° FACTURA]],INGRESOS!F:F,INGRESOS!A:A),"-")</f>
        <v>-</v>
      </c>
      <c r="O2552"/>
    </row>
    <row r="2553" spans="1:15">
      <c r="A2553" s="320" t="s">
        <v>1996</v>
      </c>
      <c r="B2553" t="str">
        <f>+_xlfn.XLOOKUP(Tabla6[[#This Row],[ID CLIENTE]],'RESUMEN CLIENTES'!D:D,'RESUMEN CLIENTES'!A:A)</f>
        <v>Ivan Gonzales Graus</v>
      </c>
      <c r="C2553" t="str">
        <f>+_xlfn.XLOOKUP(Tabla6[[#This Row],[ID CLIENTE]],'RESUMEN CLIENTES'!D:D,'RESUMEN CLIENTES'!C:C)</f>
        <v>Perú</v>
      </c>
      <c r="D2553" s="169" t="str">
        <f>+_xlfn.XLOOKUP(Tabla6[[#This Row],[ID CLIENTE]],'RESUMEN CLIENTES'!D:D,'RESUMEN CLIENTES'!M:M)</f>
        <v>OK</v>
      </c>
      <c r="E2553" s="71">
        <f>+_xlfn.XLOOKUP(Tabla6[[#This Row],[NOMBRE]],'RESUMEN CLIENTES'!A:A,'RESUMEN CLIENTES'!X:X)</f>
        <v>-2</v>
      </c>
      <c r="F2553" s="71">
        <f>+_xlfn.XLOOKUP(Tabla6[[#This Row],[ID CLIENTE]],'RESUMEN CLIENTES'!D:D,'RESUMEN CLIENTES'!W:W)</f>
        <v>1</v>
      </c>
      <c r="G2553" s="17">
        <f>IF($H2553&lt;&gt;"ALEM","",IFERROR(
  DATE(
    YEAR(EDATE(
      _xlfn.XLOOKUP($A2553,'RESUMEN CLIENTES'!$D:$D,'RESUMEN CLIENTES'!$Y:$Y,""),
      7 + COUNTIFS(
            $A$2:INDEX($A:$A,ROW()), $A2553,
            $H$2:INDEX($H:$H,ROW()), "ALEM"
          )
    )),
    MONTH(EDATE(
      _xlfn.XLOOKUP($A2553,'RESUMEN CLIENTES'!$D:$D,'RESUMEN CLIENTES'!$Y:$Y,""),
      7 + COUNTIFS(
            $A$2:INDEX($A:$A,ROW()), $A2553,
            $H$2:INDEX($H:$H,ROW()), "ALEM"
          )
    )),
    1
  ),
"null"))</f>
        <v>46692</v>
      </c>
      <c r="H2553" s="169" t="s">
        <v>1876</v>
      </c>
      <c r="I2553" s="2">
        <v>1000</v>
      </c>
      <c r="J2553"/>
      <c r="K2553"/>
      <c r="L2553" s="44" t="str" cm="1">
        <f t="array" ref="L2553">+_xlfn.IFS(COUNTIF(INGRESOS!E:E,Tabla6[[#This Row],[ID FACTURA]])=1,"PAGADA",Tabla6[[#This Row],[ID FACTURA]]&lt;&gt;0,"EMITIDA",Tabla6[[#This Row],[ID FACTURA]]=0,"POR EMITIR")</f>
        <v>POR EMITIR</v>
      </c>
      <c r="M2553" s="54" t="str">
        <f>+IF(Tabla6[[#This Row],[ESTADO FACTURA]]="PAGADA",Tabla6[[#This Row],[FECHA]]-_xlfn.XLOOKUP(Tabla6[[#This Row],[N° FACTURA]],INGRESOS!F:F,INGRESOS!A:A),"-")</f>
        <v>-</v>
      </c>
      <c r="O2553"/>
    </row>
    <row r="2554" spans="1:15">
      <c r="A2554" s="320" t="s">
        <v>1936</v>
      </c>
      <c r="B2554" t="str">
        <f>+_xlfn.XLOOKUP(Tabla6[[#This Row],[ID CLIENTE]],'RESUMEN CLIENTES'!D:D,'RESUMEN CLIENTES'!A:A)</f>
        <v>Jaime Kevin Mendez Arias</v>
      </c>
      <c r="C2554" t="str">
        <f>+_xlfn.XLOOKUP(Tabla6[[#This Row],[ID CLIENTE]],'RESUMEN CLIENTES'!D:D,'RESUMEN CLIENTES'!C:C)</f>
        <v>México</v>
      </c>
      <c r="D2554" s="169" t="str">
        <f>+_xlfn.XLOOKUP(Tabla6[[#This Row],[ID CLIENTE]],'RESUMEN CLIENTES'!D:D,'RESUMEN CLIENTES'!M:M)</f>
        <v>OK</v>
      </c>
      <c r="E2554" s="71">
        <f>+_xlfn.XLOOKUP(Tabla6[[#This Row],[NOMBRE]],'RESUMEN CLIENTES'!A:A,'RESUMEN CLIENTES'!X:X)</f>
        <v>1.6666666666666667</v>
      </c>
      <c r="F2554" s="71">
        <f>+_xlfn.XLOOKUP(Tabla6[[#This Row],[ID CLIENTE]],'RESUMEN CLIENTES'!D:D,'RESUMEN CLIENTES'!W:W)</f>
        <v>0</v>
      </c>
      <c r="G2554" s="17">
        <f>IF($H2554&lt;&gt;"ALEM","",IFERROR(
  DATE(
    YEAR(EDATE(
      _xlfn.XLOOKUP($A2554,'RESUMEN CLIENTES'!$D:$D,'RESUMEN CLIENTES'!$Y:$Y,""),
      7 + COUNTIFS(
            $A$2:INDEX($A:$A,ROW()), $A2554,
            $H$2:INDEX($H:$H,ROW()), "ALEM"
          )
    )),
    MONTH(EDATE(
      _xlfn.XLOOKUP($A2554,'RESUMEN CLIENTES'!$D:$D,'RESUMEN CLIENTES'!$Y:$Y,""),
      7 + COUNTIFS(
            $A$2:INDEX($A:$A,ROW()), $A2554,
            $H$2:INDEX($H:$H,ROW()), "ALEM"
          )
    )),
    1
  ),
"null"))</f>
        <v>46692</v>
      </c>
      <c r="H2554" s="169" t="s">
        <v>1876</v>
      </c>
      <c r="I2554" s="2">
        <v>800</v>
      </c>
      <c r="J2554"/>
      <c r="K2554"/>
      <c r="L2554" s="44" t="str" cm="1">
        <f t="array" ref="L2554">+_xlfn.IFS(COUNTIF(INGRESOS!E:E,Tabla6[[#This Row],[ID FACTURA]])=1,"PAGADA",Tabla6[[#This Row],[ID FACTURA]]&lt;&gt;0,"EMITIDA",Tabla6[[#This Row],[ID FACTURA]]=0,"POR EMITIR")</f>
        <v>POR EMITIR</v>
      </c>
      <c r="M2554" s="54" t="str">
        <f>+IF(Tabla6[[#This Row],[ESTADO FACTURA]]="PAGADA",Tabla6[[#This Row],[FECHA]]-_xlfn.XLOOKUP(Tabla6[[#This Row],[N° FACTURA]],INGRESOS!F:F,INGRESOS!A:A),"-")</f>
        <v>-</v>
      </c>
      <c r="O2554"/>
    </row>
    <row r="2555" spans="1:15">
      <c r="A2555" s="321" t="s">
        <v>1899</v>
      </c>
      <c r="B2555" t="str">
        <f>+_xlfn.XLOOKUP(Tabla6[[#This Row],[ID CLIENTE]],'RESUMEN CLIENTES'!D:D,'RESUMEN CLIENTES'!A:A)</f>
        <v>Johan Martínez</v>
      </c>
      <c r="C2555" t="str">
        <f>+_xlfn.XLOOKUP(Tabla6[[#This Row],[ID CLIENTE]],'RESUMEN CLIENTES'!D:D,'RESUMEN CLIENTES'!C:C)</f>
        <v>Colombia</v>
      </c>
      <c r="D2555" s="169" t="str">
        <f>+_xlfn.XLOOKUP(Tabla6[[#This Row],[ID CLIENTE]],'RESUMEN CLIENTES'!D:D,'RESUMEN CLIENTES'!M:M)</f>
        <v>OK</v>
      </c>
      <c r="E2555" s="71">
        <f>+_xlfn.XLOOKUP(Tabla6[[#This Row],[NOMBRE]],'RESUMEN CLIENTES'!A:A,'RESUMEN CLIENTES'!X:X)</f>
        <v>-0.66666666666666663</v>
      </c>
      <c r="F2555" s="71">
        <f>+_xlfn.XLOOKUP(Tabla6[[#This Row],[ID CLIENTE]],'RESUMEN CLIENTES'!D:D,'RESUMEN CLIENTES'!W:W)</f>
        <v>0</v>
      </c>
      <c r="G2555" s="17">
        <f>IF($H2555&lt;&gt;"ALEM","",IFERROR(
  DATE(
    YEAR(EDATE(
      _xlfn.XLOOKUP($A2555,'RESUMEN CLIENTES'!$D:$D,'RESUMEN CLIENTES'!$Y:$Y,""),
      7 + COUNTIFS(
            $A$2:INDEX($A:$A,ROW()), $A2555,
            $H$2:INDEX($H:$H,ROW()), "ALEM"
          )
    )),
    MONTH(EDATE(
      _xlfn.XLOOKUP($A2555,'RESUMEN CLIENTES'!$D:$D,'RESUMEN CLIENTES'!$Y:$Y,""),
      7 + COUNTIFS(
            $A$2:INDEX($A:$A,ROW()), $A2555,
            $H$2:INDEX($H:$H,ROW()), "ALEM"
          )
    )),
    1
  ),
"null"))</f>
        <v>46692</v>
      </c>
      <c r="H2555" s="169" t="s">
        <v>1876</v>
      </c>
      <c r="I2555" s="2">
        <v>800</v>
      </c>
      <c r="J2555"/>
      <c r="K2555"/>
      <c r="L2555" s="44" t="str" cm="1">
        <f t="array" ref="L2555">+_xlfn.IFS(COUNTIF(INGRESOS!E:E,Tabla6[[#This Row],[ID FACTURA]])=1,"PAGADA",Tabla6[[#This Row],[ID FACTURA]]&lt;&gt;0,"EMITIDA",Tabla6[[#This Row],[ID FACTURA]]=0,"POR EMITIR")</f>
        <v>POR EMITIR</v>
      </c>
      <c r="M2555" s="54" t="str">
        <f>+IF(Tabla6[[#This Row],[ESTADO FACTURA]]="PAGADA",Tabla6[[#This Row],[FECHA]]-_xlfn.XLOOKUP(Tabla6[[#This Row],[N° FACTURA]],INGRESOS!F:F,INGRESOS!A:A),"-")</f>
        <v>-</v>
      </c>
      <c r="O2555" t="s">
        <v>2086</v>
      </c>
    </row>
    <row r="2556" spans="1:15">
      <c r="A2556" s="320" t="s">
        <v>1437</v>
      </c>
      <c r="B2556" t="str">
        <f>+_xlfn.XLOOKUP(Tabla6[[#This Row],[ID CLIENTE]],'RESUMEN CLIENTES'!D:D,'RESUMEN CLIENTES'!A:A)</f>
        <v>Jorge Andres Galgani Muñoz</v>
      </c>
      <c r="C2556" t="str">
        <f>+_xlfn.XLOOKUP(Tabla6[[#This Row],[ID CLIENTE]],'RESUMEN CLIENTES'!D:D,'RESUMEN CLIENTES'!C:C)</f>
        <v>Chile</v>
      </c>
      <c r="D2556" s="44" t="str">
        <f>+_xlfn.XLOOKUP(Tabla6[[#This Row],[ID CLIENTE]],'RESUMEN CLIENTES'!D:D,'RESUMEN CLIENTES'!M:M)</f>
        <v>OK</v>
      </c>
      <c r="E2556" s="71">
        <f>+_xlfn.XLOOKUP(Tabla6[[#This Row],[NOMBRE]],'RESUMEN CLIENTES'!A:A,'RESUMEN CLIENTES'!X:X)</f>
        <v>-1.1428571428571428</v>
      </c>
      <c r="F2556" s="71">
        <f>+_xlfn.XLOOKUP(Tabla6[[#This Row],[ID CLIENTE]],'RESUMEN CLIENTES'!D:D,'RESUMEN CLIENTES'!W:W)</f>
        <v>1</v>
      </c>
      <c r="G2556" s="17">
        <f>IF($H2556&lt;&gt;"ALEM","",IFERROR(
  DATE(
    YEAR(EDATE(
      _xlfn.XLOOKUP($A2556,'RESUMEN CLIENTES'!$D:$D,'RESUMEN CLIENTES'!$Y:$Y,""),
      7 + COUNTIFS(
            $A$2:INDEX($A:$A,ROW()), $A2556,
            $H$2:INDEX($H:$H,ROW()), "ALEM"
          )
    )),
    MONTH(EDATE(
      _xlfn.XLOOKUP($A2556,'RESUMEN CLIENTES'!$D:$D,'RESUMEN CLIENTES'!$Y:$Y,""),
      7 + COUNTIFS(
            $A$2:INDEX($A:$A,ROW()), $A2556,
            $H$2:INDEX($H:$H,ROW()), "ALEM"
          )
    )),
    1
  ),
"SIN FECHA MIG"))</f>
        <v>46692</v>
      </c>
      <c r="H2556" s="169" t="s">
        <v>1876</v>
      </c>
      <c r="I2556" s="2">
        <v>800</v>
      </c>
      <c r="J2556"/>
      <c r="K2556"/>
      <c r="L2556" s="44" t="str" cm="1">
        <f t="array" ref="L2556">+_xlfn.IFS(COUNTIF(INGRESOS!E:E,Tabla6[[#This Row],[ID FACTURA]])=1,"PAGADA",Tabla6[[#This Row],[ID FACTURA]]&lt;&gt;0,"EMITIDA",Tabla6[[#This Row],[ID FACTURA]]=0,"POR EMITIR")</f>
        <v>POR EMITIR</v>
      </c>
      <c r="M2556" s="55" t="str">
        <f>+IF(Tabla6[[#This Row],[ESTADO FACTURA]]="PAGADA",Tabla6[[#This Row],[FECHA]]-_xlfn.XLOOKUP(Tabla6[[#This Row],[N° FACTURA]],INGRESOS!F:F,INGRESOS!A:A),"-")</f>
        <v>-</v>
      </c>
      <c r="N2556" s="2"/>
      <c r="O2556"/>
    </row>
    <row r="2557" spans="1:15">
      <c r="A2557" s="320" t="s">
        <v>4454</v>
      </c>
      <c r="B2557" t="str">
        <f>+_xlfn.XLOOKUP(Tabla6[[#This Row],[ID CLIENTE]],'RESUMEN CLIENTES'!D:D,'RESUMEN CLIENTES'!A:A)</f>
        <v>Jose Luis Avilez Casas</v>
      </c>
      <c r="C2557" t="str">
        <f>+_xlfn.XLOOKUP(Tabla6[[#This Row],[ID CLIENTE]],'RESUMEN CLIENTES'!D:D,'RESUMEN CLIENTES'!C:C)</f>
        <v>México</v>
      </c>
      <c r="D2557" s="169" t="str">
        <f>+_xlfn.XLOOKUP(Tabla6[[#This Row],[ID CLIENTE]],'RESUMEN CLIENTES'!D:D,'RESUMEN CLIENTES'!M:M)</f>
        <v>OK</v>
      </c>
      <c r="E2557" s="71">
        <f>+_xlfn.XLOOKUP(Tabla6[[#This Row],[NOMBRE]],'RESUMEN CLIENTES'!A:A,'RESUMEN CLIENTES'!X:X)</f>
        <v>0.33333333333333331</v>
      </c>
      <c r="F2557" s="71">
        <f>+_xlfn.XLOOKUP(Tabla6[[#This Row],[ID CLIENTE]],'RESUMEN CLIENTES'!D:D,'RESUMEN CLIENTES'!W:W)</f>
        <v>0</v>
      </c>
      <c r="G2557" s="17">
        <f>IF($H2557&lt;&gt;"ALEM","",IFERROR(
  DATE(
    YEAR(EDATE(
      _xlfn.XLOOKUP($A2557,'RESUMEN CLIENTES'!$D:$D,'RESUMEN CLIENTES'!$Y:$Y,""),
      7 + COUNTIFS(
            $A$2:INDEX($A:$A,ROW()), $A2557,
            $H$2:INDEX($H:$H,ROW()), "ALEM"
          )
    )),
    MONTH(EDATE(
      _xlfn.XLOOKUP($A2557,'RESUMEN CLIENTES'!$D:$D,'RESUMEN CLIENTES'!$Y:$Y,""),
      7 + COUNTIFS(
            $A$2:INDEX($A:$A,ROW()), $A2557,
            $H$2:INDEX($H:$H,ROW()), "ALEM"
          )
    )),
    1
  ),
"null"))</f>
        <v>46692</v>
      </c>
      <c r="H2557" s="169" t="s">
        <v>1876</v>
      </c>
      <c r="I2557" s="2">
        <v>800</v>
      </c>
      <c r="J2557"/>
      <c r="K2557"/>
      <c r="L2557" s="44" t="str" cm="1">
        <f t="array" ref="L2557">+_xlfn.IFS(COUNTIF(INGRESOS!E:E,Tabla6[[#This Row],[ID FACTURA]])=1,"PAGADA",Tabla6[[#This Row],[ID FACTURA]]&lt;&gt;0,"EMITIDA",Tabla6[[#This Row],[ID FACTURA]]=0,"POR EMITIR")</f>
        <v>POR EMITIR</v>
      </c>
      <c r="M2557" s="54" t="str">
        <f>+IF(Tabla6[[#This Row],[ESTADO FACTURA]]="PAGADA",Tabla6[[#This Row],[FECHA]]-_xlfn.XLOOKUP(Tabla6[[#This Row],[N° FACTURA]],INGRESOS!F:F,INGRESOS!A:A),"-")</f>
        <v>-</v>
      </c>
      <c r="O2557"/>
    </row>
    <row r="2558" spans="1:15">
      <c r="A2558" s="321" t="s">
        <v>367</v>
      </c>
      <c r="B2558" t="str">
        <f>+_xlfn.XLOOKUP(Tabla6[[#This Row],[ID CLIENTE]],'RESUMEN CLIENTES'!D:D,'RESUMEN CLIENTES'!A:A)</f>
        <v>José Miguel Undurraga Saavedra</v>
      </c>
      <c r="C2558" t="str">
        <f>+_xlfn.XLOOKUP(Tabla6[[#This Row],[ID CLIENTE]],'RESUMEN CLIENTES'!D:D,'RESUMEN CLIENTES'!C:C)</f>
        <v>Chile</v>
      </c>
      <c r="D2558" s="169" t="str">
        <f>+_xlfn.XLOOKUP(Tabla6[[#This Row],[ID CLIENTE]],'RESUMEN CLIENTES'!D:D,'RESUMEN CLIENTES'!M:M)</f>
        <v>OK</v>
      </c>
      <c r="E2558" s="71">
        <f>+_xlfn.XLOOKUP(Tabla6[[#This Row],[NOMBRE]],'RESUMEN CLIENTES'!A:A,'RESUMEN CLIENTES'!X:X)</f>
        <v>-11.5</v>
      </c>
      <c r="F2558" s="71">
        <f>+_xlfn.XLOOKUP(Tabla6[[#This Row],[ID CLIENTE]],'RESUMEN CLIENTES'!D:D,'RESUMEN CLIENTES'!W:W)</f>
        <v>0</v>
      </c>
      <c r="G2558" s="17">
        <f>IF($H2558&lt;&gt;"ALEM","",IFERROR(
  DATE(
    YEAR(EDATE(
      _xlfn.XLOOKUP($A2558,'RESUMEN CLIENTES'!$D:$D,'RESUMEN CLIENTES'!$Y:$Y,""),
      7 + COUNTIFS(
            $A$2:INDEX($A:$A,ROW()), $A2558,
            $H$2:INDEX($H:$H,ROW()), "ALEM"
          )
    )),
    MONTH(EDATE(
      _xlfn.XLOOKUP($A2558,'RESUMEN CLIENTES'!$D:$D,'RESUMEN CLIENTES'!$Y:$Y,""),
      7 + COUNTIFS(
            $A$2:INDEX($A:$A,ROW()), $A2558,
            $H$2:INDEX($H:$H,ROW()), "ALEM"
          )
    )),
    1
  ),
"null"))</f>
        <v>46692</v>
      </c>
      <c r="H2558" s="169" t="s">
        <v>1876</v>
      </c>
      <c r="I2558" s="2">
        <v>1000</v>
      </c>
      <c r="J2558"/>
      <c r="K2558"/>
      <c r="L2558" s="44" t="str" cm="1">
        <f t="array" ref="L2558">+_xlfn.IFS(COUNTIF(INGRESOS!E:E,Tabla6[[#This Row],[ID FACTURA]])=1,"PAGADA",Tabla6[[#This Row],[ID FACTURA]]&lt;&gt;0,"EMITIDA",Tabla6[[#This Row],[ID FACTURA]]=0,"POR EMITIR")</f>
        <v>POR EMITIR</v>
      </c>
      <c r="M2558" s="54" t="str">
        <f>+IF(Tabla6[[#This Row],[ESTADO FACTURA]]="PAGADA",Tabla6[[#This Row],[FECHA]]-_xlfn.XLOOKUP(Tabla6[[#This Row],[N° FACTURA]],INGRESOS!F:F,INGRESOS!A:A),"-")</f>
        <v>-</v>
      </c>
      <c r="O2558" t="s">
        <v>2092</v>
      </c>
    </row>
    <row r="2559" spans="1:15">
      <c r="A2559" s="320" t="s">
        <v>1931</v>
      </c>
      <c r="B2559" t="str">
        <f>+_xlfn.XLOOKUP(Tabla6[[#This Row],[ID CLIENTE]],'RESUMEN CLIENTES'!D:D,'RESUMEN CLIENTES'!A:A)</f>
        <v>Josué Bernardo Reyes Flores</v>
      </c>
      <c r="C2559" t="str">
        <f>+_xlfn.XLOOKUP(Tabla6[[#This Row],[ID CLIENTE]],'RESUMEN CLIENTES'!D:D,'RESUMEN CLIENTES'!C:C)</f>
        <v>México</v>
      </c>
      <c r="D2559" s="169" t="str">
        <f>+_xlfn.XLOOKUP(Tabla6[[#This Row],[ID CLIENTE]],'RESUMEN CLIENTES'!D:D,'RESUMEN CLIENTES'!M:M)</f>
        <v>OK</v>
      </c>
      <c r="E2559" s="71">
        <f>+_xlfn.XLOOKUP(Tabla6[[#This Row],[NOMBRE]],'RESUMEN CLIENTES'!A:A,'RESUMEN CLIENTES'!X:X)</f>
        <v>0</v>
      </c>
      <c r="F2559" s="71">
        <f>+_xlfn.XLOOKUP(Tabla6[[#This Row],[ID CLIENTE]],'RESUMEN CLIENTES'!D:D,'RESUMEN CLIENTES'!W:W)</f>
        <v>1</v>
      </c>
      <c r="G2559" s="17">
        <f>IF($H2559&lt;&gt;"ALEM","",IFERROR(
  DATE(
    YEAR(EDATE(
      _xlfn.XLOOKUP($A2559,'RESUMEN CLIENTES'!$D:$D,'RESUMEN CLIENTES'!$Y:$Y,""),
      7 + COUNTIFS(
            $A$2:INDEX($A:$A,ROW()), $A2559,
            $H$2:INDEX($H:$H,ROW()), "ALEM"
          )
    )),
    MONTH(EDATE(
      _xlfn.XLOOKUP($A2559,'RESUMEN CLIENTES'!$D:$D,'RESUMEN CLIENTES'!$Y:$Y,""),
      7 + COUNTIFS(
            $A$2:INDEX($A:$A,ROW()), $A2559,
            $H$2:INDEX($H:$H,ROW()), "ALEM"
          )
    )),
    1
  ),
"null"))</f>
        <v>46692</v>
      </c>
      <c r="H2559" s="169" t="s">
        <v>1876</v>
      </c>
      <c r="I2559" s="2">
        <v>800</v>
      </c>
      <c r="J2559"/>
      <c r="K2559"/>
      <c r="L2559" s="44" t="str" cm="1">
        <f t="array" ref="L2559">+_xlfn.IFS(COUNTIF(INGRESOS!E:E,Tabla6[[#This Row],[ID FACTURA]])=1,"PAGADA",Tabla6[[#This Row],[ID FACTURA]]&lt;&gt;0,"EMITIDA",Tabla6[[#This Row],[ID FACTURA]]=0,"POR EMITIR")</f>
        <v>POR EMITIR</v>
      </c>
      <c r="M2559" s="54" t="str">
        <f>+IF(Tabla6[[#This Row],[ESTADO FACTURA]]="PAGADA",Tabla6[[#This Row],[FECHA]]-_xlfn.XLOOKUP(Tabla6[[#This Row],[N° FACTURA]],INGRESOS!F:F,INGRESOS!A:A),"-")</f>
        <v>-</v>
      </c>
      <c r="O2559"/>
    </row>
    <row r="2560" spans="1:15">
      <c r="A2560" s="320" t="s">
        <v>266</v>
      </c>
      <c r="B2560" t="str">
        <f>+_xlfn.XLOOKUP(Tabla6[[#This Row],[ID CLIENTE]],'RESUMEN CLIENTES'!D:D,'RESUMEN CLIENTES'!A:A)</f>
        <v>Juan Camilo Sanchez Ramirez</v>
      </c>
      <c r="C2560" t="str">
        <f>+_xlfn.XLOOKUP(Tabla6[[#This Row],[ID CLIENTE]],'RESUMEN CLIENTES'!D:D,'RESUMEN CLIENTES'!C:C)</f>
        <v>Colombia</v>
      </c>
      <c r="D2560" s="44" t="str">
        <f>+_xlfn.XLOOKUP(Tabla6[[#This Row],[ID CLIENTE]],'RESUMEN CLIENTES'!D:D,'RESUMEN CLIENTES'!M:M)</f>
        <v>OK</v>
      </c>
      <c r="E2560" s="72">
        <f>+_xlfn.XLOOKUP(Tabla6[[#This Row],[NOMBRE]],'RESUMEN CLIENTES'!A:A,'RESUMEN CLIENTES'!X:X)</f>
        <v>0.2</v>
      </c>
      <c r="F2560" s="72">
        <f>+_xlfn.XLOOKUP(Tabla6[[#This Row],[ID CLIENTE]],'RESUMEN CLIENTES'!D:D,'RESUMEN CLIENTES'!W:W)</f>
        <v>0</v>
      </c>
      <c r="G2560" s="17">
        <f>IF($H2560&lt;&gt;"ALEM","",IFERROR(
  DATE(
    YEAR(EDATE(
      _xlfn.XLOOKUP($A2560,'RESUMEN CLIENTES'!$D:$D,'RESUMEN CLIENTES'!$Y:$Y,""),
      7 + COUNTIFS(
            $A$2:INDEX($A:$A,ROW()), $A2560,
            $H$2:INDEX($H:$H,ROW()), "ALEM"
          )
    )),
    MONTH(EDATE(
      _xlfn.XLOOKUP($A2560,'RESUMEN CLIENTES'!$D:$D,'RESUMEN CLIENTES'!$Y:$Y,""),
      7 + COUNTIFS(
            $A$2:INDEX($A:$A,ROW()), $A2560,
            $H$2:INDEX($H:$H,ROW()), "ALEM"
          )
    )),
    1
  ),
"SIN FECHA MIG"))</f>
        <v>46692</v>
      </c>
      <c r="H2560" s="44" t="s">
        <v>1876</v>
      </c>
      <c r="I2560" s="2">
        <v>1000</v>
      </c>
      <c r="J2560"/>
      <c r="K2560"/>
      <c r="L2560" s="44" t="str" cm="1">
        <f t="array" ref="L2560">+_xlfn.IFS(COUNTIF(INGRESOS!E:E,Tabla6[[#This Row],[ID FACTURA]])=1,"PAGADA",Tabla6[[#This Row],[ID FACTURA]]&lt;&gt;0,"EMITIDA",Tabla6[[#This Row],[ID FACTURA]]=0,"POR EMITIR")</f>
        <v>POR EMITIR</v>
      </c>
      <c r="M2560" s="55" t="str">
        <f>+IF(Tabla6[[#This Row],[ESTADO FACTURA]]="PAGADA",Tabla6[[#This Row],[FECHA]]-_xlfn.XLOOKUP(Tabla6[[#This Row],[N° FACTURA]],INGRESOS!F:F,INGRESOS!A:A),"-")</f>
        <v>-</v>
      </c>
      <c r="N2560" s="2"/>
      <c r="O2560"/>
    </row>
    <row r="2561" spans="1:15">
      <c r="A2561" s="320" t="s">
        <v>798</v>
      </c>
      <c r="B2561" t="str">
        <f>+_xlfn.XLOOKUP(Tabla6[[#This Row],[ID CLIENTE]],'RESUMEN CLIENTES'!D:D,'RESUMEN CLIENTES'!A:A)</f>
        <v>Juan Manuel Paranzino</v>
      </c>
      <c r="C2561" t="str">
        <f>+_xlfn.XLOOKUP(Tabla6[[#This Row],[ID CLIENTE]],'RESUMEN CLIENTES'!D:D,'RESUMEN CLIENTES'!C:C)</f>
        <v>Argentina</v>
      </c>
      <c r="D2561" s="44" t="str">
        <f>+_xlfn.XLOOKUP(Tabla6[[#This Row],[ID CLIENTE]],'RESUMEN CLIENTES'!D:D,'RESUMEN CLIENTES'!M:M)</f>
        <v>OK</v>
      </c>
      <c r="E2561" s="72">
        <f>+_xlfn.XLOOKUP(Tabla6[[#This Row],[NOMBRE]],'RESUMEN CLIENTES'!A:A,'RESUMEN CLIENTES'!X:X)</f>
        <v>-1</v>
      </c>
      <c r="F2561" s="72">
        <f>+_xlfn.XLOOKUP(Tabla6[[#This Row],[ID CLIENTE]],'RESUMEN CLIENTES'!D:D,'RESUMEN CLIENTES'!W:W)</f>
        <v>0</v>
      </c>
      <c r="G2561" s="17">
        <f>IF($H2561&lt;&gt;"ALEM","",IFERROR(
  DATE(
    YEAR(EDATE(
      _xlfn.XLOOKUP($A2561,'RESUMEN CLIENTES'!$D:$D,'RESUMEN CLIENTES'!$Y:$Y,""),
      7 + COUNTIFS(
            $A$2:INDEX($A:$A,ROW()), $A2561,
            $H$2:INDEX($H:$H,ROW()), "ALEM"
          )
    )),
    MONTH(EDATE(
      _xlfn.XLOOKUP($A2561,'RESUMEN CLIENTES'!$D:$D,'RESUMEN CLIENTES'!$Y:$Y,""),
      7 + COUNTIFS(
            $A$2:INDEX($A:$A,ROW()), $A2561,
            $H$2:INDEX($H:$H,ROW()), "ALEM"
          )
    )),
    1
  ),
"SIN FECHA MIG"))</f>
        <v>46692</v>
      </c>
      <c r="H2561" s="44" t="s">
        <v>1876</v>
      </c>
      <c r="I2561" s="2">
        <v>1000</v>
      </c>
      <c r="J2561"/>
      <c r="K2561"/>
      <c r="L2561" s="44" t="str" cm="1">
        <f t="array" ref="L2561">+_xlfn.IFS(COUNTIF(INGRESOS!E:E,Tabla6[[#This Row],[ID FACTURA]])=1,"PAGADA",Tabla6[[#This Row],[ID FACTURA]]&lt;&gt;0,"EMITIDA",Tabla6[[#This Row],[ID FACTURA]]=0,"POR EMITIR")</f>
        <v>POR EMITIR</v>
      </c>
      <c r="M2561" s="55" t="str">
        <f>+IF(Tabla6[[#This Row],[ESTADO FACTURA]]="PAGADA",Tabla6[[#This Row],[FECHA]]-_xlfn.XLOOKUP(Tabla6[[#This Row],[N° FACTURA]],INGRESOS!F:F,INGRESOS!A:A),"-")</f>
        <v>-</v>
      </c>
      <c r="N2561" s="2"/>
      <c r="O2561" t="s">
        <v>2084</v>
      </c>
    </row>
    <row r="2562" spans="1:15">
      <c r="A2562" s="320" t="s">
        <v>1461</v>
      </c>
      <c r="B2562" t="str">
        <f>+_xlfn.XLOOKUP(Tabla6[[#This Row],[ID CLIENTE]],'RESUMEN CLIENTES'!D:D,'RESUMEN CLIENTES'!A:A)</f>
        <v>Katerine Marianela Verastegui Mendoza</v>
      </c>
      <c r="C2562" t="str">
        <f>+_xlfn.XLOOKUP(Tabla6[[#This Row],[ID CLIENTE]],'RESUMEN CLIENTES'!D:D,'RESUMEN CLIENTES'!C:C)</f>
        <v>Perú</v>
      </c>
      <c r="D2562" s="44" t="str">
        <f>+_xlfn.XLOOKUP(Tabla6[[#This Row],[ID CLIENTE]],'RESUMEN CLIENTES'!D:D,'RESUMEN CLIENTES'!M:M)</f>
        <v>OK</v>
      </c>
      <c r="E2562" s="71">
        <f>+_xlfn.XLOOKUP(Tabla6[[#This Row],[NOMBRE]],'RESUMEN CLIENTES'!A:A,'RESUMEN CLIENTES'!X:X)</f>
        <v>-2</v>
      </c>
      <c r="F2562" s="71">
        <f>+_xlfn.XLOOKUP(Tabla6[[#This Row],[ID CLIENTE]],'RESUMEN CLIENTES'!D:D,'RESUMEN CLIENTES'!W:W)</f>
        <v>0</v>
      </c>
      <c r="G2562" s="17">
        <f>IF($H2562&lt;&gt;"ALEM","",IFERROR(
  DATE(
    YEAR(EDATE(
      _xlfn.XLOOKUP($A2562,'RESUMEN CLIENTES'!$D:$D,'RESUMEN CLIENTES'!$Y:$Y,""),
      7 + COUNTIFS(
            $A$2:INDEX($A:$A,ROW()), $A2562,
            $H$2:INDEX($H:$H,ROW()), "ALEM"
          )
    )),
    MONTH(EDATE(
      _xlfn.XLOOKUP($A2562,'RESUMEN CLIENTES'!$D:$D,'RESUMEN CLIENTES'!$Y:$Y,""),
      7 + COUNTIFS(
            $A$2:INDEX($A:$A,ROW()), $A2562,
            $H$2:INDEX($H:$H,ROW()), "ALEM"
          )
    )),
    1
  ),
"SIN FECHA MIG"))</f>
        <v>46692</v>
      </c>
      <c r="H2562" s="169" t="s">
        <v>1876</v>
      </c>
      <c r="I2562" s="2">
        <v>1000</v>
      </c>
      <c r="J2562"/>
      <c r="K2562"/>
      <c r="L2562" s="44" t="str" cm="1">
        <f t="array" ref="L2562">+_xlfn.IFS(COUNTIF(INGRESOS!E:E,Tabla6[[#This Row],[ID FACTURA]])=1,"PAGADA",Tabla6[[#This Row],[ID FACTURA]]&lt;&gt;0,"EMITIDA",Tabla6[[#This Row],[ID FACTURA]]=0,"POR EMITIR")</f>
        <v>POR EMITIR</v>
      </c>
      <c r="M2562" s="55" t="str">
        <f>+IF(Tabla6[[#This Row],[ESTADO FACTURA]]="PAGADA",Tabla6[[#This Row],[FECHA]]-_xlfn.XLOOKUP(Tabla6[[#This Row],[N° FACTURA]],INGRESOS!F:F,INGRESOS!A:A),"-")</f>
        <v>-</v>
      </c>
      <c r="N2562" s="2"/>
      <c r="O2562" t="s">
        <v>2086</v>
      </c>
    </row>
    <row r="2563" spans="1:15">
      <c r="A2563" s="320" t="s">
        <v>1551</v>
      </c>
      <c r="B2563" t="str">
        <f>+_xlfn.XLOOKUP(Tabla6[[#This Row],[ID CLIENTE]],'RESUMEN CLIENTES'!D:D,'RESUMEN CLIENTES'!A:A)</f>
        <v>María Fernanda Cid Ramírez</v>
      </c>
      <c r="C2563" t="str">
        <f>+_xlfn.XLOOKUP(Tabla6[[#This Row],[ID CLIENTE]],'RESUMEN CLIENTES'!D:D,'RESUMEN CLIENTES'!C:C)</f>
        <v>México</v>
      </c>
      <c r="D2563" s="44" t="str">
        <f>+_xlfn.XLOOKUP(Tabla6[[#This Row],[ID CLIENTE]],'RESUMEN CLIENTES'!D:D,'RESUMEN CLIENTES'!M:M)</f>
        <v>OK</v>
      </c>
      <c r="E2563" s="71">
        <f>+_xlfn.XLOOKUP(Tabla6[[#This Row],[NOMBRE]],'RESUMEN CLIENTES'!A:A,'RESUMEN CLIENTES'!X:X)</f>
        <v>-0.8571428571428571</v>
      </c>
      <c r="F2563" s="71">
        <f>+_xlfn.XLOOKUP(Tabla6[[#This Row],[ID CLIENTE]],'RESUMEN CLIENTES'!D:D,'RESUMEN CLIENTES'!W:W)</f>
        <v>0</v>
      </c>
      <c r="G2563" s="17">
        <f>IF($H2563&lt;&gt;"ALEM","",IFERROR(
  DATE(
    YEAR(EDATE(
      _xlfn.XLOOKUP($A2563,'RESUMEN CLIENTES'!$D:$D,'RESUMEN CLIENTES'!$Y:$Y,""),
      7 + COUNTIFS(
            $A$2:INDEX($A:$A,ROW()), $A2563,
            $H$2:INDEX($H:$H,ROW()), "ALEM"
          )
    )),
    MONTH(EDATE(
      _xlfn.XLOOKUP($A2563,'RESUMEN CLIENTES'!$D:$D,'RESUMEN CLIENTES'!$Y:$Y,""),
      7 + COUNTIFS(
            $A$2:INDEX($A:$A,ROW()), $A2563,
            $H$2:INDEX($H:$H,ROW()), "ALEM"
          )
    )),
    1
  ),
"SIN FECHA MIG"))</f>
        <v>46692</v>
      </c>
      <c r="H2563" s="169" t="s">
        <v>1876</v>
      </c>
      <c r="I2563" s="2">
        <v>800</v>
      </c>
      <c r="J2563"/>
      <c r="K2563"/>
      <c r="L2563" s="44" t="str" cm="1">
        <f t="array" ref="L2563">+_xlfn.IFS(COUNTIF(INGRESOS!E:E,Tabla6[[#This Row],[ID FACTURA]])=1,"PAGADA",Tabla6[[#This Row],[ID FACTURA]]&lt;&gt;0,"EMITIDA",Tabla6[[#This Row],[ID FACTURA]]=0,"POR EMITIR")</f>
        <v>POR EMITIR</v>
      </c>
      <c r="M2563" s="55" t="str">
        <f>+IF(Tabla6[[#This Row],[ESTADO FACTURA]]="PAGADA",Tabla6[[#This Row],[FECHA]]-_xlfn.XLOOKUP(Tabla6[[#This Row],[N° FACTURA]],INGRESOS!F:F,INGRESOS!A:A),"-")</f>
        <v>-</v>
      </c>
      <c r="N2563" s="2"/>
      <c r="O2563" t="s">
        <v>2086</v>
      </c>
    </row>
    <row r="2564" spans="1:15">
      <c r="A2564" s="320" t="s">
        <v>1201</v>
      </c>
      <c r="B2564" t="str">
        <f>+_xlfn.XLOOKUP(Tabla6[[#This Row],[ID CLIENTE]],'RESUMEN CLIENTES'!D:D,'RESUMEN CLIENTES'!A:A)</f>
        <v>María Soledad Tituana Asanza</v>
      </c>
      <c r="C2564" t="str">
        <f>+_xlfn.XLOOKUP(Tabla6[[#This Row],[ID CLIENTE]],'RESUMEN CLIENTES'!D:D,'RESUMEN CLIENTES'!C:C)</f>
        <v>Ecuador</v>
      </c>
      <c r="D2564" s="44" t="str">
        <f>+_xlfn.XLOOKUP(Tabla6[[#This Row],[ID CLIENTE]],'RESUMEN CLIENTES'!D:D,'RESUMEN CLIENTES'!M:M)</f>
        <v>OK</v>
      </c>
      <c r="E2564" s="72">
        <f>+_xlfn.XLOOKUP(Tabla6[[#This Row],[NOMBRE]],'RESUMEN CLIENTES'!A:A,'RESUMEN CLIENTES'!X:X)</f>
        <v>-0.16666666666666666</v>
      </c>
      <c r="F2564" s="72">
        <f>+_xlfn.XLOOKUP(Tabla6[[#This Row],[ID CLIENTE]],'RESUMEN CLIENTES'!D:D,'RESUMEN CLIENTES'!W:W)</f>
        <v>0</v>
      </c>
      <c r="G2564" s="17">
        <f>IF($H2564&lt;&gt;"ALEM","",IFERROR(
  DATE(
    YEAR(EDATE(
      _xlfn.XLOOKUP($A2564,'RESUMEN CLIENTES'!$D:$D,'RESUMEN CLIENTES'!$Y:$Y,""),
      7 + COUNTIFS(
            $A$2:INDEX($A:$A,ROW()), $A2564,
            $H$2:INDEX($H:$H,ROW()), "ALEM"
          )
    )),
    MONTH(EDATE(
      _xlfn.XLOOKUP($A2564,'RESUMEN CLIENTES'!$D:$D,'RESUMEN CLIENTES'!$Y:$Y,""),
      7 + COUNTIFS(
            $A$2:INDEX($A:$A,ROW()), $A2564,
            $H$2:INDEX($H:$H,ROW()), "ALEM"
          )
    )),
    1
  ),
"SIN FECHA MIG"))</f>
        <v>46692</v>
      </c>
      <c r="H2564" s="44" t="s">
        <v>1876</v>
      </c>
      <c r="I2564" s="2">
        <v>1000</v>
      </c>
      <c r="J2564"/>
      <c r="K2564"/>
      <c r="L2564" s="44" t="str" cm="1">
        <f t="array" ref="L2564">+_xlfn.IFS(COUNTIF(INGRESOS!E:E,Tabla6[[#This Row],[ID FACTURA]])=1,"PAGADA",Tabla6[[#This Row],[ID FACTURA]]&lt;&gt;0,"EMITIDA",Tabla6[[#This Row],[ID FACTURA]]=0,"POR EMITIR")</f>
        <v>POR EMITIR</v>
      </c>
      <c r="M2564" s="55" t="str">
        <f>+IF(Tabla6[[#This Row],[ESTADO FACTURA]]="PAGADA",Tabla6[[#This Row],[FECHA]]-_xlfn.XLOOKUP(Tabla6[[#This Row],[N° FACTURA]],INGRESOS!F:F,INGRESOS!A:A),"-")</f>
        <v>-</v>
      </c>
      <c r="N2564" s="2"/>
      <c r="O2564" t="s">
        <v>2084</v>
      </c>
    </row>
    <row r="2565" spans="1:15">
      <c r="A2565" s="320" t="s">
        <v>1155</v>
      </c>
      <c r="B2565" t="str">
        <f>+_xlfn.XLOOKUP(Tabla6[[#This Row],[ID CLIENTE]],'RESUMEN CLIENTES'!D:D,'RESUMEN CLIENTES'!A:A)</f>
        <v>Mario Arciga Casián</v>
      </c>
      <c r="C2565" t="str">
        <f>+_xlfn.XLOOKUP(Tabla6[[#This Row],[ID CLIENTE]],'RESUMEN CLIENTES'!D:D,'RESUMEN CLIENTES'!C:C)</f>
        <v>México</v>
      </c>
      <c r="D2565" s="44" t="str">
        <f>+_xlfn.XLOOKUP(Tabla6[[#This Row],[ID CLIENTE]],'RESUMEN CLIENTES'!D:D,'RESUMEN CLIENTES'!M:M)</f>
        <v>OK</v>
      </c>
      <c r="E2565" s="72">
        <f>+_xlfn.XLOOKUP(Tabla6[[#This Row],[NOMBRE]],'RESUMEN CLIENTES'!A:A,'RESUMEN CLIENTES'!X:X)</f>
        <v>-0.66666666666666663</v>
      </c>
      <c r="F2565" s="72">
        <f>+_xlfn.XLOOKUP(Tabla6[[#This Row],[ID CLIENTE]],'RESUMEN CLIENTES'!D:D,'RESUMEN CLIENTES'!W:W)</f>
        <v>1</v>
      </c>
      <c r="G2565" s="17">
        <f>IF($H2565&lt;&gt;"ALEM","",IFERROR(
  DATE(
    YEAR(EDATE(
      _xlfn.XLOOKUP($A2565,'RESUMEN CLIENTES'!$D:$D,'RESUMEN CLIENTES'!$Y:$Y,""),
      7 + COUNTIFS(
            $A$2:INDEX($A:$A,ROW()), $A2565,
            $H$2:INDEX($H:$H,ROW()), "ALEM"
          )
    )),
    MONTH(EDATE(
      _xlfn.XLOOKUP($A2565,'RESUMEN CLIENTES'!$D:$D,'RESUMEN CLIENTES'!$Y:$Y,""),
      7 + COUNTIFS(
            $A$2:INDEX($A:$A,ROW()), $A2565,
            $H$2:INDEX($H:$H,ROW()), "ALEM"
          )
    )),
    1
  ),
"SIN FECHA MIG"))</f>
        <v>46692</v>
      </c>
      <c r="H2565" s="44" t="s">
        <v>1876</v>
      </c>
      <c r="I2565" s="2">
        <v>800</v>
      </c>
      <c r="J2565"/>
      <c r="K2565"/>
      <c r="L2565" s="44" t="str" cm="1">
        <f t="array" ref="L2565">+_xlfn.IFS(COUNTIF(INGRESOS!E:E,Tabla6[[#This Row],[ID FACTURA]])=1,"PAGADA",Tabla6[[#This Row],[ID FACTURA]]&lt;&gt;0,"EMITIDA",Tabla6[[#This Row],[ID FACTURA]]=0,"POR EMITIR")</f>
        <v>POR EMITIR</v>
      </c>
      <c r="M2565" s="55" t="str">
        <f>+IF(Tabla6[[#This Row],[ESTADO FACTURA]]="PAGADA",Tabla6[[#This Row],[FECHA]]-_xlfn.XLOOKUP(Tabla6[[#This Row],[N° FACTURA]],INGRESOS!F:F,INGRESOS!A:A),"-")</f>
        <v>-</v>
      </c>
      <c r="N2565" s="2"/>
      <c r="O2565"/>
    </row>
    <row r="2566" spans="1:15">
      <c r="A2566" s="320" t="s">
        <v>4509</v>
      </c>
      <c r="B2566" t="str">
        <f>+_xlfn.XLOOKUP(Tabla6[[#This Row],[ID CLIENTE]],'RESUMEN CLIENTES'!D:D,'RESUMEN CLIENTES'!A:A)</f>
        <v>Marisol Madeleine Ibáñez Paredes</v>
      </c>
      <c r="C2566" t="str">
        <f>+_xlfn.XLOOKUP(Tabla6[[#This Row],[ID CLIENTE]],'RESUMEN CLIENTES'!D:D,'RESUMEN CLIENTES'!C:C)</f>
        <v>Ecuador</v>
      </c>
      <c r="D2566" s="169" t="str">
        <f>+_xlfn.XLOOKUP(Tabla6[[#This Row],[ID CLIENTE]],'RESUMEN CLIENTES'!D:D,'RESUMEN CLIENTES'!M:M)</f>
        <v>OK</v>
      </c>
      <c r="E2566" s="71">
        <f>+_xlfn.XLOOKUP(Tabla6[[#This Row],[NOMBRE]],'RESUMEN CLIENTES'!A:A,'RESUMEN CLIENTES'!X:X)</f>
        <v>-3</v>
      </c>
      <c r="F2566" s="71">
        <f>+_xlfn.XLOOKUP(Tabla6[[#This Row],[ID CLIENTE]],'RESUMEN CLIENTES'!D:D,'RESUMEN CLIENTES'!W:W)</f>
        <v>0</v>
      </c>
      <c r="G2566" s="17">
        <f>IF($H2566&lt;&gt;"ALEM","",IFERROR(
  DATE(
    YEAR(EDATE(
      _xlfn.XLOOKUP($A2566,'RESUMEN CLIENTES'!$D:$D,'RESUMEN CLIENTES'!$Y:$Y,""),
      7 + COUNTIFS(
            $A$2:INDEX($A:$A,ROW()), $A2566,
            $H$2:INDEX($H:$H,ROW()), "ALEM"
          )
    )),
    MONTH(EDATE(
      _xlfn.XLOOKUP($A2566,'RESUMEN CLIENTES'!$D:$D,'RESUMEN CLIENTES'!$Y:$Y,""),
      7 + COUNTIFS(
            $A$2:INDEX($A:$A,ROW()), $A2566,
            $H$2:INDEX($H:$H,ROW()), "ALEM"
          )
    )),
    1
  ),
"null"))</f>
        <v>46692</v>
      </c>
      <c r="H2566" s="169" t="s">
        <v>1876</v>
      </c>
      <c r="I2566" s="2">
        <v>900</v>
      </c>
      <c r="J2566"/>
      <c r="K2566"/>
      <c r="L2566" s="44" t="str" cm="1">
        <f t="array" ref="L2566">+_xlfn.IFS(COUNTIF(INGRESOS!E:E,Tabla6[[#This Row],[ID FACTURA]])=1,"PAGADA",Tabla6[[#This Row],[ID FACTURA]]&lt;&gt;0,"EMITIDA",Tabla6[[#This Row],[ID FACTURA]]=0,"POR EMITIR")</f>
        <v>POR EMITIR</v>
      </c>
      <c r="M2566" s="54" t="str">
        <f>+IF(Tabla6[[#This Row],[ESTADO FACTURA]]="PAGADA",Tabla6[[#This Row],[FECHA]]-_xlfn.XLOOKUP(Tabla6[[#This Row],[N° FACTURA]],INGRESOS!F:F,INGRESOS!A:A),"-")</f>
        <v>-</v>
      </c>
      <c r="O2566"/>
    </row>
    <row r="2567" spans="1:15">
      <c r="A2567" s="320" t="s">
        <v>314</v>
      </c>
      <c r="B2567" t="str">
        <f>+_xlfn.XLOOKUP(Tabla6[[#This Row],[ID CLIENTE]],'RESUMEN CLIENTES'!D:D,'RESUMEN CLIENTES'!A:A)</f>
        <v>Miguel Angel Sisalima Shiña</v>
      </c>
      <c r="C2567" t="str">
        <f>+_xlfn.XLOOKUP(Tabla6[[#This Row],[ID CLIENTE]],'RESUMEN CLIENTES'!D:D,'RESUMEN CLIENTES'!C:C)</f>
        <v>Ecuador</v>
      </c>
      <c r="D2567" s="44" t="str">
        <f>+_xlfn.XLOOKUP(Tabla6[[#This Row],[ID CLIENTE]],'RESUMEN CLIENTES'!D:D,'RESUMEN CLIENTES'!M:M)</f>
        <v>OK</v>
      </c>
      <c r="E2567" s="72">
        <f>+_xlfn.XLOOKUP(Tabla6[[#This Row],[NOMBRE]],'RESUMEN CLIENTES'!A:A,'RESUMEN CLIENTES'!X:X)</f>
        <v>0.6</v>
      </c>
      <c r="F2567" s="72">
        <f>+_xlfn.XLOOKUP(Tabla6[[#This Row],[ID CLIENTE]],'RESUMEN CLIENTES'!D:D,'RESUMEN CLIENTES'!W:W)</f>
        <v>0</v>
      </c>
      <c r="G2567" s="17">
        <f>IF($H2567&lt;&gt;"ALEM","",IFERROR(
  DATE(
    YEAR(EDATE(
      _xlfn.XLOOKUP($A2567,'RESUMEN CLIENTES'!$D:$D,'RESUMEN CLIENTES'!$Y:$Y,""),
      7 + COUNTIFS(
            $A$2:INDEX($A:$A,ROW()), $A2567,
            $H$2:INDEX($H:$H,ROW()), "ALEM"
          )
    )),
    MONTH(EDATE(
      _xlfn.XLOOKUP($A2567,'RESUMEN CLIENTES'!$D:$D,'RESUMEN CLIENTES'!$Y:$Y,""),
      7 + COUNTIFS(
            $A$2:INDEX($A:$A,ROW()), $A2567,
            $H$2:INDEX($H:$H,ROW()), "ALEM"
          )
    )),
    1
  ),
"SIN FECHA MIG"))</f>
        <v>46692</v>
      </c>
      <c r="H2567" s="44" t="s">
        <v>1876</v>
      </c>
      <c r="I2567" s="2">
        <v>1000</v>
      </c>
      <c r="J2567"/>
      <c r="K2567"/>
      <c r="L2567" s="44" t="str" cm="1">
        <f t="array" ref="L2567">+_xlfn.IFS(COUNTIF(INGRESOS!E:E,Tabla6[[#This Row],[ID FACTURA]])=1,"PAGADA",Tabla6[[#This Row],[ID FACTURA]]&lt;&gt;0,"EMITIDA",Tabla6[[#This Row],[ID FACTURA]]=0,"POR EMITIR")</f>
        <v>POR EMITIR</v>
      </c>
      <c r="M2567" s="55" t="str">
        <f>+IF(Tabla6[[#This Row],[ESTADO FACTURA]]="PAGADA",Tabla6[[#This Row],[FECHA]]-_xlfn.XLOOKUP(Tabla6[[#This Row],[N° FACTURA]],INGRESOS!F:F,INGRESOS!A:A),"-")</f>
        <v>-</v>
      </c>
      <c r="N2567" s="2"/>
      <c r="O2567"/>
    </row>
    <row r="2568" spans="1:15">
      <c r="A2568" s="320" t="s">
        <v>1658</v>
      </c>
      <c r="B2568" t="str">
        <f>+_xlfn.XLOOKUP(Tabla6[[#This Row],[ID CLIENTE]],'RESUMEN CLIENTES'!D:D,'RESUMEN CLIENTES'!A:A)</f>
        <v>Nadya Sofía García Carrasco</v>
      </c>
      <c r="C2568" t="str">
        <f>+_xlfn.XLOOKUP(Tabla6[[#This Row],[ID CLIENTE]],'RESUMEN CLIENTES'!D:D,'RESUMEN CLIENTES'!C:C)</f>
        <v>Ecuador</v>
      </c>
      <c r="D2568" s="169" t="str">
        <f>+_xlfn.XLOOKUP(Tabla6[[#This Row],[ID CLIENTE]],'RESUMEN CLIENTES'!D:D,'RESUMEN CLIENTES'!M:M)</f>
        <v>OK</v>
      </c>
      <c r="E2568" s="71">
        <f>+_xlfn.XLOOKUP(Tabla6[[#This Row],[NOMBRE]],'RESUMEN CLIENTES'!A:A,'RESUMEN CLIENTES'!X:X)</f>
        <v>0</v>
      </c>
      <c r="F2568" s="71">
        <f>+_xlfn.XLOOKUP(Tabla6[[#This Row],[ID CLIENTE]],'RESUMEN CLIENTES'!D:D,'RESUMEN CLIENTES'!W:W)</f>
        <v>1</v>
      </c>
      <c r="G2568" s="17">
        <f>IF($H2568&lt;&gt;"ALEM","",IFERROR(
  DATE(
    YEAR(EDATE(
      _xlfn.XLOOKUP($A2568,'RESUMEN CLIENTES'!$D:$D,'RESUMEN CLIENTES'!$Y:$Y,""),
      7 + COUNTIFS(
            $A$2:INDEX($A:$A,ROW()), $A2568,
            $H$2:INDEX($H:$H,ROW()), "ALEM"
          )
    )),
    MONTH(EDATE(
      _xlfn.XLOOKUP($A2568,'RESUMEN CLIENTES'!$D:$D,'RESUMEN CLIENTES'!$Y:$Y,""),
      7 + COUNTIFS(
            $A$2:INDEX($A:$A,ROW()), $A2568,
            $H$2:INDEX($H:$H,ROW()), "ALEM"
          )
    )),
    1
  ),
"SIN FECHA MIG"))</f>
        <v>46692</v>
      </c>
      <c r="H2568" s="169" t="s">
        <v>1876</v>
      </c>
      <c r="I2568" s="2">
        <v>800</v>
      </c>
      <c r="J2568"/>
      <c r="K2568"/>
      <c r="L2568" s="44" t="str" cm="1">
        <f t="array" ref="L2568">+_xlfn.IFS(COUNTIF(INGRESOS!E:E,Tabla6[[#This Row],[ID FACTURA]])=1,"PAGADA",Tabla6[[#This Row],[ID FACTURA]]&lt;&gt;0,"EMITIDA",Tabla6[[#This Row],[ID FACTURA]]=0,"POR EMITIR")</f>
        <v>POR EMITIR</v>
      </c>
      <c r="M2568" s="55" t="str">
        <f>+IF(Tabla6[[#This Row],[ESTADO FACTURA]]="PAGADA",Tabla6[[#This Row],[FECHA]]-_xlfn.XLOOKUP(Tabla6[[#This Row],[N° FACTURA]],INGRESOS!F:F,INGRESOS!A:A),"-")</f>
        <v>-</v>
      </c>
      <c r="O2568"/>
    </row>
    <row r="2569" spans="1:15">
      <c r="A2569" s="321" t="s">
        <v>1881</v>
      </c>
      <c r="B2569" t="str">
        <f>+_xlfn.XLOOKUP(Tabla6[[#This Row],[ID CLIENTE]],'RESUMEN CLIENTES'!D:D,'RESUMEN CLIENTES'!A:A)</f>
        <v>Paulina Alejandra Silva Gómez</v>
      </c>
      <c r="C2569" t="str">
        <f>+_xlfn.XLOOKUP(Tabla6[[#This Row],[ID CLIENTE]],'RESUMEN CLIENTES'!D:D,'RESUMEN CLIENTES'!C:C)</f>
        <v>Chile</v>
      </c>
      <c r="D2569" s="169" t="str">
        <f>+_xlfn.XLOOKUP(Tabla6[[#This Row],[ID CLIENTE]],'RESUMEN CLIENTES'!D:D,'RESUMEN CLIENTES'!M:M)</f>
        <v>¡REGULARIZAR!</v>
      </c>
      <c r="E2569" s="71">
        <f>+_xlfn.XLOOKUP(Tabla6[[#This Row],[NOMBRE]],'RESUMEN CLIENTES'!A:A,'RESUMEN CLIENTES'!X:X)</f>
        <v>-6.833333333333333</v>
      </c>
      <c r="F2569" s="71">
        <f>+_xlfn.XLOOKUP(Tabla6[[#This Row],[ID CLIENTE]],'RESUMEN CLIENTES'!D:D,'RESUMEN CLIENTES'!W:W)</f>
        <v>0</v>
      </c>
      <c r="G2569" s="17">
        <f>IF($H2569&lt;&gt;"ALEM","",IFERROR(
  DATE(
    YEAR(EDATE(
      _xlfn.XLOOKUP($A2569,'RESUMEN CLIENTES'!$D:$D,'RESUMEN CLIENTES'!$Y:$Y,""),
      7 + COUNTIFS(
            $A$2:INDEX($A:$A,ROW()), $A2569,
            $H$2:INDEX($H:$H,ROW()), "ALEM"
          )
    )),
    MONTH(EDATE(
      _xlfn.XLOOKUP($A2569,'RESUMEN CLIENTES'!$D:$D,'RESUMEN CLIENTES'!$Y:$Y,""),
      7 + COUNTIFS(
            $A$2:INDEX($A:$A,ROW()), $A2569,
            $H$2:INDEX($H:$H,ROW()), "ALEM"
          )
    )),
    1
  ),
"null"))</f>
        <v>46692</v>
      </c>
      <c r="H2569" s="169" t="s">
        <v>1876</v>
      </c>
      <c r="I2569" s="2">
        <v>800</v>
      </c>
      <c r="J2569"/>
      <c r="K2569"/>
      <c r="L2569" s="44" t="str" cm="1">
        <f t="array" ref="L2569">+_xlfn.IFS(COUNTIF(INGRESOS!E:E,Tabla6[[#This Row],[ID FACTURA]])=1,"PAGADA",Tabla6[[#This Row],[ID FACTURA]]&lt;&gt;0,"EMITIDA",Tabla6[[#This Row],[ID FACTURA]]=0,"POR EMITIR")</f>
        <v>POR EMITIR</v>
      </c>
      <c r="M2569" s="54" t="str">
        <f>+IF(Tabla6[[#This Row],[ESTADO FACTURA]]="PAGADA",Tabla6[[#This Row],[FECHA]]-_xlfn.XLOOKUP(Tabla6[[#This Row],[N° FACTURA]],INGRESOS!F:F,INGRESOS!A:A),"-")</f>
        <v>-</v>
      </c>
      <c r="O2569" t="s">
        <v>2092</v>
      </c>
    </row>
    <row r="2570" spans="1:15">
      <c r="A2570" s="320" t="s">
        <v>994</v>
      </c>
      <c r="B2570" t="str">
        <f>+_xlfn.XLOOKUP(Tabla6[[#This Row],[ID CLIENTE]],'RESUMEN CLIENTES'!D:D,'RESUMEN CLIENTES'!A:A)</f>
        <v>Raúl Ernesto Martínez Orantes</v>
      </c>
      <c r="C2570" t="str">
        <f>+_xlfn.XLOOKUP(Tabla6[[#This Row],[ID CLIENTE]],'RESUMEN CLIENTES'!D:D,'RESUMEN CLIENTES'!C:C)</f>
        <v>El Salvador</v>
      </c>
      <c r="D2570" s="44" t="str">
        <f>+_xlfn.XLOOKUP(Tabla6[[#This Row],[ID CLIENTE]],'RESUMEN CLIENTES'!D:D,'RESUMEN CLIENTES'!M:M)</f>
        <v>OK</v>
      </c>
      <c r="E2570" s="72">
        <f>+_xlfn.XLOOKUP(Tabla6[[#This Row],[NOMBRE]],'RESUMEN CLIENTES'!A:A,'RESUMEN CLIENTES'!X:X)</f>
        <v>1.1428571428571428</v>
      </c>
      <c r="F2570" s="72">
        <f>+_xlfn.XLOOKUP(Tabla6[[#This Row],[ID CLIENTE]],'RESUMEN CLIENTES'!D:D,'RESUMEN CLIENTES'!W:W)</f>
        <v>1</v>
      </c>
      <c r="G2570" s="17">
        <f>IF($H2570&lt;&gt;"ALEM","",IFERROR(
  DATE(
    YEAR(EDATE(
      _xlfn.XLOOKUP($A2570,'RESUMEN CLIENTES'!$D:$D,'RESUMEN CLIENTES'!$Y:$Y,""),
      7 + COUNTIFS(
            $A$2:INDEX($A:$A,ROW()), $A2570,
            $H$2:INDEX($H:$H,ROW()), "ALEM"
          )
    )),
    MONTH(EDATE(
      _xlfn.XLOOKUP($A2570,'RESUMEN CLIENTES'!$D:$D,'RESUMEN CLIENTES'!$Y:$Y,""),
      7 + COUNTIFS(
            $A$2:INDEX($A:$A,ROW()), $A2570,
            $H$2:INDEX($H:$H,ROW()), "ALEM"
          )
    )),
    1
  ),
"SIN FECHA MIG"))</f>
        <v>46692</v>
      </c>
      <c r="H2570" s="44" t="s">
        <v>1876</v>
      </c>
      <c r="I2570" s="2">
        <v>800</v>
      </c>
      <c r="J2570"/>
      <c r="K2570"/>
      <c r="L2570" s="44" t="str" cm="1">
        <f t="array" ref="L2570">+_xlfn.IFS(COUNTIF(INGRESOS!E:E,Tabla6[[#This Row],[ID FACTURA]])=1,"PAGADA",Tabla6[[#This Row],[ID FACTURA]]&lt;&gt;0,"EMITIDA",Tabla6[[#This Row],[ID FACTURA]]=0,"POR EMITIR")</f>
        <v>POR EMITIR</v>
      </c>
      <c r="M2570" s="55" t="str">
        <f>+IF(Tabla6[[#This Row],[ESTADO FACTURA]]="PAGADA",Tabla6[[#This Row],[FECHA]]-_xlfn.XLOOKUP(Tabla6[[#This Row],[N° FACTURA]],INGRESOS!F:F,INGRESOS!A:A),"-")</f>
        <v>-</v>
      </c>
      <c r="N2570" s="2"/>
      <c r="O2570"/>
    </row>
    <row r="2571" spans="1:15">
      <c r="A2571" s="320" t="s">
        <v>1419</v>
      </c>
      <c r="B2571" t="str">
        <f>+_xlfn.XLOOKUP(Tabla6[[#This Row],[ID CLIENTE]],'RESUMEN CLIENTES'!D:D,'RESUMEN CLIENTES'!A:A)</f>
        <v>Rocio Natalia López Núñez</v>
      </c>
      <c r="C2571" t="str">
        <f>+_xlfn.XLOOKUP(Tabla6[[#This Row],[ID CLIENTE]],'RESUMEN CLIENTES'!D:D,'RESUMEN CLIENTES'!C:C)</f>
        <v>Chile</v>
      </c>
      <c r="D2571" s="44" t="str">
        <f>+_xlfn.XLOOKUP(Tabla6[[#This Row],[ID CLIENTE]],'RESUMEN CLIENTES'!D:D,'RESUMEN CLIENTES'!M:M)</f>
        <v>OK</v>
      </c>
      <c r="E2571" s="71">
        <f>+_xlfn.XLOOKUP(Tabla6[[#This Row],[NOMBRE]],'RESUMEN CLIENTES'!A:A,'RESUMEN CLIENTES'!X:X)</f>
        <v>0</v>
      </c>
      <c r="F2571" s="71">
        <f>+_xlfn.XLOOKUP(Tabla6[[#This Row],[ID CLIENTE]],'RESUMEN CLIENTES'!D:D,'RESUMEN CLIENTES'!W:W)</f>
        <v>0</v>
      </c>
      <c r="G2571" s="17">
        <f>IF($H2571&lt;&gt;"ALEM","",IFERROR(
  DATE(
    YEAR(EDATE(
      _xlfn.XLOOKUP($A2571,'RESUMEN CLIENTES'!$D:$D,'RESUMEN CLIENTES'!$Y:$Y,""),
      7 + COUNTIFS(
            $A$2:INDEX($A:$A,ROW()), $A2571,
            $H$2:INDEX($H:$H,ROW()), "ALEM"
          )
    )),
    MONTH(EDATE(
      _xlfn.XLOOKUP($A2571,'RESUMEN CLIENTES'!$D:$D,'RESUMEN CLIENTES'!$Y:$Y,""),
      7 + COUNTIFS(
            $A$2:INDEX($A:$A,ROW()), $A2571,
            $H$2:INDEX($H:$H,ROW()), "ALEM"
          )
    )),
    1
  ),
"SIN FECHA MIG"))</f>
        <v>46692</v>
      </c>
      <c r="H2571" s="169" t="s">
        <v>1876</v>
      </c>
      <c r="I2571" s="2">
        <v>800</v>
      </c>
      <c r="J2571"/>
      <c r="K2571"/>
      <c r="L2571" s="44" t="str" cm="1">
        <f t="array" ref="L2571">+_xlfn.IFS(COUNTIF(INGRESOS!E:E,Tabla6[[#This Row],[ID FACTURA]])=1,"PAGADA",Tabla6[[#This Row],[ID FACTURA]]&lt;&gt;0,"EMITIDA",Tabla6[[#This Row],[ID FACTURA]]=0,"POR EMITIR")</f>
        <v>POR EMITIR</v>
      </c>
      <c r="M2571" s="55" t="str">
        <f>+IF(Tabla6[[#This Row],[ESTADO FACTURA]]="PAGADA",Tabla6[[#This Row],[FECHA]]-_xlfn.XLOOKUP(Tabla6[[#This Row],[N° FACTURA]],INGRESOS!F:F,INGRESOS!A:A),"-")</f>
        <v>-</v>
      </c>
      <c r="N2571" s="2"/>
      <c r="O2571"/>
    </row>
    <row r="2572" spans="1:15">
      <c r="A2572" s="320" t="s">
        <v>6696</v>
      </c>
      <c r="B2572" t="str">
        <f>+_xlfn.XLOOKUP(Tabla6[[#This Row],[ID CLIENTE]],'RESUMEN CLIENTES'!D:D,'RESUMEN CLIENTES'!A:A)</f>
        <v>Stiben Lopez Vargas</v>
      </c>
      <c r="C2572" s="15" t="str">
        <f>+_xlfn.XLOOKUP(Tabla6[[#This Row],[ID CLIENTE]],'RESUMEN CLIENTES'!D:D,'RESUMEN CLIENTES'!C:C)</f>
        <v>Colombia</v>
      </c>
      <c r="D2572" s="169" t="str">
        <f>+_xlfn.XLOOKUP(Tabla6[[#This Row],[ID CLIENTE]],'RESUMEN CLIENTES'!D:D,'RESUMEN CLIENTES'!M:M)</f>
        <v xml:space="preserve">TRASPASAR </v>
      </c>
      <c r="E2572" s="71">
        <f>+_xlfn.XLOOKUP(Tabla6[[#This Row],[NOMBRE]],'RESUMEN CLIENTES'!A:A,'RESUMEN CLIENTES'!X:X)</f>
        <v>58</v>
      </c>
      <c r="F2572" s="71">
        <f>+_xlfn.XLOOKUP(Tabla6[[#This Row],[ID CLIENTE]],'RESUMEN CLIENTES'!D:D,'RESUMEN CLIENTES'!W:W)</f>
        <v>0</v>
      </c>
      <c r="G2572" s="17">
        <f>IF($H2572&lt;&gt;"ALEM","",IFERROR(
  DATE(
    YEAR(EDATE(
      _xlfn.XLOOKUP($A2572,'RESUMEN CLIENTES'!$D:$D,'RESUMEN CLIENTES'!$Y:$Y,""),
      7 + COUNTIFS(
            $A$2:INDEX($A:$A,ROW()), $A2572,
            $H$2:INDEX($H:$H,ROW()), "ALEM"
          )
    )),
    MONTH(EDATE(
      _xlfn.XLOOKUP($A2572,'RESUMEN CLIENTES'!$D:$D,'RESUMEN CLIENTES'!$Y:$Y,""),
      7 + COUNTIFS(
            $A$2:INDEX($A:$A,ROW()), $A2572,
            $H$2:INDEX($H:$H,ROW()), "ALEM"
          )
    )),
    1
  ),
"null"))</f>
        <v>46692</v>
      </c>
      <c r="H2572" s="169" t="s">
        <v>1876</v>
      </c>
      <c r="I2572" s="2">
        <v>1000</v>
      </c>
      <c r="J2572"/>
      <c r="K2572"/>
      <c r="L2572" s="44" t="str" cm="1">
        <f t="array" ref="L2572">+_xlfn.IFS(COUNTIF(INGRESOS!E:E,Tabla6[[#This Row],[ID FACTURA]])=1,"PAGADA",Tabla6[[#This Row],[ID FACTURA]]&lt;&gt;0,"EMITIDA",Tabla6[[#This Row],[ID FACTURA]]=0,"POR EMITIR")</f>
        <v>POR EMITIR</v>
      </c>
      <c r="M2572" s="54" t="str">
        <f>+IF(Tabla6[[#This Row],[ESTADO FACTURA]]="PAGADA",Tabla6[[#This Row],[FECHA]]-_xlfn.XLOOKUP(Tabla6[[#This Row],[N° FACTURA]],INGRESOS!F:F,INGRESOS!A:A),"-")</f>
        <v>-</v>
      </c>
      <c r="O2572"/>
    </row>
    <row r="2573" spans="1:15">
      <c r="A2573" s="320" t="s">
        <v>2521</v>
      </c>
      <c r="B2573" t="str">
        <f>+_xlfn.XLOOKUP(Tabla6[[#This Row],[ID CLIENTE]],'RESUMEN CLIENTES'!D:D,'RESUMEN CLIENTES'!A:A)</f>
        <v>Fabián Andrés Sarmiento Auli</v>
      </c>
      <c r="C2573" t="str">
        <f>+_xlfn.XLOOKUP(Tabla6[[#This Row],[ID CLIENTE]],'RESUMEN CLIENTES'!D:D,'RESUMEN CLIENTES'!C:C)</f>
        <v>Colombia</v>
      </c>
      <c r="D2573" s="169" t="str">
        <f>+_xlfn.XLOOKUP(Tabla6[[#This Row],[ID CLIENTE]],'RESUMEN CLIENTES'!D:D,'RESUMEN CLIENTES'!M:M)</f>
        <v>OK</v>
      </c>
      <c r="E2573" s="71">
        <f>+_xlfn.XLOOKUP(Tabla6[[#This Row],[NOMBRE]],'RESUMEN CLIENTES'!A:A,'RESUMEN CLIENTES'!X:X)</f>
        <v>0</v>
      </c>
      <c r="F2573" s="71">
        <f>+_xlfn.XLOOKUP(Tabla6[[#This Row],[ID CLIENTE]],'RESUMEN CLIENTES'!D:D,'RESUMEN CLIENTES'!W:W)</f>
        <v>0</v>
      </c>
      <c r="G2573" s="17">
        <v>46696</v>
      </c>
      <c r="H2573" s="169" t="s">
        <v>81</v>
      </c>
      <c r="I2573" s="2">
        <v>650</v>
      </c>
      <c r="J2573"/>
      <c r="K2573"/>
      <c r="L2573" s="44" t="str" cm="1">
        <f t="array" ref="L2573">+_xlfn.IFS(COUNTIF(INGRESOS!E:E,Tabla6[[#This Row],[ID FACTURA]])=1,"PAGADA",Tabla6[[#This Row],[ID FACTURA]]&lt;&gt;0,"EMITIDA",Tabla6[[#This Row],[ID FACTURA]]=0,"POR EMITIR")</f>
        <v>POR EMITIR</v>
      </c>
      <c r="M2573" s="54" t="str">
        <f>+IF(Tabla6[[#This Row],[ESTADO FACTURA]]="PAGADA",Tabla6[[#This Row],[FECHA]]-_xlfn.XLOOKUP(Tabla6[[#This Row],[N° FACTURA]],INGRESOS!F:F,INGRESOS!A:A),"-")</f>
        <v>-</v>
      </c>
      <c r="O2573"/>
    </row>
    <row r="2574" spans="1:15">
      <c r="A2574" s="320" t="s">
        <v>1416</v>
      </c>
      <c r="B2574" t="str">
        <f>+_xlfn.XLOOKUP(Tabla6[[#This Row],[ID CLIENTE]],'RESUMEN CLIENTES'!D:D,'RESUMEN CLIENTES'!A:A)</f>
        <v>Luis Armando Calderon Manzanera</v>
      </c>
      <c r="C2574" t="str">
        <f>+_xlfn.XLOOKUP(Tabla6[[#This Row],[ID CLIENTE]],'RESUMEN CLIENTES'!D:D,'RESUMEN CLIENTES'!C:C)</f>
        <v>México</v>
      </c>
      <c r="D2574" s="44" t="str">
        <f>+_xlfn.XLOOKUP(Tabla6[[#This Row],[ID CLIENTE]],'RESUMEN CLIENTES'!D:D,'RESUMEN CLIENTES'!M:M)</f>
        <v>OK</v>
      </c>
      <c r="E2574" s="71">
        <f>+_xlfn.XLOOKUP(Tabla6[[#This Row],[NOMBRE]],'RESUMEN CLIENTES'!A:A,'RESUMEN CLIENTES'!X:X)</f>
        <v>2</v>
      </c>
      <c r="F2574" s="71">
        <f>+_xlfn.XLOOKUP(Tabla6[[#This Row],[ID CLIENTE]],'RESUMEN CLIENTES'!D:D,'RESUMEN CLIENTES'!W:W)</f>
        <v>1</v>
      </c>
      <c r="G2574" s="17">
        <v>46696</v>
      </c>
      <c r="H2574" s="44" t="s">
        <v>81</v>
      </c>
      <c r="I2574" s="2">
        <v>650</v>
      </c>
      <c r="J2574"/>
      <c r="K2574"/>
      <c r="L2574" s="44" t="str" cm="1">
        <f t="array" ref="L2574">+_xlfn.IFS(COUNTIF(INGRESOS!E:E,Tabla6[[#This Row],[ID FACTURA]])=1,"PAGADA",Tabla6[[#This Row],[ID FACTURA]]&lt;&gt;0,"EMITIDA",Tabla6[[#This Row],[ID FACTURA]]=0,"POR EMITIR")</f>
        <v>POR EMITIR</v>
      </c>
      <c r="M2574" s="55" t="str">
        <f>+IF(Tabla6[[#This Row],[ESTADO FACTURA]]="PAGADA",Tabla6[[#This Row],[FECHA]]-_xlfn.XLOOKUP(Tabla6[[#This Row],[N° FACTURA]],INGRESOS!F:F,INGRESOS!A:A),"-")</f>
        <v>-</v>
      </c>
      <c r="N2574" s="2"/>
      <c r="O2574"/>
    </row>
    <row r="2575" spans="1:15">
      <c r="A2575" s="320" t="s">
        <v>1945</v>
      </c>
      <c r="B2575" t="str">
        <f>+_xlfn.XLOOKUP(Tabla6[[#This Row],[ID CLIENTE]],'RESUMEN CLIENTES'!D:D,'RESUMEN CLIENTES'!A:A)</f>
        <v>Fernanda Constanza Kompai Antu Arellano Guzmán</v>
      </c>
      <c r="C2575" t="str">
        <f>+_xlfn.XLOOKUP(Tabla6[[#This Row],[ID CLIENTE]],'RESUMEN CLIENTES'!D:D,'RESUMEN CLIENTES'!C:C)</f>
        <v>Chile</v>
      </c>
      <c r="D2575" s="169" t="str">
        <f>+_xlfn.XLOOKUP(Tabla6[[#This Row],[ID CLIENTE]],'RESUMEN CLIENTES'!D:D,'RESUMEN CLIENTES'!M:M)</f>
        <v>OK</v>
      </c>
      <c r="E2575" s="71">
        <f>+_xlfn.XLOOKUP(Tabla6[[#This Row],[NOMBRE]],'RESUMEN CLIENTES'!A:A,'RESUMEN CLIENTES'!X:X)</f>
        <v>0</v>
      </c>
      <c r="F2575" s="71">
        <f>+_xlfn.XLOOKUP(Tabla6[[#This Row],[ID CLIENTE]],'RESUMEN CLIENTES'!D:D,'RESUMEN CLIENTES'!W:W)</f>
        <v>0</v>
      </c>
      <c r="G2575" s="170">
        <v>46706</v>
      </c>
      <c r="H2575" s="170" t="s">
        <v>81</v>
      </c>
      <c r="I2575" s="2">
        <v>650</v>
      </c>
      <c r="J2575"/>
      <c r="K2575"/>
      <c r="L2575" s="44" t="str" cm="1">
        <f t="array" ref="L2575">+_xlfn.IFS(COUNTIF(INGRESOS!E:E,Tabla6[[#This Row],[ID FACTURA]])=1,"PAGADA",Tabla6[[#This Row],[ID FACTURA]]&lt;&gt;0,"EMITIDA",Tabla6[[#This Row],[ID FACTURA]]=0,"POR EMITIR")</f>
        <v>POR EMITIR</v>
      </c>
      <c r="M2575" s="54" t="str">
        <f>+IF(Tabla6[[#This Row],[ESTADO FACTURA]]="PAGADA",Tabla6[[#This Row],[FECHA]]-_xlfn.XLOOKUP(Tabla6[[#This Row],[N° FACTURA]],INGRESOS!F:F,INGRESOS!A:A),"-")</f>
        <v>-</v>
      </c>
      <c r="O2575"/>
    </row>
    <row r="2576" spans="1:15">
      <c r="A2576" s="321" t="s">
        <v>1756</v>
      </c>
      <c r="B2576" t="str">
        <f>+_xlfn.XLOOKUP(Tabla6[[#This Row],[ID CLIENTE]],'RESUMEN CLIENTES'!D:D,'RESUMEN CLIENTES'!A:A)</f>
        <v>Aylin Micaela Ortiz Chiriboga</v>
      </c>
      <c r="C2576" t="str">
        <f>+_xlfn.XLOOKUP(Tabla6[[#This Row],[ID CLIENTE]],'RESUMEN CLIENTES'!D:D,'RESUMEN CLIENTES'!C:C)</f>
        <v>Ecuador</v>
      </c>
      <c r="D2576" s="169" t="str">
        <f>+_xlfn.XLOOKUP(Tabla6[[#This Row],[ID CLIENTE]],'RESUMEN CLIENTES'!D:D,'RESUMEN CLIENTES'!M:M)</f>
        <v>¡REGULARIZAR!</v>
      </c>
      <c r="E2576" s="71">
        <f>+_xlfn.XLOOKUP(Tabla6[[#This Row],[NOMBRE]],'RESUMEN CLIENTES'!A:A,'RESUMEN CLIENTES'!X:X)</f>
        <v>0</v>
      </c>
      <c r="F2576" s="71">
        <f>+_xlfn.XLOOKUP(Tabla6[[#This Row],[ID CLIENTE]],'RESUMEN CLIENTES'!D:D,'RESUMEN CLIENTES'!W:W)</f>
        <v>1</v>
      </c>
      <c r="G2576" s="170">
        <v>46707</v>
      </c>
      <c r="H2576" s="169" t="s">
        <v>81</v>
      </c>
      <c r="I2576" s="2">
        <v>650</v>
      </c>
      <c r="J2576"/>
      <c r="K2576"/>
      <c r="L2576" s="44" t="str" cm="1">
        <f t="array" ref="L2576">+_xlfn.IFS(COUNTIF(INGRESOS!E:E,Tabla6[[#This Row],[ID FACTURA]])=1,"PAGADA",Tabla6[[#This Row],[ID FACTURA]]&lt;&gt;0,"EMITIDA",Tabla6[[#This Row],[ID FACTURA]]=0,"POR EMITIR")</f>
        <v>POR EMITIR</v>
      </c>
      <c r="M2576" s="54" t="str">
        <f>+IF(Tabla6[[#This Row],[ESTADO FACTURA]]="PAGADA",Tabla6[[#This Row],[FECHA]]-_xlfn.XLOOKUP(Tabla6[[#This Row],[N° FACTURA]],INGRESOS!F:F,INGRESOS!A:A),"-")</f>
        <v>-</v>
      </c>
      <c r="O2576"/>
    </row>
    <row r="2577" spans="1:15">
      <c r="A2577" s="320" t="s">
        <v>2046</v>
      </c>
      <c r="B2577" t="str">
        <f>+_xlfn.XLOOKUP(Tabla6[[#This Row],[ID CLIENTE]],'RESUMEN CLIENTES'!D:D,'RESUMEN CLIENTES'!A:A)</f>
        <v>Jesica Daniela Paredes Mendoza</v>
      </c>
      <c r="C2577" t="str">
        <f>+_xlfn.XLOOKUP(Tabla6[[#This Row],[ID CLIENTE]],'RESUMEN CLIENTES'!D:D,'RESUMEN CLIENTES'!C:C)</f>
        <v>México</v>
      </c>
      <c r="D2577" s="169" t="str">
        <f>+_xlfn.XLOOKUP(Tabla6[[#This Row],[ID CLIENTE]],'RESUMEN CLIENTES'!D:D,'RESUMEN CLIENTES'!M:M)</f>
        <v>OK</v>
      </c>
      <c r="E2577" s="71">
        <f>+_xlfn.XLOOKUP(Tabla6[[#This Row],[NOMBRE]],'RESUMEN CLIENTES'!A:A,'RESUMEN CLIENTES'!X:X)</f>
        <v>-2.75</v>
      </c>
      <c r="F2577" s="71">
        <f>+_xlfn.XLOOKUP(Tabla6[[#This Row],[ID CLIENTE]],'RESUMEN CLIENTES'!D:D,'RESUMEN CLIENTES'!W:W)</f>
        <v>1</v>
      </c>
      <c r="G2577" s="17">
        <v>46707</v>
      </c>
      <c r="H2577" s="169" t="s">
        <v>81</v>
      </c>
      <c r="I2577" s="2">
        <v>500</v>
      </c>
      <c r="J2577"/>
      <c r="K2577"/>
      <c r="L2577" s="44" t="str" cm="1">
        <f t="array" ref="L2577">+_xlfn.IFS(COUNTIF(INGRESOS!E:E,Tabla6[[#This Row],[ID FACTURA]])=1,"PAGADA",Tabla6[[#This Row],[ID FACTURA]]&lt;&gt;0,"EMITIDA",Tabla6[[#This Row],[ID FACTURA]]=0,"POR EMITIR")</f>
        <v>POR EMITIR</v>
      </c>
      <c r="M2577" s="54" t="str">
        <f>+IF(Tabla6[[#This Row],[ESTADO FACTURA]]="PAGADA",Tabla6[[#This Row],[FECHA]]-_xlfn.XLOOKUP(Tabla6[[#This Row],[N° FACTURA]],INGRESOS!F:F,INGRESOS!A:A),"-")</f>
        <v>-</v>
      </c>
      <c r="O2577"/>
    </row>
    <row r="2578" spans="1:15">
      <c r="A2578" s="320" t="s">
        <v>139</v>
      </c>
      <c r="B2578" t="str">
        <f>+_xlfn.XLOOKUP(Tabla6[[#This Row],[ID CLIENTE]],'RESUMEN CLIENTES'!D:D,'RESUMEN CLIENTES'!A:A)</f>
        <v>Hugo Nicolás Trávez Morales</v>
      </c>
      <c r="C2578" t="str">
        <f>+_xlfn.XLOOKUP(Tabla6[[#This Row],[ID CLIENTE]],'RESUMEN CLIENTES'!D:D,'RESUMEN CLIENTES'!C:C)</f>
        <v>Ecuador</v>
      </c>
      <c r="D2578" s="169" t="str">
        <f>+_xlfn.XLOOKUP(Tabla6[[#This Row],[ID CLIENTE]],'RESUMEN CLIENTES'!D:D,'RESUMEN CLIENTES'!M:M)</f>
        <v>OK</v>
      </c>
      <c r="E2578" s="71">
        <f>+_xlfn.XLOOKUP(Tabla6[[#This Row],[NOMBRE]],'RESUMEN CLIENTES'!A:A,'RESUMEN CLIENTES'!X:X)</f>
        <v>0</v>
      </c>
      <c r="F2578" s="71">
        <f>+_xlfn.XLOOKUP(Tabla6[[#This Row],[ID CLIENTE]],'RESUMEN CLIENTES'!D:D,'RESUMEN CLIENTES'!W:W)</f>
        <v>0</v>
      </c>
      <c r="G2578" s="17">
        <v>46721</v>
      </c>
      <c r="H2578" s="44" t="s">
        <v>81</v>
      </c>
      <c r="I2578" s="2">
        <v>1000</v>
      </c>
      <c r="J2578"/>
      <c r="K2578"/>
      <c r="L2578" s="44" t="str" cm="1">
        <f t="array" ref="L2578">+_xlfn.IFS(COUNTIF(INGRESOS!E:E,Tabla6[[#This Row],[ID FACTURA]])=1,"PAGADA",Tabla6[[#This Row],[ID FACTURA]]&lt;&gt;0,"EMITIDA",Tabla6[[#This Row],[ID FACTURA]]=0,"POR EMITIR")</f>
        <v>POR EMITIR</v>
      </c>
      <c r="M2578" s="54" t="str">
        <f>+IF(Tabla6[[#This Row],[ESTADO FACTURA]]="PAGADA",Tabla6[[#This Row],[FECHA]]-_xlfn.XLOOKUP(Tabla6[[#This Row],[N° FACTURA]],INGRESOS!F:F,INGRESOS!A:A),"-")</f>
        <v>-</v>
      </c>
      <c r="O2578"/>
    </row>
    <row r="2579" spans="1:15">
      <c r="A2579" s="320" t="s">
        <v>527</v>
      </c>
      <c r="B2579" t="str">
        <f>+_xlfn.XLOOKUP(Tabla6[[#This Row],[ID CLIENTE]],'RESUMEN CLIENTES'!D:D,'RESUMEN CLIENTES'!A:A)</f>
        <v>Angie Pérez Cáceres</v>
      </c>
      <c r="C2579" t="str">
        <f>+_xlfn.XLOOKUP(Tabla6[[#This Row],[ID CLIENTE]],'RESUMEN CLIENTES'!D:D,'RESUMEN CLIENTES'!C:C)</f>
        <v>Perú</v>
      </c>
      <c r="D2579" s="44" t="str">
        <f>+_xlfn.XLOOKUP(Tabla6[[#This Row],[ID CLIENTE]],'RESUMEN CLIENTES'!D:D,'RESUMEN CLIENTES'!M:M)</f>
        <v>OK</v>
      </c>
      <c r="E2579" s="72">
        <f>+_xlfn.XLOOKUP(Tabla6[[#This Row],[NOMBRE]],'RESUMEN CLIENTES'!A:A,'RESUMEN CLIENTES'!X:X)</f>
        <v>1.625</v>
      </c>
      <c r="F2579" s="72">
        <f>+_xlfn.XLOOKUP(Tabla6[[#This Row],[ID CLIENTE]],'RESUMEN CLIENTES'!D:D,'RESUMEN CLIENTES'!W:W)</f>
        <v>0</v>
      </c>
      <c r="G2579" s="17">
        <f>IF($H2579&lt;&gt;"ALEM","",IFERROR(
  DATE(
    YEAR(EDATE(
      _xlfn.XLOOKUP($A2579,'RESUMEN CLIENTES'!$D:$D,'RESUMEN CLIENTES'!$Y:$Y,""),
      7 + COUNTIFS(
            $A$2:INDEX($A:$A,ROW()), $A2579,
            $H$2:INDEX($H:$H,ROW()), "ALEM"
          )
    )),
    MONTH(EDATE(
      _xlfn.XLOOKUP($A2579,'RESUMEN CLIENTES'!$D:$D,'RESUMEN CLIENTES'!$Y:$Y,""),
      7 + COUNTIFS(
            $A$2:INDEX($A:$A,ROW()), $A2579,
            $H$2:INDEX($H:$H,ROW()), "ALEM"
          )
    )),
    1
  ),
"SIN FECHA MIG"))</f>
        <v>46722</v>
      </c>
      <c r="H2579" s="44" t="s">
        <v>1876</v>
      </c>
      <c r="I2579" s="2">
        <v>1000</v>
      </c>
      <c r="J2579"/>
      <c r="K2579"/>
      <c r="L2579" s="44" t="str" cm="1">
        <f t="array" ref="L2579">+_xlfn.IFS(COUNTIF(INGRESOS!E:E,Tabla6[[#This Row],[ID FACTURA]])=1,"PAGADA",Tabla6[[#This Row],[ID FACTURA]]&lt;&gt;0,"EMITIDA",Tabla6[[#This Row],[ID FACTURA]]=0,"POR EMITIR")</f>
        <v>POR EMITIR</v>
      </c>
      <c r="M2579" s="55" t="str">
        <f>+IF(Tabla6[[#This Row],[ESTADO FACTURA]]="PAGADA",Tabla6[[#This Row],[FECHA]]-_xlfn.XLOOKUP(Tabla6[[#This Row],[N° FACTURA]],INGRESOS!F:F,INGRESOS!A:A),"-")</f>
        <v>-</v>
      </c>
      <c r="N2579" s="2"/>
      <c r="O2579" t="s">
        <v>2084</v>
      </c>
    </row>
    <row r="2580" spans="1:15">
      <c r="A2580" s="320" t="s">
        <v>6035</v>
      </c>
      <c r="B2580" t="str">
        <f>+_xlfn.XLOOKUP(Tabla6[[#This Row],[ID CLIENTE]],'RESUMEN CLIENTES'!D:D,'RESUMEN CLIENTES'!A:A)</f>
        <v>Ari Sifuentes Becerra</v>
      </c>
      <c r="C2580" s="15" t="str">
        <f>+_xlfn.XLOOKUP(Tabla6[[#This Row],[ID CLIENTE]],'RESUMEN CLIENTES'!D:D,'RESUMEN CLIENTES'!C:C)</f>
        <v>México</v>
      </c>
      <c r="D2580" s="169" t="str">
        <f>+_xlfn.XLOOKUP(Tabla6[[#This Row],[ID CLIENTE]],'RESUMEN CLIENTES'!D:D,'RESUMEN CLIENTES'!M:M)</f>
        <v>OK</v>
      </c>
      <c r="E2580" s="71">
        <f>+_xlfn.XLOOKUP(Tabla6[[#This Row],[NOMBRE]],'RESUMEN CLIENTES'!A:A,'RESUMEN CLIENTES'!X:X)</f>
        <v>-1</v>
      </c>
      <c r="F2580" s="71">
        <f>+_xlfn.XLOOKUP(Tabla6[[#This Row],[ID CLIENTE]],'RESUMEN CLIENTES'!D:D,'RESUMEN CLIENTES'!W:W)</f>
        <v>0</v>
      </c>
      <c r="G2580" s="17">
        <v>46722</v>
      </c>
      <c r="H2580" s="169" t="s">
        <v>1876</v>
      </c>
      <c r="I2580" s="2">
        <v>800</v>
      </c>
      <c r="J2580"/>
      <c r="K2580"/>
      <c r="L2580" s="44" t="str" cm="1">
        <f t="array" ref="L2580">+_xlfn.IFS(COUNTIF(INGRESOS!E:E,Tabla6[[#This Row],[ID FACTURA]])=1,"PAGADA",Tabla6[[#This Row],[ID FACTURA]]&lt;&gt;0,"EMITIDA",Tabla6[[#This Row],[ID FACTURA]]=0,"POR EMITIR")</f>
        <v>POR EMITIR</v>
      </c>
      <c r="M2580" s="54" t="str">
        <f>+IF(Tabla6[[#This Row],[ESTADO FACTURA]]="PAGADA",Tabla6[[#This Row],[FECHA]]-_xlfn.XLOOKUP(Tabla6[[#This Row],[N° FACTURA]],INGRESOS!F:F,INGRESOS!A:A),"-")</f>
        <v>-</v>
      </c>
      <c r="O2580"/>
    </row>
    <row r="2581" spans="1:15">
      <c r="A2581" s="321" t="s">
        <v>1870</v>
      </c>
      <c r="B2581" t="str">
        <f>+_xlfn.XLOOKUP(Tabla6[[#This Row],[ID CLIENTE]],'RESUMEN CLIENTES'!D:D,'RESUMEN CLIENTES'!A:A)</f>
        <v>Berenisse Shadia Yarango Garay</v>
      </c>
      <c r="C2581" t="str">
        <f>+_xlfn.XLOOKUP(Tabla6[[#This Row],[ID CLIENTE]],'RESUMEN CLIENTES'!D:D,'RESUMEN CLIENTES'!C:C)</f>
        <v>Perú</v>
      </c>
      <c r="D2581" s="169" t="str">
        <f>+_xlfn.XLOOKUP(Tabla6[[#This Row],[ID CLIENTE]],'RESUMEN CLIENTES'!D:D,'RESUMEN CLIENTES'!M:M)</f>
        <v>OK</v>
      </c>
      <c r="E2581" s="71">
        <f>+_xlfn.XLOOKUP(Tabla6[[#This Row],[NOMBRE]],'RESUMEN CLIENTES'!A:A,'RESUMEN CLIENTES'!X:X)</f>
        <v>-0.33333333333333331</v>
      </c>
      <c r="F2581" s="71">
        <f>+_xlfn.XLOOKUP(Tabla6[[#This Row],[ID CLIENTE]],'RESUMEN CLIENTES'!D:D,'RESUMEN CLIENTES'!W:W)</f>
        <v>0</v>
      </c>
      <c r="G2581" s="17">
        <f>IF($H2581&lt;&gt;"ALEM","",IFERROR(
  DATE(
    YEAR(EDATE(
      _xlfn.XLOOKUP($A2581,'RESUMEN CLIENTES'!$D:$D,'RESUMEN CLIENTES'!$Y:$Y,""),
      7 + COUNTIFS(
            $A$2:INDEX($A:$A,ROW()), $A2581,
            $H$2:INDEX($H:$H,ROW()), "ALEM"
          )
    )),
    MONTH(EDATE(
      _xlfn.XLOOKUP($A2581,'RESUMEN CLIENTES'!$D:$D,'RESUMEN CLIENTES'!$Y:$Y,""),
      7 + COUNTIFS(
            $A$2:INDEX($A:$A,ROW()), $A2581,
            $H$2:INDEX($H:$H,ROW()), "ALEM"
          )
    )),
    1
  ),
"null"))</f>
        <v>46722</v>
      </c>
      <c r="H2581" s="169" t="s">
        <v>1876</v>
      </c>
      <c r="I2581" s="2">
        <v>800</v>
      </c>
      <c r="J2581"/>
      <c r="K2581"/>
      <c r="L2581" s="44" t="str" cm="1">
        <f t="array" ref="L2581">+_xlfn.IFS(COUNTIF(INGRESOS!E:E,Tabla6[[#This Row],[ID FACTURA]])=1,"PAGADA",Tabla6[[#This Row],[ID FACTURA]]&lt;&gt;0,"EMITIDA",Tabla6[[#This Row],[ID FACTURA]]=0,"POR EMITIR")</f>
        <v>POR EMITIR</v>
      </c>
      <c r="M2581" s="54" t="str">
        <f>+IF(Tabla6[[#This Row],[ESTADO FACTURA]]="PAGADA",Tabla6[[#This Row],[FECHA]]-_xlfn.XLOOKUP(Tabla6[[#This Row],[N° FACTURA]],INGRESOS!F:F,INGRESOS!A:A),"-")</f>
        <v>-</v>
      </c>
      <c r="O2581"/>
    </row>
    <row r="2582" spans="1:15">
      <c r="A2582" s="320" t="s">
        <v>184</v>
      </c>
      <c r="B2582" t="str">
        <f>+_xlfn.XLOOKUP(Tabla6[[#This Row],[ID CLIENTE]],'RESUMEN CLIENTES'!D:D,'RESUMEN CLIENTES'!A:A)</f>
        <v>Boris Andrés Silva Véliz</v>
      </c>
      <c r="C2582" t="str">
        <f>+_xlfn.XLOOKUP(Tabla6[[#This Row],[ID CLIENTE]],'RESUMEN CLIENTES'!D:D,'RESUMEN CLIENTES'!C:C)</f>
        <v>Chile</v>
      </c>
      <c r="D2582" s="44" t="str">
        <f>+_xlfn.XLOOKUP(Tabla6[[#This Row],[ID CLIENTE]],'RESUMEN CLIENTES'!D:D,'RESUMEN CLIENTES'!M:M)</f>
        <v>OK</v>
      </c>
      <c r="E2582" s="72">
        <f>+_xlfn.XLOOKUP(Tabla6[[#This Row],[NOMBRE]],'RESUMEN CLIENTES'!A:A,'RESUMEN CLIENTES'!X:X)</f>
        <v>2.1111111111111112</v>
      </c>
      <c r="F2582" s="72">
        <f>+_xlfn.XLOOKUP(Tabla6[[#This Row],[ID CLIENTE]],'RESUMEN CLIENTES'!D:D,'RESUMEN CLIENTES'!W:W)</f>
        <v>0</v>
      </c>
      <c r="G2582" s="17">
        <f>IF($H2582&lt;&gt;"ALEM","",IFERROR(
  DATE(
    YEAR(EDATE(
      _xlfn.XLOOKUP($A2582,'RESUMEN CLIENTES'!$D:$D,'RESUMEN CLIENTES'!$Y:$Y,""),
      7 + COUNTIFS(
            $A$2:INDEX($A:$A,ROW()), $A2582,
            $H$2:INDEX($H:$H,ROW()), "ALEM"
          )
    )),
    MONTH(EDATE(
      _xlfn.XLOOKUP($A2582,'RESUMEN CLIENTES'!$D:$D,'RESUMEN CLIENTES'!$Y:$Y,""),
      7 + COUNTIFS(
            $A$2:INDEX($A:$A,ROW()), $A2582,
            $H$2:INDEX($H:$H,ROW()), "ALEM"
          )
    )),
    1
  ),
"SIN FECHA MIG"))</f>
        <v>46722</v>
      </c>
      <c r="H2582" s="44" t="s">
        <v>1876</v>
      </c>
      <c r="I2582" s="2">
        <v>458</v>
      </c>
      <c r="J2582"/>
      <c r="K2582"/>
      <c r="L2582" s="44" t="str" cm="1">
        <f t="array" ref="L2582">+_xlfn.IFS(COUNTIF(INGRESOS!E:E,Tabla6[[#This Row],[ID FACTURA]])=1,"PAGADA",Tabla6[[#This Row],[ID FACTURA]]&lt;&gt;0,"EMITIDA",Tabla6[[#This Row],[ID FACTURA]]=0,"POR EMITIR")</f>
        <v>POR EMITIR</v>
      </c>
      <c r="M2582" s="55" t="str">
        <f>+IF(Tabla6[[#This Row],[ESTADO FACTURA]]="PAGADA",Tabla6[[#This Row],[FECHA]]-_xlfn.XLOOKUP(Tabla6[[#This Row],[N° FACTURA]],INGRESOS!F:F,INGRESOS!A:A),"-")</f>
        <v>-</v>
      </c>
      <c r="N2582" s="2"/>
      <c r="O2582"/>
    </row>
    <row r="2583" spans="1:15">
      <c r="A2583" s="320" t="s">
        <v>4768</v>
      </c>
      <c r="B2583" t="str">
        <f>+_xlfn.XLOOKUP(Tabla6[[#This Row],[ID CLIENTE]],'RESUMEN CLIENTES'!D:D,'RESUMEN CLIENTES'!A:A)</f>
        <v>Carla Elena Patínez Rondón</v>
      </c>
      <c r="C2583" s="15" t="str">
        <f>+_xlfn.XLOOKUP(Tabla6[[#This Row],[ID CLIENTE]],'RESUMEN CLIENTES'!D:D,'RESUMEN CLIENTES'!C:C)</f>
        <v>Venezuela</v>
      </c>
      <c r="D2583" s="169" t="str">
        <f>+_xlfn.XLOOKUP(Tabla6[[#This Row],[ID CLIENTE]],'RESUMEN CLIENTES'!D:D,'RESUMEN CLIENTES'!M:M)</f>
        <v>OK</v>
      </c>
      <c r="E2583" s="71">
        <f>+_xlfn.XLOOKUP(Tabla6[[#This Row],[NOMBRE]],'RESUMEN CLIENTES'!A:A,'RESUMEN CLIENTES'!X:X)</f>
        <v>-9</v>
      </c>
      <c r="F2583" s="71">
        <f>+_xlfn.XLOOKUP(Tabla6[[#This Row],[ID CLIENTE]],'RESUMEN CLIENTES'!D:D,'RESUMEN CLIENTES'!W:W)</f>
        <v>0</v>
      </c>
      <c r="G2583" s="17">
        <f>IF($H2583&lt;&gt;"ALEM","",IFERROR(
  DATE(
    YEAR(EDATE(
      _xlfn.XLOOKUP($A2583,'RESUMEN CLIENTES'!$D:$D,'RESUMEN CLIENTES'!$Y:$Y,""),
      7 + COUNTIFS(
            $A$2:INDEX($A:$A,ROW()), $A2583,
            $H$2:INDEX($H:$H,ROW()), "ALEM"
          )
    )),
    MONTH(EDATE(
      _xlfn.XLOOKUP($A2583,'RESUMEN CLIENTES'!$D:$D,'RESUMEN CLIENTES'!$Y:$Y,""),
      7 + COUNTIFS(
            $A$2:INDEX($A:$A,ROW()), $A2583,
            $H$2:INDEX($H:$H,ROW()), "ALEM"
          )
    )),
    1
  ),
"null"))</f>
        <v>46722</v>
      </c>
      <c r="H2583" s="169" t="s">
        <v>1876</v>
      </c>
      <c r="I2583" s="2">
        <v>1000</v>
      </c>
      <c r="J2583"/>
      <c r="K2583"/>
      <c r="L2583" s="44" t="str" cm="1">
        <f t="array" ref="L2583">+_xlfn.IFS(COUNTIF(INGRESOS!E:E,Tabla6[[#This Row],[ID FACTURA]])=1,"PAGADA",Tabla6[[#This Row],[ID FACTURA]]&lt;&gt;0,"EMITIDA",Tabla6[[#This Row],[ID FACTURA]]=0,"POR EMITIR")</f>
        <v>POR EMITIR</v>
      </c>
      <c r="M2583" s="54" t="str">
        <f>+IF(Tabla6[[#This Row],[ESTADO FACTURA]]="PAGADA",Tabla6[[#This Row],[FECHA]]-_xlfn.XLOOKUP(Tabla6[[#This Row],[N° FACTURA]],INGRESOS!F:F,INGRESOS!A:A),"-")</f>
        <v>-</v>
      </c>
      <c r="O2583"/>
    </row>
    <row r="2584" spans="1:15">
      <c r="A2584" s="320" t="s">
        <v>1178</v>
      </c>
      <c r="B2584" t="str">
        <f>+_xlfn.XLOOKUP(Tabla6[[#This Row],[ID CLIENTE]],'RESUMEN CLIENTES'!D:D,'RESUMEN CLIENTES'!A:A)</f>
        <v>Daniel Flores</v>
      </c>
      <c r="C2584" t="str">
        <f>+_xlfn.XLOOKUP(Tabla6[[#This Row],[ID CLIENTE]],'RESUMEN CLIENTES'!D:D,'RESUMEN CLIENTES'!C:C)</f>
        <v>Ecuador</v>
      </c>
      <c r="D2584" s="44" t="str">
        <f>+_xlfn.XLOOKUP(Tabla6[[#This Row],[ID CLIENTE]],'RESUMEN CLIENTES'!D:D,'RESUMEN CLIENTES'!M:M)</f>
        <v>OK</v>
      </c>
      <c r="E2584" s="72">
        <f>+_xlfn.XLOOKUP(Tabla6[[#This Row],[NOMBRE]],'RESUMEN CLIENTES'!A:A,'RESUMEN CLIENTES'!X:X)</f>
        <v>3.8333333333333335</v>
      </c>
      <c r="F2584" s="72">
        <f>+_xlfn.XLOOKUP(Tabla6[[#This Row],[ID CLIENTE]],'RESUMEN CLIENTES'!D:D,'RESUMEN CLIENTES'!W:W)</f>
        <v>1</v>
      </c>
      <c r="G2584" s="17">
        <f>IF($H2584&lt;&gt;"ALEM","",IFERROR(
  DATE(
    YEAR(EDATE(
      _xlfn.XLOOKUP($A2584,'RESUMEN CLIENTES'!$D:$D,'RESUMEN CLIENTES'!$Y:$Y,""),
      7 + COUNTIFS(
            $A$2:INDEX($A:$A,ROW()), $A2584,
            $H$2:INDEX($H:$H,ROW()), "ALEM"
          )
    )),
    MONTH(EDATE(
      _xlfn.XLOOKUP($A2584,'RESUMEN CLIENTES'!$D:$D,'RESUMEN CLIENTES'!$Y:$Y,""),
      7 + COUNTIFS(
            $A$2:INDEX($A:$A,ROW()), $A2584,
            $H$2:INDEX($H:$H,ROW()), "ALEM"
          )
    )),
    1
  ),
"SIN FECHA MIG"))</f>
        <v>46722</v>
      </c>
      <c r="H2584" s="44" t="s">
        <v>1876</v>
      </c>
      <c r="I2584" s="2">
        <v>800</v>
      </c>
      <c r="J2584"/>
      <c r="K2584"/>
      <c r="L2584" s="44" t="str" cm="1">
        <f t="array" ref="L2584">+_xlfn.IFS(COUNTIF(INGRESOS!E:E,Tabla6[[#This Row],[ID FACTURA]])=1,"PAGADA",Tabla6[[#This Row],[ID FACTURA]]&lt;&gt;0,"EMITIDA",Tabla6[[#This Row],[ID FACTURA]]=0,"POR EMITIR")</f>
        <v>POR EMITIR</v>
      </c>
      <c r="M2584" s="55" t="str">
        <f>+IF(Tabla6[[#This Row],[ESTADO FACTURA]]="PAGADA",Tabla6[[#This Row],[FECHA]]-_xlfn.XLOOKUP(Tabla6[[#This Row],[N° FACTURA]],INGRESOS!F:F,INGRESOS!A:A),"-")</f>
        <v>-</v>
      </c>
      <c r="N2584" s="2"/>
      <c r="O2584" t="s">
        <v>2084</v>
      </c>
    </row>
    <row r="2585" spans="1:15">
      <c r="A2585" s="320" t="s">
        <v>4660</v>
      </c>
      <c r="B2585" t="str">
        <f>+_xlfn.XLOOKUP(Tabla6[[#This Row],[ID CLIENTE]],'RESUMEN CLIENTES'!D:D,'RESUMEN CLIENTES'!A:A)</f>
        <v>Edipris Flores</v>
      </c>
      <c r="C2585" s="15" t="str">
        <f>+_xlfn.XLOOKUP(Tabla6[[#This Row],[ID CLIENTE]],'RESUMEN CLIENTES'!D:D,'RESUMEN CLIENTES'!C:C)</f>
        <v>Chile</v>
      </c>
      <c r="D2585" s="169" t="str">
        <f>+_xlfn.XLOOKUP(Tabla6[[#This Row],[ID CLIENTE]],'RESUMEN CLIENTES'!D:D,'RESUMEN CLIENTES'!M:M)</f>
        <v>OK</v>
      </c>
      <c r="E2585" s="71">
        <f>+_xlfn.XLOOKUP(Tabla6[[#This Row],[NOMBRE]],'RESUMEN CLIENTES'!A:A,'RESUMEN CLIENTES'!X:X)</f>
        <v>-4</v>
      </c>
      <c r="F2585" s="71">
        <f>+_xlfn.XLOOKUP(Tabla6[[#This Row],[ID CLIENTE]],'RESUMEN CLIENTES'!D:D,'RESUMEN CLIENTES'!W:W)</f>
        <v>0</v>
      </c>
      <c r="G2585" s="17">
        <f>IF($H2585&lt;&gt;"ALEM","",IFERROR(
  DATE(
    YEAR(EDATE(
      _xlfn.XLOOKUP($A2585,'RESUMEN CLIENTES'!$D:$D,'RESUMEN CLIENTES'!$Y:$Y,""),
      7 + COUNTIFS(
            $A$2:INDEX($A:$A,ROW()), $A2585,
            $H$2:INDEX($H:$H,ROW()), "ALEM"
          )
    )),
    MONTH(EDATE(
      _xlfn.XLOOKUP($A2585,'RESUMEN CLIENTES'!$D:$D,'RESUMEN CLIENTES'!$Y:$Y,""),
      7 + COUNTIFS(
            $A$2:INDEX($A:$A,ROW()), $A2585,
            $H$2:INDEX($H:$H,ROW()), "ALEM"
          )
    )),
    1
  ),
"null"))</f>
        <v>46722</v>
      </c>
      <c r="H2585" s="169" t="s">
        <v>1876</v>
      </c>
      <c r="I2585" s="2">
        <v>800</v>
      </c>
      <c r="J2585"/>
      <c r="K2585"/>
      <c r="L2585" s="44" t="str" cm="1">
        <f t="array" ref="L2585">+_xlfn.IFS(COUNTIF(INGRESOS!E:E,Tabla6[[#This Row],[ID FACTURA]])=1,"PAGADA",Tabla6[[#This Row],[ID FACTURA]]&lt;&gt;0,"EMITIDA",Tabla6[[#This Row],[ID FACTURA]]=0,"POR EMITIR")</f>
        <v>POR EMITIR</v>
      </c>
      <c r="M2585" s="54" t="str">
        <f>+IF(Tabla6[[#This Row],[ESTADO FACTURA]]="PAGADA",Tabla6[[#This Row],[FECHA]]-_xlfn.XLOOKUP(Tabla6[[#This Row],[N° FACTURA]],INGRESOS!F:F,INGRESOS!A:A),"-")</f>
        <v>-</v>
      </c>
      <c r="O2585"/>
    </row>
    <row r="2586" spans="1:15">
      <c r="A2586" s="321" t="s">
        <v>519</v>
      </c>
      <c r="B2586" t="str">
        <f>+_xlfn.XLOOKUP(Tabla6[[#This Row],[ID CLIENTE]],'RESUMEN CLIENTES'!D:D,'RESUMEN CLIENTES'!A:A)</f>
        <v>Elaine Acosta Cabrera</v>
      </c>
      <c r="C2586" t="str">
        <f>+_xlfn.XLOOKUP(Tabla6[[#This Row],[ID CLIENTE]],'RESUMEN CLIENTES'!D:D,'RESUMEN CLIENTES'!C:C)</f>
        <v>República Dominicana</v>
      </c>
      <c r="D2586" s="169" t="str">
        <f>+_xlfn.XLOOKUP(Tabla6[[#This Row],[ID CLIENTE]],'RESUMEN CLIENTES'!D:D,'RESUMEN CLIENTES'!M:M)</f>
        <v>OK</v>
      </c>
      <c r="E2586" s="71">
        <f>+_xlfn.XLOOKUP(Tabla6[[#This Row],[NOMBRE]],'RESUMEN CLIENTES'!A:A,'RESUMEN CLIENTES'!X:X)</f>
        <v>0</v>
      </c>
      <c r="F2586" s="71">
        <f>+_xlfn.XLOOKUP(Tabla6[[#This Row],[ID CLIENTE]],'RESUMEN CLIENTES'!D:D,'RESUMEN CLIENTES'!W:W)</f>
        <v>1</v>
      </c>
      <c r="G2586" s="17">
        <f>IF($H2586&lt;&gt;"ALEM","",IFERROR(
  DATE(
    YEAR(EDATE(
      _xlfn.XLOOKUP($A2586,'RESUMEN CLIENTES'!$D:$D,'RESUMEN CLIENTES'!$Y:$Y,""),
      7 + COUNTIFS(
            $A$2:INDEX($A:$A,ROW()), $A2586,
            $H$2:INDEX($H:$H,ROW()), "ALEM"
          )
    )),
    MONTH(EDATE(
      _xlfn.XLOOKUP($A2586,'RESUMEN CLIENTES'!$D:$D,'RESUMEN CLIENTES'!$Y:$Y,""),
      7 + COUNTIFS(
            $A$2:INDEX($A:$A,ROW()), $A2586,
            $H$2:INDEX($H:$H,ROW()), "ALEM"
          )
    )),
    1
  ),
"null"))</f>
        <v>46722</v>
      </c>
      <c r="H2586" s="169" t="s">
        <v>1876</v>
      </c>
      <c r="I2586" s="2">
        <v>1000</v>
      </c>
      <c r="J2586"/>
      <c r="K2586"/>
      <c r="L2586" s="44" t="str" cm="1">
        <f t="array" ref="L2586">+_xlfn.IFS(COUNTIF(INGRESOS!E:E,Tabla6[[#This Row],[ID FACTURA]])=1,"PAGADA",Tabla6[[#This Row],[ID FACTURA]]&lt;&gt;0,"EMITIDA",Tabla6[[#This Row],[ID FACTURA]]=0,"POR EMITIR")</f>
        <v>POR EMITIR</v>
      </c>
      <c r="M2586" s="54" t="str">
        <f>+IF(Tabla6[[#This Row],[ESTADO FACTURA]]="PAGADA",Tabla6[[#This Row],[FECHA]]-_xlfn.XLOOKUP(Tabla6[[#This Row],[N° FACTURA]],INGRESOS!F:F,INGRESOS!A:A),"-")</f>
        <v>-</v>
      </c>
      <c r="O2586"/>
    </row>
    <row r="2587" spans="1:15">
      <c r="A2587" s="320" t="s">
        <v>1248</v>
      </c>
      <c r="B2587" t="str">
        <f>+_xlfn.XLOOKUP(Tabla6[[#This Row],[ID CLIENTE]],'RESUMEN CLIENTES'!D:D,'RESUMEN CLIENTES'!A:A)</f>
        <v>Emily Vanessa Tapia Villalobos</v>
      </c>
      <c r="C2587" t="str">
        <f>+_xlfn.XLOOKUP(Tabla6[[#This Row],[ID CLIENTE]],'RESUMEN CLIENTES'!D:D,'RESUMEN CLIENTES'!C:C)</f>
        <v>Chile</v>
      </c>
      <c r="D2587" s="44" t="str">
        <f>+_xlfn.XLOOKUP(Tabla6[[#This Row],[ID CLIENTE]],'RESUMEN CLIENTES'!D:D,'RESUMEN CLIENTES'!M:M)</f>
        <v>OK</v>
      </c>
      <c r="E2587" s="71">
        <f>+_xlfn.XLOOKUP(Tabla6[[#This Row],[NOMBRE]],'RESUMEN CLIENTES'!A:A,'RESUMEN CLIENTES'!X:X)</f>
        <v>0.33333333333333331</v>
      </c>
      <c r="F2587" s="71">
        <f>+_xlfn.XLOOKUP(Tabla6[[#This Row],[ID CLIENTE]],'RESUMEN CLIENTES'!D:D,'RESUMEN CLIENTES'!W:W)</f>
        <v>0</v>
      </c>
      <c r="G2587" s="17">
        <f>IF($H2587&lt;&gt;"ALEM","",IFERROR(
  DATE(
    YEAR(EDATE(
      _xlfn.XLOOKUP($A2587,'RESUMEN CLIENTES'!$D:$D,'RESUMEN CLIENTES'!$Y:$Y,""),
      7 + COUNTIFS(
            $A$2:INDEX($A:$A,ROW()), $A2587,
            $H$2:INDEX($H:$H,ROW()), "ALEM"
          )
    )),
    MONTH(EDATE(
      _xlfn.XLOOKUP($A2587,'RESUMEN CLIENTES'!$D:$D,'RESUMEN CLIENTES'!$Y:$Y,""),
      7 + COUNTIFS(
            $A$2:INDEX($A:$A,ROW()), $A2587,
            $H$2:INDEX($H:$H,ROW()), "ALEM"
          )
    )),
    1
  ),
"SIN FECHA MIG"))</f>
        <v>46722</v>
      </c>
      <c r="H2587" s="44" t="s">
        <v>1876</v>
      </c>
      <c r="I2587" s="2">
        <v>800</v>
      </c>
      <c r="J2587"/>
      <c r="K2587"/>
      <c r="L2587" s="44" t="str" cm="1">
        <f t="array" ref="L2587">+_xlfn.IFS(COUNTIF(INGRESOS!E:E,Tabla6[[#This Row],[ID FACTURA]])=1,"PAGADA",Tabla6[[#This Row],[ID FACTURA]]&lt;&gt;0,"EMITIDA",Tabla6[[#This Row],[ID FACTURA]]=0,"POR EMITIR")</f>
        <v>POR EMITIR</v>
      </c>
      <c r="M2587" s="55" t="str">
        <f>+IF(Tabla6[[#This Row],[ESTADO FACTURA]]="PAGADA",Tabla6[[#This Row],[FECHA]]-_xlfn.XLOOKUP(Tabla6[[#This Row],[N° FACTURA]],INGRESOS!F:F,INGRESOS!A:A),"-")</f>
        <v>-</v>
      </c>
      <c r="N2587" s="2"/>
      <c r="O2587" t="s">
        <v>2086</v>
      </c>
    </row>
    <row r="2588" spans="1:15">
      <c r="A2588" s="320" t="s">
        <v>1251</v>
      </c>
      <c r="B2588" t="str">
        <f>+_xlfn.XLOOKUP(Tabla6[[#This Row],[ID CLIENTE]],'RESUMEN CLIENTES'!D:D,'RESUMEN CLIENTES'!A:A)</f>
        <v>Erick Ernesto Angulo Campos</v>
      </c>
      <c r="C2588" t="str">
        <f>+_xlfn.XLOOKUP(Tabla6[[#This Row],[ID CLIENTE]],'RESUMEN CLIENTES'!D:D,'RESUMEN CLIENTES'!C:C)</f>
        <v>Chile</v>
      </c>
      <c r="D2588" s="44" t="str">
        <f>+_xlfn.XLOOKUP(Tabla6[[#This Row],[ID CLIENTE]],'RESUMEN CLIENTES'!D:D,'RESUMEN CLIENTES'!M:M)</f>
        <v>OK</v>
      </c>
      <c r="E2588" s="71">
        <f>+_xlfn.XLOOKUP(Tabla6[[#This Row],[NOMBRE]],'RESUMEN CLIENTES'!A:A,'RESUMEN CLIENTES'!X:X)</f>
        <v>-0.66666666666666663</v>
      </c>
      <c r="F2588" s="71">
        <f>+_xlfn.XLOOKUP(Tabla6[[#This Row],[ID CLIENTE]],'RESUMEN CLIENTES'!D:D,'RESUMEN CLIENTES'!W:W)</f>
        <v>0</v>
      </c>
      <c r="G2588" s="17">
        <f>IF($H2588&lt;&gt;"ALEM","",IFERROR(
  DATE(
    YEAR(EDATE(
      _xlfn.XLOOKUP($A2588,'RESUMEN CLIENTES'!$D:$D,'RESUMEN CLIENTES'!$Y:$Y,""),
      7 + COUNTIFS(
            $A$2:INDEX($A:$A,ROW()), $A2588,
            $H$2:INDEX($H:$H,ROW()), "ALEM"
          )
    )),
    MONTH(EDATE(
      _xlfn.XLOOKUP($A2588,'RESUMEN CLIENTES'!$D:$D,'RESUMEN CLIENTES'!$Y:$Y,""),
      7 + COUNTIFS(
            $A$2:INDEX($A:$A,ROW()), $A2588,
            $H$2:INDEX($H:$H,ROW()), "ALEM"
          )
    )),
    1
  ),
"SIN FECHA MIG"))</f>
        <v>46722</v>
      </c>
      <c r="H2588" s="44" t="s">
        <v>1876</v>
      </c>
      <c r="I2588" s="2">
        <v>800</v>
      </c>
      <c r="J2588"/>
      <c r="K2588"/>
      <c r="L2588" s="44" t="str" cm="1">
        <f t="array" ref="L2588">+_xlfn.IFS(COUNTIF(INGRESOS!E:E,Tabla6[[#This Row],[ID FACTURA]])=1,"PAGADA",Tabla6[[#This Row],[ID FACTURA]]&lt;&gt;0,"EMITIDA",Tabla6[[#This Row],[ID FACTURA]]=0,"POR EMITIR")</f>
        <v>POR EMITIR</v>
      </c>
      <c r="M2588" s="55" t="str">
        <f>+IF(Tabla6[[#This Row],[ESTADO FACTURA]]="PAGADA",Tabla6[[#This Row],[FECHA]]-_xlfn.XLOOKUP(Tabla6[[#This Row],[N° FACTURA]],INGRESOS!F:F,INGRESOS!A:A),"-")</f>
        <v>-</v>
      </c>
      <c r="N2588" s="2"/>
      <c r="O2588" t="s">
        <v>2084</v>
      </c>
    </row>
    <row r="2589" spans="1:15">
      <c r="A2589" s="320" t="s">
        <v>1945</v>
      </c>
      <c r="B2589" t="str">
        <f>+_xlfn.XLOOKUP(Tabla6[[#This Row],[ID CLIENTE]],'RESUMEN CLIENTES'!D:D,'RESUMEN CLIENTES'!A:A)</f>
        <v>Fernanda Constanza Kompai Antu Arellano Guzmán</v>
      </c>
      <c r="C2589" t="str">
        <f>+_xlfn.XLOOKUP(Tabla6[[#This Row],[ID CLIENTE]],'RESUMEN CLIENTES'!D:D,'RESUMEN CLIENTES'!C:C)</f>
        <v>Chile</v>
      </c>
      <c r="D2589" s="169" t="str">
        <f>+_xlfn.XLOOKUP(Tabla6[[#This Row],[ID CLIENTE]],'RESUMEN CLIENTES'!D:D,'RESUMEN CLIENTES'!M:M)</f>
        <v>OK</v>
      </c>
      <c r="E2589" s="71">
        <f>+_xlfn.XLOOKUP(Tabla6[[#This Row],[NOMBRE]],'RESUMEN CLIENTES'!A:A,'RESUMEN CLIENTES'!X:X)</f>
        <v>0</v>
      </c>
      <c r="F2589" s="71">
        <f>+_xlfn.XLOOKUP(Tabla6[[#This Row],[ID CLIENTE]],'RESUMEN CLIENTES'!D:D,'RESUMEN CLIENTES'!W:W)</f>
        <v>0</v>
      </c>
      <c r="G2589" s="17">
        <f>IF($H2589&lt;&gt;"ALEM","",IFERROR(
  DATE(
    YEAR(EDATE(
      _xlfn.XLOOKUP($A2589,'RESUMEN CLIENTES'!$D:$D,'RESUMEN CLIENTES'!$Y:$Y,""),
      7 + COUNTIFS(
            $A$2:INDEX($A:$A,ROW()), $A2589,
            $H$2:INDEX($H:$H,ROW()), "ALEM"
          )
    )),
    MONTH(EDATE(
      _xlfn.XLOOKUP($A2589,'RESUMEN CLIENTES'!$D:$D,'RESUMEN CLIENTES'!$Y:$Y,""),
      7 + COUNTIFS(
            $A$2:INDEX($A:$A,ROW()), $A2589,
            $H$2:INDEX($H:$H,ROW()), "ALEM"
          )
    )),
    1
  ),
"null"))</f>
        <v>46722</v>
      </c>
      <c r="H2589" s="170" t="s">
        <v>1876</v>
      </c>
      <c r="I2589" s="2">
        <v>800</v>
      </c>
      <c r="J2589"/>
      <c r="K2589"/>
      <c r="L2589" s="44" t="str" cm="1">
        <f t="array" ref="L2589">+_xlfn.IFS(COUNTIF(INGRESOS!E:E,Tabla6[[#This Row],[ID FACTURA]])=1,"PAGADA",Tabla6[[#This Row],[ID FACTURA]]&lt;&gt;0,"EMITIDA",Tabla6[[#This Row],[ID FACTURA]]=0,"POR EMITIR")</f>
        <v>POR EMITIR</v>
      </c>
      <c r="M2589" s="54" t="str">
        <f>+IF(Tabla6[[#This Row],[ESTADO FACTURA]]="PAGADA",Tabla6[[#This Row],[FECHA]]-_xlfn.XLOOKUP(Tabla6[[#This Row],[N° FACTURA]],INGRESOS!F:F,INGRESOS!A:A),"-")</f>
        <v>-</v>
      </c>
      <c r="O2589"/>
    </row>
    <row r="2590" spans="1:15">
      <c r="A2590" s="320" t="s">
        <v>787</v>
      </c>
      <c r="B2590" t="str">
        <f>+_xlfn.XLOOKUP(Tabla6[[#This Row],[ID CLIENTE]],'RESUMEN CLIENTES'!D:D,'RESUMEN CLIENTES'!A:A)</f>
        <v>Florencia Luján Sapia</v>
      </c>
      <c r="C2590" t="str">
        <f>+_xlfn.XLOOKUP(Tabla6[[#This Row],[ID CLIENTE]],'RESUMEN CLIENTES'!D:D,'RESUMEN CLIENTES'!C:C)</f>
        <v>Argentina</v>
      </c>
      <c r="D2590" s="44" t="str">
        <f>+_xlfn.XLOOKUP(Tabla6[[#This Row],[ID CLIENTE]],'RESUMEN CLIENTES'!D:D,'RESUMEN CLIENTES'!M:M)</f>
        <v>OK</v>
      </c>
      <c r="E2590" s="72">
        <f>+_xlfn.XLOOKUP(Tabla6[[#This Row],[NOMBRE]],'RESUMEN CLIENTES'!A:A,'RESUMEN CLIENTES'!X:X)</f>
        <v>-0.77777777777777779</v>
      </c>
      <c r="F2590" s="72">
        <f>+_xlfn.XLOOKUP(Tabla6[[#This Row],[ID CLIENTE]],'RESUMEN CLIENTES'!D:D,'RESUMEN CLIENTES'!W:W)</f>
        <v>1</v>
      </c>
      <c r="G2590" s="17">
        <f>IF($H2590&lt;&gt;"ALEM","",IFERROR(
  DATE(
    YEAR(EDATE(
      _xlfn.XLOOKUP($A2590,'RESUMEN CLIENTES'!$D:$D,'RESUMEN CLIENTES'!$Y:$Y,""),
      7 + COUNTIFS(
            $A$2:INDEX($A:$A,ROW()), $A2590,
            $H$2:INDEX($H:$H,ROW()), "ALEM"
          )
    )),
    MONTH(EDATE(
      _xlfn.XLOOKUP($A2590,'RESUMEN CLIENTES'!$D:$D,'RESUMEN CLIENTES'!$Y:$Y,""),
      7 + COUNTIFS(
            $A$2:INDEX($A:$A,ROW()), $A2590,
            $H$2:INDEX($H:$H,ROW()), "ALEM"
          )
    )),
    1
  ),
"SIN FECHA MIG"))</f>
        <v>46722</v>
      </c>
      <c r="H2590" s="44" t="s">
        <v>1876</v>
      </c>
      <c r="I2590" s="2">
        <v>1000</v>
      </c>
      <c r="J2590"/>
      <c r="K2590"/>
      <c r="L2590" s="44" t="str" cm="1">
        <f t="array" ref="L2590">+_xlfn.IFS(COUNTIF(INGRESOS!E:E,Tabla6[[#This Row],[ID FACTURA]])=1,"PAGADA",Tabla6[[#This Row],[ID FACTURA]]&lt;&gt;0,"EMITIDA",Tabla6[[#This Row],[ID FACTURA]]=0,"POR EMITIR")</f>
        <v>POR EMITIR</v>
      </c>
      <c r="M2590" s="55" t="str">
        <f>+IF(Tabla6[[#This Row],[ESTADO FACTURA]]="PAGADA",Tabla6[[#This Row],[FECHA]]-_xlfn.XLOOKUP(Tabla6[[#This Row],[N° FACTURA]],INGRESOS!F:F,INGRESOS!A:A),"-")</f>
        <v>-</v>
      </c>
      <c r="N2590" s="2"/>
      <c r="O2590" t="s">
        <v>2084</v>
      </c>
    </row>
    <row r="2591" spans="1:15">
      <c r="A2591" s="320" t="s">
        <v>1761</v>
      </c>
      <c r="B2591" t="str">
        <f>+_xlfn.XLOOKUP(Tabla6[[#This Row],[ID CLIENTE]],'RESUMEN CLIENTES'!D:D,'RESUMEN CLIENTES'!A:A)</f>
        <v>Francisco Salas Barrera</v>
      </c>
      <c r="C2591" t="str">
        <f>+_xlfn.XLOOKUP(Tabla6[[#This Row],[ID CLIENTE]],'RESUMEN CLIENTES'!D:D,'RESUMEN CLIENTES'!C:C)</f>
        <v>México</v>
      </c>
      <c r="D2591" s="169" t="str">
        <f>+_xlfn.XLOOKUP(Tabla6[[#This Row],[ID CLIENTE]],'RESUMEN CLIENTES'!D:D,'RESUMEN CLIENTES'!M:M)</f>
        <v>OK</v>
      </c>
      <c r="E2591" s="71">
        <f>+_xlfn.XLOOKUP(Tabla6[[#This Row],[NOMBRE]],'RESUMEN CLIENTES'!A:A,'RESUMEN CLIENTES'!X:X)</f>
        <v>-0.75</v>
      </c>
      <c r="F2591" s="71">
        <f>+_xlfn.XLOOKUP(Tabla6[[#This Row],[ID CLIENTE]],'RESUMEN CLIENTES'!D:D,'RESUMEN CLIENTES'!W:W)</f>
        <v>0</v>
      </c>
      <c r="G2591" s="17">
        <f>IF($H2591&lt;&gt;"ALEM","",IFERROR(
  DATE(
    YEAR(EDATE(
      _xlfn.XLOOKUP($A2591,'RESUMEN CLIENTES'!$D:$D,'RESUMEN CLIENTES'!$Y:$Y,""),
      7 + COUNTIFS(
            $A$2:INDEX($A:$A,ROW()), $A2591,
            $H$2:INDEX($H:$H,ROW()), "ALEM"
          )
    )),
    MONTH(EDATE(
      _xlfn.XLOOKUP($A2591,'RESUMEN CLIENTES'!$D:$D,'RESUMEN CLIENTES'!$Y:$Y,""),
      7 + COUNTIFS(
            $A$2:INDEX($A:$A,ROW()), $A2591,
            $H$2:INDEX($H:$H,ROW()), "ALEM"
          )
    )),
    1
  ),
"SIN FECHA MIG"))</f>
        <v>46722</v>
      </c>
      <c r="H2591" s="169" t="s">
        <v>1876</v>
      </c>
      <c r="I2591" s="2">
        <v>800</v>
      </c>
      <c r="J2591"/>
      <c r="K2591"/>
      <c r="L2591" s="44" t="str" cm="1">
        <f t="array" ref="L2591">+_xlfn.IFS(COUNTIF(INGRESOS!E:E,Tabla6[[#This Row],[ID FACTURA]])=1,"PAGADA",Tabla6[[#This Row],[ID FACTURA]]&lt;&gt;0,"EMITIDA",Tabla6[[#This Row],[ID FACTURA]]=0,"POR EMITIR")</f>
        <v>POR EMITIR</v>
      </c>
      <c r="M2591" s="55" t="str">
        <f>+IF(Tabla6[[#This Row],[ESTADO FACTURA]]="PAGADA",Tabla6[[#This Row],[FECHA]]-_xlfn.XLOOKUP(Tabla6[[#This Row],[N° FACTURA]],INGRESOS!F:F,INGRESOS!A:A),"-")</f>
        <v>-</v>
      </c>
      <c r="O2591"/>
    </row>
    <row r="2592" spans="1:15">
      <c r="A2592" s="320" t="s">
        <v>1996</v>
      </c>
      <c r="B2592" t="str">
        <f>+_xlfn.XLOOKUP(Tabla6[[#This Row],[ID CLIENTE]],'RESUMEN CLIENTES'!D:D,'RESUMEN CLIENTES'!A:A)</f>
        <v>Ivan Gonzales Graus</v>
      </c>
      <c r="C2592" t="str">
        <f>+_xlfn.XLOOKUP(Tabla6[[#This Row],[ID CLIENTE]],'RESUMEN CLIENTES'!D:D,'RESUMEN CLIENTES'!C:C)</f>
        <v>Perú</v>
      </c>
      <c r="D2592" s="169" t="str">
        <f>+_xlfn.XLOOKUP(Tabla6[[#This Row],[ID CLIENTE]],'RESUMEN CLIENTES'!D:D,'RESUMEN CLIENTES'!M:M)</f>
        <v>OK</v>
      </c>
      <c r="E2592" s="71">
        <f>+_xlfn.XLOOKUP(Tabla6[[#This Row],[NOMBRE]],'RESUMEN CLIENTES'!A:A,'RESUMEN CLIENTES'!X:X)</f>
        <v>-2</v>
      </c>
      <c r="F2592" s="71">
        <f>+_xlfn.XLOOKUP(Tabla6[[#This Row],[ID CLIENTE]],'RESUMEN CLIENTES'!D:D,'RESUMEN CLIENTES'!W:W)</f>
        <v>1</v>
      </c>
      <c r="G2592" s="17">
        <f>IF($H2592&lt;&gt;"ALEM","",IFERROR(
  DATE(
    YEAR(EDATE(
      _xlfn.XLOOKUP($A2592,'RESUMEN CLIENTES'!$D:$D,'RESUMEN CLIENTES'!$Y:$Y,""),
      7 + COUNTIFS(
            $A$2:INDEX($A:$A,ROW()), $A2592,
            $H$2:INDEX($H:$H,ROW()), "ALEM"
          )
    )),
    MONTH(EDATE(
      _xlfn.XLOOKUP($A2592,'RESUMEN CLIENTES'!$D:$D,'RESUMEN CLIENTES'!$Y:$Y,""),
      7 + COUNTIFS(
            $A$2:INDEX($A:$A,ROW()), $A2592,
            $H$2:INDEX($H:$H,ROW()), "ALEM"
          )
    )),
    1
  ),
"null"))</f>
        <v>46722</v>
      </c>
      <c r="H2592" s="169" t="s">
        <v>1876</v>
      </c>
      <c r="I2592" s="2">
        <v>1000</v>
      </c>
      <c r="J2592"/>
      <c r="K2592"/>
      <c r="L2592" s="44" t="str" cm="1">
        <f t="array" ref="L2592">+_xlfn.IFS(COUNTIF(INGRESOS!E:E,Tabla6[[#This Row],[ID FACTURA]])=1,"PAGADA",Tabla6[[#This Row],[ID FACTURA]]&lt;&gt;0,"EMITIDA",Tabla6[[#This Row],[ID FACTURA]]=0,"POR EMITIR")</f>
        <v>POR EMITIR</v>
      </c>
      <c r="M2592" s="54" t="str">
        <f>+IF(Tabla6[[#This Row],[ESTADO FACTURA]]="PAGADA",Tabla6[[#This Row],[FECHA]]-_xlfn.XLOOKUP(Tabla6[[#This Row],[N° FACTURA]],INGRESOS!F:F,INGRESOS!A:A),"-")</f>
        <v>-</v>
      </c>
      <c r="O2592"/>
    </row>
    <row r="2593" spans="1:15">
      <c r="A2593" s="320" t="s">
        <v>1936</v>
      </c>
      <c r="B2593" t="str">
        <f>+_xlfn.XLOOKUP(Tabla6[[#This Row],[ID CLIENTE]],'RESUMEN CLIENTES'!D:D,'RESUMEN CLIENTES'!A:A)</f>
        <v>Jaime Kevin Mendez Arias</v>
      </c>
      <c r="C2593" t="str">
        <f>+_xlfn.XLOOKUP(Tabla6[[#This Row],[ID CLIENTE]],'RESUMEN CLIENTES'!D:D,'RESUMEN CLIENTES'!C:C)</f>
        <v>México</v>
      </c>
      <c r="D2593" s="169" t="str">
        <f>+_xlfn.XLOOKUP(Tabla6[[#This Row],[ID CLIENTE]],'RESUMEN CLIENTES'!D:D,'RESUMEN CLIENTES'!M:M)</f>
        <v>OK</v>
      </c>
      <c r="E2593" s="71">
        <f>+_xlfn.XLOOKUP(Tabla6[[#This Row],[NOMBRE]],'RESUMEN CLIENTES'!A:A,'RESUMEN CLIENTES'!X:X)</f>
        <v>1.6666666666666667</v>
      </c>
      <c r="F2593" s="71">
        <f>+_xlfn.XLOOKUP(Tabla6[[#This Row],[ID CLIENTE]],'RESUMEN CLIENTES'!D:D,'RESUMEN CLIENTES'!W:W)</f>
        <v>0</v>
      </c>
      <c r="G2593" s="17">
        <f>IF($H2593&lt;&gt;"ALEM","",IFERROR(
  DATE(
    YEAR(EDATE(
      _xlfn.XLOOKUP($A2593,'RESUMEN CLIENTES'!$D:$D,'RESUMEN CLIENTES'!$Y:$Y,""),
      7 + COUNTIFS(
            $A$2:INDEX($A:$A,ROW()), $A2593,
            $H$2:INDEX($H:$H,ROW()), "ALEM"
          )
    )),
    MONTH(EDATE(
      _xlfn.XLOOKUP($A2593,'RESUMEN CLIENTES'!$D:$D,'RESUMEN CLIENTES'!$Y:$Y,""),
      7 + COUNTIFS(
            $A$2:INDEX($A:$A,ROW()), $A2593,
            $H$2:INDEX($H:$H,ROW()), "ALEM"
          )
    )),
    1
  ),
"null"))</f>
        <v>46722</v>
      </c>
      <c r="H2593" s="169" t="s">
        <v>1876</v>
      </c>
      <c r="I2593" s="2">
        <v>800</v>
      </c>
      <c r="J2593"/>
      <c r="K2593"/>
      <c r="L2593" s="44" t="str" cm="1">
        <f t="array" ref="L2593">+_xlfn.IFS(COUNTIF(INGRESOS!E:E,Tabla6[[#This Row],[ID FACTURA]])=1,"PAGADA",Tabla6[[#This Row],[ID FACTURA]]&lt;&gt;0,"EMITIDA",Tabla6[[#This Row],[ID FACTURA]]=0,"POR EMITIR")</f>
        <v>POR EMITIR</v>
      </c>
      <c r="M2593" s="54" t="str">
        <f>+IF(Tabla6[[#This Row],[ESTADO FACTURA]]="PAGADA",Tabla6[[#This Row],[FECHA]]-_xlfn.XLOOKUP(Tabla6[[#This Row],[N° FACTURA]],INGRESOS!F:F,INGRESOS!A:A),"-")</f>
        <v>-</v>
      </c>
      <c r="O2593"/>
    </row>
    <row r="2594" spans="1:15">
      <c r="A2594" s="321" t="s">
        <v>1899</v>
      </c>
      <c r="B2594" t="str">
        <f>+_xlfn.XLOOKUP(Tabla6[[#This Row],[ID CLIENTE]],'RESUMEN CLIENTES'!D:D,'RESUMEN CLIENTES'!A:A)</f>
        <v>Johan Martínez</v>
      </c>
      <c r="C2594" t="str">
        <f>+_xlfn.XLOOKUP(Tabla6[[#This Row],[ID CLIENTE]],'RESUMEN CLIENTES'!D:D,'RESUMEN CLIENTES'!C:C)</f>
        <v>Colombia</v>
      </c>
      <c r="D2594" s="169" t="str">
        <f>+_xlfn.XLOOKUP(Tabla6[[#This Row],[ID CLIENTE]],'RESUMEN CLIENTES'!D:D,'RESUMEN CLIENTES'!M:M)</f>
        <v>OK</v>
      </c>
      <c r="E2594" s="71">
        <f>+_xlfn.XLOOKUP(Tabla6[[#This Row],[NOMBRE]],'RESUMEN CLIENTES'!A:A,'RESUMEN CLIENTES'!X:X)</f>
        <v>-0.66666666666666663</v>
      </c>
      <c r="F2594" s="71">
        <f>+_xlfn.XLOOKUP(Tabla6[[#This Row],[ID CLIENTE]],'RESUMEN CLIENTES'!D:D,'RESUMEN CLIENTES'!W:W)</f>
        <v>0</v>
      </c>
      <c r="G2594" s="17">
        <f>IF($H2594&lt;&gt;"ALEM","",IFERROR(
  DATE(
    YEAR(EDATE(
      _xlfn.XLOOKUP($A2594,'RESUMEN CLIENTES'!$D:$D,'RESUMEN CLIENTES'!$Y:$Y,""),
      7 + COUNTIFS(
            $A$2:INDEX($A:$A,ROW()), $A2594,
            $H$2:INDEX($H:$H,ROW()), "ALEM"
          )
    )),
    MONTH(EDATE(
      _xlfn.XLOOKUP($A2594,'RESUMEN CLIENTES'!$D:$D,'RESUMEN CLIENTES'!$Y:$Y,""),
      7 + COUNTIFS(
            $A$2:INDEX($A:$A,ROW()), $A2594,
            $H$2:INDEX($H:$H,ROW()), "ALEM"
          )
    )),
    1
  ),
"null"))</f>
        <v>46722</v>
      </c>
      <c r="H2594" s="169" t="s">
        <v>1876</v>
      </c>
      <c r="I2594" s="2">
        <v>800</v>
      </c>
      <c r="J2594"/>
      <c r="K2594"/>
      <c r="L2594" s="44" t="str" cm="1">
        <f t="array" ref="L2594">+_xlfn.IFS(COUNTIF(INGRESOS!E:E,Tabla6[[#This Row],[ID FACTURA]])=1,"PAGADA",Tabla6[[#This Row],[ID FACTURA]]&lt;&gt;0,"EMITIDA",Tabla6[[#This Row],[ID FACTURA]]=0,"POR EMITIR")</f>
        <v>POR EMITIR</v>
      </c>
      <c r="M2594" s="54" t="str">
        <f>+IF(Tabla6[[#This Row],[ESTADO FACTURA]]="PAGADA",Tabla6[[#This Row],[FECHA]]-_xlfn.XLOOKUP(Tabla6[[#This Row],[N° FACTURA]],INGRESOS!F:F,INGRESOS!A:A),"-")</f>
        <v>-</v>
      </c>
      <c r="O2594" t="s">
        <v>2086</v>
      </c>
    </row>
    <row r="2595" spans="1:15">
      <c r="A2595" s="320" t="s">
        <v>1437</v>
      </c>
      <c r="B2595" t="str">
        <f>+_xlfn.XLOOKUP(Tabla6[[#This Row],[ID CLIENTE]],'RESUMEN CLIENTES'!D:D,'RESUMEN CLIENTES'!A:A)</f>
        <v>Jorge Andres Galgani Muñoz</v>
      </c>
      <c r="C2595" t="str">
        <f>+_xlfn.XLOOKUP(Tabla6[[#This Row],[ID CLIENTE]],'RESUMEN CLIENTES'!D:D,'RESUMEN CLIENTES'!C:C)</f>
        <v>Chile</v>
      </c>
      <c r="D2595" s="44" t="str">
        <f>+_xlfn.XLOOKUP(Tabla6[[#This Row],[ID CLIENTE]],'RESUMEN CLIENTES'!D:D,'RESUMEN CLIENTES'!M:M)</f>
        <v>OK</v>
      </c>
      <c r="E2595" s="71">
        <f>+_xlfn.XLOOKUP(Tabla6[[#This Row],[NOMBRE]],'RESUMEN CLIENTES'!A:A,'RESUMEN CLIENTES'!X:X)</f>
        <v>-1.1428571428571428</v>
      </c>
      <c r="F2595" s="71">
        <f>+_xlfn.XLOOKUP(Tabla6[[#This Row],[ID CLIENTE]],'RESUMEN CLIENTES'!D:D,'RESUMEN CLIENTES'!W:W)</f>
        <v>1</v>
      </c>
      <c r="G2595" s="17">
        <f>IF($H2595&lt;&gt;"ALEM","",IFERROR(
  DATE(
    YEAR(EDATE(
      _xlfn.XLOOKUP($A2595,'RESUMEN CLIENTES'!$D:$D,'RESUMEN CLIENTES'!$Y:$Y,""),
      7 + COUNTIFS(
            $A$2:INDEX($A:$A,ROW()), $A2595,
            $H$2:INDEX($H:$H,ROW()), "ALEM"
          )
    )),
    MONTH(EDATE(
      _xlfn.XLOOKUP($A2595,'RESUMEN CLIENTES'!$D:$D,'RESUMEN CLIENTES'!$Y:$Y,""),
      7 + COUNTIFS(
            $A$2:INDEX($A:$A,ROW()), $A2595,
            $H$2:INDEX($H:$H,ROW()), "ALEM"
          )
    )),
    1
  ),
"SIN FECHA MIG"))</f>
        <v>46722</v>
      </c>
      <c r="H2595" s="169" t="s">
        <v>1876</v>
      </c>
      <c r="I2595" s="2">
        <v>800</v>
      </c>
      <c r="J2595"/>
      <c r="K2595"/>
      <c r="L2595" s="44" t="str" cm="1">
        <f t="array" ref="L2595">+_xlfn.IFS(COUNTIF(INGRESOS!E:E,Tabla6[[#This Row],[ID FACTURA]])=1,"PAGADA",Tabla6[[#This Row],[ID FACTURA]]&lt;&gt;0,"EMITIDA",Tabla6[[#This Row],[ID FACTURA]]=0,"POR EMITIR")</f>
        <v>POR EMITIR</v>
      </c>
      <c r="M2595" s="55" t="str">
        <f>+IF(Tabla6[[#This Row],[ESTADO FACTURA]]="PAGADA",Tabla6[[#This Row],[FECHA]]-_xlfn.XLOOKUP(Tabla6[[#This Row],[N° FACTURA]],INGRESOS!F:F,INGRESOS!A:A),"-")</f>
        <v>-</v>
      </c>
      <c r="N2595" s="2"/>
      <c r="O2595"/>
    </row>
    <row r="2596" spans="1:15">
      <c r="A2596" s="320" t="s">
        <v>4454</v>
      </c>
      <c r="B2596" t="str">
        <f>+_xlfn.XLOOKUP(Tabla6[[#This Row],[ID CLIENTE]],'RESUMEN CLIENTES'!D:D,'RESUMEN CLIENTES'!A:A)</f>
        <v>Jose Luis Avilez Casas</v>
      </c>
      <c r="C2596" t="str">
        <f>+_xlfn.XLOOKUP(Tabla6[[#This Row],[ID CLIENTE]],'RESUMEN CLIENTES'!D:D,'RESUMEN CLIENTES'!C:C)</f>
        <v>México</v>
      </c>
      <c r="D2596" s="169" t="str">
        <f>+_xlfn.XLOOKUP(Tabla6[[#This Row],[ID CLIENTE]],'RESUMEN CLIENTES'!D:D,'RESUMEN CLIENTES'!M:M)</f>
        <v>OK</v>
      </c>
      <c r="E2596" s="71">
        <f>+_xlfn.XLOOKUP(Tabla6[[#This Row],[NOMBRE]],'RESUMEN CLIENTES'!A:A,'RESUMEN CLIENTES'!X:X)</f>
        <v>0.33333333333333331</v>
      </c>
      <c r="F2596" s="71">
        <f>+_xlfn.XLOOKUP(Tabla6[[#This Row],[ID CLIENTE]],'RESUMEN CLIENTES'!D:D,'RESUMEN CLIENTES'!W:W)</f>
        <v>0</v>
      </c>
      <c r="G2596" s="17">
        <f>IF($H2596&lt;&gt;"ALEM","",IFERROR(
  DATE(
    YEAR(EDATE(
      _xlfn.XLOOKUP($A2596,'RESUMEN CLIENTES'!$D:$D,'RESUMEN CLIENTES'!$Y:$Y,""),
      7 + COUNTIFS(
            $A$2:INDEX($A:$A,ROW()), $A2596,
            $H$2:INDEX($H:$H,ROW()), "ALEM"
          )
    )),
    MONTH(EDATE(
      _xlfn.XLOOKUP($A2596,'RESUMEN CLIENTES'!$D:$D,'RESUMEN CLIENTES'!$Y:$Y,""),
      7 + COUNTIFS(
            $A$2:INDEX($A:$A,ROW()), $A2596,
            $H$2:INDEX($H:$H,ROW()), "ALEM"
          )
    )),
    1
  ),
"null"))</f>
        <v>46722</v>
      </c>
      <c r="H2596" s="169" t="s">
        <v>1876</v>
      </c>
      <c r="I2596" s="2">
        <v>800</v>
      </c>
      <c r="J2596"/>
      <c r="K2596"/>
      <c r="L2596" s="44" t="str" cm="1">
        <f t="array" ref="L2596">+_xlfn.IFS(COUNTIF(INGRESOS!E:E,Tabla6[[#This Row],[ID FACTURA]])=1,"PAGADA",Tabla6[[#This Row],[ID FACTURA]]&lt;&gt;0,"EMITIDA",Tabla6[[#This Row],[ID FACTURA]]=0,"POR EMITIR")</f>
        <v>POR EMITIR</v>
      </c>
      <c r="M2596" s="54" t="str">
        <f>+IF(Tabla6[[#This Row],[ESTADO FACTURA]]="PAGADA",Tabla6[[#This Row],[FECHA]]-_xlfn.XLOOKUP(Tabla6[[#This Row],[N° FACTURA]],INGRESOS!F:F,INGRESOS!A:A),"-")</f>
        <v>-</v>
      </c>
      <c r="O2596"/>
    </row>
    <row r="2597" spans="1:15">
      <c r="A2597" s="321" t="s">
        <v>367</v>
      </c>
      <c r="B2597" t="str">
        <f>+_xlfn.XLOOKUP(Tabla6[[#This Row],[ID CLIENTE]],'RESUMEN CLIENTES'!D:D,'RESUMEN CLIENTES'!A:A)</f>
        <v>José Miguel Undurraga Saavedra</v>
      </c>
      <c r="C2597" t="str">
        <f>+_xlfn.XLOOKUP(Tabla6[[#This Row],[ID CLIENTE]],'RESUMEN CLIENTES'!D:D,'RESUMEN CLIENTES'!C:C)</f>
        <v>Chile</v>
      </c>
      <c r="D2597" s="169" t="str">
        <f>+_xlfn.XLOOKUP(Tabla6[[#This Row],[ID CLIENTE]],'RESUMEN CLIENTES'!D:D,'RESUMEN CLIENTES'!M:M)</f>
        <v>OK</v>
      </c>
      <c r="E2597" s="71">
        <f>+_xlfn.XLOOKUP(Tabla6[[#This Row],[NOMBRE]],'RESUMEN CLIENTES'!A:A,'RESUMEN CLIENTES'!X:X)</f>
        <v>-11.5</v>
      </c>
      <c r="F2597" s="71">
        <f>+_xlfn.XLOOKUP(Tabla6[[#This Row],[ID CLIENTE]],'RESUMEN CLIENTES'!D:D,'RESUMEN CLIENTES'!W:W)</f>
        <v>0</v>
      </c>
      <c r="G2597" s="17">
        <f>IF($H2597&lt;&gt;"ALEM","",IFERROR(
  DATE(
    YEAR(EDATE(
      _xlfn.XLOOKUP($A2597,'RESUMEN CLIENTES'!$D:$D,'RESUMEN CLIENTES'!$Y:$Y,""),
      7 + COUNTIFS(
            $A$2:INDEX($A:$A,ROW()), $A2597,
            $H$2:INDEX($H:$H,ROW()), "ALEM"
          )
    )),
    MONTH(EDATE(
      _xlfn.XLOOKUP($A2597,'RESUMEN CLIENTES'!$D:$D,'RESUMEN CLIENTES'!$Y:$Y,""),
      7 + COUNTIFS(
            $A$2:INDEX($A:$A,ROW()), $A2597,
            $H$2:INDEX($H:$H,ROW()), "ALEM"
          )
    )),
    1
  ),
"null"))</f>
        <v>46722</v>
      </c>
      <c r="H2597" s="169" t="s">
        <v>1876</v>
      </c>
      <c r="I2597" s="2">
        <v>1000</v>
      </c>
      <c r="J2597"/>
      <c r="K2597"/>
      <c r="L2597" s="44" t="str" cm="1">
        <f t="array" ref="L2597">+_xlfn.IFS(COUNTIF(INGRESOS!E:E,Tabla6[[#This Row],[ID FACTURA]])=1,"PAGADA",Tabla6[[#This Row],[ID FACTURA]]&lt;&gt;0,"EMITIDA",Tabla6[[#This Row],[ID FACTURA]]=0,"POR EMITIR")</f>
        <v>POR EMITIR</v>
      </c>
      <c r="M2597" s="54" t="str">
        <f>+IF(Tabla6[[#This Row],[ESTADO FACTURA]]="PAGADA",Tabla6[[#This Row],[FECHA]]-_xlfn.XLOOKUP(Tabla6[[#This Row],[N° FACTURA]],INGRESOS!F:F,INGRESOS!A:A),"-")</f>
        <v>-</v>
      </c>
      <c r="O2597" t="s">
        <v>2092</v>
      </c>
    </row>
    <row r="2598" spans="1:15">
      <c r="A2598" s="320" t="s">
        <v>1931</v>
      </c>
      <c r="B2598" t="str">
        <f>+_xlfn.XLOOKUP(Tabla6[[#This Row],[ID CLIENTE]],'RESUMEN CLIENTES'!D:D,'RESUMEN CLIENTES'!A:A)</f>
        <v>Josué Bernardo Reyes Flores</v>
      </c>
      <c r="C2598" t="str">
        <f>+_xlfn.XLOOKUP(Tabla6[[#This Row],[ID CLIENTE]],'RESUMEN CLIENTES'!D:D,'RESUMEN CLIENTES'!C:C)</f>
        <v>México</v>
      </c>
      <c r="D2598" s="169" t="str">
        <f>+_xlfn.XLOOKUP(Tabla6[[#This Row],[ID CLIENTE]],'RESUMEN CLIENTES'!D:D,'RESUMEN CLIENTES'!M:M)</f>
        <v>OK</v>
      </c>
      <c r="E2598" s="71">
        <f>+_xlfn.XLOOKUP(Tabla6[[#This Row],[NOMBRE]],'RESUMEN CLIENTES'!A:A,'RESUMEN CLIENTES'!X:X)</f>
        <v>0</v>
      </c>
      <c r="F2598" s="71">
        <f>+_xlfn.XLOOKUP(Tabla6[[#This Row],[ID CLIENTE]],'RESUMEN CLIENTES'!D:D,'RESUMEN CLIENTES'!W:W)</f>
        <v>1</v>
      </c>
      <c r="G2598" s="17">
        <f>IF($H2598&lt;&gt;"ALEM","",IFERROR(
  DATE(
    YEAR(EDATE(
      _xlfn.XLOOKUP($A2598,'RESUMEN CLIENTES'!$D:$D,'RESUMEN CLIENTES'!$Y:$Y,""),
      7 + COUNTIFS(
            $A$2:INDEX($A:$A,ROW()), $A2598,
            $H$2:INDEX($H:$H,ROW()), "ALEM"
          )
    )),
    MONTH(EDATE(
      _xlfn.XLOOKUP($A2598,'RESUMEN CLIENTES'!$D:$D,'RESUMEN CLIENTES'!$Y:$Y,""),
      7 + COUNTIFS(
            $A$2:INDEX($A:$A,ROW()), $A2598,
            $H$2:INDEX($H:$H,ROW()), "ALEM"
          )
    )),
    1
  ),
"null"))</f>
        <v>46722</v>
      </c>
      <c r="H2598" s="169" t="s">
        <v>1876</v>
      </c>
      <c r="I2598" s="2">
        <v>800</v>
      </c>
      <c r="J2598"/>
      <c r="K2598"/>
      <c r="L2598" s="44" t="str" cm="1">
        <f t="array" ref="L2598">+_xlfn.IFS(COUNTIF(INGRESOS!E:E,Tabla6[[#This Row],[ID FACTURA]])=1,"PAGADA",Tabla6[[#This Row],[ID FACTURA]]&lt;&gt;0,"EMITIDA",Tabla6[[#This Row],[ID FACTURA]]=0,"POR EMITIR")</f>
        <v>POR EMITIR</v>
      </c>
      <c r="M2598" s="54" t="str">
        <f>+IF(Tabla6[[#This Row],[ESTADO FACTURA]]="PAGADA",Tabla6[[#This Row],[FECHA]]-_xlfn.XLOOKUP(Tabla6[[#This Row],[N° FACTURA]],INGRESOS!F:F,INGRESOS!A:A),"-")</f>
        <v>-</v>
      </c>
      <c r="O2598"/>
    </row>
    <row r="2599" spans="1:15">
      <c r="A2599" s="320" t="s">
        <v>266</v>
      </c>
      <c r="B2599" t="str">
        <f>+_xlfn.XLOOKUP(Tabla6[[#This Row],[ID CLIENTE]],'RESUMEN CLIENTES'!D:D,'RESUMEN CLIENTES'!A:A)</f>
        <v>Juan Camilo Sanchez Ramirez</v>
      </c>
      <c r="C2599" t="str">
        <f>+_xlfn.XLOOKUP(Tabla6[[#This Row],[ID CLIENTE]],'RESUMEN CLIENTES'!D:D,'RESUMEN CLIENTES'!C:C)</f>
        <v>Colombia</v>
      </c>
      <c r="D2599" s="44" t="str">
        <f>+_xlfn.XLOOKUP(Tabla6[[#This Row],[ID CLIENTE]],'RESUMEN CLIENTES'!D:D,'RESUMEN CLIENTES'!M:M)</f>
        <v>OK</v>
      </c>
      <c r="E2599" s="72">
        <f>+_xlfn.XLOOKUP(Tabla6[[#This Row],[NOMBRE]],'RESUMEN CLIENTES'!A:A,'RESUMEN CLIENTES'!X:X)</f>
        <v>0.2</v>
      </c>
      <c r="F2599" s="72">
        <f>+_xlfn.XLOOKUP(Tabla6[[#This Row],[ID CLIENTE]],'RESUMEN CLIENTES'!D:D,'RESUMEN CLIENTES'!W:W)</f>
        <v>0</v>
      </c>
      <c r="G2599" s="17">
        <f>IF($H2599&lt;&gt;"ALEM","",IFERROR(
  DATE(
    YEAR(EDATE(
      _xlfn.XLOOKUP($A2599,'RESUMEN CLIENTES'!$D:$D,'RESUMEN CLIENTES'!$Y:$Y,""),
      7 + COUNTIFS(
            $A$2:INDEX($A:$A,ROW()), $A2599,
            $H$2:INDEX($H:$H,ROW()), "ALEM"
          )
    )),
    MONTH(EDATE(
      _xlfn.XLOOKUP($A2599,'RESUMEN CLIENTES'!$D:$D,'RESUMEN CLIENTES'!$Y:$Y,""),
      7 + COUNTIFS(
            $A$2:INDEX($A:$A,ROW()), $A2599,
            $H$2:INDEX($H:$H,ROW()), "ALEM"
          )
    )),
    1
  ),
"SIN FECHA MIG"))</f>
        <v>46722</v>
      </c>
      <c r="H2599" s="44" t="s">
        <v>1876</v>
      </c>
      <c r="I2599" s="2">
        <v>1000</v>
      </c>
      <c r="J2599"/>
      <c r="K2599"/>
      <c r="L2599" s="44" t="str" cm="1">
        <f t="array" ref="L2599">+_xlfn.IFS(COUNTIF(INGRESOS!E:E,Tabla6[[#This Row],[ID FACTURA]])=1,"PAGADA",Tabla6[[#This Row],[ID FACTURA]]&lt;&gt;0,"EMITIDA",Tabla6[[#This Row],[ID FACTURA]]=0,"POR EMITIR")</f>
        <v>POR EMITIR</v>
      </c>
      <c r="M2599" s="55" t="str">
        <f>+IF(Tabla6[[#This Row],[ESTADO FACTURA]]="PAGADA",Tabla6[[#This Row],[FECHA]]-_xlfn.XLOOKUP(Tabla6[[#This Row],[N° FACTURA]],INGRESOS!F:F,INGRESOS!A:A),"-")</f>
        <v>-</v>
      </c>
      <c r="N2599" s="2"/>
      <c r="O2599"/>
    </row>
    <row r="2600" spans="1:15">
      <c r="A2600" s="320" t="s">
        <v>798</v>
      </c>
      <c r="B2600" t="str">
        <f>+_xlfn.XLOOKUP(Tabla6[[#This Row],[ID CLIENTE]],'RESUMEN CLIENTES'!D:D,'RESUMEN CLIENTES'!A:A)</f>
        <v>Juan Manuel Paranzino</v>
      </c>
      <c r="C2600" t="str">
        <f>+_xlfn.XLOOKUP(Tabla6[[#This Row],[ID CLIENTE]],'RESUMEN CLIENTES'!D:D,'RESUMEN CLIENTES'!C:C)</f>
        <v>Argentina</v>
      </c>
      <c r="D2600" s="44" t="str">
        <f>+_xlfn.XLOOKUP(Tabla6[[#This Row],[ID CLIENTE]],'RESUMEN CLIENTES'!D:D,'RESUMEN CLIENTES'!M:M)</f>
        <v>OK</v>
      </c>
      <c r="E2600" s="72">
        <f>+_xlfn.XLOOKUP(Tabla6[[#This Row],[NOMBRE]],'RESUMEN CLIENTES'!A:A,'RESUMEN CLIENTES'!X:X)</f>
        <v>-1</v>
      </c>
      <c r="F2600" s="72">
        <f>+_xlfn.XLOOKUP(Tabla6[[#This Row],[ID CLIENTE]],'RESUMEN CLIENTES'!D:D,'RESUMEN CLIENTES'!W:W)</f>
        <v>0</v>
      </c>
      <c r="G2600" s="17">
        <f>IF($H2600&lt;&gt;"ALEM","",IFERROR(
  DATE(
    YEAR(EDATE(
      _xlfn.XLOOKUP($A2600,'RESUMEN CLIENTES'!$D:$D,'RESUMEN CLIENTES'!$Y:$Y,""),
      7 + COUNTIFS(
            $A$2:INDEX($A:$A,ROW()), $A2600,
            $H$2:INDEX($H:$H,ROW()), "ALEM"
          )
    )),
    MONTH(EDATE(
      _xlfn.XLOOKUP($A2600,'RESUMEN CLIENTES'!$D:$D,'RESUMEN CLIENTES'!$Y:$Y,""),
      7 + COUNTIFS(
            $A$2:INDEX($A:$A,ROW()), $A2600,
            $H$2:INDEX($H:$H,ROW()), "ALEM"
          )
    )),
    1
  ),
"SIN FECHA MIG"))</f>
        <v>46722</v>
      </c>
      <c r="H2600" s="44" t="s">
        <v>1876</v>
      </c>
      <c r="I2600" s="2">
        <v>1000</v>
      </c>
      <c r="J2600"/>
      <c r="K2600"/>
      <c r="L2600" s="44" t="str" cm="1">
        <f t="array" ref="L2600">+_xlfn.IFS(COUNTIF(INGRESOS!E:E,Tabla6[[#This Row],[ID FACTURA]])=1,"PAGADA",Tabla6[[#This Row],[ID FACTURA]]&lt;&gt;0,"EMITIDA",Tabla6[[#This Row],[ID FACTURA]]=0,"POR EMITIR")</f>
        <v>POR EMITIR</v>
      </c>
      <c r="M2600" s="55" t="str">
        <f>+IF(Tabla6[[#This Row],[ESTADO FACTURA]]="PAGADA",Tabla6[[#This Row],[FECHA]]-_xlfn.XLOOKUP(Tabla6[[#This Row],[N° FACTURA]],INGRESOS!F:F,INGRESOS!A:A),"-")</f>
        <v>-</v>
      </c>
      <c r="N2600" s="2"/>
      <c r="O2600" t="s">
        <v>2084</v>
      </c>
    </row>
    <row r="2601" spans="1:15">
      <c r="A2601" s="320" t="s">
        <v>1461</v>
      </c>
      <c r="B2601" t="str">
        <f>+_xlfn.XLOOKUP(Tabla6[[#This Row],[ID CLIENTE]],'RESUMEN CLIENTES'!D:D,'RESUMEN CLIENTES'!A:A)</f>
        <v>Katerine Marianela Verastegui Mendoza</v>
      </c>
      <c r="C2601" t="str">
        <f>+_xlfn.XLOOKUP(Tabla6[[#This Row],[ID CLIENTE]],'RESUMEN CLIENTES'!D:D,'RESUMEN CLIENTES'!C:C)</f>
        <v>Perú</v>
      </c>
      <c r="D2601" s="44" t="str">
        <f>+_xlfn.XLOOKUP(Tabla6[[#This Row],[ID CLIENTE]],'RESUMEN CLIENTES'!D:D,'RESUMEN CLIENTES'!M:M)</f>
        <v>OK</v>
      </c>
      <c r="E2601" s="71">
        <f>+_xlfn.XLOOKUP(Tabla6[[#This Row],[NOMBRE]],'RESUMEN CLIENTES'!A:A,'RESUMEN CLIENTES'!X:X)</f>
        <v>-2</v>
      </c>
      <c r="F2601" s="71">
        <f>+_xlfn.XLOOKUP(Tabla6[[#This Row],[ID CLIENTE]],'RESUMEN CLIENTES'!D:D,'RESUMEN CLIENTES'!W:W)</f>
        <v>0</v>
      </c>
      <c r="G2601" s="17">
        <f>IF($H2601&lt;&gt;"ALEM","",IFERROR(
  DATE(
    YEAR(EDATE(
      _xlfn.XLOOKUP($A2601,'RESUMEN CLIENTES'!$D:$D,'RESUMEN CLIENTES'!$Y:$Y,""),
      7 + COUNTIFS(
            $A$2:INDEX($A:$A,ROW()), $A2601,
            $H$2:INDEX($H:$H,ROW()), "ALEM"
          )
    )),
    MONTH(EDATE(
      _xlfn.XLOOKUP($A2601,'RESUMEN CLIENTES'!$D:$D,'RESUMEN CLIENTES'!$Y:$Y,""),
      7 + COUNTIFS(
            $A$2:INDEX($A:$A,ROW()), $A2601,
            $H$2:INDEX($H:$H,ROW()), "ALEM"
          )
    )),
    1
  ),
"SIN FECHA MIG"))</f>
        <v>46722</v>
      </c>
      <c r="H2601" s="169" t="s">
        <v>1876</v>
      </c>
      <c r="I2601" s="2">
        <v>1000</v>
      </c>
      <c r="J2601"/>
      <c r="K2601"/>
      <c r="L2601" s="44" t="str" cm="1">
        <f t="array" ref="L2601">+_xlfn.IFS(COUNTIF(INGRESOS!E:E,Tabla6[[#This Row],[ID FACTURA]])=1,"PAGADA",Tabla6[[#This Row],[ID FACTURA]]&lt;&gt;0,"EMITIDA",Tabla6[[#This Row],[ID FACTURA]]=0,"POR EMITIR")</f>
        <v>POR EMITIR</v>
      </c>
      <c r="M2601" s="55" t="str">
        <f>+IF(Tabla6[[#This Row],[ESTADO FACTURA]]="PAGADA",Tabla6[[#This Row],[FECHA]]-_xlfn.XLOOKUP(Tabla6[[#This Row],[N° FACTURA]],INGRESOS!F:F,INGRESOS!A:A),"-")</f>
        <v>-</v>
      </c>
      <c r="N2601" s="2"/>
      <c r="O2601" t="s">
        <v>2086</v>
      </c>
    </row>
    <row r="2602" spans="1:15">
      <c r="A2602" s="320" t="s">
        <v>1482</v>
      </c>
      <c r="B2602" t="str">
        <f>+_xlfn.XLOOKUP(Tabla6[[#This Row],[ID CLIENTE]],'RESUMEN CLIENTES'!D:D,'RESUMEN CLIENTES'!A:A)</f>
        <v>Laxmi Davi Patel Flores</v>
      </c>
      <c r="C2602" t="str">
        <f>+_xlfn.XLOOKUP(Tabla6[[#This Row],[ID CLIENTE]],'RESUMEN CLIENTES'!D:D,'RESUMEN CLIENTES'!C:C)</f>
        <v>Ecuador</v>
      </c>
      <c r="D2602" s="44" t="str">
        <f>+_xlfn.XLOOKUP(Tabla6[[#This Row],[ID CLIENTE]],'RESUMEN CLIENTES'!D:D,'RESUMEN CLIENTES'!M:M)</f>
        <v>OK</v>
      </c>
      <c r="E2602" s="71">
        <f>+_xlfn.XLOOKUP(Tabla6[[#This Row],[NOMBRE]],'RESUMEN CLIENTES'!A:A,'RESUMEN CLIENTES'!X:X)</f>
        <v>-1.5714285714285714</v>
      </c>
      <c r="F2602" s="71">
        <f>+_xlfn.XLOOKUP(Tabla6[[#This Row],[ID CLIENTE]],'RESUMEN CLIENTES'!D:D,'RESUMEN CLIENTES'!W:W)</f>
        <v>0</v>
      </c>
      <c r="G2602" s="17">
        <f>IF($H2602&lt;&gt;"ALEM","",IFERROR(
  DATE(
    YEAR(EDATE(
      _xlfn.XLOOKUP($A2602,'RESUMEN CLIENTES'!$D:$D,'RESUMEN CLIENTES'!$Y:$Y,""),
      7 + COUNTIFS(
            $A$2:INDEX($A:$A,ROW()), $A2602,
            $H$2:INDEX($H:$H,ROW()), "ALEM"
          )
    )),
    MONTH(EDATE(
      _xlfn.XLOOKUP($A2602,'RESUMEN CLIENTES'!$D:$D,'RESUMEN CLIENTES'!$Y:$Y,""),
      7 + COUNTIFS(
            $A$2:INDEX($A:$A,ROW()), $A2602,
            $H$2:INDEX($H:$H,ROW()), "ALEM"
          )
    )),
    1
  ),
"SIN FECHA MIG"))</f>
        <v>46722</v>
      </c>
      <c r="H2602" s="169" t="s">
        <v>1876</v>
      </c>
      <c r="I2602" s="2">
        <v>800</v>
      </c>
      <c r="J2602"/>
      <c r="K2602"/>
      <c r="L2602" s="44" t="str" cm="1">
        <f t="array" ref="L2602">+_xlfn.IFS(COUNTIF(INGRESOS!E:E,Tabla6[[#This Row],[ID FACTURA]])=1,"PAGADA",Tabla6[[#This Row],[ID FACTURA]]&lt;&gt;0,"EMITIDA",Tabla6[[#This Row],[ID FACTURA]]=0,"POR EMITIR")</f>
        <v>POR EMITIR</v>
      </c>
      <c r="M2602" s="55" t="str">
        <f>+IF(Tabla6[[#This Row],[ESTADO FACTURA]]="PAGADA",Tabla6[[#This Row],[FECHA]]-_xlfn.XLOOKUP(Tabla6[[#This Row],[N° FACTURA]],INGRESOS!F:F,INGRESOS!A:A),"-")</f>
        <v>-</v>
      </c>
      <c r="N2602" s="2"/>
      <c r="O2602" t="s">
        <v>2086</v>
      </c>
    </row>
    <row r="2603" spans="1:15">
      <c r="A2603" s="320" t="s">
        <v>1551</v>
      </c>
      <c r="B2603" t="str">
        <f>+_xlfn.XLOOKUP(Tabla6[[#This Row],[ID CLIENTE]],'RESUMEN CLIENTES'!D:D,'RESUMEN CLIENTES'!A:A)</f>
        <v>María Fernanda Cid Ramírez</v>
      </c>
      <c r="C2603" t="str">
        <f>+_xlfn.XLOOKUP(Tabla6[[#This Row],[ID CLIENTE]],'RESUMEN CLIENTES'!D:D,'RESUMEN CLIENTES'!C:C)</f>
        <v>México</v>
      </c>
      <c r="D2603" s="44" t="str">
        <f>+_xlfn.XLOOKUP(Tabla6[[#This Row],[ID CLIENTE]],'RESUMEN CLIENTES'!D:D,'RESUMEN CLIENTES'!M:M)</f>
        <v>OK</v>
      </c>
      <c r="E2603" s="71">
        <f>+_xlfn.XLOOKUP(Tabla6[[#This Row],[NOMBRE]],'RESUMEN CLIENTES'!A:A,'RESUMEN CLIENTES'!X:X)</f>
        <v>-0.8571428571428571</v>
      </c>
      <c r="F2603" s="71">
        <f>+_xlfn.XLOOKUP(Tabla6[[#This Row],[ID CLIENTE]],'RESUMEN CLIENTES'!D:D,'RESUMEN CLIENTES'!W:W)</f>
        <v>0</v>
      </c>
      <c r="G2603" s="17">
        <f>IF($H2603&lt;&gt;"ALEM","",IFERROR(
  DATE(
    YEAR(EDATE(
      _xlfn.XLOOKUP($A2603,'RESUMEN CLIENTES'!$D:$D,'RESUMEN CLIENTES'!$Y:$Y,""),
      7 + COUNTIFS(
            $A$2:INDEX($A:$A,ROW()), $A2603,
            $H$2:INDEX($H:$H,ROW()), "ALEM"
          )
    )),
    MONTH(EDATE(
      _xlfn.XLOOKUP($A2603,'RESUMEN CLIENTES'!$D:$D,'RESUMEN CLIENTES'!$Y:$Y,""),
      7 + COUNTIFS(
            $A$2:INDEX($A:$A,ROW()), $A2603,
            $H$2:INDEX($H:$H,ROW()), "ALEM"
          )
    )),
    1
  ),
"SIN FECHA MIG"))</f>
        <v>46722</v>
      </c>
      <c r="H2603" s="169" t="s">
        <v>1876</v>
      </c>
      <c r="I2603" s="2">
        <v>800</v>
      </c>
      <c r="J2603"/>
      <c r="K2603"/>
      <c r="L2603" s="44" t="str" cm="1">
        <f t="array" ref="L2603">+_xlfn.IFS(COUNTIF(INGRESOS!E:E,Tabla6[[#This Row],[ID FACTURA]])=1,"PAGADA",Tabla6[[#This Row],[ID FACTURA]]&lt;&gt;0,"EMITIDA",Tabla6[[#This Row],[ID FACTURA]]=0,"POR EMITIR")</f>
        <v>POR EMITIR</v>
      </c>
      <c r="M2603" s="55" t="str">
        <f>+IF(Tabla6[[#This Row],[ESTADO FACTURA]]="PAGADA",Tabla6[[#This Row],[FECHA]]-_xlfn.XLOOKUP(Tabla6[[#This Row],[N° FACTURA]],INGRESOS!F:F,INGRESOS!A:A),"-")</f>
        <v>-</v>
      </c>
      <c r="N2603" s="2"/>
      <c r="O2603" t="s">
        <v>2086</v>
      </c>
    </row>
    <row r="2604" spans="1:15">
      <c r="A2604" s="320" t="s">
        <v>1201</v>
      </c>
      <c r="B2604" t="str">
        <f>+_xlfn.XLOOKUP(Tabla6[[#This Row],[ID CLIENTE]],'RESUMEN CLIENTES'!D:D,'RESUMEN CLIENTES'!A:A)</f>
        <v>María Soledad Tituana Asanza</v>
      </c>
      <c r="C2604" t="str">
        <f>+_xlfn.XLOOKUP(Tabla6[[#This Row],[ID CLIENTE]],'RESUMEN CLIENTES'!D:D,'RESUMEN CLIENTES'!C:C)</f>
        <v>Ecuador</v>
      </c>
      <c r="D2604" s="44" t="str">
        <f>+_xlfn.XLOOKUP(Tabla6[[#This Row],[ID CLIENTE]],'RESUMEN CLIENTES'!D:D,'RESUMEN CLIENTES'!M:M)</f>
        <v>OK</v>
      </c>
      <c r="E2604" s="72">
        <f>+_xlfn.XLOOKUP(Tabla6[[#This Row],[NOMBRE]],'RESUMEN CLIENTES'!A:A,'RESUMEN CLIENTES'!X:X)</f>
        <v>-0.16666666666666666</v>
      </c>
      <c r="F2604" s="72">
        <f>+_xlfn.XLOOKUP(Tabla6[[#This Row],[ID CLIENTE]],'RESUMEN CLIENTES'!D:D,'RESUMEN CLIENTES'!W:W)</f>
        <v>0</v>
      </c>
      <c r="G2604" s="17">
        <f>IF($H2604&lt;&gt;"ALEM","",IFERROR(
  DATE(
    YEAR(EDATE(
      _xlfn.XLOOKUP($A2604,'RESUMEN CLIENTES'!$D:$D,'RESUMEN CLIENTES'!$Y:$Y,""),
      7 + COUNTIFS(
            $A$2:INDEX($A:$A,ROW()), $A2604,
            $H$2:INDEX($H:$H,ROW()), "ALEM"
          )
    )),
    MONTH(EDATE(
      _xlfn.XLOOKUP($A2604,'RESUMEN CLIENTES'!$D:$D,'RESUMEN CLIENTES'!$Y:$Y,""),
      7 + COUNTIFS(
            $A$2:INDEX($A:$A,ROW()), $A2604,
            $H$2:INDEX($H:$H,ROW()), "ALEM"
          )
    )),
    1
  ),
"SIN FECHA MIG"))</f>
        <v>46722</v>
      </c>
      <c r="H2604" s="44" t="s">
        <v>1876</v>
      </c>
      <c r="I2604" s="2">
        <v>1000</v>
      </c>
      <c r="J2604"/>
      <c r="K2604"/>
      <c r="L2604" s="44" t="str" cm="1">
        <f t="array" ref="L2604">+_xlfn.IFS(COUNTIF(INGRESOS!E:E,Tabla6[[#This Row],[ID FACTURA]])=1,"PAGADA",Tabla6[[#This Row],[ID FACTURA]]&lt;&gt;0,"EMITIDA",Tabla6[[#This Row],[ID FACTURA]]=0,"POR EMITIR")</f>
        <v>POR EMITIR</v>
      </c>
      <c r="M2604" s="55" t="str">
        <f>+IF(Tabla6[[#This Row],[ESTADO FACTURA]]="PAGADA",Tabla6[[#This Row],[FECHA]]-_xlfn.XLOOKUP(Tabla6[[#This Row],[N° FACTURA]],INGRESOS!F:F,INGRESOS!A:A),"-")</f>
        <v>-</v>
      </c>
      <c r="N2604" s="2"/>
      <c r="O2604" t="s">
        <v>2084</v>
      </c>
    </row>
    <row r="2605" spans="1:15">
      <c r="A2605" s="320" t="s">
        <v>1155</v>
      </c>
      <c r="B2605" t="str">
        <f>+_xlfn.XLOOKUP(Tabla6[[#This Row],[ID CLIENTE]],'RESUMEN CLIENTES'!D:D,'RESUMEN CLIENTES'!A:A)</f>
        <v>Mario Arciga Casián</v>
      </c>
      <c r="C2605" t="str">
        <f>+_xlfn.XLOOKUP(Tabla6[[#This Row],[ID CLIENTE]],'RESUMEN CLIENTES'!D:D,'RESUMEN CLIENTES'!C:C)</f>
        <v>México</v>
      </c>
      <c r="D2605" s="44" t="str">
        <f>+_xlfn.XLOOKUP(Tabla6[[#This Row],[ID CLIENTE]],'RESUMEN CLIENTES'!D:D,'RESUMEN CLIENTES'!M:M)</f>
        <v>OK</v>
      </c>
      <c r="E2605" s="72">
        <f>+_xlfn.XLOOKUP(Tabla6[[#This Row],[NOMBRE]],'RESUMEN CLIENTES'!A:A,'RESUMEN CLIENTES'!X:X)</f>
        <v>-0.66666666666666663</v>
      </c>
      <c r="F2605" s="72">
        <f>+_xlfn.XLOOKUP(Tabla6[[#This Row],[ID CLIENTE]],'RESUMEN CLIENTES'!D:D,'RESUMEN CLIENTES'!W:W)</f>
        <v>1</v>
      </c>
      <c r="G2605" s="17">
        <f>IF($H2605&lt;&gt;"ALEM","",IFERROR(
  DATE(
    YEAR(EDATE(
      _xlfn.XLOOKUP($A2605,'RESUMEN CLIENTES'!$D:$D,'RESUMEN CLIENTES'!$Y:$Y,""),
      7 + COUNTIFS(
            $A$2:INDEX($A:$A,ROW()), $A2605,
            $H$2:INDEX($H:$H,ROW()), "ALEM"
          )
    )),
    MONTH(EDATE(
      _xlfn.XLOOKUP($A2605,'RESUMEN CLIENTES'!$D:$D,'RESUMEN CLIENTES'!$Y:$Y,""),
      7 + COUNTIFS(
            $A$2:INDEX($A:$A,ROW()), $A2605,
            $H$2:INDEX($H:$H,ROW()), "ALEM"
          )
    )),
    1
  ),
"SIN FECHA MIG"))</f>
        <v>46722</v>
      </c>
      <c r="H2605" s="44" t="s">
        <v>1876</v>
      </c>
      <c r="I2605" s="2">
        <v>800</v>
      </c>
      <c r="J2605"/>
      <c r="K2605"/>
      <c r="L2605" s="44" t="str" cm="1">
        <f t="array" ref="L2605">+_xlfn.IFS(COUNTIF(INGRESOS!E:E,Tabla6[[#This Row],[ID FACTURA]])=1,"PAGADA",Tabla6[[#This Row],[ID FACTURA]]&lt;&gt;0,"EMITIDA",Tabla6[[#This Row],[ID FACTURA]]=0,"POR EMITIR")</f>
        <v>POR EMITIR</v>
      </c>
      <c r="M2605" s="55" t="str">
        <f>+IF(Tabla6[[#This Row],[ESTADO FACTURA]]="PAGADA",Tabla6[[#This Row],[FECHA]]-_xlfn.XLOOKUP(Tabla6[[#This Row],[N° FACTURA]],INGRESOS!F:F,INGRESOS!A:A),"-")</f>
        <v>-</v>
      </c>
      <c r="N2605" s="2"/>
      <c r="O2605"/>
    </row>
    <row r="2606" spans="1:15">
      <c r="A2606" s="320" t="s">
        <v>4509</v>
      </c>
      <c r="B2606" t="str">
        <f>+_xlfn.XLOOKUP(Tabla6[[#This Row],[ID CLIENTE]],'RESUMEN CLIENTES'!D:D,'RESUMEN CLIENTES'!A:A)</f>
        <v>Marisol Madeleine Ibáñez Paredes</v>
      </c>
      <c r="C2606" t="str">
        <f>+_xlfn.XLOOKUP(Tabla6[[#This Row],[ID CLIENTE]],'RESUMEN CLIENTES'!D:D,'RESUMEN CLIENTES'!C:C)</f>
        <v>Ecuador</v>
      </c>
      <c r="D2606" s="169" t="str">
        <f>+_xlfn.XLOOKUP(Tabla6[[#This Row],[ID CLIENTE]],'RESUMEN CLIENTES'!D:D,'RESUMEN CLIENTES'!M:M)</f>
        <v>OK</v>
      </c>
      <c r="E2606" s="71">
        <f>+_xlfn.XLOOKUP(Tabla6[[#This Row],[NOMBRE]],'RESUMEN CLIENTES'!A:A,'RESUMEN CLIENTES'!X:X)</f>
        <v>-3</v>
      </c>
      <c r="F2606" s="71">
        <f>+_xlfn.XLOOKUP(Tabla6[[#This Row],[ID CLIENTE]],'RESUMEN CLIENTES'!D:D,'RESUMEN CLIENTES'!W:W)</f>
        <v>0</v>
      </c>
      <c r="G2606" s="17">
        <f>IF($H2606&lt;&gt;"ALEM","",IFERROR(
  DATE(
    YEAR(EDATE(
      _xlfn.XLOOKUP($A2606,'RESUMEN CLIENTES'!$D:$D,'RESUMEN CLIENTES'!$Y:$Y,""),
      7 + COUNTIFS(
            $A$2:INDEX($A:$A,ROW()), $A2606,
            $H$2:INDEX($H:$H,ROW()), "ALEM"
          )
    )),
    MONTH(EDATE(
      _xlfn.XLOOKUP($A2606,'RESUMEN CLIENTES'!$D:$D,'RESUMEN CLIENTES'!$Y:$Y,""),
      7 + COUNTIFS(
            $A$2:INDEX($A:$A,ROW()), $A2606,
            $H$2:INDEX($H:$H,ROW()), "ALEM"
          )
    )),
    1
  ),
"null"))</f>
        <v>46722</v>
      </c>
      <c r="H2606" s="169" t="s">
        <v>1876</v>
      </c>
      <c r="I2606" s="2">
        <v>900</v>
      </c>
      <c r="J2606"/>
      <c r="K2606"/>
      <c r="L2606" s="44" t="str" cm="1">
        <f t="array" ref="L2606">+_xlfn.IFS(COUNTIF(INGRESOS!E:E,Tabla6[[#This Row],[ID FACTURA]])=1,"PAGADA",Tabla6[[#This Row],[ID FACTURA]]&lt;&gt;0,"EMITIDA",Tabla6[[#This Row],[ID FACTURA]]=0,"POR EMITIR")</f>
        <v>POR EMITIR</v>
      </c>
      <c r="M2606" s="54" t="str">
        <f>+IF(Tabla6[[#This Row],[ESTADO FACTURA]]="PAGADA",Tabla6[[#This Row],[FECHA]]-_xlfn.XLOOKUP(Tabla6[[#This Row],[N° FACTURA]],INGRESOS!F:F,INGRESOS!A:A),"-")</f>
        <v>-</v>
      </c>
      <c r="O2606"/>
    </row>
    <row r="2607" spans="1:15">
      <c r="A2607" s="320" t="s">
        <v>1658</v>
      </c>
      <c r="B2607" t="str">
        <f>+_xlfn.XLOOKUP(Tabla6[[#This Row],[ID CLIENTE]],'RESUMEN CLIENTES'!D:D,'RESUMEN CLIENTES'!A:A)</f>
        <v>Nadya Sofía García Carrasco</v>
      </c>
      <c r="C2607" t="str">
        <f>+_xlfn.XLOOKUP(Tabla6[[#This Row],[ID CLIENTE]],'RESUMEN CLIENTES'!D:D,'RESUMEN CLIENTES'!C:C)</f>
        <v>Ecuador</v>
      </c>
      <c r="D2607" s="169" t="str">
        <f>+_xlfn.XLOOKUP(Tabla6[[#This Row],[ID CLIENTE]],'RESUMEN CLIENTES'!D:D,'RESUMEN CLIENTES'!M:M)</f>
        <v>OK</v>
      </c>
      <c r="E2607" s="71">
        <f>+_xlfn.XLOOKUP(Tabla6[[#This Row],[NOMBRE]],'RESUMEN CLIENTES'!A:A,'RESUMEN CLIENTES'!X:X)</f>
        <v>0</v>
      </c>
      <c r="F2607" s="71">
        <f>+_xlfn.XLOOKUP(Tabla6[[#This Row],[ID CLIENTE]],'RESUMEN CLIENTES'!D:D,'RESUMEN CLIENTES'!W:W)</f>
        <v>1</v>
      </c>
      <c r="G2607" s="17">
        <f>IF($H2607&lt;&gt;"ALEM","",IFERROR(
  DATE(
    YEAR(EDATE(
      _xlfn.XLOOKUP($A2607,'RESUMEN CLIENTES'!$D:$D,'RESUMEN CLIENTES'!$Y:$Y,""),
      7 + COUNTIFS(
            $A$2:INDEX($A:$A,ROW()), $A2607,
            $H$2:INDEX($H:$H,ROW()), "ALEM"
          )
    )),
    MONTH(EDATE(
      _xlfn.XLOOKUP($A2607,'RESUMEN CLIENTES'!$D:$D,'RESUMEN CLIENTES'!$Y:$Y,""),
      7 + COUNTIFS(
            $A$2:INDEX($A:$A,ROW()), $A2607,
            $H$2:INDEX($H:$H,ROW()), "ALEM"
          )
    )),
    1
  ),
"SIN FECHA MIG"))</f>
        <v>46722</v>
      </c>
      <c r="H2607" s="169" t="s">
        <v>1876</v>
      </c>
      <c r="I2607" s="2">
        <v>800</v>
      </c>
      <c r="J2607"/>
      <c r="K2607"/>
      <c r="L2607" s="44" t="str" cm="1">
        <f t="array" ref="L2607">+_xlfn.IFS(COUNTIF(INGRESOS!E:E,Tabla6[[#This Row],[ID FACTURA]])=1,"PAGADA",Tabla6[[#This Row],[ID FACTURA]]&lt;&gt;0,"EMITIDA",Tabla6[[#This Row],[ID FACTURA]]=0,"POR EMITIR")</f>
        <v>POR EMITIR</v>
      </c>
      <c r="M2607" s="55" t="str">
        <f>+IF(Tabla6[[#This Row],[ESTADO FACTURA]]="PAGADA",Tabla6[[#This Row],[FECHA]]-_xlfn.XLOOKUP(Tabla6[[#This Row],[N° FACTURA]],INGRESOS!F:F,INGRESOS!A:A),"-")</f>
        <v>-</v>
      </c>
      <c r="O2607"/>
    </row>
    <row r="2608" spans="1:15">
      <c r="A2608" s="320" t="s">
        <v>994</v>
      </c>
      <c r="B2608" t="str">
        <f>+_xlfn.XLOOKUP(Tabla6[[#This Row],[ID CLIENTE]],'RESUMEN CLIENTES'!D:D,'RESUMEN CLIENTES'!A:A)</f>
        <v>Raúl Ernesto Martínez Orantes</v>
      </c>
      <c r="C2608" t="str">
        <f>+_xlfn.XLOOKUP(Tabla6[[#This Row],[ID CLIENTE]],'RESUMEN CLIENTES'!D:D,'RESUMEN CLIENTES'!C:C)</f>
        <v>El Salvador</v>
      </c>
      <c r="D2608" s="44" t="str">
        <f>+_xlfn.XLOOKUP(Tabla6[[#This Row],[ID CLIENTE]],'RESUMEN CLIENTES'!D:D,'RESUMEN CLIENTES'!M:M)</f>
        <v>OK</v>
      </c>
      <c r="E2608" s="72">
        <f>+_xlfn.XLOOKUP(Tabla6[[#This Row],[NOMBRE]],'RESUMEN CLIENTES'!A:A,'RESUMEN CLIENTES'!X:X)</f>
        <v>1.1428571428571428</v>
      </c>
      <c r="F2608" s="72">
        <f>+_xlfn.XLOOKUP(Tabla6[[#This Row],[ID CLIENTE]],'RESUMEN CLIENTES'!D:D,'RESUMEN CLIENTES'!W:W)</f>
        <v>1</v>
      </c>
      <c r="G2608" s="17">
        <f>IF($H2608&lt;&gt;"ALEM","",IFERROR(
  DATE(
    YEAR(EDATE(
      _xlfn.XLOOKUP($A2608,'RESUMEN CLIENTES'!$D:$D,'RESUMEN CLIENTES'!$Y:$Y,""),
      7 + COUNTIFS(
            $A$2:INDEX($A:$A,ROW()), $A2608,
            $H$2:INDEX($H:$H,ROW()), "ALEM"
          )
    )),
    MONTH(EDATE(
      _xlfn.XLOOKUP($A2608,'RESUMEN CLIENTES'!$D:$D,'RESUMEN CLIENTES'!$Y:$Y,""),
      7 + COUNTIFS(
            $A$2:INDEX($A:$A,ROW()), $A2608,
            $H$2:INDEX($H:$H,ROW()), "ALEM"
          )
    )),
    1
  ),
"SIN FECHA MIG"))</f>
        <v>46722</v>
      </c>
      <c r="H2608" s="44" t="s">
        <v>1876</v>
      </c>
      <c r="I2608" s="2">
        <v>800</v>
      </c>
      <c r="J2608"/>
      <c r="K2608"/>
      <c r="L2608" s="44" t="str" cm="1">
        <f t="array" ref="L2608">+_xlfn.IFS(COUNTIF(INGRESOS!E:E,Tabla6[[#This Row],[ID FACTURA]])=1,"PAGADA",Tabla6[[#This Row],[ID FACTURA]]&lt;&gt;0,"EMITIDA",Tabla6[[#This Row],[ID FACTURA]]=0,"POR EMITIR")</f>
        <v>POR EMITIR</v>
      </c>
      <c r="M2608" s="55" t="str">
        <f>+IF(Tabla6[[#This Row],[ESTADO FACTURA]]="PAGADA",Tabla6[[#This Row],[FECHA]]-_xlfn.XLOOKUP(Tabla6[[#This Row],[N° FACTURA]],INGRESOS!F:F,INGRESOS!A:A),"-")</f>
        <v>-</v>
      </c>
      <c r="N2608" s="2"/>
      <c r="O2608"/>
    </row>
    <row r="2609" spans="1:15">
      <c r="A2609" s="320" t="s">
        <v>1419</v>
      </c>
      <c r="B2609" t="str">
        <f>+_xlfn.XLOOKUP(Tabla6[[#This Row],[ID CLIENTE]],'RESUMEN CLIENTES'!D:D,'RESUMEN CLIENTES'!A:A)</f>
        <v>Rocio Natalia López Núñez</v>
      </c>
      <c r="C2609" t="str">
        <f>+_xlfn.XLOOKUP(Tabla6[[#This Row],[ID CLIENTE]],'RESUMEN CLIENTES'!D:D,'RESUMEN CLIENTES'!C:C)</f>
        <v>Chile</v>
      </c>
      <c r="D2609" s="44" t="str">
        <f>+_xlfn.XLOOKUP(Tabla6[[#This Row],[ID CLIENTE]],'RESUMEN CLIENTES'!D:D,'RESUMEN CLIENTES'!M:M)</f>
        <v>OK</v>
      </c>
      <c r="E2609" s="71">
        <f>+_xlfn.XLOOKUP(Tabla6[[#This Row],[NOMBRE]],'RESUMEN CLIENTES'!A:A,'RESUMEN CLIENTES'!X:X)</f>
        <v>0</v>
      </c>
      <c r="F2609" s="71">
        <f>+_xlfn.XLOOKUP(Tabla6[[#This Row],[ID CLIENTE]],'RESUMEN CLIENTES'!D:D,'RESUMEN CLIENTES'!W:W)</f>
        <v>0</v>
      </c>
      <c r="G2609" s="17">
        <f>IF($H2609&lt;&gt;"ALEM","",IFERROR(
  DATE(
    YEAR(EDATE(
      _xlfn.XLOOKUP($A2609,'RESUMEN CLIENTES'!$D:$D,'RESUMEN CLIENTES'!$Y:$Y,""),
      7 + COUNTIFS(
            $A$2:INDEX($A:$A,ROW()), $A2609,
            $H$2:INDEX($H:$H,ROW()), "ALEM"
          )
    )),
    MONTH(EDATE(
      _xlfn.XLOOKUP($A2609,'RESUMEN CLIENTES'!$D:$D,'RESUMEN CLIENTES'!$Y:$Y,""),
      7 + COUNTIFS(
            $A$2:INDEX($A:$A,ROW()), $A2609,
            $H$2:INDEX($H:$H,ROW()), "ALEM"
          )
    )),
    1
  ),
"SIN FECHA MIG"))</f>
        <v>46722</v>
      </c>
      <c r="H2609" s="169" t="s">
        <v>1876</v>
      </c>
      <c r="I2609" s="2">
        <v>800</v>
      </c>
      <c r="J2609"/>
      <c r="K2609"/>
      <c r="L2609" s="44" t="str" cm="1">
        <f t="array" ref="L2609">+_xlfn.IFS(COUNTIF(INGRESOS!E:E,Tabla6[[#This Row],[ID FACTURA]])=1,"PAGADA",Tabla6[[#This Row],[ID FACTURA]]&lt;&gt;0,"EMITIDA",Tabla6[[#This Row],[ID FACTURA]]=0,"POR EMITIR")</f>
        <v>POR EMITIR</v>
      </c>
      <c r="M2609" s="55" t="str">
        <f>+IF(Tabla6[[#This Row],[ESTADO FACTURA]]="PAGADA",Tabla6[[#This Row],[FECHA]]-_xlfn.XLOOKUP(Tabla6[[#This Row],[N° FACTURA]],INGRESOS!F:F,INGRESOS!A:A),"-")</f>
        <v>-</v>
      </c>
      <c r="N2609" s="2"/>
      <c r="O2609"/>
    </row>
    <row r="2610" spans="1:15">
      <c r="A2610" s="320" t="s">
        <v>6696</v>
      </c>
      <c r="B2610" t="str">
        <f>+_xlfn.XLOOKUP(Tabla6[[#This Row],[ID CLIENTE]],'RESUMEN CLIENTES'!D:D,'RESUMEN CLIENTES'!A:A)</f>
        <v>Stiben Lopez Vargas</v>
      </c>
      <c r="C2610" s="15" t="str">
        <f>+_xlfn.XLOOKUP(Tabla6[[#This Row],[ID CLIENTE]],'RESUMEN CLIENTES'!D:D,'RESUMEN CLIENTES'!C:C)</f>
        <v>Colombia</v>
      </c>
      <c r="D2610" s="169" t="str">
        <f>+_xlfn.XLOOKUP(Tabla6[[#This Row],[ID CLIENTE]],'RESUMEN CLIENTES'!D:D,'RESUMEN CLIENTES'!M:M)</f>
        <v xml:space="preserve">TRASPASAR </v>
      </c>
      <c r="E2610" s="71">
        <f>+_xlfn.XLOOKUP(Tabla6[[#This Row],[NOMBRE]],'RESUMEN CLIENTES'!A:A,'RESUMEN CLIENTES'!X:X)</f>
        <v>58</v>
      </c>
      <c r="F2610" s="71">
        <f>+_xlfn.XLOOKUP(Tabla6[[#This Row],[ID CLIENTE]],'RESUMEN CLIENTES'!D:D,'RESUMEN CLIENTES'!W:W)</f>
        <v>0</v>
      </c>
      <c r="G2610" s="17">
        <f>IF($H2610&lt;&gt;"ALEM","",IFERROR(
  DATE(
    YEAR(EDATE(
      _xlfn.XLOOKUP($A2610,'RESUMEN CLIENTES'!$D:$D,'RESUMEN CLIENTES'!$Y:$Y,""),
      7 + COUNTIFS(
            $A$2:INDEX($A:$A,ROW()), $A2610,
            $H$2:INDEX($H:$H,ROW()), "ALEM"
          )
    )),
    MONTH(EDATE(
      _xlfn.XLOOKUP($A2610,'RESUMEN CLIENTES'!$D:$D,'RESUMEN CLIENTES'!$Y:$Y,""),
      7 + COUNTIFS(
            $A$2:INDEX($A:$A,ROW()), $A2610,
            $H$2:INDEX($H:$H,ROW()), "ALEM"
          )
    )),
    1
  ),
"null"))</f>
        <v>46722</v>
      </c>
      <c r="H2610" s="169" t="s">
        <v>1876</v>
      </c>
      <c r="I2610" s="2">
        <v>1000</v>
      </c>
      <c r="J2610"/>
      <c r="K2610"/>
      <c r="L2610" s="44" t="str" cm="1">
        <f t="array" ref="L2610">+_xlfn.IFS(COUNTIF(INGRESOS!E:E,Tabla6[[#This Row],[ID FACTURA]])=1,"PAGADA",Tabla6[[#This Row],[ID FACTURA]]&lt;&gt;0,"EMITIDA",Tabla6[[#This Row],[ID FACTURA]]=0,"POR EMITIR")</f>
        <v>POR EMITIR</v>
      </c>
      <c r="M2610" s="54" t="str">
        <f>+IF(Tabla6[[#This Row],[ESTADO FACTURA]]="PAGADA",Tabla6[[#This Row],[FECHA]]-_xlfn.XLOOKUP(Tabla6[[#This Row],[N° FACTURA]],INGRESOS!F:F,INGRESOS!A:A),"-")</f>
        <v>-</v>
      </c>
      <c r="O2610"/>
    </row>
    <row r="2611" spans="1:15">
      <c r="A2611" s="320" t="s">
        <v>2521</v>
      </c>
      <c r="B2611" t="str">
        <f>+_xlfn.XLOOKUP(Tabla6[[#This Row],[ID CLIENTE]],'RESUMEN CLIENTES'!D:D,'RESUMEN CLIENTES'!A:A)</f>
        <v>Fabián Andrés Sarmiento Auli</v>
      </c>
      <c r="C2611" t="str">
        <f>+_xlfn.XLOOKUP(Tabla6[[#This Row],[ID CLIENTE]],'RESUMEN CLIENTES'!D:D,'RESUMEN CLIENTES'!C:C)</f>
        <v>Colombia</v>
      </c>
      <c r="D2611" s="169" t="str">
        <f>+_xlfn.XLOOKUP(Tabla6[[#This Row],[ID CLIENTE]],'RESUMEN CLIENTES'!D:D,'RESUMEN CLIENTES'!M:M)</f>
        <v>OK</v>
      </c>
      <c r="E2611" s="71">
        <f>+_xlfn.XLOOKUP(Tabla6[[#This Row],[NOMBRE]],'RESUMEN CLIENTES'!A:A,'RESUMEN CLIENTES'!X:X)</f>
        <v>0</v>
      </c>
      <c r="F2611" s="71">
        <f>+_xlfn.XLOOKUP(Tabla6[[#This Row],[ID CLIENTE]],'RESUMEN CLIENTES'!D:D,'RESUMEN CLIENTES'!W:W)</f>
        <v>0</v>
      </c>
      <c r="G2611" s="17">
        <v>46726</v>
      </c>
      <c r="H2611" s="169" t="s">
        <v>81</v>
      </c>
      <c r="I2611" s="2">
        <v>650</v>
      </c>
      <c r="J2611"/>
      <c r="K2611"/>
      <c r="L2611" s="44" t="str" cm="1">
        <f t="array" ref="L2611">+_xlfn.IFS(COUNTIF(INGRESOS!E:E,Tabla6[[#This Row],[ID FACTURA]])=1,"PAGADA",Tabla6[[#This Row],[ID FACTURA]]&lt;&gt;0,"EMITIDA",Tabla6[[#This Row],[ID FACTURA]]=0,"POR EMITIR")</f>
        <v>POR EMITIR</v>
      </c>
      <c r="M2611" s="54" t="str">
        <f>+IF(Tabla6[[#This Row],[ESTADO FACTURA]]="PAGADA",Tabla6[[#This Row],[FECHA]]-_xlfn.XLOOKUP(Tabla6[[#This Row],[N° FACTURA]],INGRESOS!F:F,INGRESOS!A:A),"-")</f>
        <v>-</v>
      </c>
      <c r="O2611"/>
    </row>
    <row r="2612" spans="1:15">
      <c r="A2612" s="320" t="s">
        <v>1416</v>
      </c>
      <c r="B2612" t="str">
        <f>+_xlfn.XLOOKUP(Tabla6[[#This Row],[ID CLIENTE]],'RESUMEN CLIENTES'!D:D,'RESUMEN CLIENTES'!A:A)</f>
        <v>Luis Armando Calderon Manzanera</v>
      </c>
      <c r="C2612" t="str">
        <f>+_xlfn.XLOOKUP(Tabla6[[#This Row],[ID CLIENTE]],'RESUMEN CLIENTES'!D:D,'RESUMEN CLIENTES'!C:C)</f>
        <v>México</v>
      </c>
      <c r="D2612" s="44" t="str">
        <f>+_xlfn.XLOOKUP(Tabla6[[#This Row],[ID CLIENTE]],'RESUMEN CLIENTES'!D:D,'RESUMEN CLIENTES'!M:M)</f>
        <v>OK</v>
      </c>
      <c r="E2612" s="71">
        <f>+_xlfn.XLOOKUP(Tabla6[[#This Row],[NOMBRE]],'RESUMEN CLIENTES'!A:A,'RESUMEN CLIENTES'!X:X)</f>
        <v>2</v>
      </c>
      <c r="F2612" s="71">
        <f>+_xlfn.XLOOKUP(Tabla6[[#This Row],[ID CLIENTE]],'RESUMEN CLIENTES'!D:D,'RESUMEN CLIENTES'!W:W)</f>
        <v>1</v>
      </c>
      <c r="G2612" s="17">
        <v>46726</v>
      </c>
      <c r="H2612" s="44" t="s">
        <v>81</v>
      </c>
      <c r="I2612" s="2">
        <v>650</v>
      </c>
      <c r="J2612"/>
      <c r="K2612"/>
      <c r="L2612" s="44" t="str" cm="1">
        <f t="array" ref="L2612">+_xlfn.IFS(COUNTIF(INGRESOS!E:E,Tabla6[[#This Row],[ID FACTURA]])=1,"PAGADA",Tabla6[[#This Row],[ID FACTURA]]&lt;&gt;0,"EMITIDA",Tabla6[[#This Row],[ID FACTURA]]=0,"POR EMITIR")</f>
        <v>POR EMITIR</v>
      </c>
      <c r="M2612" s="55" t="str">
        <f>+IF(Tabla6[[#This Row],[ESTADO FACTURA]]="PAGADA",Tabla6[[#This Row],[FECHA]]-_xlfn.XLOOKUP(Tabla6[[#This Row],[N° FACTURA]],INGRESOS!F:F,INGRESOS!A:A),"-")</f>
        <v>-</v>
      </c>
      <c r="N2612" s="2"/>
      <c r="O2612"/>
    </row>
    <row r="2613" spans="1:15">
      <c r="A2613" s="320" t="s">
        <v>1945</v>
      </c>
      <c r="B2613" t="str">
        <f>+_xlfn.XLOOKUP(Tabla6[[#This Row],[ID CLIENTE]],'RESUMEN CLIENTES'!D:D,'RESUMEN CLIENTES'!A:A)</f>
        <v>Fernanda Constanza Kompai Antu Arellano Guzmán</v>
      </c>
      <c r="C2613" t="str">
        <f>+_xlfn.XLOOKUP(Tabla6[[#This Row],[ID CLIENTE]],'RESUMEN CLIENTES'!D:D,'RESUMEN CLIENTES'!C:C)</f>
        <v>Chile</v>
      </c>
      <c r="D2613" s="169" t="str">
        <f>+_xlfn.XLOOKUP(Tabla6[[#This Row],[ID CLIENTE]],'RESUMEN CLIENTES'!D:D,'RESUMEN CLIENTES'!M:M)</f>
        <v>OK</v>
      </c>
      <c r="E2613" s="71">
        <f>+_xlfn.XLOOKUP(Tabla6[[#This Row],[NOMBRE]],'RESUMEN CLIENTES'!A:A,'RESUMEN CLIENTES'!X:X)</f>
        <v>0</v>
      </c>
      <c r="F2613" s="71">
        <f>+_xlfn.XLOOKUP(Tabla6[[#This Row],[ID CLIENTE]],'RESUMEN CLIENTES'!D:D,'RESUMEN CLIENTES'!W:W)</f>
        <v>0</v>
      </c>
      <c r="G2613" s="170">
        <v>46736</v>
      </c>
      <c r="H2613" s="170" t="s">
        <v>81</v>
      </c>
      <c r="I2613" s="2">
        <v>650</v>
      </c>
      <c r="J2613"/>
      <c r="K2613"/>
      <c r="L2613" s="44" t="str" cm="1">
        <f t="array" ref="L2613">+_xlfn.IFS(COUNTIF(INGRESOS!E:E,Tabla6[[#This Row],[ID FACTURA]])=1,"PAGADA",Tabla6[[#This Row],[ID FACTURA]]&lt;&gt;0,"EMITIDA",Tabla6[[#This Row],[ID FACTURA]]=0,"POR EMITIR")</f>
        <v>POR EMITIR</v>
      </c>
      <c r="M2613" s="54" t="str">
        <f>+IF(Tabla6[[#This Row],[ESTADO FACTURA]]="PAGADA",Tabla6[[#This Row],[FECHA]]-_xlfn.XLOOKUP(Tabla6[[#This Row],[N° FACTURA]],INGRESOS!F:F,INGRESOS!A:A),"-")</f>
        <v>-</v>
      </c>
      <c r="O2613"/>
    </row>
    <row r="2614" spans="1:15">
      <c r="A2614" s="321" t="s">
        <v>1756</v>
      </c>
      <c r="B2614" t="str">
        <f>+_xlfn.XLOOKUP(Tabla6[[#This Row],[ID CLIENTE]],'RESUMEN CLIENTES'!D:D,'RESUMEN CLIENTES'!A:A)</f>
        <v>Aylin Micaela Ortiz Chiriboga</v>
      </c>
      <c r="C2614" t="str">
        <f>+_xlfn.XLOOKUP(Tabla6[[#This Row],[ID CLIENTE]],'RESUMEN CLIENTES'!D:D,'RESUMEN CLIENTES'!C:C)</f>
        <v>Ecuador</v>
      </c>
      <c r="D2614" s="169" t="str">
        <f>+_xlfn.XLOOKUP(Tabla6[[#This Row],[ID CLIENTE]],'RESUMEN CLIENTES'!D:D,'RESUMEN CLIENTES'!M:M)</f>
        <v>¡REGULARIZAR!</v>
      </c>
      <c r="E2614" s="71">
        <f>+_xlfn.XLOOKUP(Tabla6[[#This Row],[NOMBRE]],'RESUMEN CLIENTES'!A:A,'RESUMEN CLIENTES'!X:X)</f>
        <v>0</v>
      </c>
      <c r="F2614" s="71">
        <f>+_xlfn.XLOOKUP(Tabla6[[#This Row],[ID CLIENTE]],'RESUMEN CLIENTES'!D:D,'RESUMEN CLIENTES'!W:W)</f>
        <v>1</v>
      </c>
      <c r="G2614" s="170">
        <v>46737</v>
      </c>
      <c r="H2614" s="169" t="s">
        <v>81</v>
      </c>
      <c r="I2614" s="2">
        <v>650</v>
      </c>
      <c r="J2614"/>
      <c r="K2614"/>
      <c r="L2614" s="44" t="str" cm="1">
        <f t="array" ref="L2614">+_xlfn.IFS(COUNTIF(INGRESOS!E:E,Tabla6[[#This Row],[ID FACTURA]])=1,"PAGADA",Tabla6[[#This Row],[ID FACTURA]]&lt;&gt;0,"EMITIDA",Tabla6[[#This Row],[ID FACTURA]]=0,"POR EMITIR")</f>
        <v>POR EMITIR</v>
      </c>
      <c r="M2614" s="54" t="str">
        <f>+IF(Tabla6[[#This Row],[ESTADO FACTURA]]="PAGADA",Tabla6[[#This Row],[FECHA]]-_xlfn.XLOOKUP(Tabla6[[#This Row],[N° FACTURA]],INGRESOS!F:F,INGRESOS!A:A),"-")</f>
        <v>-</v>
      </c>
      <c r="O2614"/>
    </row>
    <row r="2615" spans="1:15">
      <c r="A2615" s="320" t="s">
        <v>2046</v>
      </c>
      <c r="B2615" t="str">
        <f>+_xlfn.XLOOKUP(Tabla6[[#This Row],[ID CLIENTE]],'RESUMEN CLIENTES'!D:D,'RESUMEN CLIENTES'!A:A)</f>
        <v>Jesica Daniela Paredes Mendoza</v>
      </c>
      <c r="C2615" t="str">
        <f>+_xlfn.XLOOKUP(Tabla6[[#This Row],[ID CLIENTE]],'RESUMEN CLIENTES'!D:D,'RESUMEN CLIENTES'!C:C)</f>
        <v>México</v>
      </c>
      <c r="D2615" s="169" t="str">
        <f>+_xlfn.XLOOKUP(Tabla6[[#This Row],[ID CLIENTE]],'RESUMEN CLIENTES'!D:D,'RESUMEN CLIENTES'!M:M)</f>
        <v>OK</v>
      </c>
      <c r="E2615" s="71">
        <f>+_xlfn.XLOOKUP(Tabla6[[#This Row],[NOMBRE]],'RESUMEN CLIENTES'!A:A,'RESUMEN CLIENTES'!X:X)</f>
        <v>-2.75</v>
      </c>
      <c r="F2615" s="71">
        <f>+_xlfn.XLOOKUP(Tabla6[[#This Row],[ID CLIENTE]],'RESUMEN CLIENTES'!D:D,'RESUMEN CLIENTES'!W:W)</f>
        <v>1</v>
      </c>
      <c r="G2615" s="17">
        <v>46737</v>
      </c>
      <c r="H2615" s="169" t="s">
        <v>81</v>
      </c>
      <c r="I2615" s="2">
        <v>500</v>
      </c>
      <c r="J2615"/>
      <c r="K2615"/>
      <c r="L2615" s="44" t="str" cm="1">
        <f t="array" ref="L2615">+_xlfn.IFS(COUNTIF(INGRESOS!E:E,Tabla6[[#This Row],[ID FACTURA]])=1,"PAGADA",Tabla6[[#This Row],[ID FACTURA]]&lt;&gt;0,"EMITIDA",Tabla6[[#This Row],[ID FACTURA]]=0,"POR EMITIR")</f>
        <v>POR EMITIR</v>
      </c>
      <c r="M2615" s="54" t="str">
        <f>+IF(Tabla6[[#This Row],[ESTADO FACTURA]]="PAGADA",Tabla6[[#This Row],[FECHA]]-_xlfn.XLOOKUP(Tabla6[[#This Row],[N° FACTURA]],INGRESOS!F:F,INGRESOS!A:A),"-")</f>
        <v>-</v>
      </c>
      <c r="O2615"/>
    </row>
    <row r="2616" spans="1:15">
      <c r="A2616" s="320" t="s">
        <v>139</v>
      </c>
      <c r="B2616" t="str">
        <f>+_xlfn.XLOOKUP(Tabla6[[#This Row],[ID CLIENTE]],'RESUMEN CLIENTES'!D:D,'RESUMEN CLIENTES'!A:A)</f>
        <v>Hugo Nicolás Trávez Morales</v>
      </c>
      <c r="C2616" t="str">
        <f>+_xlfn.XLOOKUP(Tabla6[[#This Row],[ID CLIENTE]],'RESUMEN CLIENTES'!D:D,'RESUMEN CLIENTES'!C:C)</f>
        <v>Ecuador</v>
      </c>
      <c r="D2616" s="169" t="str">
        <f>+_xlfn.XLOOKUP(Tabla6[[#This Row],[ID CLIENTE]],'RESUMEN CLIENTES'!D:D,'RESUMEN CLIENTES'!M:M)</f>
        <v>OK</v>
      </c>
      <c r="E2616" s="71">
        <f>+_xlfn.XLOOKUP(Tabla6[[#This Row],[NOMBRE]],'RESUMEN CLIENTES'!A:A,'RESUMEN CLIENTES'!X:X)</f>
        <v>0</v>
      </c>
      <c r="F2616" s="71">
        <f>+_xlfn.XLOOKUP(Tabla6[[#This Row],[ID CLIENTE]],'RESUMEN CLIENTES'!D:D,'RESUMEN CLIENTES'!W:W)</f>
        <v>0</v>
      </c>
      <c r="G2616" s="17">
        <v>46751</v>
      </c>
      <c r="H2616" s="44" t="s">
        <v>81</v>
      </c>
      <c r="I2616" s="2">
        <v>4000</v>
      </c>
      <c r="J2616"/>
      <c r="K2616"/>
      <c r="L2616" s="44" t="str" cm="1">
        <f t="array" ref="L2616">+_xlfn.IFS(COUNTIF(INGRESOS!E:E,Tabla6[[#This Row],[ID FACTURA]])=1,"PAGADA",Tabla6[[#This Row],[ID FACTURA]]&lt;&gt;0,"EMITIDA",Tabla6[[#This Row],[ID FACTURA]]=0,"POR EMITIR")</f>
        <v>POR EMITIR</v>
      </c>
      <c r="M2616" s="54" t="str">
        <f>+IF(Tabla6[[#This Row],[ESTADO FACTURA]]="PAGADA",Tabla6[[#This Row],[FECHA]]-_xlfn.XLOOKUP(Tabla6[[#This Row],[N° FACTURA]],INGRESOS!F:F,INGRESOS!A:A),"-")</f>
        <v>-</v>
      </c>
      <c r="O2616"/>
    </row>
    <row r="2617" spans="1:15">
      <c r="A2617" s="320" t="s">
        <v>6035</v>
      </c>
      <c r="B2617" t="str">
        <f>+_xlfn.XLOOKUP(Tabla6[[#This Row],[ID CLIENTE]],'RESUMEN CLIENTES'!D:D,'RESUMEN CLIENTES'!A:A)</f>
        <v>Ari Sifuentes Becerra</v>
      </c>
      <c r="C2617" s="15" t="str">
        <f>+_xlfn.XLOOKUP(Tabla6[[#This Row],[ID CLIENTE]],'RESUMEN CLIENTES'!D:D,'RESUMEN CLIENTES'!C:C)</f>
        <v>México</v>
      </c>
      <c r="D2617" s="169" t="str">
        <f>+_xlfn.XLOOKUP(Tabla6[[#This Row],[ID CLIENTE]],'RESUMEN CLIENTES'!D:D,'RESUMEN CLIENTES'!M:M)</f>
        <v>OK</v>
      </c>
      <c r="E2617" s="71">
        <f>+_xlfn.XLOOKUP(Tabla6[[#This Row],[NOMBRE]],'RESUMEN CLIENTES'!A:A,'RESUMEN CLIENTES'!X:X)</f>
        <v>-1</v>
      </c>
      <c r="F2617" s="71">
        <f>+_xlfn.XLOOKUP(Tabla6[[#This Row],[ID CLIENTE]],'RESUMEN CLIENTES'!D:D,'RESUMEN CLIENTES'!W:W)</f>
        <v>0</v>
      </c>
      <c r="G2617" s="17">
        <v>46753</v>
      </c>
      <c r="H2617" s="169" t="s">
        <v>1876</v>
      </c>
      <c r="I2617" s="2">
        <v>800</v>
      </c>
      <c r="J2617"/>
      <c r="K2617"/>
      <c r="L2617" s="44" t="str" cm="1">
        <f t="array" ref="L2617">+_xlfn.IFS(COUNTIF(INGRESOS!E:E,Tabla6[[#This Row],[ID FACTURA]])=1,"PAGADA",Tabla6[[#This Row],[ID FACTURA]]&lt;&gt;0,"EMITIDA",Tabla6[[#This Row],[ID FACTURA]]=0,"POR EMITIR")</f>
        <v>POR EMITIR</v>
      </c>
      <c r="M2617" s="54" t="str">
        <f>+IF(Tabla6[[#This Row],[ESTADO FACTURA]]="PAGADA",Tabla6[[#This Row],[FECHA]]-_xlfn.XLOOKUP(Tabla6[[#This Row],[N° FACTURA]],INGRESOS!F:F,INGRESOS!A:A),"-")</f>
        <v>-</v>
      </c>
      <c r="O2617"/>
    </row>
    <row r="2618" spans="1:15">
      <c r="A2618" s="321" t="s">
        <v>1870</v>
      </c>
      <c r="B2618" t="str">
        <f>+_xlfn.XLOOKUP(Tabla6[[#This Row],[ID CLIENTE]],'RESUMEN CLIENTES'!D:D,'RESUMEN CLIENTES'!A:A)</f>
        <v>Berenisse Shadia Yarango Garay</v>
      </c>
      <c r="C2618" t="str">
        <f>+_xlfn.XLOOKUP(Tabla6[[#This Row],[ID CLIENTE]],'RESUMEN CLIENTES'!D:D,'RESUMEN CLIENTES'!C:C)</f>
        <v>Perú</v>
      </c>
      <c r="D2618" s="169" t="str">
        <f>+_xlfn.XLOOKUP(Tabla6[[#This Row],[ID CLIENTE]],'RESUMEN CLIENTES'!D:D,'RESUMEN CLIENTES'!M:M)</f>
        <v>OK</v>
      </c>
      <c r="E2618" s="71">
        <f>+_xlfn.XLOOKUP(Tabla6[[#This Row],[NOMBRE]],'RESUMEN CLIENTES'!A:A,'RESUMEN CLIENTES'!X:X)</f>
        <v>-0.33333333333333331</v>
      </c>
      <c r="F2618" s="71">
        <f>+_xlfn.XLOOKUP(Tabla6[[#This Row],[ID CLIENTE]],'RESUMEN CLIENTES'!D:D,'RESUMEN CLIENTES'!W:W)</f>
        <v>0</v>
      </c>
      <c r="G2618" s="17">
        <f>IF($H2618&lt;&gt;"ALEM","",IFERROR(
  DATE(
    YEAR(EDATE(
      _xlfn.XLOOKUP($A2618,'RESUMEN CLIENTES'!$D:$D,'RESUMEN CLIENTES'!$Y:$Y,""),
      7 + COUNTIFS(
            $A$2:INDEX($A:$A,ROW()), $A2618,
            $H$2:INDEX($H:$H,ROW()), "ALEM"
          )
    )),
    MONTH(EDATE(
      _xlfn.XLOOKUP($A2618,'RESUMEN CLIENTES'!$D:$D,'RESUMEN CLIENTES'!$Y:$Y,""),
      7 + COUNTIFS(
            $A$2:INDEX($A:$A,ROW()), $A2618,
            $H$2:INDEX($H:$H,ROW()), "ALEM"
          )
    )),
    1
  ),
"null"))</f>
        <v>46753</v>
      </c>
      <c r="H2618" s="169" t="s">
        <v>1876</v>
      </c>
      <c r="I2618" s="2">
        <v>800</v>
      </c>
      <c r="J2618"/>
      <c r="K2618"/>
      <c r="L2618" s="44" t="str" cm="1">
        <f t="array" ref="L2618">+_xlfn.IFS(COUNTIF(INGRESOS!E:E,Tabla6[[#This Row],[ID FACTURA]])=1,"PAGADA",Tabla6[[#This Row],[ID FACTURA]]&lt;&gt;0,"EMITIDA",Tabla6[[#This Row],[ID FACTURA]]=0,"POR EMITIR")</f>
        <v>POR EMITIR</v>
      </c>
      <c r="M2618" s="54" t="str">
        <f>+IF(Tabla6[[#This Row],[ESTADO FACTURA]]="PAGADA",Tabla6[[#This Row],[FECHA]]-_xlfn.XLOOKUP(Tabla6[[#This Row],[N° FACTURA]],INGRESOS!F:F,INGRESOS!A:A),"-")</f>
        <v>-</v>
      </c>
      <c r="O2618"/>
    </row>
    <row r="2619" spans="1:15">
      <c r="A2619" s="320" t="s">
        <v>184</v>
      </c>
      <c r="B2619" t="str">
        <f>+_xlfn.XLOOKUP(Tabla6[[#This Row],[ID CLIENTE]],'RESUMEN CLIENTES'!D:D,'RESUMEN CLIENTES'!A:A)</f>
        <v>Boris Andrés Silva Véliz</v>
      </c>
      <c r="C2619" t="str">
        <f>+_xlfn.XLOOKUP(Tabla6[[#This Row],[ID CLIENTE]],'RESUMEN CLIENTES'!D:D,'RESUMEN CLIENTES'!C:C)</f>
        <v>Chile</v>
      </c>
      <c r="D2619" s="44" t="str">
        <f>+_xlfn.XLOOKUP(Tabla6[[#This Row],[ID CLIENTE]],'RESUMEN CLIENTES'!D:D,'RESUMEN CLIENTES'!M:M)</f>
        <v>OK</v>
      </c>
      <c r="E2619" s="72">
        <f>+_xlfn.XLOOKUP(Tabla6[[#This Row],[NOMBRE]],'RESUMEN CLIENTES'!A:A,'RESUMEN CLIENTES'!X:X)</f>
        <v>2.1111111111111112</v>
      </c>
      <c r="F2619" s="72">
        <f>+_xlfn.XLOOKUP(Tabla6[[#This Row],[ID CLIENTE]],'RESUMEN CLIENTES'!D:D,'RESUMEN CLIENTES'!W:W)</f>
        <v>0</v>
      </c>
      <c r="G2619" s="17">
        <f>IF($H2619&lt;&gt;"ALEM","",IFERROR(
  DATE(
    YEAR(EDATE(
      _xlfn.XLOOKUP($A2619,'RESUMEN CLIENTES'!$D:$D,'RESUMEN CLIENTES'!$Y:$Y,""),
      7 + COUNTIFS(
            $A$2:INDEX($A:$A,ROW()), $A2619,
            $H$2:INDEX($H:$H,ROW()), "ALEM"
          )
    )),
    MONTH(EDATE(
      _xlfn.XLOOKUP($A2619,'RESUMEN CLIENTES'!$D:$D,'RESUMEN CLIENTES'!$Y:$Y,""),
      7 + COUNTIFS(
            $A$2:INDEX($A:$A,ROW()), $A2619,
            $H$2:INDEX($H:$H,ROW()), "ALEM"
          )
    )),
    1
  ),
"SIN FECHA MIG"))</f>
        <v>46753</v>
      </c>
      <c r="H2619" s="44" t="s">
        <v>1876</v>
      </c>
      <c r="I2619" s="2">
        <v>458</v>
      </c>
      <c r="J2619"/>
      <c r="K2619"/>
      <c r="L2619" s="44" t="str" cm="1">
        <f t="array" ref="L2619">+_xlfn.IFS(COUNTIF(INGRESOS!E:E,Tabla6[[#This Row],[ID FACTURA]])=1,"PAGADA",Tabla6[[#This Row],[ID FACTURA]]&lt;&gt;0,"EMITIDA",Tabla6[[#This Row],[ID FACTURA]]=0,"POR EMITIR")</f>
        <v>POR EMITIR</v>
      </c>
      <c r="M2619" s="55" t="str">
        <f>+IF(Tabla6[[#This Row],[ESTADO FACTURA]]="PAGADA",Tabla6[[#This Row],[FECHA]]-_xlfn.XLOOKUP(Tabla6[[#This Row],[N° FACTURA]],INGRESOS!F:F,INGRESOS!A:A),"-")</f>
        <v>-</v>
      </c>
      <c r="N2619" s="2"/>
      <c r="O2619"/>
    </row>
    <row r="2620" spans="1:15">
      <c r="A2620" s="320" t="s">
        <v>4768</v>
      </c>
      <c r="B2620" t="str">
        <f>+_xlfn.XLOOKUP(Tabla6[[#This Row],[ID CLIENTE]],'RESUMEN CLIENTES'!D:D,'RESUMEN CLIENTES'!A:A)</f>
        <v>Carla Elena Patínez Rondón</v>
      </c>
      <c r="C2620" s="15" t="str">
        <f>+_xlfn.XLOOKUP(Tabla6[[#This Row],[ID CLIENTE]],'RESUMEN CLIENTES'!D:D,'RESUMEN CLIENTES'!C:C)</f>
        <v>Venezuela</v>
      </c>
      <c r="D2620" s="169" t="str">
        <f>+_xlfn.XLOOKUP(Tabla6[[#This Row],[ID CLIENTE]],'RESUMEN CLIENTES'!D:D,'RESUMEN CLIENTES'!M:M)</f>
        <v>OK</v>
      </c>
      <c r="E2620" s="71">
        <f>+_xlfn.XLOOKUP(Tabla6[[#This Row],[NOMBRE]],'RESUMEN CLIENTES'!A:A,'RESUMEN CLIENTES'!X:X)</f>
        <v>-9</v>
      </c>
      <c r="F2620" s="71">
        <f>+_xlfn.XLOOKUP(Tabla6[[#This Row],[ID CLIENTE]],'RESUMEN CLIENTES'!D:D,'RESUMEN CLIENTES'!W:W)</f>
        <v>0</v>
      </c>
      <c r="G2620" s="17">
        <f>IF($H2620&lt;&gt;"ALEM","",IFERROR(
  DATE(
    YEAR(EDATE(
      _xlfn.XLOOKUP($A2620,'RESUMEN CLIENTES'!$D:$D,'RESUMEN CLIENTES'!$Y:$Y,""),
      7 + COUNTIFS(
            $A$2:INDEX($A:$A,ROW()), $A2620,
            $H$2:INDEX($H:$H,ROW()), "ALEM"
          )
    )),
    MONTH(EDATE(
      _xlfn.XLOOKUP($A2620,'RESUMEN CLIENTES'!$D:$D,'RESUMEN CLIENTES'!$Y:$Y,""),
      7 + COUNTIFS(
            $A$2:INDEX($A:$A,ROW()), $A2620,
            $H$2:INDEX($H:$H,ROW()), "ALEM"
          )
    )),
    1
  ),
"null"))</f>
        <v>46753</v>
      </c>
      <c r="H2620" s="169" t="s">
        <v>1876</v>
      </c>
      <c r="I2620" s="2">
        <v>1000</v>
      </c>
      <c r="J2620"/>
      <c r="K2620"/>
      <c r="L2620" s="44" t="str" cm="1">
        <f t="array" ref="L2620">+_xlfn.IFS(COUNTIF(INGRESOS!E:E,Tabla6[[#This Row],[ID FACTURA]])=1,"PAGADA",Tabla6[[#This Row],[ID FACTURA]]&lt;&gt;0,"EMITIDA",Tabla6[[#This Row],[ID FACTURA]]=0,"POR EMITIR")</f>
        <v>POR EMITIR</v>
      </c>
      <c r="M2620" s="54" t="str">
        <f>+IF(Tabla6[[#This Row],[ESTADO FACTURA]]="PAGADA",Tabla6[[#This Row],[FECHA]]-_xlfn.XLOOKUP(Tabla6[[#This Row],[N° FACTURA]],INGRESOS!F:F,INGRESOS!A:A),"-")</f>
        <v>-</v>
      </c>
      <c r="O2620"/>
    </row>
    <row r="2621" spans="1:15">
      <c r="A2621" s="320" t="s">
        <v>1178</v>
      </c>
      <c r="B2621" t="str">
        <f>+_xlfn.XLOOKUP(Tabla6[[#This Row],[ID CLIENTE]],'RESUMEN CLIENTES'!D:D,'RESUMEN CLIENTES'!A:A)</f>
        <v>Daniel Flores</v>
      </c>
      <c r="C2621" t="str">
        <f>+_xlfn.XLOOKUP(Tabla6[[#This Row],[ID CLIENTE]],'RESUMEN CLIENTES'!D:D,'RESUMEN CLIENTES'!C:C)</f>
        <v>Ecuador</v>
      </c>
      <c r="D2621" s="44" t="str">
        <f>+_xlfn.XLOOKUP(Tabla6[[#This Row],[ID CLIENTE]],'RESUMEN CLIENTES'!D:D,'RESUMEN CLIENTES'!M:M)</f>
        <v>OK</v>
      </c>
      <c r="E2621" s="72">
        <f>+_xlfn.XLOOKUP(Tabla6[[#This Row],[NOMBRE]],'RESUMEN CLIENTES'!A:A,'RESUMEN CLIENTES'!X:X)</f>
        <v>3.8333333333333335</v>
      </c>
      <c r="F2621" s="72">
        <f>+_xlfn.XLOOKUP(Tabla6[[#This Row],[ID CLIENTE]],'RESUMEN CLIENTES'!D:D,'RESUMEN CLIENTES'!W:W)</f>
        <v>1</v>
      </c>
      <c r="G2621" s="17">
        <f>IF($H2621&lt;&gt;"ALEM","",IFERROR(
  DATE(
    YEAR(EDATE(
      _xlfn.XLOOKUP($A2621,'RESUMEN CLIENTES'!$D:$D,'RESUMEN CLIENTES'!$Y:$Y,""),
      7 + COUNTIFS(
            $A$2:INDEX($A:$A,ROW()), $A2621,
            $H$2:INDEX($H:$H,ROW()), "ALEM"
          )
    )),
    MONTH(EDATE(
      _xlfn.XLOOKUP($A2621,'RESUMEN CLIENTES'!$D:$D,'RESUMEN CLIENTES'!$Y:$Y,""),
      7 + COUNTIFS(
            $A$2:INDEX($A:$A,ROW()), $A2621,
            $H$2:INDEX($H:$H,ROW()), "ALEM"
          )
    )),
    1
  ),
"SIN FECHA MIG"))</f>
        <v>46753</v>
      </c>
      <c r="H2621" s="44" t="s">
        <v>1876</v>
      </c>
      <c r="I2621" s="2">
        <v>800</v>
      </c>
      <c r="J2621"/>
      <c r="K2621"/>
      <c r="L2621" s="44" t="str" cm="1">
        <f t="array" ref="L2621">+_xlfn.IFS(COUNTIF(INGRESOS!E:E,Tabla6[[#This Row],[ID FACTURA]])=1,"PAGADA",Tabla6[[#This Row],[ID FACTURA]]&lt;&gt;0,"EMITIDA",Tabla6[[#This Row],[ID FACTURA]]=0,"POR EMITIR")</f>
        <v>POR EMITIR</v>
      </c>
      <c r="M2621" s="55" t="str">
        <f>+IF(Tabla6[[#This Row],[ESTADO FACTURA]]="PAGADA",Tabla6[[#This Row],[FECHA]]-_xlfn.XLOOKUP(Tabla6[[#This Row],[N° FACTURA]],INGRESOS!F:F,INGRESOS!A:A),"-")</f>
        <v>-</v>
      </c>
      <c r="N2621" s="2"/>
      <c r="O2621" t="s">
        <v>2084</v>
      </c>
    </row>
    <row r="2622" spans="1:15">
      <c r="A2622" s="320" t="s">
        <v>4660</v>
      </c>
      <c r="B2622" t="str">
        <f>+_xlfn.XLOOKUP(Tabla6[[#This Row],[ID CLIENTE]],'RESUMEN CLIENTES'!D:D,'RESUMEN CLIENTES'!A:A)</f>
        <v>Edipris Flores</v>
      </c>
      <c r="C2622" s="15" t="str">
        <f>+_xlfn.XLOOKUP(Tabla6[[#This Row],[ID CLIENTE]],'RESUMEN CLIENTES'!D:D,'RESUMEN CLIENTES'!C:C)</f>
        <v>Chile</v>
      </c>
      <c r="D2622" s="169" t="str">
        <f>+_xlfn.XLOOKUP(Tabla6[[#This Row],[ID CLIENTE]],'RESUMEN CLIENTES'!D:D,'RESUMEN CLIENTES'!M:M)</f>
        <v>OK</v>
      </c>
      <c r="E2622" s="71">
        <f>+_xlfn.XLOOKUP(Tabla6[[#This Row],[NOMBRE]],'RESUMEN CLIENTES'!A:A,'RESUMEN CLIENTES'!X:X)</f>
        <v>-4</v>
      </c>
      <c r="F2622" s="71">
        <f>+_xlfn.XLOOKUP(Tabla6[[#This Row],[ID CLIENTE]],'RESUMEN CLIENTES'!D:D,'RESUMEN CLIENTES'!W:W)</f>
        <v>0</v>
      </c>
      <c r="G2622" s="17">
        <f>IF($H2622&lt;&gt;"ALEM","",IFERROR(
  DATE(
    YEAR(EDATE(
      _xlfn.XLOOKUP($A2622,'RESUMEN CLIENTES'!$D:$D,'RESUMEN CLIENTES'!$Y:$Y,""),
      7 + COUNTIFS(
            $A$2:INDEX($A:$A,ROW()), $A2622,
            $H$2:INDEX($H:$H,ROW()), "ALEM"
          )
    )),
    MONTH(EDATE(
      _xlfn.XLOOKUP($A2622,'RESUMEN CLIENTES'!$D:$D,'RESUMEN CLIENTES'!$Y:$Y,""),
      7 + COUNTIFS(
            $A$2:INDEX($A:$A,ROW()), $A2622,
            $H$2:INDEX($H:$H,ROW()), "ALEM"
          )
    )),
    1
  ),
"null"))</f>
        <v>46753</v>
      </c>
      <c r="H2622" s="169" t="s">
        <v>1876</v>
      </c>
      <c r="I2622" s="2">
        <v>800</v>
      </c>
      <c r="J2622"/>
      <c r="K2622"/>
      <c r="L2622" s="44" t="str" cm="1">
        <f t="array" ref="L2622">+_xlfn.IFS(COUNTIF(INGRESOS!E:E,Tabla6[[#This Row],[ID FACTURA]])=1,"PAGADA",Tabla6[[#This Row],[ID FACTURA]]&lt;&gt;0,"EMITIDA",Tabla6[[#This Row],[ID FACTURA]]=0,"POR EMITIR")</f>
        <v>POR EMITIR</v>
      </c>
      <c r="M2622" s="54" t="str">
        <f>+IF(Tabla6[[#This Row],[ESTADO FACTURA]]="PAGADA",Tabla6[[#This Row],[FECHA]]-_xlfn.XLOOKUP(Tabla6[[#This Row],[N° FACTURA]],INGRESOS!F:F,INGRESOS!A:A),"-")</f>
        <v>-</v>
      </c>
      <c r="O2622"/>
    </row>
    <row r="2623" spans="1:15">
      <c r="A2623" s="321" t="s">
        <v>519</v>
      </c>
      <c r="B2623" t="str">
        <f>+_xlfn.XLOOKUP(Tabla6[[#This Row],[ID CLIENTE]],'RESUMEN CLIENTES'!D:D,'RESUMEN CLIENTES'!A:A)</f>
        <v>Elaine Acosta Cabrera</v>
      </c>
      <c r="C2623" t="str">
        <f>+_xlfn.XLOOKUP(Tabla6[[#This Row],[ID CLIENTE]],'RESUMEN CLIENTES'!D:D,'RESUMEN CLIENTES'!C:C)</f>
        <v>República Dominicana</v>
      </c>
      <c r="D2623" s="169" t="str">
        <f>+_xlfn.XLOOKUP(Tabla6[[#This Row],[ID CLIENTE]],'RESUMEN CLIENTES'!D:D,'RESUMEN CLIENTES'!M:M)</f>
        <v>OK</v>
      </c>
      <c r="E2623" s="71">
        <f>+_xlfn.XLOOKUP(Tabla6[[#This Row],[NOMBRE]],'RESUMEN CLIENTES'!A:A,'RESUMEN CLIENTES'!X:X)</f>
        <v>0</v>
      </c>
      <c r="F2623" s="71">
        <f>+_xlfn.XLOOKUP(Tabla6[[#This Row],[ID CLIENTE]],'RESUMEN CLIENTES'!D:D,'RESUMEN CLIENTES'!W:W)</f>
        <v>1</v>
      </c>
      <c r="G2623" s="17">
        <f>IF($H2623&lt;&gt;"ALEM","",IFERROR(
  DATE(
    YEAR(EDATE(
      _xlfn.XLOOKUP($A2623,'RESUMEN CLIENTES'!$D:$D,'RESUMEN CLIENTES'!$Y:$Y,""),
      7 + COUNTIFS(
            $A$2:INDEX($A:$A,ROW()), $A2623,
            $H$2:INDEX($H:$H,ROW()), "ALEM"
          )
    )),
    MONTH(EDATE(
      _xlfn.XLOOKUP($A2623,'RESUMEN CLIENTES'!$D:$D,'RESUMEN CLIENTES'!$Y:$Y,""),
      7 + COUNTIFS(
            $A$2:INDEX($A:$A,ROW()), $A2623,
            $H$2:INDEX($H:$H,ROW()), "ALEM"
          )
    )),
    1
  ),
"null"))</f>
        <v>46753</v>
      </c>
      <c r="H2623" s="169" t="s">
        <v>1876</v>
      </c>
      <c r="I2623" s="2">
        <v>1000</v>
      </c>
      <c r="J2623"/>
      <c r="K2623"/>
      <c r="L2623" s="44" t="str" cm="1">
        <f t="array" ref="L2623">+_xlfn.IFS(COUNTIF(INGRESOS!E:E,Tabla6[[#This Row],[ID FACTURA]])=1,"PAGADA",Tabla6[[#This Row],[ID FACTURA]]&lt;&gt;0,"EMITIDA",Tabla6[[#This Row],[ID FACTURA]]=0,"POR EMITIR")</f>
        <v>POR EMITIR</v>
      </c>
      <c r="M2623" s="54" t="str">
        <f>+IF(Tabla6[[#This Row],[ESTADO FACTURA]]="PAGADA",Tabla6[[#This Row],[FECHA]]-_xlfn.XLOOKUP(Tabla6[[#This Row],[N° FACTURA]],INGRESOS!F:F,INGRESOS!A:A),"-")</f>
        <v>-</v>
      </c>
      <c r="O2623"/>
    </row>
    <row r="2624" spans="1:15">
      <c r="A2624" s="320" t="s">
        <v>1248</v>
      </c>
      <c r="B2624" t="str">
        <f>+_xlfn.XLOOKUP(Tabla6[[#This Row],[ID CLIENTE]],'RESUMEN CLIENTES'!D:D,'RESUMEN CLIENTES'!A:A)</f>
        <v>Emily Vanessa Tapia Villalobos</v>
      </c>
      <c r="C2624" t="str">
        <f>+_xlfn.XLOOKUP(Tabla6[[#This Row],[ID CLIENTE]],'RESUMEN CLIENTES'!D:D,'RESUMEN CLIENTES'!C:C)</f>
        <v>Chile</v>
      </c>
      <c r="D2624" s="44" t="str">
        <f>+_xlfn.XLOOKUP(Tabla6[[#This Row],[ID CLIENTE]],'RESUMEN CLIENTES'!D:D,'RESUMEN CLIENTES'!M:M)</f>
        <v>OK</v>
      </c>
      <c r="E2624" s="71">
        <f>+_xlfn.XLOOKUP(Tabla6[[#This Row],[NOMBRE]],'RESUMEN CLIENTES'!A:A,'RESUMEN CLIENTES'!X:X)</f>
        <v>0.33333333333333331</v>
      </c>
      <c r="F2624" s="71">
        <f>+_xlfn.XLOOKUP(Tabla6[[#This Row],[ID CLIENTE]],'RESUMEN CLIENTES'!D:D,'RESUMEN CLIENTES'!W:W)</f>
        <v>0</v>
      </c>
      <c r="G2624" s="17">
        <f>IF($H2624&lt;&gt;"ALEM","",IFERROR(
  DATE(
    YEAR(EDATE(
      _xlfn.XLOOKUP($A2624,'RESUMEN CLIENTES'!$D:$D,'RESUMEN CLIENTES'!$Y:$Y,""),
      7 + COUNTIFS(
            $A$2:INDEX($A:$A,ROW()), $A2624,
            $H$2:INDEX($H:$H,ROW()), "ALEM"
          )
    )),
    MONTH(EDATE(
      _xlfn.XLOOKUP($A2624,'RESUMEN CLIENTES'!$D:$D,'RESUMEN CLIENTES'!$Y:$Y,""),
      7 + COUNTIFS(
            $A$2:INDEX($A:$A,ROW()), $A2624,
            $H$2:INDEX($H:$H,ROW()), "ALEM"
          )
    )),
    1
  ),
"SIN FECHA MIG"))</f>
        <v>46753</v>
      </c>
      <c r="H2624" s="44" t="s">
        <v>1876</v>
      </c>
      <c r="I2624" s="2">
        <v>800</v>
      </c>
      <c r="J2624"/>
      <c r="K2624"/>
      <c r="L2624" s="44" t="str" cm="1">
        <f t="array" ref="L2624">+_xlfn.IFS(COUNTIF(INGRESOS!E:E,Tabla6[[#This Row],[ID FACTURA]])=1,"PAGADA",Tabla6[[#This Row],[ID FACTURA]]&lt;&gt;0,"EMITIDA",Tabla6[[#This Row],[ID FACTURA]]=0,"POR EMITIR")</f>
        <v>POR EMITIR</v>
      </c>
      <c r="M2624" s="55" t="str">
        <f>+IF(Tabla6[[#This Row],[ESTADO FACTURA]]="PAGADA",Tabla6[[#This Row],[FECHA]]-_xlfn.XLOOKUP(Tabla6[[#This Row],[N° FACTURA]],INGRESOS!F:F,INGRESOS!A:A),"-")</f>
        <v>-</v>
      </c>
      <c r="N2624" s="2"/>
      <c r="O2624" t="s">
        <v>2086</v>
      </c>
    </row>
    <row r="2625" spans="1:15">
      <c r="A2625" s="320" t="s">
        <v>1251</v>
      </c>
      <c r="B2625" t="str">
        <f>+_xlfn.XLOOKUP(Tabla6[[#This Row],[ID CLIENTE]],'RESUMEN CLIENTES'!D:D,'RESUMEN CLIENTES'!A:A)</f>
        <v>Erick Ernesto Angulo Campos</v>
      </c>
      <c r="C2625" t="str">
        <f>+_xlfn.XLOOKUP(Tabla6[[#This Row],[ID CLIENTE]],'RESUMEN CLIENTES'!D:D,'RESUMEN CLIENTES'!C:C)</f>
        <v>Chile</v>
      </c>
      <c r="D2625" s="44" t="str">
        <f>+_xlfn.XLOOKUP(Tabla6[[#This Row],[ID CLIENTE]],'RESUMEN CLIENTES'!D:D,'RESUMEN CLIENTES'!M:M)</f>
        <v>OK</v>
      </c>
      <c r="E2625" s="71">
        <f>+_xlfn.XLOOKUP(Tabla6[[#This Row],[NOMBRE]],'RESUMEN CLIENTES'!A:A,'RESUMEN CLIENTES'!X:X)</f>
        <v>-0.66666666666666663</v>
      </c>
      <c r="F2625" s="71">
        <f>+_xlfn.XLOOKUP(Tabla6[[#This Row],[ID CLIENTE]],'RESUMEN CLIENTES'!D:D,'RESUMEN CLIENTES'!W:W)</f>
        <v>0</v>
      </c>
      <c r="G2625" s="17">
        <f>IF($H2625&lt;&gt;"ALEM","",IFERROR(
  DATE(
    YEAR(EDATE(
      _xlfn.XLOOKUP($A2625,'RESUMEN CLIENTES'!$D:$D,'RESUMEN CLIENTES'!$Y:$Y,""),
      7 + COUNTIFS(
            $A$2:INDEX($A:$A,ROW()), $A2625,
            $H$2:INDEX($H:$H,ROW()), "ALEM"
          )
    )),
    MONTH(EDATE(
      _xlfn.XLOOKUP($A2625,'RESUMEN CLIENTES'!$D:$D,'RESUMEN CLIENTES'!$Y:$Y,""),
      7 + COUNTIFS(
            $A$2:INDEX($A:$A,ROW()), $A2625,
            $H$2:INDEX($H:$H,ROW()), "ALEM"
          )
    )),
    1
  ),
"SIN FECHA MIG"))</f>
        <v>46753</v>
      </c>
      <c r="H2625" s="44" t="s">
        <v>1876</v>
      </c>
      <c r="I2625" s="2">
        <v>800</v>
      </c>
      <c r="J2625"/>
      <c r="K2625"/>
      <c r="L2625" s="44" t="str" cm="1">
        <f t="array" ref="L2625">+_xlfn.IFS(COUNTIF(INGRESOS!E:E,Tabla6[[#This Row],[ID FACTURA]])=1,"PAGADA",Tabla6[[#This Row],[ID FACTURA]]&lt;&gt;0,"EMITIDA",Tabla6[[#This Row],[ID FACTURA]]=0,"POR EMITIR")</f>
        <v>POR EMITIR</v>
      </c>
      <c r="M2625" s="55" t="str">
        <f>+IF(Tabla6[[#This Row],[ESTADO FACTURA]]="PAGADA",Tabla6[[#This Row],[FECHA]]-_xlfn.XLOOKUP(Tabla6[[#This Row],[N° FACTURA]],INGRESOS!F:F,INGRESOS!A:A),"-")</f>
        <v>-</v>
      </c>
      <c r="N2625" s="2"/>
      <c r="O2625" t="s">
        <v>2084</v>
      </c>
    </row>
    <row r="2626" spans="1:15">
      <c r="A2626" s="320" t="s">
        <v>1945</v>
      </c>
      <c r="B2626" t="str">
        <f>+_xlfn.XLOOKUP(Tabla6[[#This Row],[ID CLIENTE]],'RESUMEN CLIENTES'!D:D,'RESUMEN CLIENTES'!A:A)</f>
        <v>Fernanda Constanza Kompai Antu Arellano Guzmán</v>
      </c>
      <c r="C2626" t="str">
        <f>+_xlfn.XLOOKUP(Tabla6[[#This Row],[ID CLIENTE]],'RESUMEN CLIENTES'!D:D,'RESUMEN CLIENTES'!C:C)</f>
        <v>Chile</v>
      </c>
      <c r="D2626" s="169" t="str">
        <f>+_xlfn.XLOOKUP(Tabla6[[#This Row],[ID CLIENTE]],'RESUMEN CLIENTES'!D:D,'RESUMEN CLIENTES'!M:M)</f>
        <v>OK</v>
      </c>
      <c r="E2626" s="71">
        <f>+_xlfn.XLOOKUP(Tabla6[[#This Row],[NOMBRE]],'RESUMEN CLIENTES'!A:A,'RESUMEN CLIENTES'!X:X)</f>
        <v>0</v>
      </c>
      <c r="F2626" s="71">
        <f>+_xlfn.XLOOKUP(Tabla6[[#This Row],[ID CLIENTE]],'RESUMEN CLIENTES'!D:D,'RESUMEN CLIENTES'!W:W)</f>
        <v>0</v>
      </c>
      <c r="G2626" s="17">
        <f>IF($H2626&lt;&gt;"ALEM","",IFERROR(
  DATE(
    YEAR(EDATE(
      _xlfn.XLOOKUP($A2626,'RESUMEN CLIENTES'!$D:$D,'RESUMEN CLIENTES'!$Y:$Y,""),
      7 + COUNTIFS(
            $A$2:INDEX($A:$A,ROW()), $A2626,
            $H$2:INDEX($H:$H,ROW()), "ALEM"
          )
    )),
    MONTH(EDATE(
      _xlfn.XLOOKUP($A2626,'RESUMEN CLIENTES'!$D:$D,'RESUMEN CLIENTES'!$Y:$Y,""),
      7 + COUNTIFS(
            $A$2:INDEX($A:$A,ROW()), $A2626,
            $H$2:INDEX($H:$H,ROW()), "ALEM"
          )
    )),
    1
  ),
"null"))</f>
        <v>46753</v>
      </c>
      <c r="H2626" s="170" t="s">
        <v>1876</v>
      </c>
      <c r="I2626" s="2">
        <v>800</v>
      </c>
      <c r="J2626"/>
      <c r="K2626"/>
      <c r="L2626" s="44" t="str" cm="1">
        <f t="array" ref="L2626">+_xlfn.IFS(COUNTIF(INGRESOS!E:E,Tabla6[[#This Row],[ID FACTURA]])=1,"PAGADA",Tabla6[[#This Row],[ID FACTURA]]&lt;&gt;0,"EMITIDA",Tabla6[[#This Row],[ID FACTURA]]=0,"POR EMITIR")</f>
        <v>POR EMITIR</v>
      </c>
      <c r="M2626" s="54" t="str">
        <f>+IF(Tabla6[[#This Row],[ESTADO FACTURA]]="PAGADA",Tabla6[[#This Row],[FECHA]]-_xlfn.XLOOKUP(Tabla6[[#This Row],[N° FACTURA]],INGRESOS!F:F,INGRESOS!A:A),"-")</f>
        <v>-</v>
      </c>
      <c r="O2626"/>
    </row>
    <row r="2627" spans="1:15">
      <c r="A2627" s="320" t="s">
        <v>787</v>
      </c>
      <c r="B2627" t="str">
        <f>+_xlfn.XLOOKUP(Tabla6[[#This Row],[ID CLIENTE]],'RESUMEN CLIENTES'!D:D,'RESUMEN CLIENTES'!A:A)</f>
        <v>Florencia Luján Sapia</v>
      </c>
      <c r="C2627" t="str">
        <f>+_xlfn.XLOOKUP(Tabla6[[#This Row],[ID CLIENTE]],'RESUMEN CLIENTES'!D:D,'RESUMEN CLIENTES'!C:C)</f>
        <v>Argentina</v>
      </c>
      <c r="D2627" s="44" t="str">
        <f>+_xlfn.XLOOKUP(Tabla6[[#This Row],[ID CLIENTE]],'RESUMEN CLIENTES'!D:D,'RESUMEN CLIENTES'!M:M)</f>
        <v>OK</v>
      </c>
      <c r="E2627" s="72">
        <f>+_xlfn.XLOOKUP(Tabla6[[#This Row],[NOMBRE]],'RESUMEN CLIENTES'!A:A,'RESUMEN CLIENTES'!X:X)</f>
        <v>-0.77777777777777779</v>
      </c>
      <c r="F2627" s="72">
        <f>+_xlfn.XLOOKUP(Tabla6[[#This Row],[ID CLIENTE]],'RESUMEN CLIENTES'!D:D,'RESUMEN CLIENTES'!W:W)</f>
        <v>1</v>
      </c>
      <c r="G2627" s="17">
        <f>IF($H2627&lt;&gt;"ALEM","",IFERROR(
  DATE(
    YEAR(EDATE(
      _xlfn.XLOOKUP($A2627,'RESUMEN CLIENTES'!$D:$D,'RESUMEN CLIENTES'!$Y:$Y,""),
      7 + COUNTIFS(
            $A$2:INDEX($A:$A,ROW()), $A2627,
            $H$2:INDEX($H:$H,ROW()), "ALEM"
          )
    )),
    MONTH(EDATE(
      _xlfn.XLOOKUP($A2627,'RESUMEN CLIENTES'!$D:$D,'RESUMEN CLIENTES'!$Y:$Y,""),
      7 + COUNTIFS(
            $A$2:INDEX($A:$A,ROW()), $A2627,
            $H$2:INDEX($H:$H,ROW()), "ALEM"
          )
    )),
    1
  ),
"SIN FECHA MIG"))</f>
        <v>46753</v>
      </c>
      <c r="H2627" s="44" t="s">
        <v>1876</v>
      </c>
      <c r="I2627" s="2">
        <v>1000</v>
      </c>
      <c r="J2627"/>
      <c r="K2627"/>
      <c r="L2627" s="44" t="str" cm="1">
        <f t="array" ref="L2627">+_xlfn.IFS(COUNTIF(INGRESOS!E:E,Tabla6[[#This Row],[ID FACTURA]])=1,"PAGADA",Tabla6[[#This Row],[ID FACTURA]]&lt;&gt;0,"EMITIDA",Tabla6[[#This Row],[ID FACTURA]]=0,"POR EMITIR")</f>
        <v>POR EMITIR</v>
      </c>
      <c r="M2627" s="55" t="str">
        <f>+IF(Tabla6[[#This Row],[ESTADO FACTURA]]="PAGADA",Tabla6[[#This Row],[FECHA]]-_xlfn.XLOOKUP(Tabla6[[#This Row],[N° FACTURA]],INGRESOS!F:F,INGRESOS!A:A),"-")</f>
        <v>-</v>
      </c>
      <c r="N2627" s="2"/>
      <c r="O2627" t="s">
        <v>2084</v>
      </c>
    </row>
    <row r="2628" spans="1:15">
      <c r="A2628" s="320" t="s">
        <v>1761</v>
      </c>
      <c r="B2628" t="str">
        <f>+_xlfn.XLOOKUP(Tabla6[[#This Row],[ID CLIENTE]],'RESUMEN CLIENTES'!D:D,'RESUMEN CLIENTES'!A:A)</f>
        <v>Francisco Salas Barrera</v>
      </c>
      <c r="C2628" t="str">
        <f>+_xlfn.XLOOKUP(Tabla6[[#This Row],[ID CLIENTE]],'RESUMEN CLIENTES'!D:D,'RESUMEN CLIENTES'!C:C)</f>
        <v>México</v>
      </c>
      <c r="D2628" s="169" t="str">
        <f>+_xlfn.XLOOKUP(Tabla6[[#This Row],[ID CLIENTE]],'RESUMEN CLIENTES'!D:D,'RESUMEN CLIENTES'!M:M)</f>
        <v>OK</v>
      </c>
      <c r="E2628" s="71">
        <f>+_xlfn.XLOOKUP(Tabla6[[#This Row],[NOMBRE]],'RESUMEN CLIENTES'!A:A,'RESUMEN CLIENTES'!X:X)</f>
        <v>-0.75</v>
      </c>
      <c r="F2628" s="71">
        <f>+_xlfn.XLOOKUP(Tabla6[[#This Row],[ID CLIENTE]],'RESUMEN CLIENTES'!D:D,'RESUMEN CLIENTES'!W:W)</f>
        <v>0</v>
      </c>
      <c r="G2628" s="17">
        <f>IF($H2628&lt;&gt;"ALEM","",IFERROR(
  DATE(
    YEAR(EDATE(
      _xlfn.XLOOKUP($A2628,'RESUMEN CLIENTES'!$D:$D,'RESUMEN CLIENTES'!$Y:$Y,""),
      7 + COUNTIFS(
            $A$2:INDEX($A:$A,ROW()), $A2628,
            $H$2:INDEX($H:$H,ROW()), "ALEM"
          )
    )),
    MONTH(EDATE(
      _xlfn.XLOOKUP($A2628,'RESUMEN CLIENTES'!$D:$D,'RESUMEN CLIENTES'!$Y:$Y,""),
      7 + COUNTIFS(
            $A$2:INDEX($A:$A,ROW()), $A2628,
            $H$2:INDEX($H:$H,ROW()), "ALEM"
          )
    )),
    1
  ),
"SIN FECHA MIG"))</f>
        <v>46753</v>
      </c>
      <c r="H2628" s="169" t="s">
        <v>1876</v>
      </c>
      <c r="I2628" s="2">
        <v>800</v>
      </c>
      <c r="J2628"/>
      <c r="K2628"/>
      <c r="L2628" s="44" t="str" cm="1">
        <f t="array" ref="L2628">+_xlfn.IFS(COUNTIF(INGRESOS!E:E,Tabla6[[#This Row],[ID FACTURA]])=1,"PAGADA",Tabla6[[#This Row],[ID FACTURA]]&lt;&gt;0,"EMITIDA",Tabla6[[#This Row],[ID FACTURA]]=0,"POR EMITIR")</f>
        <v>POR EMITIR</v>
      </c>
      <c r="M2628" s="55" t="str">
        <f>+IF(Tabla6[[#This Row],[ESTADO FACTURA]]="PAGADA",Tabla6[[#This Row],[FECHA]]-_xlfn.XLOOKUP(Tabla6[[#This Row],[N° FACTURA]],INGRESOS!F:F,INGRESOS!A:A),"-")</f>
        <v>-</v>
      </c>
      <c r="O2628"/>
    </row>
    <row r="2629" spans="1:15">
      <c r="A2629" s="320" t="s">
        <v>1996</v>
      </c>
      <c r="B2629" t="str">
        <f>+_xlfn.XLOOKUP(Tabla6[[#This Row],[ID CLIENTE]],'RESUMEN CLIENTES'!D:D,'RESUMEN CLIENTES'!A:A)</f>
        <v>Ivan Gonzales Graus</v>
      </c>
      <c r="C2629" t="str">
        <f>+_xlfn.XLOOKUP(Tabla6[[#This Row],[ID CLIENTE]],'RESUMEN CLIENTES'!D:D,'RESUMEN CLIENTES'!C:C)</f>
        <v>Perú</v>
      </c>
      <c r="D2629" s="169" t="str">
        <f>+_xlfn.XLOOKUP(Tabla6[[#This Row],[ID CLIENTE]],'RESUMEN CLIENTES'!D:D,'RESUMEN CLIENTES'!M:M)</f>
        <v>OK</v>
      </c>
      <c r="E2629" s="71">
        <f>+_xlfn.XLOOKUP(Tabla6[[#This Row],[NOMBRE]],'RESUMEN CLIENTES'!A:A,'RESUMEN CLIENTES'!X:X)</f>
        <v>-2</v>
      </c>
      <c r="F2629" s="71">
        <f>+_xlfn.XLOOKUP(Tabla6[[#This Row],[ID CLIENTE]],'RESUMEN CLIENTES'!D:D,'RESUMEN CLIENTES'!W:W)</f>
        <v>1</v>
      </c>
      <c r="G2629" s="17">
        <f>IF($H2629&lt;&gt;"ALEM","",IFERROR(
  DATE(
    YEAR(EDATE(
      _xlfn.XLOOKUP($A2629,'RESUMEN CLIENTES'!$D:$D,'RESUMEN CLIENTES'!$Y:$Y,""),
      7 + COUNTIFS(
            $A$2:INDEX($A:$A,ROW()), $A2629,
            $H$2:INDEX($H:$H,ROW()), "ALEM"
          )
    )),
    MONTH(EDATE(
      _xlfn.XLOOKUP($A2629,'RESUMEN CLIENTES'!$D:$D,'RESUMEN CLIENTES'!$Y:$Y,""),
      7 + COUNTIFS(
            $A$2:INDEX($A:$A,ROW()), $A2629,
            $H$2:INDEX($H:$H,ROW()), "ALEM"
          )
    )),
    1
  ),
"null"))</f>
        <v>46753</v>
      </c>
      <c r="H2629" s="169" t="s">
        <v>1876</v>
      </c>
      <c r="I2629" s="2">
        <v>1000</v>
      </c>
      <c r="J2629"/>
      <c r="K2629"/>
      <c r="L2629" s="44" t="str" cm="1">
        <f t="array" ref="L2629">+_xlfn.IFS(COUNTIF(INGRESOS!E:E,Tabla6[[#This Row],[ID FACTURA]])=1,"PAGADA",Tabla6[[#This Row],[ID FACTURA]]&lt;&gt;0,"EMITIDA",Tabla6[[#This Row],[ID FACTURA]]=0,"POR EMITIR")</f>
        <v>POR EMITIR</v>
      </c>
      <c r="M2629" s="54" t="str">
        <f>+IF(Tabla6[[#This Row],[ESTADO FACTURA]]="PAGADA",Tabla6[[#This Row],[FECHA]]-_xlfn.XLOOKUP(Tabla6[[#This Row],[N° FACTURA]],INGRESOS!F:F,INGRESOS!A:A),"-")</f>
        <v>-</v>
      </c>
      <c r="O2629"/>
    </row>
    <row r="2630" spans="1:15">
      <c r="A2630" s="320" t="s">
        <v>1936</v>
      </c>
      <c r="B2630" t="str">
        <f>+_xlfn.XLOOKUP(Tabla6[[#This Row],[ID CLIENTE]],'RESUMEN CLIENTES'!D:D,'RESUMEN CLIENTES'!A:A)</f>
        <v>Jaime Kevin Mendez Arias</v>
      </c>
      <c r="C2630" t="str">
        <f>+_xlfn.XLOOKUP(Tabla6[[#This Row],[ID CLIENTE]],'RESUMEN CLIENTES'!D:D,'RESUMEN CLIENTES'!C:C)</f>
        <v>México</v>
      </c>
      <c r="D2630" s="169" t="str">
        <f>+_xlfn.XLOOKUP(Tabla6[[#This Row],[ID CLIENTE]],'RESUMEN CLIENTES'!D:D,'RESUMEN CLIENTES'!M:M)</f>
        <v>OK</v>
      </c>
      <c r="E2630" s="71">
        <f>+_xlfn.XLOOKUP(Tabla6[[#This Row],[NOMBRE]],'RESUMEN CLIENTES'!A:A,'RESUMEN CLIENTES'!X:X)</f>
        <v>1.6666666666666667</v>
      </c>
      <c r="F2630" s="71">
        <f>+_xlfn.XLOOKUP(Tabla6[[#This Row],[ID CLIENTE]],'RESUMEN CLIENTES'!D:D,'RESUMEN CLIENTES'!W:W)</f>
        <v>0</v>
      </c>
      <c r="G2630" s="17">
        <f>IF($H2630&lt;&gt;"ALEM","",IFERROR(
  DATE(
    YEAR(EDATE(
      _xlfn.XLOOKUP($A2630,'RESUMEN CLIENTES'!$D:$D,'RESUMEN CLIENTES'!$Y:$Y,""),
      7 + COUNTIFS(
            $A$2:INDEX($A:$A,ROW()), $A2630,
            $H$2:INDEX($H:$H,ROW()), "ALEM"
          )
    )),
    MONTH(EDATE(
      _xlfn.XLOOKUP($A2630,'RESUMEN CLIENTES'!$D:$D,'RESUMEN CLIENTES'!$Y:$Y,""),
      7 + COUNTIFS(
            $A$2:INDEX($A:$A,ROW()), $A2630,
            $H$2:INDEX($H:$H,ROW()), "ALEM"
          )
    )),
    1
  ),
"null"))</f>
        <v>46753</v>
      </c>
      <c r="H2630" s="169" t="s">
        <v>1876</v>
      </c>
      <c r="I2630" s="2">
        <v>800</v>
      </c>
      <c r="J2630"/>
      <c r="K2630"/>
      <c r="L2630" s="44" t="str" cm="1">
        <f t="array" ref="L2630">+_xlfn.IFS(COUNTIF(INGRESOS!E:E,Tabla6[[#This Row],[ID FACTURA]])=1,"PAGADA",Tabla6[[#This Row],[ID FACTURA]]&lt;&gt;0,"EMITIDA",Tabla6[[#This Row],[ID FACTURA]]=0,"POR EMITIR")</f>
        <v>POR EMITIR</v>
      </c>
      <c r="M2630" s="54" t="str">
        <f>+IF(Tabla6[[#This Row],[ESTADO FACTURA]]="PAGADA",Tabla6[[#This Row],[FECHA]]-_xlfn.XLOOKUP(Tabla6[[#This Row],[N° FACTURA]],INGRESOS!F:F,INGRESOS!A:A),"-")</f>
        <v>-</v>
      </c>
      <c r="O2630"/>
    </row>
    <row r="2631" spans="1:15">
      <c r="A2631" s="321" t="s">
        <v>1899</v>
      </c>
      <c r="B2631" t="str">
        <f>+_xlfn.XLOOKUP(Tabla6[[#This Row],[ID CLIENTE]],'RESUMEN CLIENTES'!D:D,'RESUMEN CLIENTES'!A:A)</f>
        <v>Johan Martínez</v>
      </c>
      <c r="C2631" t="str">
        <f>+_xlfn.XLOOKUP(Tabla6[[#This Row],[ID CLIENTE]],'RESUMEN CLIENTES'!D:D,'RESUMEN CLIENTES'!C:C)</f>
        <v>Colombia</v>
      </c>
      <c r="D2631" s="169" t="str">
        <f>+_xlfn.XLOOKUP(Tabla6[[#This Row],[ID CLIENTE]],'RESUMEN CLIENTES'!D:D,'RESUMEN CLIENTES'!M:M)</f>
        <v>OK</v>
      </c>
      <c r="E2631" s="71">
        <f>+_xlfn.XLOOKUP(Tabla6[[#This Row],[NOMBRE]],'RESUMEN CLIENTES'!A:A,'RESUMEN CLIENTES'!X:X)</f>
        <v>-0.66666666666666663</v>
      </c>
      <c r="F2631" s="71">
        <f>+_xlfn.XLOOKUP(Tabla6[[#This Row],[ID CLIENTE]],'RESUMEN CLIENTES'!D:D,'RESUMEN CLIENTES'!W:W)</f>
        <v>0</v>
      </c>
      <c r="G2631" s="17">
        <f>IF($H2631&lt;&gt;"ALEM","",IFERROR(
  DATE(
    YEAR(EDATE(
      _xlfn.XLOOKUP($A2631,'RESUMEN CLIENTES'!$D:$D,'RESUMEN CLIENTES'!$Y:$Y,""),
      7 + COUNTIFS(
            $A$2:INDEX($A:$A,ROW()), $A2631,
            $H$2:INDEX($H:$H,ROW()), "ALEM"
          )
    )),
    MONTH(EDATE(
      _xlfn.XLOOKUP($A2631,'RESUMEN CLIENTES'!$D:$D,'RESUMEN CLIENTES'!$Y:$Y,""),
      7 + COUNTIFS(
            $A$2:INDEX($A:$A,ROW()), $A2631,
            $H$2:INDEX($H:$H,ROW()), "ALEM"
          )
    )),
    1
  ),
"null"))</f>
        <v>46753</v>
      </c>
      <c r="H2631" s="169" t="s">
        <v>1876</v>
      </c>
      <c r="I2631" s="2">
        <v>800</v>
      </c>
      <c r="J2631"/>
      <c r="K2631"/>
      <c r="L2631" s="44" t="str" cm="1">
        <f t="array" ref="L2631">+_xlfn.IFS(COUNTIF(INGRESOS!E:E,Tabla6[[#This Row],[ID FACTURA]])=1,"PAGADA",Tabla6[[#This Row],[ID FACTURA]]&lt;&gt;0,"EMITIDA",Tabla6[[#This Row],[ID FACTURA]]=0,"POR EMITIR")</f>
        <v>POR EMITIR</v>
      </c>
      <c r="M2631" s="54" t="str">
        <f>+IF(Tabla6[[#This Row],[ESTADO FACTURA]]="PAGADA",Tabla6[[#This Row],[FECHA]]-_xlfn.XLOOKUP(Tabla6[[#This Row],[N° FACTURA]],INGRESOS!F:F,INGRESOS!A:A),"-")</f>
        <v>-</v>
      </c>
      <c r="O2631" t="s">
        <v>2086</v>
      </c>
    </row>
    <row r="2632" spans="1:15">
      <c r="A2632" s="320" t="s">
        <v>1437</v>
      </c>
      <c r="B2632" t="str">
        <f>+_xlfn.XLOOKUP(Tabla6[[#This Row],[ID CLIENTE]],'RESUMEN CLIENTES'!D:D,'RESUMEN CLIENTES'!A:A)</f>
        <v>Jorge Andres Galgani Muñoz</v>
      </c>
      <c r="C2632" t="str">
        <f>+_xlfn.XLOOKUP(Tabla6[[#This Row],[ID CLIENTE]],'RESUMEN CLIENTES'!D:D,'RESUMEN CLIENTES'!C:C)</f>
        <v>Chile</v>
      </c>
      <c r="D2632" s="44" t="str">
        <f>+_xlfn.XLOOKUP(Tabla6[[#This Row],[ID CLIENTE]],'RESUMEN CLIENTES'!D:D,'RESUMEN CLIENTES'!M:M)</f>
        <v>OK</v>
      </c>
      <c r="E2632" s="71">
        <f>+_xlfn.XLOOKUP(Tabla6[[#This Row],[NOMBRE]],'RESUMEN CLIENTES'!A:A,'RESUMEN CLIENTES'!X:X)</f>
        <v>-1.1428571428571428</v>
      </c>
      <c r="F2632" s="71">
        <f>+_xlfn.XLOOKUP(Tabla6[[#This Row],[ID CLIENTE]],'RESUMEN CLIENTES'!D:D,'RESUMEN CLIENTES'!W:W)</f>
        <v>1</v>
      </c>
      <c r="G2632" s="17">
        <f>IF($H2632&lt;&gt;"ALEM","",IFERROR(
  DATE(
    YEAR(EDATE(
      _xlfn.XLOOKUP($A2632,'RESUMEN CLIENTES'!$D:$D,'RESUMEN CLIENTES'!$Y:$Y,""),
      7 + COUNTIFS(
            $A$2:INDEX($A:$A,ROW()), $A2632,
            $H$2:INDEX($H:$H,ROW()), "ALEM"
          )
    )),
    MONTH(EDATE(
      _xlfn.XLOOKUP($A2632,'RESUMEN CLIENTES'!$D:$D,'RESUMEN CLIENTES'!$Y:$Y,""),
      7 + COUNTIFS(
            $A$2:INDEX($A:$A,ROW()), $A2632,
            $H$2:INDEX($H:$H,ROW()), "ALEM"
          )
    )),
    1
  ),
"SIN FECHA MIG"))</f>
        <v>46753</v>
      </c>
      <c r="H2632" s="169" t="s">
        <v>1876</v>
      </c>
      <c r="I2632" s="2">
        <v>800</v>
      </c>
      <c r="J2632"/>
      <c r="K2632"/>
      <c r="L2632" s="44" t="str" cm="1">
        <f t="array" ref="L2632">+_xlfn.IFS(COUNTIF(INGRESOS!E:E,Tabla6[[#This Row],[ID FACTURA]])=1,"PAGADA",Tabla6[[#This Row],[ID FACTURA]]&lt;&gt;0,"EMITIDA",Tabla6[[#This Row],[ID FACTURA]]=0,"POR EMITIR")</f>
        <v>POR EMITIR</v>
      </c>
      <c r="M2632" s="55" t="str">
        <f>+IF(Tabla6[[#This Row],[ESTADO FACTURA]]="PAGADA",Tabla6[[#This Row],[FECHA]]-_xlfn.XLOOKUP(Tabla6[[#This Row],[N° FACTURA]],INGRESOS!F:F,INGRESOS!A:A),"-")</f>
        <v>-</v>
      </c>
      <c r="N2632" s="2"/>
      <c r="O2632"/>
    </row>
    <row r="2633" spans="1:15">
      <c r="A2633" s="320" t="s">
        <v>4454</v>
      </c>
      <c r="B2633" t="str">
        <f>+_xlfn.XLOOKUP(Tabla6[[#This Row],[ID CLIENTE]],'RESUMEN CLIENTES'!D:D,'RESUMEN CLIENTES'!A:A)</f>
        <v>Jose Luis Avilez Casas</v>
      </c>
      <c r="C2633" t="str">
        <f>+_xlfn.XLOOKUP(Tabla6[[#This Row],[ID CLIENTE]],'RESUMEN CLIENTES'!D:D,'RESUMEN CLIENTES'!C:C)</f>
        <v>México</v>
      </c>
      <c r="D2633" s="169" t="str">
        <f>+_xlfn.XLOOKUP(Tabla6[[#This Row],[ID CLIENTE]],'RESUMEN CLIENTES'!D:D,'RESUMEN CLIENTES'!M:M)</f>
        <v>OK</v>
      </c>
      <c r="E2633" s="71">
        <f>+_xlfn.XLOOKUP(Tabla6[[#This Row],[NOMBRE]],'RESUMEN CLIENTES'!A:A,'RESUMEN CLIENTES'!X:X)</f>
        <v>0.33333333333333331</v>
      </c>
      <c r="F2633" s="71">
        <f>+_xlfn.XLOOKUP(Tabla6[[#This Row],[ID CLIENTE]],'RESUMEN CLIENTES'!D:D,'RESUMEN CLIENTES'!W:W)</f>
        <v>0</v>
      </c>
      <c r="G2633" s="17">
        <f>IF($H2633&lt;&gt;"ALEM","",IFERROR(
  DATE(
    YEAR(EDATE(
      _xlfn.XLOOKUP($A2633,'RESUMEN CLIENTES'!$D:$D,'RESUMEN CLIENTES'!$Y:$Y,""),
      7 + COUNTIFS(
            $A$2:INDEX($A:$A,ROW()), $A2633,
            $H$2:INDEX($H:$H,ROW()), "ALEM"
          )
    )),
    MONTH(EDATE(
      _xlfn.XLOOKUP($A2633,'RESUMEN CLIENTES'!$D:$D,'RESUMEN CLIENTES'!$Y:$Y,""),
      7 + COUNTIFS(
            $A$2:INDEX($A:$A,ROW()), $A2633,
            $H$2:INDEX($H:$H,ROW()), "ALEM"
          )
    )),
    1
  ),
"null"))</f>
        <v>46753</v>
      </c>
      <c r="H2633" s="169" t="s">
        <v>1876</v>
      </c>
      <c r="I2633" s="2">
        <v>800</v>
      </c>
      <c r="J2633"/>
      <c r="K2633"/>
      <c r="L2633" s="44" t="str" cm="1">
        <f t="array" ref="L2633">+_xlfn.IFS(COUNTIF(INGRESOS!E:E,Tabla6[[#This Row],[ID FACTURA]])=1,"PAGADA",Tabla6[[#This Row],[ID FACTURA]]&lt;&gt;0,"EMITIDA",Tabla6[[#This Row],[ID FACTURA]]=0,"POR EMITIR")</f>
        <v>POR EMITIR</v>
      </c>
      <c r="M2633" s="54" t="str">
        <f>+IF(Tabla6[[#This Row],[ESTADO FACTURA]]="PAGADA",Tabla6[[#This Row],[FECHA]]-_xlfn.XLOOKUP(Tabla6[[#This Row],[N° FACTURA]],INGRESOS!F:F,INGRESOS!A:A),"-")</f>
        <v>-</v>
      </c>
      <c r="O2633"/>
    </row>
    <row r="2634" spans="1:15">
      <c r="A2634" s="321" t="s">
        <v>367</v>
      </c>
      <c r="B2634" t="str">
        <f>+_xlfn.XLOOKUP(Tabla6[[#This Row],[ID CLIENTE]],'RESUMEN CLIENTES'!D:D,'RESUMEN CLIENTES'!A:A)</f>
        <v>José Miguel Undurraga Saavedra</v>
      </c>
      <c r="C2634" t="str">
        <f>+_xlfn.XLOOKUP(Tabla6[[#This Row],[ID CLIENTE]],'RESUMEN CLIENTES'!D:D,'RESUMEN CLIENTES'!C:C)</f>
        <v>Chile</v>
      </c>
      <c r="D2634" s="169" t="str">
        <f>+_xlfn.XLOOKUP(Tabla6[[#This Row],[ID CLIENTE]],'RESUMEN CLIENTES'!D:D,'RESUMEN CLIENTES'!M:M)</f>
        <v>OK</v>
      </c>
      <c r="E2634" s="71">
        <f>+_xlfn.XLOOKUP(Tabla6[[#This Row],[NOMBRE]],'RESUMEN CLIENTES'!A:A,'RESUMEN CLIENTES'!X:X)</f>
        <v>-11.5</v>
      </c>
      <c r="F2634" s="71">
        <f>+_xlfn.XLOOKUP(Tabla6[[#This Row],[ID CLIENTE]],'RESUMEN CLIENTES'!D:D,'RESUMEN CLIENTES'!W:W)</f>
        <v>0</v>
      </c>
      <c r="G2634" s="17">
        <f>IF($H2634&lt;&gt;"ALEM","",IFERROR(
  DATE(
    YEAR(EDATE(
      _xlfn.XLOOKUP($A2634,'RESUMEN CLIENTES'!$D:$D,'RESUMEN CLIENTES'!$Y:$Y,""),
      7 + COUNTIFS(
            $A$2:INDEX($A:$A,ROW()), $A2634,
            $H$2:INDEX($H:$H,ROW()), "ALEM"
          )
    )),
    MONTH(EDATE(
      _xlfn.XLOOKUP($A2634,'RESUMEN CLIENTES'!$D:$D,'RESUMEN CLIENTES'!$Y:$Y,""),
      7 + COUNTIFS(
            $A$2:INDEX($A:$A,ROW()), $A2634,
            $H$2:INDEX($H:$H,ROW()), "ALEM"
          )
    )),
    1
  ),
"null"))</f>
        <v>46753</v>
      </c>
      <c r="H2634" s="169" t="s">
        <v>1876</v>
      </c>
      <c r="I2634" s="2">
        <v>1000</v>
      </c>
      <c r="J2634"/>
      <c r="K2634"/>
      <c r="L2634" s="44" t="str" cm="1">
        <f t="array" ref="L2634">+_xlfn.IFS(COUNTIF(INGRESOS!E:E,Tabla6[[#This Row],[ID FACTURA]])=1,"PAGADA",Tabla6[[#This Row],[ID FACTURA]]&lt;&gt;0,"EMITIDA",Tabla6[[#This Row],[ID FACTURA]]=0,"POR EMITIR")</f>
        <v>POR EMITIR</v>
      </c>
      <c r="M2634" s="54" t="str">
        <f>+IF(Tabla6[[#This Row],[ESTADO FACTURA]]="PAGADA",Tabla6[[#This Row],[FECHA]]-_xlfn.XLOOKUP(Tabla6[[#This Row],[N° FACTURA]],INGRESOS!F:F,INGRESOS!A:A),"-")</f>
        <v>-</v>
      </c>
      <c r="O2634" t="s">
        <v>2092</v>
      </c>
    </row>
    <row r="2635" spans="1:15">
      <c r="A2635" s="320" t="s">
        <v>1931</v>
      </c>
      <c r="B2635" t="str">
        <f>+_xlfn.XLOOKUP(Tabla6[[#This Row],[ID CLIENTE]],'RESUMEN CLIENTES'!D:D,'RESUMEN CLIENTES'!A:A)</f>
        <v>Josué Bernardo Reyes Flores</v>
      </c>
      <c r="C2635" t="str">
        <f>+_xlfn.XLOOKUP(Tabla6[[#This Row],[ID CLIENTE]],'RESUMEN CLIENTES'!D:D,'RESUMEN CLIENTES'!C:C)</f>
        <v>México</v>
      </c>
      <c r="D2635" s="169" t="str">
        <f>+_xlfn.XLOOKUP(Tabla6[[#This Row],[ID CLIENTE]],'RESUMEN CLIENTES'!D:D,'RESUMEN CLIENTES'!M:M)</f>
        <v>OK</v>
      </c>
      <c r="E2635" s="71">
        <f>+_xlfn.XLOOKUP(Tabla6[[#This Row],[NOMBRE]],'RESUMEN CLIENTES'!A:A,'RESUMEN CLIENTES'!X:X)</f>
        <v>0</v>
      </c>
      <c r="F2635" s="71">
        <f>+_xlfn.XLOOKUP(Tabla6[[#This Row],[ID CLIENTE]],'RESUMEN CLIENTES'!D:D,'RESUMEN CLIENTES'!W:W)</f>
        <v>1</v>
      </c>
      <c r="G2635" s="17">
        <f>IF($H2635&lt;&gt;"ALEM","",IFERROR(
  DATE(
    YEAR(EDATE(
      _xlfn.XLOOKUP($A2635,'RESUMEN CLIENTES'!$D:$D,'RESUMEN CLIENTES'!$Y:$Y,""),
      7 + COUNTIFS(
            $A$2:INDEX($A:$A,ROW()), $A2635,
            $H$2:INDEX($H:$H,ROW()), "ALEM"
          )
    )),
    MONTH(EDATE(
      _xlfn.XLOOKUP($A2635,'RESUMEN CLIENTES'!$D:$D,'RESUMEN CLIENTES'!$Y:$Y,""),
      7 + COUNTIFS(
            $A$2:INDEX($A:$A,ROW()), $A2635,
            $H$2:INDEX($H:$H,ROW()), "ALEM"
          )
    )),
    1
  ),
"null"))</f>
        <v>46753</v>
      </c>
      <c r="H2635" s="169" t="s">
        <v>1876</v>
      </c>
      <c r="I2635" s="2">
        <v>800</v>
      </c>
      <c r="J2635"/>
      <c r="K2635"/>
      <c r="L2635" s="44" t="str" cm="1">
        <f t="array" ref="L2635">+_xlfn.IFS(COUNTIF(INGRESOS!E:E,Tabla6[[#This Row],[ID FACTURA]])=1,"PAGADA",Tabla6[[#This Row],[ID FACTURA]]&lt;&gt;0,"EMITIDA",Tabla6[[#This Row],[ID FACTURA]]=0,"POR EMITIR")</f>
        <v>POR EMITIR</v>
      </c>
      <c r="M2635" s="54" t="str">
        <f>+IF(Tabla6[[#This Row],[ESTADO FACTURA]]="PAGADA",Tabla6[[#This Row],[FECHA]]-_xlfn.XLOOKUP(Tabla6[[#This Row],[N° FACTURA]],INGRESOS!F:F,INGRESOS!A:A),"-")</f>
        <v>-</v>
      </c>
      <c r="O2635"/>
    </row>
    <row r="2636" spans="1:15">
      <c r="A2636" s="320" t="s">
        <v>1461</v>
      </c>
      <c r="B2636" t="str">
        <f>+_xlfn.XLOOKUP(Tabla6[[#This Row],[ID CLIENTE]],'RESUMEN CLIENTES'!D:D,'RESUMEN CLIENTES'!A:A)</f>
        <v>Katerine Marianela Verastegui Mendoza</v>
      </c>
      <c r="C2636" t="str">
        <f>+_xlfn.XLOOKUP(Tabla6[[#This Row],[ID CLIENTE]],'RESUMEN CLIENTES'!D:D,'RESUMEN CLIENTES'!C:C)</f>
        <v>Perú</v>
      </c>
      <c r="D2636" s="44" t="str">
        <f>+_xlfn.XLOOKUP(Tabla6[[#This Row],[ID CLIENTE]],'RESUMEN CLIENTES'!D:D,'RESUMEN CLIENTES'!M:M)</f>
        <v>OK</v>
      </c>
      <c r="E2636" s="71">
        <f>+_xlfn.XLOOKUP(Tabla6[[#This Row],[NOMBRE]],'RESUMEN CLIENTES'!A:A,'RESUMEN CLIENTES'!X:X)</f>
        <v>-2</v>
      </c>
      <c r="F2636" s="71">
        <f>+_xlfn.XLOOKUP(Tabla6[[#This Row],[ID CLIENTE]],'RESUMEN CLIENTES'!D:D,'RESUMEN CLIENTES'!W:W)</f>
        <v>0</v>
      </c>
      <c r="G2636" s="17">
        <f>IF($H2636&lt;&gt;"ALEM","",IFERROR(
  DATE(
    YEAR(EDATE(
      _xlfn.XLOOKUP($A2636,'RESUMEN CLIENTES'!$D:$D,'RESUMEN CLIENTES'!$Y:$Y,""),
      7 + COUNTIFS(
            $A$2:INDEX($A:$A,ROW()), $A2636,
            $H$2:INDEX($H:$H,ROW()), "ALEM"
          )
    )),
    MONTH(EDATE(
      _xlfn.XLOOKUP($A2636,'RESUMEN CLIENTES'!$D:$D,'RESUMEN CLIENTES'!$Y:$Y,""),
      7 + COUNTIFS(
            $A$2:INDEX($A:$A,ROW()), $A2636,
            $H$2:INDEX($H:$H,ROW()), "ALEM"
          )
    )),
    1
  ),
"SIN FECHA MIG"))</f>
        <v>46753</v>
      </c>
      <c r="H2636" s="169" t="s">
        <v>1876</v>
      </c>
      <c r="I2636" s="2">
        <v>1000</v>
      </c>
      <c r="J2636"/>
      <c r="K2636"/>
      <c r="L2636" s="44" t="str" cm="1">
        <f t="array" ref="L2636">+_xlfn.IFS(COUNTIF(INGRESOS!E:E,Tabla6[[#This Row],[ID FACTURA]])=1,"PAGADA",Tabla6[[#This Row],[ID FACTURA]]&lt;&gt;0,"EMITIDA",Tabla6[[#This Row],[ID FACTURA]]=0,"POR EMITIR")</f>
        <v>POR EMITIR</v>
      </c>
      <c r="M2636" s="55" t="str">
        <f>+IF(Tabla6[[#This Row],[ESTADO FACTURA]]="PAGADA",Tabla6[[#This Row],[FECHA]]-_xlfn.XLOOKUP(Tabla6[[#This Row],[N° FACTURA]],INGRESOS!F:F,INGRESOS!A:A),"-")</f>
        <v>-</v>
      </c>
      <c r="N2636" s="2"/>
      <c r="O2636" t="s">
        <v>2086</v>
      </c>
    </row>
    <row r="2637" spans="1:15">
      <c r="A2637" s="320" t="s">
        <v>1482</v>
      </c>
      <c r="B2637" t="str">
        <f>+_xlfn.XLOOKUP(Tabla6[[#This Row],[ID CLIENTE]],'RESUMEN CLIENTES'!D:D,'RESUMEN CLIENTES'!A:A)</f>
        <v>Laxmi Davi Patel Flores</v>
      </c>
      <c r="C2637" t="str">
        <f>+_xlfn.XLOOKUP(Tabla6[[#This Row],[ID CLIENTE]],'RESUMEN CLIENTES'!D:D,'RESUMEN CLIENTES'!C:C)</f>
        <v>Ecuador</v>
      </c>
      <c r="D2637" s="44" t="str">
        <f>+_xlfn.XLOOKUP(Tabla6[[#This Row],[ID CLIENTE]],'RESUMEN CLIENTES'!D:D,'RESUMEN CLIENTES'!M:M)</f>
        <v>OK</v>
      </c>
      <c r="E2637" s="71">
        <f>+_xlfn.XLOOKUP(Tabla6[[#This Row],[NOMBRE]],'RESUMEN CLIENTES'!A:A,'RESUMEN CLIENTES'!X:X)</f>
        <v>-1.5714285714285714</v>
      </c>
      <c r="F2637" s="71">
        <f>+_xlfn.XLOOKUP(Tabla6[[#This Row],[ID CLIENTE]],'RESUMEN CLIENTES'!D:D,'RESUMEN CLIENTES'!W:W)</f>
        <v>0</v>
      </c>
      <c r="G2637" s="17">
        <f>IF($H2637&lt;&gt;"ALEM","",IFERROR(
  DATE(
    YEAR(EDATE(
      _xlfn.XLOOKUP($A2637,'RESUMEN CLIENTES'!$D:$D,'RESUMEN CLIENTES'!$Y:$Y,""),
      7 + COUNTIFS(
            $A$2:INDEX($A:$A,ROW()), $A2637,
            $H$2:INDEX($H:$H,ROW()), "ALEM"
          )
    )),
    MONTH(EDATE(
      _xlfn.XLOOKUP($A2637,'RESUMEN CLIENTES'!$D:$D,'RESUMEN CLIENTES'!$Y:$Y,""),
      7 + COUNTIFS(
            $A$2:INDEX($A:$A,ROW()), $A2637,
            $H$2:INDEX($H:$H,ROW()), "ALEM"
          )
    )),
    1
  ),
"SIN FECHA MIG"))</f>
        <v>46753</v>
      </c>
      <c r="H2637" s="169" t="s">
        <v>1876</v>
      </c>
      <c r="I2637" s="2">
        <v>800</v>
      </c>
      <c r="J2637"/>
      <c r="K2637"/>
      <c r="L2637" s="44" t="str" cm="1">
        <f t="array" ref="L2637">+_xlfn.IFS(COUNTIF(INGRESOS!E:E,Tabla6[[#This Row],[ID FACTURA]])=1,"PAGADA",Tabla6[[#This Row],[ID FACTURA]]&lt;&gt;0,"EMITIDA",Tabla6[[#This Row],[ID FACTURA]]=0,"POR EMITIR")</f>
        <v>POR EMITIR</v>
      </c>
      <c r="M2637" s="55" t="str">
        <f>+IF(Tabla6[[#This Row],[ESTADO FACTURA]]="PAGADA",Tabla6[[#This Row],[FECHA]]-_xlfn.XLOOKUP(Tabla6[[#This Row],[N° FACTURA]],INGRESOS!F:F,INGRESOS!A:A),"-")</f>
        <v>-</v>
      </c>
      <c r="N2637" s="2"/>
      <c r="O2637" t="s">
        <v>2086</v>
      </c>
    </row>
    <row r="2638" spans="1:15">
      <c r="A2638" s="320" t="s">
        <v>1551</v>
      </c>
      <c r="B2638" t="str">
        <f>+_xlfn.XLOOKUP(Tabla6[[#This Row],[ID CLIENTE]],'RESUMEN CLIENTES'!D:D,'RESUMEN CLIENTES'!A:A)</f>
        <v>María Fernanda Cid Ramírez</v>
      </c>
      <c r="C2638" t="str">
        <f>+_xlfn.XLOOKUP(Tabla6[[#This Row],[ID CLIENTE]],'RESUMEN CLIENTES'!D:D,'RESUMEN CLIENTES'!C:C)</f>
        <v>México</v>
      </c>
      <c r="D2638" s="44" t="str">
        <f>+_xlfn.XLOOKUP(Tabla6[[#This Row],[ID CLIENTE]],'RESUMEN CLIENTES'!D:D,'RESUMEN CLIENTES'!M:M)</f>
        <v>OK</v>
      </c>
      <c r="E2638" s="71">
        <f>+_xlfn.XLOOKUP(Tabla6[[#This Row],[NOMBRE]],'RESUMEN CLIENTES'!A:A,'RESUMEN CLIENTES'!X:X)</f>
        <v>-0.8571428571428571</v>
      </c>
      <c r="F2638" s="71">
        <f>+_xlfn.XLOOKUP(Tabla6[[#This Row],[ID CLIENTE]],'RESUMEN CLIENTES'!D:D,'RESUMEN CLIENTES'!W:W)</f>
        <v>0</v>
      </c>
      <c r="G2638" s="17">
        <f>IF($H2638&lt;&gt;"ALEM","",IFERROR(
  DATE(
    YEAR(EDATE(
      _xlfn.XLOOKUP($A2638,'RESUMEN CLIENTES'!$D:$D,'RESUMEN CLIENTES'!$Y:$Y,""),
      7 + COUNTIFS(
            $A$2:INDEX($A:$A,ROW()), $A2638,
            $H$2:INDEX($H:$H,ROW()), "ALEM"
          )
    )),
    MONTH(EDATE(
      _xlfn.XLOOKUP($A2638,'RESUMEN CLIENTES'!$D:$D,'RESUMEN CLIENTES'!$Y:$Y,""),
      7 + COUNTIFS(
            $A$2:INDEX($A:$A,ROW()), $A2638,
            $H$2:INDEX($H:$H,ROW()), "ALEM"
          )
    )),
    1
  ),
"SIN FECHA MIG"))</f>
        <v>46753</v>
      </c>
      <c r="H2638" s="169" t="s">
        <v>1876</v>
      </c>
      <c r="I2638" s="2">
        <v>800</v>
      </c>
      <c r="J2638"/>
      <c r="K2638"/>
      <c r="L2638" s="44" t="str" cm="1">
        <f t="array" ref="L2638">+_xlfn.IFS(COUNTIF(INGRESOS!E:E,Tabla6[[#This Row],[ID FACTURA]])=1,"PAGADA",Tabla6[[#This Row],[ID FACTURA]]&lt;&gt;0,"EMITIDA",Tabla6[[#This Row],[ID FACTURA]]=0,"POR EMITIR")</f>
        <v>POR EMITIR</v>
      </c>
      <c r="M2638" s="55" t="str">
        <f>+IF(Tabla6[[#This Row],[ESTADO FACTURA]]="PAGADA",Tabla6[[#This Row],[FECHA]]-_xlfn.XLOOKUP(Tabla6[[#This Row],[N° FACTURA]],INGRESOS!F:F,INGRESOS!A:A),"-")</f>
        <v>-</v>
      </c>
      <c r="N2638" s="2"/>
      <c r="O2638" t="s">
        <v>2086</v>
      </c>
    </row>
    <row r="2639" spans="1:15">
      <c r="A2639" s="320" t="s">
        <v>1201</v>
      </c>
      <c r="B2639" t="str">
        <f>+_xlfn.XLOOKUP(Tabla6[[#This Row],[ID CLIENTE]],'RESUMEN CLIENTES'!D:D,'RESUMEN CLIENTES'!A:A)</f>
        <v>María Soledad Tituana Asanza</v>
      </c>
      <c r="C2639" t="str">
        <f>+_xlfn.XLOOKUP(Tabla6[[#This Row],[ID CLIENTE]],'RESUMEN CLIENTES'!D:D,'RESUMEN CLIENTES'!C:C)</f>
        <v>Ecuador</v>
      </c>
      <c r="D2639" s="44" t="str">
        <f>+_xlfn.XLOOKUP(Tabla6[[#This Row],[ID CLIENTE]],'RESUMEN CLIENTES'!D:D,'RESUMEN CLIENTES'!M:M)</f>
        <v>OK</v>
      </c>
      <c r="E2639" s="72">
        <f>+_xlfn.XLOOKUP(Tabla6[[#This Row],[NOMBRE]],'RESUMEN CLIENTES'!A:A,'RESUMEN CLIENTES'!X:X)</f>
        <v>-0.16666666666666666</v>
      </c>
      <c r="F2639" s="72">
        <f>+_xlfn.XLOOKUP(Tabla6[[#This Row],[ID CLIENTE]],'RESUMEN CLIENTES'!D:D,'RESUMEN CLIENTES'!W:W)</f>
        <v>0</v>
      </c>
      <c r="G2639" s="17">
        <f>IF($H2639&lt;&gt;"ALEM","",IFERROR(
  DATE(
    YEAR(EDATE(
      _xlfn.XLOOKUP($A2639,'RESUMEN CLIENTES'!$D:$D,'RESUMEN CLIENTES'!$Y:$Y,""),
      7 + COUNTIFS(
            $A$2:INDEX($A:$A,ROW()), $A2639,
            $H$2:INDEX($H:$H,ROW()), "ALEM"
          )
    )),
    MONTH(EDATE(
      _xlfn.XLOOKUP($A2639,'RESUMEN CLIENTES'!$D:$D,'RESUMEN CLIENTES'!$Y:$Y,""),
      7 + COUNTIFS(
            $A$2:INDEX($A:$A,ROW()), $A2639,
            $H$2:INDEX($H:$H,ROW()), "ALEM"
          )
    )),
    1
  ),
"SIN FECHA MIG"))</f>
        <v>46753</v>
      </c>
      <c r="H2639" s="44" t="s">
        <v>1876</v>
      </c>
      <c r="I2639" s="2">
        <v>1000</v>
      </c>
      <c r="J2639"/>
      <c r="K2639"/>
      <c r="L2639" s="44" t="str" cm="1">
        <f t="array" ref="L2639">+_xlfn.IFS(COUNTIF(INGRESOS!E:E,Tabla6[[#This Row],[ID FACTURA]])=1,"PAGADA",Tabla6[[#This Row],[ID FACTURA]]&lt;&gt;0,"EMITIDA",Tabla6[[#This Row],[ID FACTURA]]=0,"POR EMITIR")</f>
        <v>POR EMITIR</v>
      </c>
      <c r="M2639" s="55" t="str">
        <f>+IF(Tabla6[[#This Row],[ESTADO FACTURA]]="PAGADA",Tabla6[[#This Row],[FECHA]]-_xlfn.XLOOKUP(Tabla6[[#This Row],[N° FACTURA]],INGRESOS!F:F,INGRESOS!A:A),"-")</f>
        <v>-</v>
      </c>
      <c r="N2639" s="2"/>
      <c r="O2639" t="s">
        <v>2084</v>
      </c>
    </row>
    <row r="2640" spans="1:15">
      <c r="A2640" s="320" t="s">
        <v>1155</v>
      </c>
      <c r="B2640" t="str">
        <f>+_xlfn.XLOOKUP(Tabla6[[#This Row],[ID CLIENTE]],'RESUMEN CLIENTES'!D:D,'RESUMEN CLIENTES'!A:A)</f>
        <v>Mario Arciga Casián</v>
      </c>
      <c r="C2640" t="str">
        <f>+_xlfn.XLOOKUP(Tabla6[[#This Row],[ID CLIENTE]],'RESUMEN CLIENTES'!D:D,'RESUMEN CLIENTES'!C:C)</f>
        <v>México</v>
      </c>
      <c r="D2640" s="44" t="str">
        <f>+_xlfn.XLOOKUP(Tabla6[[#This Row],[ID CLIENTE]],'RESUMEN CLIENTES'!D:D,'RESUMEN CLIENTES'!M:M)</f>
        <v>OK</v>
      </c>
      <c r="E2640" s="72">
        <f>+_xlfn.XLOOKUP(Tabla6[[#This Row],[NOMBRE]],'RESUMEN CLIENTES'!A:A,'RESUMEN CLIENTES'!X:X)</f>
        <v>-0.66666666666666663</v>
      </c>
      <c r="F2640" s="72">
        <f>+_xlfn.XLOOKUP(Tabla6[[#This Row],[ID CLIENTE]],'RESUMEN CLIENTES'!D:D,'RESUMEN CLIENTES'!W:W)</f>
        <v>1</v>
      </c>
      <c r="G2640" s="17">
        <f>IF($H2640&lt;&gt;"ALEM","",IFERROR(
  DATE(
    YEAR(EDATE(
      _xlfn.XLOOKUP($A2640,'RESUMEN CLIENTES'!$D:$D,'RESUMEN CLIENTES'!$Y:$Y,""),
      7 + COUNTIFS(
            $A$2:INDEX($A:$A,ROW()), $A2640,
            $H$2:INDEX($H:$H,ROW()), "ALEM"
          )
    )),
    MONTH(EDATE(
      _xlfn.XLOOKUP($A2640,'RESUMEN CLIENTES'!$D:$D,'RESUMEN CLIENTES'!$Y:$Y,""),
      7 + COUNTIFS(
            $A$2:INDEX($A:$A,ROW()), $A2640,
            $H$2:INDEX($H:$H,ROW()), "ALEM"
          )
    )),
    1
  ),
"SIN FECHA MIG"))</f>
        <v>46753</v>
      </c>
      <c r="H2640" s="44" t="s">
        <v>1876</v>
      </c>
      <c r="I2640" s="2">
        <v>800</v>
      </c>
      <c r="J2640"/>
      <c r="K2640"/>
      <c r="L2640" s="44" t="str" cm="1">
        <f t="array" ref="L2640">+_xlfn.IFS(COUNTIF(INGRESOS!E:E,Tabla6[[#This Row],[ID FACTURA]])=1,"PAGADA",Tabla6[[#This Row],[ID FACTURA]]&lt;&gt;0,"EMITIDA",Tabla6[[#This Row],[ID FACTURA]]=0,"POR EMITIR")</f>
        <v>POR EMITIR</v>
      </c>
      <c r="M2640" s="55" t="str">
        <f>+IF(Tabla6[[#This Row],[ESTADO FACTURA]]="PAGADA",Tabla6[[#This Row],[FECHA]]-_xlfn.XLOOKUP(Tabla6[[#This Row],[N° FACTURA]],INGRESOS!F:F,INGRESOS!A:A),"-")</f>
        <v>-</v>
      </c>
      <c r="N2640" s="2"/>
      <c r="O2640"/>
    </row>
    <row r="2641" spans="1:15">
      <c r="A2641" s="320" t="s">
        <v>4509</v>
      </c>
      <c r="B2641" t="str">
        <f>+_xlfn.XLOOKUP(Tabla6[[#This Row],[ID CLIENTE]],'RESUMEN CLIENTES'!D:D,'RESUMEN CLIENTES'!A:A)</f>
        <v>Marisol Madeleine Ibáñez Paredes</v>
      </c>
      <c r="C2641" t="str">
        <f>+_xlfn.XLOOKUP(Tabla6[[#This Row],[ID CLIENTE]],'RESUMEN CLIENTES'!D:D,'RESUMEN CLIENTES'!C:C)</f>
        <v>Ecuador</v>
      </c>
      <c r="D2641" s="169" t="str">
        <f>+_xlfn.XLOOKUP(Tabla6[[#This Row],[ID CLIENTE]],'RESUMEN CLIENTES'!D:D,'RESUMEN CLIENTES'!M:M)</f>
        <v>OK</v>
      </c>
      <c r="E2641" s="71">
        <f>+_xlfn.XLOOKUP(Tabla6[[#This Row],[NOMBRE]],'RESUMEN CLIENTES'!A:A,'RESUMEN CLIENTES'!X:X)</f>
        <v>-3</v>
      </c>
      <c r="F2641" s="71">
        <f>+_xlfn.XLOOKUP(Tabla6[[#This Row],[ID CLIENTE]],'RESUMEN CLIENTES'!D:D,'RESUMEN CLIENTES'!W:W)</f>
        <v>0</v>
      </c>
      <c r="G2641" s="17">
        <f>IF($H2641&lt;&gt;"ALEM","",IFERROR(
  DATE(
    YEAR(EDATE(
      _xlfn.XLOOKUP($A2641,'RESUMEN CLIENTES'!$D:$D,'RESUMEN CLIENTES'!$Y:$Y,""),
      7 + COUNTIFS(
            $A$2:INDEX($A:$A,ROW()), $A2641,
            $H$2:INDEX($H:$H,ROW()), "ALEM"
          )
    )),
    MONTH(EDATE(
      _xlfn.XLOOKUP($A2641,'RESUMEN CLIENTES'!$D:$D,'RESUMEN CLIENTES'!$Y:$Y,""),
      7 + COUNTIFS(
            $A$2:INDEX($A:$A,ROW()), $A2641,
            $H$2:INDEX($H:$H,ROW()), "ALEM"
          )
    )),
    1
  ),
"null"))</f>
        <v>46753</v>
      </c>
      <c r="H2641" s="169" t="s">
        <v>1876</v>
      </c>
      <c r="I2641" s="2">
        <v>900</v>
      </c>
      <c r="J2641"/>
      <c r="K2641"/>
      <c r="L2641" s="44" t="str" cm="1">
        <f t="array" ref="L2641">+_xlfn.IFS(COUNTIF(INGRESOS!E:E,Tabla6[[#This Row],[ID FACTURA]])=1,"PAGADA",Tabla6[[#This Row],[ID FACTURA]]&lt;&gt;0,"EMITIDA",Tabla6[[#This Row],[ID FACTURA]]=0,"POR EMITIR")</f>
        <v>POR EMITIR</v>
      </c>
      <c r="M2641" s="54" t="str">
        <f>+IF(Tabla6[[#This Row],[ESTADO FACTURA]]="PAGADA",Tabla6[[#This Row],[FECHA]]-_xlfn.XLOOKUP(Tabla6[[#This Row],[N° FACTURA]],INGRESOS!F:F,INGRESOS!A:A),"-")</f>
        <v>-</v>
      </c>
      <c r="O2641"/>
    </row>
    <row r="2642" spans="1:15">
      <c r="A2642" s="320" t="s">
        <v>1658</v>
      </c>
      <c r="B2642" t="str">
        <f>+_xlfn.XLOOKUP(Tabla6[[#This Row],[ID CLIENTE]],'RESUMEN CLIENTES'!D:D,'RESUMEN CLIENTES'!A:A)</f>
        <v>Nadya Sofía García Carrasco</v>
      </c>
      <c r="C2642" t="str">
        <f>+_xlfn.XLOOKUP(Tabla6[[#This Row],[ID CLIENTE]],'RESUMEN CLIENTES'!D:D,'RESUMEN CLIENTES'!C:C)</f>
        <v>Ecuador</v>
      </c>
      <c r="D2642" s="169" t="str">
        <f>+_xlfn.XLOOKUP(Tabla6[[#This Row],[ID CLIENTE]],'RESUMEN CLIENTES'!D:D,'RESUMEN CLIENTES'!M:M)</f>
        <v>OK</v>
      </c>
      <c r="E2642" s="71">
        <f>+_xlfn.XLOOKUP(Tabla6[[#This Row],[NOMBRE]],'RESUMEN CLIENTES'!A:A,'RESUMEN CLIENTES'!X:X)</f>
        <v>0</v>
      </c>
      <c r="F2642" s="71">
        <f>+_xlfn.XLOOKUP(Tabla6[[#This Row],[ID CLIENTE]],'RESUMEN CLIENTES'!D:D,'RESUMEN CLIENTES'!W:W)</f>
        <v>1</v>
      </c>
      <c r="G2642" s="17">
        <f>IF($H2642&lt;&gt;"ALEM","",IFERROR(
  DATE(
    YEAR(EDATE(
      _xlfn.XLOOKUP($A2642,'RESUMEN CLIENTES'!$D:$D,'RESUMEN CLIENTES'!$Y:$Y,""),
      7 + COUNTIFS(
            $A$2:INDEX($A:$A,ROW()), $A2642,
            $H$2:INDEX($H:$H,ROW()), "ALEM"
          )
    )),
    MONTH(EDATE(
      _xlfn.XLOOKUP($A2642,'RESUMEN CLIENTES'!$D:$D,'RESUMEN CLIENTES'!$Y:$Y,""),
      7 + COUNTIFS(
            $A$2:INDEX($A:$A,ROW()), $A2642,
            $H$2:INDEX($H:$H,ROW()), "ALEM"
          )
    )),
    1
  ),
"SIN FECHA MIG"))</f>
        <v>46753</v>
      </c>
      <c r="H2642" s="169" t="s">
        <v>1876</v>
      </c>
      <c r="I2642" s="2">
        <v>800</v>
      </c>
      <c r="J2642"/>
      <c r="K2642"/>
      <c r="L2642" s="44" t="str" cm="1">
        <f t="array" ref="L2642">+_xlfn.IFS(COUNTIF(INGRESOS!E:E,Tabla6[[#This Row],[ID FACTURA]])=1,"PAGADA",Tabla6[[#This Row],[ID FACTURA]]&lt;&gt;0,"EMITIDA",Tabla6[[#This Row],[ID FACTURA]]=0,"POR EMITIR")</f>
        <v>POR EMITIR</v>
      </c>
      <c r="M2642" s="55" t="str">
        <f>+IF(Tabla6[[#This Row],[ESTADO FACTURA]]="PAGADA",Tabla6[[#This Row],[FECHA]]-_xlfn.XLOOKUP(Tabla6[[#This Row],[N° FACTURA]],INGRESOS!F:F,INGRESOS!A:A),"-")</f>
        <v>-</v>
      </c>
      <c r="O2642"/>
    </row>
    <row r="2643" spans="1:15">
      <c r="A2643" s="320" t="s">
        <v>994</v>
      </c>
      <c r="B2643" t="str">
        <f>+_xlfn.XLOOKUP(Tabla6[[#This Row],[ID CLIENTE]],'RESUMEN CLIENTES'!D:D,'RESUMEN CLIENTES'!A:A)</f>
        <v>Raúl Ernesto Martínez Orantes</v>
      </c>
      <c r="C2643" t="str">
        <f>+_xlfn.XLOOKUP(Tabla6[[#This Row],[ID CLIENTE]],'RESUMEN CLIENTES'!D:D,'RESUMEN CLIENTES'!C:C)</f>
        <v>El Salvador</v>
      </c>
      <c r="D2643" s="44" t="str">
        <f>+_xlfn.XLOOKUP(Tabla6[[#This Row],[ID CLIENTE]],'RESUMEN CLIENTES'!D:D,'RESUMEN CLIENTES'!M:M)</f>
        <v>OK</v>
      </c>
      <c r="E2643" s="72">
        <f>+_xlfn.XLOOKUP(Tabla6[[#This Row],[NOMBRE]],'RESUMEN CLIENTES'!A:A,'RESUMEN CLIENTES'!X:X)</f>
        <v>1.1428571428571428</v>
      </c>
      <c r="F2643" s="72">
        <f>+_xlfn.XLOOKUP(Tabla6[[#This Row],[ID CLIENTE]],'RESUMEN CLIENTES'!D:D,'RESUMEN CLIENTES'!W:W)</f>
        <v>1</v>
      </c>
      <c r="G2643" s="17">
        <f>IF($H2643&lt;&gt;"ALEM","",IFERROR(
  DATE(
    YEAR(EDATE(
      _xlfn.XLOOKUP($A2643,'RESUMEN CLIENTES'!$D:$D,'RESUMEN CLIENTES'!$Y:$Y,""),
      7 + COUNTIFS(
            $A$2:INDEX($A:$A,ROW()), $A2643,
            $H$2:INDEX($H:$H,ROW()), "ALEM"
          )
    )),
    MONTH(EDATE(
      _xlfn.XLOOKUP($A2643,'RESUMEN CLIENTES'!$D:$D,'RESUMEN CLIENTES'!$Y:$Y,""),
      7 + COUNTIFS(
            $A$2:INDEX($A:$A,ROW()), $A2643,
            $H$2:INDEX($H:$H,ROW()), "ALEM"
          )
    )),
    1
  ),
"SIN FECHA MIG"))</f>
        <v>46753</v>
      </c>
      <c r="H2643" s="44" t="s">
        <v>1876</v>
      </c>
      <c r="I2643" s="2">
        <v>800</v>
      </c>
      <c r="J2643"/>
      <c r="K2643"/>
      <c r="L2643" s="44" t="str" cm="1">
        <f t="array" ref="L2643">+_xlfn.IFS(COUNTIF(INGRESOS!E:E,Tabla6[[#This Row],[ID FACTURA]])=1,"PAGADA",Tabla6[[#This Row],[ID FACTURA]]&lt;&gt;0,"EMITIDA",Tabla6[[#This Row],[ID FACTURA]]=0,"POR EMITIR")</f>
        <v>POR EMITIR</v>
      </c>
      <c r="M2643" s="55" t="str">
        <f>+IF(Tabla6[[#This Row],[ESTADO FACTURA]]="PAGADA",Tabla6[[#This Row],[FECHA]]-_xlfn.XLOOKUP(Tabla6[[#This Row],[N° FACTURA]],INGRESOS!F:F,INGRESOS!A:A),"-")</f>
        <v>-</v>
      </c>
      <c r="N2643" s="2"/>
      <c r="O2643"/>
    </row>
    <row r="2644" spans="1:15">
      <c r="A2644" s="320" t="s">
        <v>1419</v>
      </c>
      <c r="B2644" t="str">
        <f>+_xlfn.XLOOKUP(Tabla6[[#This Row],[ID CLIENTE]],'RESUMEN CLIENTES'!D:D,'RESUMEN CLIENTES'!A:A)</f>
        <v>Rocio Natalia López Núñez</v>
      </c>
      <c r="C2644" t="str">
        <f>+_xlfn.XLOOKUP(Tabla6[[#This Row],[ID CLIENTE]],'RESUMEN CLIENTES'!D:D,'RESUMEN CLIENTES'!C:C)</f>
        <v>Chile</v>
      </c>
      <c r="D2644" s="44" t="str">
        <f>+_xlfn.XLOOKUP(Tabla6[[#This Row],[ID CLIENTE]],'RESUMEN CLIENTES'!D:D,'RESUMEN CLIENTES'!M:M)</f>
        <v>OK</v>
      </c>
      <c r="E2644" s="71">
        <f>+_xlfn.XLOOKUP(Tabla6[[#This Row],[NOMBRE]],'RESUMEN CLIENTES'!A:A,'RESUMEN CLIENTES'!X:X)</f>
        <v>0</v>
      </c>
      <c r="F2644" s="71">
        <f>+_xlfn.XLOOKUP(Tabla6[[#This Row],[ID CLIENTE]],'RESUMEN CLIENTES'!D:D,'RESUMEN CLIENTES'!W:W)</f>
        <v>0</v>
      </c>
      <c r="G2644" s="17">
        <f>IF($H2644&lt;&gt;"ALEM","",IFERROR(
  DATE(
    YEAR(EDATE(
      _xlfn.XLOOKUP($A2644,'RESUMEN CLIENTES'!$D:$D,'RESUMEN CLIENTES'!$Y:$Y,""),
      7 + COUNTIFS(
            $A$2:INDEX($A:$A,ROW()), $A2644,
            $H$2:INDEX($H:$H,ROW()), "ALEM"
          )
    )),
    MONTH(EDATE(
      _xlfn.XLOOKUP($A2644,'RESUMEN CLIENTES'!$D:$D,'RESUMEN CLIENTES'!$Y:$Y,""),
      7 + COUNTIFS(
            $A$2:INDEX($A:$A,ROW()), $A2644,
            $H$2:INDEX($H:$H,ROW()), "ALEM"
          )
    )),
    1
  ),
"SIN FECHA MIG"))</f>
        <v>46753</v>
      </c>
      <c r="H2644" s="169" t="s">
        <v>1876</v>
      </c>
      <c r="I2644" s="2">
        <v>800</v>
      </c>
      <c r="J2644"/>
      <c r="K2644"/>
      <c r="L2644" s="44" t="str" cm="1">
        <f t="array" ref="L2644">+_xlfn.IFS(COUNTIF(INGRESOS!E:E,Tabla6[[#This Row],[ID FACTURA]])=1,"PAGADA",Tabla6[[#This Row],[ID FACTURA]]&lt;&gt;0,"EMITIDA",Tabla6[[#This Row],[ID FACTURA]]=0,"POR EMITIR")</f>
        <v>POR EMITIR</v>
      </c>
      <c r="M2644" s="55" t="str">
        <f>+IF(Tabla6[[#This Row],[ESTADO FACTURA]]="PAGADA",Tabla6[[#This Row],[FECHA]]-_xlfn.XLOOKUP(Tabla6[[#This Row],[N° FACTURA]],INGRESOS!F:F,INGRESOS!A:A),"-")</f>
        <v>-</v>
      </c>
      <c r="N2644" s="2"/>
      <c r="O2644"/>
    </row>
    <row r="2645" spans="1:15">
      <c r="A2645" s="320" t="s">
        <v>6696</v>
      </c>
      <c r="B2645" t="str">
        <f>+_xlfn.XLOOKUP(Tabla6[[#This Row],[ID CLIENTE]],'RESUMEN CLIENTES'!D:D,'RESUMEN CLIENTES'!A:A)</f>
        <v>Stiben Lopez Vargas</v>
      </c>
      <c r="C2645" s="15" t="str">
        <f>+_xlfn.XLOOKUP(Tabla6[[#This Row],[ID CLIENTE]],'RESUMEN CLIENTES'!D:D,'RESUMEN CLIENTES'!C:C)</f>
        <v>Colombia</v>
      </c>
      <c r="D2645" s="169" t="str">
        <f>+_xlfn.XLOOKUP(Tabla6[[#This Row],[ID CLIENTE]],'RESUMEN CLIENTES'!D:D,'RESUMEN CLIENTES'!M:M)</f>
        <v xml:space="preserve">TRASPASAR </v>
      </c>
      <c r="E2645" s="71">
        <f>+_xlfn.XLOOKUP(Tabla6[[#This Row],[NOMBRE]],'RESUMEN CLIENTES'!A:A,'RESUMEN CLIENTES'!X:X)</f>
        <v>58</v>
      </c>
      <c r="F2645" s="71">
        <f>+_xlfn.XLOOKUP(Tabla6[[#This Row],[ID CLIENTE]],'RESUMEN CLIENTES'!D:D,'RESUMEN CLIENTES'!W:W)</f>
        <v>0</v>
      </c>
      <c r="G2645" s="17">
        <f>IF($H2645&lt;&gt;"ALEM","",IFERROR(
  DATE(
    YEAR(EDATE(
      _xlfn.XLOOKUP($A2645,'RESUMEN CLIENTES'!$D:$D,'RESUMEN CLIENTES'!$Y:$Y,""),
      7 + COUNTIFS(
            $A$2:INDEX($A:$A,ROW()), $A2645,
            $H$2:INDEX($H:$H,ROW()), "ALEM"
          )
    )),
    MONTH(EDATE(
      _xlfn.XLOOKUP($A2645,'RESUMEN CLIENTES'!$D:$D,'RESUMEN CLIENTES'!$Y:$Y,""),
      7 + COUNTIFS(
            $A$2:INDEX($A:$A,ROW()), $A2645,
            $H$2:INDEX($H:$H,ROW()), "ALEM"
          )
    )),
    1
  ),
"null"))</f>
        <v>46753</v>
      </c>
      <c r="H2645" s="169" t="s">
        <v>1876</v>
      </c>
      <c r="I2645" s="2">
        <v>1000</v>
      </c>
      <c r="J2645"/>
      <c r="K2645"/>
      <c r="L2645" s="44" t="str" cm="1">
        <f t="array" ref="L2645">+_xlfn.IFS(COUNTIF(INGRESOS!E:E,Tabla6[[#This Row],[ID FACTURA]])=1,"PAGADA",Tabla6[[#This Row],[ID FACTURA]]&lt;&gt;0,"EMITIDA",Tabla6[[#This Row],[ID FACTURA]]=0,"POR EMITIR")</f>
        <v>POR EMITIR</v>
      </c>
      <c r="M2645" s="54" t="str">
        <f>+IF(Tabla6[[#This Row],[ESTADO FACTURA]]="PAGADA",Tabla6[[#This Row],[FECHA]]-_xlfn.XLOOKUP(Tabla6[[#This Row],[N° FACTURA]],INGRESOS!F:F,INGRESOS!A:A),"-")</f>
        <v>-</v>
      </c>
      <c r="O2645"/>
    </row>
    <row r="2646" spans="1:15">
      <c r="A2646" s="320" t="s">
        <v>2521</v>
      </c>
      <c r="B2646" t="str">
        <f>+_xlfn.XLOOKUP(Tabla6[[#This Row],[ID CLIENTE]],'RESUMEN CLIENTES'!D:D,'RESUMEN CLIENTES'!A:A)</f>
        <v>Fabián Andrés Sarmiento Auli</v>
      </c>
      <c r="C2646" t="str">
        <f>+_xlfn.XLOOKUP(Tabla6[[#This Row],[ID CLIENTE]],'RESUMEN CLIENTES'!D:D,'RESUMEN CLIENTES'!C:C)</f>
        <v>Colombia</v>
      </c>
      <c r="D2646" s="169" t="str">
        <f>+_xlfn.XLOOKUP(Tabla6[[#This Row],[ID CLIENTE]],'RESUMEN CLIENTES'!D:D,'RESUMEN CLIENTES'!M:M)</f>
        <v>OK</v>
      </c>
      <c r="E2646" s="71">
        <f>+_xlfn.XLOOKUP(Tabla6[[#This Row],[NOMBRE]],'RESUMEN CLIENTES'!A:A,'RESUMEN CLIENTES'!X:X)</f>
        <v>0</v>
      </c>
      <c r="F2646" s="71">
        <f>+_xlfn.XLOOKUP(Tabla6[[#This Row],[ID CLIENTE]],'RESUMEN CLIENTES'!D:D,'RESUMEN CLIENTES'!W:W)</f>
        <v>0</v>
      </c>
      <c r="G2646" s="17">
        <v>46757</v>
      </c>
      <c r="H2646" s="169" t="s">
        <v>81</v>
      </c>
      <c r="I2646" s="2">
        <v>650</v>
      </c>
      <c r="J2646"/>
      <c r="K2646"/>
      <c r="L2646" s="44" t="str" cm="1">
        <f t="array" ref="L2646">+_xlfn.IFS(COUNTIF(INGRESOS!E:E,Tabla6[[#This Row],[ID FACTURA]])=1,"PAGADA",Tabla6[[#This Row],[ID FACTURA]]&lt;&gt;0,"EMITIDA",Tabla6[[#This Row],[ID FACTURA]]=0,"POR EMITIR")</f>
        <v>POR EMITIR</v>
      </c>
      <c r="M2646" s="54" t="str">
        <f>+IF(Tabla6[[#This Row],[ESTADO FACTURA]]="PAGADA",Tabla6[[#This Row],[FECHA]]-_xlfn.XLOOKUP(Tabla6[[#This Row],[N° FACTURA]],INGRESOS!F:F,INGRESOS!A:A),"-")</f>
        <v>-</v>
      </c>
      <c r="O2646"/>
    </row>
    <row r="2647" spans="1:15">
      <c r="A2647" s="320" t="s">
        <v>1416</v>
      </c>
      <c r="B2647" t="str">
        <f>+_xlfn.XLOOKUP(Tabla6[[#This Row],[ID CLIENTE]],'RESUMEN CLIENTES'!D:D,'RESUMEN CLIENTES'!A:A)</f>
        <v>Luis Armando Calderon Manzanera</v>
      </c>
      <c r="C2647" t="str">
        <f>+_xlfn.XLOOKUP(Tabla6[[#This Row],[ID CLIENTE]],'RESUMEN CLIENTES'!D:D,'RESUMEN CLIENTES'!C:C)</f>
        <v>México</v>
      </c>
      <c r="D2647" s="44" t="str">
        <f>+_xlfn.XLOOKUP(Tabla6[[#This Row],[ID CLIENTE]],'RESUMEN CLIENTES'!D:D,'RESUMEN CLIENTES'!M:M)</f>
        <v>OK</v>
      </c>
      <c r="E2647" s="71">
        <f>+_xlfn.XLOOKUP(Tabla6[[#This Row],[NOMBRE]],'RESUMEN CLIENTES'!A:A,'RESUMEN CLIENTES'!X:X)</f>
        <v>2</v>
      </c>
      <c r="F2647" s="71">
        <f>+_xlfn.XLOOKUP(Tabla6[[#This Row],[ID CLIENTE]],'RESUMEN CLIENTES'!D:D,'RESUMEN CLIENTES'!W:W)</f>
        <v>1</v>
      </c>
      <c r="G2647" s="17">
        <v>46757</v>
      </c>
      <c r="H2647" s="44" t="s">
        <v>81</v>
      </c>
      <c r="I2647" s="2">
        <v>650</v>
      </c>
      <c r="J2647"/>
      <c r="K2647"/>
      <c r="L2647" s="44" t="str" cm="1">
        <f t="array" ref="L2647">+_xlfn.IFS(COUNTIF(INGRESOS!E:E,Tabla6[[#This Row],[ID FACTURA]])=1,"PAGADA",Tabla6[[#This Row],[ID FACTURA]]&lt;&gt;0,"EMITIDA",Tabla6[[#This Row],[ID FACTURA]]=0,"POR EMITIR")</f>
        <v>POR EMITIR</v>
      </c>
      <c r="M2647" s="55" t="str">
        <f>+IF(Tabla6[[#This Row],[ESTADO FACTURA]]="PAGADA",Tabla6[[#This Row],[FECHA]]-_xlfn.XLOOKUP(Tabla6[[#This Row],[N° FACTURA]],INGRESOS!F:F,INGRESOS!A:A),"-")</f>
        <v>-</v>
      </c>
      <c r="N2647" s="2"/>
      <c r="O2647"/>
    </row>
    <row r="2648" spans="1:15">
      <c r="A2648" s="320" t="s">
        <v>1945</v>
      </c>
      <c r="B2648" t="str">
        <f>+_xlfn.XLOOKUP(Tabla6[[#This Row],[ID CLIENTE]],'RESUMEN CLIENTES'!D:D,'RESUMEN CLIENTES'!A:A)</f>
        <v>Fernanda Constanza Kompai Antu Arellano Guzmán</v>
      </c>
      <c r="C2648" t="str">
        <f>+_xlfn.XLOOKUP(Tabla6[[#This Row],[ID CLIENTE]],'RESUMEN CLIENTES'!D:D,'RESUMEN CLIENTES'!C:C)</f>
        <v>Chile</v>
      </c>
      <c r="D2648" s="169" t="str">
        <f>+_xlfn.XLOOKUP(Tabla6[[#This Row],[ID CLIENTE]],'RESUMEN CLIENTES'!D:D,'RESUMEN CLIENTES'!M:M)</f>
        <v>OK</v>
      </c>
      <c r="E2648" s="71">
        <f>+_xlfn.XLOOKUP(Tabla6[[#This Row],[NOMBRE]],'RESUMEN CLIENTES'!A:A,'RESUMEN CLIENTES'!X:X)</f>
        <v>0</v>
      </c>
      <c r="F2648" s="71">
        <f>+_xlfn.XLOOKUP(Tabla6[[#This Row],[ID CLIENTE]],'RESUMEN CLIENTES'!D:D,'RESUMEN CLIENTES'!W:W)</f>
        <v>0</v>
      </c>
      <c r="G2648" s="170">
        <v>46767</v>
      </c>
      <c r="H2648" s="170" t="s">
        <v>81</v>
      </c>
      <c r="I2648" s="2">
        <v>650</v>
      </c>
      <c r="J2648"/>
      <c r="K2648"/>
      <c r="L2648" s="44" t="str" cm="1">
        <f t="array" ref="L2648">+_xlfn.IFS(COUNTIF(INGRESOS!E:E,Tabla6[[#This Row],[ID FACTURA]])=1,"PAGADA",Tabla6[[#This Row],[ID FACTURA]]&lt;&gt;0,"EMITIDA",Tabla6[[#This Row],[ID FACTURA]]=0,"POR EMITIR")</f>
        <v>POR EMITIR</v>
      </c>
      <c r="M2648" s="54" t="str">
        <f>+IF(Tabla6[[#This Row],[ESTADO FACTURA]]="PAGADA",Tabla6[[#This Row],[FECHA]]-_xlfn.XLOOKUP(Tabla6[[#This Row],[N° FACTURA]],INGRESOS!F:F,INGRESOS!A:A),"-")</f>
        <v>-</v>
      </c>
      <c r="O2648"/>
    </row>
    <row r="2649" spans="1:15">
      <c r="A2649" s="321" t="s">
        <v>1756</v>
      </c>
      <c r="B2649" t="str">
        <f>+_xlfn.XLOOKUP(Tabla6[[#This Row],[ID CLIENTE]],'RESUMEN CLIENTES'!D:D,'RESUMEN CLIENTES'!A:A)</f>
        <v>Aylin Micaela Ortiz Chiriboga</v>
      </c>
      <c r="C2649" t="str">
        <f>+_xlfn.XLOOKUP(Tabla6[[#This Row],[ID CLIENTE]],'RESUMEN CLIENTES'!D:D,'RESUMEN CLIENTES'!C:C)</f>
        <v>Ecuador</v>
      </c>
      <c r="D2649" s="169" t="str">
        <f>+_xlfn.XLOOKUP(Tabla6[[#This Row],[ID CLIENTE]],'RESUMEN CLIENTES'!D:D,'RESUMEN CLIENTES'!M:M)</f>
        <v>¡REGULARIZAR!</v>
      </c>
      <c r="E2649" s="71">
        <f>+_xlfn.XLOOKUP(Tabla6[[#This Row],[NOMBRE]],'RESUMEN CLIENTES'!A:A,'RESUMEN CLIENTES'!X:X)</f>
        <v>0</v>
      </c>
      <c r="F2649" s="71">
        <f>+_xlfn.XLOOKUP(Tabla6[[#This Row],[ID CLIENTE]],'RESUMEN CLIENTES'!D:D,'RESUMEN CLIENTES'!W:W)</f>
        <v>1</v>
      </c>
      <c r="G2649" s="170">
        <v>46768</v>
      </c>
      <c r="H2649" s="169" t="s">
        <v>81</v>
      </c>
      <c r="I2649" s="2">
        <v>650</v>
      </c>
      <c r="J2649"/>
      <c r="K2649"/>
      <c r="L2649" s="44" t="str" cm="1">
        <f t="array" ref="L2649">+_xlfn.IFS(COUNTIF(INGRESOS!E:E,Tabla6[[#This Row],[ID FACTURA]])=1,"PAGADA",Tabla6[[#This Row],[ID FACTURA]]&lt;&gt;0,"EMITIDA",Tabla6[[#This Row],[ID FACTURA]]=0,"POR EMITIR")</f>
        <v>POR EMITIR</v>
      </c>
      <c r="M2649" s="54" t="str">
        <f>+IF(Tabla6[[#This Row],[ESTADO FACTURA]]="PAGADA",Tabla6[[#This Row],[FECHA]]-_xlfn.XLOOKUP(Tabla6[[#This Row],[N° FACTURA]],INGRESOS!F:F,INGRESOS!A:A),"-")</f>
        <v>-</v>
      </c>
      <c r="O2649"/>
    </row>
    <row r="2650" spans="1:15">
      <c r="A2650" s="320" t="s">
        <v>6035</v>
      </c>
      <c r="B2650" t="str">
        <f>+_xlfn.XLOOKUP(Tabla6[[#This Row],[ID CLIENTE]],'RESUMEN CLIENTES'!D:D,'RESUMEN CLIENTES'!A:A)</f>
        <v>Ari Sifuentes Becerra</v>
      </c>
      <c r="C2650" s="15" t="str">
        <f>+_xlfn.XLOOKUP(Tabla6[[#This Row],[ID CLIENTE]],'RESUMEN CLIENTES'!D:D,'RESUMEN CLIENTES'!C:C)</f>
        <v>México</v>
      </c>
      <c r="D2650" s="169" t="str">
        <f>+_xlfn.XLOOKUP(Tabla6[[#This Row],[ID CLIENTE]],'RESUMEN CLIENTES'!D:D,'RESUMEN CLIENTES'!M:M)</f>
        <v>OK</v>
      </c>
      <c r="E2650" s="71">
        <f>+_xlfn.XLOOKUP(Tabla6[[#This Row],[NOMBRE]],'RESUMEN CLIENTES'!A:A,'RESUMEN CLIENTES'!X:X)</f>
        <v>-1</v>
      </c>
      <c r="F2650" s="71">
        <f>+_xlfn.XLOOKUP(Tabla6[[#This Row],[ID CLIENTE]],'RESUMEN CLIENTES'!D:D,'RESUMEN CLIENTES'!W:W)</f>
        <v>0</v>
      </c>
      <c r="G2650" s="17">
        <v>46784</v>
      </c>
      <c r="H2650" s="169" t="s">
        <v>1876</v>
      </c>
      <c r="I2650" s="2">
        <v>800</v>
      </c>
      <c r="J2650"/>
      <c r="K2650"/>
      <c r="L2650" s="44" t="str" cm="1">
        <f t="array" ref="L2650">+_xlfn.IFS(COUNTIF(INGRESOS!E:E,Tabla6[[#This Row],[ID FACTURA]])=1,"PAGADA",Tabla6[[#This Row],[ID FACTURA]]&lt;&gt;0,"EMITIDA",Tabla6[[#This Row],[ID FACTURA]]=0,"POR EMITIR")</f>
        <v>POR EMITIR</v>
      </c>
      <c r="M2650" s="54" t="str">
        <f>+IF(Tabla6[[#This Row],[ESTADO FACTURA]]="PAGADA",Tabla6[[#This Row],[FECHA]]-_xlfn.XLOOKUP(Tabla6[[#This Row],[N° FACTURA]],INGRESOS!F:F,INGRESOS!A:A),"-")</f>
        <v>-</v>
      </c>
      <c r="O2650"/>
    </row>
    <row r="2651" spans="1:15">
      <c r="A2651" s="321" t="s">
        <v>1870</v>
      </c>
      <c r="B2651" t="str">
        <f>+_xlfn.XLOOKUP(Tabla6[[#This Row],[ID CLIENTE]],'RESUMEN CLIENTES'!D:D,'RESUMEN CLIENTES'!A:A)</f>
        <v>Berenisse Shadia Yarango Garay</v>
      </c>
      <c r="C2651" t="str">
        <f>+_xlfn.XLOOKUP(Tabla6[[#This Row],[ID CLIENTE]],'RESUMEN CLIENTES'!D:D,'RESUMEN CLIENTES'!C:C)</f>
        <v>Perú</v>
      </c>
      <c r="D2651" s="169" t="str">
        <f>+_xlfn.XLOOKUP(Tabla6[[#This Row],[ID CLIENTE]],'RESUMEN CLIENTES'!D:D,'RESUMEN CLIENTES'!M:M)</f>
        <v>OK</v>
      </c>
      <c r="E2651" s="71">
        <f>+_xlfn.XLOOKUP(Tabla6[[#This Row],[NOMBRE]],'RESUMEN CLIENTES'!A:A,'RESUMEN CLIENTES'!X:X)</f>
        <v>-0.33333333333333331</v>
      </c>
      <c r="F2651" s="71">
        <f>+_xlfn.XLOOKUP(Tabla6[[#This Row],[ID CLIENTE]],'RESUMEN CLIENTES'!D:D,'RESUMEN CLIENTES'!W:W)</f>
        <v>0</v>
      </c>
      <c r="G2651" s="17">
        <f>IF($H2651&lt;&gt;"ALEM","",IFERROR(
  DATE(
    YEAR(EDATE(
      _xlfn.XLOOKUP($A2651,'RESUMEN CLIENTES'!$D:$D,'RESUMEN CLIENTES'!$Y:$Y,""),
      7 + COUNTIFS(
            $A$2:INDEX($A:$A,ROW()), $A2651,
            $H$2:INDEX($H:$H,ROW()), "ALEM"
          )
    )),
    MONTH(EDATE(
      _xlfn.XLOOKUP($A2651,'RESUMEN CLIENTES'!$D:$D,'RESUMEN CLIENTES'!$Y:$Y,""),
      7 + COUNTIFS(
            $A$2:INDEX($A:$A,ROW()), $A2651,
            $H$2:INDEX($H:$H,ROW()), "ALEM"
          )
    )),
    1
  ),
"null"))</f>
        <v>46784</v>
      </c>
      <c r="H2651" s="169" t="s">
        <v>1876</v>
      </c>
      <c r="I2651" s="2">
        <v>800</v>
      </c>
      <c r="J2651"/>
      <c r="K2651"/>
      <c r="L2651" s="44" t="str" cm="1">
        <f t="array" ref="L2651">+_xlfn.IFS(COUNTIF(INGRESOS!E:E,Tabla6[[#This Row],[ID FACTURA]])=1,"PAGADA",Tabla6[[#This Row],[ID FACTURA]]&lt;&gt;0,"EMITIDA",Tabla6[[#This Row],[ID FACTURA]]=0,"POR EMITIR")</f>
        <v>POR EMITIR</v>
      </c>
      <c r="M2651" s="54" t="str">
        <f>+IF(Tabla6[[#This Row],[ESTADO FACTURA]]="PAGADA",Tabla6[[#This Row],[FECHA]]-_xlfn.XLOOKUP(Tabla6[[#This Row],[N° FACTURA]],INGRESOS!F:F,INGRESOS!A:A),"-")</f>
        <v>-</v>
      </c>
      <c r="O2651"/>
    </row>
    <row r="2652" spans="1:15">
      <c r="A2652" s="320" t="s">
        <v>184</v>
      </c>
      <c r="B2652" t="str">
        <f>+_xlfn.XLOOKUP(Tabla6[[#This Row],[ID CLIENTE]],'RESUMEN CLIENTES'!D:D,'RESUMEN CLIENTES'!A:A)</f>
        <v>Boris Andrés Silva Véliz</v>
      </c>
      <c r="C2652" t="str">
        <f>+_xlfn.XLOOKUP(Tabla6[[#This Row],[ID CLIENTE]],'RESUMEN CLIENTES'!D:D,'RESUMEN CLIENTES'!C:C)</f>
        <v>Chile</v>
      </c>
      <c r="D2652" s="44" t="str">
        <f>+_xlfn.XLOOKUP(Tabla6[[#This Row],[ID CLIENTE]],'RESUMEN CLIENTES'!D:D,'RESUMEN CLIENTES'!M:M)</f>
        <v>OK</v>
      </c>
      <c r="E2652" s="72">
        <f>+_xlfn.XLOOKUP(Tabla6[[#This Row],[NOMBRE]],'RESUMEN CLIENTES'!A:A,'RESUMEN CLIENTES'!X:X)</f>
        <v>2.1111111111111112</v>
      </c>
      <c r="F2652" s="72">
        <f>+_xlfn.XLOOKUP(Tabla6[[#This Row],[ID CLIENTE]],'RESUMEN CLIENTES'!D:D,'RESUMEN CLIENTES'!W:W)</f>
        <v>0</v>
      </c>
      <c r="G2652" s="17">
        <f>IF($H2652&lt;&gt;"ALEM","",IFERROR(
  DATE(
    YEAR(EDATE(
      _xlfn.XLOOKUP($A2652,'RESUMEN CLIENTES'!$D:$D,'RESUMEN CLIENTES'!$Y:$Y,""),
      7 + COUNTIFS(
            $A$2:INDEX($A:$A,ROW()), $A2652,
            $H$2:INDEX($H:$H,ROW()), "ALEM"
          )
    )),
    MONTH(EDATE(
      _xlfn.XLOOKUP($A2652,'RESUMEN CLIENTES'!$D:$D,'RESUMEN CLIENTES'!$Y:$Y,""),
      7 + COUNTIFS(
            $A$2:INDEX($A:$A,ROW()), $A2652,
            $H$2:INDEX($H:$H,ROW()), "ALEM"
          )
    )),
    1
  ),
"SIN FECHA MIG"))</f>
        <v>46784</v>
      </c>
      <c r="H2652" s="44" t="s">
        <v>1876</v>
      </c>
      <c r="I2652" s="2">
        <v>458</v>
      </c>
      <c r="J2652"/>
      <c r="K2652"/>
      <c r="L2652" s="44" t="str" cm="1">
        <f t="array" ref="L2652">+_xlfn.IFS(COUNTIF(INGRESOS!E:E,Tabla6[[#This Row],[ID FACTURA]])=1,"PAGADA",Tabla6[[#This Row],[ID FACTURA]]&lt;&gt;0,"EMITIDA",Tabla6[[#This Row],[ID FACTURA]]=0,"POR EMITIR")</f>
        <v>POR EMITIR</v>
      </c>
      <c r="M2652" s="55" t="str">
        <f>+IF(Tabla6[[#This Row],[ESTADO FACTURA]]="PAGADA",Tabla6[[#This Row],[FECHA]]-_xlfn.XLOOKUP(Tabla6[[#This Row],[N° FACTURA]],INGRESOS!F:F,INGRESOS!A:A),"-")</f>
        <v>-</v>
      </c>
      <c r="N2652" s="2"/>
      <c r="O2652"/>
    </row>
    <row r="2653" spans="1:15">
      <c r="A2653" s="320" t="s">
        <v>1178</v>
      </c>
      <c r="B2653" t="str">
        <f>+_xlfn.XLOOKUP(Tabla6[[#This Row],[ID CLIENTE]],'RESUMEN CLIENTES'!D:D,'RESUMEN CLIENTES'!A:A)</f>
        <v>Daniel Flores</v>
      </c>
      <c r="C2653" t="str">
        <f>+_xlfn.XLOOKUP(Tabla6[[#This Row],[ID CLIENTE]],'RESUMEN CLIENTES'!D:D,'RESUMEN CLIENTES'!C:C)</f>
        <v>Ecuador</v>
      </c>
      <c r="D2653" s="44" t="str">
        <f>+_xlfn.XLOOKUP(Tabla6[[#This Row],[ID CLIENTE]],'RESUMEN CLIENTES'!D:D,'RESUMEN CLIENTES'!M:M)</f>
        <v>OK</v>
      </c>
      <c r="E2653" s="72">
        <f>+_xlfn.XLOOKUP(Tabla6[[#This Row],[NOMBRE]],'RESUMEN CLIENTES'!A:A,'RESUMEN CLIENTES'!X:X)</f>
        <v>3.8333333333333335</v>
      </c>
      <c r="F2653" s="72">
        <f>+_xlfn.XLOOKUP(Tabla6[[#This Row],[ID CLIENTE]],'RESUMEN CLIENTES'!D:D,'RESUMEN CLIENTES'!W:W)</f>
        <v>1</v>
      </c>
      <c r="G2653" s="17">
        <f>IF($H2653&lt;&gt;"ALEM","",IFERROR(
  DATE(
    YEAR(EDATE(
      _xlfn.XLOOKUP($A2653,'RESUMEN CLIENTES'!$D:$D,'RESUMEN CLIENTES'!$Y:$Y,""),
      7 + COUNTIFS(
            $A$2:INDEX($A:$A,ROW()), $A2653,
            $H$2:INDEX($H:$H,ROW()), "ALEM"
          )
    )),
    MONTH(EDATE(
      _xlfn.XLOOKUP($A2653,'RESUMEN CLIENTES'!$D:$D,'RESUMEN CLIENTES'!$Y:$Y,""),
      7 + COUNTIFS(
            $A$2:INDEX($A:$A,ROW()), $A2653,
            $H$2:INDEX($H:$H,ROW()), "ALEM"
          )
    )),
    1
  ),
"SIN FECHA MIG"))</f>
        <v>46784</v>
      </c>
      <c r="H2653" s="44" t="s">
        <v>1876</v>
      </c>
      <c r="I2653" s="2">
        <v>800</v>
      </c>
      <c r="J2653"/>
      <c r="K2653"/>
      <c r="L2653" s="44" t="str" cm="1">
        <f t="array" ref="L2653">+_xlfn.IFS(COUNTIF(INGRESOS!E:E,Tabla6[[#This Row],[ID FACTURA]])=1,"PAGADA",Tabla6[[#This Row],[ID FACTURA]]&lt;&gt;0,"EMITIDA",Tabla6[[#This Row],[ID FACTURA]]=0,"POR EMITIR")</f>
        <v>POR EMITIR</v>
      </c>
      <c r="M2653" s="55" t="str">
        <f>+IF(Tabla6[[#This Row],[ESTADO FACTURA]]="PAGADA",Tabla6[[#This Row],[FECHA]]-_xlfn.XLOOKUP(Tabla6[[#This Row],[N° FACTURA]],INGRESOS!F:F,INGRESOS!A:A),"-")</f>
        <v>-</v>
      </c>
      <c r="N2653" s="2"/>
      <c r="O2653" t="s">
        <v>2084</v>
      </c>
    </row>
    <row r="2654" spans="1:15">
      <c r="A2654" s="320" t="s">
        <v>4660</v>
      </c>
      <c r="B2654" t="str">
        <f>+_xlfn.XLOOKUP(Tabla6[[#This Row],[ID CLIENTE]],'RESUMEN CLIENTES'!D:D,'RESUMEN CLIENTES'!A:A)</f>
        <v>Edipris Flores</v>
      </c>
      <c r="C2654" s="15" t="str">
        <f>+_xlfn.XLOOKUP(Tabla6[[#This Row],[ID CLIENTE]],'RESUMEN CLIENTES'!D:D,'RESUMEN CLIENTES'!C:C)</f>
        <v>Chile</v>
      </c>
      <c r="D2654" s="169" t="str">
        <f>+_xlfn.XLOOKUP(Tabla6[[#This Row],[ID CLIENTE]],'RESUMEN CLIENTES'!D:D,'RESUMEN CLIENTES'!M:M)</f>
        <v>OK</v>
      </c>
      <c r="E2654" s="71">
        <f>+_xlfn.XLOOKUP(Tabla6[[#This Row],[NOMBRE]],'RESUMEN CLIENTES'!A:A,'RESUMEN CLIENTES'!X:X)</f>
        <v>-4</v>
      </c>
      <c r="F2654" s="71">
        <f>+_xlfn.XLOOKUP(Tabla6[[#This Row],[ID CLIENTE]],'RESUMEN CLIENTES'!D:D,'RESUMEN CLIENTES'!W:W)</f>
        <v>0</v>
      </c>
      <c r="G2654" s="17">
        <f>IF($H2654&lt;&gt;"ALEM","",IFERROR(
  DATE(
    YEAR(EDATE(
      _xlfn.XLOOKUP($A2654,'RESUMEN CLIENTES'!$D:$D,'RESUMEN CLIENTES'!$Y:$Y,""),
      7 + COUNTIFS(
            $A$2:INDEX($A:$A,ROW()), $A2654,
            $H$2:INDEX($H:$H,ROW()), "ALEM"
          )
    )),
    MONTH(EDATE(
      _xlfn.XLOOKUP($A2654,'RESUMEN CLIENTES'!$D:$D,'RESUMEN CLIENTES'!$Y:$Y,""),
      7 + COUNTIFS(
            $A$2:INDEX($A:$A,ROW()), $A2654,
            $H$2:INDEX($H:$H,ROW()), "ALEM"
          )
    )),
    1
  ),
"null"))</f>
        <v>46784</v>
      </c>
      <c r="H2654" s="169" t="s">
        <v>1876</v>
      </c>
      <c r="I2654" s="2">
        <v>800</v>
      </c>
      <c r="J2654"/>
      <c r="K2654"/>
      <c r="L2654" s="44" t="str" cm="1">
        <f t="array" ref="L2654">+_xlfn.IFS(COUNTIF(INGRESOS!E:E,Tabla6[[#This Row],[ID FACTURA]])=1,"PAGADA",Tabla6[[#This Row],[ID FACTURA]]&lt;&gt;0,"EMITIDA",Tabla6[[#This Row],[ID FACTURA]]=0,"POR EMITIR")</f>
        <v>POR EMITIR</v>
      </c>
      <c r="M2654" s="54" t="str">
        <f>+IF(Tabla6[[#This Row],[ESTADO FACTURA]]="PAGADA",Tabla6[[#This Row],[FECHA]]-_xlfn.XLOOKUP(Tabla6[[#This Row],[N° FACTURA]],INGRESOS!F:F,INGRESOS!A:A),"-")</f>
        <v>-</v>
      </c>
      <c r="O2654"/>
    </row>
    <row r="2655" spans="1:15">
      <c r="A2655" s="321" t="s">
        <v>519</v>
      </c>
      <c r="B2655" t="str">
        <f>+_xlfn.XLOOKUP(Tabla6[[#This Row],[ID CLIENTE]],'RESUMEN CLIENTES'!D:D,'RESUMEN CLIENTES'!A:A)</f>
        <v>Elaine Acosta Cabrera</v>
      </c>
      <c r="C2655" t="str">
        <f>+_xlfn.XLOOKUP(Tabla6[[#This Row],[ID CLIENTE]],'RESUMEN CLIENTES'!D:D,'RESUMEN CLIENTES'!C:C)</f>
        <v>República Dominicana</v>
      </c>
      <c r="D2655" s="169" t="str">
        <f>+_xlfn.XLOOKUP(Tabla6[[#This Row],[ID CLIENTE]],'RESUMEN CLIENTES'!D:D,'RESUMEN CLIENTES'!M:M)</f>
        <v>OK</v>
      </c>
      <c r="E2655" s="71">
        <f>+_xlfn.XLOOKUP(Tabla6[[#This Row],[NOMBRE]],'RESUMEN CLIENTES'!A:A,'RESUMEN CLIENTES'!X:X)</f>
        <v>0</v>
      </c>
      <c r="F2655" s="71">
        <f>+_xlfn.XLOOKUP(Tabla6[[#This Row],[ID CLIENTE]],'RESUMEN CLIENTES'!D:D,'RESUMEN CLIENTES'!W:W)</f>
        <v>1</v>
      </c>
      <c r="G2655" s="17">
        <f>IF($H2655&lt;&gt;"ALEM","",IFERROR(
  DATE(
    YEAR(EDATE(
      _xlfn.XLOOKUP($A2655,'RESUMEN CLIENTES'!$D:$D,'RESUMEN CLIENTES'!$Y:$Y,""),
      7 + COUNTIFS(
            $A$2:INDEX($A:$A,ROW()), $A2655,
            $H$2:INDEX($H:$H,ROW()), "ALEM"
          )
    )),
    MONTH(EDATE(
      _xlfn.XLOOKUP($A2655,'RESUMEN CLIENTES'!$D:$D,'RESUMEN CLIENTES'!$Y:$Y,""),
      7 + COUNTIFS(
            $A$2:INDEX($A:$A,ROW()), $A2655,
            $H$2:INDEX($H:$H,ROW()), "ALEM"
          )
    )),
    1
  ),
"null"))</f>
        <v>46784</v>
      </c>
      <c r="H2655" s="169" t="s">
        <v>1876</v>
      </c>
      <c r="I2655" s="2">
        <v>1000</v>
      </c>
      <c r="J2655"/>
      <c r="K2655"/>
      <c r="L2655" s="44" t="str" cm="1">
        <f t="array" ref="L2655">+_xlfn.IFS(COUNTIF(INGRESOS!E:E,Tabla6[[#This Row],[ID FACTURA]])=1,"PAGADA",Tabla6[[#This Row],[ID FACTURA]]&lt;&gt;0,"EMITIDA",Tabla6[[#This Row],[ID FACTURA]]=0,"POR EMITIR")</f>
        <v>POR EMITIR</v>
      </c>
      <c r="M2655" s="54" t="str">
        <f>+IF(Tabla6[[#This Row],[ESTADO FACTURA]]="PAGADA",Tabla6[[#This Row],[FECHA]]-_xlfn.XLOOKUP(Tabla6[[#This Row],[N° FACTURA]],INGRESOS!F:F,INGRESOS!A:A),"-")</f>
        <v>-</v>
      </c>
      <c r="O2655"/>
    </row>
    <row r="2656" spans="1:15">
      <c r="A2656" s="320" t="s">
        <v>1248</v>
      </c>
      <c r="B2656" t="str">
        <f>+_xlfn.XLOOKUP(Tabla6[[#This Row],[ID CLIENTE]],'RESUMEN CLIENTES'!D:D,'RESUMEN CLIENTES'!A:A)</f>
        <v>Emily Vanessa Tapia Villalobos</v>
      </c>
      <c r="C2656" t="str">
        <f>+_xlfn.XLOOKUP(Tabla6[[#This Row],[ID CLIENTE]],'RESUMEN CLIENTES'!D:D,'RESUMEN CLIENTES'!C:C)</f>
        <v>Chile</v>
      </c>
      <c r="D2656" s="44" t="str">
        <f>+_xlfn.XLOOKUP(Tabla6[[#This Row],[ID CLIENTE]],'RESUMEN CLIENTES'!D:D,'RESUMEN CLIENTES'!M:M)</f>
        <v>OK</v>
      </c>
      <c r="E2656" s="71">
        <f>+_xlfn.XLOOKUP(Tabla6[[#This Row],[NOMBRE]],'RESUMEN CLIENTES'!A:A,'RESUMEN CLIENTES'!X:X)</f>
        <v>0.33333333333333331</v>
      </c>
      <c r="F2656" s="71">
        <f>+_xlfn.XLOOKUP(Tabla6[[#This Row],[ID CLIENTE]],'RESUMEN CLIENTES'!D:D,'RESUMEN CLIENTES'!W:W)</f>
        <v>0</v>
      </c>
      <c r="G2656" s="17">
        <f>IF($H2656&lt;&gt;"ALEM","",IFERROR(
  DATE(
    YEAR(EDATE(
      _xlfn.XLOOKUP($A2656,'RESUMEN CLIENTES'!$D:$D,'RESUMEN CLIENTES'!$Y:$Y,""),
      7 + COUNTIFS(
            $A$2:INDEX($A:$A,ROW()), $A2656,
            $H$2:INDEX($H:$H,ROW()), "ALEM"
          )
    )),
    MONTH(EDATE(
      _xlfn.XLOOKUP($A2656,'RESUMEN CLIENTES'!$D:$D,'RESUMEN CLIENTES'!$Y:$Y,""),
      7 + COUNTIFS(
            $A$2:INDEX($A:$A,ROW()), $A2656,
            $H$2:INDEX($H:$H,ROW()), "ALEM"
          )
    )),
    1
  ),
"SIN FECHA MIG"))</f>
        <v>46784</v>
      </c>
      <c r="H2656" s="44" t="s">
        <v>1876</v>
      </c>
      <c r="I2656" s="2">
        <v>800</v>
      </c>
      <c r="J2656"/>
      <c r="K2656"/>
      <c r="L2656" s="44" t="str" cm="1">
        <f t="array" ref="L2656">+_xlfn.IFS(COUNTIF(INGRESOS!E:E,Tabla6[[#This Row],[ID FACTURA]])=1,"PAGADA",Tabla6[[#This Row],[ID FACTURA]]&lt;&gt;0,"EMITIDA",Tabla6[[#This Row],[ID FACTURA]]=0,"POR EMITIR")</f>
        <v>POR EMITIR</v>
      </c>
      <c r="M2656" s="55" t="str">
        <f>+IF(Tabla6[[#This Row],[ESTADO FACTURA]]="PAGADA",Tabla6[[#This Row],[FECHA]]-_xlfn.XLOOKUP(Tabla6[[#This Row],[N° FACTURA]],INGRESOS!F:F,INGRESOS!A:A),"-")</f>
        <v>-</v>
      </c>
      <c r="N2656" s="2"/>
      <c r="O2656" t="s">
        <v>2086</v>
      </c>
    </row>
    <row r="2657" spans="1:15">
      <c r="A2657" s="320" t="s">
        <v>1251</v>
      </c>
      <c r="B2657" t="str">
        <f>+_xlfn.XLOOKUP(Tabla6[[#This Row],[ID CLIENTE]],'RESUMEN CLIENTES'!D:D,'RESUMEN CLIENTES'!A:A)</f>
        <v>Erick Ernesto Angulo Campos</v>
      </c>
      <c r="C2657" t="str">
        <f>+_xlfn.XLOOKUP(Tabla6[[#This Row],[ID CLIENTE]],'RESUMEN CLIENTES'!D:D,'RESUMEN CLIENTES'!C:C)</f>
        <v>Chile</v>
      </c>
      <c r="D2657" s="44" t="str">
        <f>+_xlfn.XLOOKUP(Tabla6[[#This Row],[ID CLIENTE]],'RESUMEN CLIENTES'!D:D,'RESUMEN CLIENTES'!M:M)</f>
        <v>OK</v>
      </c>
      <c r="E2657" s="71">
        <f>+_xlfn.XLOOKUP(Tabla6[[#This Row],[NOMBRE]],'RESUMEN CLIENTES'!A:A,'RESUMEN CLIENTES'!X:X)</f>
        <v>-0.66666666666666663</v>
      </c>
      <c r="F2657" s="71">
        <f>+_xlfn.XLOOKUP(Tabla6[[#This Row],[ID CLIENTE]],'RESUMEN CLIENTES'!D:D,'RESUMEN CLIENTES'!W:W)</f>
        <v>0</v>
      </c>
      <c r="G2657" s="17">
        <f>IF($H2657&lt;&gt;"ALEM","",IFERROR(
  DATE(
    YEAR(EDATE(
      _xlfn.XLOOKUP($A2657,'RESUMEN CLIENTES'!$D:$D,'RESUMEN CLIENTES'!$Y:$Y,""),
      7 + COUNTIFS(
            $A$2:INDEX($A:$A,ROW()), $A2657,
            $H$2:INDEX($H:$H,ROW()), "ALEM"
          )
    )),
    MONTH(EDATE(
      _xlfn.XLOOKUP($A2657,'RESUMEN CLIENTES'!$D:$D,'RESUMEN CLIENTES'!$Y:$Y,""),
      7 + COUNTIFS(
            $A$2:INDEX($A:$A,ROW()), $A2657,
            $H$2:INDEX($H:$H,ROW()), "ALEM"
          )
    )),
    1
  ),
"SIN FECHA MIG"))</f>
        <v>46784</v>
      </c>
      <c r="H2657" s="44" t="s">
        <v>1876</v>
      </c>
      <c r="I2657" s="2">
        <v>800</v>
      </c>
      <c r="J2657"/>
      <c r="K2657"/>
      <c r="L2657" s="44" t="str" cm="1">
        <f t="array" ref="L2657">+_xlfn.IFS(COUNTIF(INGRESOS!E:E,Tabla6[[#This Row],[ID FACTURA]])=1,"PAGADA",Tabla6[[#This Row],[ID FACTURA]]&lt;&gt;0,"EMITIDA",Tabla6[[#This Row],[ID FACTURA]]=0,"POR EMITIR")</f>
        <v>POR EMITIR</v>
      </c>
      <c r="M2657" s="55" t="str">
        <f>+IF(Tabla6[[#This Row],[ESTADO FACTURA]]="PAGADA",Tabla6[[#This Row],[FECHA]]-_xlfn.XLOOKUP(Tabla6[[#This Row],[N° FACTURA]],INGRESOS!F:F,INGRESOS!A:A),"-")</f>
        <v>-</v>
      </c>
      <c r="N2657" s="2"/>
      <c r="O2657" t="s">
        <v>2084</v>
      </c>
    </row>
    <row r="2658" spans="1:15">
      <c r="A2658" s="320" t="s">
        <v>1945</v>
      </c>
      <c r="B2658" t="str">
        <f>+_xlfn.XLOOKUP(Tabla6[[#This Row],[ID CLIENTE]],'RESUMEN CLIENTES'!D:D,'RESUMEN CLIENTES'!A:A)</f>
        <v>Fernanda Constanza Kompai Antu Arellano Guzmán</v>
      </c>
      <c r="C2658" t="str">
        <f>+_xlfn.XLOOKUP(Tabla6[[#This Row],[ID CLIENTE]],'RESUMEN CLIENTES'!D:D,'RESUMEN CLIENTES'!C:C)</f>
        <v>Chile</v>
      </c>
      <c r="D2658" s="169" t="str">
        <f>+_xlfn.XLOOKUP(Tabla6[[#This Row],[ID CLIENTE]],'RESUMEN CLIENTES'!D:D,'RESUMEN CLIENTES'!M:M)</f>
        <v>OK</v>
      </c>
      <c r="E2658" s="71">
        <f>+_xlfn.XLOOKUP(Tabla6[[#This Row],[NOMBRE]],'RESUMEN CLIENTES'!A:A,'RESUMEN CLIENTES'!X:X)</f>
        <v>0</v>
      </c>
      <c r="F2658" s="71">
        <f>+_xlfn.XLOOKUP(Tabla6[[#This Row],[ID CLIENTE]],'RESUMEN CLIENTES'!D:D,'RESUMEN CLIENTES'!W:W)</f>
        <v>0</v>
      </c>
      <c r="G2658" s="17">
        <f>IF($H2658&lt;&gt;"ALEM","",IFERROR(
  DATE(
    YEAR(EDATE(
      _xlfn.XLOOKUP($A2658,'RESUMEN CLIENTES'!$D:$D,'RESUMEN CLIENTES'!$Y:$Y,""),
      7 + COUNTIFS(
            $A$2:INDEX($A:$A,ROW()), $A2658,
            $H$2:INDEX($H:$H,ROW()), "ALEM"
          )
    )),
    MONTH(EDATE(
      _xlfn.XLOOKUP($A2658,'RESUMEN CLIENTES'!$D:$D,'RESUMEN CLIENTES'!$Y:$Y,""),
      7 + COUNTIFS(
            $A$2:INDEX($A:$A,ROW()), $A2658,
            $H$2:INDEX($H:$H,ROW()), "ALEM"
          )
    )),
    1
  ),
"null"))</f>
        <v>46784</v>
      </c>
      <c r="H2658" s="170" t="s">
        <v>1876</v>
      </c>
      <c r="I2658" s="2">
        <v>800</v>
      </c>
      <c r="J2658"/>
      <c r="K2658"/>
      <c r="L2658" s="44" t="str" cm="1">
        <f t="array" ref="L2658">+_xlfn.IFS(COUNTIF(INGRESOS!E:E,Tabla6[[#This Row],[ID FACTURA]])=1,"PAGADA",Tabla6[[#This Row],[ID FACTURA]]&lt;&gt;0,"EMITIDA",Tabla6[[#This Row],[ID FACTURA]]=0,"POR EMITIR")</f>
        <v>POR EMITIR</v>
      </c>
      <c r="M2658" s="54" t="str">
        <f>+IF(Tabla6[[#This Row],[ESTADO FACTURA]]="PAGADA",Tabla6[[#This Row],[FECHA]]-_xlfn.XLOOKUP(Tabla6[[#This Row],[N° FACTURA]],INGRESOS!F:F,INGRESOS!A:A),"-")</f>
        <v>-</v>
      </c>
      <c r="O2658"/>
    </row>
    <row r="2659" spans="1:15">
      <c r="A2659" s="320" t="s">
        <v>787</v>
      </c>
      <c r="B2659" t="str">
        <f>+_xlfn.XLOOKUP(Tabla6[[#This Row],[ID CLIENTE]],'RESUMEN CLIENTES'!D:D,'RESUMEN CLIENTES'!A:A)</f>
        <v>Florencia Luján Sapia</v>
      </c>
      <c r="C2659" t="str">
        <f>+_xlfn.XLOOKUP(Tabla6[[#This Row],[ID CLIENTE]],'RESUMEN CLIENTES'!D:D,'RESUMEN CLIENTES'!C:C)</f>
        <v>Argentina</v>
      </c>
      <c r="D2659" s="44" t="str">
        <f>+_xlfn.XLOOKUP(Tabla6[[#This Row],[ID CLIENTE]],'RESUMEN CLIENTES'!D:D,'RESUMEN CLIENTES'!M:M)</f>
        <v>OK</v>
      </c>
      <c r="E2659" s="72">
        <f>+_xlfn.XLOOKUP(Tabla6[[#This Row],[NOMBRE]],'RESUMEN CLIENTES'!A:A,'RESUMEN CLIENTES'!X:X)</f>
        <v>-0.77777777777777779</v>
      </c>
      <c r="F2659" s="72">
        <f>+_xlfn.XLOOKUP(Tabla6[[#This Row],[ID CLIENTE]],'RESUMEN CLIENTES'!D:D,'RESUMEN CLIENTES'!W:W)</f>
        <v>1</v>
      </c>
      <c r="G2659" s="17">
        <f>IF($H2659&lt;&gt;"ALEM","",IFERROR(
  DATE(
    YEAR(EDATE(
      _xlfn.XLOOKUP($A2659,'RESUMEN CLIENTES'!$D:$D,'RESUMEN CLIENTES'!$Y:$Y,""),
      7 + COUNTIFS(
            $A$2:INDEX($A:$A,ROW()), $A2659,
            $H$2:INDEX($H:$H,ROW()), "ALEM"
          )
    )),
    MONTH(EDATE(
      _xlfn.XLOOKUP($A2659,'RESUMEN CLIENTES'!$D:$D,'RESUMEN CLIENTES'!$Y:$Y,""),
      7 + COUNTIFS(
            $A$2:INDEX($A:$A,ROW()), $A2659,
            $H$2:INDEX($H:$H,ROW()), "ALEM"
          )
    )),
    1
  ),
"SIN FECHA MIG"))</f>
        <v>46784</v>
      </c>
      <c r="H2659" s="44" t="s">
        <v>1876</v>
      </c>
      <c r="I2659" s="2">
        <v>1000</v>
      </c>
      <c r="J2659"/>
      <c r="K2659"/>
      <c r="L2659" s="44" t="str" cm="1">
        <f t="array" ref="L2659">+_xlfn.IFS(COUNTIF(INGRESOS!E:E,Tabla6[[#This Row],[ID FACTURA]])=1,"PAGADA",Tabla6[[#This Row],[ID FACTURA]]&lt;&gt;0,"EMITIDA",Tabla6[[#This Row],[ID FACTURA]]=0,"POR EMITIR")</f>
        <v>POR EMITIR</v>
      </c>
      <c r="M2659" s="55" t="str">
        <f>+IF(Tabla6[[#This Row],[ESTADO FACTURA]]="PAGADA",Tabla6[[#This Row],[FECHA]]-_xlfn.XLOOKUP(Tabla6[[#This Row],[N° FACTURA]],INGRESOS!F:F,INGRESOS!A:A),"-")</f>
        <v>-</v>
      </c>
      <c r="N2659" s="2"/>
      <c r="O2659" t="s">
        <v>2084</v>
      </c>
    </row>
    <row r="2660" spans="1:15">
      <c r="A2660" s="320" t="s">
        <v>1996</v>
      </c>
      <c r="B2660" t="str">
        <f>+_xlfn.XLOOKUP(Tabla6[[#This Row],[ID CLIENTE]],'RESUMEN CLIENTES'!D:D,'RESUMEN CLIENTES'!A:A)</f>
        <v>Ivan Gonzales Graus</v>
      </c>
      <c r="C2660" t="str">
        <f>+_xlfn.XLOOKUP(Tabla6[[#This Row],[ID CLIENTE]],'RESUMEN CLIENTES'!D:D,'RESUMEN CLIENTES'!C:C)</f>
        <v>Perú</v>
      </c>
      <c r="D2660" s="169" t="str">
        <f>+_xlfn.XLOOKUP(Tabla6[[#This Row],[ID CLIENTE]],'RESUMEN CLIENTES'!D:D,'RESUMEN CLIENTES'!M:M)</f>
        <v>OK</v>
      </c>
      <c r="E2660" s="71">
        <f>+_xlfn.XLOOKUP(Tabla6[[#This Row],[NOMBRE]],'RESUMEN CLIENTES'!A:A,'RESUMEN CLIENTES'!X:X)</f>
        <v>-2</v>
      </c>
      <c r="F2660" s="71">
        <f>+_xlfn.XLOOKUP(Tabla6[[#This Row],[ID CLIENTE]],'RESUMEN CLIENTES'!D:D,'RESUMEN CLIENTES'!W:W)</f>
        <v>1</v>
      </c>
      <c r="G2660" s="17">
        <f>IF($H2660&lt;&gt;"ALEM","",IFERROR(
  DATE(
    YEAR(EDATE(
      _xlfn.XLOOKUP($A2660,'RESUMEN CLIENTES'!$D:$D,'RESUMEN CLIENTES'!$Y:$Y,""),
      7 + COUNTIFS(
            $A$2:INDEX($A:$A,ROW()), $A2660,
            $H$2:INDEX($H:$H,ROW()), "ALEM"
          )
    )),
    MONTH(EDATE(
      _xlfn.XLOOKUP($A2660,'RESUMEN CLIENTES'!$D:$D,'RESUMEN CLIENTES'!$Y:$Y,""),
      7 + COUNTIFS(
            $A$2:INDEX($A:$A,ROW()), $A2660,
            $H$2:INDEX($H:$H,ROW()), "ALEM"
          )
    )),
    1
  ),
"null"))</f>
        <v>46784</v>
      </c>
      <c r="H2660" s="169" t="s">
        <v>1876</v>
      </c>
      <c r="I2660" s="2">
        <v>1000</v>
      </c>
      <c r="J2660"/>
      <c r="K2660"/>
      <c r="L2660" s="44" t="str" cm="1">
        <f t="array" ref="L2660">+_xlfn.IFS(COUNTIF(INGRESOS!E:E,Tabla6[[#This Row],[ID FACTURA]])=1,"PAGADA",Tabla6[[#This Row],[ID FACTURA]]&lt;&gt;0,"EMITIDA",Tabla6[[#This Row],[ID FACTURA]]=0,"POR EMITIR")</f>
        <v>POR EMITIR</v>
      </c>
      <c r="M2660" s="54" t="str">
        <f>+IF(Tabla6[[#This Row],[ESTADO FACTURA]]="PAGADA",Tabla6[[#This Row],[FECHA]]-_xlfn.XLOOKUP(Tabla6[[#This Row],[N° FACTURA]],INGRESOS!F:F,INGRESOS!A:A),"-")</f>
        <v>-</v>
      </c>
      <c r="O2660"/>
    </row>
    <row r="2661" spans="1:15">
      <c r="A2661" s="320" t="s">
        <v>1936</v>
      </c>
      <c r="B2661" t="str">
        <f>+_xlfn.XLOOKUP(Tabla6[[#This Row],[ID CLIENTE]],'RESUMEN CLIENTES'!D:D,'RESUMEN CLIENTES'!A:A)</f>
        <v>Jaime Kevin Mendez Arias</v>
      </c>
      <c r="C2661" t="str">
        <f>+_xlfn.XLOOKUP(Tabla6[[#This Row],[ID CLIENTE]],'RESUMEN CLIENTES'!D:D,'RESUMEN CLIENTES'!C:C)</f>
        <v>México</v>
      </c>
      <c r="D2661" s="169" t="str">
        <f>+_xlfn.XLOOKUP(Tabla6[[#This Row],[ID CLIENTE]],'RESUMEN CLIENTES'!D:D,'RESUMEN CLIENTES'!M:M)</f>
        <v>OK</v>
      </c>
      <c r="E2661" s="71">
        <f>+_xlfn.XLOOKUP(Tabla6[[#This Row],[NOMBRE]],'RESUMEN CLIENTES'!A:A,'RESUMEN CLIENTES'!X:X)</f>
        <v>1.6666666666666667</v>
      </c>
      <c r="F2661" s="71">
        <f>+_xlfn.XLOOKUP(Tabla6[[#This Row],[ID CLIENTE]],'RESUMEN CLIENTES'!D:D,'RESUMEN CLIENTES'!W:W)</f>
        <v>0</v>
      </c>
      <c r="G2661" s="17">
        <f>IF($H2661&lt;&gt;"ALEM","",IFERROR(
  DATE(
    YEAR(EDATE(
      _xlfn.XLOOKUP($A2661,'RESUMEN CLIENTES'!$D:$D,'RESUMEN CLIENTES'!$Y:$Y,""),
      7 + COUNTIFS(
            $A$2:INDEX($A:$A,ROW()), $A2661,
            $H$2:INDEX($H:$H,ROW()), "ALEM"
          )
    )),
    MONTH(EDATE(
      _xlfn.XLOOKUP($A2661,'RESUMEN CLIENTES'!$D:$D,'RESUMEN CLIENTES'!$Y:$Y,""),
      7 + COUNTIFS(
            $A$2:INDEX($A:$A,ROW()), $A2661,
            $H$2:INDEX($H:$H,ROW()), "ALEM"
          )
    )),
    1
  ),
"null"))</f>
        <v>46784</v>
      </c>
      <c r="H2661" s="169" t="s">
        <v>1876</v>
      </c>
      <c r="I2661" s="2">
        <v>800</v>
      </c>
      <c r="J2661"/>
      <c r="K2661"/>
      <c r="L2661" s="44" t="str" cm="1">
        <f t="array" ref="L2661">+_xlfn.IFS(COUNTIF(INGRESOS!E:E,Tabla6[[#This Row],[ID FACTURA]])=1,"PAGADA",Tabla6[[#This Row],[ID FACTURA]]&lt;&gt;0,"EMITIDA",Tabla6[[#This Row],[ID FACTURA]]=0,"POR EMITIR")</f>
        <v>POR EMITIR</v>
      </c>
      <c r="M2661" s="54" t="str">
        <f>+IF(Tabla6[[#This Row],[ESTADO FACTURA]]="PAGADA",Tabla6[[#This Row],[FECHA]]-_xlfn.XLOOKUP(Tabla6[[#This Row],[N° FACTURA]],INGRESOS!F:F,INGRESOS!A:A),"-")</f>
        <v>-</v>
      </c>
      <c r="O2661"/>
    </row>
    <row r="2662" spans="1:15">
      <c r="A2662" s="321" t="s">
        <v>1899</v>
      </c>
      <c r="B2662" t="str">
        <f>+_xlfn.XLOOKUP(Tabla6[[#This Row],[ID CLIENTE]],'RESUMEN CLIENTES'!D:D,'RESUMEN CLIENTES'!A:A)</f>
        <v>Johan Martínez</v>
      </c>
      <c r="C2662" t="str">
        <f>+_xlfn.XLOOKUP(Tabla6[[#This Row],[ID CLIENTE]],'RESUMEN CLIENTES'!D:D,'RESUMEN CLIENTES'!C:C)</f>
        <v>Colombia</v>
      </c>
      <c r="D2662" s="169" t="str">
        <f>+_xlfn.XLOOKUP(Tabla6[[#This Row],[ID CLIENTE]],'RESUMEN CLIENTES'!D:D,'RESUMEN CLIENTES'!M:M)</f>
        <v>OK</v>
      </c>
      <c r="E2662" s="71">
        <f>+_xlfn.XLOOKUP(Tabla6[[#This Row],[NOMBRE]],'RESUMEN CLIENTES'!A:A,'RESUMEN CLIENTES'!X:X)</f>
        <v>-0.66666666666666663</v>
      </c>
      <c r="F2662" s="71">
        <f>+_xlfn.XLOOKUP(Tabla6[[#This Row],[ID CLIENTE]],'RESUMEN CLIENTES'!D:D,'RESUMEN CLIENTES'!W:W)</f>
        <v>0</v>
      </c>
      <c r="G2662" s="17">
        <f>IF($H2662&lt;&gt;"ALEM","",IFERROR(
  DATE(
    YEAR(EDATE(
      _xlfn.XLOOKUP($A2662,'RESUMEN CLIENTES'!$D:$D,'RESUMEN CLIENTES'!$Y:$Y,""),
      7 + COUNTIFS(
            $A$2:INDEX($A:$A,ROW()), $A2662,
            $H$2:INDEX($H:$H,ROW()), "ALEM"
          )
    )),
    MONTH(EDATE(
      _xlfn.XLOOKUP($A2662,'RESUMEN CLIENTES'!$D:$D,'RESUMEN CLIENTES'!$Y:$Y,""),
      7 + COUNTIFS(
            $A$2:INDEX($A:$A,ROW()), $A2662,
            $H$2:INDEX($H:$H,ROW()), "ALEM"
          )
    )),
    1
  ),
"null"))</f>
        <v>46784</v>
      </c>
      <c r="H2662" s="169" t="s">
        <v>1876</v>
      </c>
      <c r="I2662" s="2">
        <v>800</v>
      </c>
      <c r="J2662"/>
      <c r="K2662"/>
      <c r="L2662" s="44" t="str" cm="1">
        <f t="array" ref="L2662">+_xlfn.IFS(COUNTIF(INGRESOS!E:E,Tabla6[[#This Row],[ID FACTURA]])=1,"PAGADA",Tabla6[[#This Row],[ID FACTURA]]&lt;&gt;0,"EMITIDA",Tabla6[[#This Row],[ID FACTURA]]=0,"POR EMITIR")</f>
        <v>POR EMITIR</v>
      </c>
      <c r="M2662" s="54" t="str">
        <f>+IF(Tabla6[[#This Row],[ESTADO FACTURA]]="PAGADA",Tabla6[[#This Row],[FECHA]]-_xlfn.XLOOKUP(Tabla6[[#This Row],[N° FACTURA]],INGRESOS!F:F,INGRESOS!A:A),"-")</f>
        <v>-</v>
      </c>
      <c r="O2662" t="s">
        <v>2086</v>
      </c>
    </row>
    <row r="2663" spans="1:15">
      <c r="A2663" s="320" t="s">
        <v>1437</v>
      </c>
      <c r="B2663" t="str">
        <f>+_xlfn.XLOOKUP(Tabla6[[#This Row],[ID CLIENTE]],'RESUMEN CLIENTES'!D:D,'RESUMEN CLIENTES'!A:A)</f>
        <v>Jorge Andres Galgani Muñoz</v>
      </c>
      <c r="C2663" t="str">
        <f>+_xlfn.XLOOKUP(Tabla6[[#This Row],[ID CLIENTE]],'RESUMEN CLIENTES'!D:D,'RESUMEN CLIENTES'!C:C)</f>
        <v>Chile</v>
      </c>
      <c r="D2663" s="44" t="str">
        <f>+_xlfn.XLOOKUP(Tabla6[[#This Row],[ID CLIENTE]],'RESUMEN CLIENTES'!D:D,'RESUMEN CLIENTES'!M:M)</f>
        <v>OK</v>
      </c>
      <c r="E2663" s="71">
        <f>+_xlfn.XLOOKUP(Tabla6[[#This Row],[NOMBRE]],'RESUMEN CLIENTES'!A:A,'RESUMEN CLIENTES'!X:X)</f>
        <v>-1.1428571428571428</v>
      </c>
      <c r="F2663" s="71">
        <f>+_xlfn.XLOOKUP(Tabla6[[#This Row],[ID CLIENTE]],'RESUMEN CLIENTES'!D:D,'RESUMEN CLIENTES'!W:W)</f>
        <v>1</v>
      </c>
      <c r="G2663" s="17">
        <f>IF($H2663&lt;&gt;"ALEM","",IFERROR(
  DATE(
    YEAR(EDATE(
      _xlfn.XLOOKUP($A2663,'RESUMEN CLIENTES'!$D:$D,'RESUMEN CLIENTES'!$Y:$Y,""),
      7 + COUNTIFS(
            $A$2:INDEX($A:$A,ROW()), $A2663,
            $H$2:INDEX($H:$H,ROW()), "ALEM"
          )
    )),
    MONTH(EDATE(
      _xlfn.XLOOKUP($A2663,'RESUMEN CLIENTES'!$D:$D,'RESUMEN CLIENTES'!$Y:$Y,""),
      7 + COUNTIFS(
            $A$2:INDEX($A:$A,ROW()), $A2663,
            $H$2:INDEX($H:$H,ROW()), "ALEM"
          )
    )),
    1
  ),
"SIN FECHA MIG"))</f>
        <v>46784</v>
      </c>
      <c r="H2663" s="169" t="s">
        <v>1876</v>
      </c>
      <c r="I2663" s="2">
        <v>800</v>
      </c>
      <c r="J2663"/>
      <c r="K2663"/>
      <c r="L2663" s="44" t="str" cm="1">
        <f t="array" ref="L2663">+_xlfn.IFS(COUNTIF(INGRESOS!E:E,Tabla6[[#This Row],[ID FACTURA]])=1,"PAGADA",Tabla6[[#This Row],[ID FACTURA]]&lt;&gt;0,"EMITIDA",Tabla6[[#This Row],[ID FACTURA]]=0,"POR EMITIR")</f>
        <v>POR EMITIR</v>
      </c>
      <c r="M2663" s="55" t="str">
        <f>+IF(Tabla6[[#This Row],[ESTADO FACTURA]]="PAGADA",Tabla6[[#This Row],[FECHA]]-_xlfn.XLOOKUP(Tabla6[[#This Row],[N° FACTURA]],INGRESOS!F:F,INGRESOS!A:A),"-")</f>
        <v>-</v>
      </c>
      <c r="N2663" s="2"/>
      <c r="O2663"/>
    </row>
    <row r="2664" spans="1:15">
      <c r="A2664" s="320" t="s">
        <v>4454</v>
      </c>
      <c r="B2664" t="str">
        <f>+_xlfn.XLOOKUP(Tabla6[[#This Row],[ID CLIENTE]],'RESUMEN CLIENTES'!D:D,'RESUMEN CLIENTES'!A:A)</f>
        <v>Jose Luis Avilez Casas</v>
      </c>
      <c r="C2664" t="str">
        <f>+_xlfn.XLOOKUP(Tabla6[[#This Row],[ID CLIENTE]],'RESUMEN CLIENTES'!D:D,'RESUMEN CLIENTES'!C:C)</f>
        <v>México</v>
      </c>
      <c r="D2664" s="169" t="str">
        <f>+_xlfn.XLOOKUP(Tabla6[[#This Row],[ID CLIENTE]],'RESUMEN CLIENTES'!D:D,'RESUMEN CLIENTES'!M:M)</f>
        <v>OK</v>
      </c>
      <c r="E2664" s="71">
        <f>+_xlfn.XLOOKUP(Tabla6[[#This Row],[NOMBRE]],'RESUMEN CLIENTES'!A:A,'RESUMEN CLIENTES'!X:X)</f>
        <v>0.33333333333333331</v>
      </c>
      <c r="F2664" s="71">
        <f>+_xlfn.XLOOKUP(Tabla6[[#This Row],[ID CLIENTE]],'RESUMEN CLIENTES'!D:D,'RESUMEN CLIENTES'!W:W)</f>
        <v>0</v>
      </c>
      <c r="G2664" s="17">
        <f>IF($H2664&lt;&gt;"ALEM","",IFERROR(
  DATE(
    YEAR(EDATE(
      _xlfn.XLOOKUP($A2664,'RESUMEN CLIENTES'!$D:$D,'RESUMEN CLIENTES'!$Y:$Y,""),
      7 + COUNTIFS(
            $A$2:INDEX($A:$A,ROW()), $A2664,
            $H$2:INDEX($H:$H,ROW()), "ALEM"
          )
    )),
    MONTH(EDATE(
      _xlfn.XLOOKUP($A2664,'RESUMEN CLIENTES'!$D:$D,'RESUMEN CLIENTES'!$Y:$Y,""),
      7 + COUNTIFS(
            $A$2:INDEX($A:$A,ROW()), $A2664,
            $H$2:INDEX($H:$H,ROW()), "ALEM"
          )
    )),
    1
  ),
"null"))</f>
        <v>46784</v>
      </c>
      <c r="H2664" s="169" t="s">
        <v>1876</v>
      </c>
      <c r="I2664" s="2">
        <v>800</v>
      </c>
      <c r="J2664"/>
      <c r="K2664"/>
      <c r="L2664" s="44" t="str" cm="1">
        <f t="array" ref="L2664">+_xlfn.IFS(COUNTIF(INGRESOS!E:E,Tabla6[[#This Row],[ID FACTURA]])=1,"PAGADA",Tabla6[[#This Row],[ID FACTURA]]&lt;&gt;0,"EMITIDA",Tabla6[[#This Row],[ID FACTURA]]=0,"POR EMITIR")</f>
        <v>POR EMITIR</v>
      </c>
      <c r="M2664" s="54" t="str">
        <f>+IF(Tabla6[[#This Row],[ESTADO FACTURA]]="PAGADA",Tabla6[[#This Row],[FECHA]]-_xlfn.XLOOKUP(Tabla6[[#This Row],[N° FACTURA]],INGRESOS!F:F,INGRESOS!A:A),"-")</f>
        <v>-</v>
      </c>
      <c r="O2664"/>
    </row>
    <row r="2665" spans="1:15">
      <c r="A2665" s="321" t="s">
        <v>367</v>
      </c>
      <c r="B2665" t="str">
        <f>+_xlfn.XLOOKUP(Tabla6[[#This Row],[ID CLIENTE]],'RESUMEN CLIENTES'!D:D,'RESUMEN CLIENTES'!A:A)</f>
        <v>José Miguel Undurraga Saavedra</v>
      </c>
      <c r="C2665" t="str">
        <f>+_xlfn.XLOOKUP(Tabla6[[#This Row],[ID CLIENTE]],'RESUMEN CLIENTES'!D:D,'RESUMEN CLIENTES'!C:C)</f>
        <v>Chile</v>
      </c>
      <c r="D2665" s="169" t="str">
        <f>+_xlfn.XLOOKUP(Tabla6[[#This Row],[ID CLIENTE]],'RESUMEN CLIENTES'!D:D,'RESUMEN CLIENTES'!M:M)</f>
        <v>OK</v>
      </c>
      <c r="E2665" s="71">
        <f>+_xlfn.XLOOKUP(Tabla6[[#This Row],[NOMBRE]],'RESUMEN CLIENTES'!A:A,'RESUMEN CLIENTES'!X:X)</f>
        <v>-11.5</v>
      </c>
      <c r="F2665" s="71">
        <f>+_xlfn.XLOOKUP(Tabla6[[#This Row],[ID CLIENTE]],'RESUMEN CLIENTES'!D:D,'RESUMEN CLIENTES'!W:W)</f>
        <v>0</v>
      </c>
      <c r="G2665" s="17">
        <f>IF($H2665&lt;&gt;"ALEM","",IFERROR(
  DATE(
    YEAR(EDATE(
      _xlfn.XLOOKUP($A2665,'RESUMEN CLIENTES'!$D:$D,'RESUMEN CLIENTES'!$Y:$Y,""),
      7 + COUNTIFS(
            $A$2:INDEX($A:$A,ROW()), $A2665,
            $H$2:INDEX($H:$H,ROW()), "ALEM"
          )
    )),
    MONTH(EDATE(
      _xlfn.XLOOKUP($A2665,'RESUMEN CLIENTES'!$D:$D,'RESUMEN CLIENTES'!$Y:$Y,""),
      7 + COUNTIFS(
            $A$2:INDEX($A:$A,ROW()), $A2665,
            $H$2:INDEX($H:$H,ROW()), "ALEM"
          )
    )),
    1
  ),
"null"))</f>
        <v>46784</v>
      </c>
      <c r="H2665" s="169" t="s">
        <v>1876</v>
      </c>
      <c r="I2665" s="2">
        <v>1000</v>
      </c>
      <c r="J2665"/>
      <c r="K2665"/>
      <c r="L2665" s="44" t="str" cm="1">
        <f t="array" ref="L2665">+_xlfn.IFS(COUNTIF(INGRESOS!E:E,Tabla6[[#This Row],[ID FACTURA]])=1,"PAGADA",Tabla6[[#This Row],[ID FACTURA]]&lt;&gt;0,"EMITIDA",Tabla6[[#This Row],[ID FACTURA]]=0,"POR EMITIR")</f>
        <v>POR EMITIR</v>
      </c>
      <c r="M2665" s="54" t="str">
        <f>+IF(Tabla6[[#This Row],[ESTADO FACTURA]]="PAGADA",Tabla6[[#This Row],[FECHA]]-_xlfn.XLOOKUP(Tabla6[[#This Row],[N° FACTURA]],INGRESOS!F:F,INGRESOS!A:A),"-")</f>
        <v>-</v>
      </c>
      <c r="O2665" t="s">
        <v>2092</v>
      </c>
    </row>
    <row r="2666" spans="1:15">
      <c r="A2666" s="320" t="s">
        <v>1931</v>
      </c>
      <c r="B2666" t="str">
        <f>+_xlfn.XLOOKUP(Tabla6[[#This Row],[ID CLIENTE]],'RESUMEN CLIENTES'!D:D,'RESUMEN CLIENTES'!A:A)</f>
        <v>Josué Bernardo Reyes Flores</v>
      </c>
      <c r="C2666" t="str">
        <f>+_xlfn.XLOOKUP(Tabla6[[#This Row],[ID CLIENTE]],'RESUMEN CLIENTES'!D:D,'RESUMEN CLIENTES'!C:C)</f>
        <v>México</v>
      </c>
      <c r="D2666" s="169" t="str">
        <f>+_xlfn.XLOOKUP(Tabla6[[#This Row],[ID CLIENTE]],'RESUMEN CLIENTES'!D:D,'RESUMEN CLIENTES'!M:M)</f>
        <v>OK</v>
      </c>
      <c r="E2666" s="71">
        <f>+_xlfn.XLOOKUP(Tabla6[[#This Row],[NOMBRE]],'RESUMEN CLIENTES'!A:A,'RESUMEN CLIENTES'!X:X)</f>
        <v>0</v>
      </c>
      <c r="F2666" s="71">
        <f>+_xlfn.XLOOKUP(Tabla6[[#This Row],[ID CLIENTE]],'RESUMEN CLIENTES'!D:D,'RESUMEN CLIENTES'!W:W)</f>
        <v>1</v>
      </c>
      <c r="G2666" s="17">
        <f>IF($H2666&lt;&gt;"ALEM","",IFERROR(
  DATE(
    YEAR(EDATE(
      _xlfn.XLOOKUP($A2666,'RESUMEN CLIENTES'!$D:$D,'RESUMEN CLIENTES'!$Y:$Y,""),
      7 + COUNTIFS(
            $A$2:INDEX($A:$A,ROW()), $A2666,
            $H$2:INDEX($H:$H,ROW()), "ALEM"
          )
    )),
    MONTH(EDATE(
      _xlfn.XLOOKUP($A2666,'RESUMEN CLIENTES'!$D:$D,'RESUMEN CLIENTES'!$Y:$Y,""),
      7 + COUNTIFS(
            $A$2:INDEX($A:$A,ROW()), $A2666,
            $H$2:INDEX($H:$H,ROW()), "ALEM"
          )
    )),
    1
  ),
"null"))</f>
        <v>46784</v>
      </c>
      <c r="H2666" s="169" t="s">
        <v>1876</v>
      </c>
      <c r="I2666" s="2">
        <v>800</v>
      </c>
      <c r="J2666"/>
      <c r="K2666"/>
      <c r="L2666" s="44" t="str" cm="1">
        <f t="array" ref="L2666">+_xlfn.IFS(COUNTIF(INGRESOS!E:E,Tabla6[[#This Row],[ID FACTURA]])=1,"PAGADA",Tabla6[[#This Row],[ID FACTURA]]&lt;&gt;0,"EMITIDA",Tabla6[[#This Row],[ID FACTURA]]=0,"POR EMITIR")</f>
        <v>POR EMITIR</v>
      </c>
      <c r="M2666" s="54" t="str">
        <f>+IF(Tabla6[[#This Row],[ESTADO FACTURA]]="PAGADA",Tabla6[[#This Row],[FECHA]]-_xlfn.XLOOKUP(Tabla6[[#This Row],[N° FACTURA]],INGRESOS!F:F,INGRESOS!A:A),"-")</f>
        <v>-</v>
      </c>
      <c r="O2666"/>
    </row>
    <row r="2667" spans="1:15">
      <c r="A2667" s="320" t="s">
        <v>1482</v>
      </c>
      <c r="B2667" t="str">
        <f>+_xlfn.XLOOKUP(Tabla6[[#This Row],[ID CLIENTE]],'RESUMEN CLIENTES'!D:D,'RESUMEN CLIENTES'!A:A)</f>
        <v>Laxmi Davi Patel Flores</v>
      </c>
      <c r="C2667" t="str">
        <f>+_xlfn.XLOOKUP(Tabla6[[#This Row],[ID CLIENTE]],'RESUMEN CLIENTES'!D:D,'RESUMEN CLIENTES'!C:C)</f>
        <v>Ecuador</v>
      </c>
      <c r="D2667" s="44" t="str">
        <f>+_xlfn.XLOOKUP(Tabla6[[#This Row],[ID CLIENTE]],'RESUMEN CLIENTES'!D:D,'RESUMEN CLIENTES'!M:M)</f>
        <v>OK</v>
      </c>
      <c r="E2667" s="71">
        <f>+_xlfn.XLOOKUP(Tabla6[[#This Row],[NOMBRE]],'RESUMEN CLIENTES'!A:A,'RESUMEN CLIENTES'!X:X)</f>
        <v>-1.5714285714285714</v>
      </c>
      <c r="F2667" s="71">
        <f>+_xlfn.XLOOKUP(Tabla6[[#This Row],[ID CLIENTE]],'RESUMEN CLIENTES'!D:D,'RESUMEN CLIENTES'!W:W)</f>
        <v>0</v>
      </c>
      <c r="G2667" s="17">
        <f>IF($H2667&lt;&gt;"ALEM","",IFERROR(
  DATE(
    YEAR(EDATE(
      _xlfn.XLOOKUP($A2667,'RESUMEN CLIENTES'!$D:$D,'RESUMEN CLIENTES'!$Y:$Y,""),
      7 + COUNTIFS(
            $A$2:INDEX($A:$A,ROW()), $A2667,
            $H$2:INDEX($H:$H,ROW()), "ALEM"
          )
    )),
    MONTH(EDATE(
      _xlfn.XLOOKUP($A2667,'RESUMEN CLIENTES'!$D:$D,'RESUMEN CLIENTES'!$Y:$Y,""),
      7 + COUNTIFS(
            $A$2:INDEX($A:$A,ROW()), $A2667,
            $H$2:INDEX($H:$H,ROW()), "ALEM"
          )
    )),
    1
  ),
"SIN FECHA MIG"))</f>
        <v>46784</v>
      </c>
      <c r="H2667" s="169" t="s">
        <v>1876</v>
      </c>
      <c r="I2667" s="2">
        <v>800</v>
      </c>
      <c r="J2667"/>
      <c r="K2667"/>
      <c r="L2667" s="44" t="str" cm="1">
        <f t="array" ref="L2667">+_xlfn.IFS(COUNTIF(INGRESOS!E:E,Tabla6[[#This Row],[ID FACTURA]])=1,"PAGADA",Tabla6[[#This Row],[ID FACTURA]]&lt;&gt;0,"EMITIDA",Tabla6[[#This Row],[ID FACTURA]]=0,"POR EMITIR")</f>
        <v>POR EMITIR</v>
      </c>
      <c r="M2667" s="55" t="str">
        <f>+IF(Tabla6[[#This Row],[ESTADO FACTURA]]="PAGADA",Tabla6[[#This Row],[FECHA]]-_xlfn.XLOOKUP(Tabla6[[#This Row],[N° FACTURA]],INGRESOS!F:F,INGRESOS!A:A),"-")</f>
        <v>-</v>
      </c>
      <c r="N2667" s="2"/>
      <c r="O2667" t="s">
        <v>2086</v>
      </c>
    </row>
    <row r="2668" spans="1:15">
      <c r="A2668" s="320" t="s">
        <v>1551</v>
      </c>
      <c r="B2668" t="str">
        <f>+_xlfn.XLOOKUP(Tabla6[[#This Row],[ID CLIENTE]],'RESUMEN CLIENTES'!D:D,'RESUMEN CLIENTES'!A:A)</f>
        <v>María Fernanda Cid Ramírez</v>
      </c>
      <c r="C2668" t="str">
        <f>+_xlfn.XLOOKUP(Tabla6[[#This Row],[ID CLIENTE]],'RESUMEN CLIENTES'!D:D,'RESUMEN CLIENTES'!C:C)</f>
        <v>México</v>
      </c>
      <c r="D2668" s="44" t="str">
        <f>+_xlfn.XLOOKUP(Tabla6[[#This Row],[ID CLIENTE]],'RESUMEN CLIENTES'!D:D,'RESUMEN CLIENTES'!M:M)</f>
        <v>OK</v>
      </c>
      <c r="E2668" s="71">
        <f>+_xlfn.XLOOKUP(Tabla6[[#This Row],[NOMBRE]],'RESUMEN CLIENTES'!A:A,'RESUMEN CLIENTES'!X:X)</f>
        <v>-0.8571428571428571</v>
      </c>
      <c r="F2668" s="71">
        <f>+_xlfn.XLOOKUP(Tabla6[[#This Row],[ID CLIENTE]],'RESUMEN CLIENTES'!D:D,'RESUMEN CLIENTES'!W:W)</f>
        <v>0</v>
      </c>
      <c r="G2668" s="17">
        <f>IF($H2668&lt;&gt;"ALEM","",IFERROR(
  DATE(
    YEAR(EDATE(
      _xlfn.XLOOKUP($A2668,'RESUMEN CLIENTES'!$D:$D,'RESUMEN CLIENTES'!$Y:$Y,""),
      7 + COUNTIFS(
            $A$2:INDEX($A:$A,ROW()), $A2668,
            $H$2:INDEX($H:$H,ROW()), "ALEM"
          )
    )),
    MONTH(EDATE(
      _xlfn.XLOOKUP($A2668,'RESUMEN CLIENTES'!$D:$D,'RESUMEN CLIENTES'!$Y:$Y,""),
      7 + COUNTIFS(
            $A$2:INDEX($A:$A,ROW()), $A2668,
            $H$2:INDEX($H:$H,ROW()), "ALEM"
          )
    )),
    1
  ),
"SIN FECHA MIG"))</f>
        <v>46784</v>
      </c>
      <c r="H2668" s="169" t="s">
        <v>1876</v>
      </c>
      <c r="I2668" s="2">
        <v>800</v>
      </c>
      <c r="J2668"/>
      <c r="K2668"/>
      <c r="L2668" s="44" t="str" cm="1">
        <f t="array" ref="L2668">+_xlfn.IFS(COUNTIF(INGRESOS!E:E,Tabla6[[#This Row],[ID FACTURA]])=1,"PAGADA",Tabla6[[#This Row],[ID FACTURA]]&lt;&gt;0,"EMITIDA",Tabla6[[#This Row],[ID FACTURA]]=0,"POR EMITIR")</f>
        <v>POR EMITIR</v>
      </c>
      <c r="M2668" s="55" t="str">
        <f>+IF(Tabla6[[#This Row],[ESTADO FACTURA]]="PAGADA",Tabla6[[#This Row],[FECHA]]-_xlfn.XLOOKUP(Tabla6[[#This Row],[N° FACTURA]],INGRESOS!F:F,INGRESOS!A:A),"-")</f>
        <v>-</v>
      </c>
      <c r="N2668" s="2"/>
      <c r="O2668" t="s">
        <v>2086</v>
      </c>
    </row>
    <row r="2669" spans="1:15">
      <c r="A2669" s="320" t="s">
        <v>1201</v>
      </c>
      <c r="B2669" t="str">
        <f>+_xlfn.XLOOKUP(Tabla6[[#This Row],[ID CLIENTE]],'RESUMEN CLIENTES'!D:D,'RESUMEN CLIENTES'!A:A)</f>
        <v>María Soledad Tituana Asanza</v>
      </c>
      <c r="C2669" t="str">
        <f>+_xlfn.XLOOKUP(Tabla6[[#This Row],[ID CLIENTE]],'RESUMEN CLIENTES'!D:D,'RESUMEN CLIENTES'!C:C)</f>
        <v>Ecuador</v>
      </c>
      <c r="D2669" s="44" t="str">
        <f>+_xlfn.XLOOKUP(Tabla6[[#This Row],[ID CLIENTE]],'RESUMEN CLIENTES'!D:D,'RESUMEN CLIENTES'!M:M)</f>
        <v>OK</v>
      </c>
      <c r="E2669" s="72">
        <f>+_xlfn.XLOOKUP(Tabla6[[#This Row],[NOMBRE]],'RESUMEN CLIENTES'!A:A,'RESUMEN CLIENTES'!X:X)</f>
        <v>-0.16666666666666666</v>
      </c>
      <c r="F2669" s="72">
        <f>+_xlfn.XLOOKUP(Tabla6[[#This Row],[ID CLIENTE]],'RESUMEN CLIENTES'!D:D,'RESUMEN CLIENTES'!W:W)</f>
        <v>0</v>
      </c>
      <c r="G2669" s="17">
        <f>IF($H2669&lt;&gt;"ALEM","",IFERROR(
  DATE(
    YEAR(EDATE(
      _xlfn.XLOOKUP($A2669,'RESUMEN CLIENTES'!$D:$D,'RESUMEN CLIENTES'!$Y:$Y,""),
      7 + COUNTIFS(
            $A$2:INDEX($A:$A,ROW()), $A2669,
            $H$2:INDEX($H:$H,ROW()), "ALEM"
          )
    )),
    MONTH(EDATE(
      _xlfn.XLOOKUP($A2669,'RESUMEN CLIENTES'!$D:$D,'RESUMEN CLIENTES'!$Y:$Y,""),
      7 + COUNTIFS(
            $A$2:INDEX($A:$A,ROW()), $A2669,
            $H$2:INDEX($H:$H,ROW()), "ALEM"
          )
    )),
    1
  ),
"SIN FECHA MIG"))</f>
        <v>46784</v>
      </c>
      <c r="H2669" s="44" t="s">
        <v>1876</v>
      </c>
      <c r="I2669" s="2">
        <v>1000</v>
      </c>
      <c r="J2669"/>
      <c r="K2669"/>
      <c r="L2669" s="44" t="str" cm="1">
        <f t="array" ref="L2669">+_xlfn.IFS(COUNTIF(INGRESOS!E:E,Tabla6[[#This Row],[ID FACTURA]])=1,"PAGADA",Tabla6[[#This Row],[ID FACTURA]]&lt;&gt;0,"EMITIDA",Tabla6[[#This Row],[ID FACTURA]]=0,"POR EMITIR")</f>
        <v>POR EMITIR</v>
      </c>
      <c r="M2669" s="55" t="str">
        <f>+IF(Tabla6[[#This Row],[ESTADO FACTURA]]="PAGADA",Tabla6[[#This Row],[FECHA]]-_xlfn.XLOOKUP(Tabla6[[#This Row],[N° FACTURA]],INGRESOS!F:F,INGRESOS!A:A),"-")</f>
        <v>-</v>
      </c>
      <c r="N2669" s="2"/>
      <c r="O2669" t="s">
        <v>2084</v>
      </c>
    </row>
    <row r="2670" spans="1:15">
      <c r="A2670" s="320" t="s">
        <v>1155</v>
      </c>
      <c r="B2670" t="str">
        <f>+_xlfn.XLOOKUP(Tabla6[[#This Row],[ID CLIENTE]],'RESUMEN CLIENTES'!D:D,'RESUMEN CLIENTES'!A:A)</f>
        <v>Mario Arciga Casián</v>
      </c>
      <c r="C2670" t="str">
        <f>+_xlfn.XLOOKUP(Tabla6[[#This Row],[ID CLIENTE]],'RESUMEN CLIENTES'!D:D,'RESUMEN CLIENTES'!C:C)</f>
        <v>México</v>
      </c>
      <c r="D2670" s="44" t="str">
        <f>+_xlfn.XLOOKUP(Tabla6[[#This Row],[ID CLIENTE]],'RESUMEN CLIENTES'!D:D,'RESUMEN CLIENTES'!M:M)</f>
        <v>OK</v>
      </c>
      <c r="E2670" s="72">
        <f>+_xlfn.XLOOKUP(Tabla6[[#This Row],[NOMBRE]],'RESUMEN CLIENTES'!A:A,'RESUMEN CLIENTES'!X:X)</f>
        <v>-0.66666666666666663</v>
      </c>
      <c r="F2670" s="72">
        <f>+_xlfn.XLOOKUP(Tabla6[[#This Row],[ID CLIENTE]],'RESUMEN CLIENTES'!D:D,'RESUMEN CLIENTES'!W:W)</f>
        <v>1</v>
      </c>
      <c r="G2670" s="17">
        <f>IF($H2670&lt;&gt;"ALEM","",IFERROR(
  DATE(
    YEAR(EDATE(
      _xlfn.XLOOKUP($A2670,'RESUMEN CLIENTES'!$D:$D,'RESUMEN CLIENTES'!$Y:$Y,""),
      7 + COUNTIFS(
            $A$2:INDEX($A:$A,ROW()), $A2670,
            $H$2:INDEX($H:$H,ROW()), "ALEM"
          )
    )),
    MONTH(EDATE(
      _xlfn.XLOOKUP($A2670,'RESUMEN CLIENTES'!$D:$D,'RESUMEN CLIENTES'!$Y:$Y,""),
      7 + COUNTIFS(
            $A$2:INDEX($A:$A,ROW()), $A2670,
            $H$2:INDEX($H:$H,ROW()), "ALEM"
          )
    )),
    1
  ),
"SIN FECHA MIG"))</f>
        <v>46784</v>
      </c>
      <c r="H2670" s="44" t="s">
        <v>1876</v>
      </c>
      <c r="I2670" s="2">
        <v>800</v>
      </c>
      <c r="J2670"/>
      <c r="K2670"/>
      <c r="L2670" s="44" t="str" cm="1">
        <f t="array" ref="L2670">+_xlfn.IFS(COUNTIF(INGRESOS!E:E,Tabla6[[#This Row],[ID FACTURA]])=1,"PAGADA",Tabla6[[#This Row],[ID FACTURA]]&lt;&gt;0,"EMITIDA",Tabla6[[#This Row],[ID FACTURA]]=0,"POR EMITIR")</f>
        <v>POR EMITIR</v>
      </c>
      <c r="M2670" s="55" t="str">
        <f>+IF(Tabla6[[#This Row],[ESTADO FACTURA]]="PAGADA",Tabla6[[#This Row],[FECHA]]-_xlfn.XLOOKUP(Tabla6[[#This Row],[N° FACTURA]],INGRESOS!F:F,INGRESOS!A:A),"-")</f>
        <v>-</v>
      </c>
      <c r="N2670" s="2"/>
      <c r="O2670"/>
    </row>
    <row r="2671" spans="1:15">
      <c r="A2671" s="320" t="s">
        <v>1658</v>
      </c>
      <c r="B2671" t="str">
        <f>+_xlfn.XLOOKUP(Tabla6[[#This Row],[ID CLIENTE]],'RESUMEN CLIENTES'!D:D,'RESUMEN CLIENTES'!A:A)</f>
        <v>Nadya Sofía García Carrasco</v>
      </c>
      <c r="C2671" t="str">
        <f>+_xlfn.XLOOKUP(Tabla6[[#This Row],[ID CLIENTE]],'RESUMEN CLIENTES'!D:D,'RESUMEN CLIENTES'!C:C)</f>
        <v>Ecuador</v>
      </c>
      <c r="D2671" s="169" t="str">
        <f>+_xlfn.XLOOKUP(Tabla6[[#This Row],[ID CLIENTE]],'RESUMEN CLIENTES'!D:D,'RESUMEN CLIENTES'!M:M)</f>
        <v>OK</v>
      </c>
      <c r="E2671" s="71">
        <f>+_xlfn.XLOOKUP(Tabla6[[#This Row],[NOMBRE]],'RESUMEN CLIENTES'!A:A,'RESUMEN CLIENTES'!X:X)</f>
        <v>0</v>
      </c>
      <c r="F2671" s="71">
        <f>+_xlfn.XLOOKUP(Tabla6[[#This Row],[ID CLIENTE]],'RESUMEN CLIENTES'!D:D,'RESUMEN CLIENTES'!W:W)</f>
        <v>1</v>
      </c>
      <c r="G2671" s="17">
        <f>IF($H2671&lt;&gt;"ALEM","",IFERROR(
  DATE(
    YEAR(EDATE(
      _xlfn.XLOOKUP($A2671,'RESUMEN CLIENTES'!$D:$D,'RESUMEN CLIENTES'!$Y:$Y,""),
      7 + COUNTIFS(
            $A$2:INDEX($A:$A,ROW()), $A2671,
            $H$2:INDEX($H:$H,ROW()), "ALEM"
          )
    )),
    MONTH(EDATE(
      _xlfn.XLOOKUP($A2671,'RESUMEN CLIENTES'!$D:$D,'RESUMEN CLIENTES'!$Y:$Y,""),
      7 + COUNTIFS(
            $A$2:INDEX($A:$A,ROW()), $A2671,
            $H$2:INDEX($H:$H,ROW()), "ALEM"
          )
    )),
    1
  ),
"SIN FECHA MIG"))</f>
        <v>46784</v>
      </c>
      <c r="H2671" s="169" t="s">
        <v>1876</v>
      </c>
      <c r="I2671" s="2">
        <v>800</v>
      </c>
      <c r="J2671"/>
      <c r="K2671"/>
      <c r="L2671" s="44" t="str" cm="1">
        <f t="array" ref="L2671">+_xlfn.IFS(COUNTIF(INGRESOS!E:E,Tabla6[[#This Row],[ID FACTURA]])=1,"PAGADA",Tabla6[[#This Row],[ID FACTURA]]&lt;&gt;0,"EMITIDA",Tabla6[[#This Row],[ID FACTURA]]=0,"POR EMITIR")</f>
        <v>POR EMITIR</v>
      </c>
      <c r="M2671" s="55" t="str">
        <f>+IF(Tabla6[[#This Row],[ESTADO FACTURA]]="PAGADA",Tabla6[[#This Row],[FECHA]]-_xlfn.XLOOKUP(Tabla6[[#This Row],[N° FACTURA]],INGRESOS!F:F,INGRESOS!A:A),"-")</f>
        <v>-</v>
      </c>
      <c r="O2671"/>
    </row>
    <row r="2672" spans="1:15">
      <c r="A2672" s="320" t="s">
        <v>994</v>
      </c>
      <c r="B2672" t="str">
        <f>+_xlfn.XLOOKUP(Tabla6[[#This Row],[ID CLIENTE]],'RESUMEN CLIENTES'!D:D,'RESUMEN CLIENTES'!A:A)</f>
        <v>Raúl Ernesto Martínez Orantes</v>
      </c>
      <c r="C2672" t="str">
        <f>+_xlfn.XLOOKUP(Tabla6[[#This Row],[ID CLIENTE]],'RESUMEN CLIENTES'!D:D,'RESUMEN CLIENTES'!C:C)</f>
        <v>El Salvador</v>
      </c>
      <c r="D2672" s="44" t="str">
        <f>+_xlfn.XLOOKUP(Tabla6[[#This Row],[ID CLIENTE]],'RESUMEN CLIENTES'!D:D,'RESUMEN CLIENTES'!M:M)</f>
        <v>OK</v>
      </c>
      <c r="E2672" s="72">
        <f>+_xlfn.XLOOKUP(Tabla6[[#This Row],[NOMBRE]],'RESUMEN CLIENTES'!A:A,'RESUMEN CLIENTES'!X:X)</f>
        <v>1.1428571428571428</v>
      </c>
      <c r="F2672" s="72">
        <f>+_xlfn.XLOOKUP(Tabla6[[#This Row],[ID CLIENTE]],'RESUMEN CLIENTES'!D:D,'RESUMEN CLIENTES'!W:W)</f>
        <v>1</v>
      </c>
      <c r="G2672" s="17">
        <f>IF($H2672&lt;&gt;"ALEM","",IFERROR(
  DATE(
    YEAR(EDATE(
      _xlfn.XLOOKUP($A2672,'RESUMEN CLIENTES'!$D:$D,'RESUMEN CLIENTES'!$Y:$Y,""),
      7 + COUNTIFS(
            $A$2:INDEX($A:$A,ROW()), $A2672,
            $H$2:INDEX($H:$H,ROW()), "ALEM"
          )
    )),
    MONTH(EDATE(
      _xlfn.XLOOKUP($A2672,'RESUMEN CLIENTES'!$D:$D,'RESUMEN CLIENTES'!$Y:$Y,""),
      7 + COUNTIFS(
            $A$2:INDEX($A:$A,ROW()), $A2672,
            $H$2:INDEX($H:$H,ROW()), "ALEM"
          )
    )),
    1
  ),
"SIN FECHA MIG"))</f>
        <v>46784</v>
      </c>
      <c r="H2672" s="44" t="s">
        <v>1876</v>
      </c>
      <c r="I2672" s="2">
        <v>800</v>
      </c>
      <c r="J2672"/>
      <c r="K2672"/>
      <c r="L2672" s="44" t="str" cm="1">
        <f t="array" ref="L2672">+_xlfn.IFS(COUNTIF(INGRESOS!E:E,Tabla6[[#This Row],[ID FACTURA]])=1,"PAGADA",Tabla6[[#This Row],[ID FACTURA]]&lt;&gt;0,"EMITIDA",Tabla6[[#This Row],[ID FACTURA]]=0,"POR EMITIR")</f>
        <v>POR EMITIR</v>
      </c>
      <c r="M2672" s="55" t="str">
        <f>+IF(Tabla6[[#This Row],[ESTADO FACTURA]]="PAGADA",Tabla6[[#This Row],[FECHA]]-_xlfn.XLOOKUP(Tabla6[[#This Row],[N° FACTURA]],INGRESOS!F:F,INGRESOS!A:A),"-")</f>
        <v>-</v>
      </c>
      <c r="N2672" s="2"/>
      <c r="O2672"/>
    </row>
    <row r="2673" spans="1:15">
      <c r="A2673" s="320" t="s">
        <v>1419</v>
      </c>
      <c r="B2673" t="str">
        <f>+_xlfn.XLOOKUP(Tabla6[[#This Row],[ID CLIENTE]],'RESUMEN CLIENTES'!D:D,'RESUMEN CLIENTES'!A:A)</f>
        <v>Rocio Natalia López Núñez</v>
      </c>
      <c r="C2673" t="str">
        <f>+_xlfn.XLOOKUP(Tabla6[[#This Row],[ID CLIENTE]],'RESUMEN CLIENTES'!D:D,'RESUMEN CLIENTES'!C:C)</f>
        <v>Chile</v>
      </c>
      <c r="D2673" s="44" t="str">
        <f>+_xlfn.XLOOKUP(Tabla6[[#This Row],[ID CLIENTE]],'RESUMEN CLIENTES'!D:D,'RESUMEN CLIENTES'!M:M)</f>
        <v>OK</v>
      </c>
      <c r="E2673" s="71">
        <f>+_xlfn.XLOOKUP(Tabla6[[#This Row],[NOMBRE]],'RESUMEN CLIENTES'!A:A,'RESUMEN CLIENTES'!X:X)</f>
        <v>0</v>
      </c>
      <c r="F2673" s="71">
        <f>+_xlfn.XLOOKUP(Tabla6[[#This Row],[ID CLIENTE]],'RESUMEN CLIENTES'!D:D,'RESUMEN CLIENTES'!W:W)</f>
        <v>0</v>
      </c>
      <c r="G2673" s="17">
        <f>IF($H2673&lt;&gt;"ALEM","",IFERROR(
  DATE(
    YEAR(EDATE(
      _xlfn.XLOOKUP($A2673,'RESUMEN CLIENTES'!$D:$D,'RESUMEN CLIENTES'!$Y:$Y,""),
      7 + COUNTIFS(
            $A$2:INDEX($A:$A,ROW()), $A2673,
            $H$2:INDEX($H:$H,ROW()), "ALEM"
          )
    )),
    MONTH(EDATE(
      _xlfn.XLOOKUP($A2673,'RESUMEN CLIENTES'!$D:$D,'RESUMEN CLIENTES'!$Y:$Y,""),
      7 + COUNTIFS(
            $A$2:INDEX($A:$A,ROW()), $A2673,
            $H$2:INDEX($H:$H,ROW()), "ALEM"
          )
    )),
    1
  ),
"SIN FECHA MIG"))</f>
        <v>46784</v>
      </c>
      <c r="H2673" s="169" t="s">
        <v>1876</v>
      </c>
      <c r="I2673" s="2">
        <v>800</v>
      </c>
      <c r="J2673"/>
      <c r="K2673"/>
      <c r="L2673" s="44" t="str" cm="1">
        <f t="array" ref="L2673">+_xlfn.IFS(COUNTIF(INGRESOS!E:E,Tabla6[[#This Row],[ID FACTURA]])=1,"PAGADA",Tabla6[[#This Row],[ID FACTURA]]&lt;&gt;0,"EMITIDA",Tabla6[[#This Row],[ID FACTURA]]=0,"POR EMITIR")</f>
        <v>POR EMITIR</v>
      </c>
      <c r="M2673" s="55" t="str">
        <f>+IF(Tabla6[[#This Row],[ESTADO FACTURA]]="PAGADA",Tabla6[[#This Row],[FECHA]]-_xlfn.XLOOKUP(Tabla6[[#This Row],[N° FACTURA]],INGRESOS!F:F,INGRESOS!A:A),"-")</f>
        <v>-</v>
      </c>
      <c r="N2673" s="2"/>
      <c r="O2673"/>
    </row>
    <row r="2674" spans="1:15">
      <c r="A2674" s="320" t="s">
        <v>6696</v>
      </c>
      <c r="B2674" t="str">
        <f>+_xlfn.XLOOKUP(Tabla6[[#This Row],[ID CLIENTE]],'RESUMEN CLIENTES'!D:D,'RESUMEN CLIENTES'!A:A)</f>
        <v>Stiben Lopez Vargas</v>
      </c>
      <c r="C2674" s="15" t="str">
        <f>+_xlfn.XLOOKUP(Tabla6[[#This Row],[ID CLIENTE]],'RESUMEN CLIENTES'!D:D,'RESUMEN CLIENTES'!C:C)</f>
        <v>Colombia</v>
      </c>
      <c r="D2674" s="169" t="str">
        <f>+_xlfn.XLOOKUP(Tabla6[[#This Row],[ID CLIENTE]],'RESUMEN CLIENTES'!D:D,'RESUMEN CLIENTES'!M:M)</f>
        <v xml:space="preserve">TRASPASAR </v>
      </c>
      <c r="E2674" s="71">
        <f>+_xlfn.XLOOKUP(Tabla6[[#This Row],[NOMBRE]],'RESUMEN CLIENTES'!A:A,'RESUMEN CLIENTES'!X:X)</f>
        <v>58</v>
      </c>
      <c r="F2674" s="71">
        <f>+_xlfn.XLOOKUP(Tabla6[[#This Row],[ID CLIENTE]],'RESUMEN CLIENTES'!D:D,'RESUMEN CLIENTES'!W:W)</f>
        <v>0</v>
      </c>
      <c r="G2674" s="17">
        <f>IF($H2674&lt;&gt;"ALEM","",IFERROR(
  DATE(
    YEAR(EDATE(
      _xlfn.XLOOKUP($A2674,'RESUMEN CLIENTES'!$D:$D,'RESUMEN CLIENTES'!$Y:$Y,""),
      7 + COUNTIFS(
            $A$2:INDEX($A:$A,ROW()), $A2674,
            $H$2:INDEX($H:$H,ROW()), "ALEM"
          )
    )),
    MONTH(EDATE(
      _xlfn.XLOOKUP($A2674,'RESUMEN CLIENTES'!$D:$D,'RESUMEN CLIENTES'!$Y:$Y,""),
      7 + COUNTIFS(
            $A$2:INDEX($A:$A,ROW()), $A2674,
            $H$2:INDEX($H:$H,ROW()), "ALEM"
          )
    )),
    1
  ),
"null"))</f>
        <v>46784</v>
      </c>
      <c r="H2674" s="169" t="s">
        <v>1876</v>
      </c>
      <c r="I2674" s="2">
        <v>1000</v>
      </c>
      <c r="J2674"/>
      <c r="K2674"/>
      <c r="L2674" s="44" t="str" cm="1">
        <f t="array" ref="L2674">+_xlfn.IFS(COUNTIF(INGRESOS!E:E,Tabla6[[#This Row],[ID FACTURA]])=1,"PAGADA",Tabla6[[#This Row],[ID FACTURA]]&lt;&gt;0,"EMITIDA",Tabla6[[#This Row],[ID FACTURA]]=0,"POR EMITIR")</f>
        <v>POR EMITIR</v>
      </c>
      <c r="M2674" s="54" t="str">
        <f>+IF(Tabla6[[#This Row],[ESTADO FACTURA]]="PAGADA",Tabla6[[#This Row],[FECHA]]-_xlfn.XLOOKUP(Tabla6[[#This Row],[N° FACTURA]],INGRESOS!F:F,INGRESOS!A:A),"-")</f>
        <v>-</v>
      </c>
      <c r="O2674"/>
    </row>
    <row r="2675" spans="1:15">
      <c r="A2675" s="320" t="s">
        <v>2521</v>
      </c>
      <c r="B2675" t="str">
        <f>+_xlfn.XLOOKUP(Tabla6[[#This Row],[ID CLIENTE]],'RESUMEN CLIENTES'!D:D,'RESUMEN CLIENTES'!A:A)</f>
        <v>Fabián Andrés Sarmiento Auli</v>
      </c>
      <c r="C2675" t="str">
        <f>+_xlfn.XLOOKUP(Tabla6[[#This Row],[ID CLIENTE]],'RESUMEN CLIENTES'!D:D,'RESUMEN CLIENTES'!C:C)</f>
        <v>Colombia</v>
      </c>
      <c r="D2675" s="169" t="str">
        <f>+_xlfn.XLOOKUP(Tabla6[[#This Row],[ID CLIENTE]],'RESUMEN CLIENTES'!D:D,'RESUMEN CLIENTES'!M:M)</f>
        <v>OK</v>
      </c>
      <c r="E2675" s="71">
        <f>+_xlfn.XLOOKUP(Tabla6[[#This Row],[NOMBRE]],'RESUMEN CLIENTES'!A:A,'RESUMEN CLIENTES'!X:X)</f>
        <v>0</v>
      </c>
      <c r="F2675" s="71">
        <f>+_xlfn.XLOOKUP(Tabla6[[#This Row],[ID CLIENTE]],'RESUMEN CLIENTES'!D:D,'RESUMEN CLIENTES'!W:W)</f>
        <v>0</v>
      </c>
      <c r="G2675" s="17">
        <v>46788</v>
      </c>
      <c r="H2675" s="169" t="s">
        <v>81</v>
      </c>
      <c r="I2675" s="2">
        <v>650</v>
      </c>
      <c r="J2675"/>
      <c r="K2675"/>
      <c r="L2675" s="44" t="str" cm="1">
        <f t="array" ref="L2675">+_xlfn.IFS(COUNTIF(INGRESOS!E:E,Tabla6[[#This Row],[ID FACTURA]])=1,"PAGADA",Tabla6[[#This Row],[ID FACTURA]]&lt;&gt;0,"EMITIDA",Tabla6[[#This Row],[ID FACTURA]]=0,"POR EMITIR")</f>
        <v>POR EMITIR</v>
      </c>
      <c r="M2675" s="54" t="str">
        <f>+IF(Tabla6[[#This Row],[ESTADO FACTURA]]="PAGADA",Tabla6[[#This Row],[FECHA]]-_xlfn.XLOOKUP(Tabla6[[#This Row],[N° FACTURA]],INGRESOS!F:F,INGRESOS!A:A),"-")</f>
        <v>-</v>
      </c>
      <c r="O2675"/>
    </row>
    <row r="2676" spans="1:15">
      <c r="A2676" s="320" t="s">
        <v>1945</v>
      </c>
      <c r="B2676" t="str">
        <f>+_xlfn.XLOOKUP(Tabla6[[#This Row],[ID CLIENTE]],'RESUMEN CLIENTES'!D:D,'RESUMEN CLIENTES'!A:A)</f>
        <v>Fernanda Constanza Kompai Antu Arellano Guzmán</v>
      </c>
      <c r="C2676" t="str">
        <f>+_xlfn.XLOOKUP(Tabla6[[#This Row],[ID CLIENTE]],'RESUMEN CLIENTES'!D:D,'RESUMEN CLIENTES'!C:C)</f>
        <v>Chile</v>
      </c>
      <c r="D2676" s="169" t="str">
        <f>+_xlfn.XLOOKUP(Tabla6[[#This Row],[ID CLIENTE]],'RESUMEN CLIENTES'!D:D,'RESUMEN CLIENTES'!M:M)</f>
        <v>OK</v>
      </c>
      <c r="E2676" s="71">
        <f>+_xlfn.XLOOKUP(Tabla6[[#This Row],[NOMBRE]],'RESUMEN CLIENTES'!A:A,'RESUMEN CLIENTES'!X:X)</f>
        <v>0</v>
      </c>
      <c r="F2676" s="71">
        <f>+_xlfn.XLOOKUP(Tabla6[[#This Row],[ID CLIENTE]],'RESUMEN CLIENTES'!D:D,'RESUMEN CLIENTES'!W:W)</f>
        <v>0</v>
      </c>
      <c r="G2676" s="170">
        <v>46798</v>
      </c>
      <c r="H2676" s="170" t="s">
        <v>81</v>
      </c>
      <c r="I2676" s="2">
        <v>650</v>
      </c>
      <c r="J2676"/>
      <c r="K2676"/>
      <c r="L2676" s="44" t="str" cm="1">
        <f t="array" ref="L2676">+_xlfn.IFS(COUNTIF(INGRESOS!E:E,Tabla6[[#This Row],[ID FACTURA]])=1,"PAGADA",Tabla6[[#This Row],[ID FACTURA]]&lt;&gt;0,"EMITIDA",Tabla6[[#This Row],[ID FACTURA]]=0,"POR EMITIR")</f>
        <v>POR EMITIR</v>
      </c>
      <c r="M2676" s="54" t="str">
        <f>+IF(Tabla6[[#This Row],[ESTADO FACTURA]]="PAGADA",Tabla6[[#This Row],[FECHA]]-_xlfn.XLOOKUP(Tabla6[[#This Row],[N° FACTURA]],INGRESOS!F:F,INGRESOS!A:A),"-")</f>
        <v>-</v>
      </c>
      <c r="O2676"/>
    </row>
    <row r="2677" spans="1:15">
      <c r="A2677" s="321" t="s">
        <v>1756</v>
      </c>
      <c r="B2677" t="str">
        <f>+_xlfn.XLOOKUP(Tabla6[[#This Row],[ID CLIENTE]],'RESUMEN CLIENTES'!D:D,'RESUMEN CLIENTES'!A:A)</f>
        <v>Aylin Micaela Ortiz Chiriboga</v>
      </c>
      <c r="C2677" t="str">
        <f>+_xlfn.XLOOKUP(Tabla6[[#This Row],[ID CLIENTE]],'RESUMEN CLIENTES'!D:D,'RESUMEN CLIENTES'!C:C)</f>
        <v>Ecuador</v>
      </c>
      <c r="D2677" s="169" t="str">
        <f>+_xlfn.XLOOKUP(Tabla6[[#This Row],[ID CLIENTE]],'RESUMEN CLIENTES'!D:D,'RESUMEN CLIENTES'!M:M)</f>
        <v>¡REGULARIZAR!</v>
      </c>
      <c r="E2677" s="71">
        <f>+_xlfn.XLOOKUP(Tabla6[[#This Row],[NOMBRE]],'RESUMEN CLIENTES'!A:A,'RESUMEN CLIENTES'!X:X)</f>
        <v>0</v>
      </c>
      <c r="F2677" s="71">
        <f>+_xlfn.XLOOKUP(Tabla6[[#This Row],[ID CLIENTE]],'RESUMEN CLIENTES'!D:D,'RESUMEN CLIENTES'!W:W)</f>
        <v>1</v>
      </c>
      <c r="G2677" s="170">
        <v>46799</v>
      </c>
      <c r="H2677" s="169" t="s">
        <v>81</v>
      </c>
      <c r="I2677" s="2">
        <v>650</v>
      </c>
      <c r="J2677"/>
      <c r="K2677"/>
      <c r="L2677" s="44" t="str" cm="1">
        <f t="array" ref="L2677">+_xlfn.IFS(COUNTIF(INGRESOS!E:E,Tabla6[[#This Row],[ID FACTURA]])=1,"PAGADA",Tabla6[[#This Row],[ID FACTURA]]&lt;&gt;0,"EMITIDA",Tabla6[[#This Row],[ID FACTURA]]=0,"POR EMITIR")</f>
        <v>POR EMITIR</v>
      </c>
      <c r="M2677" s="54" t="str">
        <f>+IF(Tabla6[[#This Row],[ESTADO FACTURA]]="PAGADA",Tabla6[[#This Row],[FECHA]]-_xlfn.XLOOKUP(Tabla6[[#This Row],[N° FACTURA]],INGRESOS!F:F,INGRESOS!A:A),"-")</f>
        <v>-</v>
      </c>
      <c r="O2677"/>
    </row>
    <row r="2678" spans="1:15">
      <c r="A2678" s="320" t="s">
        <v>6035</v>
      </c>
      <c r="B2678" t="str">
        <f>+_xlfn.XLOOKUP(Tabla6[[#This Row],[ID CLIENTE]],'RESUMEN CLIENTES'!D:D,'RESUMEN CLIENTES'!A:A)</f>
        <v>Ari Sifuentes Becerra</v>
      </c>
      <c r="C2678" s="15" t="str">
        <f>+_xlfn.XLOOKUP(Tabla6[[#This Row],[ID CLIENTE]],'RESUMEN CLIENTES'!D:D,'RESUMEN CLIENTES'!C:C)</f>
        <v>México</v>
      </c>
      <c r="D2678" s="169" t="str">
        <f>+_xlfn.XLOOKUP(Tabla6[[#This Row],[ID CLIENTE]],'RESUMEN CLIENTES'!D:D,'RESUMEN CLIENTES'!M:M)</f>
        <v>OK</v>
      </c>
      <c r="E2678" s="71">
        <f>+_xlfn.XLOOKUP(Tabla6[[#This Row],[NOMBRE]],'RESUMEN CLIENTES'!A:A,'RESUMEN CLIENTES'!X:X)</f>
        <v>-1</v>
      </c>
      <c r="F2678" s="71">
        <f>+_xlfn.XLOOKUP(Tabla6[[#This Row],[ID CLIENTE]],'RESUMEN CLIENTES'!D:D,'RESUMEN CLIENTES'!W:W)</f>
        <v>0</v>
      </c>
      <c r="G2678" s="17">
        <v>46813</v>
      </c>
      <c r="H2678" s="169" t="s">
        <v>1876</v>
      </c>
      <c r="I2678" s="2">
        <v>800</v>
      </c>
      <c r="J2678"/>
      <c r="K2678"/>
      <c r="L2678" s="44" t="str" cm="1">
        <f t="array" ref="L2678">+_xlfn.IFS(COUNTIF(INGRESOS!E:E,Tabla6[[#This Row],[ID FACTURA]])=1,"PAGADA",Tabla6[[#This Row],[ID FACTURA]]&lt;&gt;0,"EMITIDA",Tabla6[[#This Row],[ID FACTURA]]=0,"POR EMITIR")</f>
        <v>POR EMITIR</v>
      </c>
      <c r="M2678" s="54" t="str">
        <f>+IF(Tabla6[[#This Row],[ESTADO FACTURA]]="PAGADA",Tabla6[[#This Row],[FECHA]]-_xlfn.XLOOKUP(Tabla6[[#This Row],[N° FACTURA]],INGRESOS!F:F,INGRESOS!A:A),"-")</f>
        <v>-</v>
      </c>
      <c r="O2678"/>
    </row>
    <row r="2679" spans="1:15">
      <c r="A2679" s="321" t="s">
        <v>1870</v>
      </c>
      <c r="B2679" t="str">
        <f>+_xlfn.XLOOKUP(Tabla6[[#This Row],[ID CLIENTE]],'RESUMEN CLIENTES'!D:D,'RESUMEN CLIENTES'!A:A)</f>
        <v>Berenisse Shadia Yarango Garay</v>
      </c>
      <c r="C2679" t="str">
        <f>+_xlfn.XLOOKUP(Tabla6[[#This Row],[ID CLIENTE]],'RESUMEN CLIENTES'!D:D,'RESUMEN CLIENTES'!C:C)</f>
        <v>Perú</v>
      </c>
      <c r="D2679" s="169" t="str">
        <f>+_xlfn.XLOOKUP(Tabla6[[#This Row],[ID CLIENTE]],'RESUMEN CLIENTES'!D:D,'RESUMEN CLIENTES'!M:M)</f>
        <v>OK</v>
      </c>
      <c r="E2679" s="71">
        <f>+_xlfn.XLOOKUP(Tabla6[[#This Row],[NOMBRE]],'RESUMEN CLIENTES'!A:A,'RESUMEN CLIENTES'!X:X)</f>
        <v>-0.33333333333333331</v>
      </c>
      <c r="F2679" s="71">
        <f>+_xlfn.XLOOKUP(Tabla6[[#This Row],[ID CLIENTE]],'RESUMEN CLIENTES'!D:D,'RESUMEN CLIENTES'!W:W)</f>
        <v>0</v>
      </c>
      <c r="G2679" s="17">
        <f>IF($H2679&lt;&gt;"ALEM","",IFERROR(
  DATE(
    YEAR(EDATE(
      _xlfn.XLOOKUP($A2679,'RESUMEN CLIENTES'!$D:$D,'RESUMEN CLIENTES'!$Y:$Y,""),
      7 + COUNTIFS(
            $A$2:INDEX($A:$A,ROW()), $A2679,
            $H$2:INDEX($H:$H,ROW()), "ALEM"
          )
    )),
    MONTH(EDATE(
      _xlfn.XLOOKUP($A2679,'RESUMEN CLIENTES'!$D:$D,'RESUMEN CLIENTES'!$Y:$Y,""),
      7 + COUNTIFS(
            $A$2:INDEX($A:$A,ROW()), $A2679,
            $H$2:INDEX($H:$H,ROW()), "ALEM"
          )
    )),
    1
  ),
"null"))</f>
        <v>46813</v>
      </c>
      <c r="H2679" s="169" t="s">
        <v>1876</v>
      </c>
      <c r="I2679" s="2">
        <v>800</v>
      </c>
      <c r="J2679"/>
      <c r="K2679"/>
      <c r="L2679" s="44" t="str" cm="1">
        <f t="array" ref="L2679">+_xlfn.IFS(COUNTIF(INGRESOS!E:E,Tabla6[[#This Row],[ID FACTURA]])=1,"PAGADA",Tabla6[[#This Row],[ID FACTURA]]&lt;&gt;0,"EMITIDA",Tabla6[[#This Row],[ID FACTURA]]=0,"POR EMITIR")</f>
        <v>POR EMITIR</v>
      </c>
      <c r="M2679" s="54" t="str">
        <f>+IF(Tabla6[[#This Row],[ESTADO FACTURA]]="PAGADA",Tabla6[[#This Row],[FECHA]]-_xlfn.XLOOKUP(Tabla6[[#This Row],[N° FACTURA]],INGRESOS!F:F,INGRESOS!A:A),"-")</f>
        <v>-</v>
      </c>
      <c r="O2679"/>
    </row>
    <row r="2680" spans="1:15">
      <c r="A2680" s="320" t="s">
        <v>184</v>
      </c>
      <c r="B2680" t="str">
        <f>+_xlfn.XLOOKUP(Tabla6[[#This Row],[ID CLIENTE]],'RESUMEN CLIENTES'!D:D,'RESUMEN CLIENTES'!A:A)</f>
        <v>Boris Andrés Silva Véliz</v>
      </c>
      <c r="C2680" t="str">
        <f>+_xlfn.XLOOKUP(Tabla6[[#This Row],[ID CLIENTE]],'RESUMEN CLIENTES'!D:D,'RESUMEN CLIENTES'!C:C)</f>
        <v>Chile</v>
      </c>
      <c r="D2680" s="44" t="str">
        <f>+_xlfn.XLOOKUP(Tabla6[[#This Row],[ID CLIENTE]],'RESUMEN CLIENTES'!D:D,'RESUMEN CLIENTES'!M:M)</f>
        <v>OK</v>
      </c>
      <c r="E2680" s="72">
        <f>+_xlfn.XLOOKUP(Tabla6[[#This Row],[NOMBRE]],'RESUMEN CLIENTES'!A:A,'RESUMEN CLIENTES'!X:X)</f>
        <v>2.1111111111111112</v>
      </c>
      <c r="F2680" s="72">
        <f>+_xlfn.XLOOKUP(Tabla6[[#This Row],[ID CLIENTE]],'RESUMEN CLIENTES'!D:D,'RESUMEN CLIENTES'!W:W)</f>
        <v>0</v>
      </c>
      <c r="G2680" s="17">
        <f>IF($H2680&lt;&gt;"ALEM","",IFERROR(
  DATE(
    YEAR(EDATE(
      _xlfn.XLOOKUP($A2680,'RESUMEN CLIENTES'!$D:$D,'RESUMEN CLIENTES'!$Y:$Y,""),
      7 + COUNTIFS(
            $A$2:INDEX($A:$A,ROW()), $A2680,
            $H$2:INDEX($H:$H,ROW()), "ALEM"
          )
    )),
    MONTH(EDATE(
      _xlfn.XLOOKUP($A2680,'RESUMEN CLIENTES'!$D:$D,'RESUMEN CLIENTES'!$Y:$Y,""),
      7 + COUNTIFS(
            $A$2:INDEX($A:$A,ROW()), $A2680,
            $H$2:INDEX($H:$H,ROW()), "ALEM"
          )
    )),
    1
  ),
"SIN FECHA MIG"))</f>
        <v>46813</v>
      </c>
      <c r="H2680" s="44" t="s">
        <v>1876</v>
      </c>
      <c r="I2680" s="2">
        <v>458</v>
      </c>
      <c r="J2680"/>
      <c r="K2680"/>
      <c r="L2680" s="44" t="str" cm="1">
        <f t="array" ref="L2680">+_xlfn.IFS(COUNTIF(INGRESOS!E:E,Tabla6[[#This Row],[ID FACTURA]])=1,"PAGADA",Tabla6[[#This Row],[ID FACTURA]]&lt;&gt;0,"EMITIDA",Tabla6[[#This Row],[ID FACTURA]]=0,"POR EMITIR")</f>
        <v>POR EMITIR</v>
      </c>
      <c r="M2680" s="55" t="str">
        <f>+IF(Tabla6[[#This Row],[ESTADO FACTURA]]="PAGADA",Tabla6[[#This Row],[FECHA]]-_xlfn.XLOOKUP(Tabla6[[#This Row],[N° FACTURA]],INGRESOS!F:F,INGRESOS!A:A),"-")</f>
        <v>-</v>
      </c>
      <c r="N2680" s="2"/>
      <c r="O2680"/>
    </row>
    <row r="2681" spans="1:15">
      <c r="A2681" s="320" t="s">
        <v>1178</v>
      </c>
      <c r="B2681" t="str">
        <f>+_xlfn.XLOOKUP(Tabla6[[#This Row],[ID CLIENTE]],'RESUMEN CLIENTES'!D:D,'RESUMEN CLIENTES'!A:A)</f>
        <v>Daniel Flores</v>
      </c>
      <c r="C2681" t="str">
        <f>+_xlfn.XLOOKUP(Tabla6[[#This Row],[ID CLIENTE]],'RESUMEN CLIENTES'!D:D,'RESUMEN CLIENTES'!C:C)</f>
        <v>Ecuador</v>
      </c>
      <c r="D2681" s="44" t="str">
        <f>+_xlfn.XLOOKUP(Tabla6[[#This Row],[ID CLIENTE]],'RESUMEN CLIENTES'!D:D,'RESUMEN CLIENTES'!M:M)</f>
        <v>OK</v>
      </c>
      <c r="E2681" s="72">
        <f>+_xlfn.XLOOKUP(Tabla6[[#This Row],[NOMBRE]],'RESUMEN CLIENTES'!A:A,'RESUMEN CLIENTES'!X:X)</f>
        <v>3.8333333333333335</v>
      </c>
      <c r="F2681" s="72">
        <f>+_xlfn.XLOOKUP(Tabla6[[#This Row],[ID CLIENTE]],'RESUMEN CLIENTES'!D:D,'RESUMEN CLIENTES'!W:W)</f>
        <v>1</v>
      </c>
      <c r="G2681" s="17">
        <f>IF($H2681&lt;&gt;"ALEM","",IFERROR(
  DATE(
    YEAR(EDATE(
      _xlfn.XLOOKUP($A2681,'RESUMEN CLIENTES'!$D:$D,'RESUMEN CLIENTES'!$Y:$Y,""),
      7 + COUNTIFS(
            $A$2:INDEX($A:$A,ROW()), $A2681,
            $H$2:INDEX($H:$H,ROW()), "ALEM"
          )
    )),
    MONTH(EDATE(
      _xlfn.XLOOKUP($A2681,'RESUMEN CLIENTES'!$D:$D,'RESUMEN CLIENTES'!$Y:$Y,""),
      7 + COUNTIFS(
            $A$2:INDEX($A:$A,ROW()), $A2681,
            $H$2:INDEX($H:$H,ROW()), "ALEM"
          )
    )),
    1
  ),
"SIN FECHA MIG"))</f>
        <v>46813</v>
      </c>
      <c r="H2681" s="44" t="s">
        <v>1876</v>
      </c>
      <c r="I2681" s="2">
        <v>800</v>
      </c>
      <c r="J2681"/>
      <c r="K2681"/>
      <c r="L2681" s="44" t="str" cm="1">
        <f t="array" ref="L2681">+_xlfn.IFS(COUNTIF(INGRESOS!E:E,Tabla6[[#This Row],[ID FACTURA]])=1,"PAGADA",Tabla6[[#This Row],[ID FACTURA]]&lt;&gt;0,"EMITIDA",Tabla6[[#This Row],[ID FACTURA]]=0,"POR EMITIR")</f>
        <v>POR EMITIR</v>
      </c>
      <c r="M2681" s="55" t="str">
        <f>+IF(Tabla6[[#This Row],[ESTADO FACTURA]]="PAGADA",Tabla6[[#This Row],[FECHA]]-_xlfn.XLOOKUP(Tabla6[[#This Row],[N° FACTURA]],INGRESOS!F:F,INGRESOS!A:A),"-")</f>
        <v>-</v>
      </c>
      <c r="N2681" s="2"/>
      <c r="O2681" t="s">
        <v>2084</v>
      </c>
    </row>
    <row r="2682" spans="1:15">
      <c r="A2682" s="320" t="s">
        <v>4660</v>
      </c>
      <c r="B2682" t="str">
        <f>+_xlfn.XLOOKUP(Tabla6[[#This Row],[ID CLIENTE]],'RESUMEN CLIENTES'!D:D,'RESUMEN CLIENTES'!A:A)</f>
        <v>Edipris Flores</v>
      </c>
      <c r="C2682" s="15" t="str">
        <f>+_xlfn.XLOOKUP(Tabla6[[#This Row],[ID CLIENTE]],'RESUMEN CLIENTES'!D:D,'RESUMEN CLIENTES'!C:C)</f>
        <v>Chile</v>
      </c>
      <c r="D2682" s="169" t="str">
        <f>+_xlfn.XLOOKUP(Tabla6[[#This Row],[ID CLIENTE]],'RESUMEN CLIENTES'!D:D,'RESUMEN CLIENTES'!M:M)</f>
        <v>OK</v>
      </c>
      <c r="E2682" s="71">
        <f>+_xlfn.XLOOKUP(Tabla6[[#This Row],[NOMBRE]],'RESUMEN CLIENTES'!A:A,'RESUMEN CLIENTES'!X:X)</f>
        <v>-4</v>
      </c>
      <c r="F2682" s="71">
        <f>+_xlfn.XLOOKUP(Tabla6[[#This Row],[ID CLIENTE]],'RESUMEN CLIENTES'!D:D,'RESUMEN CLIENTES'!W:W)</f>
        <v>0</v>
      </c>
      <c r="G2682" s="17">
        <f>IF($H2682&lt;&gt;"ALEM","",IFERROR(
  DATE(
    YEAR(EDATE(
      _xlfn.XLOOKUP($A2682,'RESUMEN CLIENTES'!$D:$D,'RESUMEN CLIENTES'!$Y:$Y,""),
      7 + COUNTIFS(
            $A$2:INDEX($A:$A,ROW()), $A2682,
            $H$2:INDEX($H:$H,ROW()), "ALEM"
          )
    )),
    MONTH(EDATE(
      _xlfn.XLOOKUP($A2682,'RESUMEN CLIENTES'!$D:$D,'RESUMEN CLIENTES'!$Y:$Y,""),
      7 + COUNTIFS(
            $A$2:INDEX($A:$A,ROW()), $A2682,
            $H$2:INDEX($H:$H,ROW()), "ALEM"
          )
    )),
    1
  ),
"null"))</f>
        <v>46813</v>
      </c>
      <c r="H2682" s="169" t="s">
        <v>1876</v>
      </c>
      <c r="I2682" s="2">
        <v>800</v>
      </c>
      <c r="J2682"/>
      <c r="K2682"/>
      <c r="L2682" s="44" t="str" cm="1">
        <f t="array" ref="L2682">+_xlfn.IFS(COUNTIF(INGRESOS!E:E,Tabla6[[#This Row],[ID FACTURA]])=1,"PAGADA",Tabla6[[#This Row],[ID FACTURA]]&lt;&gt;0,"EMITIDA",Tabla6[[#This Row],[ID FACTURA]]=0,"POR EMITIR")</f>
        <v>POR EMITIR</v>
      </c>
      <c r="M2682" s="54" t="str">
        <f>+IF(Tabla6[[#This Row],[ESTADO FACTURA]]="PAGADA",Tabla6[[#This Row],[FECHA]]-_xlfn.XLOOKUP(Tabla6[[#This Row],[N° FACTURA]],INGRESOS!F:F,INGRESOS!A:A),"-")</f>
        <v>-</v>
      </c>
      <c r="O2682"/>
    </row>
    <row r="2683" spans="1:15">
      <c r="A2683" s="321" t="s">
        <v>519</v>
      </c>
      <c r="B2683" t="str">
        <f>+_xlfn.XLOOKUP(Tabla6[[#This Row],[ID CLIENTE]],'RESUMEN CLIENTES'!D:D,'RESUMEN CLIENTES'!A:A)</f>
        <v>Elaine Acosta Cabrera</v>
      </c>
      <c r="C2683" t="str">
        <f>+_xlfn.XLOOKUP(Tabla6[[#This Row],[ID CLIENTE]],'RESUMEN CLIENTES'!D:D,'RESUMEN CLIENTES'!C:C)</f>
        <v>República Dominicana</v>
      </c>
      <c r="D2683" s="169" t="str">
        <f>+_xlfn.XLOOKUP(Tabla6[[#This Row],[ID CLIENTE]],'RESUMEN CLIENTES'!D:D,'RESUMEN CLIENTES'!M:M)</f>
        <v>OK</v>
      </c>
      <c r="E2683" s="71">
        <f>+_xlfn.XLOOKUP(Tabla6[[#This Row],[NOMBRE]],'RESUMEN CLIENTES'!A:A,'RESUMEN CLIENTES'!X:X)</f>
        <v>0</v>
      </c>
      <c r="F2683" s="71">
        <f>+_xlfn.XLOOKUP(Tabla6[[#This Row],[ID CLIENTE]],'RESUMEN CLIENTES'!D:D,'RESUMEN CLIENTES'!W:W)</f>
        <v>1</v>
      </c>
      <c r="G2683" s="17">
        <f>IF($H2683&lt;&gt;"ALEM","",IFERROR(
  DATE(
    YEAR(EDATE(
      _xlfn.XLOOKUP($A2683,'RESUMEN CLIENTES'!$D:$D,'RESUMEN CLIENTES'!$Y:$Y,""),
      7 + COUNTIFS(
            $A$2:INDEX($A:$A,ROW()), $A2683,
            $H$2:INDEX($H:$H,ROW()), "ALEM"
          )
    )),
    MONTH(EDATE(
      _xlfn.XLOOKUP($A2683,'RESUMEN CLIENTES'!$D:$D,'RESUMEN CLIENTES'!$Y:$Y,""),
      7 + COUNTIFS(
            $A$2:INDEX($A:$A,ROW()), $A2683,
            $H$2:INDEX($H:$H,ROW()), "ALEM"
          )
    )),
    1
  ),
"null"))</f>
        <v>46813</v>
      </c>
      <c r="H2683" s="169" t="s">
        <v>1876</v>
      </c>
      <c r="I2683" s="2">
        <v>1000</v>
      </c>
      <c r="J2683"/>
      <c r="K2683"/>
      <c r="L2683" s="44" t="str" cm="1">
        <f t="array" ref="L2683">+_xlfn.IFS(COUNTIF(INGRESOS!E:E,Tabla6[[#This Row],[ID FACTURA]])=1,"PAGADA",Tabla6[[#This Row],[ID FACTURA]]&lt;&gt;0,"EMITIDA",Tabla6[[#This Row],[ID FACTURA]]=0,"POR EMITIR")</f>
        <v>POR EMITIR</v>
      </c>
      <c r="M2683" s="54" t="str">
        <f>+IF(Tabla6[[#This Row],[ESTADO FACTURA]]="PAGADA",Tabla6[[#This Row],[FECHA]]-_xlfn.XLOOKUP(Tabla6[[#This Row],[N° FACTURA]],INGRESOS!F:F,INGRESOS!A:A),"-")</f>
        <v>-</v>
      </c>
      <c r="O2683"/>
    </row>
    <row r="2684" spans="1:15">
      <c r="A2684" s="320" t="s">
        <v>1248</v>
      </c>
      <c r="B2684" t="str">
        <f>+_xlfn.XLOOKUP(Tabla6[[#This Row],[ID CLIENTE]],'RESUMEN CLIENTES'!D:D,'RESUMEN CLIENTES'!A:A)</f>
        <v>Emily Vanessa Tapia Villalobos</v>
      </c>
      <c r="C2684" t="str">
        <f>+_xlfn.XLOOKUP(Tabla6[[#This Row],[ID CLIENTE]],'RESUMEN CLIENTES'!D:D,'RESUMEN CLIENTES'!C:C)</f>
        <v>Chile</v>
      </c>
      <c r="D2684" s="44" t="str">
        <f>+_xlfn.XLOOKUP(Tabla6[[#This Row],[ID CLIENTE]],'RESUMEN CLIENTES'!D:D,'RESUMEN CLIENTES'!M:M)</f>
        <v>OK</v>
      </c>
      <c r="E2684" s="71">
        <f>+_xlfn.XLOOKUP(Tabla6[[#This Row],[NOMBRE]],'RESUMEN CLIENTES'!A:A,'RESUMEN CLIENTES'!X:X)</f>
        <v>0.33333333333333331</v>
      </c>
      <c r="F2684" s="71">
        <f>+_xlfn.XLOOKUP(Tabla6[[#This Row],[ID CLIENTE]],'RESUMEN CLIENTES'!D:D,'RESUMEN CLIENTES'!W:W)</f>
        <v>0</v>
      </c>
      <c r="G2684" s="17">
        <f>IF($H2684&lt;&gt;"ALEM","",IFERROR(
  DATE(
    YEAR(EDATE(
      _xlfn.XLOOKUP($A2684,'RESUMEN CLIENTES'!$D:$D,'RESUMEN CLIENTES'!$Y:$Y,""),
      7 + COUNTIFS(
            $A$2:INDEX($A:$A,ROW()), $A2684,
            $H$2:INDEX($H:$H,ROW()), "ALEM"
          )
    )),
    MONTH(EDATE(
      _xlfn.XLOOKUP($A2684,'RESUMEN CLIENTES'!$D:$D,'RESUMEN CLIENTES'!$Y:$Y,""),
      7 + COUNTIFS(
            $A$2:INDEX($A:$A,ROW()), $A2684,
            $H$2:INDEX($H:$H,ROW()), "ALEM"
          )
    )),
    1
  ),
"SIN FECHA MIG"))</f>
        <v>46813</v>
      </c>
      <c r="H2684" s="44" t="s">
        <v>1876</v>
      </c>
      <c r="I2684" s="2">
        <v>800</v>
      </c>
      <c r="J2684"/>
      <c r="K2684"/>
      <c r="L2684" s="44" t="str" cm="1">
        <f t="array" ref="L2684">+_xlfn.IFS(COUNTIF(INGRESOS!E:E,Tabla6[[#This Row],[ID FACTURA]])=1,"PAGADA",Tabla6[[#This Row],[ID FACTURA]]&lt;&gt;0,"EMITIDA",Tabla6[[#This Row],[ID FACTURA]]=0,"POR EMITIR")</f>
        <v>POR EMITIR</v>
      </c>
      <c r="M2684" s="55" t="str">
        <f>+IF(Tabla6[[#This Row],[ESTADO FACTURA]]="PAGADA",Tabla6[[#This Row],[FECHA]]-_xlfn.XLOOKUP(Tabla6[[#This Row],[N° FACTURA]],INGRESOS!F:F,INGRESOS!A:A),"-")</f>
        <v>-</v>
      </c>
      <c r="N2684" s="2"/>
      <c r="O2684" t="s">
        <v>2086</v>
      </c>
    </row>
    <row r="2685" spans="1:15">
      <c r="A2685" s="320" t="s">
        <v>1251</v>
      </c>
      <c r="B2685" t="str">
        <f>+_xlfn.XLOOKUP(Tabla6[[#This Row],[ID CLIENTE]],'RESUMEN CLIENTES'!D:D,'RESUMEN CLIENTES'!A:A)</f>
        <v>Erick Ernesto Angulo Campos</v>
      </c>
      <c r="C2685" t="str">
        <f>+_xlfn.XLOOKUP(Tabla6[[#This Row],[ID CLIENTE]],'RESUMEN CLIENTES'!D:D,'RESUMEN CLIENTES'!C:C)</f>
        <v>Chile</v>
      </c>
      <c r="D2685" s="44" t="str">
        <f>+_xlfn.XLOOKUP(Tabla6[[#This Row],[ID CLIENTE]],'RESUMEN CLIENTES'!D:D,'RESUMEN CLIENTES'!M:M)</f>
        <v>OK</v>
      </c>
      <c r="E2685" s="71">
        <f>+_xlfn.XLOOKUP(Tabla6[[#This Row],[NOMBRE]],'RESUMEN CLIENTES'!A:A,'RESUMEN CLIENTES'!X:X)</f>
        <v>-0.66666666666666663</v>
      </c>
      <c r="F2685" s="71">
        <f>+_xlfn.XLOOKUP(Tabla6[[#This Row],[ID CLIENTE]],'RESUMEN CLIENTES'!D:D,'RESUMEN CLIENTES'!W:W)</f>
        <v>0</v>
      </c>
      <c r="G2685" s="17">
        <f>IF($H2685&lt;&gt;"ALEM","",IFERROR(
  DATE(
    YEAR(EDATE(
      _xlfn.XLOOKUP($A2685,'RESUMEN CLIENTES'!$D:$D,'RESUMEN CLIENTES'!$Y:$Y,""),
      7 + COUNTIFS(
            $A$2:INDEX($A:$A,ROW()), $A2685,
            $H$2:INDEX($H:$H,ROW()), "ALEM"
          )
    )),
    MONTH(EDATE(
      _xlfn.XLOOKUP($A2685,'RESUMEN CLIENTES'!$D:$D,'RESUMEN CLIENTES'!$Y:$Y,""),
      7 + COUNTIFS(
            $A$2:INDEX($A:$A,ROW()), $A2685,
            $H$2:INDEX($H:$H,ROW()), "ALEM"
          )
    )),
    1
  ),
"SIN FECHA MIG"))</f>
        <v>46813</v>
      </c>
      <c r="H2685" s="44" t="s">
        <v>1876</v>
      </c>
      <c r="I2685" s="2">
        <v>800</v>
      </c>
      <c r="J2685"/>
      <c r="K2685"/>
      <c r="L2685" s="44" t="str" cm="1">
        <f t="array" ref="L2685">+_xlfn.IFS(COUNTIF(INGRESOS!E:E,Tabla6[[#This Row],[ID FACTURA]])=1,"PAGADA",Tabla6[[#This Row],[ID FACTURA]]&lt;&gt;0,"EMITIDA",Tabla6[[#This Row],[ID FACTURA]]=0,"POR EMITIR")</f>
        <v>POR EMITIR</v>
      </c>
      <c r="M2685" s="55" t="str">
        <f>+IF(Tabla6[[#This Row],[ESTADO FACTURA]]="PAGADA",Tabla6[[#This Row],[FECHA]]-_xlfn.XLOOKUP(Tabla6[[#This Row],[N° FACTURA]],INGRESOS!F:F,INGRESOS!A:A),"-")</f>
        <v>-</v>
      </c>
      <c r="N2685" s="2"/>
      <c r="O2685" t="s">
        <v>2084</v>
      </c>
    </row>
    <row r="2686" spans="1:15">
      <c r="A2686" s="320" t="s">
        <v>1945</v>
      </c>
      <c r="B2686" t="str">
        <f>+_xlfn.XLOOKUP(Tabla6[[#This Row],[ID CLIENTE]],'RESUMEN CLIENTES'!D:D,'RESUMEN CLIENTES'!A:A)</f>
        <v>Fernanda Constanza Kompai Antu Arellano Guzmán</v>
      </c>
      <c r="C2686" t="str">
        <f>+_xlfn.XLOOKUP(Tabla6[[#This Row],[ID CLIENTE]],'RESUMEN CLIENTES'!D:D,'RESUMEN CLIENTES'!C:C)</f>
        <v>Chile</v>
      </c>
      <c r="D2686" s="169" t="str">
        <f>+_xlfn.XLOOKUP(Tabla6[[#This Row],[ID CLIENTE]],'RESUMEN CLIENTES'!D:D,'RESUMEN CLIENTES'!M:M)</f>
        <v>OK</v>
      </c>
      <c r="E2686" s="71">
        <f>+_xlfn.XLOOKUP(Tabla6[[#This Row],[NOMBRE]],'RESUMEN CLIENTES'!A:A,'RESUMEN CLIENTES'!X:X)</f>
        <v>0</v>
      </c>
      <c r="F2686" s="71">
        <f>+_xlfn.XLOOKUP(Tabla6[[#This Row],[ID CLIENTE]],'RESUMEN CLIENTES'!D:D,'RESUMEN CLIENTES'!W:W)</f>
        <v>0</v>
      </c>
      <c r="G2686" s="17">
        <f>IF($H2686&lt;&gt;"ALEM","",IFERROR(
  DATE(
    YEAR(EDATE(
      _xlfn.XLOOKUP($A2686,'RESUMEN CLIENTES'!$D:$D,'RESUMEN CLIENTES'!$Y:$Y,""),
      7 + COUNTIFS(
            $A$2:INDEX($A:$A,ROW()), $A2686,
            $H$2:INDEX($H:$H,ROW()), "ALEM"
          )
    )),
    MONTH(EDATE(
      _xlfn.XLOOKUP($A2686,'RESUMEN CLIENTES'!$D:$D,'RESUMEN CLIENTES'!$Y:$Y,""),
      7 + COUNTIFS(
            $A$2:INDEX($A:$A,ROW()), $A2686,
            $H$2:INDEX($H:$H,ROW()), "ALEM"
          )
    )),
    1
  ),
"null"))</f>
        <v>46813</v>
      </c>
      <c r="H2686" s="170" t="s">
        <v>1876</v>
      </c>
      <c r="I2686" s="2">
        <v>800</v>
      </c>
      <c r="J2686"/>
      <c r="K2686"/>
      <c r="L2686" s="44" t="str" cm="1">
        <f t="array" ref="L2686">+_xlfn.IFS(COUNTIF(INGRESOS!E:E,Tabla6[[#This Row],[ID FACTURA]])=1,"PAGADA",Tabla6[[#This Row],[ID FACTURA]]&lt;&gt;0,"EMITIDA",Tabla6[[#This Row],[ID FACTURA]]=0,"POR EMITIR")</f>
        <v>POR EMITIR</v>
      </c>
      <c r="M2686" s="54" t="str">
        <f>+IF(Tabla6[[#This Row],[ESTADO FACTURA]]="PAGADA",Tabla6[[#This Row],[FECHA]]-_xlfn.XLOOKUP(Tabla6[[#This Row],[N° FACTURA]],INGRESOS!F:F,INGRESOS!A:A),"-")</f>
        <v>-</v>
      </c>
      <c r="O2686"/>
    </row>
    <row r="2687" spans="1:15">
      <c r="A2687" s="320" t="s">
        <v>787</v>
      </c>
      <c r="B2687" t="str">
        <f>+_xlfn.XLOOKUP(Tabla6[[#This Row],[ID CLIENTE]],'RESUMEN CLIENTES'!D:D,'RESUMEN CLIENTES'!A:A)</f>
        <v>Florencia Luján Sapia</v>
      </c>
      <c r="C2687" t="str">
        <f>+_xlfn.XLOOKUP(Tabla6[[#This Row],[ID CLIENTE]],'RESUMEN CLIENTES'!D:D,'RESUMEN CLIENTES'!C:C)</f>
        <v>Argentina</v>
      </c>
      <c r="D2687" s="44" t="str">
        <f>+_xlfn.XLOOKUP(Tabla6[[#This Row],[ID CLIENTE]],'RESUMEN CLIENTES'!D:D,'RESUMEN CLIENTES'!M:M)</f>
        <v>OK</v>
      </c>
      <c r="E2687" s="72">
        <f>+_xlfn.XLOOKUP(Tabla6[[#This Row],[NOMBRE]],'RESUMEN CLIENTES'!A:A,'RESUMEN CLIENTES'!X:X)</f>
        <v>-0.77777777777777779</v>
      </c>
      <c r="F2687" s="72">
        <f>+_xlfn.XLOOKUP(Tabla6[[#This Row],[ID CLIENTE]],'RESUMEN CLIENTES'!D:D,'RESUMEN CLIENTES'!W:W)</f>
        <v>1</v>
      </c>
      <c r="G2687" s="17">
        <f>IF($H2687&lt;&gt;"ALEM","",IFERROR(
  DATE(
    YEAR(EDATE(
      _xlfn.XLOOKUP($A2687,'RESUMEN CLIENTES'!$D:$D,'RESUMEN CLIENTES'!$Y:$Y,""),
      7 + COUNTIFS(
            $A$2:INDEX($A:$A,ROW()), $A2687,
            $H$2:INDEX($H:$H,ROW()), "ALEM"
          )
    )),
    MONTH(EDATE(
      _xlfn.XLOOKUP($A2687,'RESUMEN CLIENTES'!$D:$D,'RESUMEN CLIENTES'!$Y:$Y,""),
      7 + COUNTIFS(
            $A$2:INDEX($A:$A,ROW()), $A2687,
            $H$2:INDEX($H:$H,ROW()), "ALEM"
          )
    )),
    1
  ),
"SIN FECHA MIG"))</f>
        <v>46813</v>
      </c>
      <c r="H2687" s="44" t="s">
        <v>1876</v>
      </c>
      <c r="I2687" s="2">
        <v>1000</v>
      </c>
      <c r="J2687"/>
      <c r="K2687"/>
      <c r="L2687" s="44" t="str" cm="1">
        <f t="array" ref="L2687">+_xlfn.IFS(COUNTIF(INGRESOS!E:E,Tabla6[[#This Row],[ID FACTURA]])=1,"PAGADA",Tabla6[[#This Row],[ID FACTURA]]&lt;&gt;0,"EMITIDA",Tabla6[[#This Row],[ID FACTURA]]=0,"POR EMITIR")</f>
        <v>POR EMITIR</v>
      </c>
      <c r="M2687" s="55" t="str">
        <f>+IF(Tabla6[[#This Row],[ESTADO FACTURA]]="PAGADA",Tabla6[[#This Row],[FECHA]]-_xlfn.XLOOKUP(Tabla6[[#This Row],[N° FACTURA]],INGRESOS!F:F,INGRESOS!A:A),"-")</f>
        <v>-</v>
      </c>
      <c r="N2687" s="2"/>
      <c r="O2687" t="s">
        <v>2084</v>
      </c>
    </row>
    <row r="2688" spans="1:15">
      <c r="A2688" s="320" t="s">
        <v>139</v>
      </c>
      <c r="B2688" t="str">
        <f>+_xlfn.XLOOKUP(Tabla6[[#This Row],[ID CLIENTE]],'RESUMEN CLIENTES'!D:D,'RESUMEN CLIENTES'!A:A)</f>
        <v>Hugo Nicolás Trávez Morales</v>
      </c>
      <c r="C2688" t="str">
        <f>+_xlfn.XLOOKUP(Tabla6[[#This Row],[ID CLIENTE]],'RESUMEN CLIENTES'!D:D,'RESUMEN CLIENTES'!C:C)</f>
        <v>Ecuador</v>
      </c>
      <c r="D2688" s="169" t="str">
        <f>+_xlfn.XLOOKUP(Tabla6[[#This Row],[ID CLIENTE]],'RESUMEN CLIENTES'!D:D,'RESUMEN CLIENTES'!M:M)</f>
        <v>OK</v>
      </c>
      <c r="E2688" s="71">
        <f>+_xlfn.XLOOKUP(Tabla6[[#This Row],[NOMBRE]],'RESUMEN CLIENTES'!A:A,'RESUMEN CLIENTES'!X:X)</f>
        <v>0</v>
      </c>
      <c r="F2688" s="71">
        <f>+_xlfn.XLOOKUP(Tabla6[[#This Row],[ID CLIENTE]],'RESUMEN CLIENTES'!D:D,'RESUMEN CLIENTES'!W:W)</f>
        <v>0</v>
      </c>
      <c r="G2688" s="17">
        <f>IF($H2688&lt;&gt;"ALEM","",IFERROR(
  DATE(
    YEAR(EDATE(
      _xlfn.XLOOKUP($A2688,'RESUMEN CLIENTES'!$D:$D,'RESUMEN CLIENTES'!$Y:$Y,""),
      7 + COUNTIFS(
            $A$2:INDEX($A:$A,ROW()), $A2688,
            $H$2:INDEX($H:$H,ROW()), "ALEM"
          )
    )),
    MONTH(EDATE(
      _xlfn.XLOOKUP($A2688,'RESUMEN CLIENTES'!$D:$D,'RESUMEN CLIENTES'!$Y:$Y,""),
      7 + COUNTIFS(
            $A$2:INDEX($A:$A,ROW()), $A2688,
            $H$2:INDEX($H:$H,ROW()), "ALEM"
          )
    )),
    1
  ),
"null"))</f>
        <v>46813</v>
      </c>
      <c r="H2688" s="169" t="s">
        <v>1876</v>
      </c>
      <c r="I2688" s="2">
        <v>2000</v>
      </c>
      <c r="J2688"/>
      <c r="K2688"/>
      <c r="L2688" s="44" t="str" cm="1">
        <f t="array" ref="L2688">+_xlfn.IFS(COUNTIF(INGRESOS!E:E,Tabla6[[#This Row],[ID FACTURA]])=1,"PAGADA",Tabla6[[#This Row],[ID FACTURA]]&lt;&gt;0,"EMITIDA",Tabla6[[#This Row],[ID FACTURA]]=0,"POR EMITIR")</f>
        <v>POR EMITIR</v>
      </c>
      <c r="M2688" s="54" t="str">
        <f>+IF(Tabla6[[#This Row],[ESTADO FACTURA]]="PAGADA",Tabla6[[#This Row],[FECHA]]-_xlfn.XLOOKUP(Tabla6[[#This Row],[N° FACTURA]],INGRESOS!F:F,INGRESOS!A:A),"-")</f>
        <v>-</v>
      </c>
      <c r="O2688"/>
    </row>
    <row r="2689" spans="1:15">
      <c r="A2689" s="320" t="s">
        <v>1996</v>
      </c>
      <c r="B2689" t="str">
        <f>+_xlfn.XLOOKUP(Tabla6[[#This Row],[ID CLIENTE]],'RESUMEN CLIENTES'!D:D,'RESUMEN CLIENTES'!A:A)</f>
        <v>Ivan Gonzales Graus</v>
      </c>
      <c r="C2689" t="str">
        <f>+_xlfn.XLOOKUP(Tabla6[[#This Row],[ID CLIENTE]],'RESUMEN CLIENTES'!D:D,'RESUMEN CLIENTES'!C:C)</f>
        <v>Perú</v>
      </c>
      <c r="D2689" s="169" t="str">
        <f>+_xlfn.XLOOKUP(Tabla6[[#This Row],[ID CLIENTE]],'RESUMEN CLIENTES'!D:D,'RESUMEN CLIENTES'!M:M)</f>
        <v>OK</v>
      </c>
      <c r="E2689" s="71">
        <f>+_xlfn.XLOOKUP(Tabla6[[#This Row],[NOMBRE]],'RESUMEN CLIENTES'!A:A,'RESUMEN CLIENTES'!X:X)</f>
        <v>-2</v>
      </c>
      <c r="F2689" s="71">
        <f>+_xlfn.XLOOKUP(Tabla6[[#This Row],[ID CLIENTE]],'RESUMEN CLIENTES'!D:D,'RESUMEN CLIENTES'!W:W)</f>
        <v>1</v>
      </c>
      <c r="G2689" s="17">
        <f>IF($H2689&lt;&gt;"ALEM","",IFERROR(
  DATE(
    YEAR(EDATE(
      _xlfn.XLOOKUP($A2689,'RESUMEN CLIENTES'!$D:$D,'RESUMEN CLIENTES'!$Y:$Y,""),
      7 + COUNTIFS(
            $A$2:INDEX($A:$A,ROW()), $A2689,
            $H$2:INDEX($H:$H,ROW()), "ALEM"
          )
    )),
    MONTH(EDATE(
      _xlfn.XLOOKUP($A2689,'RESUMEN CLIENTES'!$D:$D,'RESUMEN CLIENTES'!$Y:$Y,""),
      7 + COUNTIFS(
            $A$2:INDEX($A:$A,ROW()), $A2689,
            $H$2:INDEX($H:$H,ROW()), "ALEM"
          )
    )),
    1
  ),
"null"))</f>
        <v>46813</v>
      </c>
      <c r="H2689" s="169" t="s">
        <v>1876</v>
      </c>
      <c r="I2689" s="2">
        <v>1000</v>
      </c>
      <c r="J2689"/>
      <c r="K2689"/>
      <c r="L2689" s="44" t="str" cm="1">
        <f t="array" ref="L2689">+_xlfn.IFS(COUNTIF(INGRESOS!E:E,Tabla6[[#This Row],[ID FACTURA]])=1,"PAGADA",Tabla6[[#This Row],[ID FACTURA]]&lt;&gt;0,"EMITIDA",Tabla6[[#This Row],[ID FACTURA]]=0,"POR EMITIR")</f>
        <v>POR EMITIR</v>
      </c>
      <c r="M2689" s="54" t="str">
        <f>+IF(Tabla6[[#This Row],[ESTADO FACTURA]]="PAGADA",Tabla6[[#This Row],[FECHA]]-_xlfn.XLOOKUP(Tabla6[[#This Row],[N° FACTURA]],INGRESOS!F:F,INGRESOS!A:A),"-")</f>
        <v>-</v>
      </c>
      <c r="O2689"/>
    </row>
    <row r="2690" spans="1:15">
      <c r="A2690" s="320" t="s">
        <v>1936</v>
      </c>
      <c r="B2690" t="str">
        <f>+_xlfn.XLOOKUP(Tabla6[[#This Row],[ID CLIENTE]],'RESUMEN CLIENTES'!D:D,'RESUMEN CLIENTES'!A:A)</f>
        <v>Jaime Kevin Mendez Arias</v>
      </c>
      <c r="C2690" t="str">
        <f>+_xlfn.XLOOKUP(Tabla6[[#This Row],[ID CLIENTE]],'RESUMEN CLIENTES'!D:D,'RESUMEN CLIENTES'!C:C)</f>
        <v>México</v>
      </c>
      <c r="D2690" s="169" t="str">
        <f>+_xlfn.XLOOKUP(Tabla6[[#This Row],[ID CLIENTE]],'RESUMEN CLIENTES'!D:D,'RESUMEN CLIENTES'!M:M)</f>
        <v>OK</v>
      </c>
      <c r="E2690" s="71">
        <f>+_xlfn.XLOOKUP(Tabla6[[#This Row],[NOMBRE]],'RESUMEN CLIENTES'!A:A,'RESUMEN CLIENTES'!X:X)</f>
        <v>1.6666666666666667</v>
      </c>
      <c r="F2690" s="71">
        <f>+_xlfn.XLOOKUP(Tabla6[[#This Row],[ID CLIENTE]],'RESUMEN CLIENTES'!D:D,'RESUMEN CLIENTES'!W:W)</f>
        <v>0</v>
      </c>
      <c r="G2690" s="17">
        <f>IF($H2690&lt;&gt;"ALEM","",IFERROR(
  DATE(
    YEAR(EDATE(
      _xlfn.XLOOKUP($A2690,'RESUMEN CLIENTES'!$D:$D,'RESUMEN CLIENTES'!$Y:$Y,""),
      7 + COUNTIFS(
            $A$2:INDEX($A:$A,ROW()), $A2690,
            $H$2:INDEX($H:$H,ROW()), "ALEM"
          )
    )),
    MONTH(EDATE(
      _xlfn.XLOOKUP($A2690,'RESUMEN CLIENTES'!$D:$D,'RESUMEN CLIENTES'!$Y:$Y,""),
      7 + COUNTIFS(
            $A$2:INDEX($A:$A,ROW()), $A2690,
            $H$2:INDEX($H:$H,ROW()), "ALEM"
          )
    )),
    1
  ),
"null"))</f>
        <v>46813</v>
      </c>
      <c r="H2690" s="169" t="s">
        <v>1876</v>
      </c>
      <c r="I2690" s="2">
        <v>800</v>
      </c>
      <c r="J2690"/>
      <c r="K2690"/>
      <c r="L2690" s="44" t="str" cm="1">
        <f t="array" ref="L2690">+_xlfn.IFS(COUNTIF(INGRESOS!E:E,Tabla6[[#This Row],[ID FACTURA]])=1,"PAGADA",Tabla6[[#This Row],[ID FACTURA]]&lt;&gt;0,"EMITIDA",Tabla6[[#This Row],[ID FACTURA]]=0,"POR EMITIR")</f>
        <v>POR EMITIR</v>
      </c>
      <c r="M2690" s="54" t="str">
        <f>+IF(Tabla6[[#This Row],[ESTADO FACTURA]]="PAGADA",Tabla6[[#This Row],[FECHA]]-_xlfn.XLOOKUP(Tabla6[[#This Row],[N° FACTURA]],INGRESOS!F:F,INGRESOS!A:A),"-")</f>
        <v>-</v>
      </c>
      <c r="O2690"/>
    </row>
    <row r="2691" spans="1:15">
      <c r="A2691" s="321" t="s">
        <v>1899</v>
      </c>
      <c r="B2691" t="str">
        <f>+_xlfn.XLOOKUP(Tabla6[[#This Row],[ID CLIENTE]],'RESUMEN CLIENTES'!D:D,'RESUMEN CLIENTES'!A:A)</f>
        <v>Johan Martínez</v>
      </c>
      <c r="C2691" t="str">
        <f>+_xlfn.XLOOKUP(Tabla6[[#This Row],[ID CLIENTE]],'RESUMEN CLIENTES'!D:D,'RESUMEN CLIENTES'!C:C)</f>
        <v>Colombia</v>
      </c>
      <c r="D2691" s="169" t="str">
        <f>+_xlfn.XLOOKUP(Tabla6[[#This Row],[ID CLIENTE]],'RESUMEN CLIENTES'!D:D,'RESUMEN CLIENTES'!M:M)</f>
        <v>OK</v>
      </c>
      <c r="E2691" s="71">
        <f>+_xlfn.XLOOKUP(Tabla6[[#This Row],[NOMBRE]],'RESUMEN CLIENTES'!A:A,'RESUMEN CLIENTES'!X:X)</f>
        <v>-0.66666666666666663</v>
      </c>
      <c r="F2691" s="71">
        <f>+_xlfn.XLOOKUP(Tabla6[[#This Row],[ID CLIENTE]],'RESUMEN CLIENTES'!D:D,'RESUMEN CLIENTES'!W:W)</f>
        <v>0</v>
      </c>
      <c r="G2691" s="17">
        <f>IF($H2691&lt;&gt;"ALEM","",IFERROR(
  DATE(
    YEAR(EDATE(
      _xlfn.XLOOKUP($A2691,'RESUMEN CLIENTES'!$D:$D,'RESUMEN CLIENTES'!$Y:$Y,""),
      7 + COUNTIFS(
            $A$2:INDEX($A:$A,ROW()), $A2691,
            $H$2:INDEX($H:$H,ROW()), "ALEM"
          )
    )),
    MONTH(EDATE(
      _xlfn.XLOOKUP($A2691,'RESUMEN CLIENTES'!$D:$D,'RESUMEN CLIENTES'!$Y:$Y,""),
      7 + COUNTIFS(
            $A$2:INDEX($A:$A,ROW()), $A2691,
            $H$2:INDEX($H:$H,ROW()), "ALEM"
          )
    )),
    1
  ),
"null"))</f>
        <v>46813</v>
      </c>
      <c r="H2691" s="169" t="s">
        <v>1876</v>
      </c>
      <c r="I2691" s="2">
        <v>800</v>
      </c>
      <c r="J2691"/>
      <c r="K2691"/>
      <c r="L2691" s="44" t="str" cm="1">
        <f t="array" ref="L2691">+_xlfn.IFS(COUNTIF(INGRESOS!E:E,Tabla6[[#This Row],[ID FACTURA]])=1,"PAGADA",Tabla6[[#This Row],[ID FACTURA]]&lt;&gt;0,"EMITIDA",Tabla6[[#This Row],[ID FACTURA]]=0,"POR EMITIR")</f>
        <v>POR EMITIR</v>
      </c>
      <c r="M2691" s="54" t="str">
        <f>+IF(Tabla6[[#This Row],[ESTADO FACTURA]]="PAGADA",Tabla6[[#This Row],[FECHA]]-_xlfn.XLOOKUP(Tabla6[[#This Row],[N° FACTURA]],INGRESOS!F:F,INGRESOS!A:A),"-")</f>
        <v>-</v>
      </c>
      <c r="O2691" t="s">
        <v>2086</v>
      </c>
    </row>
    <row r="2692" spans="1:15">
      <c r="A2692" s="320" t="s">
        <v>1437</v>
      </c>
      <c r="B2692" t="str">
        <f>+_xlfn.XLOOKUP(Tabla6[[#This Row],[ID CLIENTE]],'RESUMEN CLIENTES'!D:D,'RESUMEN CLIENTES'!A:A)</f>
        <v>Jorge Andres Galgani Muñoz</v>
      </c>
      <c r="C2692" t="str">
        <f>+_xlfn.XLOOKUP(Tabla6[[#This Row],[ID CLIENTE]],'RESUMEN CLIENTES'!D:D,'RESUMEN CLIENTES'!C:C)</f>
        <v>Chile</v>
      </c>
      <c r="D2692" s="44" t="str">
        <f>+_xlfn.XLOOKUP(Tabla6[[#This Row],[ID CLIENTE]],'RESUMEN CLIENTES'!D:D,'RESUMEN CLIENTES'!M:M)</f>
        <v>OK</v>
      </c>
      <c r="E2692" s="71">
        <f>+_xlfn.XLOOKUP(Tabla6[[#This Row],[NOMBRE]],'RESUMEN CLIENTES'!A:A,'RESUMEN CLIENTES'!X:X)</f>
        <v>-1.1428571428571428</v>
      </c>
      <c r="F2692" s="71">
        <f>+_xlfn.XLOOKUP(Tabla6[[#This Row],[ID CLIENTE]],'RESUMEN CLIENTES'!D:D,'RESUMEN CLIENTES'!W:W)</f>
        <v>1</v>
      </c>
      <c r="G2692" s="17">
        <f>IF($H2692&lt;&gt;"ALEM","",IFERROR(
  DATE(
    YEAR(EDATE(
      _xlfn.XLOOKUP($A2692,'RESUMEN CLIENTES'!$D:$D,'RESUMEN CLIENTES'!$Y:$Y,""),
      7 + COUNTIFS(
            $A$2:INDEX($A:$A,ROW()), $A2692,
            $H$2:INDEX($H:$H,ROW()), "ALEM"
          )
    )),
    MONTH(EDATE(
      _xlfn.XLOOKUP($A2692,'RESUMEN CLIENTES'!$D:$D,'RESUMEN CLIENTES'!$Y:$Y,""),
      7 + COUNTIFS(
            $A$2:INDEX($A:$A,ROW()), $A2692,
            $H$2:INDEX($H:$H,ROW()), "ALEM"
          )
    )),
    1
  ),
"SIN FECHA MIG"))</f>
        <v>46813</v>
      </c>
      <c r="H2692" s="169" t="s">
        <v>1876</v>
      </c>
      <c r="I2692" s="2">
        <v>800</v>
      </c>
      <c r="J2692"/>
      <c r="K2692"/>
      <c r="L2692" s="44" t="str" cm="1">
        <f t="array" ref="L2692">+_xlfn.IFS(COUNTIF(INGRESOS!E:E,Tabla6[[#This Row],[ID FACTURA]])=1,"PAGADA",Tabla6[[#This Row],[ID FACTURA]]&lt;&gt;0,"EMITIDA",Tabla6[[#This Row],[ID FACTURA]]=0,"POR EMITIR")</f>
        <v>POR EMITIR</v>
      </c>
      <c r="M2692" s="55" t="str">
        <f>+IF(Tabla6[[#This Row],[ESTADO FACTURA]]="PAGADA",Tabla6[[#This Row],[FECHA]]-_xlfn.XLOOKUP(Tabla6[[#This Row],[N° FACTURA]],INGRESOS!F:F,INGRESOS!A:A),"-")</f>
        <v>-</v>
      </c>
      <c r="N2692" s="2"/>
      <c r="O2692"/>
    </row>
    <row r="2693" spans="1:15">
      <c r="A2693" s="320" t="s">
        <v>4454</v>
      </c>
      <c r="B2693" t="str">
        <f>+_xlfn.XLOOKUP(Tabla6[[#This Row],[ID CLIENTE]],'RESUMEN CLIENTES'!D:D,'RESUMEN CLIENTES'!A:A)</f>
        <v>Jose Luis Avilez Casas</v>
      </c>
      <c r="C2693" t="str">
        <f>+_xlfn.XLOOKUP(Tabla6[[#This Row],[ID CLIENTE]],'RESUMEN CLIENTES'!D:D,'RESUMEN CLIENTES'!C:C)</f>
        <v>México</v>
      </c>
      <c r="D2693" s="169" t="str">
        <f>+_xlfn.XLOOKUP(Tabla6[[#This Row],[ID CLIENTE]],'RESUMEN CLIENTES'!D:D,'RESUMEN CLIENTES'!M:M)</f>
        <v>OK</v>
      </c>
      <c r="E2693" s="71">
        <f>+_xlfn.XLOOKUP(Tabla6[[#This Row],[NOMBRE]],'RESUMEN CLIENTES'!A:A,'RESUMEN CLIENTES'!X:X)</f>
        <v>0.33333333333333331</v>
      </c>
      <c r="F2693" s="71">
        <f>+_xlfn.XLOOKUP(Tabla6[[#This Row],[ID CLIENTE]],'RESUMEN CLIENTES'!D:D,'RESUMEN CLIENTES'!W:W)</f>
        <v>0</v>
      </c>
      <c r="G2693" s="17">
        <f>IF($H2693&lt;&gt;"ALEM","",IFERROR(
  DATE(
    YEAR(EDATE(
      _xlfn.XLOOKUP($A2693,'RESUMEN CLIENTES'!$D:$D,'RESUMEN CLIENTES'!$Y:$Y,""),
      7 + COUNTIFS(
            $A$2:INDEX($A:$A,ROW()), $A2693,
            $H$2:INDEX($H:$H,ROW()), "ALEM"
          )
    )),
    MONTH(EDATE(
      _xlfn.XLOOKUP($A2693,'RESUMEN CLIENTES'!$D:$D,'RESUMEN CLIENTES'!$Y:$Y,""),
      7 + COUNTIFS(
            $A$2:INDEX($A:$A,ROW()), $A2693,
            $H$2:INDEX($H:$H,ROW()), "ALEM"
          )
    )),
    1
  ),
"null"))</f>
        <v>46813</v>
      </c>
      <c r="H2693" s="169" t="s">
        <v>1876</v>
      </c>
      <c r="I2693" s="2">
        <v>800</v>
      </c>
      <c r="J2693"/>
      <c r="K2693"/>
      <c r="L2693" s="44" t="str" cm="1">
        <f t="array" ref="L2693">+_xlfn.IFS(COUNTIF(INGRESOS!E:E,Tabla6[[#This Row],[ID FACTURA]])=1,"PAGADA",Tabla6[[#This Row],[ID FACTURA]]&lt;&gt;0,"EMITIDA",Tabla6[[#This Row],[ID FACTURA]]=0,"POR EMITIR")</f>
        <v>POR EMITIR</v>
      </c>
      <c r="M2693" s="54" t="str">
        <f>+IF(Tabla6[[#This Row],[ESTADO FACTURA]]="PAGADA",Tabla6[[#This Row],[FECHA]]-_xlfn.XLOOKUP(Tabla6[[#This Row],[N° FACTURA]],INGRESOS!F:F,INGRESOS!A:A),"-")</f>
        <v>-</v>
      </c>
      <c r="O2693"/>
    </row>
    <row r="2694" spans="1:15">
      <c r="A2694" s="320" t="s">
        <v>1931</v>
      </c>
      <c r="B2694" t="str">
        <f>+_xlfn.XLOOKUP(Tabla6[[#This Row],[ID CLIENTE]],'RESUMEN CLIENTES'!D:D,'RESUMEN CLIENTES'!A:A)</f>
        <v>Josué Bernardo Reyes Flores</v>
      </c>
      <c r="C2694" t="str">
        <f>+_xlfn.XLOOKUP(Tabla6[[#This Row],[ID CLIENTE]],'RESUMEN CLIENTES'!D:D,'RESUMEN CLIENTES'!C:C)</f>
        <v>México</v>
      </c>
      <c r="D2694" s="169" t="str">
        <f>+_xlfn.XLOOKUP(Tabla6[[#This Row],[ID CLIENTE]],'RESUMEN CLIENTES'!D:D,'RESUMEN CLIENTES'!M:M)</f>
        <v>OK</v>
      </c>
      <c r="E2694" s="71">
        <f>+_xlfn.XLOOKUP(Tabla6[[#This Row],[NOMBRE]],'RESUMEN CLIENTES'!A:A,'RESUMEN CLIENTES'!X:X)</f>
        <v>0</v>
      </c>
      <c r="F2694" s="71">
        <f>+_xlfn.XLOOKUP(Tabla6[[#This Row],[ID CLIENTE]],'RESUMEN CLIENTES'!D:D,'RESUMEN CLIENTES'!W:W)</f>
        <v>1</v>
      </c>
      <c r="G2694" s="17">
        <f>IF($H2694&lt;&gt;"ALEM","",IFERROR(
  DATE(
    YEAR(EDATE(
      _xlfn.XLOOKUP($A2694,'RESUMEN CLIENTES'!$D:$D,'RESUMEN CLIENTES'!$Y:$Y,""),
      7 + COUNTIFS(
            $A$2:INDEX($A:$A,ROW()), $A2694,
            $H$2:INDEX($H:$H,ROW()), "ALEM"
          )
    )),
    MONTH(EDATE(
      _xlfn.XLOOKUP($A2694,'RESUMEN CLIENTES'!$D:$D,'RESUMEN CLIENTES'!$Y:$Y,""),
      7 + COUNTIFS(
            $A$2:INDEX($A:$A,ROW()), $A2694,
            $H$2:INDEX($H:$H,ROW()), "ALEM"
          )
    )),
    1
  ),
"null"))</f>
        <v>46813</v>
      </c>
      <c r="H2694" s="169" t="s">
        <v>1876</v>
      </c>
      <c r="I2694" s="2">
        <v>800</v>
      </c>
      <c r="J2694"/>
      <c r="K2694"/>
      <c r="L2694" s="44" t="str" cm="1">
        <f t="array" ref="L2694">+_xlfn.IFS(COUNTIF(INGRESOS!E:E,Tabla6[[#This Row],[ID FACTURA]])=1,"PAGADA",Tabla6[[#This Row],[ID FACTURA]]&lt;&gt;0,"EMITIDA",Tabla6[[#This Row],[ID FACTURA]]=0,"POR EMITIR")</f>
        <v>POR EMITIR</v>
      </c>
      <c r="M2694" s="54" t="str">
        <f>+IF(Tabla6[[#This Row],[ESTADO FACTURA]]="PAGADA",Tabla6[[#This Row],[FECHA]]-_xlfn.XLOOKUP(Tabla6[[#This Row],[N° FACTURA]],INGRESOS!F:F,INGRESOS!A:A),"-")</f>
        <v>-</v>
      </c>
      <c r="O2694"/>
    </row>
    <row r="2695" spans="1:15">
      <c r="A2695" s="320" t="s">
        <v>1482</v>
      </c>
      <c r="B2695" t="str">
        <f>+_xlfn.XLOOKUP(Tabla6[[#This Row],[ID CLIENTE]],'RESUMEN CLIENTES'!D:D,'RESUMEN CLIENTES'!A:A)</f>
        <v>Laxmi Davi Patel Flores</v>
      </c>
      <c r="C2695" t="str">
        <f>+_xlfn.XLOOKUP(Tabla6[[#This Row],[ID CLIENTE]],'RESUMEN CLIENTES'!D:D,'RESUMEN CLIENTES'!C:C)</f>
        <v>Ecuador</v>
      </c>
      <c r="D2695" s="44" t="str">
        <f>+_xlfn.XLOOKUP(Tabla6[[#This Row],[ID CLIENTE]],'RESUMEN CLIENTES'!D:D,'RESUMEN CLIENTES'!M:M)</f>
        <v>OK</v>
      </c>
      <c r="E2695" s="71">
        <f>+_xlfn.XLOOKUP(Tabla6[[#This Row],[NOMBRE]],'RESUMEN CLIENTES'!A:A,'RESUMEN CLIENTES'!X:X)</f>
        <v>-1.5714285714285714</v>
      </c>
      <c r="F2695" s="71">
        <f>+_xlfn.XLOOKUP(Tabla6[[#This Row],[ID CLIENTE]],'RESUMEN CLIENTES'!D:D,'RESUMEN CLIENTES'!W:W)</f>
        <v>0</v>
      </c>
      <c r="G2695" s="17">
        <f>IF($H2695&lt;&gt;"ALEM","",IFERROR(
  DATE(
    YEAR(EDATE(
      _xlfn.XLOOKUP($A2695,'RESUMEN CLIENTES'!$D:$D,'RESUMEN CLIENTES'!$Y:$Y,""),
      7 + COUNTIFS(
            $A$2:INDEX($A:$A,ROW()), $A2695,
            $H$2:INDEX($H:$H,ROW()), "ALEM"
          )
    )),
    MONTH(EDATE(
      _xlfn.XLOOKUP($A2695,'RESUMEN CLIENTES'!$D:$D,'RESUMEN CLIENTES'!$Y:$Y,""),
      7 + COUNTIFS(
            $A$2:INDEX($A:$A,ROW()), $A2695,
            $H$2:INDEX($H:$H,ROW()), "ALEM"
          )
    )),
    1
  ),
"SIN FECHA MIG"))</f>
        <v>46813</v>
      </c>
      <c r="H2695" s="169" t="s">
        <v>1876</v>
      </c>
      <c r="I2695" s="2">
        <v>800</v>
      </c>
      <c r="J2695"/>
      <c r="K2695"/>
      <c r="L2695" s="44" t="str" cm="1">
        <f t="array" ref="L2695">+_xlfn.IFS(COUNTIF(INGRESOS!E:E,Tabla6[[#This Row],[ID FACTURA]])=1,"PAGADA",Tabla6[[#This Row],[ID FACTURA]]&lt;&gt;0,"EMITIDA",Tabla6[[#This Row],[ID FACTURA]]=0,"POR EMITIR")</f>
        <v>POR EMITIR</v>
      </c>
      <c r="M2695" s="55" t="str">
        <f>+IF(Tabla6[[#This Row],[ESTADO FACTURA]]="PAGADA",Tabla6[[#This Row],[FECHA]]-_xlfn.XLOOKUP(Tabla6[[#This Row],[N° FACTURA]],INGRESOS!F:F,INGRESOS!A:A),"-")</f>
        <v>-</v>
      </c>
      <c r="N2695" s="2"/>
      <c r="O2695" t="s">
        <v>2092</v>
      </c>
    </row>
    <row r="2696" spans="1:15">
      <c r="A2696" s="320" t="s">
        <v>1155</v>
      </c>
      <c r="B2696" t="str">
        <f>+_xlfn.XLOOKUP(Tabla6[[#This Row],[ID CLIENTE]],'RESUMEN CLIENTES'!D:D,'RESUMEN CLIENTES'!A:A)</f>
        <v>Mario Arciga Casián</v>
      </c>
      <c r="C2696" t="str">
        <f>+_xlfn.XLOOKUP(Tabla6[[#This Row],[ID CLIENTE]],'RESUMEN CLIENTES'!D:D,'RESUMEN CLIENTES'!C:C)</f>
        <v>México</v>
      </c>
      <c r="D2696" s="44" t="str">
        <f>+_xlfn.XLOOKUP(Tabla6[[#This Row],[ID CLIENTE]],'RESUMEN CLIENTES'!D:D,'RESUMEN CLIENTES'!M:M)</f>
        <v>OK</v>
      </c>
      <c r="E2696" s="72">
        <f>+_xlfn.XLOOKUP(Tabla6[[#This Row],[NOMBRE]],'RESUMEN CLIENTES'!A:A,'RESUMEN CLIENTES'!X:X)</f>
        <v>-0.66666666666666663</v>
      </c>
      <c r="F2696" s="72">
        <f>+_xlfn.XLOOKUP(Tabla6[[#This Row],[ID CLIENTE]],'RESUMEN CLIENTES'!D:D,'RESUMEN CLIENTES'!W:W)</f>
        <v>1</v>
      </c>
      <c r="G2696" s="17">
        <f>IF($H2696&lt;&gt;"ALEM","",IFERROR(
  DATE(
    YEAR(EDATE(
      _xlfn.XLOOKUP($A2696,'RESUMEN CLIENTES'!$D:$D,'RESUMEN CLIENTES'!$Y:$Y,""),
      7 + COUNTIFS(
            $A$2:INDEX($A:$A,ROW()), $A2696,
            $H$2:INDEX($H:$H,ROW()), "ALEM"
          )
    )),
    MONTH(EDATE(
      _xlfn.XLOOKUP($A2696,'RESUMEN CLIENTES'!$D:$D,'RESUMEN CLIENTES'!$Y:$Y,""),
      7 + COUNTIFS(
            $A$2:INDEX($A:$A,ROW()), $A2696,
            $H$2:INDEX($H:$H,ROW()), "ALEM"
          )
    )),
    1
  ),
"SIN FECHA MIG"))</f>
        <v>46813</v>
      </c>
      <c r="H2696" s="44" t="s">
        <v>1876</v>
      </c>
      <c r="I2696" s="2">
        <v>800</v>
      </c>
      <c r="J2696"/>
      <c r="K2696"/>
      <c r="L2696" s="44" t="str" cm="1">
        <f t="array" ref="L2696">+_xlfn.IFS(COUNTIF(INGRESOS!E:E,Tabla6[[#This Row],[ID FACTURA]])=1,"PAGADA",Tabla6[[#This Row],[ID FACTURA]]&lt;&gt;0,"EMITIDA",Tabla6[[#This Row],[ID FACTURA]]=0,"POR EMITIR")</f>
        <v>POR EMITIR</v>
      </c>
      <c r="M2696" s="55" t="str">
        <f>+IF(Tabla6[[#This Row],[ESTADO FACTURA]]="PAGADA",Tabla6[[#This Row],[FECHA]]-_xlfn.XLOOKUP(Tabla6[[#This Row],[N° FACTURA]],INGRESOS!F:F,INGRESOS!A:A),"-")</f>
        <v>-</v>
      </c>
      <c r="N2696" s="2"/>
      <c r="O2696"/>
    </row>
    <row r="2697" spans="1:15">
      <c r="A2697" s="320" t="s">
        <v>994</v>
      </c>
      <c r="B2697" t="str">
        <f>+_xlfn.XLOOKUP(Tabla6[[#This Row],[ID CLIENTE]],'RESUMEN CLIENTES'!D:D,'RESUMEN CLIENTES'!A:A)</f>
        <v>Raúl Ernesto Martínez Orantes</v>
      </c>
      <c r="C2697" t="str">
        <f>+_xlfn.XLOOKUP(Tabla6[[#This Row],[ID CLIENTE]],'RESUMEN CLIENTES'!D:D,'RESUMEN CLIENTES'!C:C)</f>
        <v>El Salvador</v>
      </c>
      <c r="D2697" s="44" t="str">
        <f>+_xlfn.XLOOKUP(Tabla6[[#This Row],[ID CLIENTE]],'RESUMEN CLIENTES'!D:D,'RESUMEN CLIENTES'!M:M)</f>
        <v>OK</v>
      </c>
      <c r="E2697" s="72">
        <f>+_xlfn.XLOOKUP(Tabla6[[#This Row],[NOMBRE]],'RESUMEN CLIENTES'!A:A,'RESUMEN CLIENTES'!X:X)</f>
        <v>1.1428571428571428</v>
      </c>
      <c r="F2697" s="72">
        <f>+_xlfn.XLOOKUP(Tabla6[[#This Row],[ID CLIENTE]],'RESUMEN CLIENTES'!D:D,'RESUMEN CLIENTES'!W:W)</f>
        <v>1</v>
      </c>
      <c r="G2697" s="17">
        <f>IF($H2697&lt;&gt;"ALEM","",IFERROR(
  DATE(
    YEAR(EDATE(
      _xlfn.XLOOKUP($A2697,'RESUMEN CLIENTES'!$D:$D,'RESUMEN CLIENTES'!$Y:$Y,""),
      7 + COUNTIFS(
            $A$2:INDEX($A:$A,ROW()), $A2697,
            $H$2:INDEX($H:$H,ROW()), "ALEM"
          )
    )),
    MONTH(EDATE(
      _xlfn.XLOOKUP($A2697,'RESUMEN CLIENTES'!$D:$D,'RESUMEN CLIENTES'!$Y:$Y,""),
      7 + COUNTIFS(
            $A$2:INDEX($A:$A,ROW()), $A2697,
            $H$2:INDEX($H:$H,ROW()), "ALEM"
          )
    )),
    1
  ),
"SIN FECHA MIG"))</f>
        <v>46813</v>
      </c>
      <c r="H2697" s="44" t="s">
        <v>1876</v>
      </c>
      <c r="I2697" s="2">
        <v>800</v>
      </c>
      <c r="J2697"/>
      <c r="K2697"/>
      <c r="L2697" s="44" t="str" cm="1">
        <f t="array" ref="L2697">+_xlfn.IFS(COUNTIF(INGRESOS!E:E,Tabla6[[#This Row],[ID FACTURA]])=1,"PAGADA",Tabla6[[#This Row],[ID FACTURA]]&lt;&gt;0,"EMITIDA",Tabla6[[#This Row],[ID FACTURA]]=0,"POR EMITIR")</f>
        <v>POR EMITIR</v>
      </c>
      <c r="M2697" s="55" t="str">
        <f>+IF(Tabla6[[#This Row],[ESTADO FACTURA]]="PAGADA",Tabla6[[#This Row],[FECHA]]-_xlfn.XLOOKUP(Tabla6[[#This Row],[N° FACTURA]],INGRESOS!F:F,INGRESOS!A:A),"-")</f>
        <v>-</v>
      </c>
      <c r="N2697" s="2"/>
      <c r="O2697"/>
    </row>
    <row r="2698" spans="1:15">
      <c r="A2698" s="320" t="s">
        <v>1419</v>
      </c>
      <c r="B2698" t="str">
        <f>+_xlfn.XLOOKUP(Tabla6[[#This Row],[ID CLIENTE]],'RESUMEN CLIENTES'!D:D,'RESUMEN CLIENTES'!A:A)</f>
        <v>Rocio Natalia López Núñez</v>
      </c>
      <c r="C2698" t="str">
        <f>+_xlfn.XLOOKUP(Tabla6[[#This Row],[ID CLIENTE]],'RESUMEN CLIENTES'!D:D,'RESUMEN CLIENTES'!C:C)</f>
        <v>Chile</v>
      </c>
      <c r="D2698" s="44" t="str">
        <f>+_xlfn.XLOOKUP(Tabla6[[#This Row],[ID CLIENTE]],'RESUMEN CLIENTES'!D:D,'RESUMEN CLIENTES'!M:M)</f>
        <v>OK</v>
      </c>
      <c r="E2698" s="71">
        <f>+_xlfn.XLOOKUP(Tabla6[[#This Row],[NOMBRE]],'RESUMEN CLIENTES'!A:A,'RESUMEN CLIENTES'!X:X)</f>
        <v>0</v>
      </c>
      <c r="F2698" s="71">
        <f>+_xlfn.XLOOKUP(Tabla6[[#This Row],[ID CLIENTE]],'RESUMEN CLIENTES'!D:D,'RESUMEN CLIENTES'!W:W)</f>
        <v>0</v>
      </c>
      <c r="G2698" s="17">
        <f>IF($H2698&lt;&gt;"ALEM","",IFERROR(
  DATE(
    YEAR(EDATE(
      _xlfn.XLOOKUP($A2698,'RESUMEN CLIENTES'!$D:$D,'RESUMEN CLIENTES'!$Y:$Y,""),
      7 + COUNTIFS(
            $A$2:INDEX($A:$A,ROW()), $A2698,
            $H$2:INDEX($H:$H,ROW()), "ALEM"
          )
    )),
    MONTH(EDATE(
      _xlfn.XLOOKUP($A2698,'RESUMEN CLIENTES'!$D:$D,'RESUMEN CLIENTES'!$Y:$Y,""),
      7 + COUNTIFS(
            $A$2:INDEX($A:$A,ROW()), $A2698,
            $H$2:INDEX($H:$H,ROW()), "ALEM"
          )
    )),
    1
  ),
"SIN FECHA MIG"))</f>
        <v>46813</v>
      </c>
      <c r="H2698" s="169" t="s">
        <v>1876</v>
      </c>
      <c r="I2698" s="2">
        <v>800</v>
      </c>
      <c r="J2698"/>
      <c r="K2698"/>
      <c r="L2698" s="44" t="str" cm="1">
        <f t="array" ref="L2698">+_xlfn.IFS(COUNTIF(INGRESOS!E:E,Tabla6[[#This Row],[ID FACTURA]])=1,"PAGADA",Tabla6[[#This Row],[ID FACTURA]]&lt;&gt;0,"EMITIDA",Tabla6[[#This Row],[ID FACTURA]]=0,"POR EMITIR")</f>
        <v>POR EMITIR</v>
      </c>
      <c r="M2698" s="55" t="str">
        <f>+IF(Tabla6[[#This Row],[ESTADO FACTURA]]="PAGADA",Tabla6[[#This Row],[FECHA]]-_xlfn.XLOOKUP(Tabla6[[#This Row],[N° FACTURA]],INGRESOS!F:F,INGRESOS!A:A),"-")</f>
        <v>-</v>
      </c>
      <c r="N2698" s="2"/>
      <c r="O2698"/>
    </row>
    <row r="2699" spans="1:15">
      <c r="A2699" s="320" t="s">
        <v>2521</v>
      </c>
      <c r="B2699" t="str">
        <f>+_xlfn.XLOOKUP(Tabla6[[#This Row],[ID CLIENTE]],'RESUMEN CLIENTES'!D:D,'RESUMEN CLIENTES'!A:A)</f>
        <v>Fabián Andrés Sarmiento Auli</v>
      </c>
      <c r="C2699" t="str">
        <f>+_xlfn.XLOOKUP(Tabla6[[#This Row],[ID CLIENTE]],'RESUMEN CLIENTES'!D:D,'RESUMEN CLIENTES'!C:C)</f>
        <v>Colombia</v>
      </c>
      <c r="D2699" s="169" t="str">
        <f>+_xlfn.XLOOKUP(Tabla6[[#This Row],[ID CLIENTE]],'RESUMEN CLIENTES'!D:D,'RESUMEN CLIENTES'!M:M)</f>
        <v>OK</v>
      </c>
      <c r="E2699" s="71">
        <f>+_xlfn.XLOOKUP(Tabla6[[#This Row],[NOMBRE]],'RESUMEN CLIENTES'!A:A,'RESUMEN CLIENTES'!X:X)</f>
        <v>0</v>
      </c>
      <c r="F2699" s="71">
        <f>+_xlfn.XLOOKUP(Tabla6[[#This Row],[ID CLIENTE]],'RESUMEN CLIENTES'!D:D,'RESUMEN CLIENTES'!W:W)</f>
        <v>0</v>
      </c>
      <c r="G2699" s="17">
        <v>46817</v>
      </c>
      <c r="H2699" s="169" t="s">
        <v>81</v>
      </c>
      <c r="I2699" s="2">
        <v>650</v>
      </c>
      <c r="J2699"/>
      <c r="K2699"/>
      <c r="L2699" s="44" t="str" cm="1">
        <f t="array" ref="L2699">+_xlfn.IFS(COUNTIF(INGRESOS!E:E,Tabla6[[#This Row],[ID FACTURA]])=1,"PAGADA",Tabla6[[#This Row],[ID FACTURA]]&lt;&gt;0,"EMITIDA",Tabla6[[#This Row],[ID FACTURA]]=0,"POR EMITIR")</f>
        <v>POR EMITIR</v>
      </c>
      <c r="M2699" s="54" t="str">
        <f>+IF(Tabla6[[#This Row],[ESTADO FACTURA]]="PAGADA",Tabla6[[#This Row],[FECHA]]-_xlfn.XLOOKUP(Tabla6[[#This Row],[N° FACTURA]],INGRESOS!F:F,INGRESOS!A:A),"-")</f>
        <v>-</v>
      </c>
      <c r="O2699"/>
    </row>
    <row r="2700" spans="1:15">
      <c r="A2700" s="320" t="s">
        <v>1945</v>
      </c>
      <c r="B2700" t="str">
        <f>+_xlfn.XLOOKUP(Tabla6[[#This Row],[ID CLIENTE]],'RESUMEN CLIENTES'!D:D,'RESUMEN CLIENTES'!A:A)</f>
        <v>Fernanda Constanza Kompai Antu Arellano Guzmán</v>
      </c>
      <c r="C2700" t="str">
        <f>+_xlfn.XLOOKUP(Tabla6[[#This Row],[ID CLIENTE]],'RESUMEN CLIENTES'!D:D,'RESUMEN CLIENTES'!C:C)</f>
        <v>Chile</v>
      </c>
      <c r="D2700" s="169" t="str">
        <f>+_xlfn.XLOOKUP(Tabla6[[#This Row],[ID CLIENTE]],'RESUMEN CLIENTES'!D:D,'RESUMEN CLIENTES'!M:M)</f>
        <v>OK</v>
      </c>
      <c r="E2700" s="71">
        <f>+_xlfn.XLOOKUP(Tabla6[[#This Row],[NOMBRE]],'RESUMEN CLIENTES'!A:A,'RESUMEN CLIENTES'!X:X)</f>
        <v>0</v>
      </c>
      <c r="F2700" s="71">
        <f>+_xlfn.XLOOKUP(Tabla6[[#This Row],[ID CLIENTE]],'RESUMEN CLIENTES'!D:D,'RESUMEN CLIENTES'!W:W)</f>
        <v>0</v>
      </c>
      <c r="G2700" s="170">
        <v>46827</v>
      </c>
      <c r="H2700" s="170" t="s">
        <v>81</v>
      </c>
      <c r="I2700" s="2">
        <v>650</v>
      </c>
      <c r="J2700"/>
      <c r="K2700"/>
      <c r="L2700" s="44" t="str" cm="1">
        <f t="array" ref="L2700">+_xlfn.IFS(COUNTIF(INGRESOS!E:E,Tabla6[[#This Row],[ID FACTURA]])=1,"PAGADA",Tabla6[[#This Row],[ID FACTURA]]&lt;&gt;0,"EMITIDA",Tabla6[[#This Row],[ID FACTURA]]=0,"POR EMITIR")</f>
        <v>POR EMITIR</v>
      </c>
      <c r="M2700" s="54" t="str">
        <f>+IF(Tabla6[[#This Row],[ESTADO FACTURA]]="PAGADA",Tabla6[[#This Row],[FECHA]]-_xlfn.XLOOKUP(Tabla6[[#This Row],[N° FACTURA]],INGRESOS!F:F,INGRESOS!A:A),"-")</f>
        <v>-</v>
      </c>
      <c r="O2700"/>
    </row>
    <row r="2701" spans="1:15">
      <c r="A2701" s="320" t="s">
        <v>6035</v>
      </c>
      <c r="B2701" t="str">
        <f>+_xlfn.XLOOKUP(Tabla6[[#This Row],[ID CLIENTE]],'RESUMEN CLIENTES'!D:D,'RESUMEN CLIENTES'!A:A)</f>
        <v>Ari Sifuentes Becerra</v>
      </c>
      <c r="C2701" s="15" t="str">
        <f>+_xlfn.XLOOKUP(Tabla6[[#This Row],[ID CLIENTE]],'RESUMEN CLIENTES'!D:D,'RESUMEN CLIENTES'!C:C)</f>
        <v>México</v>
      </c>
      <c r="D2701" s="169" t="str">
        <f>+_xlfn.XLOOKUP(Tabla6[[#This Row],[ID CLIENTE]],'RESUMEN CLIENTES'!D:D,'RESUMEN CLIENTES'!M:M)</f>
        <v>OK</v>
      </c>
      <c r="E2701" s="71">
        <f>+_xlfn.XLOOKUP(Tabla6[[#This Row],[NOMBRE]],'RESUMEN CLIENTES'!A:A,'RESUMEN CLIENTES'!X:X)</f>
        <v>-1</v>
      </c>
      <c r="F2701" s="71">
        <f>+_xlfn.XLOOKUP(Tabla6[[#This Row],[ID CLIENTE]],'RESUMEN CLIENTES'!D:D,'RESUMEN CLIENTES'!W:W)</f>
        <v>0</v>
      </c>
      <c r="G2701" s="17">
        <v>46844</v>
      </c>
      <c r="H2701" s="169" t="s">
        <v>1876</v>
      </c>
      <c r="I2701" s="2">
        <v>800</v>
      </c>
      <c r="J2701"/>
      <c r="K2701"/>
      <c r="L2701" s="44" t="str" cm="1">
        <f t="array" ref="L2701">+_xlfn.IFS(COUNTIF(INGRESOS!E:E,Tabla6[[#This Row],[ID FACTURA]])=1,"PAGADA",Tabla6[[#This Row],[ID FACTURA]]&lt;&gt;0,"EMITIDA",Tabla6[[#This Row],[ID FACTURA]]=0,"POR EMITIR")</f>
        <v>POR EMITIR</v>
      </c>
      <c r="M2701" s="54" t="str">
        <f>+IF(Tabla6[[#This Row],[ESTADO FACTURA]]="PAGADA",Tabla6[[#This Row],[FECHA]]-_xlfn.XLOOKUP(Tabla6[[#This Row],[N° FACTURA]],INGRESOS!F:F,INGRESOS!A:A),"-")</f>
        <v>-</v>
      </c>
      <c r="O2701"/>
    </row>
    <row r="2702" spans="1:15">
      <c r="A2702" s="321" t="s">
        <v>1870</v>
      </c>
      <c r="B2702" t="str">
        <f>+_xlfn.XLOOKUP(Tabla6[[#This Row],[ID CLIENTE]],'RESUMEN CLIENTES'!D:D,'RESUMEN CLIENTES'!A:A)</f>
        <v>Berenisse Shadia Yarango Garay</v>
      </c>
      <c r="C2702" t="str">
        <f>+_xlfn.XLOOKUP(Tabla6[[#This Row],[ID CLIENTE]],'RESUMEN CLIENTES'!D:D,'RESUMEN CLIENTES'!C:C)</f>
        <v>Perú</v>
      </c>
      <c r="D2702" s="169" t="str">
        <f>+_xlfn.XLOOKUP(Tabla6[[#This Row],[ID CLIENTE]],'RESUMEN CLIENTES'!D:D,'RESUMEN CLIENTES'!M:M)</f>
        <v>OK</v>
      </c>
      <c r="E2702" s="71">
        <f>+_xlfn.XLOOKUP(Tabla6[[#This Row],[NOMBRE]],'RESUMEN CLIENTES'!A:A,'RESUMEN CLIENTES'!X:X)</f>
        <v>-0.33333333333333331</v>
      </c>
      <c r="F2702" s="71">
        <f>+_xlfn.XLOOKUP(Tabla6[[#This Row],[ID CLIENTE]],'RESUMEN CLIENTES'!D:D,'RESUMEN CLIENTES'!W:W)</f>
        <v>0</v>
      </c>
      <c r="G2702" s="17">
        <f>IF($H2702&lt;&gt;"ALEM","",IFERROR(
  DATE(
    YEAR(EDATE(
      _xlfn.XLOOKUP($A2702,'RESUMEN CLIENTES'!$D:$D,'RESUMEN CLIENTES'!$Y:$Y,""),
      7 + COUNTIFS(
            $A$2:INDEX($A:$A,ROW()), $A2702,
            $H$2:INDEX($H:$H,ROW()), "ALEM"
          )
    )),
    MONTH(EDATE(
      _xlfn.XLOOKUP($A2702,'RESUMEN CLIENTES'!$D:$D,'RESUMEN CLIENTES'!$Y:$Y,""),
      7 + COUNTIFS(
            $A$2:INDEX($A:$A,ROW()), $A2702,
            $H$2:INDEX($H:$H,ROW()), "ALEM"
          )
    )),
    1
  ),
"null"))</f>
        <v>46844</v>
      </c>
      <c r="H2702" s="169" t="s">
        <v>1876</v>
      </c>
      <c r="I2702" s="2">
        <v>800</v>
      </c>
      <c r="J2702"/>
      <c r="K2702"/>
      <c r="L2702" s="44" t="str" cm="1">
        <f t="array" ref="L2702">+_xlfn.IFS(COUNTIF(INGRESOS!E:E,Tabla6[[#This Row],[ID FACTURA]])=1,"PAGADA",Tabla6[[#This Row],[ID FACTURA]]&lt;&gt;0,"EMITIDA",Tabla6[[#This Row],[ID FACTURA]]=0,"POR EMITIR")</f>
        <v>POR EMITIR</v>
      </c>
      <c r="M2702" s="54" t="str">
        <f>+IF(Tabla6[[#This Row],[ESTADO FACTURA]]="PAGADA",Tabla6[[#This Row],[FECHA]]-_xlfn.XLOOKUP(Tabla6[[#This Row],[N° FACTURA]],INGRESOS!F:F,INGRESOS!A:A),"-")</f>
        <v>-</v>
      </c>
      <c r="O2702"/>
    </row>
    <row r="2703" spans="1:15">
      <c r="A2703" s="320" t="s">
        <v>184</v>
      </c>
      <c r="B2703" t="str">
        <f>+_xlfn.XLOOKUP(Tabla6[[#This Row],[ID CLIENTE]],'RESUMEN CLIENTES'!D:D,'RESUMEN CLIENTES'!A:A)</f>
        <v>Boris Andrés Silva Véliz</v>
      </c>
      <c r="C2703" t="str">
        <f>+_xlfn.XLOOKUP(Tabla6[[#This Row],[ID CLIENTE]],'RESUMEN CLIENTES'!D:D,'RESUMEN CLIENTES'!C:C)</f>
        <v>Chile</v>
      </c>
      <c r="D2703" s="44" t="str">
        <f>+_xlfn.XLOOKUP(Tabla6[[#This Row],[ID CLIENTE]],'RESUMEN CLIENTES'!D:D,'RESUMEN CLIENTES'!M:M)</f>
        <v>OK</v>
      </c>
      <c r="E2703" s="72">
        <f>+_xlfn.XLOOKUP(Tabla6[[#This Row],[NOMBRE]],'RESUMEN CLIENTES'!A:A,'RESUMEN CLIENTES'!X:X)</f>
        <v>2.1111111111111112</v>
      </c>
      <c r="F2703" s="72">
        <f>+_xlfn.XLOOKUP(Tabla6[[#This Row],[ID CLIENTE]],'RESUMEN CLIENTES'!D:D,'RESUMEN CLIENTES'!W:W)</f>
        <v>0</v>
      </c>
      <c r="G2703" s="17">
        <f>IF($H2703&lt;&gt;"ALEM","",IFERROR(
  DATE(
    YEAR(EDATE(
      _xlfn.XLOOKUP($A2703,'RESUMEN CLIENTES'!$D:$D,'RESUMEN CLIENTES'!$Y:$Y,""),
      7 + COUNTIFS(
            $A$2:INDEX($A:$A,ROW()), $A2703,
            $H$2:INDEX($H:$H,ROW()), "ALEM"
          )
    )),
    MONTH(EDATE(
      _xlfn.XLOOKUP($A2703,'RESUMEN CLIENTES'!$D:$D,'RESUMEN CLIENTES'!$Y:$Y,""),
      7 + COUNTIFS(
            $A$2:INDEX($A:$A,ROW()), $A2703,
            $H$2:INDEX($H:$H,ROW()), "ALEM"
          )
    )),
    1
  ),
"SIN FECHA MIG"))</f>
        <v>46844</v>
      </c>
      <c r="H2703" s="44" t="s">
        <v>1876</v>
      </c>
      <c r="I2703" s="2">
        <v>458</v>
      </c>
      <c r="J2703"/>
      <c r="K2703"/>
      <c r="L2703" s="44" t="str" cm="1">
        <f t="array" ref="L2703">+_xlfn.IFS(COUNTIF(INGRESOS!E:E,Tabla6[[#This Row],[ID FACTURA]])=1,"PAGADA",Tabla6[[#This Row],[ID FACTURA]]&lt;&gt;0,"EMITIDA",Tabla6[[#This Row],[ID FACTURA]]=0,"POR EMITIR")</f>
        <v>POR EMITIR</v>
      </c>
      <c r="M2703" s="55" t="str">
        <f>+IF(Tabla6[[#This Row],[ESTADO FACTURA]]="PAGADA",Tabla6[[#This Row],[FECHA]]-_xlfn.XLOOKUP(Tabla6[[#This Row],[N° FACTURA]],INGRESOS!F:F,INGRESOS!A:A),"-")</f>
        <v>-</v>
      </c>
      <c r="N2703" s="2"/>
      <c r="O2703"/>
    </row>
    <row r="2704" spans="1:15">
      <c r="A2704" s="320" t="s">
        <v>1178</v>
      </c>
      <c r="B2704" t="str">
        <f>+_xlfn.XLOOKUP(Tabla6[[#This Row],[ID CLIENTE]],'RESUMEN CLIENTES'!D:D,'RESUMEN CLIENTES'!A:A)</f>
        <v>Daniel Flores</v>
      </c>
      <c r="C2704" t="str">
        <f>+_xlfn.XLOOKUP(Tabla6[[#This Row],[ID CLIENTE]],'RESUMEN CLIENTES'!D:D,'RESUMEN CLIENTES'!C:C)</f>
        <v>Ecuador</v>
      </c>
      <c r="D2704" s="44" t="str">
        <f>+_xlfn.XLOOKUP(Tabla6[[#This Row],[ID CLIENTE]],'RESUMEN CLIENTES'!D:D,'RESUMEN CLIENTES'!M:M)</f>
        <v>OK</v>
      </c>
      <c r="E2704" s="72">
        <f>+_xlfn.XLOOKUP(Tabla6[[#This Row],[NOMBRE]],'RESUMEN CLIENTES'!A:A,'RESUMEN CLIENTES'!X:X)</f>
        <v>3.8333333333333335</v>
      </c>
      <c r="F2704" s="72">
        <f>+_xlfn.XLOOKUP(Tabla6[[#This Row],[ID CLIENTE]],'RESUMEN CLIENTES'!D:D,'RESUMEN CLIENTES'!W:W)</f>
        <v>1</v>
      </c>
      <c r="G2704" s="17">
        <f>IF($H2704&lt;&gt;"ALEM","",IFERROR(
  DATE(
    YEAR(EDATE(
      _xlfn.XLOOKUP($A2704,'RESUMEN CLIENTES'!$D:$D,'RESUMEN CLIENTES'!$Y:$Y,""),
      7 + COUNTIFS(
            $A$2:INDEX($A:$A,ROW()), $A2704,
            $H$2:INDEX($H:$H,ROW()), "ALEM"
          )
    )),
    MONTH(EDATE(
      _xlfn.XLOOKUP($A2704,'RESUMEN CLIENTES'!$D:$D,'RESUMEN CLIENTES'!$Y:$Y,""),
      7 + COUNTIFS(
            $A$2:INDEX($A:$A,ROW()), $A2704,
            $H$2:INDEX($H:$H,ROW()), "ALEM"
          )
    )),
    1
  ),
"SIN FECHA MIG"))</f>
        <v>46844</v>
      </c>
      <c r="H2704" s="44" t="s">
        <v>1876</v>
      </c>
      <c r="I2704" s="2">
        <v>800</v>
      </c>
      <c r="J2704"/>
      <c r="K2704"/>
      <c r="L2704" s="44" t="str" cm="1">
        <f t="array" ref="L2704">+_xlfn.IFS(COUNTIF(INGRESOS!E:E,Tabla6[[#This Row],[ID FACTURA]])=1,"PAGADA",Tabla6[[#This Row],[ID FACTURA]]&lt;&gt;0,"EMITIDA",Tabla6[[#This Row],[ID FACTURA]]=0,"POR EMITIR")</f>
        <v>POR EMITIR</v>
      </c>
      <c r="M2704" s="55" t="str">
        <f>+IF(Tabla6[[#This Row],[ESTADO FACTURA]]="PAGADA",Tabla6[[#This Row],[FECHA]]-_xlfn.XLOOKUP(Tabla6[[#This Row],[N° FACTURA]],INGRESOS!F:F,INGRESOS!A:A),"-")</f>
        <v>-</v>
      </c>
      <c r="N2704" s="2"/>
      <c r="O2704" t="s">
        <v>2084</v>
      </c>
    </row>
    <row r="2705" spans="1:15">
      <c r="A2705" s="320" t="s">
        <v>4660</v>
      </c>
      <c r="B2705" t="str">
        <f>+_xlfn.XLOOKUP(Tabla6[[#This Row],[ID CLIENTE]],'RESUMEN CLIENTES'!D:D,'RESUMEN CLIENTES'!A:A)</f>
        <v>Edipris Flores</v>
      </c>
      <c r="C2705" s="15" t="str">
        <f>+_xlfn.XLOOKUP(Tabla6[[#This Row],[ID CLIENTE]],'RESUMEN CLIENTES'!D:D,'RESUMEN CLIENTES'!C:C)</f>
        <v>Chile</v>
      </c>
      <c r="D2705" s="169" t="str">
        <f>+_xlfn.XLOOKUP(Tabla6[[#This Row],[ID CLIENTE]],'RESUMEN CLIENTES'!D:D,'RESUMEN CLIENTES'!M:M)</f>
        <v>OK</v>
      </c>
      <c r="E2705" s="71">
        <f>+_xlfn.XLOOKUP(Tabla6[[#This Row],[NOMBRE]],'RESUMEN CLIENTES'!A:A,'RESUMEN CLIENTES'!X:X)</f>
        <v>-4</v>
      </c>
      <c r="F2705" s="71">
        <f>+_xlfn.XLOOKUP(Tabla6[[#This Row],[ID CLIENTE]],'RESUMEN CLIENTES'!D:D,'RESUMEN CLIENTES'!W:W)</f>
        <v>0</v>
      </c>
      <c r="G2705" s="17">
        <f>IF($H2705&lt;&gt;"ALEM","",IFERROR(
  DATE(
    YEAR(EDATE(
      _xlfn.XLOOKUP($A2705,'RESUMEN CLIENTES'!$D:$D,'RESUMEN CLIENTES'!$Y:$Y,""),
      7 + COUNTIFS(
            $A$2:INDEX($A:$A,ROW()), $A2705,
            $H$2:INDEX($H:$H,ROW()), "ALEM"
          )
    )),
    MONTH(EDATE(
      _xlfn.XLOOKUP($A2705,'RESUMEN CLIENTES'!$D:$D,'RESUMEN CLIENTES'!$Y:$Y,""),
      7 + COUNTIFS(
            $A$2:INDEX($A:$A,ROW()), $A2705,
            $H$2:INDEX($H:$H,ROW()), "ALEM"
          )
    )),
    1
  ),
"null"))</f>
        <v>46844</v>
      </c>
      <c r="H2705" s="169" t="s">
        <v>1876</v>
      </c>
      <c r="I2705" s="2">
        <v>800</v>
      </c>
      <c r="J2705"/>
      <c r="K2705"/>
      <c r="L2705" s="44" t="str" cm="1">
        <f t="array" ref="L2705">+_xlfn.IFS(COUNTIF(INGRESOS!E:E,Tabla6[[#This Row],[ID FACTURA]])=1,"PAGADA",Tabla6[[#This Row],[ID FACTURA]]&lt;&gt;0,"EMITIDA",Tabla6[[#This Row],[ID FACTURA]]=0,"POR EMITIR")</f>
        <v>POR EMITIR</v>
      </c>
      <c r="M2705" s="54" t="str">
        <f>+IF(Tabla6[[#This Row],[ESTADO FACTURA]]="PAGADA",Tabla6[[#This Row],[FECHA]]-_xlfn.XLOOKUP(Tabla6[[#This Row],[N° FACTURA]],INGRESOS!F:F,INGRESOS!A:A),"-")</f>
        <v>-</v>
      </c>
      <c r="O2705"/>
    </row>
    <row r="2706" spans="1:15">
      <c r="A2706" s="321" t="s">
        <v>519</v>
      </c>
      <c r="B2706" t="str">
        <f>+_xlfn.XLOOKUP(Tabla6[[#This Row],[ID CLIENTE]],'RESUMEN CLIENTES'!D:D,'RESUMEN CLIENTES'!A:A)</f>
        <v>Elaine Acosta Cabrera</v>
      </c>
      <c r="C2706" t="str">
        <f>+_xlfn.XLOOKUP(Tabla6[[#This Row],[ID CLIENTE]],'RESUMEN CLIENTES'!D:D,'RESUMEN CLIENTES'!C:C)</f>
        <v>República Dominicana</v>
      </c>
      <c r="D2706" s="169" t="str">
        <f>+_xlfn.XLOOKUP(Tabla6[[#This Row],[ID CLIENTE]],'RESUMEN CLIENTES'!D:D,'RESUMEN CLIENTES'!M:M)</f>
        <v>OK</v>
      </c>
      <c r="E2706" s="71">
        <f>+_xlfn.XLOOKUP(Tabla6[[#This Row],[NOMBRE]],'RESUMEN CLIENTES'!A:A,'RESUMEN CLIENTES'!X:X)</f>
        <v>0</v>
      </c>
      <c r="F2706" s="71">
        <f>+_xlfn.XLOOKUP(Tabla6[[#This Row],[ID CLIENTE]],'RESUMEN CLIENTES'!D:D,'RESUMEN CLIENTES'!W:W)</f>
        <v>1</v>
      </c>
      <c r="G2706" s="17">
        <f>IF($H2706&lt;&gt;"ALEM","",IFERROR(
  DATE(
    YEAR(EDATE(
      _xlfn.XLOOKUP($A2706,'RESUMEN CLIENTES'!$D:$D,'RESUMEN CLIENTES'!$Y:$Y,""),
      7 + COUNTIFS(
            $A$2:INDEX($A:$A,ROW()), $A2706,
            $H$2:INDEX($H:$H,ROW()), "ALEM"
          )
    )),
    MONTH(EDATE(
      _xlfn.XLOOKUP($A2706,'RESUMEN CLIENTES'!$D:$D,'RESUMEN CLIENTES'!$Y:$Y,""),
      7 + COUNTIFS(
            $A$2:INDEX($A:$A,ROW()), $A2706,
            $H$2:INDEX($H:$H,ROW()), "ALEM"
          )
    )),
    1
  ),
"null"))</f>
        <v>46844</v>
      </c>
      <c r="H2706" s="169" t="s">
        <v>1876</v>
      </c>
      <c r="I2706" s="2">
        <v>1000</v>
      </c>
      <c r="J2706"/>
      <c r="K2706"/>
      <c r="L2706" s="44" t="str" cm="1">
        <f t="array" ref="L2706">+_xlfn.IFS(COUNTIF(INGRESOS!E:E,Tabla6[[#This Row],[ID FACTURA]])=1,"PAGADA",Tabla6[[#This Row],[ID FACTURA]]&lt;&gt;0,"EMITIDA",Tabla6[[#This Row],[ID FACTURA]]=0,"POR EMITIR")</f>
        <v>POR EMITIR</v>
      </c>
      <c r="M2706" s="54" t="str">
        <f>+IF(Tabla6[[#This Row],[ESTADO FACTURA]]="PAGADA",Tabla6[[#This Row],[FECHA]]-_xlfn.XLOOKUP(Tabla6[[#This Row],[N° FACTURA]],INGRESOS!F:F,INGRESOS!A:A),"-")</f>
        <v>-</v>
      </c>
      <c r="O2706"/>
    </row>
    <row r="2707" spans="1:15">
      <c r="A2707" s="320" t="s">
        <v>1248</v>
      </c>
      <c r="B2707" t="str">
        <f>+_xlfn.XLOOKUP(Tabla6[[#This Row],[ID CLIENTE]],'RESUMEN CLIENTES'!D:D,'RESUMEN CLIENTES'!A:A)</f>
        <v>Emily Vanessa Tapia Villalobos</v>
      </c>
      <c r="C2707" t="str">
        <f>+_xlfn.XLOOKUP(Tabla6[[#This Row],[ID CLIENTE]],'RESUMEN CLIENTES'!D:D,'RESUMEN CLIENTES'!C:C)</f>
        <v>Chile</v>
      </c>
      <c r="D2707" s="44" t="str">
        <f>+_xlfn.XLOOKUP(Tabla6[[#This Row],[ID CLIENTE]],'RESUMEN CLIENTES'!D:D,'RESUMEN CLIENTES'!M:M)</f>
        <v>OK</v>
      </c>
      <c r="E2707" s="71">
        <f>+_xlfn.XLOOKUP(Tabla6[[#This Row],[NOMBRE]],'RESUMEN CLIENTES'!A:A,'RESUMEN CLIENTES'!X:X)</f>
        <v>0.33333333333333331</v>
      </c>
      <c r="F2707" s="71">
        <f>+_xlfn.XLOOKUP(Tabla6[[#This Row],[ID CLIENTE]],'RESUMEN CLIENTES'!D:D,'RESUMEN CLIENTES'!W:W)</f>
        <v>0</v>
      </c>
      <c r="G2707" s="17">
        <f>IF($H2707&lt;&gt;"ALEM","",IFERROR(
  DATE(
    YEAR(EDATE(
      _xlfn.XLOOKUP($A2707,'RESUMEN CLIENTES'!$D:$D,'RESUMEN CLIENTES'!$Y:$Y,""),
      7 + COUNTIFS(
            $A$2:INDEX($A:$A,ROW()), $A2707,
            $H$2:INDEX($H:$H,ROW()), "ALEM"
          )
    )),
    MONTH(EDATE(
      _xlfn.XLOOKUP($A2707,'RESUMEN CLIENTES'!$D:$D,'RESUMEN CLIENTES'!$Y:$Y,""),
      7 + COUNTIFS(
            $A$2:INDEX($A:$A,ROW()), $A2707,
            $H$2:INDEX($H:$H,ROW()), "ALEM"
          )
    )),
    1
  ),
"SIN FECHA MIG"))</f>
        <v>46844</v>
      </c>
      <c r="H2707" s="44" t="s">
        <v>1876</v>
      </c>
      <c r="I2707" s="2">
        <v>800</v>
      </c>
      <c r="J2707"/>
      <c r="K2707"/>
      <c r="L2707" s="44" t="str" cm="1">
        <f t="array" ref="L2707">+_xlfn.IFS(COUNTIF(INGRESOS!E:E,Tabla6[[#This Row],[ID FACTURA]])=1,"PAGADA",Tabla6[[#This Row],[ID FACTURA]]&lt;&gt;0,"EMITIDA",Tabla6[[#This Row],[ID FACTURA]]=0,"POR EMITIR")</f>
        <v>POR EMITIR</v>
      </c>
      <c r="M2707" s="55" t="str">
        <f>+IF(Tabla6[[#This Row],[ESTADO FACTURA]]="PAGADA",Tabla6[[#This Row],[FECHA]]-_xlfn.XLOOKUP(Tabla6[[#This Row],[N° FACTURA]],INGRESOS!F:F,INGRESOS!A:A),"-")</f>
        <v>-</v>
      </c>
      <c r="N2707" s="2"/>
      <c r="O2707" t="s">
        <v>2086</v>
      </c>
    </row>
    <row r="2708" spans="1:15">
      <c r="A2708" s="320" t="s">
        <v>1251</v>
      </c>
      <c r="B2708" t="str">
        <f>+_xlfn.XLOOKUP(Tabla6[[#This Row],[ID CLIENTE]],'RESUMEN CLIENTES'!D:D,'RESUMEN CLIENTES'!A:A)</f>
        <v>Erick Ernesto Angulo Campos</v>
      </c>
      <c r="C2708" t="str">
        <f>+_xlfn.XLOOKUP(Tabla6[[#This Row],[ID CLIENTE]],'RESUMEN CLIENTES'!D:D,'RESUMEN CLIENTES'!C:C)</f>
        <v>Chile</v>
      </c>
      <c r="D2708" s="44" t="str">
        <f>+_xlfn.XLOOKUP(Tabla6[[#This Row],[ID CLIENTE]],'RESUMEN CLIENTES'!D:D,'RESUMEN CLIENTES'!M:M)</f>
        <v>OK</v>
      </c>
      <c r="E2708" s="71">
        <f>+_xlfn.XLOOKUP(Tabla6[[#This Row],[NOMBRE]],'RESUMEN CLIENTES'!A:A,'RESUMEN CLIENTES'!X:X)</f>
        <v>-0.66666666666666663</v>
      </c>
      <c r="F2708" s="71">
        <f>+_xlfn.XLOOKUP(Tabla6[[#This Row],[ID CLIENTE]],'RESUMEN CLIENTES'!D:D,'RESUMEN CLIENTES'!W:W)</f>
        <v>0</v>
      </c>
      <c r="G2708" s="17">
        <f>IF($H2708&lt;&gt;"ALEM","",IFERROR(
  DATE(
    YEAR(EDATE(
      _xlfn.XLOOKUP($A2708,'RESUMEN CLIENTES'!$D:$D,'RESUMEN CLIENTES'!$Y:$Y,""),
      7 + COUNTIFS(
            $A$2:INDEX($A:$A,ROW()), $A2708,
            $H$2:INDEX($H:$H,ROW()), "ALEM"
          )
    )),
    MONTH(EDATE(
      _xlfn.XLOOKUP($A2708,'RESUMEN CLIENTES'!$D:$D,'RESUMEN CLIENTES'!$Y:$Y,""),
      7 + COUNTIFS(
            $A$2:INDEX($A:$A,ROW()), $A2708,
            $H$2:INDEX($H:$H,ROW()), "ALEM"
          )
    )),
    1
  ),
"SIN FECHA MIG"))</f>
        <v>46844</v>
      </c>
      <c r="H2708" s="44" t="s">
        <v>1876</v>
      </c>
      <c r="I2708" s="2">
        <v>800</v>
      </c>
      <c r="J2708"/>
      <c r="K2708"/>
      <c r="L2708" s="44" t="str" cm="1">
        <f t="array" ref="L2708">+_xlfn.IFS(COUNTIF(INGRESOS!E:E,Tabla6[[#This Row],[ID FACTURA]])=1,"PAGADA",Tabla6[[#This Row],[ID FACTURA]]&lt;&gt;0,"EMITIDA",Tabla6[[#This Row],[ID FACTURA]]=0,"POR EMITIR")</f>
        <v>POR EMITIR</v>
      </c>
      <c r="M2708" s="55" t="str">
        <f>+IF(Tabla6[[#This Row],[ESTADO FACTURA]]="PAGADA",Tabla6[[#This Row],[FECHA]]-_xlfn.XLOOKUP(Tabla6[[#This Row],[N° FACTURA]],INGRESOS!F:F,INGRESOS!A:A),"-")</f>
        <v>-</v>
      </c>
      <c r="N2708" s="2"/>
      <c r="O2708" t="s">
        <v>2084</v>
      </c>
    </row>
    <row r="2709" spans="1:15">
      <c r="A2709" s="320" t="s">
        <v>1945</v>
      </c>
      <c r="B2709" t="str">
        <f>+_xlfn.XLOOKUP(Tabla6[[#This Row],[ID CLIENTE]],'RESUMEN CLIENTES'!D:D,'RESUMEN CLIENTES'!A:A)</f>
        <v>Fernanda Constanza Kompai Antu Arellano Guzmán</v>
      </c>
      <c r="C2709" t="str">
        <f>+_xlfn.XLOOKUP(Tabla6[[#This Row],[ID CLIENTE]],'RESUMEN CLIENTES'!D:D,'RESUMEN CLIENTES'!C:C)</f>
        <v>Chile</v>
      </c>
      <c r="D2709" s="169" t="str">
        <f>+_xlfn.XLOOKUP(Tabla6[[#This Row],[ID CLIENTE]],'RESUMEN CLIENTES'!D:D,'RESUMEN CLIENTES'!M:M)</f>
        <v>OK</v>
      </c>
      <c r="E2709" s="71">
        <f>+_xlfn.XLOOKUP(Tabla6[[#This Row],[NOMBRE]],'RESUMEN CLIENTES'!A:A,'RESUMEN CLIENTES'!X:X)</f>
        <v>0</v>
      </c>
      <c r="F2709" s="71">
        <f>+_xlfn.XLOOKUP(Tabla6[[#This Row],[ID CLIENTE]],'RESUMEN CLIENTES'!D:D,'RESUMEN CLIENTES'!W:W)</f>
        <v>0</v>
      </c>
      <c r="G2709" s="17">
        <f>IF($H2709&lt;&gt;"ALEM","",IFERROR(
  DATE(
    YEAR(EDATE(
      _xlfn.XLOOKUP($A2709,'RESUMEN CLIENTES'!$D:$D,'RESUMEN CLIENTES'!$Y:$Y,""),
      7 + COUNTIFS(
            $A$2:INDEX($A:$A,ROW()), $A2709,
            $H$2:INDEX($H:$H,ROW()), "ALEM"
          )
    )),
    MONTH(EDATE(
      _xlfn.XLOOKUP($A2709,'RESUMEN CLIENTES'!$D:$D,'RESUMEN CLIENTES'!$Y:$Y,""),
      7 + COUNTIFS(
            $A$2:INDEX($A:$A,ROW()), $A2709,
            $H$2:INDEX($H:$H,ROW()), "ALEM"
          )
    )),
    1
  ),
"null"))</f>
        <v>46844</v>
      </c>
      <c r="H2709" s="170" t="s">
        <v>1876</v>
      </c>
      <c r="I2709" s="2">
        <v>800</v>
      </c>
      <c r="J2709"/>
      <c r="K2709"/>
      <c r="L2709" s="44" t="str" cm="1">
        <f t="array" ref="L2709">+_xlfn.IFS(COUNTIF(INGRESOS!E:E,Tabla6[[#This Row],[ID FACTURA]])=1,"PAGADA",Tabla6[[#This Row],[ID FACTURA]]&lt;&gt;0,"EMITIDA",Tabla6[[#This Row],[ID FACTURA]]=0,"POR EMITIR")</f>
        <v>POR EMITIR</v>
      </c>
      <c r="M2709" s="54" t="str">
        <f>+IF(Tabla6[[#This Row],[ESTADO FACTURA]]="PAGADA",Tabla6[[#This Row],[FECHA]]-_xlfn.XLOOKUP(Tabla6[[#This Row],[N° FACTURA]],INGRESOS!F:F,INGRESOS!A:A),"-")</f>
        <v>-</v>
      </c>
      <c r="O2709"/>
    </row>
    <row r="2710" spans="1:15">
      <c r="A2710" s="320" t="s">
        <v>787</v>
      </c>
      <c r="B2710" t="str">
        <f>+_xlfn.XLOOKUP(Tabla6[[#This Row],[ID CLIENTE]],'RESUMEN CLIENTES'!D:D,'RESUMEN CLIENTES'!A:A)</f>
        <v>Florencia Luján Sapia</v>
      </c>
      <c r="C2710" t="str">
        <f>+_xlfn.XLOOKUP(Tabla6[[#This Row],[ID CLIENTE]],'RESUMEN CLIENTES'!D:D,'RESUMEN CLIENTES'!C:C)</f>
        <v>Argentina</v>
      </c>
      <c r="D2710" s="44" t="str">
        <f>+_xlfn.XLOOKUP(Tabla6[[#This Row],[ID CLIENTE]],'RESUMEN CLIENTES'!D:D,'RESUMEN CLIENTES'!M:M)</f>
        <v>OK</v>
      </c>
      <c r="E2710" s="72">
        <f>+_xlfn.XLOOKUP(Tabla6[[#This Row],[NOMBRE]],'RESUMEN CLIENTES'!A:A,'RESUMEN CLIENTES'!X:X)</f>
        <v>-0.77777777777777779</v>
      </c>
      <c r="F2710" s="72">
        <f>+_xlfn.XLOOKUP(Tabla6[[#This Row],[ID CLIENTE]],'RESUMEN CLIENTES'!D:D,'RESUMEN CLIENTES'!W:W)</f>
        <v>1</v>
      </c>
      <c r="G2710" s="17">
        <f>IF($H2710&lt;&gt;"ALEM","",IFERROR(
  DATE(
    YEAR(EDATE(
      _xlfn.XLOOKUP($A2710,'RESUMEN CLIENTES'!$D:$D,'RESUMEN CLIENTES'!$Y:$Y,""),
      7 + COUNTIFS(
            $A$2:INDEX($A:$A,ROW()), $A2710,
            $H$2:INDEX($H:$H,ROW()), "ALEM"
          )
    )),
    MONTH(EDATE(
      _xlfn.XLOOKUP($A2710,'RESUMEN CLIENTES'!$D:$D,'RESUMEN CLIENTES'!$Y:$Y,""),
      7 + COUNTIFS(
            $A$2:INDEX($A:$A,ROW()), $A2710,
            $H$2:INDEX($H:$H,ROW()), "ALEM"
          )
    )),
    1
  ),
"SIN FECHA MIG"))</f>
        <v>46844</v>
      </c>
      <c r="H2710" s="44" t="s">
        <v>1876</v>
      </c>
      <c r="I2710" s="2">
        <v>1000</v>
      </c>
      <c r="J2710"/>
      <c r="K2710"/>
      <c r="L2710" s="44" t="str" cm="1">
        <f t="array" ref="L2710">+_xlfn.IFS(COUNTIF(INGRESOS!E:E,Tabla6[[#This Row],[ID FACTURA]])=1,"PAGADA",Tabla6[[#This Row],[ID FACTURA]]&lt;&gt;0,"EMITIDA",Tabla6[[#This Row],[ID FACTURA]]=0,"POR EMITIR")</f>
        <v>POR EMITIR</v>
      </c>
      <c r="M2710" s="55" t="str">
        <f>+IF(Tabla6[[#This Row],[ESTADO FACTURA]]="PAGADA",Tabla6[[#This Row],[FECHA]]-_xlfn.XLOOKUP(Tabla6[[#This Row],[N° FACTURA]],INGRESOS!F:F,INGRESOS!A:A),"-")</f>
        <v>-</v>
      </c>
      <c r="N2710" s="2"/>
      <c r="O2710" t="s">
        <v>2084</v>
      </c>
    </row>
    <row r="2711" spans="1:15">
      <c r="A2711" s="320" t="s">
        <v>139</v>
      </c>
      <c r="B2711" t="str">
        <f>+_xlfn.XLOOKUP(Tabla6[[#This Row],[ID CLIENTE]],'RESUMEN CLIENTES'!D:D,'RESUMEN CLIENTES'!A:A)</f>
        <v>Hugo Nicolás Trávez Morales</v>
      </c>
      <c r="C2711" t="str">
        <f>+_xlfn.XLOOKUP(Tabla6[[#This Row],[ID CLIENTE]],'RESUMEN CLIENTES'!D:D,'RESUMEN CLIENTES'!C:C)</f>
        <v>Ecuador</v>
      </c>
      <c r="D2711" s="169" t="str">
        <f>+_xlfn.XLOOKUP(Tabla6[[#This Row],[ID CLIENTE]],'RESUMEN CLIENTES'!D:D,'RESUMEN CLIENTES'!M:M)</f>
        <v>OK</v>
      </c>
      <c r="E2711" s="71">
        <f>+_xlfn.XLOOKUP(Tabla6[[#This Row],[NOMBRE]],'RESUMEN CLIENTES'!A:A,'RESUMEN CLIENTES'!X:X)</f>
        <v>0</v>
      </c>
      <c r="F2711" s="71">
        <f>+_xlfn.XLOOKUP(Tabla6[[#This Row],[ID CLIENTE]],'RESUMEN CLIENTES'!D:D,'RESUMEN CLIENTES'!W:W)</f>
        <v>0</v>
      </c>
      <c r="G2711" s="17">
        <f>IF($H2711&lt;&gt;"ALEM","",IFERROR(
  DATE(
    YEAR(EDATE(
      _xlfn.XLOOKUP($A2711,'RESUMEN CLIENTES'!$D:$D,'RESUMEN CLIENTES'!$Y:$Y,""),
      7 + COUNTIFS(
            $A$2:INDEX($A:$A,ROW()), $A2711,
            $H$2:INDEX($H:$H,ROW()), "ALEM"
          )
    )),
    MONTH(EDATE(
      _xlfn.XLOOKUP($A2711,'RESUMEN CLIENTES'!$D:$D,'RESUMEN CLIENTES'!$Y:$Y,""),
      7 + COUNTIFS(
            $A$2:INDEX($A:$A,ROW()), $A2711,
            $H$2:INDEX($H:$H,ROW()), "ALEM"
          )
    )),
    1
  ),
"null"))</f>
        <v>46844</v>
      </c>
      <c r="H2711" s="169" t="s">
        <v>1876</v>
      </c>
      <c r="I2711" s="2">
        <v>2000</v>
      </c>
      <c r="J2711"/>
      <c r="K2711"/>
      <c r="L2711" s="44" t="str" cm="1">
        <f t="array" ref="L2711">+_xlfn.IFS(COUNTIF(INGRESOS!E:E,Tabla6[[#This Row],[ID FACTURA]])=1,"PAGADA",Tabla6[[#This Row],[ID FACTURA]]&lt;&gt;0,"EMITIDA",Tabla6[[#This Row],[ID FACTURA]]=0,"POR EMITIR")</f>
        <v>POR EMITIR</v>
      </c>
      <c r="M2711" s="54" t="str">
        <f>+IF(Tabla6[[#This Row],[ESTADO FACTURA]]="PAGADA",Tabla6[[#This Row],[FECHA]]-_xlfn.XLOOKUP(Tabla6[[#This Row],[N° FACTURA]],INGRESOS!F:F,INGRESOS!A:A),"-")</f>
        <v>-</v>
      </c>
      <c r="O2711"/>
    </row>
    <row r="2712" spans="1:15">
      <c r="A2712" s="320" t="s">
        <v>1996</v>
      </c>
      <c r="B2712" t="str">
        <f>+_xlfn.XLOOKUP(Tabla6[[#This Row],[ID CLIENTE]],'RESUMEN CLIENTES'!D:D,'RESUMEN CLIENTES'!A:A)</f>
        <v>Ivan Gonzales Graus</v>
      </c>
      <c r="C2712" t="str">
        <f>+_xlfn.XLOOKUP(Tabla6[[#This Row],[ID CLIENTE]],'RESUMEN CLIENTES'!D:D,'RESUMEN CLIENTES'!C:C)</f>
        <v>Perú</v>
      </c>
      <c r="D2712" s="169" t="str">
        <f>+_xlfn.XLOOKUP(Tabla6[[#This Row],[ID CLIENTE]],'RESUMEN CLIENTES'!D:D,'RESUMEN CLIENTES'!M:M)</f>
        <v>OK</v>
      </c>
      <c r="E2712" s="71">
        <f>+_xlfn.XLOOKUP(Tabla6[[#This Row],[NOMBRE]],'RESUMEN CLIENTES'!A:A,'RESUMEN CLIENTES'!X:X)</f>
        <v>-2</v>
      </c>
      <c r="F2712" s="71">
        <f>+_xlfn.XLOOKUP(Tabla6[[#This Row],[ID CLIENTE]],'RESUMEN CLIENTES'!D:D,'RESUMEN CLIENTES'!W:W)</f>
        <v>1</v>
      </c>
      <c r="G2712" s="17">
        <f>IF($H2712&lt;&gt;"ALEM","",IFERROR(
  DATE(
    YEAR(EDATE(
      _xlfn.XLOOKUP($A2712,'RESUMEN CLIENTES'!$D:$D,'RESUMEN CLIENTES'!$Y:$Y,""),
      7 + COUNTIFS(
            $A$2:INDEX($A:$A,ROW()), $A2712,
            $H$2:INDEX($H:$H,ROW()), "ALEM"
          )
    )),
    MONTH(EDATE(
      _xlfn.XLOOKUP($A2712,'RESUMEN CLIENTES'!$D:$D,'RESUMEN CLIENTES'!$Y:$Y,""),
      7 + COUNTIFS(
            $A$2:INDEX($A:$A,ROW()), $A2712,
            $H$2:INDEX($H:$H,ROW()), "ALEM"
          )
    )),
    1
  ),
"null"))</f>
        <v>46844</v>
      </c>
      <c r="H2712" s="169" t="s">
        <v>1876</v>
      </c>
      <c r="I2712" s="2">
        <v>1000</v>
      </c>
      <c r="J2712"/>
      <c r="K2712"/>
      <c r="L2712" s="44" t="str" cm="1">
        <f t="array" ref="L2712">+_xlfn.IFS(COUNTIF(INGRESOS!E:E,Tabla6[[#This Row],[ID FACTURA]])=1,"PAGADA",Tabla6[[#This Row],[ID FACTURA]]&lt;&gt;0,"EMITIDA",Tabla6[[#This Row],[ID FACTURA]]=0,"POR EMITIR")</f>
        <v>POR EMITIR</v>
      </c>
      <c r="M2712" s="54" t="str">
        <f>+IF(Tabla6[[#This Row],[ESTADO FACTURA]]="PAGADA",Tabla6[[#This Row],[FECHA]]-_xlfn.XLOOKUP(Tabla6[[#This Row],[N° FACTURA]],INGRESOS!F:F,INGRESOS!A:A),"-")</f>
        <v>-</v>
      </c>
      <c r="O2712"/>
    </row>
    <row r="2713" spans="1:15">
      <c r="A2713" s="320" t="s">
        <v>1936</v>
      </c>
      <c r="B2713" t="str">
        <f>+_xlfn.XLOOKUP(Tabla6[[#This Row],[ID CLIENTE]],'RESUMEN CLIENTES'!D:D,'RESUMEN CLIENTES'!A:A)</f>
        <v>Jaime Kevin Mendez Arias</v>
      </c>
      <c r="C2713" t="str">
        <f>+_xlfn.XLOOKUP(Tabla6[[#This Row],[ID CLIENTE]],'RESUMEN CLIENTES'!D:D,'RESUMEN CLIENTES'!C:C)</f>
        <v>México</v>
      </c>
      <c r="D2713" s="169" t="str">
        <f>+_xlfn.XLOOKUP(Tabla6[[#This Row],[ID CLIENTE]],'RESUMEN CLIENTES'!D:D,'RESUMEN CLIENTES'!M:M)</f>
        <v>OK</v>
      </c>
      <c r="E2713" s="71">
        <f>+_xlfn.XLOOKUP(Tabla6[[#This Row],[NOMBRE]],'RESUMEN CLIENTES'!A:A,'RESUMEN CLIENTES'!X:X)</f>
        <v>1.6666666666666667</v>
      </c>
      <c r="F2713" s="71">
        <f>+_xlfn.XLOOKUP(Tabla6[[#This Row],[ID CLIENTE]],'RESUMEN CLIENTES'!D:D,'RESUMEN CLIENTES'!W:W)</f>
        <v>0</v>
      </c>
      <c r="G2713" s="17">
        <f>IF($H2713&lt;&gt;"ALEM","",IFERROR(
  DATE(
    YEAR(EDATE(
      _xlfn.XLOOKUP($A2713,'RESUMEN CLIENTES'!$D:$D,'RESUMEN CLIENTES'!$Y:$Y,""),
      7 + COUNTIFS(
            $A$2:INDEX($A:$A,ROW()), $A2713,
            $H$2:INDEX($H:$H,ROW()), "ALEM"
          )
    )),
    MONTH(EDATE(
      _xlfn.XLOOKUP($A2713,'RESUMEN CLIENTES'!$D:$D,'RESUMEN CLIENTES'!$Y:$Y,""),
      7 + COUNTIFS(
            $A$2:INDEX($A:$A,ROW()), $A2713,
            $H$2:INDEX($H:$H,ROW()), "ALEM"
          )
    )),
    1
  ),
"null"))</f>
        <v>46844</v>
      </c>
      <c r="H2713" s="169" t="s">
        <v>1876</v>
      </c>
      <c r="I2713" s="2">
        <v>800</v>
      </c>
      <c r="J2713"/>
      <c r="K2713"/>
      <c r="L2713" s="44" t="str" cm="1">
        <f t="array" ref="L2713">+_xlfn.IFS(COUNTIF(INGRESOS!E:E,Tabla6[[#This Row],[ID FACTURA]])=1,"PAGADA",Tabla6[[#This Row],[ID FACTURA]]&lt;&gt;0,"EMITIDA",Tabla6[[#This Row],[ID FACTURA]]=0,"POR EMITIR")</f>
        <v>POR EMITIR</v>
      </c>
      <c r="M2713" s="54" t="str">
        <f>+IF(Tabla6[[#This Row],[ESTADO FACTURA]]="PAGADA",Tabla6[[#This Row],[FECHA]]-_xlfn.XLOOKUP(Tabla6[[#This Row],[N° FACTURA]],INGRESOS!F:F,INGRESOS!A:A),"-")</f>
        <v>-</v>
      </c>
      <c r="O2713"/>
    </row>
    <row r="2714" spans="1:15">
      <c r="A2714" s="321" t="s">
        <v>1899</v>
      </c>
      <c r="B2714" t="str">
        <f>+_xlfn.XLOOKUP(Tabla6[[#This Row],[ID CLIENTE]],'RESUMEN CLIENTES'!D:D,'RESUMEN CLIENTES'!A:A)</f>
        <v>Johan Martínez</v>
      </c>
      <c r="C2714" t="str">
        <f>+_xlfn.XLOOKUP(Tabla6[[#This Row],[ID CLIENTE]],'RESUMEN CLIENTES'!D:D,'RESUMEN CLIENTES'!C:C)</f>
        <v>Colombia</v>
      </c>
      <c r="D2714" s="169" t="str">
        <f>+_xlfn.XLOOKUP(Tabla6[[#This Row],[ID CLIENTE]],'RESUMEN CLIENTES'!D:D,'RESUMEN CLIENTES'!M:M)</f>
        <v>OK</v>
      </c>
      <c r="E2714" s="71">
        <f>+_xlfn.XLOOKUP(Tabla6[[#This Row],[NOMBRE]],'RESUMEN CLIENTES'!A:A,'RESUMEN CLIENTES'!X:X)</f>
        <v>-0.66666666666666663</v>
      </c>
      <c r="F2714" s="71">
        <f>+_xlfn.XLOOKUP(Tabla6[[#This Row],[ID CLIENTE]],'RESUMEN CLIENTES'!D:D,'RESUMEN CLIENTES'!W:W)</f>
        <v>0</v>
      </c>
      <c r="G2714" s="17">
        <f>IF($H2714&lt;&gt;"ALEM","",IFERROR(
  DATE(
    YEAR(EDATE(
      _xlfn.XLOOKUP($A2714,'RESUMEN CLIENTES'!$D:$D,'RESUMEN CLIENTES'!$Y:$Y,""),
      7 + COUNTIFS(
            $A$2:INDEX($A:$A,ROW()), $A2714,
            $H$2:INDEX($H:$H,ROW()), "ALEM"
          )
    )),
    MONTH(EDATE(
      _xlfn.XLOOKUP($A2714,'RESUMEN CLIENTES'!$D:$D,'RESUMEN CLIENTES'!$Y:$Y,""),
      7 + COUNTIFS(
            $A$2:INDEX($A:$A,ROW()), $A2714,
            $H$2:INDEX($H:$H,ROW()), "ALEM"
          )
    )),
    1
  ),
"null"))</f>
        <v>46844</v>
      </c>
      <c r="H2714" s="169" t="s">
        <v>1876</v>
      </c>
      <c r="I2714" s="2">
        <v>800</v>
      </c>
      <c r="J2714"/>
      <c r="K2714"/>
      <c r="L2714" s="44" t="str" cm="1">
        <f t="array" ref="L2714">+_xlfn.IFS(COUNTIF(INGRESOS!E:E,Tabla6[[#This Row],[ID FACTURA]])=1,"PAGADA",Tabla6[[#This Row],[ID FACTURA]]&lt;&gt;0,"EMITIDA",Tabla6[[#This Row],[ID FACTURA]]=0,"POR EMITIR")</f>
        <v>POR EMITIR</v>
      </c>
      <c r="M2714" s="54" t="str">
        <f>+IF(Tabla6[[#This Row],[ESTADO FACTURA]]="PAGADA",Tabla6[[#This Row],[FECHA]]-_xlfn.XLOOKUP(Tabla6[[#This Row],[N° FACTURA]],INGRESOS!F:F,INGRESOS!A:A),"-")</f>
        <v>-</v>
      </c>
      <c r="O2714" t="s">
        <v>2086</v>
      </c>
    </row>
    <row r="2715" spans="1:15">
      <c r="A2715" s="320" t="s">
        <v>1437</v>
      </c>
      <c r="B2715" t="str">
        <f>+_xlfn.XLOOKUP(Tabla6[[#This Row],[ID CLIENTE]],'RESUMEN CLIENTES'!D:D,'RESUMEN CLIENTES'!A:A)</f>
        <v>Jorge Andres Galgani Muñoz</v>
      </c>
      <c r="C2715" t="str">
        <f>+_xlfn.XLOOKUP(Tabla6[[#This Row],[ID CLIENTE]],'RESUMEN CLIENTES'!D:D,'RESUMEN CLIENTES'!C:C)</f>
        <v>Chile</v>
      </c>
      <c r="D2715" s="44" t="str">
        <f>+_xlfn.XLOOKUP(Tabla6[[#This Row],[ID CLIENTE]],'RESUMEN CLIENTES'!D:D,'RESUMEN CLIENTES'!M:M)</f>
        <v>OK</v>
      </c>
      <c r="E2715" s="71">
        <f>+_xlfn.XLOOKUP(Tabla6[[#This Row],[NOMBRE]],'RESUMEN CLIENTES'!A:A,'RESUMEN CLIENTES'!X:X)</f>
        <v>-1.1428571428571428</v>
      </c>
      <c r="F2715" s="71">
        <f>+_xlfn.XLOOKUP(Tabla6[[#This Row],[ID CLIENTE]],'RESUMEN CLIENTES'!D:D,'RESUMEN CLIENTES'!W:W)</f>
        <v>1</v>
      </c>
      <c r="G2715" s="17">
        <f>IF($H2715&lt;&gt;"ALEM","",IFERROR(
  DATE(
    YEAR(EDATE(
      _xlfn.XLOOKUP($A2715,'RESUMEN CLIENTES'!$D:$D,'RESUMEN CLIENTES'!$Y:$Y,""),
      7 + COUNTIFS(
            $A$2:INDEX($A:$A,ROW()), $A2715,
            $H$2:INDEX($H:$H,ROW()), "ALEM"
          )
    )),
    MONTH(EDATE(
      _xlfn.XLOOKUP($A2715,'RESUMEN CLIENTES'!$D:$D,'RESUMEN CLIENTES'!$Y:$Y,""),
      7 + COUNTIFS(
            $A$2:INDEX($A:$A,ROW()), $A2715,
            $H$2:INDEX($H:$H,ROW()), "ALEM"
          )
    )),
    1
  ),
"SIN FECHA MIG"))</f>
        <v>46844</v>
      </c>
      <c r="H2715" s="169" t="s">
        <v>1876</v>
      </c>
      <c r="I2715" s="2">
        <v>800</v>
      </c>
      <c r="J2715"/>
      <c r="K2715"/>
      <c r="L2715" s="44" t="str" cm="1">
        <f t="array" ref="L2715">+_xlfn.IFS(COUNTIF(INGRESOS!E:E,Tabla6[[#This Row],[ID FACTURA]])=1,"PAGADA",Tabla6[[#This Row],[ID FACTURA]]&lt;&gt;0,"EMITIDA",Tabla6[[#This Row],[ID FACTURA]]=0,"POR EMITIR")</f>
        <v>POR EMITIR</v>
      </c>
      <c r="M2715" s="55" t="str">
        <f>+IF(Tabla6[[#This Row],[ESTADO FACTURA]]="PAGADA",Tabla6[[#This Row],[FECHA]]-_xlfn.XLOOKUP(Tabla6[[#This Row],[N° FACTURA]],INGRESOS!F:F,INGRESOS!A:A),"-")</f>
        <v>-</v>
      </c>
      <c r="N2715" s="2"/>
      <c r="O2715"/>
    </row>
    <row r="2716" spans="1:15">
      <c r="A2716" s="320" t="s">
        <v>4454</v>
      </c>
      <c r="B2716" t="str">
        <f>+_xlfn.XLOOKUP(Tabla6[[#This Row],[ID CLIENTE]],'RESUMEN CLIENTES'!D:D,'RESUMEN CLIENTES'!A:A)</f>
        <v>Jose Luis Avilez Casas</v>
      </c>
      <c r="C2716" t="str">
        <f>+_xlfn.XLOOKUP(Tabla6[[#This Row],[ID CLIENTE]],'RESUMEN CLIENTES'!D:D,'RESUMEN CLIENTES'!C:C)</f>
        <v>México</v>
      </c>
      <c r="D2716" s="169" t="str">
        <f>+_xlfn.XLOOKUP(Tabla6[[#This Row],[ID CLIENTE]],'RESUMEN CLIENTES'!D:D,'RESUMEN CLIENTES'!M:M)</f>
        <v>OK</v>
      </c>
      <c r="E2716" s="71">
        <f>+_xlfn.XLOOKUP(Tabla6[[#This Row],[NOMBRE]],'RESUMEN CLIENTES'!A:A,'RESUMEN CLIENTES'!X:X)</f>
        <v>0.33333333333333331</v>
      </c>
      <c r="F2716" s="71">
        <f>+_xlfn.XLOOKUP(Tabla6[[#This Row],[ID CLIENTE]],'RESUMEN CLIENTES'!D:D,'RESUMEN CLIENTES'!W:W)</f>
        <v>0</v>
      </c>
      <c r="G2716" s="17">
        <f>IF($H2716&lt;&gt;"ALEM","",IFERROR(
  DATE(
    YEAR(EDATE(
      _xlfn.XLOOKUP($A2716,'RESUMEN CLIENTES'!$D:$D,'RESUMEN CLIENTES'!$Y:$Y,""),
      7 + COUNTIFS(
            $A$2:INDEX($A:$A,ROW()), $A2716,
            $H$2:INDEX($H:$H,ROW()), "ALEM"
          )
    )),
    MONTH(EDATE(
      _xlfn.XLOOKUP($A2716,'RESUMEN CLIENTES'!$D:$D,'RESUMEN CLIENTES'!$Y:$Y,""),
      7 + COUNTIFS(
            $A$2:INDEX($A:$A,ROW()), $A2716,
            $H$2:INDEX($H:$H,ROW()), "ALEM"
          )
    )),
    1
  ),
"null"))</f>
        <v>46844</v>
      </c>
      <c r="H2716" s="169" t="s">
        <v>1876</v>
      </c>
      <c r="I2716" s="2">
        <v>800</v>
      </c>
      <c r="J2716"/>
      <c r="K2716"/>
      <c r="L2716" s="44" t="str" cm="1">
        <f t="array" ref="L2716">+_xlfn.IFS(COUNTIF(INGRESOS!E:E,Tabla6[[#This Row],[ID FACTURA]])=1,"PAGADA",Tabla6[[#This Row],[ID FACTURA]]&lt;&gt;0,"EMITIDA",Tabla6[[#This Row],[ID FACTURA]]=0,"POR EMITIR")</f>
        <v>POR EMITIR</v>
      </c>
      <c r="M2716" s="54" t="str">
        <f>+IF(Tabla6[[#This Row],[ESTADO FACTURA]]="PAGADA",Tabla6[[#This Row],[FECHA]]-_xlfn.XLOOKUP(Tabla6[[#This Row],[N° FACTURA]],INGRESOS!F:F,INGRESOS!A:A),"-")</f>
        <v>-</v>
      </c>
      <c r="O2716"/>
    </row>
    <row r="2717" spans="1:15">
      <c r="A2717" s="320" t="s">
        <v>1931</v>
      </c>
      <c r="B2717" t="str">
        <f>+_xlfn.XLOOKUP(Tabla6[[#This Row],[ID CLIENTE]],'RESUMEN CLIENTES'!D:D,'RESUMEN CLIENTES'!A:A)</f>
        <v>Josué Bernardo Reyes Flores</v>
      </c>
      <c r="C2717" t="str">
        <f>+_xlfn.XLOOKUP(Tabla6[[#This Row],[ID CLIENTE]],'RESUMEN CLIENTES'!D:D,'RESUMEN CLIENTES'!C:C)</f>
        <v>México</v>
      </c>
      <c r="D2717" s="169" t="str">
        <f>+_xlfn.XLOOKUP(Tabla6[[#This Row],[ID CLIENTE]],'RESUMEN CLIENTES'!D:D,'RESUMEN CLIENTES'!M:M)</f>
        <v>OK</v>
      </c>
      <c r="E2717" s="71">
        <f>+_xlfn.XLOOKUP(Tabla6[[#This Row],[NOMBRE]],'RESUMEN CLIENTES'!A:A,'RESUMEN CLIENTES'!X:X)</f>
        <v>0</v>
      </c>
      <c r="F2717" s="71">
        <f>+_xlfn.XLOOKUP(Tabla6[[#This Row],[ID CLIENTE]],'RESUMEN CLIENTES'!D:D,'RESUMEN CLIENTES'!W:W)</f>
        <v>1</v>
      </c>
      <c r="G2717" s="17">
        <f>IF($H2717&lt;&gt;"ALEM","",IFERROR(
  DATE(
    YEAR(EDATE(
      _xlfn.XLOOKUP($A2717,'RESUMEN CLIENTES'!$D:$D,'RESUMEN CLIENTES'!$Y:$Y,""),
      7 + COUNTIFS(
            $A$2:INDEX($A:$A,ROW()), $A2717,
            $H$2:INDEX($H:$H,ROW()), "ALEM"
          )
    )),
    MONTH(EDATE(
      _xlfn.XLOOKUP($A2717,'RESUMEN CLIENTES'!$D:$D,'RESUMEN CLIENTES'!$Y:$Y,""),
      7 + COUNTIFS(
            $A$2:INDEX($A:$A,ROW()), $A2717,
            $H$2:INDEX($H:$H,ROW()), "ALEM"
          )
    )),
    1
  ),
"null"))</f>
        <v>46844</v>
      </c>
      <c r="H2717" s="169" t="s">
        <v>1876</v>
      </c>
      <c r="I2717" s="2">
        <v>800</v>
      </c>
      <c r="J2717"/>
      <c r="K2717"/>
      <c r="L2717" s="44" t="str" cm="1">
        <f t="array" ref="L2717">+_xlfn.IFS(COUNTIF(INGRESOS!E:E,Tabla6[[#This Row],[ID FACTURA]])=1,"PAGADA",Tabla6[[#This Row],[ID FACTURA]]&lt;&gt;0,"EMITIDA",Tabla6[[#This Row],[ID FACTURA]]=0,"POR EMITIR")</f>
        <v>POR EMITIR</v>
      </c>
      <c r="M2717" s="54" t="str">
        <f>+IF(Tabla6[[#This Row],[ESTADO FACTURA]]="PAGADA",Tabla6[[#This Row],[FECHA]]-_xlfn.XLOOKUP(Tabla6[[#This Row],[N° FACTURA]],INGRESOS!F:F,INGRESOS!A:A),"-")</f>
        <v>-</v>
      </c>
      <c r="O2717"/>
    </row>
    <row r="2718" spans="1:15">
      <c r="A2718" s="320" t="s">
        <v>1482</v>
      </c>
      <c r="B2718" t="str">
        <f>+_xlfn.XLOOKUP(Tabla6[[#This Row],[ID CLIENTE]],'RESUMEN CLIENTES'!D:D,'RESUMEN CLIENTES'!A:A)</f>
        <v>Laxmi Davi Patel Flores</v>
      </c>
      <c r="C2718" t="str">
        <f>+_xlfn.XLOOKUP(Tabla6[[#This Row],[ID CLIENTE]],'RESUMEN CLIENTES'!D:D,'RESUMEN CLIENTES'!C:C)</f>
        <v>Ecuador</v>
      </c>
      <c r="D2718" s="44" t="str">
        <f>+_xlfn.XLOOKUP(Tabla6[[#This Row],[ID CLIENTE]],'RESUMEN CLIENTES'!D:D,'RESUMEN CLIENTES'!M:M)</f>
        <v>OK</v>
      </c>
      <c r="E2718" s="71">
        <f>+_xlfn.XLOOKUP(Tabla6[[#This Row],[NOMBRE]],'RESUMEN CLIENTES'!A:A,'RESUMEN CLIENTES'!X:X)</f>
        <v>-1.5714285714285714</v>
      </c>
      <c r="F2718" s="71">
        <f>+_xlfn.XLOOKUP(Tabla6[[#This Row],[ID CLIENTE]],'RESUMEN CLIENTES'!D:D,'RESUMEN CLIENTES'!W:W)</f>
        <v>0</v>
      </c>
      <c r="G2718" s="17">
        <f>IF($H2718&lt;&gt;"ALEM","",IFERROR(
  DATE(
    YEAR(EDATE(
      _xlfn.XLOOKUP($A2718,'RESUMEN CLIENTES'!$D:$D,'RESUMEN CLIENTES'!$Y:$Y,""),
      7 + COUNTIFS(
            $A$2:INDEX($A:$A,ROW()), $A2718,
            $H$2:INDEX($H:$H,ROW()), "ALEM"
          )
    )),
    MONTH(EDATE(
      _xlfn.XLOOKUP($A2718,'RESUMEN CLIENTES'!$D:$D,'RESUMEN CLIENTES'!$Y:$Y,""),
      7 + COUNTIFS(
            $A$2:INDEX($A:$A,ROW()), $A2718,
            $H$2:INDEX($H:$H,ROW()), "ALEM"
          )
    )),
    1
  ),
"SIN FECHA MIG"))</f>
        <v>46844</v>
      </c>
      <c r="H2718" s="169" t="s">
        <v>1876</v>
      </c>
      <c r="I2718" s="2">
        <v>800</v>
      </c>
      <c r="J2718"/>
      <c r="K2718"/>
      <c r="L2718" s="44" t="str" cm="1">
        <f t="array" ref="L2718">+_xlfn.IFS(COUNTIF(INGRESOS!E:E,Tabla6[[#This Row],[ID FACTURA]])=1,"PAGADA",Tabla6[[#This Row],[ID FACTURA]]&lt;&gt;0,"EMITIDA",Tabla6[[#This Row],[ID FACTURA]]=0,"POR EMITIR")</f>
        <v>POR EMITIR</v>
      </c>
      <c r="M2718" s="55" t="str">
        <f>+IF(Tabla6[[#This Row],[ESTADO FACTURA]]="PAGADA",Tabla6[[#This Row],[FECHA]]-_xlfn.XLOOKUP(Tabla6[[#This Row],[N° FACTURA]],INGRESOS!F:F,INGRESOS!A:A),"-")</f>
        <v>-</v>
      </c>
      <c r="N2718" s="2"/>
      <c r="O2718" t="s">
        <v>2092</v>
      </c>
    </row>
    <row r="2719" spans="1:15">
      <c r="A2719" s="320" t="s">
        <v>1419</v>
      </c>
      <c r="B2719" t="str">
        <f>+_xlfn.XLOOKUP(Tabla6[[#This Row],[ID CLIENTE]],'RESUMEN CLIENTES'!D:D,'RESUMEN CLIENTES'!A:A)</f>
        <v>Rocio Natalia López Núñez</v>
      </c>
      <c r="C2719" t="str">
        <f>+_xlfn.XLOOKUP(Tabla6[[#This Row],[ID CLIENTE]],'RESUMEN CLIENTES'!D:D,'RESUMEN CLIENTES'!C:C)</f>
        <v>Chile</v>
      </c>
      <c r="D2719" s="44" t="str">
        <f>+_xlfn.XLOOKUP(Tabla6[[#This Row],[ID CLIENTE]],'RESUMEN CLIENTES'!D:D,'RESUMEN CLIENTES'!M:M)</f>
        <v>OK</v>
      </c>
      <c r="E2719" s="71">
        <f>+_xlfn.XLOOKUP(Tabla6[[#This Row],[NOMBRE]],'RESUMEN CLIENTES'!A:A,'RESUMEN CLIENTES'!X:X)</f>
        <v>0</v>
      </c>
      <c r="F2719" s="71">
        <f>+_xlfn.XLOOKUP(Tabla6[[#This Row],[ID CLIENTE]],'RESUMEN CLIENTES'!D:D,'RESUMEN CLIENTES'!W:W)</f>
        <v>0</v>
      </c>
      <c r="G2719" s="17">
        <f>IF($H2719&lt;&gt;"ALEM","",IFERROR(
  DATE(
    YEAR(EDATE(
      _xlfn.XLOOKUP($A2719,'RESUMEN CLIENTES'!$D:$D,'RESUMEN CLIENTES'!$Y:$Y,""),
      7 + COUNTIFS(
            $A$2:INDEX($A:$A,ROW()), $A2719,
            $H$2:INDEX($H:$H,ROW()), "ALEM"
          )
    )),
    MONTH(EDATE(
      _xlfn.XLOOKUP($A2719,'RESUMEN CLIENTES'!$D:$D,'RESUMEN CLIENTES'!$Y:$Y,""),
      7 + COUNTIFS(
            $A$2:INDEX($A:$A,ROW()), $A2719,
            $H$2:INDEX($H:$H,ROW()), "ALEM"
          )
    )),
    1
  ),
"SIN FECHA MIG"))</f>
        <v>46844</v>
      </c>
      <c r="H2719" s="169" t="s">
        <v>1876</v>
      </c>
      <c r="I2719" s="2">
        <v>800</v>
      </c>
      <c r="J2719"/>
      <c r="K2719"/>
      <c r="L2719" s="44" t="str" cm="1">
        <f t="array" ref="L2719">+_xlfn.IFS(COUNTIF(INGRESOS!E:E,Tabla6[[#This Row],[ID FACTURA]])=1,"PAGADA",Tabla6[[#This Row],[ID FACTURA]]&lt;&gt;0,"EMITIDA",Tabla6[[#This Row],[ID FACTURA]]=0,"POR EMITIR")</f>
        <v>POR EMITIR</v>
      </c>
      <c r="M2719" s="55" t="str">
        <f>+IF(Tabla6[[#This Row],[ESTADO FACTURA]]="PAGADA",Tabla6[[#This Row],[FECHA]]-_xlfn.XLOOKUP(Tabla6[[#This Row],[N° FACTURA]],INGRESOS!F:F,INGRESOS!A:A),"-")</f>
        <v>-</v>
      </c>
      <c r="N2719" s="2"/>
      <c r="O2719"/>
    </row>
    <row r="2720" spans="1:15">
      <c r="A2720" s="320" t="s">
        <v>2521</v>
      </c>
      <c r="B2720" t="str">
        <f>+_xlfn.XLOOKUP(Tabla6[[#This Row],[ID CLIENTE]],'RESUMEN CLIENTES'!D:D,'RESUMEN CLIENTES'!A:A)</f>
        <v>Fabián Andrés Sarmiento Auli</v>
      </c>
      <c r="C2720" t="str">
        <f>+_xlfn.XLOOKUP(Tabla6[[#This Row],[ID CLIENTE]],'RESUMEN CLIENTES'!D:D,'RESUMEN CLIENTES'!C:C)</f>
        <v>Colombia</v>
      </c>
      <c r="D2720" s="169" t="str">
        <f>+_xlfn.XLOOKUP(Tabla6[[#This Row],[ID CLIENTE]],'RESUMEN CLIENTES'!D:D,'RESUMEN CLIENTES'!M:M)</f>
        <v>OK</v>
      </c>
      <c r="E2720" s="71">
        <f>+_xlfn.XLOOKUP(Tabla6[[#This Row],[NOMBRE]],'RESUMEN CLIENTES'!A:A,'RESUMEN CLIENTES'!X:X)</f>
        <v>0</v>
      </c>
      <c r="F2720" s="71">
        <f>+_xlfn.XLOOKUP(Tabla6[[#This Row],[ID CLIENTE]],'RESUMEN CLIENTES'!D:D,'RESUMEN CLIENTES'!W:W)</f>
        <v>0</v>
      </c>
      <c r="G2720" s="17">
        <v>46848</v>
      </c>
      <c r="H2720" s="169" t="s">
        <v>81</v>
      </c>
      <c r="I2720" s="2">
        <v>650</v>
      </c>
      <c r="J2720"/>
      <c r="K2720"/>
      <c r="L2720" s="44" t="str" cm="1">
        <f t="array" ref="L2720">+_xlfn.IFS(COUNTIF(INGRESOS!E:E,Tabla6[[#This Row],[ID FACTURA]])=1,"PAGADA",Tabla6[[#This Row],[ID FACTURA]]&lt;&gt;0,"EMITIDA",Tabla6[[#This Row],[ID FACTURA]]=0,"POR EMITIR")</f>
        <v>POR EMITIR</v>
      </c>
      <c r="M2720" s="54" t="str">
        <f>+IF(Tabla6[[#This Row],[ESTADO FACTURA]]="PAGADA",Tabla6[[#This Row],[FECHA]]-_xlfn.XLOOKUP(Tabla6[[#This Row],[N° FACTURA]],INGRESOS!F:F,INGRESOS!A:A),"-")</f>
        <v>-</v>
      </c>
      <c r="O2720"/>
    </row>
    <row r="2721" spans="1:15">
      <c r="A2721" s="320" t="s">
        <v>6035</v>
      </c>
      <c r="B2721" t="str">
        <f>+_xlfn.XLOOKUP(Tabla6[[#This Row],[ID CLIENTE]],'RESUMEN CLIENTES'!D:D,'RESUMEN CLIENTES'!A:A)</f>
        <v>Ari Sifuentes Becerra</v>
      </c>
      <c r="C2721" s="15" t="str">
        <f>+_xlfn.XLOOKUP(Tabla6[[#This Row],[ID CLIENTE]],'RESUMEN CLIENTES'!D:D,'RESUMEN CLIENTES'!C:C)</f>
        <v>México</v>
      </c>
      <c r="D2721" s="169" t="str">
        <f>+_xlfn.XLOOKUP(Tabla6[[#This Row],[ID CLIENTE]],'RESUMEN CLIENTES'!D:D,'RESUMEN CLIENTES'!M:M)</f>
        <v>OK</v>
      </c>
      <c r="E2721" s="71">
        <f>+_xlfn.XLOOKUP(Tabla6[[#This Row],[NOMBRE]],'RESUMEN CLIENTES'!A:A,'RESUMEN CLIENTES'!X:X)</f>
        <v>-1</v>
      </c>
      <c r="F2721" s="71">
        <f>+_xlfn.XLOOKUP(Tabla6[[#This Row],[ID CLIENTE]],'RESUMEN CLIENTES'!D:D,'RESUMEN CLIENTES'!W:W)</f>
        <v>0</v>
      </c>
      <c r="G2721" s="17">
        <v>46874</v>
      </c>
      <c r="H2721" s="169" t="s">
        <v>1876</v>
      </c>
      <c r="I2721" s="2">
        <v>800</v>
      </c>
      <c r="J2721"/>
      <c r="K2721"/>
      <c r="L2721" s="44" t="str" cm="1">
        <f t="array" ref="L2721">+_xlfn.IFS(COUNTIF(INGRESOS!E:E,Tabla6[[#This Row],[ID FACTURA]])=1,"PAGADA",Tabla6[[#This Row],[ID FACTURA]]&lt;&gt;0,"EMITIDA",Tabla6[[#This Row],[ID FACTURA]]=0,"POR EMITIR")</f>
        <v>POR EMITIR</v>
      </c>
      <c r="M2721" s="54" t="str">
        <f>+IF(Tabla6[[#This Row],[ESTADO FACTURA]]="PAGADA",Tabla6[[#This Row],[FECHA]]-_xlfn.XLOOKUP(Tabla6[[#This Row],[N° FACTURA]],INGRESOS!F:F,INGRESOS!A:A),"-")</f>
        <v>-</v>
      </c>
      <c r="O2721"/>
    </row>
    <row r="2722" spans="1:15">
      <c r="A2722" s="321" t="s">
        <v>1870</v>
      </c>
      <c r="B2722" t="str">
        <f>+_xlfn.XLOOKUP(Tabla6[[#This Row],[ID CLIENTE]],'RESUMEN CLIENTES'!D:D,'RESUMEN CLIENTES'!A:A)</f>
        <v>Berenisse Shadia Yarango Garay</v>
      </c>
      <c r="C2722" t="str">
        <f>+_xlfn.XLOOKUP(Tabla6[[#This Row],[ID CLIENTE]],'RESUMEN CLIENTES'!D:D,'RESUMEN CLIENTES'!C:C)</f>
        <v>Perú</v>
      </c>
      <c r="D2722" s="169" t="str">
        <f>+_xlfn.XLOOKUP(Tabla6[[#This Row],[ID CLIENTE]],'RESUMEN CLIENTES'!D:D,'RESUMEN CLIENTES'!M:M)</f>
        <v>OK</v>
      </c>
      <c r="E2722" s="71">
        <f>+_xlfn.XLOOKUP(Tabla6[[#This Row],[NOMBRE]],'RESUMEN CLIENTES'!A:A,'RESUMEN CLIENTES'!X:X)</f>
        <v>-0.33333333333333331</v>
      </c>
      <c r="F2722" s="71">
        <f>+_xlfn.XLOOKUP(Tabla6[[#This Row],[ID CLIENTE]],'RESUMEN CLIENTES'!D:D,'RESUMEN CLIENTES'!W:W)</f>
        <v>0</v>
      </c>
      <c r="G2722" s="17">
        <f>IF($H2722&lt;&gt;"ALEM","",IFERROR(
  DATE(
    YEAR(EDATE(
      _xlfn.XLOOKUP($A2722,'RESUMEN CLIENTES'!$D:$D,'RESUMEN CLIENTES'!$Y:$Y,""),
      7 + COUNTIFS(
            $A$2:INDEX($A:$A,ROW()), $A2722,
            $H$2:INDEX($H:$H,ROW()), "ALEM"
          )
    )),
    MONTH(EDATE(
      _xlfn.XLOOKUP($A2722,'RESUMEN CLIENTES'!$D:$D,'RESUMEN CLIENTES'!$Y:$Y,""),
      7 + COUNTIFS(
            $A$2:INDEX($A:$A,ROW()), $A2722,
            $H$2:INDEX($H:$H,ROW()), "ALEM"
          )
    )),
    1
  ),
"null"))</f>
        <v>46874</v>
      </c>
      <c r="H2722" s="169" t="s">
        <v>1876</v>
      </c>
      <c r="I2722" s="2">
        <v>800</v>
      </c>
      <c r="J2722"/>
      <c r="K2722"/>
      <c r="L2722" s="44" t="str" cm="1">
        <f t="array" ref="L2722">+_xlfn.IFS(COUNTIF(INGRESOS!E:E,Tabla6[[#This Row],[ID FACTURA]])=1,"PAGADA",Tabla6[[#This Row],[ID FACTURA]]&lt;&gt;0,"EMITIDA",Tabla6[[#This Row],[ID FACTURA]]=0,"POR EMITIR")</f>
        <v>POR EMITIR</v>
      </c>
      <c r="M2722" s="54" t="str">
        <f>+IF(Tabla6[[#This Row],[ESTADO FACTURA]]="PAGADA",Tabla6[[#This Row],[FECHA]]-_xlfn.XLOOKUP(Tabla6[[#This Row],[N° FACTURA]],INGRESOS!F:F,INGRESOS!A:A),"-")</f>
        <v>-</v>
      </c>
      <c r="O2722"/>
    </row>
    <row r="2723" spans="1:15">
      <c r="A2723" s="320" t="s">
        <v>1178</v>
      </c>
      <c r="B2723" t="str">
        <f>+_xlfn.XLOOKUP(Tabla6[[#This Row],[ID CLIENTE]],'RESUMEN CLIENTES'!D:D,'RESUMEN CLIENTES'!A:A)</f>
        <v>Daniel Flores</v>
      </c>
      <c r="C2723" t="str">
        <f>+_xlfn.XLOOKUP(Tabla6[[#This Row],[ID CLIENTE]],'RESUMEN CLIENTES'!D:D,'RESUMEN CLIENTES'!C:C)</f>
        <v>Ecuador</v>
      </c>
      <c r="D2723" s="44" t="str">
        <f>+_xlfn.XLOOKUP(Tabla6[[#This Row],[ID CLIENTE]],'RESUMEN CLIENTES'!D:D,'RESUMEN CLIENTES'!M:M)</f>
        <v>OK</v>
      </c>
      <c r="E2723" s="72">
        <f>+_xlfn.XLOOKUP(Tabla6[[#This Row],[NOMBRE]],'RESUMEN CLIENTES'!A:A,'RESUMEN CLIENTES'!X:X)</f>
        <v>3.8333333333333335</v>
      </c>
      <c r="F2723" s="72">
        <f>+_xlfn.XLOOKUP(Tabla6[[#This Row],[ID CLIENTE]],'RESUMEN CLIENTES'!D:D,'RESUMEN CLIENTES'!W:W)</f>
        <v>1</v>
      </c>
      <c r="G2723" s="17">
        <f>IF($H2723&lt;&gt;"ALEM","",IFERROR(
  DATE(
    YEAR(EDATE(
      _xlfn.XLOOKUP($A2723,'RESUMEN CLIENTES'!$D:$D,'RESUMEN CLIENTES'!$Y:$Y,""),
      7 + COUNTIFS(
            $A$2:INDEX($A:$A,ROW()), $A2723,
            $H$2:INDEX($H:$H,ROW()), "ALEM"
          )
    )),
    MONTH(EDATE(
      _xlfn.XLOOKUP($A2723,'RESUMEN CLIENTES'!$D:$D,'RESUMEN CLIENTES'!$Y:$Y,""),
      7 + COUNTIFS(
            $A$2:INDEX($A:$A,ROW()), $A2723,
            $H$2:INDEX($H:$H,ROW()), "ALEM"
          )
    )),
    1
  ),
"SIN FECHA MIG"))</f>
        <v>46874</v>
      </c>
      <c r="H2723" s="44" t="s">
        <v>1876</v>
      </c>
      <c r="I2723" s="2">
        <v>800</v>
      </c>
      <c r="J2723"/>
      <c r="K2723"/>
      <c r="L2723" s="44" t="str" cm="1">
        <f t="array" ref="L2723">+_xlfn.IFS(COUNTIF(INGRESOS!E:E,Tabla6[[#This Row],[ID FACTURA]])=1,"PAGADA",Tabla6[[#This Row],[ID FACTURA]]&lt;&gt;0,"EMITIDA",Tabla6[[#This Row],[ID FACTURA]]=0,"POR EMITIR")</f>
        <v>POR EMITIR</v>
      </c>
      <c r="M2723" s="55" t="str">
        <f>+IF(Tabla6[[#This Row],[ESTADO FACTURA]]="PAGADA",Tabla6[[#This Row],[FECHA]]-_xlfn.XLOOKUP(Tabla6[[#This Row],[N° FACTURA]],INGRESOS!F:F,INGRESOS!A:A),"-")</f>
        <v>-</v>
      </c>
      <c r="N2723" s="2"/>
      <c r="O2723" t="s">
        <v>2084</v>
      </c>
    </row>
    <row r="2724" spans="1:15">
      <c r="A2724" s="320" t="s">
        <v>4660</v>
      </c>
      <c r="B2724" t="str">
        <f>+_xlfn.XLOOKUP(Tabla6[[#This Row],[ID CLIENTE]],'RESUMEN CLIENTES'!D:D,'RESUMEN CLIENTES'!A:A)</f>
        <v>Edipris Flores</v>
      </c>
      <c r="C2724" s="15" t="str">
        <f>+_xlfn.XLOOKUP(Tabla6[[#This Row],[ID CLIENTE]],'RESUMEN CLIENTES'!D:D,'RESUMEN CLIENTES'!C:C)</f>
        <v>Chile</v>
      </c>
      <c r="D2724" s="169" t="str">
        <f>+_xlfn.XLOOKUP(Tabla6[[#This Row],[ID CLIENTE]],'RESUMEN CLIENTES'!D:D,'RESUMEN CLIENTES'!M:M)</f>
        <v>OK</v>
      </c>
      <c r="E2724" s="71">
        <f>+_xlfn.XLOOKUP(Tabla6[[#This Row],[NOMBRE]],'RESUMEN CLIENTES'!A:A,'RESUMEN CLIENTES'!X:X)</f>
        <v>-4</v>
      </c>
      <c r="F2724" s="71">
        <f>+_xlfn.XLOOKUP(Tabla6[[#This Row],[ID CLIENTE]],'RESUMEN CLIENTES'!D:D,'RESUMEN CLIENTES'!W:W)</f>
        <v>0</v>
      </c>
      <c r="G2724" s="17">
        <f>IF($H2724&lt;&gt;"ALEM","",IFERROR(
  DATE(
    YEAR(EDATE(
      _xlfn.XLOOKUP($A2724,'RESUMEN CLIENTES'!$D:$D,'RESUMEN CLIENTES'!$Y:$Y,""),
      7 + COUNTIFS(
            $A$2:INDEX($A:$A,ROW()), $A2724,
            $H$2:INDEX($H:$H,ROW()), "ALEM"
          )
    )),
    MONTH(EDATE(
      _xlfn.XLOOKUP($A2724,'RESUMEN CLIENTES'!$D:$D,'RESUMEN CLIENTES'!$Y:$Y,""),
      7 + COUNTIFS(
            $A$2:INDEX($A:$A,ROW()), $A2724,
            $H$2:INDEX($H:$H,ROW()), "ALEM"
          )
    )),
    1
  ),
"null"))</f>
        <v>46874</v>
      </c>
      <c r="H2724" s="169" t="s">
        <v>1876</v>
      </c>
      <c r="I2724" s="2">
        <v>800</v>
      </c>
      <c r="J2724"/>
      <c r="K2724"/>
      <c r="L2724" s="44" t="str" cm="1">
        <f t="array" ref="L2724">+_xlfn.IFS(COUNTIF(INGRESOS!E:E,Tabla6[[#This Row],[ID FACTURA]])=1,"PAGADA",Tabla6[[#This Row],[ID FACTURA]]&lt;&gt;0,"EMITIDA",Tabla6[[#This Row],[ID FACTURA]]=0,"POR EMITIR")</f>
        <v>POR EMITIR</v>
      </c>
      <c r="M2724" s="54" t="str">
        <f>+IF(Tabla6[[#This Row],[ESTADO FACTURA]]="PAGADA",Tabla6[[#This Row],[FECHA]]-_xlfn.XLOOKUP(Tabla6[[#This Row],[N° FACTURA]],INGRESOS!F:F,INGRESOS!A:A),"-")</f>
        <v>-</v>
      </c>
      <c r="O2724"/>
    </row>
    <row r="2725" spans="1:15">
      <c r="A2725" s="321" t="s">
        <v>519</v>
      </c>
      <c r="B2725" t="str">
        <f>+_xlfn.XLOOKUP(Tabla6[[#This Row],[ID CLIENTE]],'RESUMEN CLIENTES'!D:D,'RESUMEN CLIENTES'!A:A)</f>
        <v>Elaine Acosta Cabrera</v>
      </c>
      <c r="C2725" t="str">
        <f>+_xlfn.XLOOKUP(Tabla6[[#This Row],[ID CLIENTE]],'RESUMEN CLIENTES'!D:D,'RESUMEN CLIENTES'!C:C)</f>
        <v>República Dominicana</v>
      </c>
      <c r="D2725" s="169" t="str">
        <f>+_xlfn.XLOOKUP(Tabla6[[#This Row],[ID CLIENTE]],'RESUMEN CLIENTES'!D:D,'RESUMEN CLIENTES'!M:M)</f>
        <v>OK</v>
      </c>
      <c r="E2725" s="71">
        <f>+_xlfn.XLOOKUP(Tabla6[[#This Row],[NOMBRE]],'RESUMEN CLIENTES'!A:A,'RESUMEN CLIENTES'!X:X)</f>
        <v>0</v>
      </c>
      <c r="F2725" s="71">
        <f>+_xlfn.XLOOKUP(Tabla6[[#This Row],[ID CLIENTE]],'RESUMEN CLIENTES'!D:D,'RESUMEN CLIENTES'!W:W)</f>
        <v>1</v>
      </c>
      <c r="G2725" s="17">
        <f>IF($H2725&lt;&gt;"ALEM","",IFERROR(
  DATE(
    YEAR(EDATE(
      _xlfn.XLOOKUP($A2725,'RESUMEN CLIENTES'!$D:$D,'RESUMEN CLIENTES'!$Y:$Y,""),
      7 + COUNTIFS(
            $A$2:INDEX($A:$A,ROW()), $A2725,
            $H$2:INDEX($H:$H,ROW()), "ALEM"
          )
    )),
    MONTH(EDATE(
      _xlfn.XLOOKUP($A2725,'RESUMEN CLIENTES'!$D:$D,'RESUMEN CLIENTES'!$Y:$Y,""),
      7 + COUNTIFS(
            $A$2:INDEX($A:$A,ROW()), $A2725,
            $H$2:INDEX($H:$H,ROW()), "ALEM"
          )
    )),
    1
  ),
"null"))</f>
        <v>46874</v>
      </c>
      <c r="H2725" s="169" t="s">
        <v>1876</v>
      </c>
      <c r="I2725" s="2">
        <v>1000</v>
      </c>
      <c r="J2725"/>
      <c r="K2725"/>
      <c r="L2725" s="44" t="str" cm="1">
        <f t="array" ref="L2725">+_xlfn.IFS(COUNTIF(INGRESOS!E:E,Tabla6[[#This Row],[ID FACTURA]])=1,"PAGADA",Tabla6[[#This Row],[ID FACTURA]]&lt;&gt;0,"EMITIDA",Tabla6[[#This Row],[ID FACTURA]]=0,"POR EMITIR")</f>
        <v>POR EMITIR</v>
      </c>
      <c r="M2725" s="54" t="str">
        <f>+IF(Tabla6[[#This Row],[ESTADO FACTURA]]="PAGADA",Tabla6[[#This Row],[FECHA]]-_xlfn.XLOOKUP(Tabla6[[#This Row],[N° FACTURA]],INGRESOS!F:F,INGRESOS!A:A),"-")</f>
        <v>-</v>
      </c>
      <c r="O2725"/>
    </row>
    <row r="2726" spans="1:15">
      <c r="A2726" s="320" t="s">
        <v>1251</v>
      </c>
      <c r="B2726" t="str">
        <f>+_xlfn.XLOOKUP(Tabla6[[#This Row],[ID CLIENTE]],'RESUMEN CLIENTES'!D:D,'RESUMEN CLIENTES'!A:A)</f>
        <v>Erick Ernesto Angulo Campos</v>
      </c>
      <c r="C2726" t="str">
        <f>+_xlfn.XLOOKUP(Tabla6[[#This Row],[ID CLIENTE]],'RESUMEN CLIENTES'!D:D,'RESUMEN CLIENTES'!C:C)</f>
        <v>Chile</v>
      </c>
      <c r="D2726" s="44" t="str">
        <f>+_xlfn.XLOOKUP(Tabla6[[#This Row],[ID CLIENTE]],'RESUMEN CLIENTES'!D:D,'RESUMEN CLIENTES'!M:M)</f>
        <v>OK</v>
      </c>
      <c r="E2726" s="71">
        <f>+_xlfn.XLOOKUP(Tabla6[[#This Row],[NOMBRE]],'RESUMEN CLIENTES'!A:A,'RESUMEN CLIENTES'!X:X)</f>
        <v>-0.66666666666666663</v>
      </c>
      <c r="F2726" s="71">
        <f>+_xlfn.XLOOKUP(Tabla6[[#This Row],[ID CLIENTE]],'RESUMEN CLIENTES'!D:D,'RESUMEN CLIENTES'!W:W)</f>
        <v>0</v>
      </c>
      <c r="G2726" s="17">
        <f>IF($H2726&lt;&gt;"ALEM","",IFERROR(
  DATE(
    YEAR(EDATE(
      _xlfn.XLOOKUP($A2726,'RESUMEN CLIENTES'!$D:$D,'RESUMEN CLIENTES'!$Y:$Y,""),
      7 + COUNTIFS(
            $A$2:INDEX($A:$A,ROW()), $A2726,
            $H$2:INDEX($H:$H,ROW()), "ALEM"
          )
    )),
    MONTH(EDATE(
      _xlfn.XLOOKUP($A2726,'RESUMEN CLIENTES'!$D:$D,'RESUMEN CLIENTES'!$Y:$Y,""),
      7 + COUNTIFS(
            $A$2:INDEX($A:$A,ROW()), $A2726,
            $H$2:INDEX($H:$H,ROW()), "ALEM"
          )
    )),
    1
  ),
"SIN FECHA MIG"))</f>
        <v>46874</v>
      </c>
      <c r="H2726" s="44" t="s">
        <v>1876</v>
      </c>
      <c r="I2726" s="2">
        <v>800</v>
      </c>
      <c r="J2726"/>
      <c r="K2726"/>
      <c r="L2726" s="44" t="str" cm="1">
        <f t="array" ref="L2726">+_xlfn.IFS(COUNTIF(INGRESOS!E:E,Tabla6[[#This Row],[ID FACTURA]])=1,"PAGADA",Tabla6[[#This Row],[ID FACTURA]]&lt;&gt;0,"EMITIDA",Tabla6[[#This Row],[ID FACTURA]]=0,"POR EMITIR")</f>
        <v>POR EMITIR</v>
      </c>
      <c r="M2726" s="55" t="str">
        <f>+IF(Tabla6[[#This Row],[ESTADO FACTURA]]="PAGADA",Tabla6[[#This Row],[FECHA]]-_xlfn.XLOOKUP(Tabla6[[#This Row],[N° FACTURA]],INGRESOS!F:F,INGRESOS!A:A),"-")</f>
        <v>-</v>
      </c>
      <c r="N2726" s="2"/>
      <c r="O2726" t="s">
        <v>2084</v>
      </c>
    </row>
    <row r="2727" spans="1:15">
      <c r="A2727" s="320" t="s">
        <v>1945</v>
      </c>
      <c r="B2727" t="str">
        <f>+_xlfn.XLOOKUP(Tabla6[[#This Row],[ID CLIENTE]],'RESUMEN CLIENTES'!D:D,'RESUMEN CLIENTES'!A:A)</f>
        <v>Fernanda Constanza Kompai Antu Arellano Guzmán</v>
      </c>
      <c r="C2727" t="str">
        <f>+_xlfn.XLOOKUP(Tabla6[[#This Row],[ID CLIENTE]],'RESUMEN CLIENTES'!D:D,'RESUMEN CLIENTES'!C:C)</f>
        <v>Chile</v>
      </c>
      <c r="D2727" s="169" t="str">
        <f>+_xlfn.XLOOKUP(Tabla6[[#This Row],[ID CLIENTE]],'RESUMEN CLIENTES'!D:D,'RESUMEN CLIENTES'!M:M)</f>
        <v>OK</v>
      </c>
      <c r="E2727" s="71">
        <f>+_xlfn.XLOOKUP(Tabla6[[#This Row],[NOMBRE]],'RESUMEN CLIENTES'!A:A,'RESUMEN CLIENTES'!X:X)</f>
        <v>0</v>
      </c>
      <c r="F2727" s="71">
        <f>+_xlfn.XLOOKUP(Tabla6[[#This Row],[ID CLIENTE]],'RESUMEN CLIENTES'!D:D,'RESUMEN CLIENTES'!W:W)</f>
        <v>0</v>
      </c>
      <c r="G2727" s="17">
        <f>IF($H2727&lt;&gt;"ALEM","",IFERROR(
  DATE(
    YEAR(EDATE(
      _xlfn.XLOOKUP($A2727,'RESUMEN CLIENTES'!$D:$D,'RESUMEN CLIENTES'!$Y:$Y,""),
      7 + COUNTIFS(
            $A$2:INDEX($A:$A,ROW()), $A2727,
            $H$2:INDEX($H:$H,ROW()), "ALEM"
          )
    )),
    MONTH(EDATE(
      _xlfn.XLOOKUP($A2727,'RESUMEN CLIENTES'!$D:$D,'RESUMEN CLIENTES'!$Y:$Y,""),
      7 + COUNTIFS(
            $A$2:INDEX($A:$A,ROW()), $A2727,
            $H$2:INDEX($H:$H,ROW()), "ALEM"
          )
    )),
    1
  ),
"null"))</f>
        <v>46874</v>
      </c>
      <c r="H2727" s="170" t="s">
        <v>1876</v>
      </c>
      <c r="I2727" s="2">
        <v>800</v>
      </c>
      <c r="J2727"/>
      <c r="K2727"/>
      <c r="L2727" s="44" t="str" cm="1">
        <f t="array" ref="L2727">+_xlfn.IFS(COUNTIF(INGRESOS!E:E,Tabla6[[#This Row],[ID FACTURA]])=1,"PAGADA",Tabla6[[#This Row],[ID FACTURA]]&lt;&gt;0,"EMITIDA",Tabla6[[#This Row],[ID FACTURA]]=0,"POR EMITIR")</f>
        <v>POR EMITIR</v>
      </c>
      <c r="M2727" s="54" t="str">
        <f>+IF(Tabla6[[#This Row],[ESTADO FACTURA]]="PAGADA",Tabla6[[#This Row],[FECHA]]-_xlfn.XLOOKUP(Tabla6[[#This Row],[N° FACTURA]],INGRESOS!F:F,INGRESOS!A:A),"-")</f>
        <v>-</v>
      </c>
      <c r="O2727"/>
    </row>
    <row r="2728" spans="1:15">
      <c r="A2728" s="320" t="s">
        <v>1743</v>
      </c>
      <c r="B2728" t="str">
        <f>+_xlfn.XLOOKUP(Tabla6[[#This Row],[ID CLIENTE]],'RESUMEN CLIENTES'!D:D,'RESUMEN CLIENTES'!A:A)</f>
        <v>Fernando Alberto Lagos Belmar</v>
      </c>
      <c r="C2728" t="str">
        <f>+_xlfn.XLOOKUP(Tabla6[[#This Row],[ID CLIENTE]],'RESUMEN CLIENTES'!D:D,'RESUMEN CLIENTES'!C:C)</f>
        <v>Chile</v>
      </c>
      <c r="D2728" s="169" t="str">
        <f>+_xlfn.XLOOKUP(Tabla6[[#This Row],[ID CLIENTE]],'RESUMEN CLIENTES'!D:D,'RESUMEN CLIENTES'!M:M)</f>
        <v>OK</v>
      </c>
      <c r="E2728" s="71">
        <f>+_xlfn.XLOOKUP(Tabla6[[#This Row],[NOMBRE]],'RESUMEN CLIENTES'!A:A,'RESUMEN CLIENTES'!X:X)</f>
        <v>0.25</v>
      </c>
      <c r="F2728" s="71">
        <f>+_xlfn.XLOOKUP(Tabla6[[#This Row],[ID CLIENTE]],'RESUMEN CLIENTES'!D:D,'RESUMEN CLIENTES'!W:W)</f>
        <v>1</v>
      </c>
      <c r="G2728" s="17">
        <f>IF($H2728&lt;&gt;"ALEM","",IFERROR(
  DATE(
    YEAR(EDATE(
      _xlfn.XLOOKUP($A2728,'RESUMEN CLIENTES'!$D:$D,'RESUMEN CLIENTES'!$Y:$Y,""),
      7 + COUNTIFS(
            $A$2:INDEX($A:$A,ROW()), $A2728,
            $H$2:INDEX($H:$H,ROW()), "ALEM"
          )
    )),
    MONTH(EDATE(
      _xlfn.XLOOKUP($A2728,'RESUMEN CLIENTES'!$D:$D,'RESUMEN CLIENTES'!$Y:$Y,""),
      7 + COUNTIFS(
            $A$2:INDEX($A:$A,ROW()), $A2728,
            $H$2:INDEX($H:$H,ROW()), "ALEM"
          )
    )),
    1
  ),
"SIN FECHA MIG"))</f>
        <v>46874</v>
      </c>
      <c r="H2728" s="169" t="s">
        <v>1876</v>
      </c>
      <c r="I2728" s="2">
        <v>800</v>
      </c>
      <c r="J2728"/>
      <c r="K2728"/>
      <c r="L2728" s="44" t="str" cm="1">
        <f t="array" ref="L2728">+_xlfn.IFS(COUNTIF(INGRESOS!E:E,Tabla6[[#This Row],[ID FACTURA]])=1,"PAGADA",Tabla6[[#This Row],[ID FACTURA]]&lt;&gt;0,"EMITIDA",Tabla6[[#This Row],[ID FACTURA]]=0,"POR EMITIR")</f>
        <v>POR EMITIR</v>
      </c>
      <c r="M2728" s="55" t="str">
        <f>+IF(Tabla6[[#This Row],[ESTADO FACTURA]]="PAGADA",Tabla6[[#This Row],[FECHA]]-_xlfn.XLOOKUP(Tabla6[[#This Row],[N° FACTURA]],INGRESOS!F:F,INGRESOS!A:A),"-")</f>
        <v>-</v>
      </c>
      <c r="O2728"/>
    </row>
    <row r="2729" spans="1:15">
      <c r="A2729" s="320" t="s">
        <v>787</v>
      </c>
      <c r="B2729" t="str">
        <f>+_xlfn.XLOOKUP(Tabla6[[#This Row],[ID CLIENTE]],'RESUMEN CLIENTES'!D:D,'RESUMEN CLIENTES'!A:A)</f>
        <v>Florencia Luján Sapia</v>
      </c>
      <c r="C2729" t="str">
        <f>+_xlfn.XLOOKUP(Tabla6[[#This Row],[ID CLIENTE]],'RESUMEN CLIENTES'!D:D,'RESUMEN CLIENTES'!C:C)</f>
        <v>Argentina</v>
      </c>
      <c r="D2729" s="44" t="str">
        <f>+_xlfn.XLOOKUP(Tabla6[[#This Row],[ID CLIENTE]],'RESUMEN CLIENTES'!D:D,'RESUMEN CLIENTES'!M:M)</f>
        <v>OK</v>
      </c>
      <c r="E2729" s="72">
        <f>+_xlfn.XLOOKUP(Tabla6[[#This Row],[NOMBRE]],'RESUMEN CLIENTES'!A:A,'RESUMEN CLIENTES'!X:X)</f>
        <v>-0.77777777777777779</v>
      </c>
      <c r="F2729" s="72">
        <f>+_xlfn.XLOOKUP(Tabla6[[#This Row],[ID CLIENTE]],'RESUMEN CLIENTES'!D:D,'RESUMEN CLIENTES'!W:W)</f>
        <v>1</v>
      </c>
      <c r="G2729" s="17">
        <f>IF($H2729&lt;&gt;"ALEM","",IFERROR(
  DATE(
    YEAR(EDATE(
      _xlfn.XLOOKUP($A2729,'RESUMEN CLIENTES'!$D:$D,'RESUMEN CLIENTES'!$Y:$Y,""),
      7 + COUNTIFS(
            $A$2:INDEX($A:$A,ROW()), $A2729,
            $H$2:INDEX($H:$H,ROW()), "ALEM"
          )
    )),
    MONTH(EDATE(
      _xlfn.XLOOKUP($A2729,'RESUMEN CLIENTES'!$D:$D,'RESUMEN CLIENTES'!$Y:$Y,""),
      7 + COUNTIFS(
            $A$2:INDEX($A:$A,ROW()), $A2729,
            $H$2:INDEX($H:$H,ROW()), "ALEM"
          )
    )),
    1
  ),
"SIN FECHA MIG"))</f>
        <v>46874</v>
      </c>
      <c r="H2729" s="44" t="s">
        <v>1876</v>
      </c>
      <c r="I2729" s="2">
        <v>1000</v>
      </c>
      <c r="J2729"/>
      <c r="K2729"/>
      <c r="L2729" s="44" t="str" cm="1">
        <f t="array" ref="L2729">+_xlfn.IFS(COUNTIF(INGRESOS!E:E,Tabla6[[#This Row],[ID FACTURA]])=1,"PAGADA",Tabla6[[#This Row],[ID FACTURA]]&lt;&gt;0,"EMITIDA",Tabla6[[#This Row],[ID FACTURA]]=0,"POR EMITIR")</f>
        <v>POR EMITIR</v>
      </c>
      <c r="M2729" s="55" t="str">
        <f>+IF(Tabla6[[#This Row],[ESTADO FACTURA]]="PAGADA",Tabla6[[#This Row],[FECHA]]-_xlfn.XLOOKUP(Tabla6[[#This Row],[N° FACTURA]],INGRESOS!F:F,INGRESOS!A:A),"-")</f>
        <v>-</v>
      </c>
      <c r="N2729" s="2"/>
      <c r="O2729" t="s">
        <v>2084</v>
      </c>
    </row>
    <row r="2730" spans="1:15">
      <c r="A2730" s="320" t="s">
        <v>139</v>
      </c>
      <c r="B2730" t="str">
        <f>+_xlfn.XLOOKUP(Tabla6[[#This Row],[ID CLIENTE]],'RESUMEN CLIENTES'!D:D,'RESUMEN CLIENTES'!A:A)</f>
        <v>Hugo Nicolás Trávez Morales</v>
      </c>
      <c r="C2730" t="str">
        <f>+_xlfn.XLOOKUP(Tabla6[[#This Row],[ID CLIENTE]],'RESUMEN CLIENTES'!D:D,'RESUMEN CLIENTES'!C:C)</f>
        <v>Ecuador</v>
      </c>
      <c r="D2730" s="169" t="str">
        <f>+_xlfn.XLOOKUP(Tabla6[[#This Row],[ID CLIENTE]],'RESUMEN CLIENTES'!D:D,'RESUMEN CLIENTES'!M:M)</f>
        <v>OK</v>
      </c>
      <c r="E2730" s="71">
        <f>+_xlfn.XLOOKUP(Tabla6[[#This Row],[NOMBRE]],'RESUMEN CLIENTES'!A:A,'RESUMEN CLIENTES'!X:X)</f>
        <v>0</v>
      </c>
      <c r="F2730" s="71">
        <f>+_xlfn.XLOOKUP(Tabla6[[#This Row],[ID CLIENTE]],'RESUMEN CLIENTES'!D:D,'RESUMEN CLIENTES'!W:W)</f>
        <v>0</v>
      </c>
      <c r="G2730" s="17">
        <f>IF($H2730&lt;&gt;"ALEM","",IFERROR(
  DATE(
    YEAR(EDATE(
      _xlfn.XLOOKUP($A2730,'RESUMEN CLIENTES'!$D:$D,'RESUMEN CLIENTES'!$Y:$Y,""),
      7 + COUNTIFS(
            $A$2:INDEX($A:$A,ROW()), $A2730,
            $H$2:INDEX($H:$H,ROW()), "ALEM"
          )
    )),
    MONTH(EDATE(
      _xlfn.XLOOKUP($A2730,'RESUMEN CLIENTES'!$D:$D,'RESUMEN CLIENTES'!$Y:$Y,""),
      7 + COUNTIFS(
            $A$2:INDEX($A:$A,ROW()), $A2730,
            $H$2:INDEX($H:$H,ROW()), "ALEM"
          )
    )),
    1
  ),
"null"))</f>
        <v>46874</v>
      </c>
      <c r="H2730" s="169" t="s">
        <v>1876</v>
      </c>
      <c r="I2730" s="2">
        <v>2000</v>
      </c>
      <c r="J2730"/>
      <c r="K2730"/>
      <c r="L2730" s="44" t="str" cm="1">
        <f t="array" ref="L2730">+_xlfn.IFS(COUNTIF(INGRESOS!E:E,Tabla6[[#This Row],[ID FACTURA]])=1,"PAGADA",Tabla6[[#This Row],[ID FACTURA]]&lt;&gt;0,"EMITIDA",Tabla6[[#This Row],[ID FACTURA]]=0,"POR EMITIR")</f>
        <v>POR EMITIR</v>
      </c>
      <c r="M2730" s="54" t="str">
        <f>+IF(Tabla6[[#This Row],[ESTADO FACTURA]]="PAGADA",Tabla6[[#This Row],[FECHA]]-_xlfn.XLOOKUP(Tabla6[[#This Row],[N° FACTURA]],INGRESOS!F:F,INGRESOS!A:A),"-")</f>
        <v>-</v>
      </c>
      <c r="O2730"/>
    </row>
    <row r="2731" spans="1:15">
      <c r="A2731" s="320" t="s">
        <v>1996</v>
      </c>
      <c r="B2731" t="str">
        <f>+_xlfn.XLOOKUP(Tabla6[[#This Row],[ID CLIENTE]],'RESUMEN CLIENTES'!D:D,'RESUMEN CLIENTES'!A:A)</f>
        <v>Ivan Gonzales Graus</v>
      </c>
      <c r="C2731" t="str">
        <f>+_xlfn.XLOOKUP(Tabla6[[#This Row],[ID CLIENTE]],'RESUMEN CLIENTES'!D:D,'RESUMEN CLIENTES'!C:C)</f>
        <v>Perú</v>
      </c>
      <c r="D2731" s="169" t="str">
        <f>+_xlfn.XLOOKUP(Tabla6[[#This Row],[ID CLIENTE]],'RESUMEN CLIENTES'!D:D,'RESUMEN CLIENTES'!M:M)</f>
        <v>OK</v>
      </c>
      <c r="E2731" s="71">
        <f>+_xlfn.XLOOKUP(Tabla6[[#This Row],[NOMBRE]],'RESUMEN CLIENTES'!A:A,'RESUMEN CLIENTES'!X:X)</f>
        <v>-2</v>
      </c>
      <c r="F2731" s="71">
        <f>+_xlfn.XLOOKUP(Tabla6[[#This Row],[ID CLIENTE]],'RESUMEN CLIENTES'!D:D,'RESUMEN CLIENTES'!W:W)</f>
        <v>1</v>
      </c>
      <c r="G2731" s="17">
        <f>IF($H2731&lt;&gt;"ALEM","",IFERROR(
  DATE(
    YEAR(EDATE(
      _xlfn.XLOOKUP($A2731,'RESUMEN CLIENTES'!$D:$D,'RESUMEN CLIENTES'!$Y:$Y,""),
      7 + COUNTIFS(
            $A$2:INDEX($A:$A,ROW()), $A2731,
            $H$2:INDEX($H:$H,ROW()), "ALEM"
          )
    )),
    MONTH(EDATE(
      _xlfn.XLOOKUP($A2731,'RESUMEN CLIENTES'!$D:$D,'RESUMEN CLIENTES'!$Y:$Y,""),
      7 + COUNTIFS(
            $A$2:INDEX($A:$A,ROW()), $A2731,
            $H$2:INDEX($H:$H,ROW()), "ALEM"
          )
    )),
    1
  ),
"null"))</f>
        <v>46874</v>
      </c>
      <c r="H2731" s="169" t="s">
        <v>1876</v>
      </c>
      <c r="I2731" s="2">
        <v>1000</v>
      </c>
      <c r="J2731"/>
      <c r="K2731"/>
      <c r="L2731" s="44" t="str" cm="1">
        <f t="array" ref="L2731">+_xlfn.IFS(COUNTIF(INGRESOS!E:E,Tabla6[[#This Row],[ID FACTURA]])=1,"PAGADA",Tabla6[[#This Row],[ID FACTURA]]&lt;&gt;0,"EMITIDA",Tabla6[[#This Row],[ID FACTURA]]=0,"POR EMITIR")</f>
        <v>POR EMITIR</v>
      </c>
      <c r="M2731" s="54" t="str">
        <f>+IF(Tabla6[[#This Row],[ESTADO FACTURA]]="PAGADA",Tabla6[[#This Row],[FECHA]]-_xlfn.XLOOKUP(Tabla6[[#This Row],[N° FACTURA]],INGRESOS!F:F,INGRESOS!A:A),"-")</f>
        <v>-</v>
      </c>
      <c r="O2731"/>
    </row>
    <row r="2732" spans="1:15">
      <c r="A2732" s="321" t="s">
        <v>1899</v>
      </c>
      <c r="B2732" t="str">
        <f>+_xlfn.XLOOKUP(Tabla6[[#This Row],[ID CLIENTE]],'RESUMEN CLIENTES'!D:D,'RESUMEN CLIENTES'!A:A)</f>
        <v>Johan Martínez</v>
      </c>
      <c r="C2732" t="str">
        <f>+_xlfn.XLOOKUP(Tabla6[[#This Row],[ID CLIENTE]],'RESUMEN CLIENTES'!D:D,'RESUMEN CLIENTES'!C:C)</f>
        <v>Colombia</v>
      </c>
      <c r="D2732" s="169" t="str">
        <f>+_xlfn.XLOOKUP(Tabla6[[#This Row],[ID CLIENTE]],'RESUMEN CLIENTES'!D:D,'RESUMEN CLIENTES'!M:M)</f>
        <v>OK</v>
      </c>
      <c r="E2732" s="71">
        <f>+_xlfn.XLOOKUP(Tabla6[[#This Row],[NOMBRE]],'RESUMEN CLIENTES'!A:A,'RESUMEN CLIENTES'!X:X)</f>
        <v>-0.66666666666666663</v>
      </c>
      <c r="F2732" s="71">
        <f>+_xlfn.XLOOKUP(Tabla6[[#This Row],[ID CLIENTE]],'RESUMEN CLIENTES'!D:D,'RESUMEN CLIENTES'!W:W)</f>
        <v>0</v>
      </c>
      <c r="G2732" s="17">
        <f>IF($H2732&lt;&gt;"ALEM","",IFERROR(
  DATE(
    YEAR(EDATE(
      _xlfn.XLOOKUP($A2732,'RESUMEN CLIENTES'!$D:$D,'RESUMEN CLIENTES'!$Y:$Y,""),
      7 + COUNTIFS(
            $A$2:INDEX($A:$A,ROW()), $A2732,
            $H$2:INDEX($H:$H,ROW()), "ALEM"
          )
    )),
    MONTH(EDATE(
      _xlfn.XLOOKUP($A2732,'RESUMEN CLIENTES'!$D:$D,'RESUMEN CLIENTES'!$Y:$Y,""),
      7 + COUNTIFS(
            $A$2:INDEX($A:$A,ROW()), $A2732,
            $H$2:INDEX($H:$H,ROW()), "ALEM"
          )
    )),
    1
  ),
"null"))</f>
        <v>46874</v>
      </c>
      <c r="H2732" s="169" t="s">
        <v>1876</v>
      </c>
      <c r="I2732" s="2">
        <v>800</v>
      </c>
      <c r="J2732"/>
      <c r="K2732"/>
      <c r="L2732" s="44" t="str" cm="1">
        <f t="array" ref="L2732">+_xlfn.IFS(COUNTIF(INGRESOS!E:E,Tabla6[[#This Row],[ID FACTURA]])=1,"PAGADA",Tabla6[[#This Row],[ID FACTURA]]&lt;&gt;0,"EMITIDA",Tabla6[[#This Row],[ID FACTURA]]=0,"POR EMITIR")</f>
        <v>POR EMITIR</v>
      </c>
      <c r="M2732" s="54" t="str">
        <f>+IF(Tabla6[[#This Row],[ESTADO FACTURA]]="PAGADA",Tabla6[[#This Row],[FECHA]]-_xlfn.XLOOKUP(Tabla6[[#This Row],[N° FACTURA]],INGRESOS!F:F,INGRESOS!A:A),"-")</f>
        <v>-</v>
      </c>
      <c r="O2732" t="s">
        <v>2086</v>
      </c>
    </row>
    <row r="2733" spans="1:15">
      <c r="A2733" s="320" t="s">
        <v>1437</v>
      </c>
      <c r="B2733" t="str">
        <f>+_xlfn.XLOOKUP(Tabla6[[#This Row],[ID CLIENTE]],'RESUMEN CLIENTES'!D:D,'RESUMEN CLIENTES'!A:A)</f>
        <v>Jorge Andres Galgani Muñoz</v>
      </c>
      <c r="C2733" t="str">
        <f>+_xlfn.XLOOKUP(Tabla6[[#This Row],[ID CLIENTE]],'RESUMEN CLIENTES'!D:D,'RESUMEN CLIENTES'!C:C)</f>
        <v>Chile</v>
      </c>
      <c r="D2733" s="44" t="str">
        <f>+_xlfn.XLOOKUP(Tabla6[[#This Row],[ID CLIENTE]],'RESUMEN CLIENTES'!D:D,'RESUMEN CLIENTES'!M:M)</f>
        <v>OK</v>
      </c>
      <c r="E2733" s="71">
        <f>+_xlfn.XLOOKUP(Tabla6[[#This Row],[NOMBRE]],'RESUMEN CLIENTES'!A:A,'RESUMEN CLIENTES'!X:X)</f>
        <v>-1.1428571428571428</v>
      </c>
      <c r="F2733" s="71">
        <f>+_xlfn.XLOOKUP(Tabla6[[#This Row],[ID CLIENTE]],'RESUMEN CLIENTES'!D:D,'RESUMEN CLIENTES'!W:W)</f>
        <v>1</v>
      </c>
      <c r="G2733" s="17">
        <f>IF($H2733&lt;&gt;"ALEM","",IFERROR(
  DATE(
    YEAR(EDATE(
      _xlfn.XLOOKUP($A2733,'RESUMEN CLIENTES'!$D:$D,'RESUMEN CLIENTES'!$Y:$Y,""),
      7 + COUNTIFS(
            $A$2:INDEX($A:$A,ROW()), $A2733,
            $H$2:INDEX($H:$H,ROW()), "ALEM"
          )
    )),
    MONTH(EDATE(
      _xlfn.XLOOKUP($A2733,'RESUMEN CLIENTES'!$D:$D,'RESUMEN CLIENTES'!$Y:$Y,""),
      7 + COUNTIFS(
            $A$2:INDEX($A:$A,ROW()), $A2733,
            $H$2:INDEX($H:$H,ROW()), "ALEM"
          )
    )),
    1
  ),
"SIN FECHA MIG"))</f>
        <v>46874</v>
      </c>
      <c r="H2733" s="169" t="s">
        <v>1876</v>
      </c>
      <c r="I2733" s="2">
        <v>800</v>
      </c>
      <c r="J2733"/>
      <c r="K2733"/>
      <c r="L2733" s="44" t="str" cm="1">
        <f t="array" ref="L2733">+_xlfn.IFS(COUNTIF(INGRESOS!E:E,Tabla6[[#This Row],[ID FACTURA]])=1,"PAGADA",Tabla6[[#This Row],[ID FACTURA]]&lt;&gt;0,"EMITIDA",Tabla6[[#This Row],[ID FACTURA]]=0,"POR EMITIR")</f>
        <v>POR EMITIR</v>
      </c>
      <c r="M2733" s="55" t="str">
        <f>+IF(Tabla6[[#This Row],[ESTADO FACTURA]]="PAGADA",Tabla6[[#This Row],[FECHA]]-_xlfn.XLOOKUP(Tabla6[[#This Row],[N° FACTURA]],INGRESOS!F:F,INGRESOS!A:A),"-")</f>
        <v>-</v>
      </c>
      <c r="N2733" s="2"/>
      <c r="O2733"/>
    </row>
    <row r="2734" spans="1:15">
      <c r="A2734" s="320" t="s">
        <v>4454</v>
      </c>
      <c r="B2734" t="str">
        <f>+_xlfn.XLOOKUP(Tabla6[[#This Row],[ID CLIENTE]],'RESUMEN CLIENTES'!D:D,'RESUMEN CLIENTES'!A:A)</f>
        <v>Jose Luis Avilez Casas</v>
      </c>
      <c r="C2734" t="str">
        <f>+_xlfn.XLOOKUP(Tabla6[[#This Row],[ID CLIENTE]],'RESUMEN CLIENTES'!D:D,'RESUMEN CLIENTES'!C:C)</f>
        <v>México</v>
      </c>
      <c r="D2734" s="169" t="str">
        <f>+_xlfn.XLOOKUP(Tabla6[[#This Row],[ID CLIENTE]],'RESUMEN CLIENTES'!D:D,'RESUMEN CLIENTES'!M:M)</f>
        <v>OK</v>
      </c>
      <c r="E2734" s="71">
        <f>+_xlfn.XLOOKUP(Tabla6[[#This Row],[NOMBRE]],'RESUMEN CLIENTES'!A:A,'RESUMEN CLIENTES'!X:X)</f>
        <v>0.33333333333333331</v>
      </c>
      <c r="F2734" s="71">
        <f>+_xlfn.XLOOKUP(Tabla6[[#This Row],[ID CLIENTE]],'RESUMEN CLIENTES'!D:D,'RESUMEN CLIENTES'!W:W)</f>
        <v>0</v>
      </c>
      <c r="G2734" s="17">
        <f>IF($H2734&lt;&gt;"ALEM","",IFERROR(
  DATE(
    YEAR(EDATE(
      _xlfn.XLOOKUP($A2734,'RESUMEN CLIENTES'!$D:$D,'RESUMEN CLIENTES'!$Y:$Y,""),
      7 + COUNTIFS(
            $A$2:INDEX($A:$A,ROW()), $A2734,
            $H$2:INDEX($H:$H,ROW()), "ALEM"
          )
    )),
    MONTH(EDATE(
      _xlfn.XLOOKUP($A2734,'RESUMEN CLIENTES'!$D:$D,'RESUMEN CLIENTES'!$Y:$Y,""),
      7 + COUNTIFS(
            $A$2:INDEX($A:$A,ROW()), $A2734,
            $H$2:INDEX($H:$H,ROW()), "ALEM"
          )
    )),
    1
  ),
"null"))</f>
        <v>46874</v>
      </c>
      <c r="H2734" s="169" t="s">
        <v>1876</v>
      </c>
      <c r="I2734" s="2">
        <v>800</v>
      </c>
      <c r="J2734"/>
      <c r="K2734"/>
      <c r="L2734" s="44" t="str" cm="1">
        <f t="array" ref="L2734">+_xlfn.IFS(COUNTIF(INGRESOS!E:E,Tabla6[[#This Row],[ID FACTURA]])=1,"PAGADA",Tabla6[[#This Row],[ID FACTURA]]&lt;&gt;0,"EMITIDA",Tabla6[[#This Row],[ID FACTURA]]=0,"POR EMITIR")</f>
        <v>POR EMITIR</v>
      </c>
      <c r="M2734" s="54" t="str">
        <f>+IF(Tabla6[[#This Row],[ESTADO FACTURA]]="PAGADA",Tabla6[[#This Row],[FECHA]]-_xlfn.XLOOKUP(Tabla6[[#This Row],[N° FACTURA]],INGRESOS!F:F,INGRESOS!A:A),"-")</f>
        <v>-</v>
      </c>
      <c r="O2734"/>
    </row>
    <row r="2735" spans="1:15">
      <c r="A2735" s="320" t="s">
        <v>1931</v>
      </c>
      <c r="B2735" t="str">
        <f>+_xlfn.XLOOKUP(Tabla6[[#This Row],[ID CLIENTE]],'RESUMEN CLIENTES'!D:D,'RESUMEN CLIENTES'!A:A)</f>
        <v>Josué Bernardo Reyes Flores</v>
      </c>
      <c r="C2735" t="str">
        <f>+_xlfn.XLOOKUP(Tabla6[[#This Row],[ID CLIENTE]],'RESUMEN CLIENTES'!D:D,'RESUMEN CLIENTES'!C:C)</f>
        <v>México</v>
      </c>
      <c r="D2735" s="169" t="str">
        <f>+_xlfn.XLOOKUP(Tabla6[[#This Row],[ID CLIENTE]],'RESUMEN CLIENTES'!D:D,'RESUMEN CLIENTES'!M:M)</f>
        <v>OK</v>
      </c>
      <c r="E2735" s="71">
        <f>+_xlfn.XLOOKUP(Tabla6[[#This Row],[NOMBRE]],'RESUMEN CLIENTES'!A:A,'RESUMEN CLIENTES'!X:X)</f>
        <v>0</v>
      </c>
      <c r="F2735" s="71">
        <f>+_xlfn.XLOOKUP(Tabla6[[#This Row],[ID CLIENTE]],'RESUMEN CLIENTES'!D:D,'RESUMEN CLIENTES'!W:W)</f>
        <v>1</v>
      </c>
      <c r="G2735" s="17">
        <f>IF($H2735&lt;&gt;"ALEM","",IFERROR(
  DATE(
    YEAR(EDATE(
      _xlfn.XLOOKUP($A2735,'RESUMEN CLIENTES'!$D:$D,'RESUMEN CLIENTES'!$Y:$Y,""),
      7 + COUNTIFS(
            $A$2:INDEX($A:$A,ROW()), $A2735,
            $H$2:INDEX($H:$H,ROW()), "ALEM"
          )
    )),
    MONTH(EDATE(
      _xlfn.XLOOKUP($A2735,'RESUMEN CLIENTES'!$D:$D,'RESUMEN CLIENTES'!$Y:$Y,""),
      7 + COUNTIFS(
            $A$2:INDEX($A:$A,ROW()), $A2735,
            $H$2:INDEX($H:$H,ROW()), "ALEM"
          )
    )),
    1
  ),
"null"))</f>
        <v>46874</v>
      </c>
      <c r="H2735" s="169" t="s">
        <v>1876</v>
      </c>
      <c r="I2735" s="2">
        <v>800</v>
      </c>
      <c r="J2735"/>
      <c r="K2735"/>
      <c r="L2735" s="44" t="str" cm="1">
        <f t="array" ref="L2735">+_xlfn.IFS(COUNTIF(INGRESOS!E:E,Tabla6[[#This Row],[ID FACTURA]])=1,"PAGADA",Tabla6[[#This Row],[ID FACTURA]]&lt;&gt;0,"EMITIDA",Tabla6[[#This Row],[ID FACTURA]]=0,"POR EMITIR")</f>
        <v>POR EMITIR</v>
      </c>
      <c r="M2735" s="54" t="str">
        <f>+IF(Tabla6[[#This Row],[ESTADO FACTURA]]="PAGADA",Tabla6[[#This Row],[FECHA]]-_xlfn.XLOOKUP(Tabla6[[#This Row],[N° FACTURA]],INGRESOS!F:F,INGRESOS!A:A),"-")</f>
        <v>-</v>
      </c>
      <c r="O2735"/>
    </row>
    <row r="2736" spans="1:15">
      <c r="A2736" s="320" t="s">
        <v>1482</v>
      </c>
      <c r="B2736" t="str">
        <f>+_xlfn.XLOOKUP(Tabla6[[#This Row],[ID CLIENTE]],'RESUMEN CLIENTES'!D:D,'RESUMEN CLIENTES'!A:A)</f>
        <v>Laxmi Davi Patel Flores</v>
      </c>
      <c r="C2736" t="str">
        <f>+_xlfn.XLOOKUP(Tabla6[[#This Row],[ID CLIENTE]],'RESUMEN CLIENTES'!D:D,'RESUMEN CLIENTES'!C:C)</f>
        <v>Ecuador</v>
      </c>
      <c r="D2736" s="44" t="str">
        <f>+_xlfn.XLOOKUP(Tabla6[[#This Row],[ID CLIENTE]],'RESUMEN CLIENTES'!D:D,'RESUMEN CLIENTES'!M:M)</f>
        <v>OK</v>
      </c>
      <c r="E2736" s="71">
        <f>+_xlfn.XLOOKUP(Tabla6[[#This Row],[NOMBRE]],'RESUMEN CLIENTES'!A:A,'RESUMEN CLIENTES'!X:X)</f>
        <v>-1.5714285714285714</v>
      </c>
      <c r="F2736" s="71">
        <f>+_xlfn.XLOOKUP(Tabla6[[#This Row],[ID CLIENTE]],'RESUMEN CLIENTES'!D:D,'RESUMEN CLIENTES'!W:W)</f>
        <v>0</v>
      </c>
      <c r="G2736" s="17">
        <f>IF($H2736&lt;&gt;"ALEM","",IFERROR(
  DATE(
    YEAR(EDATE(
      _xlfn.XLOOKUP($A2736,'RESUMEN CLIENTES'!$D:$D,'RESUMEN CLIENTES'!$Y:$Y,""),
      7 + COUNTIFS(
            $A$2:INDEX($A:$A,ROW()), $A2736,
            $H$2:INDEX($H:$H,ROW()), "ALEM"
          )
    )),
    MONTH(EDATE(
      _xlfn.XLOOKUP($A2736,'RESUMEN CLIENTES'!$D:$D,'RESUMEN CLIENTES'!$Y:$Y,""),
      7 + COUNTIFS(
            $A$2:INDEX($A:$A,ROW()), $A2736,
            $H$2:INDEX($H:$H,ROW()), "ALEM"
          )
    )),
    1
  ),
"SIN FECHA MIG"))</f>
        <v>46874</v>
      </c>
      <c r="H2736" s="169" t="s">
        <v>1876</v>
      </c>
      <c r="I2736" s="2">
        <v>800</v>
      </c>
      <c r="J2736"/>
      <c r="K2736"/>
      <c r="L2736" s="44" t="str" cm="1">
        <f t="array" ref="L2736">+_xlfn.IFS(COUNTIF(INGRESOS!E:E,Tabla6[[#This Row],[ID FACTURA]])=1,"PAGADA",Tabla6[[#This Row],[ID FACTURA]]&lt;&gt;0,"EMITIDA",Tabla6[[#This Row],[ID FACTURA]]=0,"POR EMITIR")</f>
        <v>POR EMITIR</v>
      </c>
      <c r="M2736" s="55" t="str">
        <f>+IF(Tabla6[[#This Row],[ESTADO FACTURA]]="PAGADA",Tabla6[[#This Row],[FECHA]]-_xlfn.XLOOKUP(Tabla6[[#This Row],[N° FACTURA]],INGRESOS!F:F,INGRESOS!A:A),"-")</f>
        <v>-</v>
      </c>
      <c r="N2736" s="2"/>
      <c r="O2736" t="s">
        <v>2092</v>
      </c>
    </row>
    <row r="2737" spans="1:15">
      <c r="A2737" s="320" t="s">
        <v>744</v>
      </c>
      <c r="B2737" t="str">
        <f>+_xlfn.XLOOKUP(Tabla6[[#This Row],[ID CLIENTE]],'RESUMEN CLIENTES'!D:D,'RESUMEN CLIENTES'!A:A)</f>
        <v>Martin Esteban Orellana Dominguez</v>
      </c>
      <c r="C2737" t="str">
        <f>+_xlfn.XLOOKUP(Tabla6[[#This Row],[ID CLIENTE]],'RESUMEN CLIENTES'!D:D,'RESUMEN CLIENTES'!C:C)</f>
        <v>Ecuador</v>
      </c>
      <c r="D2737" s="44" t="str">
        <f>+_xlfn.XLOOKUP(Tabla6[[#This Row],[ID CLIENTE]],'RESUMEN CLIENTES'!D:D,'RESUMEN CLIENTES'!M:M)</f>
        <v>OK</v>
      </c>
      <c r="E2737" s="72">
        <f>+_xlfn.XLOOKUP(Tabla6[[#This Row],[NOMBRE]],'RESUMEN CLIENTES'!A:A,'RESUMEN CLIENTES'!X:X)</f>
        <v>-1.1428571428571428</v>
      </c>
      <c r="F2737" s="72">
        <f>+_xlfn.XLOOKUP(Tabla6[[#This Row],[ID CLIENTE]],'RESUMEN CLIENTES'!D:D,'RESUMEN CLIENTES'!W:W)</f>
        <v>1</v>
      </c>
      <c r="G2737" s="17">
        <f>IF($H2737&lt;&gt;"ALEM","",IFERROR(
  DATE(
    YEAR(EDATE(
      _xlfn.XLOOKUP($A2737,'RESUMEN CLIENTES'!$D:$D,'RESUMEN CLIENTES'!$Y:$Y,""),
      7 + COUNTIFS(
            $A$2:INDEX($A:$A,ROW()), $A2737,
            $H$2:INDEX($H:$H,ROW()), "ALEM"
          )
    )),
    MONTH(EDATE(
      _xlfn.XLOOKUP($A2737,'RESUMEN CLIENTES'!$D:$D,'RESUMEN CLIENTES'!$Y:$Y,""),
      7 + COUNTIFS(
            $A$2:INDEX($A:$A,ROW()), $A2737,
            $H$2:INDEX($H:$H,ROW()), "ALEM"
          )
    )),
    1
  ),
"SIN FECHA MIG"))</f>
        <v>46874</v>
      </c>
      <c r="H2737" s="44" t="s">
        <v>1876</v>
      </c>
      <c r="I2737" s="2">
        <v>1000</v>
      </c>
      <c r="J2737"/>
      <c r="K2737"/>
      <c r="L2737" s="44" t="str" cm="1">
        <f t="array" ref="L2737">+_xlfn.IFS(COUNTIF(INGRESOS!E:E,Tabla6[[#This Row],[ID FACTURA]])=1,"PAGADA",Tabla6[[#This Row],[ID FACTURA]]&lt;&gt;0,"EMITIDA",Tabla6[[#This Row],[ID FACTURA]]=0,"POR EMITIR")</f>
        <v>POR EMITIR</v>
      </c>
      <c r="M2737" s="55" t="str">
        <f>+IF(Tabla6[[#This Row],[ESTADO FACTURA]]="PAGADA",Tabla6[[#This Row],[FECHA]]-_xlfn.XLOOKUP(Tabla6[[#This Row],[N° FACTURA]],INGRESOS!F:F,INGRESOS!A:A),"-")</f>
        <v>-</v>
      </c>
      <c r="N2737" s="2"/>
      <c r="O2737" t="s">
        <v>2084</v>
      </c>
    </row>
    <row r="2738" spans="1:15">
      <c r="A2738" s="320" t="s">
        <v>1419</v>
      </c>
      <c r="B2738" t="str">
        <f>+_xlfn.XLOOKUP(Tabla6[[#This Row],[ID CLIENTE]],'RESUMEN CLIENTES'!D:D,'RESUMEN CLIENTES'!A:A)</f>
        <v>Rocio Natalia López Núñez</v>
      </c>
      <c r="C2738" t="str">
        <f>+_xlfn.XLOOKUP(Tabla6[[#This Row],[ID CLIENTE]],'RESUMEN CLIENTES'!D:D,'RESUMEN CLIENTES'!C:C)</f>
        <v>Chile</v>
      </c>
      <c r="D2738" s="44" t="str">
        <f>+_xlfn.XLOOKUP(Tabla6[[#This Row],[ID CLIENTE]],'RESUMEN CLIENTES'!D:D,'RESUMEN CLIENTES'!M:M)</f>
        <v>OK</v>
      </c>
      <c r="E2738" s="71">
        <f>+_xlfn.XLOOKUP(Tabla6[[#This Row],[NOMBRE]],'RESUMEN CLIENTES'!A:A,'RESUMEN CLIENTES'!X:X)</f>
        <v>0</v>
      </c>
      <c r="F2738" s="71">
        <f>+_xlfn.XLOOKUP(Tabla6[[#This Row],[ID CLIENTE]],'RESUMEN CLIENTES'!D:D,'RESUMEN CLIENTES'!W:W)</f>
        <v>0</v>
      </c>
      <c r="G2738" s="17">
        <f>IF($H2738&lt;&gt;"ALEM","",IFERROR(
  DATE(
    YEAR(EDATE(
      _xlfn.XLOOKUP($A2738,'RESUMEN CLIENTES'!$D:$D,'RESUMEN CLIENTES'!$Y:$Y,""),
      7 + COUNTIFS(
            $A$2:INDEX($A:$A,ROW()), $A2738,
            $H$2:INDEX($H:$H,ROW()), "ALEM"
          )
    )),
    MONTH(EDATE(
      _xlfn.XLOOKUP($A2738,'RESUMEN CLIENTES'!$D:$D,'RESUMEN CLIENTES'!$Y:$Y,""),
      7 + COUNTIFS(
            $A$2:INDEX($A:$A,ROW()), $A2738,
            $H$2:INDEX($H:$H,ROW()), "ALEM"
          )
    )),
    1
  ),
"SIN FECHA MIG"))</f>
        <v>46874</v>
      </c>
      <c r="H2738" s="169" t="s">
        <v>1876</v>
      </c>
      <c r="I2738" s="2">
        <v>800</v>
      </c>
      <c r="J2738"/>
      <c r="K2738"/>
      <c r="L2738" s="44" t="str" cm="1">
        <f t="array" ref="L2738">+_xlfn.IFS(COUNTIF(INGRESOS!E:E,Tabla6[[#This Row],[ID FACTURA]])=1,"PAGADA",Tabla6[[#This Row],[ID FACTURA]]&lt;&gt;0,"EMITIDA",Tabla6[[#This Row],[ID FACTURA]]=0,"POR EMITIR")</f>
        <v>POR EMITIR</v>
      </c>
      <c r="M2738" s="55" t="str">
        <f>+IF(Tabla6[[#This Row],[ESTADO FACTURA]]="PAGADA",Tabla6[[#This Row],[FECHA]]-_xlfn.XLOOKUP(Tabla6[[#This Row],[N° FACTURA]],INGRESOS!F:F,INGRESOS!A:A),"-")</f>
        <v>-</v>
      </c>
      <c r="N2738" s="2"/>
      <c r="O2738"/>
    </row>
    <row r="2739" spans="1:15">
      <c r="A2739" s="320" t="s">
        <v>2521</v>
      </c>
      <c r="B2739" t="str">
        <f>+_xlfn.XLOOKUP(Tabla6[[#This Row],[ID CLIENTE]],'RESUMEN CLIENTES'!D:D,'RESUMEN CLIENTES'!A:A)</f>
        <v>Fabián Andrés Sarmiento Auli</v>
      </c>
      <c r="C2739" t="str">
        <f>+_xlfn.XLOOKUP(Tabla6[[#This Row],[ID CLIENTE]],'RESUMEN CLIENTES'!D:D,'RESUMEN CLIENTES'!C:C)</f>
        <v>Colombia</v>
      </c>
      <c r="D2739" s="169" t="str">
        <f>+_xlfn.XLOOKUP(Tabla6[[#This Row],[ID CLIENTE]],'RESUMEN CLIENTES'!D:D,'RESUMEN CLIENTES'!M:M)</f>
        <v>OK</v>
      </c>
      <c r="E2739" s="71">
        <f>+_xlfn.XLOOKUP(Tabla6[[#This Row],[NOMBRE]],'RESUMEN CLIENTES'!A:A,'RESUMEN CLIENTES'!X:X)</f>
        <v>0</v>
      </c>
      <c r="F2739" s="71">
        <f>+_xlfn.XLOOKUP(Tabla6[[#This Row],[ID CLIENTE]],'RESUMEN CLIENTES'!D:D,'RESUMEN CLIENTES'!W:W)</f>
        <v>0</v>
      </c>
      <c r="G2739" s="17">
        <v>46878</v>
      </c>
      <c r="H2739" s="169" t="s">
        <v>81</v>
      </c>
      <c r="I2739" s="2">
        <v>650</v>
      </c>
      <c r="J2739"/>
      <c r="K2739"/>
      <c r="L2739" s="44" t="str" cm="1">
        <f t="array" ref="L2739">+_xlfn.IFS(COUNTIF(INGRESOS!E:E,Tabla6[[#This Row],[ID FACTURA]])=1,"PAGADA",Tabla6[[#This Row],[ID FACTURA]]&lt;&gt;0,"EMITIDA",Tabla6[[#This Row],[ID FACTURA]]=0,"POR EMITIR")</f>
        <v>POR EMITIR</v>
      </c>
      <c r="M2739" s="54" t="str">
        <f>+IF(Tabla6[[#This Row],[ESTADO FACTURA]]="PAGADA",Tabla6[[#This Row],[FECHA]]-_xlfn.XLOOKUP(Tabla6[[#This Row],[N° FACTURA]],INGRESOS!F:F,INGRESOS!A:A),"-")</f>
        <v>-</v>
      </c>
      <c r="O2739"/>
    </row>
    <row r="2740" spans="1:15">
      <c r="A2740" s="320" t="s">
        <v>6035</v>
      </c>
      <c r="B2740" t="str">
        <f>+_xlfn.XLOOKUP(Tabla6[[#This Row],[ID CLIENTE]],'RESUMEN CLIENTES'!D:D,'RESUMEN CLIENTES'!A:A)</f>
        <v>Ari Sifuentes Becerra</v>
      </c>
      <c r="C2740" s="15" t="str">
        <f>+_xlfn.XLOOKUP(Tabla6[[#This Row],[ID CLIENTE]],'RESUMEN CLIENTES'!D:D,'RESUMEN CLIENTES'!C:C)</f>
        <v>México</v>
      </c>
      <c r="D2740" s="169" t="str">
        <f>+_xlfn.XLOOKUP(Tabla6[[#This Row],[ID CLIENTE]],'RESUMEN CLIENTES'!D:D,'RESUMEN CLIENTES'!M:M)</f>
        <v>OK</v>
      </c>
      <c r="E2740" s="71">
        <f>+_xlfn.XLOOKUP(Tabla6[[#This Row],[NOMBRE]],'RESUMEN CLIENTES'!A:A,'RESUMEN CLIENTES'!X:X)</f>
        <v>-1</v>
      </c>
      <c r="F2740" s="71">
        <f>+_xlfn.XLOOKUP(Tabla6[[#This Row],[ID CLIENTE]],'RESUMEN CLIENTES'!D:D,'RESUMEN CLIENTES'!W:W)</f>
        <v>0</v>
      </c>
      <c r="G2740" s="17">
        <v>46905</v>
      </c>
      <c r="H2740" s="169" t="s">
        <v>1876</v>
      </c>
      <c r="I2740" s="2">
        <v>800</v>
      </c>
      <c r="J2740"/>
      <c r="K2740"/>
      <c r="L2740" s="44" t="str" cm="1">
        <f t="array" ref="L2740">+_xlfn.IFS(COUNTIF(INGRESOS!E:E,Tabla6[[#This Row],[ID FACTURA]])=1,"PAGADA",Tabla6[[#This Row],[ID FACTURA]]&lt;&gt;0,"EMITIDA",Tabla6[[#This Row],[ID FACTURA]]=0,"POR EMITIR")</f>
        <v>POR EMITIR</v>
      </c>
      <c r="M2740" s="54" t="str">
        <f>+IF(Tabla6[[#This Row],[ESTADO FACTURA]]="PAGADA",Tabla6[[#This Row],[FECHA]]-_xlfn.XLOOKUP(Tabla6[[#This Row],[N° FACTURA]],INGRESOS!F:F,INGRESOS!A:A),"-")</f>
        <v>-</v>
      </c>
      <c r="O2740"/>
    </row>
    <row r="2741" spans="1:15">
      <c r="A2741" s="321" t="s">
        <v>1870</v>
      </c>
      <c r="B2741" t="str">
        <f>+_xlfn.XLOOKUP(Tabla6[[#This Row],[ID CLIENTE]],'RESUMEN CLIENTES'!D:D,'RESUMEN CLIENTES'!A:A)</f>
        <v>Berenisse Shadia Yarango Garay</v>
      </c>
      <c r="C2741" t="str">
        <f>+_xlfn.XLOOKUP(Tabla6[[#This Row],[ID CLIENTE]],'RESUMEN CLIENTES'!D:D,'RESUMEN CLIENTES'!C:C)</f>
        <v>Perú</v>
      </c>
      <c r="D2741" s="169" t="str">
        <f>+_xlfn.XLOOKUP(Tabla6[[#This Row],[ID CLIENTE]],'RESUMEN CLIENTES'!D:D,'RESUMEN CLIENTES'!M:M)</f>
        <v>OK</v>
      </c>
      <c r="E2741" s="71">
        <f>+_xlfn.XLOOKUP(Tabla6[[#This Row],[NOMBRE]],'RESUMEN CLIENTES'!A:A,'RESUMEN CLIENTES'!X:X)</f>
        <v>-0.33333333333333331</v>
      </c>
      <c r="F2741" s="71">
        <f>+_xlfn.XLOOKUP(Tabla6[[#This Row],[ID CLIENTE]],'RESUMEN CLIENTES'!D:D,'RESUMEN CLIENTES'!W:W)</f>
        <v>0</v>
      </c>
      <c r="G2741" s="17">
        <f>IF($H2741&lt;&gt;"ALEM","",IFERROR(
  DATE(
    YEAR(EDATE(
      _xlfn.XLOOKUP($A2741,'RESUMEN CLIENTES'!$D:$D,'RESUMEN CLIENTES'!$Y:$Y,""),
      7 + COUNTIFS(
            $A$2:INDEX($A:$A,ROW()), $A2741,
            $H$2:INDEX($H:$H,ROW()), "ALEM"
          )
    )),
    MONTH(EDATE(
      _xlfn.XLOOKUP($A2741,'RESUMEN CLIENTES'!$D:$D,'RESUMEN CLIENTES'!$Y:$Y,""),
      7 + COUNTIFS(
            $A$2:INDEX($A:$A,ROW()), $A2741,
            $H$2:INDEX($H:$H,ROW()), "ALEM"
          )
    )),
    1
  ),
"null"))</f>
        <v>46905</v>
      </c>
      <c r="H2741" s="169" t="s">
        <v>1876</v>
      </c>
      <c r="I2741" s="2">
        <v>800</v>
      </c>
      <c r="J2741"/>
      <c r="K2741"/>
      <c r="L2741" s="44" t="str" cm="1">
        <f t="array" ref="L2741">+_xlfn.IFS(COUNTIF(INGRESOS!E:E,Tabla6[[#This Row],[ID FACTURA]])=1,"PAGADA",Tabla6[[#This Row],[ID FACTURA]]&lt;&gt;0,"EMITIDA",Tabla6[[#This Row],[ID FACTURA]]=0,"POR EMITIR")</f>
        <v>POR EMITIR</v>
      </c>
      <c r="M2741" s="54" t="str">
        <f>+IF(Tabla6[[#This Row],[ESTADO FACTURA]]="PAGADA",Tabla6[[#This Row],[FECHA]]-_xlfn.XLOOKUP(Tabla6[[#This Row],[N° FACTURA]],INGRESOS!F:F,INGRESOS!A:A),"-")</f>
        <v>-</v>
      </c>
      <c r="O2741"/>
    </row>
    <row r="2742" spans="1:15">
      <c r="A2742" s="320" t="s">
        <v>1178</v>
      </c>
      <c r="B2742" t="str">
        <f>+_xlfn.XLOOKUP(Tabla6[[#This Row],[ID CLIENTE]],'RESUMEN CLIENTES'!D:D,'RESUMEN CLIENTES'!A:A)</f>
        <v>Daniel Flores</v>
      </c>
      <c r="C2742" t="str">
        <f>+_xlfn.XLOOKUP(Tabla6[[#This Row],[ID CLIENTE]],'RESUMEN CLIENTES'!D:D,'RESUMEN CLIENTES'!C:C)</f>
        <v>Ecuador</v>
      </c>
      <c r="D2742" s="44" t="str">
        <f>+_xlfn.XLOOKUP(Tabla6[[#This Row],[ID CLIENTE]],'RESUMEN CLIENTES'!D:D,'RESUMEN CLIENTES'!M:M)</f>
        <v>OK</v>
      </c>
      <c r="E2742" s="72">
        <f>+_xlfn.XLOOKUP(Tabla6[[#This Row],[NOMBRE]],'RESUMEN CLIENTES'!A:A,'RESUMEN CLIENTES'!X:X)</f>
        <v>3.8333333333333335</v>
      </c>
      <c r="F2742" s="72">
        <f>+_xlfn.XLOOKUP(Tabla6[[#This Row],[ID CLIENTE]],'RESUMEN CLIENTES'!D:D,'RESUMEN CLIENTES'!W:W)</f>
        <v>1</v>
      </c>
      <c r="G2742" s="17">
        <f>IF($H2742&lt;&gt;"ALEM","",IFERROR(
  DATE(
    YEAR(EDATE(
      _xlfn.XLOOKUP($A2742,'RESUMEN CLIENTES'!$D:$D,'RESUMEN CLIENTES'!$Y:$Y,""),
      7 + COUNTIFS(
            $A$2:INDEX($A:$A,ROW()), $A2742,
            $H$2:INDEX($H:$H,ROW()), "ALEM"
          )
    )),
    MONTH(EDATE(
      _xlfn.XLOOKUP($A2742,'RESUMEN CLIENTES'!$D:$D,'RESUMEN CLIENTES'!$Y:$Y,""),
      7 + COUNTIFS(
            $A$2:INDEX($A:$A,ROW()), $A2742,
            $H$2:INDEX($H:$H,ROW()), "ALEM"
          )
    )),
    1
  ),
"SIN FECHA MIG"))</f>
        <v>46905</v>
      </c>
      <c r="H2742" s="44" t="s">
        <v>1876</v>
      </c>
      <c r="I2742" s="2">
        <v>800</v>
      </c>
      <c r="J2742"/>
      <c r="K2742"/>
      <c r="L2742" s="44" t="str" cm="1">
        <f t="array" ref="L2742">+_xlfn.IFS(COUNTIF(INGRESOS!E:E,Tabla6[[#This Row],[ID FACTURA]])=1,"PAGADA",Tabla6[[#This Row],[ID FACTURA]]&lt;&gt;0,"EMITIDA",Tabla6[[#This Row],[ID FACTURA]]=0,"POR EMITIR")</f>
        <v>POR EMITIR</v>
      </c>
      <c r="M2742" s="55" t="str">
        <f>+IF(Tabla6[[#This Row],[ESTADO FACTURA]]="PAGADA",Tabla6[[#This Row],[FECHA]]-_xlfn.XLOOKUP(Tabla6[[#This Row],[N° FACTURA]],INGRESOS!F:F,INGRESOS!A:A),"-")</f>
        <v>-</v>
      </c>
      <c r="N2742" s="2"/>
      <c r="O2742"/>
    </row>
    <row r="2743" spans="1:15">
      <c r="A2743" s="320" t="s">
        <v>4660</v>
      </c>
      <c r="B2743" t="str">
        <f>+_xlfn.XLOOKUP(Tabla6[[#This Row],[ID CLIENTE]],'RESUMEN CLIENTES'!D:D,'RESUMEN CLIENTES'!A:A)</f>
        <v>Edipris Flores</v>
      </c>
      <c r="C2743" s="15" t="str">
        <f>+_xlfn.XLOOKUP(Tabla6[[#This Row],[ID CLIENTE]],'RESUMEN CLIENTES'!D:D,'RESUMEN CLIENTES'!C:C)</f>
        <v>Chile</v>
      </c>
      <c r="D2743" s="169" t="str">
        <f>+_xlfn.XLOOKUP(Tabla6[[#This Row],[ID CLIENTE]],'RESUMEN CLIENTES'!D:D,'RESUMEN CLIENTES'!M:M)</f>
        <v>OK</v>
      </c>
      <c r="E2743" s="71">
        <f>+_xlfn.XLOOKUP(Tabla6[[#This Row],[NOMBRE]],'RESUMEN CLIENTES'!A:A,'RESUMEN CLIENTES'!X:X)</f>
        <v>-4</v>
      </c>
      <c r="F2743" s="71">
        <f>+_xlfn.XLOOKUP(Tabla6[[#This Row],[ID CLIENTE]],'RESUMEN CLIENTES'!D:D,'RESUMEN CLIENTES'!W:W)</f>
        <v>0</v>
      </c>
      <c r="G2743" s="17">
        <f>IF($H2743&lt;&gt;"ALEM","",IFERROR(
  DATE(
    YEAR(EDATE(
      _xlfn.XLOOKUP($A2743,'RESUMEN CLIENTES'!$D:$D,'RESUMEN CLIENTES'!$Y:$Y,""),
      7 + COUNTIFS(
            $A$2:INDEX($A:$A,ROW()), $A2743,
            $H$2:INDEX($H:$H,ROW()), "ALEM"
          )
    )),
    MONTH(EDATE(
      _xlfn.XLOOKUP($A2743,'RESUMEN CLIENTES'!$D:$D,'RESUMEN CLIENTES'!$Y:$Y,""),
      7 + COUNTIFS(
            $A$2:INDEX($A:$A,ROW()), $A2743,
            $H$2:INDEX($H:$H,ROW()), "ALEM"
          )
    )),
    1
  ),
"null"))</f>
        <v>46905</v>
      </c>
      <c r="H2743" s="169" t="s">
        <v>1876</v>
      </c>
      <c r="I2743" s="2">
        <v>800</v>
      </c>
      <c r="J2743"/>
      <c r="K2743"/>
      <c r="L2743" s="44" t="str" cm="1">
        <f t="array" ref="L2743">+_xlfn.IFS(COUNTIF(INGRESOS!E:E,Tabla6[[#This Row],[ID FACTURA]])=1,"PAGADA",Tabla6[[#This Row],[ID FACTURA]]&lt;&gt;0,"EMITIDA",Tabla6[[#This Row],[ID FACTURA]]=0,"POR EMITIR")</f>
        <v>POR EMITIR</v>
      </c>
      <c r="M2743" s="54" t="str">
        <f>+IF(Tabla6[[#This Row],[ESTADO FACTURA]]="PAGADA",Tabla6[[#This Row],[FECHA]]-_xlfn.XLOOKUP(Tabla6[[#This Row],[N° FACTURA]],INGRESOS!F:F,INGRESOS!A:A),"-")</f>
        <v>-</v>
      </c>
      <c r="O2743"/>
    </row>
    <row r="2744" spans="1:15">
      <c r="A2744" s="320" t="s">
        <v>1251</v>
      </c>
      <c r="B2744" t="str">
        <f>+_xlfn.XLOOKUP(Tabla6[[#This Row],[ID CLIENTE]],'RESUMEN CLIENTES'!D:D,'RESUMEN CLIENTES'!A:A)</f>
        <v>Erick Ernesto Angulo Campos</v>
      </c>
      <c r="C2744" t="str">
        <f>+_xlfn.XLOOKUP(Tabla6[[#This Row],[ID CLIENTE]],'RESUMEN CLIENTES'!D:D,'RESUMEN CLIENTES'!C:C)</f>
        <v>Chile</v>
      </c>
      <c r="D2744" s="44" t="str">
        <f>+_xlfn.XLOOKUP(Tabla6[[#This Row],[ID CLIENTE]],'RESUMEN CLIENTES'!D:D,'RESUMEN CLIENTES'!M:M)</f>
        <v>OK</v>
      </c>
      <c r="E2744" s="71">
        <f>+_xlfn.XLOOKUP(Tabla6[[#This Row],[NOMBRE]],'RESUMEN CLIENTES'!A:A,'RESUMEN CLIENTES'!X:X)</f>
        <v>-0.66666666666666663</v>
      </c>
      <c r="F2744" s="71">
        <f>+_xlfn.XLOOKUP(Tabla6[[#This Row],[ID CLIENTE]],'RESUMEN CLIENTES'!D:D,'RESUMEN CLIENTES'!W:W)</f>
        <v>0</v>
      </c>
      <c r="G2744" s="17">
        <f>IF($H2744&lt;&gt;"ALEM","",IFERROR(
  DATE(
    YEAR(EDATE(
      _xlfn.XLOOKUP($A2744,'RESUMEN CLIENTES'!$D:$D,'RESUMEN CLIENTES'!$Y:$Y,""),
      7 + COUNTIFS(
            $A$2:INDEX($A:$A,ROW()), $A2744,
            $H$2:INDEX($H:$H,ROW()), "ALEM"
          )
    )),
    MONTH(EDATE(
      _xlfn.XLOOKUP($A2744,'RESUMEN CLIENTES'!$D:$D,'RESUMEN CLIENTES'!$Y:$Y,""),
      7 + COUNTIFS(
            $A$2:INDEX($A:$A,ROW()), $A2744,
            $H$2:INDEX($H:$H,ROW()), "ALEM"
          )
    )),
    1
  ),
"SIN FECHA MIG"))</f>
        <v>46905</v>
      </c>
      <c r="H2744" s="44" t="s">
        <v>1876</v>
      </c>
      <c r="I2744" s="2">
        <v>800</v>
      </c>
      <c r="J2744"/>
      <c r="K2744"/>
      <c r="L2744" s="44" t="str" cm="1">
        <f t="array" ref="L2744">+_xlfn.IFS(COUNTIF(INGRESOS!E:E,Tabla6[[#This Row],[ID FACTURA]])=1,"PAGADA",Tabla6[[#This Row],[ID FACTURA]]&lt;&gt;0,"EMITIDA",Tabla6[[#This Row],[ID FACTURA]]=0,"POR EMITIR")</f>
        <v>POR EMITIR</v>
      </c>
      <c r="M2744" s="55" t="str">
        <f>+IF(Tabla6[[#This Row],[ESTADO FACTURA]]="PAGADA",Tabla6[[#This Row],[FECHA]]-_xlfn.XLOOKUP(Tabla6[[#This Row],[N° FACTURA]],INGRESOS!F:F,INGRESOS!A:A),"-")</f>
        <v>-</v>
      </c>
      <c r="N2744" s="2"/>
      <c r="O2744" t="s">
        <v>2084</v>
      </c>
    </row>
    <row r="2745" spans="1:15">
      <c r="A2745" s="320" t="s">
        <v>1945</v>
      </c>
      <c r="B2745" t="str">
        <f>+_xlfn.XLOOKUP(Tabla6[[#This Row],[ID CLIENTE]],'RESUMEN CLIENTES'!D:D,'RESUMEN CLIENTES'!A:A)</f>
        <v>Fernanda Constanza Kompai Antu Arellano Guzmán</v>
      </c>
      <c r="C2745" t="str">
        <f>+_xlfn.XLOOKUP(Tabla6[[#This Row],[ID CLIENTE]],'RESUMEN CLIENTES'!D:D,'RESUMEN CLIENTES'!C:C)</f>
        <v>Chile</v>
      </c>
      <c r="D2745" s="169" t="str">
        <f>+_xlfn.XLOOKUP(Tabla6[[#This Row],[ID CLIENTE]],'RESUMEN CLIENTES'!D:D,'RESUMEN CLIENTES'!M:M)</f>
        <v>OK</v>
      </c>
      <c r="E2745" s="71">
        <f>+_xlfn.XLOOKUP(Tabla6[[#This Row],[NOMBRE]],'RESUMEN CLIENTES'!A:A,'RESUMEN CLIENTES'!X:X)</f>
        <v>0</v>
      </c>
      <c r="F2745" s="71">
        <f>+_xlfn.XLOOKUP(Tabla6[[#This Row],[ID CLIENTE]],'RESUMEN CLIENTES'!D:D,'RESUMEN CLIENTES'!W:W)</f>
        <v>0</v>
      </c>
      <c r="G2745" s="17">
        <f>IF($H2745&lt;&gt;"ALEM","",IFERROR(
  DATE(
    YEAR(EDATE(
      _xlfn.XLOOKUP($A2745,'RESUMEN CLIENTES'!$D:$D,'RESUMEN CLIENTES'!$Y:$Y,""),
      7 + COUNTIFS(
            $A$2:INDEX($A:$A,ROW()), $A2745,
            $H$2:INDEX($H:$H,ROW()), "ALEM"
          )
    )),
    MONTH(EDATE(
      _xlfn.XLOOKUP($A2745,'RESUMEN CLIENTES'!$D:$D,'RESUMEN CLIENTES'!$Y:$Y,""),
      7 + COUNTIFS(
            $A$2:INDEX($A:$A,ROW()), $A2745,
            $H$2:INDEX($H:$H,ROW()), "ALEM"
          )
    )),
    1
  ),
"null"))</f>
        <v>46905</v>
      </c>
      <c r="H2745" s="170" t="s">
        <v>1876</v>
      </c>
      <c r="I2745" s="2">
        <v>800</v>
      </c>
      <c r="J2745"/>
      <c r="K2745"/>
      <c r="L2745" s="44" t="str" cm="1">
        <f t="array" ref="L2745">+_xlfn.IFS(COUNTIF(INGRESOS!E:E,Tabla6[[#This Row],[ID FACTURA]])=1,"PAGADA",Tabla6[[#This Row],[ID FACTURA]]&lt;&gt;0,"EMITIDA",Tabla6[[#This Row],[ID FACTURA]]=0,"POR EMITIR")</f>
        <v>POR EMITIR</v>
      </c>
      <c r="M2745" s="54" t="str">
        <f>+IF(Tabla6[[#This Row],[ESTADO FACTURA]]="PAGADA",Tabla6[[#This Row],[FECHA]]-_xlfn.XLOOKUP(Tabla6[[#This Row],[N° FACTURA]],INGRESOS!F:F,INGRESOS!A:A),"-")</f>
        <v>-</v>
      </c>
      <c r="O2745"/>
    </row>
    <row r="2746" spans="1:15">
      <c r="A2746" s="320" t="s">
        <v>1743</v>
      </c>
      <c r="B2746" t="str">
        <f>+_xlfn.XLOOKUP(Tabla6[[#This Row],[ID CLIENTE]],'RESUMEN CLIENTES'!D:D,'RESUMEN CLIENTES'!A:A)</f>
        <v>Fernando Alberto Lagos Belmar</v>
      </c>
      <c r="C2746" t="str">
        <f>+_xlfn.XLOOKUP(Tabla6[[#This Row],[ID CLIENTE]],'RESUMEN CLIENTES'!D:D,'RESUMEN CLIENTES'!C:C)</f>
        <v>Chile</v>
      </c>
      <c r="D2746" s="169" t="str">
        <f>+_xlfn.XLOOKUP(Tabla6[[#This Row],[ID CLIENTE]],'RESUMEN CLIENTES'!D:D,'RESUMEN CLIENTES'!M:M)</f>
        <v>OK</v>
      </c>
      <c r="E2746" s="71">
        <f>+_xlfn.XLOOKUP(Tabla6[[#This Row],[NOMBRE]],'RESUMEN CLIENTES'!A:A,'RESUMEN CLIENTES'!X:X)</f>
        <v>0.25</v>
      </c>
      <c r="F2746" s="71">
        <f>+_xlfn.XLOOKUP(Tabla6[[#This Row],[ID CLIENTE]],'RESUMEN CLIENTES'!D:D,'RESUMEN CLIENTES'!W:W)</f>
        <v>1</v>
      </c>
      <c r="G2746" s="17">
        <f>IF($H2746&lt;&gt;"ALEM","",IFERROR(
  DATE(
    YEAR(EDATE(
      _xlfn.XLOOKUP($A2746,'RESUMEN CLIENTES'!$D:$D,'RESUMEN CLIENTES'!$Y:$Y,""),
      7 + COUNTIFS(
            $A$2:INDEX($A:$A,ROW()), $A2746,
            $H$2:INDEX($H:$H,ROW()), "ALEM"
          )
    )),
    MONTH(EDATE(
      _xlfn.XLOOKUP($A2746,'RESUMEN CLIENTES'!$D:$D,'RESUMEN CLIENTES'!$Y:$Y,""),
      7 + COUNTIFS(
            $A$2:INDEX($A:$A,ROW()), $A2746,
            $H$2:INDEX($H:$H,ROW()), "ALEM"
          )
    )),
    1
  ),
"SIN FECHA MIG"))</f>
        <v>46905</v>
      </c>
      <c r="H2746" s="169" t="s">
        <v>1876</v>
      </c>
      <c r="I2746" s="2">
        <v>800</v>
      </c>
      <c r="J2746"/>
      <c r="K2746"/>
      <c r="L2746" s="44" t="str" cm="1">
        <f t="array" ref="L2746">+_xlfn.IFS(COUNTIF(INGRESOS!E:E,Tabla6[[#This Row],[ID FACTURA]])=1,"PAGADA",Tabla6[[#This Row],[ID FACTURA]]&lt;&gt;0,"EMITIDA",Tabla6[[#This Row],[ID FACTURA]]=0,"POR EMITIR")</f>
        <v>POR EMITIR</v>
      </c>
      <c r="M2746" s="55" t="str">
        <f>+IF(Tabla6[[#This Row],[ESTADO FACTURA]]="PAGADA",Tabla6[[#This Row],[FECHA]]-_xlfn.XLOOKUP(Tabla6[[#This Row],[N° FACTURA]],INGRESOS!F:F,INGRESOS!A:A),"-")</f>
        <v>-</v>
      </c>
      <c r="O2746"/>
    </row>
    <row r="2747" spans="1:15">
      <c r="A2747" s="320" t="s">
        <v>139</v>
      </c>
      <c r="B2747" t="str">
        <f>+_xlfn.XLOOKUP(Tabla6[[#This Row],[ID CLIENTE]],'RESUMEN CLIENTES'!D:D,'RESUMEN CLIENTES'!A:A)</f>
        <v>Hugo Nicolás Trávez Morales</v>
      </c>
      <c r="C2747" t="str">
        <f>+_xlfn.XLOOKUP(Tabla6[[#This Row],[ID CLIENTE]],'RESUMEN CLIENTES'!D:D,'RESUMEN CLIENTES'!C:C)</f>
        <v>Ecuador</v>
      </c>
      <c r="D2747" s="169" t="str">
        <f>+_xlfn.XLOOKUP(Tabla6[[#This Row],[ID CLIENTE]],'RESUMEN CLIENTES'!D:D,'RESUMEN CLIENTES'!M:M)</f>
        <v>OK</v>
      </c>
      <c r="E2747" s="71">
        <f>+_xlfn.XLOOKUP(Tabla6[[#This Row],[NOMBRE]],'RESUMEN CLIENTES'!A:A,'RESUMEN CLIENTES'!X:X)</f>
        <v>0</v>
      </c>
      <c r="F2747" s="71">
        <f>+_xlfn.XLOOKUP(Tabla6[[#This Row],[ID CLIENTE]],'RESUMEN CLIENTES'!D:D,'RESUMEN CLIENTES'!W:W)</f>
        <v>0</v>
      </c>
      <c r="G2747" s="17">
        <f>IF($H2747&lt;&gt;"ALEM","",IFERROR(
  DATE(
    YEAR(EDATE(
      _xlfn.XLOOKUP($A2747,'RESUMEN CLIENTES'!$D:$D,'RESUMEN CLIENTES'!$Y:$Y,""),
      7 + COUNTIFS(
            $A$2:INDEX($A:$A,ROW()), $A2747,
            $H$2:INDEX($H:$H,ROW()), "ALEM"
          )
    )),
    MONTH(EDATE(
      _xlfn.XLOOKUP($A2747,'RESUMEN CLIENTES'!$D:$D,'RESUMEN CLIENTES'!$Y:$Y,""),
      7 + COUNTIFS(
            $A$2:INDEX($A:$A,ROW()), $A2747,
            $H$2:INDEX($H:$H,ROW()), "ALEM"
          )
    )),
    1
  ),
"null"))</f>
        <v>46905</v>
      </c>
      <c r="H2747" s="169" t="s">
        <v>1876</v>
      </c>
      <c r="I2747" s="2">
        <v>2000</v>
      </c>
      <c r="J2747"/>
      <c r="K2747"/>
      <c r="L2747" s="44" t="str" cm="1">
        <f t="array" ref="L2747">+_xlfn.IFS(COUNTIF(INGRESOS!E:E,Tabla6[[#This Row],[ID FACTURA]])=1,"PAGADA",Tabla6[[#This Row],[ID FACTURA]]&lt;&gt;0,"EMITIDA",Tabla6[[#This Row],[ID FACTURA]]=0,"POR EMITIR")</f>
        <v>POR EMITIR</v>
      </c>
      <c r="M2747" s="54" t="str">
        <f>+IF(Tabla6[[#This Row],[ESTADO FACTURA]]="PAGADA",Tabla6[[#This Row],[FECHA]]-_xlfn.XLOOKUP(Tabla6[[#This Row],[N° FACTURA]],INGRESOS!F:F,INGRESOS!A:A),"-")</f>
        <v>-</v>
      </c>
      <c r="O2747"/>
    </row>
    <row r="2748" spans="1:15">
      <c r="A2748" s="320" t="s">
        <v>1996</v>
      </c>
      <c r="B2748" t="str">
        <f>+_xlfn.XLOOKUP(Tabla6[[#This Row],[ID CLIENTE]],'RESUMEN CLIENTES'!D:D,'RESUMEN CLIENTES'!A:A)</f>
        <v>Ivan Gonzales Graus</v>
      </c>
      <c r="C2748" t="str">
        <f>+_xlfn.XLOOKUP(Tabla6[[#This Row],[ID CLIENTE]],'RESUMEN CLIENTES'!D:D,'RESUMEN CLIENTES'!C:C)</f>
        <v>Perú</v>
      </c>
      <c r="D2748" s="169" t="str">
        <f>+_xlfn.XLOOKUP(Tabla6[[#This Row],[ID CLIENTE]],'RESUMEN CLIENTES'!D:D,'RESUMEN CLIENTES'!M:M)</f>
        <v>OK</v>
      </c>
      <c r="E2748" s="71">
        <f>+_xlfn.XLOOKUP(Tabla6[[#This Row],[NOMBRE]],'RESUMEN CLIENTES'!A:A,'RESUMEN CLIENTES'!X:X)</f>
        <v>-2</v>
      </c>
      <c r="F2748" s="71">
        <f>+_xlfn.XLOOKUP(Tabla6[[#This Row],[ID CLIENTE]],'RESUMEN CLIENTES'!D:D,'RESUMEN CLIENTES'!W:W)</f>
        <v>1</v>
      </c>
      <c r="G2748" s="17">
        <f>IF($H2748&lt;&gt;"ALEM","",IFERROR(
  DATE(
    YEAR(EDATE(
      _xlfn.XLOOKUP($A2748,'RESUMEN CLIENTES'!$D:$D,'RESUMEN CLIENTES'!$Y:$Y,""),
      7 + COUNTIFS(
            $A$2:INDEX($A:$A,ROW()), $A2748,
            $H$2:INDEX($H:$H,ROW()), "ALEM"
          )
    )),
    MONTH(EDATE(
      _xlfn.XLOOKUP($A2748,'RESUMEN CLIENTES'!$D:$D,'RESUMEN CLIENTES'!$Y:$Y,""),
      7 + COUNTIFS(
            $A$2:INDEX($A:$A,ROW()), $A2748,
            $H$2:INDEX($H:$H,ROW()), "ALEM"
          )
    )),
    1
  ),
"null"))</f>
        <v>46905</v>
      </c>
      <c r="H2748" s="169" t="s">
        <v>1876</v>
      </c>
      <c r="I2748" s="2">
        <v>1000</v>
      </c>
      <c r="J2748"/>
      <c r="K2748"/>
      <c r="L2748" s="44" t="str" cm="1">
        <f t="array" ref="L2748">+_xlfn.IFS(COUNTIF(INGRESOS!E:E,Tabla6[[#This Row],[ID FACTURA]])=1,"PAGADA",Tabla6[[#This Row],[ID FACTURA]]&lt;&gt;0,"EMITIDA",Tabla6[[#This Row],[ID FACTURA]]=0,"POR EMITIR")</f>
        <v>POR EMITIR</v>
      </c>
      <c r="M2748" s="54" t="str">
        <f>+IF(Tabla6[[#This Row],[ESTADO FACTURA]]="PAGADA",Tabla6[[#This Row],[FECHA]]-_xlfn.XLOOKUP(Tabla6[[#This Row],[N° FACTURA]],INGRESOS!F:F,INGRESOS!A:A),"-")</f>
        <v>-</v>
      </c>
      <c r="O2748"/>
    </row>
    <row r="2749" spans="1:15">
      <c r="A2749" s="321" t="s">
        <v>1899</v>
      </c>
      <c r="B2749" t="str">
        <f>+_xlfn.XLOOKUP(Tabla6[[#This Row],[ID CLIENTE]],'RESUMEN CLIENTES'!D:D,'RESUMEN CLIENTES'!A:A)</f>
        <v>Johan Martínez</v>
      </c>
      <c r="C2749" t="str">
        <f>+_xlfn.XLOOKUP(Tabla6[[#This Row],[ID CLIENTE]],'RESUMEN CLIENTES'!D:D,'RESUMEN CLIENTES'!C:C)</f>
        <v>Colombia</v>
      </c>
      <c r="D2749" s="169" t="str">
        <f>+_xlfn.XLOOKUP(Tabla6[[#This Row],[ID CLIENTE]],'RESUMEN CLIENTES'!D:D,'RESUMEN CLIENTES'!M:M)</f>
        <v>OK</v>
      </c>
      <c r="E2749" s="71">
        <f>+_xlfn.XLOOKUP(Tabla6[[#This Row],[NOMBRE]],'RESUMEN CLIENTES'!A:A,'RESUMEN CLIENTES'!X:X)</f>
        <v>-0.66666666666666663</v>
      </c>
      <c r="F2749" s="71">
        <f>+_xlfn.XLOOKUP(Tabla6[[#This Row],[ID CLIENTE]],'RESUMEN CLIENTES'!D:D,'RESUMEN CLIENTES'!W:W)</f>
        <v>0</v>
      </c>
      <c r="G2749" s="17">
        <f>IF($H2749&lt;&gt;"ALEM","",IFERROR(
  DATE(
    YEAR(EDATE(
      _xlfn.XLOOKUP($A2749,'RESUMEN CLIENTES'!$D:$D,'RESUMEN CLIENTES'!$Y:$Y,""),
      7 + COUNTIFS(
            $A$2:INDEX($A:$A,ROW()), $A2749,
            $H$2:INDEX($H:$H,ROW()), "ALEM"
          )
    )),
    MONTH(EDATE(
      _xlfn.XLOOKUP($A2749,'RESUMEN CLIENTES'!$D:$D,'RESUMEN CLIENTES'!$Y:$Y,""),
      7 + COUNTIFS(
            $A$2:INDEX($A:$A,ROW()), $A2749,
            $H$2:INDEX($H:$H,ROW()), "ALEM"
          )
    )),
    1
  ),
"null"))</f>
        <v>46905</v>
      </c>
      <c r="H2749" s="169" t="s">
        <v>1876</v>
      </c>
      <c r="I2749" s="2">
        <v>800</v>
      </c>
      <c r="J2749"/>
      <c r="K2749"/>
      <c r="L2749" s="44" t="str" cm="1">
        <f t="array" ref="L2749">+_xlfn.IFS(COUNTIF(INGRESOS!E:E,Tabla6[[#This Row],[ID FACTURA]])=1,"PAGADA",Tabla6[[#This Row],[ID FACTURA]]&lt;&gt;0,"EMITIDA",Tabla6[[#This Row],[ID FACTURA]]=0,"POR EMITIR")</f>
        <v>POR EMITIR</v>
      </c>
      <c r="M2749" s="54" t="str">
        <f>+IF(Tabla6[[#This Row],[ESTADO FACTURA]]="PAGADA",Tabla6[[#This Row],[FECHA]]-_xlfn.XLOOKUP(Tabla6[[#This Row],[N° FACTURA]],INGRESOS!F:F,INGRESOS!A:A),"-")</f>
        <v>-</v>
      </c>
      <c r="O2749" t="s">
        <v>2086</v>
      </c>
    </row>
    <row r="2750" spans="1:15">
      <c r="A2750" s="320" t="s">
        <v>1437</v>
      </c>
      <c r="B2750" t="str">
        <f>+_xlfn.XLOOKUP(Tabla6[[#This Row],[ID CLIENTE]],'RESUMEN CLIENTES'!D:D,'RESUMEN CLIENTES'!A:A)</f>
        <v>Jorge Andres Galgani Muñoz</v>
      </c>
      <c r="C2750" t="str">
        <f>+_xlfn.XLOOKUP(Tabla6[[#This Row],[ID CLIENTE]],'RESUMEN CLIENTES'!D:D,'RESUMEN CLIENTES'!C:C)</f>
        <v>Chile</v>
      </c>
      <c r="D2750" s="44" t="str">
        <f>+_xlfn.XLOOKUP(Tabla6[[#This Row],[ID CLIENTE]],'RESUMEN CLIENTES'!D:D,'RESUMEN CLIENTES'!M:M)</f>
        <v>OK</v>
      </c>
      <c r="E2750" s="71">
        <f>+_xlfn.XLOOKUP(Tabla6[[#This Row],[NOMBRE]],'RESUMEN CLIENTES'!A:A,'RESUMEN CLIENTES'!X:X)</f>
        <v>-1.1428571428571428</v>
      </c>
      <c r="F2750" s="71">
        <f>+_xlfn.XLOOKUP(Tabla6[[#This Row],[ID CLIENTE]],'RESUMEN CLIENTES'!D:D,'RESUMEN CLIENTES'!W:W)</f>
        <v>1</v>
      </c>
      <c r="G2750" s="17">
        <f>IF($H2750&lt;&gt;"ALEM","",IFERROR(
  DATE(
    YEAR(EDATE(
      _xlfn.XLOOKUP($A2750,'RESUMEN CLIENTES'!$D:$D,'RESUMEN CLIENTES'!$Y:$Y,""),
      7 + COUNTIFS(
            $A$2:INDEX($A:$A,ROW()), $A2750,
            $H$2:INDEX($H:$H,ROW()), "ALEM"
          )
    )),
    MONTH(EDATE(
      _xlfn.XLOOKUP($A2750,'RESUMEN CLIENTES'!$D:$D,'RESUMEN CLIENTES'!$Y:$Y,""),
      7 + COUNTIFS(
            $A$2:INDEX($A:$A,ROW()), $A2750,
            $H$2:INDEX($H:$H,ROW()), "ALEM"
          )
    )),
    1
  ),
"SIN FECHA MIG"))</f>
        <v>46905</v>
      </c>
      <c r="H2750" s="169" t="s">
        <v>1876</v>
      </c>
      <c r="I2750" s="2">
        <v>800</v>
      </c>
      <c r="J2750"/>
      <c r="K2750"/>
      <c r="L2750" s="44" t="str" cm="1">
        <f t="array" ref="L2750">+_xlfn.IFS(COUNTIF(INGRESOS!E:E,Tabla6[[#This Row],[ID FACTURA]])=1,"PAGADA",Tabla6[[#This Row],[ID FACTURA]]&lt;&gt;0,"EMITIDA",Tabla6[[#This Row],[ID FACTURA]]=0,"POR EMITIR")</f>
        <v>POR EMITIR</v>
      </c>
      <c r="M2750" s="55" t="str">
        <f>+IF(Tabla6[[#This Row],[ESTADO FACTURA]]="PAGADA",Tabla6[[#This Row],[FECHA]]-_xlfn.XLOOKUP(Tabla6[[#This Row],[N° FACTURA]],INGRESOS!F:F,INGRESOS!A:A),"-")</f>
        <v>-</v>
      </c>
      <c r="N2750" s="2"/>
      <c r="O2750"/>
    </row>
    <row r="2751" spans="1:15">
      <c r="A2751" s="320" t="s">
        <v>4454</v>
      </c>
      <c r="B2751" t="str">
        <f>+_xlfn.XLOOKUP(Tabla6[[#This Row],[ID CLIENTE]],'RESUMEN CLIENTES'!D:D,'RESUMEN CLIENTES'!A:A)</f>
        <v>Jose Luis Avilez Casas</v>
      </c>
      <c r="C2751" t="str">
        <f>+_xlfn.XLOOKUP(Tabla6[[#This Row],[ID CLIENTE]],'RESUMEN CLIENTES'!D:D,'RESUMEN CLIENTES'!C:C)</f>
        <v>México</v>
      </c>
      <c r="D2751" s="169" t="str">
        <f>+_xlfn.XLOOKUP(Tabla6[[#This Row],[ID CLIENTE]],'RESUMEN CLIENTES'!D:D,'RESUMEN CLIENTES'!M:M)</f>
        <v>OK</v>
      </c>
      <c r="E2751" s="71">
        <f>+_xlfn.XLOOKUP(Tabla6[[#This Row],[NOMBRE]],'RESUMEN CLIENTES'!A:A,'RESUMEN CLIENTES'!X:X)</f>
        <v>0.33333333333333331</v>
      </c>
      <c r="F2751" s="71">
        <f>+_xlfn.XLOOKUP(Tabla6[[#This Row],[ID CLIENTE]],'RESUMEN CLIENTES'!D:D,'RESUMEN CLIENTES'!W:W)</f>
        <v>0</v>
      </c>
      <c r="G2751" s="17">
        <f>IF($H2751&lt;&gt;"ALEM","",IFERROR(
  DATE(
    YEAR(EDATE(
      _xlfn.XLOOKUP($A2751,'RESUMEN CLIENTES'!$D:$D,'RESUMEN CLIENTES'!$Y:$Y,""),
      7 + COUNTIFS(
            $A$2:INDEX($A:$A,ROW()), $A2751,
            $H$2:INDEX($H:$H,ROW()), "ALEM"
          )
    )),
    MONTH(EDATE(
      _xlfn.XLOOKUP($A2751,'RESUMEN CLIENTES'!$D:$D,'RESUMEN CLIENTES'!$Y:$Y,""),
      7 + COUNTIFS(
            $A$2:INDEX($A:$A,ROW()), $A2751,
            $H$2:INDEX($H:$H,ROW()), "ALEM"
          )
    )),
    1
  ),
"null"))</f>
        <v>46905</v>
      </c>
      <c r="H2751" s="169" t="s">
        <v>1876</v>
      </c>
      <c r="I2751" s="2">
        <v>800</v>
      </c>
      <c r="J2751"/>
      <c r="K2751"/>
      <c r="L2751" s="44" t="str" cm="1">
        <f t="array" ref="L2751">+_xlfn.IFS(COUNTIF(INGRESOS!E:E,Tabla6[[#This Row],[ID FACTURA]])=1,"PAGADA",Tabla6[[#This Row],[ID FACTURA]]&lt;&gt;0,"EMITIDA",Tabla6[[#This Row],[ID FACTURA]]=0,"POR EMITIR")</f>
        <v>POR EMITIR</v>
      </c>
      <c r="M2751" s="54" t="str">
        <f>+IF(Tabla6[[#This Row],[ESTADO FACTURA]]="PAGADA",Tabla6[[#This Row],[FECHA]]-_xlfn.XLOOKUP(Tabla6[[#This Row],[N° FACTURA]],INGRESOS!F:F,INGRESOS!A:A),"-")</f>
        <v>-</v>
      </c>
      <c r="O2751"/>
    </row>
    <row r="2752" spans="1:15">
      <c r="A2752" s="320" t="s">
        <v>1482</v>
      </c>
      <c r="B2752" t="str">
        <f>+_xlfn.XLOOKUP(Tabla6[[#This Row],[ID CLIENTE]],'RESUMEN CLIENTES'!D:D,'RESUMEN CLIENTES'!A:A)</f>
        <v>Laxmi Davi Patel Flores</v>
      </c>
      <c r="C2752" t="str">
        <f>+_xlfn.XLOOKUP(Tabla6[[#This Row],[ID CLIENTE]],'RESUMEN CLIENTES'!D:D,'RESUMEN CLIENTES'!C:C)</f>
        <v>Ecuador</v>
      </c>
      <c r="D2752" s="44" t="str">
        <f>+_xlfn.XLOOKUP(Tabla6[[#This Row],[ID CLIENTE]],'RESUMEN CLIENTES'!D:D,'RESUMEN CLIENTES'!M:M)</f>
        <v>OK</v>
      </c>
      <c r="E2752" s="71">
        <f>+_xlfn.XLOOKUP(Tabla6[[#This Row],[NOMBRE]],'RESUMEN CLIENTES'!A:A,'RESUMEN CLIENTES'!X:X)</f>
        <v>-1.5714285714285714</v>
      </c>
      <c r="F2752" s="71">
        <f>+_xlfn.XLOOKUP(Tabla6[[#This Row],[ID CLIENTE]],'RESUMEN CLIENTES'!D:D,'RESUMEN CLIENTES'!W:W)</f>
        <v>0</v>
      </c>
      <c r="G2752" s="17">
        <f>IF($H2752&lt;&gt;"ALEM","",IFERROR(
  DATE(
    YEAR(EDATE(
      _xlfn.XLOOKUP($A2752,'RESUMEN CLIENTES'!$D:$D,'RESUMEN CLIENTES'!$Y:$Y,""),
      7 + COUNTIFS(
            $A$2:INDEX($A:$A,ROW()), $A2752,
            $H$2:INDEX($H:$H,ROW()), "ALEM"
          )
    )),
    MONTH(EDATE(
      _xlfn.XLOOKUP($A2752,'RESUMEN CLIENTES'!$D:$D,'RESUMEN CLIENTES'!$Y:$Y,""),
      7 + COUNTIFS(
            $A$2:INDEX($A:$A,ROW()), $A2752,
            $H$2:INDEX($H:$H,ROW()), "ALEM"
          )
    )),
    1
  ),
"SIN FECHA MIG"))</f>
        <v>46905</v>
      </c>
      <c r="H2752" s="169" t="s">
        <v>1876</v>
      </c>
      <c r="I2752" s="2">
        <v>800</v>
      </c>
      <c r="J2752"/>
      <c r="K2752"/>
      <c r="L2752" s="44" t="str" cm="1">
        <f t="array" ref="L2752">+_xlfn.IFS(COUNTIF(INGRESOS!E:E,Tabla6[[#This Row],[ID FACTURA]])=1,"PAGADA",Tabla6[[#This Row],[ID FACTURA]]&lt;&gt;0,"EMITIDA",Tabla6[[#This Row],[ID FACTURA]]=0,"POR EMITIR")</f>
        <v>POR EMITIR</v>
      </c>
      <c r="M2752" s="55" t="str">
        <f>+IF(Tabla6[[#This Row],[ESTADO FACTURA]]="PAGADA",Tabla6[[#This Row],[FECHA]]-_xlfn.XLOOKUP(Tabla6[[#This Row],[N° FACTURA]],INGRESOS!F:F,INGRESOS!A:A),"-")</f>
        <v>-</v>
      </c>
      <c r="N2752" s="2"/>
      <c r="O2752" t="s">
        <v>2092</v>
      </c>
    </row>
    <row r="2753" spans="1:15">
      <c r="A2753" s="320" t="s">
        <v>744</v>
      </c>
      <c r="B2753" t="str">
        <f>+_xlfn.XLOOKUP(Tabla6[[#This Row],[ID CLIENTE]],'RESUMEN CLIENTES'!D:D,'RESUMEN CLIENTES'!A:A)</f>
        <v>Martin Esteban Orellana Dominguez</v>
      </c>
      <c r="C2753" t="str">
        <f>+_xlfn.XLOOKUP(Tabla6[[#This Row],[ID CLIENTE]],'RESUMEN CLIENTES'!D:D,'RESUMEN CLIENTES'!C:C)</f>
        <v>Ecuador</v>
      </c>
      <c r="D2753" s="44" t="str">
        <f>+_xlfn.XLOOKUP(Tabla6[[#This Row],[ID CLIENTE]],'RESUMEN CLIENTES'!D:D,'RESUMEN CLIENTES'!M:M)</f>
        <v>OK</v>
      </c>
      <c r="E2753" s="72">
        <f>+_xlfn.XLOOKUP(Tabla6[[#This Row],[NOMBRE]],'RESUMEN CLIENTES'!A:A,'RESUMEN CLIENTES'!X:X)</f>
        <v>-1.1428571428571428</v>
      </c>
      <c r="F2753" s="72">
        <f>+_xlfn.XLOOKUP(Tabla6[[#This Row],[ID CLIENTE]],'RESUMEN CLIENTES'!D:D,'RESUMEN CLIENTES'!W:W)</f>
        <v>1</v>
      </c>
      <c r="G2753" s="17">
        <f>IF($H2753&lt;&gt;"ALEM","",IFERROR(
  DATE(
    YEAR(EDATE(
      _xlfn.XLOOKUP($A2753,'RESUMEN CLIENTES'!$D:$D,'RESUMEN CLIENTES'!$Y:$Y,""),
      7 + COUNTIFS(
            $A$2:INDEX($A:$A,ROW()), $A2753,
            $H$2:INDEX($H:$H,ROW()), "ALEM"
          )
    )),
    MONTH(EDATE(
      _xlfn.XLOOKUP($A2753,'RESUMEN CLIENTES'!$D:$D,'RESUMEN CLIENTES'!$Y:$Y,""),
      7 + COUNTIFS(
            $A$2:INDEX($A:$A,ROW()), $A2753,
            $H$2:INDEX($H:$H,ROW()), "ALEM"
          )
    )),
    1
  ),
"SIN FECHA MIG"))</f>
        <v>46905</v>
      </c>
      <c r="H2753" s="44" t="s">
        <v>1876</v>
      </c>
      <c r="I2753" s="2">
        <v>1000</v>
      </c>
      <c r="J2753"/>
      <c r="K2753"/>
      <c r="L2753" s="44" t="str" cm="1">
        <f t="array" ref="L2753">+_xlfn.IFS(COUNTIF(INGRESOS!E:E,Tabla6[[#This Row],[ID FACTURA]])=1,"PAGADA",Tabla6[[#This Row],[ID FACTURA]]&lt;&gt;0,"EMITIDA",Tabla6[[#This Row],[ID FACTURA]]=0,"POR EMITIR")</f>
        <v>POR EMITIR</v>
      </c>
      <c r="M2753" s="55" t="str">
        <f>+IF(Tabla6[[#This Row],[ESTADO FACTURA]]="PAGADA",Tabla6[[#This Row],[FECHA]]-_xlfn.XLOOKUP(Tabla6[[#This Row],[N° FACTURA]],INGRESOS!F:F,INGRESOS!A:A),"-")</f>
        <v>-</v>
      </c>
      <c r="N2753" s="2"/>
      <c r="O2753" t="s">
        <v>2084</v>
      </c>
    </row>
    <row r="2754" spans="1:15">
      <c r="A2754" s="320" t="s">
        <v>1419</v>
      </c>
      <c r="B2754" t="str">
        <f>+_xlfn.XLOOKUP(Tabla6[[#This Row],[ID CLIENTE]],'RESUMEN CLIENTES'!D:D,'RESUMEN CLIENTES'!A:A)</f>
        <v>Rocio Natalia López Núñez</v>
      </c>
      <c r="C2754" t="str">
        <f>+_xlfn.XLOOKUP(Tabla6[[#This Row],[ID CLIENTE]],'RESUMEN CLIENTES'!D:D,'RESUMEN CLIENTES'!C:C)</f>
        <v>Chile</v>
      </c>
      <c r="D2754" s="44" t="str">
        <f>+_xlfn.XLOOKUP(Tabla6[[#This Row],[ID CLIENTE]],'RESUMEN CLIENTES'!D:D,'RESUMEN CLIENTES'!M:M)</f>
        <v>OK</v>
      </c>
      <c r="E2754" s="71">
        <f>+_xlfn.XLOOKUP(Tabla6[[#This Row],[NOMBRE]],'RESUMEN CLIENTES'!A:A,'RESUMEN CLIENTES'!X:X)</f>
        <v>0</v>
      </c>
      <c r="F2754" s="71">
        <f>+_xlfn.XLOOKUP(Tabla6[[#This Row],[ID CLIENTE]],'RESUMEN CLIENTES'!D:D,'RESUMEN CLIENTES'!W:W)</f>
        <v>0</v>
      </c>
      <c r="G2754" s="17">
        <f>IF($H2754&lt;&gt;"ALEM","",IFERROR(
  DATE(
    YEAR(EDATE(
      _xlfn.XLOOKUP($A2754,'RESUMEN CLIENTES'!$D:$D,'RESUMEN CLIENTES'!$Y:$Y,""),
      7 + COUNTIFS(
            $A$2:INDEX($A:$A,ROW()), $A2754,
            $H$2:INDEX($H:$H,ROW()), "ALEM"
          )
    )),
    MONTH(EDATE(
      _xlfn.XLOOKUP($A2754,'RESUMEN CLIENTES'!$D:$D,'RESUMEN CLIENTES'!$Y:$Y,""),
      7 + COUNTIFS(
            $A$2:INDEX($A:$A,ROW()), $A2754,
            $H$2:INDEX($H:$H,ROW()), "ALEM"
          )
    )),
    1
  ),
"SIN FECHA MIG"))</f>
        <v>46905</v>
      </c>
      <c r="H2754" s="169" t="s">
        <v>1876</v>
      </c>
      <c r="I2754" s="2">
        <v>800</v>
      </c>
      <c r="J2754"/>
      <c r="K2754"/>
      <c r="L2754" s="44" t="str" cm="1">
        <f t="array" ref="L2754">+_xlfn.IFS(COUNTIF(INGRESOS!E:E,Tabla6[[#This Row],[ID FACTURA]])=1,"PAGADA",Tabla6[[#This Row],[ID FACTURA]]&lt;&gt;0,"EMITIDA",Tabla6[[#This Row],[ID FACTURA]]=0,"POR EMITIR")</f>
        <v>POR EMITIR</v>
      </c>
      <c r="M2754" s="55" t="str">
        <f>+IF(Tabla6[[#This Row],[ESTADO FACTURA]]="PAGADA",Tabla6[[#This Row],[FECHA]]-_xlfn.XLOOKUP(Tabla6[[#This Row],[N° FACTURA]],INGRESOS!F:F,INGRESOS!A:A),"-")</f>
        <v>-</v>
      </c>
      <c r="N2754" s="2"/>
      <c r="O2754"/>
    </row>
    <row r="2755" spans="1:15">
      <c r="A2755" s="320" t="s">
        <v>1178</v>
      </c>
      <c r="B2755" t="str">
        <f>+_xlfn.XLOOKUP(Tabla6[[#This Row],[ID CLIENTE]],'RESUMEN CLIENTES'!D:D,'RESUMEN CLIENTES'!A:A)</f>
        <v>Daniel Flores</v>
      </c>
      <c r="C2755" t="str">
        <f>+_xlfn.XLOOKUP(Tabla6[[#This Row],[ID CLIENTE]],'RESUMEN CLIENTES'!D:D,'RESUMEN CLIENTES'!C:C)</f>
        <v>Ecuador</v>
      </c>
      <c r="D2755" s="44" t="str">
        <f>+_xlfn.XLOOKUP(Tabla6[[#This Row],[ID CLIENTE]],'RESUMEN CLIENTES'!D:D,'RESUMEN CLIENTES'!M:M)</f>
        <v>OK</v>
      </c>
      <c r="E2755" s="72">
        <f>+_xlfn.XLOOKUP(Tabla6[[#This Row],[NOMBRE]],'RESUMEN CLIENTES'!A:A,'RESUMEN CLIENTES'!X:X)</f>
        <v>3.8333333333333335</v>
      </c>
      <c r="F2755" s="72">
        <f>+_xlfn.XLOOKUP(Tabla6[[#This Row],[ID CLIENTE]],'RESUMEN CLIENTES'!D:D,'RESUMEN CLIENTES'!W:W)</f>
        <v>1</v>
      </c>
      <c r="G2755" s="17">
        <f>IF($H2755&lt;&gt;"ALEM","",IFERROR(
  DATE(
    YEAR(EDATE(
      _xlfn.XLOOKUP($A2755,'RESUMEN CLIENTES'!$D:$D,'RESUMEN CLIENTES'!$Y:$Y,""),
      7 + COUNTIFS(
            $A$2:INDEX($A:$A,ROW()), $A2755,
            $H$2:INDEX($H:$H,ROW()), "ALEM"
          )
    )),
    MONTH(EDATE(
      _xlfn.XLOOKUP($A2755,'RESUMEN CLIENTES'!$D:$D,'RESUMEN CLIENTES'!$Y:$Y,""),
      7 + COUNTIFS(
            $A$2:INDEX($A:$A,ROW()), $A2755,
            $H$2:INDEX($H:$H,ROW()), "ALEM"
          )
    )),
    1
  ),
"SIN FECHA MIG"))</f>
        <v>46935</v>
      </c>
      <c r="H2755" s="44" t="s">
        <v>1876</v>
      </c>
      <c r="I2755" s="2">
        <v>800</v>
      </c>
      <c r="J2755"/>
      <c r="K2755"/>
      <c r="L2755" s="44" t="str" cm="1">
        <f t="array" ref="L2755">+_xlfn.IFS(COUNTIF(INGRESOS!E:E,Tabla6[[#This Row],[ID FACTURA]])=1,"PAGADA",Tabla6[[#This Row],[ID FACTURA]]&lt;&gt;0,"EMITIDA",Tabla6[[#This Row],[ID FACTURA]]=0,"POR EMITIR")</f>
        <v>POR EMITIR</v>
      </c>
      <c r="M2755" s="55" t="str">
        <f>+IF(Tabla6[[#This Row],[ESTADO FACTURA]]="PAGADA",Tabla6[[#This Row],[FECHA]]-_xlfn.XLOOKUP(Tabla6[[#This Row],[N° FACTURA]],INGRESOS!F:F,INGRESOS!A:A),"-")</f>
        <v>-</v>
      </c>
      <c r="N2755" s="2"/>
      <c r="O2755"/>
    </row>
    <row r="2756" spans="1:15">
      <c r="A2756" s="320" t="s">
        <v>1251</v>
      </c>
      <c r="B2756" t="str">
        <f>+_xlfn.XLOOKUP(Tabla6[[#This Row],[ID CLIENTE]],'RESUMEN CLIENTES'!D:D,'RESUMEN CLIENTES'!A:A)</f>
        <v>Erick Ernesto Angulo Campos</v>
      </c>
      <c r="C2756" t="str">
        <f>+_xlfn.XLOOKUP(Tabla6[[#This Row],[ID CLIENTE]],'RESUMEN CLIENTES'!D:D,'RESUMEN CLIENTES'!C:C)</f>
        <v>Chile</v>
      </c>
      <c r="D2756" s="44" t="str">
        <f>+_xlfn.XLOOKUP(Tabla6[[#This Row],[ID CLIENTE]],'RESUMEN CLIENTES'!D:D,'RESUMEN CLIENTES'!M:M)</f>
        <v>OK</v>
      </c>
      <c r="E2756" s="71">
        <f>+_xlfn.XLOOKUP(Tabla6[[#This Row],[NOMBRE]],'RESUMEN CLIENTES'!A:A,'RESUMEN CLIENTES'!X:X)</f>
        <v>-0.66666666666666663</v>
      </c>
      <c r="F2756" s="71">
        <f>+_xlfn.XLOOKUP(Tabla6[[#This Row],[ID CLIENTE]],'RESUMEN CLIENTES'!D:D,'RESUMEN CLIENTES'!W:W)</f>
        <v>0</v>
      </c>
      <c r="G2756" s="17">
        <f>IF($H2756&lt;&gt;"ALEM","",IFERROR(
  DATE(
    YEAR(EDATE(
      _xlfn.XLOOKUP($A2756,'RESUMEN CLIENTES'!$D:$D,'RESUMEN CLIENTES'!$Y:$Y,""),
      7 + COUNTIFS(
            $A$2:INDEX($A:$A,ROW()), $A2756,
            $H$2:INDEX($H:$H,ROW()), "ALEM"
          )
    )),
    MONTH(EDATE(
      _xlfn.XLOOKUP($A2756,'RESUMEN CLIENTES'!$D:$D,'RESUMEN CLIENTES'!$Y:$Y,""),
      7 + COUNTIFS(
            $A$2:INDEX($A:$A,ROW()), $A2756,
            $H$2:INDEX($H:$H,ROW()), "ALEM"
          )
    )),
    1
  ),
"SIN FECHA MIG"))</f>
        <v>46935</v>
      </c>
      <c r="H2756" s="44" t="s">
        <v>1876</v>
      </c>
      <c r="I2756" s="2">
        <v>800</v>
      </c>
      <c r="J2756"/>
      <c r="K2756"/>
      <c r="L2756" s="44" t="str" cm="1">
        <f t="array" ref="L2756">+_xlfn.IFS(COUNTIF(INGRESOS!E:E,Tabla6[[#This Row],[ID FACTURA]])=1,"PAGADA",Tabla6[[#This Row],[ID FACTURA]]&lt;&gt;0,"EMITIDA",Tabla6[[#This Row],[ID FACTURA]]=0,"POR EMITIR")</f>
        <v>POR EMITIR</v>
      </c>
      <c r="M2756" s="55" t="str">
        <f>+IF(Tabla6[[#This Row],[ESTADO FACTURA]]="PAGADA",Tabla6[[#This Row],[FECHA]]-_xlfn.XLOOKUP(Tabla6[[#This Row],[N° FACTURA]],INGRESOS!F:F,INGRESOS!A:A),"-")</f>
        <v>-</v>
      </c>
      <c r="N2756" s="2"/>
      <c r="O2756" t="s">
        <v>2084</v>
      </c>
    </row>
    <row r="2757" spans="1:15">
      <c r="A2757" s="320" t="s">
        <v>1743</v>
      </c>
      <c r="B2757" t="str">
        <f>+_xlfn.XLOOKUP(Tabla6[[#This Row],[ID CLIENTE]],'RESUMEN CLIENTES'!D:D,'RESUMEN CLIENTES'!A:A)</f>
        <v>Fernando Alberto Lagos Belmar</v>
      </c>
      <c r="C2757" t="str">
        <f>+_xlfn.XLOOKUP(Tabla6[[#This Row],[ID CLIENTE]],'RESUMEN CLIENTES'!D:D,'RESUMEN CLIENTES'!C:C)</f>
        <v>Chile</v>
      </c>
      <c r="D2757" s="169" t="str">
        <f>+_xlfn.XLOOKUP(Tabla6[[#This Row],[ID CLIENTE]],'RESUMEN CLIENTES'!D:D,'RESUMEN CLIENTES'!M:M)</f>
        <v>OK</v>
      </c>
      <c r="E2757" s="71">
        <f>+_xlfn.XLOOKUP(Tabla6[[#This Row],[NOMBRE]],'RESUMEN CLIENTES'!A:A,'RESUMEN CLIENTES'!X:X)</f>
        <v>0.25</v>
      </c>
      <c r="F2757" s="71">
        <f>+_xlfn.XLOOKUP(Tabla6[[#This Row],[ID CLIENTE]],'RESUMEN CLIENTES'!D:D,'RESUMEN CLIENTES'!W:W)</f>
        <v>1</v>
      </c>
      <c r="G2757" s="17">
        <f>IF($H2757&lt;&gt;"ALEM","",IFERROR(
  DATE(
    YEAR(EDATE(
      _xlfn.XLOOKUP($A2757,'RESUMEN CLIENTES'!$D:$D,'RESUMEN CLIENTES'!$Y:$Y,""),
      7 + COUNTIFS(
            $A$2:INDEX($A:$A,ROW()), $A2757,
            $H$2:INDEX($H:$H,ROW()), "ALEM"
          )
    )),
    MONTH(EDATE(
      _xlfn.XLOOKUP($A2757,'RESUMEN CLIENTES'!$D:$D,'RESUMEN CLIENTES'!$Y:$Y,""),
      7 + COUNTIFS(
            $A$2:INDEX($A:$A,ROW()), $A2757,
            $H$2:INDEX($H:$H,ROW()), "ALEM"
          )
    )),
    1
  ),
"SIN FECHA MIG"))</f>
        <v>46935</v>
      </c>
      <c r="H2757" s="169" t="s">
        <v>1876</v>
      </c>
      <c r="I2757" s="2">
        <v>800</v>
      </c>
      <c r="J2757"/>
      <c r="K2757"/>
      <c r="L2757" s="44" t="str" cm="1">
        <f t="array" ref="L2757">+_xlfn.IFS(COUNTIF(INGRESOS!E:E,Tabla6[[#This Row],[ID FACTURA]])=1,"PAGADA",Tabla6[[#This Row],[ID FACTURA]]&lt;&gt;0,"EMITIDA",Tabla6[[#This Row],[ID FACTURA]]=0,"POR EMITIR")</f>
        <v>POR EMITIR</v>
      </c>
      <c r="M2757" s="55" t="str">
        <f>+IF(Tabla6[[#This Row],[ESTADO FACTURA]]="PAGADA",Tabla6[[#This Row],[FECHA]]-_xlfn.XLOOKUP(Tabla6[[#This Row],[N° FACTURA]],INGRESOS!F:F,INGRESOS!A:A),"-")</f>
        <v>-</v>
      </c>
      <c r="O2757"/>
    </row>
    <row r="2758" spans="1:15">
      <c r="A2758" s="320" t="s">
        <v>139</v>
      </c>
      <c r="B2758" t="str">
        <f>+_xlfn.XLOOKUP(Tabla6[[#This Row],[ID CLIENTE]],'RESUMEN CLIENTES'!D:D,'RESUMEN CLIENTES'!A:A)</f>
        <v>Hugo Nicolás Trávez Morales</v>
      </c>
      <c r="C2758" t="str">
        <f>+_xlfn.XLOOKUP(Tabla6[[#This Row],[ID CLIENTE]],'RESUMEN CLIENTES'!D:D,'RESUMEN CLIENTES'!C:C)</f>
        <v>Ecuador</v>
      </c>
      <c r="D2758" s="169" t="str">
        <f>+_xlfn.XLOOKUP(Tabla6[[#This Row],[ID CLIENTE]],'RESUMEN CLIENTES'!D:D,'RESUMEN CLIENTES'!M:M)</f>
        <v>OK</v>
      </c>
      <c r="E2758" s="71">
        <f>+_xlfn.XLOOKUP(Tabla6[[#This Row],[NOMBRE]],'RESUMEN CLIENTES'!A:A,'RESUMEN CLIENTES'!X:X)</f>
        <v>0</v>
      </c>
      <c r="F2758" s="71">
        <f>+_xlfn.XLOOKUP(Tabla6[[#This Row],[ID CLIENTE]],'RESUMEN CLIENTES'!D:D,'RESUMEN CLIENTES'!W:W)</f>
        <v>0</v>
      </c>
      <c r="G2758" s="17">
        <f>IF($H2758&lt;&gt;"ALEM","",IFERROR(
  DATE(
    YEAR(EDATE(
      _xlfn.XLOOKUP($A2758,'RESUMEN CLIENTES'!$D:$D,'RESUMEN CLIENTES'!$Y:$Y,""),
      7 + COUNTIFS(
            $A$2:INDEX($A:$A,ROW()), $A2758,
            $H$2:INDEX($H:$H,ROW()), "ALEM"
          )
    )),
    MONTH(EDATE(
      _xlfn.XLOOKUP($A2758,'RESUMEN CLIENTES'!$D:$D,'RESUMEN CLIENTES'!$Y:$Y,""),
      7 + COUNTIFS(
            $A$2:INDEX($A:$A,ROW()), $A2758,
            $H$2:INDEX($H:$H,ROW()), "ALEM"
          )
    )),
    1
  ),
"null"))</f>
        <v>46935</v>
      </c>
      <c r="H2758" s="169" t="s">
        <v>1876</v>
      </c>
      <c r="I2758" s="2">
        <v>2000</v>
      </c>
      <c r="J2758"/>
      <c r="K2758"/>
      <c r="L2758" s="44" t="str" cm="1">
        <f t="array" ref="L2758">+_xlfn.IFS(COUNTIF(INGRESOS!E:E,Tabla6[[#This Row],[ID FACTURA]])=1,"PAGADA",Tabla6[[#This Row],[ID FACTURA]]&lt;&gt;0,"EMITIDA",Tabla6[[#This Row],[ID FACTURA]]=0,"POR EMITIR")</f>
        <v>POR EMITIR</v>
      </c>
      <c r="M2758" s="54" t="str">
        <f>+IF(Tabla6[[#This Row],[ESTADO FACTURA]]="PAGADA",Tabla6[[#This Row],[FECHA]]-_xlfn.XLOOKUP(Tabla6[[#This Row],[N° FACTURA]],INGRESOS!F:F,INGRESOS!A:A),"-")</f>
        <v>-</v>
      </c>
      <c r="O2758"/>
    </row>
    <row r="2759" spans="1:15">
      <c r="A2759" s="320" t="s">
        <v>1437</v>
      </c>
      <c r="B2759" t="str">
        <f>+_xlfn.XLOOKUP(Tabla6[[#This Row],[ID CLIENTE]],'RESUMEN CLIENTES'!D:D,'RESUMEN CLIENTES'!A:A)</f>
        <v>Jorge Andres Galgani Muñoz</v>
      </c>
      <c r="C2759" t="str">
        <f>+_xlfn.XLOOKUP(Tabla6[[#This Row],[ID CLIENTE]],'RESUMEN CLIENTES'!D:D,'RESUMEN CLIENTES'!C:C)</f>
        <v>Chile</v>
      </c>
      <c r="D2759" s="44" t="str">
        <f>+_xlfn.XLOOKUP(Tabla6[[#This Row],[ID CLIENTE]],'RESUMEN CLIENTES'!D:D,'RESUMEN CLIENTES'!M:M)</f>
        <v>OK</v>
      </c>
      <c r="E2759" s="71">
        <f>+_xlfn.XLOOKUP(Tabla6[[#This Row],[NOMBRE]],'RESUMEN CLIENTES'!A:A,'RESUMEN CLIENTES'!X:X)</f>
        <v>-1.1428571428571428</v>
      </c>
      <c r="F2759" s="71">
        <f>+_xlfn.XLOOKUP(Tabla6[[#This Row],[ID CLIENTE]],'RESUMEN CLIENTES'!D:D,'RESUMEN CLIENTES'!W:W)</f>
        <v>1</v>
      </c>
      <c r="G2759" s="17">
        <f>IF($H2759&lt;&gt;"ALEM","",IFERROR(
  DATE(
    YEAR(EDATE(
      _xlfn.XLOOKUP($A2759,'RESUMEN CLIENTES'!$D:$D,'RESUMEN CLIENTES'!$Y:$Y,""),
      7 + COUNTIFS(
            $A$2:INDEX($A:$A,ROW()), $A2759,
            $H$2:INDEX($H:$H,ROW()), "ALEM"
          )
    )),
    MONTH(EDATE(
      _xlfn.XLOOKUP($A2759,'RESUMEN CLIENTES'!$D:$D,'RESUMEN CLIENTES'!$Y:$Y,""),
      7 + COUNTIFS(
            $A$2:INDEX($A:$A,ROW()), $A2759,
            $H$2:INDEX($H:$H,ROW()), "ALEM"
          )
    )),
    1
  ),
"SIN FECHA MIG"))</f>
        <v>46935</v>
      </c>
      <c r="H2759" s="169" t="s">
        <v>1876</v>
      </c>
      <c r="I2759" s="2">
        <v>800</v>
      </c>
      <c r="J2759"/>
      <c r="K2759"/>
      <c r="L2759" s="44" t="str" cm="1">
        <f t="array" ref="L2759">+_xlfn.IFS(COUNTIF(INGRESOS!E:E,Tabla6[[#This Row],[ID FACTURA]])=1,"PAGADA",Tabla6[[#This Row],[ID FACTURA]]&lt;&gt;0,"EMITIDA",Tabla6[[#This Row],[ID FACTURA]]=0,"POR EMITIR")</f>
        <v>POR EMITIR</v>
      </c>
      <c r="M2759" s="55" t="str">
        <f>+IF(Tabla6[[#This Row],[ESTADO FACTURA]]="PAGADA",Tabla6[[#This Row],[FECHA]]-_xlfn.XLOOKUP(Tabla6[[#This Row],[N° FACTURA]],INGRESOS!F:F,INGRESOS!A:A),"-")</f>
        <v>-</v>
      </c>
      <c r="N2759" s="2"/>
      <c r="O2759"/>
    </row>
    <row r="2760" spans="1:15">
      <c r="A2760" s="320" t="s">
        <v>4454</v>
      </c>
      <c r="B2760" t="str">
        <f>+_xlfn.XLOOKUP(Tabla6[[#This Row],[ID CLIENTE]],'RESUMEN CLIENTES'!D:D,'RESUMEN CLIENTES'!A:A)</f>
        <v>Jose Luis Avilez Casas</v>
      </c>
      <c r="C2760" t="str">
        <f>+_xlfn.XLOOKUP(Tabla6[[#This Row],[ID CLIENTE]],'RESUMEN CLIENTES'!D:D,'RESUMEN CLIENTES'!C:C)</f>
        <v>México</v>
      </c>
      <c r="D2760" s="169" t="str">
        <f>+_xlfn.XLOOKUP(Tabla6[[#This Row],[ID CLIENTE]],'RESUMEN CLIENTES'!D:D,'RESUMEN CLIENTES'!M:M)</f>
        <v>OK</v>
      </c>
      <c r="E2760" s="71">
        <f>+_xlfn.XLOOKUP(Tabla6[[#This Row],[NOMBRE]],'RESUMEN CLIENTES'!A:A,'RESUMEN CLIENTES'!X:X)</f>
        <v>0.33333333333333331</v>
      </c>
      <c r="F2760" s="71">
        <f>+_xlfn.XLOOKUP(Tabla6[[#This Row],[ID CLIENTE]],'RESUMEN CLIENTES'!D:D,'RESUMEN CLIENTES'!W:W)</f>
        <v>0</v>
      </c>
      <c r="G2760" s="17">
        <f>IF($H2760&lt;&gt;"ALEM","",IFERROR(
  DATE(
    YEAR(EDATE(
      _xlfn.XLOOKUP($A2760,'RESUMEN CLIENTES'!$D:$D,'RESUMEN CLIENTES'!$Y:$Y,""),
      7 + COUNTIFS(
            $A$2:INDEX($A:$A,ROW()), $A2760,
            $H$2:INDEX($H:$H,ROW()), "ALEM"
          )
    )),
    MONTH(EDATE(
      _xlfn.XLOOKUP($A2760,'RESUMEN CLIENTES'!$D:$D,'RESUMEN CLIENTES'!$Y:$Y,""),
      7 + COUNTIFS(
            $A$2:INDEX($A:$A,ROW()), $A2760,
            $H$2:INDEX($H:$H,ROW()), "ALEM"
          )
    )),
    1
  ),
"null"))</f>
        <v>46935</v>
      </c>
      <c r="H2760" s="169" t="s">
        <v>1876</v>
      </c>
      <c r="I2760" s="2">
        <v>800</v>
      </c>
      <c r="J2760"/>
      <c r="K2760"/>
      <c r="L2760" s="44" t="str" cm="1">
        <f t="array" ref="L2760">+_xlfn.IFS(COUNTIF(INGRESOS!E:E,Tabla6[[#This Row],[ID FACTURA]])=1,"PAGADA",Tabla6[[#This Row],[ID FACTURA]]&lt;&gt;0,"EMITIDA",Tabla6[[#This Row],[ID FACTURA]]=0,"POR EMITIR")</f>
        <v>POR EMITIR</v>
      </c>
      <c r="M2760" s="54" t="str">
        <f>+IF(Tabla6[[#This Row],[ESTADO FACTURA]]="PAGADA",Tabla6[[#This Row],[FECHA]]-_xlfn.XLOOKUP(Tabla6[[#This Row],[N° FACTURA]],INGRESOS!F:F,INGRESOS!A:A),"-")</f>
        <v>-</v>
      </c>
      <c r="O2760"/>
    </row>
    <row r="2761" spans="1:15">
      <c r="A2761" s="320" t="s">
        <v>1482</v>
      </c>
      <c r="B2761" t="str">
        <f>+_xlfn.XLOOKUP(Tabla6[[#This Row],[ID CLIENTE]],'RESUMEN CLIENTES'!D:D,'RESUMEN CLIENTES'!A:A)</f>
        <v>Laxmi Davi Patel Flores</v>
      </c>
      <c r="C2761" t="str">
        <f>+_xlfn.XLOOKUP(Tabla6[[#This Row],[ID CLIENTE]],'RESUMEN CLIENTES'!D:D,'RESUMEN CLIENTES'!C:C)</f>
        <v>Ecuador</v>
      </c>
      <c r="D2761" s="44" t="str">
        <f>+_xlfn.XLOOKUP(Tabla6[[#This Row],[ID CLIENTE]],'RESUMEN CLIENTES'!D:D,'RESUMEN CLIENTES'!M:M)</f>
        <v>OK</v>
      </c>
      <c r="E2761" s="71">
        <f>+_xlfn.XLOOKUP(Tabla6[[#This Row],[NOMBRE]],'RESUMEN CLIENTES'!A:A,'RESUMEN CLIENTES'!X:X)</f>
        <v>-1.5714285714285714</v>
      </c>
      <c r="F2761" s="71">
        <f>+_xlfn.XLOOKUP(Tabla6[[#This Row],[ID CLIENTE]],'RESUMEN CLIENTES'!D:D,'RESUMEN CLIENTES'!W:W)</f>
        <v>0</v>
      </c>
      <c r="G2761" s="17">
        <f>IF($H2761&lt;&gt;"ALEM","",IFERROR(
  DATE(
    YEAR(EDATE(
      _xlfn.XLOOKUP($A2761,'RESUMEN CLIENTES'!$D:$D,'RESUMEN CLIENTES'!$Y:$Y,""),
      7 + COUNTIFS(
            $A$2:INDEX($A:$A,ROW()), $A2761,
            $H$2:INDEX($H:$H,ROW()), "ALEM"
          )
    )),
    MONTH(EDATE(
      _xlfn.XLOOKUP($A2761,'RESUMEN CLIENTES'!$D:$D,'RESUMEN CLIENTES'!$Y:$Y,""),
      7 + COUNTIFS(
            $A$2:INDEX($A:$A,ROW()), $A2761,
            $H$2:INDEX($H:$H,ROW()), "ALEM"
          )
    )),
    1
  ),
"SIN FECHA MIG"))</f>
        <v>46935</v>
      </c>
      <c r="H2761" s="169" t="s">
        <v>1876</v>
      </c>
      <c r="I2761" s="2">
        <v>800</v>
      </c>
      <c r="J2761"/>
      <c r="K2761"/>
      <c r="L2761" s="44" t="str" cm="1">
        <f t="array" ref="L2761">+_xlfn.IFS(COUNTIF(INGRESOS!E:E,Tabla6[[#This Row],[ID FACTURA]])=1,"PAGADA",Tabla6[[#This Row],[ID FACTURA]]&lt;&gt;0,"EMITIDA",Tabla6[[#This Row],[ID FACTURA]]=0,"POR EMITIR")</f>
        <v>POR EMITIR</v>
      </c>
      <c r="M2761" s="55" t="str">
        <f>+IF(Tabla6[[#This Row],[ESTADO FACTURA]]="PAGADA",Tabla6[[#This Row],[FECHA]]-_xlfn.XLOOKUP(Tabla6[[#This Row],[N° FACTURA]],INGRESOS!F:F,INGRESOS!A:A),"-")</f>
        <v>-</v>
      </c>
      <c r="N2761" s="2"/>
      <c r="O2761" t="s">
        <v>2092</v>
      </c>
    </row>
    <row r="2762" spans="1:15">
      <c r="A2762" s="320" t="s">
        <v>744</v>
      </c>
      <c r="B2762" t="str">
        <f>+_xlfn.XLOOKUP(Tabla6[[#This Row],[ID CLIENTE]],'RESUMEN CLIENTES'!D:D,'RESUMEN CLIENTES'!A:A)</f>
        <v>Martin Esteban Orellana Dominguez</v>
      </c>
      <c r="C2762" t="str">
        <f>+_xlfn.XLOOKUP(Tabla6[[#This Row],[ID CLIENTE]],'RESUMEN CLIENTES'!D:D,'RESUMEN CLIENTES'!C:C)</f>
        <v>Ecuador</v>
      </c>
      <c r="D2762" s="44" t="str">
        <f>+_xlfn.XLOOKUP(Tabla6[[#This Row],[ID CLIENTE]],'RESUMEN CLIENTES'!D:D,'RESUMEN CLIENTES'!M:M)</f>
        <v>OK</v>
      </c>
      <c r="E2762" s="72">
        <f>+_xlfn.XLOOKUP(Tabla6[[#This Row],[NOMBRE]],'RESUMEN CLIENTES'!A:A,'RESUMEN CLIENTES'!X:X)</f>
        <v>-1.1428571428571428</v>
      </c>
      <c r="F2762" s="72">
        <f>+_xlfn.XLOOKUP(Tabla6[[#This Row],[ID CLIENTE]],'RESUMEN CLIENTES'!D:D,'RESUMEN CLIENTES'!W:W)</f>
        <v>1</v>
      </c>
      <c r="G2762" s="17">
        <f>IF($H2762&lt;&gt;"ALEM","",IFERROR(
  DATE(
    YEAR(EDATE(
      _xlfn.XLOOKUP($A2762,'RESUMEN CLIENTES'!$D:$D,'RESUMEN CLIENTES'!$Y:$Y,""),
      7 + COUNTIFS(
            $A$2:INDEX($A:$A,ROW()), $A2762,
            $H$2:INDEX($H:$H,ROW()), "ALEM"
          )
    )),
    MONTH(EDATE(
      _xlfn.XLOOKUP($A2762,'RESUMEN CLIENTES'!$D:$D,'RESUMEN CLIENTES'!$Y:$Y,""),
      7 + COUNTIFS(
            $A$2:INDEX($A:$A,ROW()), $A2762,
            $H$2:INDEX($H:$H,ROW()), "ALEM"
          )
    )),
    1
  ),
"SIN FECHA MIG"))</f>
        <v>46935</v>
      </c>
      <c r="H2762" s="44" t="s">
        <v>1876</v>
      </c>
      <c r="I2762" s="2">
        <v>1000</v>
      </c>
      <c r="J2762"/>
      <c r="K2762"/>
      <c r="L2762" s="44" t="str" cm="1">
        <f t="array" ref="L2762">+_xlfn.IFS(COUNTIF(INGRESOS!E:E,Tabla6[[#This Row],[ID FACTURA]])=1,"PAGADA",Tabla6[[#This Row],[ID FACTURA]]&lt;&gt;0,"EMITIDA",Tabla6[[#This Row],[ID FACTURA]]=0,"POR EMITIR")</f>
        <v>POR EMITIR</v>
      </c>
      <c r="M2762" s="55" t="str">
        <f>+IF(Tabla6[[#This Row],[ESTADO FACTURA]]="PAGADA",Tabla6[[#This Row],[FECHA]]-_xlfn.XLOOKUP(Tabla6[[#This Row],[N° FACTURA]],INGRESOS!F:F,INGRESOS!A:A),"-")</f>
        <v>-</v>
      </c>
      <c r="N2762" s="2"/>
      <c r="O2762" t="s">
        <v>2084</v>
      </c>
    </row>
    <row r="2763" spans="1:15">
      <c r="A2763" s="320" t="s">
        <v>1251</v>
      </c>
      <c r="B2763" t="str">
        <f>+_xlfn.XLOOKUP(Tabla6[[#This Row],[ID CLIENTE]],'RESUMEN CLIENTES'!D:D,'RESUMEN CLIENTES'!A:A)</f>
        <v>Erick Ernesto Angulo Campos</v>
      </c>
      <c r="C2763" t="str">
        <f>+_xlfn.XLOOKUP(Tabla6[[#This Row],[ID CLIENTE]],'RESUMEN CLIENTES'!D:D,'RESUMEN CLIENTES'!C:C)</f>
        <v>Chile</v>
      </c>
      <c r="D2763" s="44" t="str">
        <f>+_xlfn.XLOOKUP(Tabla6[[#This Row],[ID CLIENTE]],'RESUMEN CLIENTES'!D:D,'RESUMEN CLIENTES'!M:M)</f>
        <v>OK</v>
      </c>
      <c r="E2763" s="71">
        <f>+_xlfn.XLOOKUP(Tabla6[[#This Row],[NOMBRE]],'RESUMEN CLIENTES'!A:A,'RESUMEN CLIENTES'!X:X)</f>
        <v>-0.66666666666666663</v>
      </c>
      <c r="F2763" s="71">
        <f>+_xlfn.XLOOKUP(Tabla6[[#This Row],[ID CLIENTE]],'RESUMEN CLIENTES'!D:D,'RESUMEN CLIENTES'!W:W)</f>
        <v>0</v>
      </c>
      <c r="G2763" s="17">
        <f>IF($H2763&lt;&gt;"ALEM","",IFERROR(
  DATE(
    YEAR(EDATE(
      _xlfn.XLOOKUP($A2763,'RESUMEN CLIENTES'!$D:$D,'RESUMEN CLIENTES'!$Y:$Y,""),
      7 + COUNTIFS(
            $A$2:INDEX($A:$A,ROW()), $A2763,
            $H$2:INDEX($H:$H,ROW()), "ALEM"
          )
    )),
    MONTH(EDATE(
      _xlfn.XLOOKUP($A2763,'RESUMEN CLIENTES'!$D:$D,'RESUMEN CLIENTES'!$Y:$Y,""),
      7 + COUNTIFS(
            $A$2:INDEX($A:$A,ROW()), $A2763,
            $H$2:INDEX($H:$H,ROW()), "ALEM"
          )
    )),
    1
  ),
"SIN FECHA MIG"))</f>
        <v>46966</v>
      </c>
      <c r="H2763" s="44" t="s">
        <v>1876</v>
      </c>
      <c r="I2763" s="2">
        <v>800</v>
      </c>
      <c r="J2763"/>
      <c r="K2763"/>
      <c r="L2763" s="44" t="str" cm="1">
        <f t="array" ref="L2763">+_xlfn.IFS(COUNTIF(INGRESOS!E:E,Tabla6[[#This Row],[ID FACTURA]])=1,"PAGADA",Tabla6[[#This Row],[ID FACTURA]]&lt;&gt;0,"EMITIDA",Tabla6[[#This Row],[ID FACTURA]]=0,"POR EMITIR")</f>
        <v>POR EMITIR</v>
      </c>
      <c r="M2763" s="55" t="str">
        <f>+IF(Tabla6[[#This Row],[ESTADO FACTURA]]="PAGADA",Tabla6[[#This Row],[FECHA]]-_xlfn.XLOOKUP(Tabla6[[#This Row],[N° FACTURA]],INGRESOS!F:F,INGRESOS!A:A),"-")</f>
        <v>-</v>
      </c>
      <c r="N2763" s="2"/>
      <c r="O2763" t="s">
        <v>2084</v>
      </c>
    </row>
    <row r="2764" spans="1:15">
      <c r="A2764" s="320" t="s">
        <v>1743</v>
      </c>
      <c r="B2764" t="str">
        <f>+_xlfn.XLOOKUP(Tabla6[[#This Row],[ID CLIENTE]],'RESUMEN CLIENTES'!D:D,'RESUMEN CLIENTES'!A:A)</f>
        <v>Fernando Alberto Lagos Belmar</v>
      </c>
      <c r="C2764" t="str">
        <f>+_xlfn.XLOOKUP(Tabla6[[#This Row],[ID CLIENTE]],'RESUMEN CLIENTES'!D:D,'RESUMEN CLIENTES'!C:C)</f>
        <v>Chile</v>
      </c>
      <c r="D2764" s="169" t="str">
        <f>+_xlfn.XLOOKUP(Tabla6[[#This Row],[ID CLIENTE]],'RESUMEN CLIENTES'!D:D,'RESUMEN CLIENTES'!M:M)</f>
        <v>OK</v>
      </c>
      <c r="E2764" s="71">
        <f>+_xlfn.XLOOKUP(Tabla6[[#This Row],[NOMBRE]],'RESUMEN CLIENTES'!A:A,'RESUMEN CLIENTES'!X:X)</f>
        <v>0.25</v>
      </c>
      <c r="F2764" s="71">
        <f>+_xlfn.XLOOKUP(Tabla6[[#This Row],[ID CLIENTE]],'RESUMEN CLIENTES'!D:D,'RESUMEN CLIENTES'!W:W)</f>
        <v>1</v>
      </c>
      <c r="G2764" s="17">
        <f>IF($H2764&lt;&gt;"ALEM","",IFERROR(
  DATE(
    YEAR(EDATE(
      _xlfn.XLOOKUP($A2764,'RESUMEN CLIENTES'!$D:$D,'RESUMEN CLIENTES'!$Y:$Y,""),
      7 + COUNTIFS(
            $A$2:INDEX($A:$A,ROW()), $A2764,
            $H$2:INDEX($H:$H,ROW()), "ALEM"
          )
    )),
    MONTH(EDATE(
      _xlfn.XLOOKUP($A2764,'RESUMEN CLIENTES'!$D:$D,'RESUMEN CLIENTES'!$Y:$Y,""),
      7 + COUNTIFS(
            $A$2:INDEX($A:$A,ROW()), $A2764,
            $H$2:INDEX($H:$H,ROW()), "ALEM"
          )
    )),
    1
  ),
"SIN FECHA MIG"))</f>
        <v>46966</v>
      </c>
      <c r="H2764" s="169" t="s">
        <v>1876</v>
      </c>
      <c r="I2764" s="2">
        <v>800</v>
      </c>
      <c r="J2764"/>
      <c r="K2764"/>
      <c r="L2764" s="44" t="str" cm="1">
        <f t="array" ref="L2764">+_xlfn.IFS(COUNTIF(INGRESOS!E:E,Tabla6[[#This Row],[ID FACTURA]])=1,"PAGADA",Tabla6[[#This Row],[ID FACTURA]]&lt;&gt;0,"EMITIDA",Tabla6[[#This Row],[ID FACTURA]]=0,"POR EMITIR")</f>
        <v>POR EMITIR</v>
      </c>
      <c r="M2764" s="55" t="str">
        <f>+IF(Tabla6[[#This Row],[ESTADO FACTURA]]="PAGADA",Tabla6[[#This Row],[FECHA]]-_xlfn.XLOOKUP(Tabla6[[#This Row],[N° FACTURA]],INGRESOS!F:F,INGRESOS!A:A),"-")</f>
        <v>-</v>
      </c>
      <c r="O2764"/>
    </row>
    <row r="2765" spans="1:15">
      <c r="A2765" s="320" t="s">
        <v>139</v>
      </c>
      <c r="B2765" t="str">
        <f>+_xlfn.XLOOKUP(Tabla6[[#This Row],[ID CLIENTE]],'RESUMEN CLIENTES'!D:D,'RESUMEN CLIENTES'!A:A)</f>
        <v>Hugo Nicolás Trávez Morales</v>
      </c>
      <c r="C2765" t="str">
        <f>+_xlfn.XLOOKUP(Tabla6[[#This Row],[ID CLIENTE]],'RESUMEN CLIENTES'!D:D,'RESUMEN CLIENTES'!C:C)</f>
        <v>Ecuador</v>
      </c>
      <c r="D2765" s="169" t="str">
        <f>+_xlfn.XLOOKUP(Tabla6[[#This Row],[ID CLIENTE]],'RESUMEN CLIENTES'!D:D,'RESUMEN CLIENTES'!M:M)</f>
        <v>OK</v>
      </c>
      <c r="E2765" s="71">
        <f>+_xlfn.XLOOKUP(Tabla6[[#This Row],[NOMBRE]],'RESUMEN CLIENTES'!A:A,'RESUMEN CLIENTES'!X:X)</f>
        <v>0</v>
      </c>
      <c r="F2765" s="71">
        <f>+_xlfn.XLOOKUP(Tabla6[[#This Row],[ID CLIENTE]],'RESUMEN CLIENTES'!D:D,'RESUMEN CLIENTES'!W:W)</f>
        <v>0</v>
      </c>
      <c r="G2765" s="17">
        <f>IF($H2765&lt;&gt;"ALEM","",IFERROR(
  DATE(
    YEAR(EDATE(
      _xlfn.XLOOKUP($A2765,'RESUMEN CLIENTES'!$D:$D,'RESUMEN CLIENTES'!$Y:$Y,""),
      7 + COUNTIFS(
            $A$2:INDEX($A:$A,ROW()), $A2765,
            $H$2:INDEX($H:$H,ROW()), "ALEM"
          )
    )),
    MONTH(EDATE(
      _xlfn.XLOOKUP($A2765,'RESUMEN CLIENTES'!$D:$D,'RESUMEN CLIENTES'!$Y:$Y,""),
      7 + COUNTIFS(
            $A$2:INDEX($A:$A,ROW()), $A2765,
            $H$2:INDEX($H:$H,ROW()), "ALEM"
          )
    )),
    1
  ),
"null"))</f>
        <v>46966</v>
      </c>
      <c r="H2765" s="169" t="s">
        <v>1876</v>
      </c>
      <c r="I2765" s="2">
        <v>2000</v>
      </c>
      <c r="J2765"/>
      <c r="K2765"/>
      <c r="L2765" s="44" t="str" cm="1">
        <f t="array" ref="L2765">+_xlfn.IFS(COUNTIF(INGRESOS!E:E,Tabla6[[#This Row],[ID FACTURA]])=1,"PAGADA",Tabla6[[#This Row],[ID FACTURA]]&lt;&gt;0,"EMITIDA",Tabla6[[#This Row],[ID FACTURA]]=0,"POR EMITIR")</f>
        <v>POR EMITIR</v>
      </c>
      <c r="M2765" s="54" t="str">
        <f>+IF(Tabla6[[#This Row],[ESTADO FACTURA]]="PAGADA",Tabla6[[#This Row],[FECHA]]-_xlfn.XLOOKUP(Tabla6[[#This Row],[N° FACTURA]],INGRESOS!F:F,INGRESOS!A:A),"-")</f>
        <v>-</v>
      </c>
      <c r="O2765"/>
    </row>
    <row r="2766" spans="1:15">
      <c r="A2766" s="320" t="s">
        <v>1437</v>
      </c>
      <c r="B2766" t="str">
        <f>+_xlfn.XLOOKUP(Tabla6[[#This Row],[ID CLIENTE]],'RESUMEN CLIENTES'!D:D,'RESUMEN CLIENTES'!A:A)</f>
        <v>Jorge Andres Galgani Muñoz</v>
      </c>
      <c r="C2766" t="str">
        <f>+_xlfn.XLOOKUP(Tabla6[[#This Row],[ID CLIENTE]],'RESUMEN CLIENTES'!D:D,'RESUMEN CLIENTES'!C:C)</f>
        <v>Chile</v>
      </c>
      <c r="D2766" s="44" t="str">
        <f>+_xlfn.XLOOKUP(Tabla6[[#This Row],[ID CLIENTE]],'RESUMEN CLIENTES'!D:D,'RESUMEN CLIENTES'!M:M)</f>
        <v>OK</v>
      </c>
      <c r="E2766" s="71">
        <f>+_xlfn.XLOOKUP(Tabla6[[#This Row],[NOMBRE]],'RESUMEN CLIENTES'!A:A,'RESUMEN CLIENTES'!X:X)</f>
        <v>-1.1428571428571428</v>
      </c>
      <c r="F2766" s="71">
        <f>+_xlfn.XLOOKUP(Tabla6[[#This Row],[ID CLIENTE]],'RESUMEN CLIENTES'!D:D,'RESUMEN CLIENTES'!W:W)</f>
        <v>1</v>
      </c>
      <c r="G2766" s="17">
        <f>IF($H2766&lt;&gt;"ALEM","",IFERROR(
  DATE(
    YEAR(EDATE(
      _xlfn.XLOOKUP($A2766,'RESUMEN CLIENTES'!$D:$D,'RESUMEN CLIENTES'!$Y:$Y,""),
      7 + COUNTIFS(
            $A$2:INDEX($A:$A,ROW()), $A2766,
            $H$2:INDEX($H:$H,ROW()), "ALEM"
          )
    )),
    MONTH(EDATE(
      _xlfn.XLOOKUP($A2766,'RESUMEN CLIENTES'!$D:$D,'RESUMEN CLIENTES'!$Y:$Y,""),
      7 + COUNTIFS(
            $A$2:INDEX($A:$A,ROW()), $A2766,
            $H$2:INDEX($H:$H,ROW()), "ALEM"
          )
    )),
    1
  ),
"SIN FECHA MIG"))</f>
        <v>46966</v>
      </c>
      <c r="H2766" s="169" t="s">
        <v>1876</v>
      </c>
      <c r="I2766" s="2">
        <v>800</v>
      </c>
      <c r="J2766"/>
      <c r="K2766"/>
      <c r="L2766" s="44" t="str" cm="1">
        <f t="array" ref="L2766">+_xlfn.IFS(COUNTIF(INGRESOS!E:E,Tabla6[[#This Row],[ID FACTURA]])=1,"PAGADA",Tabla6[[#This Row],[ID FACTURA]]&lt;&gt;0,"EMITIDA",Tabla6[[#This Row],[ID FACTURA]]=0,"POR EMITIR")</f>
        <v>POR EMITIR</v>
      </c>
      <c r="M2766" s="55" t="str">
        <f>+IF(Tabla6[[#This Row],[ESTADO FACTURA]]="PAGADA",Tabla6[[#This Row],[FECHA]]-_xlfn.XLOOKUP(Tabla6[[#This Row],[N° FACTURA]],INGRESOS!F:F,INGRESOS!A:A),"-")</f>
        <v>-</v>
      </c>
      <c r="N2766" s="2"/>
      <c r="O2766"/>
    </row>
    <row r="2767" spans="1:15">
      <c r="A2767" s="320" t="s">
        <v>4454</v>
      </c>
      <c r="B2767" t="str">
        <f>+_xlfn.XLOOKUP(Tabla6[[#This Row],[ID CLIENTE]],'RESUMEN CLIENTES'!D:D,'RESUMEN CLIENTES'!A:A)</f>
        <v>Jose Luis Avilez Casas</v>
      </c>
      <c r="C2767" t="str">
        <f>+_xlfn.XLOOKUP(Tabla6[[#This Row],[ID CLIENTE]],'RESUMEN CLIENTES'!D:D,'RESUMEN CLIENTES'!C:C)</f>
        <v>México</v>
      </c>
      <c r="D2767" s="169" t="str">
        <f>+_xlfn.XLOOKUP(Tabla6[[#This Row],[ID CLIENTE]],'RESUMEN CLIENTES'!D:D,'RESUMEN CLIENTES'!M:M)</f>
        <v>OK</v>
      </c>
      <c r="E2767" s="71">
        <f>+_xlfn.XLOOKUP(Tabla6[[#This Row],[NOMBRE]],'RESUMEN CLIENTES'!A:A,'RESUMEN CLIENTES'!X:X)</f>
        <v>0.33333333333333331</v>
      </c>
      <c r="F2767" s="71">
        <f>+_xlfn.XLOOKUP(Tabla6[[#This Row],[ID CLIENTE]],'RESUMEN CLIENTES'!D:D,'RESUMEN CLIENTES'!W:W)</f>
        <v>0</v>
      </c>
      <c r="G2767" s="17">
        <f>IF($H2767&lt;&gt;"ALEM","",IFERROR(
  DATE(
    YEAR(EDATE(
      _xlfn.XLOOKUP($A2767,'RESUMEN CLIENTES'!$D:$D,'RESUMEN CLIENTES'!$Y:$Y,""),
      7 + COUNTIFS(
            $A$2:INDEX($A:$A,ROW()), $A2767,
            $H$2:INDEX($H:$H,ROW()), "ALEM"
          )
    )),
    MONTH(EDATE(
      _xlfn.XLOOKUP($A2767,'RESUMEN CLIENTES'!$D:$D,'RESUMEN CLIENTES'!$Y:$Y,""),
      7 + COUNTIFS(
            $A$2:INDEX($A:$A,ROW()), $A2767,
            $H$2:INDEX($H:$H,ROW()), "ALEM"
          )
    )),
    1
  ),
"null"))</f>
        <v>46966</v>
      </c>
      <c r="H2767" s="169" t="s">
        <v>1876</v>
      </c>
      <c r="I2767" s="2">
        <v>800</v>
      </c>
      <c r="J2767"/>
      <c r="K2767"/>
      <c r="L2767" s="44" t="str" cm="1">
        <f t="array" ref="L2767">+_xlfn.IFS(COUNTIF(INGRESOS!E:E,Tabla6[[#This Row],[ID FACTURA]])=1,"PAGADA",Tabla6[[#This Row],[ID FACTURA]]&lt;&gt;0,"EMITIDA",Tabla6[[#This Row],[ID FACTURA]]=0,"POR EMITIR")</f>
        <v>POR EMITIR</v>
      </c>
      <c r="M2767" s="54" t="str">
        <f>+IF(Tabla6[[#This Row],[ESTADO FACTURA]]="PAGADA",Tabla6[[#This Row],[FECHA]]-_xlfn.XLOOKUP(Tabla6[[#This Row],[N° FACTURA]],INGRESOS!F:F,INGRESOS!A:A),"-")</f>
        <v>-</v>
      </c>
      <c r="O2767"/>
    </row>
    <row r="2768" spans="1:15">
      <c r="A2768" s="320" t="s">
        <v>1482</v>
      </c>
      <c r="B2768" t="str">
        <f>+_xlfn.XLOOKUP(Tabla6[[#This Row],[ID CLIENTE]],'RESUMEN CLIENTES'!D:D,'RESUMEN CLIENTES'!A:A)</f>
        <v>Laxmi Davi Patel Flores</v>
      </c>
      <c r="C2768" t="str">
        <f>+_xlfn.XLOOKUP(Tabla6[[#This Row],[ID CLIENTE]],'RESUMEN CLIENTES'!D:D,'RESUMEN CLIENTES'!C:C)</f>
        <v>Ecuador</v>
      </c>
      <c r="D2768" s="44" t="str">
        <f>+_xlfn.XLOOKUP(Tabla6[[#This Row],[ID CLIENTE]],'RESUMEN CLIENTES'!D:D,'RESUMEN CLIENTES'!M:M)</f>
        <v>OK</v>
      </c>
      <c r="E2768" s="71">
        <f>+_xlfn.XLOOKUP(Tabla6[[#This Row],[NOMBRE]],'RESUMEN CLIENTES'!A:A,'RESUMEN CLIENTES'!X:X)</f>
        <v>-1.5714285714285714</v>
      </c>
      <c r="F2768" s="71">
        <f>+_xlfn.XLOOKUP(Tabla6[[#This Row],[ID CLIENTE]],'RESUMEN CLIENTES'!D:D,'RESUMEN CLIENTES'!W:W)</f>
        <v>0</v>
      </c>
      <c r="G2768" s="17">
        <f>IF($H2768&lt;&gt;"ALEM","",IFERROR(
  DATE(
    YEAR(EDATE(
      _xlfn.XLOOKUP($A2768,'RESUMEN CLIENTES'!$D:$D,'RESUMEN CLIENTES'!$Y:$Y,""),
      7 + COUNTIFS(
            $A$2:INDEX($A:$A,ROW()), $A2768,
            $H$2:INDEX($H:$H,ROW()), "ALEM"
          )
    )),
    MONTH(EDATE(
      _xlfn.XLOOKUP($A2768,'RESUMEN CLIENTES'!$D:$D,'RESUMEN CLIENTES'!$Y:$Y,""),
      7 + COUNTIFS(
            $A$2:INDEX($A:$A,ROW()), $A2768,
            $H$2:INDEX($H:$H,ROW()), "ALEM"
          )
    )),
    1
  ),
"SIN FECHA MIG"))</f>
        <v>46966</v>
      </c>
      <c r="H2768" s="169" t="s">
        <v>1876</v>
      </c>
      <c r="I2768" s="2">
        <v>800</v>
      </c>
      <c r="J2768"/>
      <c r="K2768"/>
      <c r="L2768" s="44" t="str" cm="1">
        <f t="array" ref="L2768">+_xlfn.IFS(COUNTIF(INGRESOS!E:E,Tabla6[[#This Row],[ID FACTURA]])=1,"PAGADA",Tabla6[[#This Row],[ID FACTURA]]&lt;&gt;0,"EMITIDA",Tabla6[[#This Row],[ID FACTURA]]=0,"POR EMITIR")</f>
        <v>POR EMITIR</v>
      </c>
      <c r="M2768" s="55" t="str">
        <f>+IF(Tabla6[[#This Row],[ESTADO FACTURA]]="PAGADA",Tabla6[[#This Row],[FECHA]]-_xlfn.XLOOKUP(Tabla6[[#This Row],[N° FACTURA]],INGRESOS!F:F,INGRESOS!A:A),"-")</f>
        <v>-</v>
      </c>
      <c r="N2768" s="2"/>
      <c r="O2768" t="s">
        <v>2092</v>
      </c>
    </row>
    <row r="2769" spans="1:15">
      <c r="A2769" s="320" t="s">
        <v>744</v>
      </c>
      <c r="B2769" t="str">
        <f>+_xlfn.XLOOKUP(Tabla6[[#This Row],[ID CLIENTE]],'RESUMEN CLIENTES'!D:D,'RESUMEN CLIENTES'!A:A)</f>
        <v>Martin Esteban Orellana Dominguez</v>
      </c>
      <c r="C2769" t="str">
        <f>+_xlfn.XLOOKUP(Tabla6[[#This Row],[ID CLIENTE]],'RESUMEN CLIENTES'!D:D,'RESUMEN CLIENTES'!C:C)</f>
        <v>Ecuador</v>
      </c>
      <c r="D2769" s="44" t="str">
        <f>+_xlfn.XLOOKUP(Tabla6[[#This Row],[ID CLIENTE]],'RESUMEN CLIENTES'!D:D,'RESUMEN CLIENTES'!M:M)</f>
        <v>OK</v>
      </c>
      <c r="E2769" s="72">
        <f>+_xlfn.XLOOKUP(Tabla6[[#This Row],[NOMBRE]],'RESUMEN CLIENTES'!A:A,'RESUMEN CLIENTES'!X:X)</f>
        <v>-1.1428571428571428</v>
      </c>
      <c r="F2769" s="72">
        <f>+_xlfn.XLOOKUP(Tabla6[[#This Row],[ID CLIENTE]],'RESUMEN CLIENTES'!D:D,'RESUMEN CLIENTES'!W:W)</f>
        <v>1</v>
      </c>
      <c r="G2769" s="17">
        <f>IF($H2769&lt;&gt;"ALEM","",IFERROR(
  DATE(
    YEAR(EDATE(
      _xlfn.XLOOKUP($A2769,'RESUMEN CLIENTES'!$D:$D,'RESUMEN CLIENTES'!$Y:$Y,""),
      7 + COUNTIFS(
            $A$2:INDEX($A:$A,ROW()), $A2769,
            $H$2:INDEX($H:$H,ROW()), "ALEM"
          )
    )),
    MONTH(EDATE(
      _xlfn.XLOOKUP($A2769,'RESUMEN CLIENTES'!$D:$D,'RESUMEN CLIENTES'!$Y:$Y,""),
      7 + COUNTIFS(
            $A$2:INDEX($A:$A,ROW()), $A2769,
            $H$2:INDEX($H:$H,ROW()), "ALEM"
          )
    )),
    1
  ),
"SIN FECHA MIG"))</f>
        <v>46966</v>
      </c>
      <c r="H2769" s="44" t="s">
        <v>1876</v>
      </c>
      <c r="I2769" s="2">
        <v>1000</v>
      </c>
      <c r="J2769"/>
      <c r="K2769"/>
      <c r="L2769" s="44" t="str" cm="1">
        <f t="array" ref="L2769">+_xlfn.IFS(COUNTIF(INGRESOS!E:E,Tabla6[[#This Row],[ID FACTURA]])=1,"PAGADA",Tabla6[[#This Row],[ID FACTURA]]&lt;&gt;0,"EMITIDA",Tabla6[[#This Row],[ID FACTURA]]=0,"POR EMITIR")</f>
        <v>POR EMITIR</v>
      </c>
      <c r="M2769" s="55" t="str">
        <f>+IF(Tabla6[[#This Row],[ESTADO FACTURA]]="PAGADA",Tabla6[[#This Row],[FECHA]]-_xlfn.XLOOKUP(Tabla6[[#This Row],[N° FACTURA]],INGRESOS!F:F,INGRESOS!A:A),"-")</f>
        <v>-</v>
      </c>
      <c r="N2769" s="2"/>
      <c r="O2769" t="s">
        <v>2084</v>
      </c>
    </row>
    <row r="2770" spans="1:15">
      <c r="A2770" s="320" t="s">
        <v>1251</v>
      </c>
      <c r="B2770" t="str">
        <f>+_xlfn.XLOOKUP(Tabla6[[#This Row],[ID CLIENTE]],'RESUMEN CLIENTES'!D:D,'RESUMEN CLIENTES'!A:A)</f>
        <v>Erick Ernesto Angulo Campos</v>
      </c>
      <c r="C2770" t="str">
        <f>+_xlfn.XLOOKUP(Tabla6[[#This Row],[ID CLIENTE]],'RESUMEN CLIENTES'!D:D,'RESUMEN CLIENTES'!C:C)</f>
        <v>Chile</v>
      </c>
      <c r="D2770" s="44" t="str">
        <f>+_xlfn.XLOOKUP(Tabla6[[#This Row],[ID CLIENTE]],'RESUMEN CLIENTES'!D:D,'RESUMEN CLIENTES'!M:M)</f>
        <v>OK</v>
      </c>
      <c r="E2770" s="71">
        <f>+_xlfn.XLOOKUP(Tabla6[[#This Row],[NOMBRE]],'RESUMEN CLIENTES'!A:A,'RESUMEN CLIENTES'!X:X)</f>
        <v>-0.66666666666666663</v>
      </c>
      <c r="F2770" s="71">
        <f>+_xlfn.XLOOKUP(Tabla6[[#This Row],[ID CLIENTE]],'RESUMEN CLIENTES'!D:D,'RESUMEN CLIENTES'!W:W)</f>
        <v>0</v>
      </c>
      <c r="G2770" s="17">
        <f>IF($H2770&lt;&gt;"ALEM","",IFERROR(
  DATE(
    YEAR(EDATE(
      _xlfn.XLOOKUP($A2770,'RESUMEN CLIENTES'!$D:$D,'RESUMEN CLIENTES'!$Y:$Y,""),
      7 + COUNTIFS(
            $A$2:INDEX($A:$A,ROW()), $A2770,
            $H$2:INDEX($H:$H,ROW()), "ALEM"
          )
    )),
    MONTH(EDATE(
      _xlfn.XLOOKUP($A2770,'RESUMEN CLIENTES'!$D:$D,'RESUMEN CLIENTES'!$Y:$Y,""),
      7 + COUNTIFS(
            $A$2:INDEX($A:$A,ROW()), $A2770,
            $H$2:INDEX($H:$H,ROW()), "ALEM"
          )
    )),
    1
  ),
"SIN FECHA MIG"))</f>
        <v>46997</v>
      </c>
      <c r="H2770" s="44" t="s">
        <v>1876</v>
      </c>
      <c r="I2770" s="2">
        <v>800</v>
      </c>
      <c r="J2770"/>
      <c r="K2770"/>
      <c r="L2770" s="44" t="str" cm="1">
        <f t="array" ref="L2770">+_xlfn.IFS(COUNTIF(INGRESOS!E:E,Tabla6[[#This Row],[ID FACTURA]])=1,"PAGADA",Tabla6[[#This Row],[ID FACTURA]]&lt;&gt;0,"EMITIDA",Tabla6[[#This Row],[ID FACTURA]]=0,"POR EMITIR")</f>
        <v>POR EMITIR</v>
      </c>
      <c r="M2770" s="55" t="str">
        <f>+IF(Tabla6[[#This Row],[ESTADO FACTURA]]="PAGADA",Tabla6[[#This Row],[FECHA]]-_xlfn.XLOOKUP(Tabla6[[#This Row],[N° FACTURA]],INGRESOS!F:F,INGRESOS!A:A),"-")</f>
        <v>-</v>
      </c>
      <c r="N2770" s="2"/>
      <c r="O2770" t="s">
        <v>2084</v>
      </c>
    </row>
    <row r="2771" spans="1:15">
      <c r="A2771" s="320" t="s">
        <v>1743</v>
      </c>
      <c r="B2771" t="str">
        <f>+_xlfn.XLOOKUP(Tabla6[[#This Row],[ID CLIENTE]],'RESUMEN CLIENTES'!D:D,'RESUMEN CLIENTES'!A:A)</f>
        <v>Fernando Alberto Lagos Belmar</v>
      </c>
      <c r="C2771" t="str">
        <f>+_xlfn.XLOOKUP(Tabla6[[#This Row],[ID CLIENTE]],'RESUMEN CLIENTES'!D:D,'RESUMEN CLIENTES'!C:C)</f>
        <v>Chile</v>
      </c>
      <c r="D2771" s="169" t="str">
        <f>+_xlfn.XLOOKUP(Tabla6[[#This Row],[ID CLIENTE]],'RESUMEN CLIENTES'!D:D,'RESUMEN CLIENTES'!M:M)</f>
        <v>OK</v>
      </c>
      <c r="E2771" s="71">
        <f>+_xlfn.XLOOKUP(Tabla6[[#This Row],[NOMBRE]],'RESUMEN CLIENTES'!A:A,'RESUMEN CLIENTES'!X:X)</f>
        <v>0.25</v>
      </c>
      <c r="F2771" s="71">
        <f>+_xlfn.XLOOKUP(Tabla6[[#This Row],[ID CLIENTE]],'RESUMEN CLIENTES'!D:D,'RESUMEN CLIENTES'!W:W)</f>
        <v>1</v>
      </c>
      <c r="G2771" s="17">
        <f>IF($H2771&lt;&gt;"ALEM","",IFERROR(
  DATE(
    YEAR(EDATE(
      _xlfn.XLOOKUP($A2771,'RESUMEN CLIENTES'!$D:$D,'RESUMEN CLIENTES'!$Y:$Y,""),
      7 + COUNTIFS(
            $A$2:INDEX($A:$A,ROW()), $A2771,
            $H$2:INDEX($H:$H,ROW()), "ALEM"
          )
    )),
    MONTH(EDATE(
      _xlfn.XLOOKUP($A2771,'RESUMEN CLIENTES'!$D:$D,'RESUMEN CLIENTES'!$Y:$Y,""),
      7 + COUNTIFS(
            $A$2:INDEX($A:$A,ROW()), $A2771,
            $H$2:INDEX($H:$H,ROW()), "ALEM"
          )
    )),
    1
  ),
"SIN FECHA MIG"))</f>
        <v>46997</v>
      </c>
      <c r="H2771" s="169" t="s">
        <v>1876</v>
      </c>
      <c r="I2771" s="2">
        <v>800</v>
      </c>
      <c r="J2771"/>
      <c r="K2771"/>
      <c r="L2771" s="44" t="str" cm="1">
        <f t="array" ref="L2771">+_xlfn.IFS(COUNTIF(INGRESOS!E:E,Tabla6[[#This Row],[ID FACTURA]])=1,"PAGADA",Tabla6[[#This Row],[ID FACTURA]]&lt;&gt;0,"EMITIDA",Tabla6[[#This Row],[ID FACTURA]]=0,"POR EMITIR")</f>
        <v>POR EMITIR</v>
      </c>
      <c r="M2771" s="55" t="str">
        <f>+IF(Tabla6[[#This Row],[ESTADO FACTURA]]="PAGADA",Tabla6[[#This Row],[FECHA]]-_xlfn.XLOOKUP(Tabla6[[#This Row],[N° FACTURA]],INGRESOS!F:F,INGRESOS!A:A),"-")</f>
        <v>-</v>
      </c>
      <c r="O2771"/>
    </row>
    <row r="2772" spans="1:15">
      <c r="A2772" s="320" t="s">
        <v>2046</v>
      </c>
      <c r="B2772" t="str">
        <f>+_xlfn.XLOOKUP(Tabla6[[#This Row],[ID CLIENTE]],'RESUMEN CLIENTES'!D:D,'RESUMEN CLIENTES'!A:A)</f>
        <v>Jesica Daniela Paredes Mendoza</v>
      </c>
      <c r="C2772" t="str">
        <f>+_xlfn.XLOOKUP(Tabla6[[#This Row],[ID CLIENTE]],'RESUMEN CLIENTES'!D:D,'RESUMEN CLIENTES'!C:C)</f>
        <v>México</v>
      </c>
      <c r="D2772" s="169" t="str">
        <f>+_xlfn.XLOOKUP(Tabla6[[#This Row],[ID CLIENTE]],'RESUMEN CLIENTES'!D:D,'RESUMEN CLIENTES'!M:M)</f>
        <v>OK</v>
      </c>
      <c r="E2772" s="71">
        <f>+_xlfn.XLOOKUP(Tabla6[[#This Row],[NOMBRE]],'RESUMEN CLIENTES'!A:A,'RESUMEN CLIENTES'!X:X)</f>
        <v>-2.75</v>
      </c>
      <c r="F2772" s="71">
        <f>+_xlfn.XLOOKUP(Tabla6[[#This Row],[ID CLIENTE]],'RESUMEN CLIENTES'!D:D,'RESUMEN CLIENTES'!W:W)</f>
        <v>1</v>
      </c>
      <c r="G2772" s="17">
        <f>IF($H2772&lt;&gt;"ALEM","",IFERROR(
  DATE(
    YEAR(EDATE(
      _xlfn.XLOOKUP($A2772,'RESUMEN CLIENTES'!$D:$D,'RESUMEN CLIENTES'!$Y:$Y,""),
      7 + COUNTIFS(
            $A$2:INDEX($A:$A,ROW()), $A2772,
            $H$2:INDEX($H:$H,ROW()), "ALEM"
          )
    )),
    MONTH(EDATE(
      _xlfn.XLOOKUP($A2772,'RESUMEN CLIENTES'!$D:$D,'RESUMEN CLIENTES'!$Y:$Y,""),
      7 + COUNTIFS(
            $A$2:INDEX($A:$A,ROW()), $A2772,
            $H$2:INDEX($H:$H,ROW()), "ALEM"
          )
    )),
    1
  ),
"null"))</f>
        <v>46997</v>
      </c>
      <c r="H2772" s="169" t="s">
        <v>1876</v>
      </c>
      <c r="I2772" s="2">
        <v>1000</v>
      </c>
      <c r="J2772"/>
      <c r="K2772"/>
      <c r="L2772" s="44" t="str" cm="1">
        <f t="array" ref="L2772">+_xlfn.IFS(COUNTIF(INGRESOS!E:E,Tabla6[[#This Row],[ID FACTURA]])=1,"PAGADA",Tabla6[[#This Row],[ID FACTURA]]&lt;&gt;0,"EMITIDA",Tabla6[[#This Row],[ID FACTURA]]=0,"POR EMITIR")</f>
        <v>POR EMITIR</v>
      </c>
      <c r="M2772" s="54" t="str">
        <f>+IF(Tabla6[[#This Row],[ESTADO FACTURA]]="PAGADA",Tabla6[[#This Row],[FECHA]]-_xlfn.XLOOKUP(Tabla6[[#This Row],[N° FACTURA]],INGRESOS!F:F,INGRESOS!A:A),"-")</f>
        <v>-</v>
      </c>
      <c r="O2772"/>
    </row>
    <row r="2773" spans="1:15">
      <c r="A2773" s="320" t="s">
        <v>1482</v>
      </c>
      <c r="B2773" t="str">
        <f>+_xlfn.XLOOKUP(Tabla6[[#This Row],[ID CLIENTE]],'RESUMEN CLIENTES'!D:D,'RESUMEN CLIENTES'!A:A)</f>
        <v>Laxmi Davi Patel Flores</v>
      </c>
      <c r="C2773" t="str">
        <f>+_xlfn.XLOOKUP(Tabla6[[#This Row],[ID CLIENTE]],'RESUMEN CLIENTES'!D:D,'RESUMEN CLIENTES'!C:C)</f>
        <v>Ecuador</v>
      </c>
      <c r="D2773" s="44" t="str">
        <f>+_xlfn.XLOOKUP(Tabla6[[#This Row],[ID CLIENTE]],'RESUMEN CLIENTES'!D:D,'RESUMEN CLIENTES'!M:M)</f>
        <v>OK</v>
      </c>
      <c r="E2773" s="71">
        <f>+_xlfn.XLOOKUP(Tabla6[[#This Row],[NOMBRE]],'RESUMEN CLIENTES'!A:A,'RESUMEN CLIENTES'!X:X)</f>
        <v>-1.5714285714285714</v>
      </c>
      <c r="F2773" s="71">
        <f>+_xlfn.XLOOKUP(Tabla6[[#This Row],[ID CLIENTE]],'RESUMEN CLIENTES'!D:D,'RESUMEN CLIENTES'!W:W)</f>
        <v>0</v>
      </c>
      <c r="G2773" s="17">
        <f>IF($H2773&lt;&gt;"ALEM","",IFERROR(
  DATE(
    YEAR(EDATE(
      _xlfn.XLOOKUP($A2773,'RESUMEN CLIENTES'!$D:$D,'RESUMEN CLIENTES'!$Y:$Y,""),
      7 + COUNTIFS(
            $A$2:INDEX($A:$A,ROW()), $A2773,
            $H$2:INDEX($H:$H,ROW()), "ALEM"
          )
    )),
    MONTH(EDATE(
      _xlfn.XLOOKUP($A2773,'RESUMEN CLIENTES'!$D:$D,'RESUMEN CLIENTES'!$Y:$Y,""),
      7 + COUNTIFS(
            $A$2:INDEX($A:$A,ROW()), $A2773,
            $H$2:INDEX($H:$H,ROW()), "ALEM"
          )
    )),
    1
  ),
"SIN FECHA MIG"))</f>
        <v>46997</v>
      </c>
      <c r="H2773" s="169" t="s">
        <v>1876</v>
      </c>
      <c r="I2773" s="2">
        <v>800</v>
      </c>
      <c r="J2773"/>
      <c r="K2773"/>
      <c r="L2773" s="44" t="str" cm="1">
        <f t="array" ref="L2773">+_xlfn.IFS(COUNTIF(INGRESOS!E:E,Tabla6[[#This Row],[ID FACTURA]])=1,"PAGADA",Tabla6[[#This Row],[ID FACTURA]]&lt;&gt;0,"EMITIDA",Tabla6[[#This Row],[ID FACTURA]]=0,"POR EMITIR")</f>
        <v>POR EMITIR</v>
      </c>
      <c r="M2773" s="55" t="str">
        <f>+IF(Tabla6[[#This Row],[ESTADO FACTURA]]="PAGADA",Tabla6[[#This Row],[FECHA]]-_xlfn.XLOOKUP(Tabla6[[#This Row],[N° FACTURA]],INGRESOS!F:F,INGRESOS!A:A),"-")</f>
        <v>-</v>
      </c>
      <c r="N2773" s="2"/>
      <c r="O2773" t="s">
        <v>2092</v>
      </c>
    </row>
    <row r="2774" spans="1:15">
      <c r="A2774" s="320" t="s">
        <v>744</v>
      </c>
      <c r="B2774" t="str">
        <f>+_xlfn.XLOOKUP(Tabla6[[#This Row],[ID CLIENTE]],'RESUMEN CLIENTES'!D:D,'RESUMEN CLIENTES'!A:A)</f>
        <v>Martin Esteban Orellana Dominguez</v>
      </c>
      <c r="C2774" t="str">
        <f>+_xlfn.XLOOKUP(Tabla6[[#This Row],[ID CLIENTE]],'RESUMEN CLIENTES'!D:D,'RESUMEN CLIENTES'!C:C)</f>
        <v>Ecuador</v>
      </c>
      <c r="D2774" s="44" t="str">
        <f>+_xlfn.XLOOKUP(Tabla6[[#This Row],[ID CLIENTE]],'RESUMEN CLIENTES'!D:D,'RESUMEN CLIENTES'!M:M)</f>
        <v>OK</v>
      </c>
      <c r="E2774" s="72">
        <f>+_xlfn.XLOOKUP(Tabla6[[#This Row],[NOMBRE]],'RESUMEN CLIENTES'!A:A,'RESUMEN CLIENTES'!X:X)</f>
        <v>-1.1428571428571428</v>
      </c>
      <c r="F2774" s="72">
        <f>+_xlfn.XLOOKUP(Tabla6[[#This Row],[ID CLIENTE]],'RESUMEN CLIENTES'!D:D,'RESUMEN CLIENTES'!W:W)</f>
        <v>1</v>
      </c>
      <c r="G2774" s="17">
        <f>IF($H2774&lt;&gt;"ALEM","",IFERROR(
  DATE(
    YEAR(EDATE(
      _xlfn.XLOOKUP($A2774,'RESUMEN CLIENTES'!$D:$D,'RESUMEN CLIENTES'!$Y:$Y,""),
      7 + COUNTIFS(
            $A$2:INDEX($A:$A,ROW()), $A2774,
            $H$2:INDEX($H:$H,ROW()), "ALEM"
          )
    )),
    MONTH(EDATE(
      _xlfn.XLOOKUP($A2774,'RESUMEN CLIENTES'!$D:$D,'RESUMEN CLIENTES'!$Y:$Y,""),
      7 + COUNTIFS(
            $A$2:INDEX($A:$A,ROW()), $A2774,
            $H$2:INDEX($H:$H,ROW()), "ALEM"
          )
    )),
    1
  ),
"SIN FECHA MIG"))</f>
        <v>46997</v>
      </c>
      <c r="H2774" s="44" t="s">
        <v>1876</v>
      </c>
      <c r="I2774" s="2">
        <v>1000</v>
      </c>
      <c r="J2774"/>
      <c r="K2774"/>
      <c r="L2774" s="44" t="str" cm="1">
        <f t="array" ref="L2774">+_xlfn.IFS(COUNTIF(INGRESOS!E:E,Tabla6[[#This Row],[ID FACTURA]])=1,"PAGADA",Tabla6[[#This Row],[ID FACTURA]]&lt;&gt;0,"EMITIDA",Tabla6[[#This Row],[ID FACTURA]]=0,"POR EMITIR")</f>
        <v>POR EMITIR</v>
      </c>
      <c r="M2774" s="55" t="str">
        <f>+IF(Tabla6[[#This Row],[ESTADO FACTURA]]="PAGADA",Tabla6[[#This Row],[FECHA]]-_xlfn.XLOOKUP(Tabla6[[#This Row],[N° FACTURA]],INGRESOS!F:F,INGRESOS!A:A),"-")</f>
        <v>-</v>
      </c>
      <c r="N2774" s="2"/>
      <c r="O2774" t="s">
        <v>2084</v>
      </c>
    </row>
    <row r="2775" spans="1:15">
      <c r="A2775" s="321" t="s">
        <v>1756</v>
      </c>
      <c r="B2775" t="str">
        <f>+_xlfn.XLOOKUP(Tabla6[[#This Row],[ID CLIENTE]],'RESUMEN CLIENTES'!D:D,'RESUMEN CLIENTES'!A:A)</f>
        <v>Aylin Micaela Ortiz Chiriboga</v>
      </c>
      <c r="C2775" t="str">
        <f>+_xlfn.XLOOKUP(Tabla6[[#This Row],[ID CLIENTE]],'RESUMEN CLIENTES'!D:D,'RESUMEN CLIENTES'!C:C)</f>
        <v>Ecuador</v>
      </c>
      <c r="D2775" s="169" t="str">
        <f>+_xlfn.XLOOKUP(Tabla6[[#This Row],[ID CLIENTE]],'RESUMEN CLIENTES'!D:D,'RESUMEN CLIENTES'!M:M)</f>
        <v>¡REGULARIZAR!</v>
      </c>
      <c r="E2775" s="71">
        <f>+_xlfn.XLOOKUP(Tabla6[[#This Row],[NOMBRE]],'RESUMEN CLIENTES'!A:A,'RESUMEN CLIENTES'!X:X)</f>
        <v>0</v>
      </c>
      <c r="F2775" s="71">
        <f>+_xlfn.XLOOKUP(Tabla6[[#This Row],[ID CLIENTE]],'RESUMEN CLIENTES'!D:D,'RESUMEN CLIENTES'!W:W)</f>
        <v>1</v>
      </c>
      <c r="G2775" s="17">
        <f>IF($H2775&lt;&gt;"ALEM","",IFERROR(
  DATE(
    YEAR(EDATE(
      _xlfn.XLOOKUP($A2775,'RESUMEN CLIENTES'!$D:$D,'RESUMEN CLIENTES'!$Y:$Y,""),
      7 + COUNTIFS(
            $A$2:INDEX($A:$A,ROW()), $A2775,
            $H$2:INDEX($H:$H,ROW()), "ALEM"
          )
    )),
    MONTH(EDATE(
      _xlfn.XLOOKUP($A2775,'RESUMEN CLIENTES'!$D:$D,'RESUMEN CLIENTES'!$Y:$Y,""),
      7 + COUNTIFS(
            $A$2:INDEX($A:$A,ROW()), $A2775,
            $H$2:INDEX($H:$H,ROW()), "ALEM"
          )
    )),
    1
  ),
"SIN FECHA MIG"))</f>
        <v>47027</v>
      </c>
      <c r="H2775" s="169" t="s">
        <v>1876</v>
      </c>
      <c r="I2775" s="2">
        <v>800</v>
      </c>
      <c r="J2775"/>
      <c r="K2775"/>
      <c r="L2775" s="44" t="str" cm="1">
        <f t="array" ref="L2775">+_xlfn.IFS(COUNTIF(INGRESOS!E:E,Tabla6[[#This Row],[ID FACTURA]])=1,"PAGADA",Tabla6[[#This Row],[ID FACTURA]]&lt;&gt;0,"EMITIDA",Tabla6[[#This Row],[ID FACTURA]]=0,"POR EMITIR")</f>
        <v>POR EMITIR</v>
      </c>
      <c r="M2775" s="54" t="str">
        <f>+IF(Tabla6[[#This Row],[ESTADO FACTURA]]="PAGADA",Tabla6[[#This Row],[FECHA]]-_xlfn.XLOOKUP(Tabla6[[#This Row],[N° FACTURA]],INGRESOS!F:F,INGRESOS!A:A),"-")</f>
        <v>-</v>
      </c>
      <c r="O2775"/>
    </row>
    <row r="2776" spans="1:15">
      <c r="A2776" s="320" t="s">
        <v>1743</v>
      </c>
      <c r="B2776" t="str">
        <f>+_xlfn.XLOOKUP(Tabla6[[#This Row],[ID CLIENTE]],'RESUMEN CLIENTES'!D:D,'RESUMEN CLIENTES'!A:A)</f>
        <v>Fernando Alberto Lagos Belmar</v>
      </c>
      <c r="C2776" t="str">
        <f>+_xlfn.XLOOKUP(Tabla6[[#This Row],[ID CLIENTE]],'RESUMEN CLIENTES'!D:D,'RESUMEN CLIENTES'!C:C)</f>
        <v>Chile</v>
      </c>
      <c r="D2776" s="169" t="str">
        <f>+_xlfn.XLOOKUP(Tabla6[[#This Row],[ID CLIENTE]],'RESUMEN CLIENTES'!D:D,'RESUMEN CLIENTES'!M:M)</f>
        <v>OK</v>
      </c>
      <c r="E2776" s="71">
        <f>+_xlfn.XLOOKUP(Tabla6[[#This Row],[NOMBRE]],'RESUMEN CLIENTES'!A:A,'RESUMEN CLIENTES'!X:X)</f>
        <v>0.25</v>
      </c>
      <c r="F2776" s="71">
        <f>+_xlfn.XLOOKUP(Tabla6[[#This Row],[ID CLIENTE]],'RESUMEN CLIENTES'!D:D,'RESUMEN CLIENTES'!W:W)</f>
        <v>1</v>
      </c>
      <c r="G2776" s="17">
        <f>IF($H2776&lt;&gt;"ALEM","",IFERROR(
  DATE(
    YEAR(EDATE(
      _xlfn.XLOOKUP($A2776,'RESUMEN CLIENTES'!$D:$D,'RESUMEN CLIENTES'!$Y:$Y,""),
      7 + COUNTIFS(
            $A$2:INDEX($A:$A,ROW()), $A2776,
            $H$2:INDEX($H:$H,ROW()), "ALEM"
          )
    )),
    MONTH(EDATE(
      _xlfn.XLOOKUP($A2776,'RESUMEN CLIENTES'!$D:$D,'RESUMEN CLIENTES'!$Y:$Y,""),
      7 + COUNTIFS(
            $A$2:INDEX($A:$A,ROW()), $A2776,
            $H$2:INDEX($H:$H,ROW()), "ALEM"
          )
    )),
    1
  ),
"SIN FECHA MIG"))</f>
        <v>47027</v>
      </c>
      <c r="H2776" s="169" t="s">
        <v>1876</v>
      </c>
      <c r="I2776" s="2">
        <v>800</v>
      </c>
      <c r="J2776"/>
      <c r="K2776"/>
      <c r="L2776" s="44" t="str" cm="1">
        <f t="array" ref="L2776">+_xlfn.IFS(COUNTIF(INGRESOS!E:E,Tabla6[[#This Row],[ID FACTURA]])=1,"PAGADA",Tabla6[[#This Row],[ID FACTURA]]&lt;&gt;0,"EMITIDA",Tabla6[[#This Row],[ID FACTURA]]=0,"POR EMITIR")</f>
        <v>POR EMITIR</v>
      </c>
      <c r="M2776" s="55" t="str">
        <f>+IF(Tabla6[[#This Row],[ESTADO FACTURA]]="PAGADA",Tabla6[[#This Row],[FECHA]]-_xlfn.XLOOKUP(Tabla6[[#This Row],[N° FACTURA]],INGRESOS!F:F,INGRESOS!A:A),"-")</f>
        <v>-</v>
      </c>
      <c r="O2776"/>
    </row>
    <row r="2777" spans="1:15">
      <c r="A2777" s="320" t="s">
        <v>2046</v>
      </c>
      <c r="B2777" t="str">
        <f>+_xlfn.XLOOKUP(Tabla6[[#This Row],[ID CLIENTE]],'RESUMEN CLIENTES'!D:D,'RESUMEN CLIENTES'!A:A)</f>
        <v>Jesica Daniela Paredes Mendoza</v>
      </c>
      <c r="C2777" t="str">
        <f>+_xlfn.XLOOKUP(Tabla6[[#This Row],[ID CLIENTE]],'RESUMEN CLIENTES'!D:D,'RESUMEN CLIENTES'!C:C)</f>
        <v>México</v>
      </c>
      <c r="D2777" s="169" t="str">
        <f>+_xlfn.XLOOKUP(Tabla6[[#This Row],[ID CLIENTE]],'RESUMEN CLIENTES'!D:D,'RESUMEN CLIENTES'!M:M)</f>
        <v>OK</v>
      </c>
      <c r="E2777" s="71">
        <f>+_xlfn.XLOOKUP(Tabla6[[#This Row],[NOMBRE]],'RESUMEN CLIENTES'!A:A,'RESUMEN CLIENTES'!X:X)</f>
        <v>-2.75</v>
      </c>
      <c r="F2777" s="71">
        <f>+_xlfn.XLOOKUP(Tabla6[[#This Row],[ID CLIENTE]],'RESUMEN CLIENTES'!D:D,'RESUMEN CLIENTES'!W:W)</f>
        <v>1</v>
      </c>
      <c r="G2777" s="17">
        <f>IF($H2777&lt;&gt;"ALEM","",IFERROR(
  DATE(
    YEAR(EDATE(
      _xlfn.XLOOKUP($A2777,'RESUMEN CLIENTES'!$D:$D,'RESUMEN CLIENTES'!$Y:$Y,""),
      7 + COUNTIFS(
            $A$2:INDEX($A:$A,ROW()), $A2777,
            $H$2:INDEX($H:$H,ROW()), "ALEM"
          )
    )),
    MONTH(EDATE(
      _xlfn.XLOOKUP($A2777,'RESUMEN CLIENTES'!$D:$D,'RESUMEN CLIENTES'!$Y:$Y,""),
      7 + COUNTIFS(
            $A$2:INDEX($A:$A,ROW()), $A2777,
            $H$2:INDEX($H:$H,ROW()), "ALEM"
          )
    )),
    1
  ),
"null"))</f>
        <v>47027</v>
      </c>
      <c r="H2777" s="169" t="s">
        <v>1876</v>
      </c>
      <c r="I2777" s="2">
        <v>1000</v>
      </c>
      <c r="J2777"/>
      <c r="K2777"/>
      <c r="L2777" s="44" t="str" cm="1">
        <f t="array" ref="L2777">+_xlfn.IFS(COUNTIF(INGRESOS!E:E,Tabla6[[#This Row],[ID FACTURA]])=1,"PAGADA",Tabla6[[#This Row],[ID FACTURA]]&lt;&gt;0,"EMITIDA",Tabla6[[#This Row],[ID FACTURA]]=0,"POR EMITIR")</f>
        <v>POR EMITIR</v>
      </c>
      <c r="M2777" s="54" t="str">
        <f>+IF(Tabla6[[#This Row],[ESTADO FACTURA]]="PAGADA",Tabla6[[#This Row],[FECHA]]-_xlfn.XLOOKUP(Tabla6[[#This Row],[N° FACTURA]],INGRESOS!F:F,INGRESOS!A:A),"-")</f>
        <v>-</v>
      </c>
      <c r="O2777"/>
    </row>
    <row r="2778" spans="1:15">
      <c r="A2778" s="320" t="s">
        <v>1416</v>
      </c>
      <c r="B2778" t="str">
        <f>+_xlfn.XLOOKUP(Tabla6[[#This Row],[ID CLIENTE]],'RESUMEN CLIENTES'!D:D,'RESUMEN CLIENTES'!A:A)</f>
        <v>Luis Armando Calderon Manzanera</v>
      </c>
      <c r="C2778" t="str">
        <f>+_xlfn.XLOOKUP(Tabla6[[#This Row],[ID CLIENTE]],'RESUMEN CLIENTES'!D:D,'RESUMEN CLIENTES'!C:C)</f>
        <v>México</v>
      </c>
      <c r="D2778" s="44" t="str">
        <f>+_xlfn.XLOOKUP(Tabla6[[#This Row],[ID CLIENTE]],'RESUMEN CLIENTES'!D:D,'RESUMEN CLIENTES'!M:M)</f>
        <v>OK</v>
      </c>
      <c r="E2778" s="71">
        <f>+_xlfn.XLOOKUP(Tabla6[[#This Row],[NOMBRE]],'RESUMEN CLIENTES'!A:A,'RESUMEN CLIENTES'!X:X)</f>
        <v>2</v>
      </c>
      <c r="F2778" s="71">
        <f>+_xlfn.XLOOKUP(Tabla6[[#This Row],[ID CLIENTE]],'RESUMEN CLIENTES'!D:D,'RESUMEN CLIENTES'!W:W)</f>
        <v>1</v>
      </c>
      <c r="G2778" s="17">
        <f>IF($H2778&lt;&gt;"ALEM","",IFERROR(
  DATE(
    YEAR(EDATE(
      _xlfn.XLOOKUP($A2778,'RESUMEN CLIENTES'!$D:$D,'RESUMEN CLIENTES'!$Y:$Y,""),
      7 + COUNTIFS(
            $A$2:INDEX($A:$A,ROW()), $A2778,
            $H$2:INDEX($H:$H,ROW()), "ALEM"
          )
    )),
    MONTH(EDATE(
      _xlfn.XLOOKUP($A2778,'RESUMEN CLIENTES'!$D:$D,'RESUMEN CLIENTES'!$Y:$Y,""),
      7 + COUNTIFS(
            $A$2:INDEX($A:$A,ROW()), $A2778,
            $H$2:INDEX($H:$H,ROW()), "ALEM"
          )
    )),
    1
  ),
"SIN FECHA MIG"))</f>
        <v>47027</v>
      </c>
      <c r="H2778" s="44" t="s">
        <v>1876</v>
      </c>
      <c r="I2778" s="2">
        <v>800</v>
      </c>
      <c r="J2778"/>
      <c r="K2778"/>
      <c r="L2778" s="44" t="str" cm="1">
        <f t="array" ref="L2778">+_xlfn.IFS(COUNTIF(INGRESOS!E:E,Tabla6[[#This Row],[ID FACTURA]])=1,"PAGADA",Tabla6[[#This Row],[ID FACTURA]]&lt;&gt;0,"EMITIDA",Tabla6[[#This Row],[ID FACTURA]]=0,"POR EMITIR")</f>
        <v>POR EMITIR</v>
      </c>
      <c r="M2778" s="55" t="str">
        <f>+IF(Tabla6[[#This Row],[ESTADO FACTURA]]="PAGADA",Tabla6[[#This Row],[FECHA]]-_xlfn.XLOOKUP(Tabla6[[#This Row],[N° FACTURA]],INGRESOS!F:F,INGRESOS!A:A),"-")</f>
        <v>-</v>
      </c>
      <c r="N2778" s="2"/>
      <c r="O2778"/>
    </row>
    <row r="2779" spans="1:15">
      <c r="A2779" s="320" t="s">
        <v>744</v>
      </c>
      <c r="B2779" t="str">
        <f>+_xlfn.XLOOKUP(Tabla6[[#This Row],[ID CLIENTE]],'RESUMEN CLIENTES'!D:D,'RESUMEN CLIENTES'!A:A)</f>
        <v>Martin Esteban Orellana Dominguez</v>
      </c>
      <c r="C2779" t="str">
        <f>+_xlfn.XLOOKUP(Tabla6[[#This Row],[ID CLIENTE]],'RESUMEN CLIENTES'!D:D,'RESUMEN CLIENTES'!C:C)</f>
        <v>Ecuador</v>
      </c>
      <c r="D2779" s="44" t="str">
        <f>+_xlfn.XLOOKUP(Tabla6[[#This Row],[ID CLIENTE]],'RESUMEN CLIENTES'!D:D,'RESUMEN CLIENTES'!M:M)</f>
        <v>OK</v>
      </c>
      <c r="E2779" s="72">
        <f>+_xlfn.XLOOKUP(Tabla6[[#This Row],[NOMBRE]],'RESUMEN CLIENTES'!A:A,'RESUMEN CLIENTES'!X:X)</f>
        <v>-1.1428571428571428</v>
      </c>
      <c r="F2779" s="72">
        <f>+_xlfn.XLOOKUP(Tabla6[[#This Row],[ID CLIENTE]],'RESUMEN CLIENTES'!D:D,'RESUMEN CLIENTES'!W:W)</f>
        <v>1</v>
      </c>
      <c r="G2779" s="17">
        <f>IF($H2779&lt;&gt;"ALEM","",IFERROR(
  DATE(
    YEAR(EDATE(
      _xlfn.XLOOKUP($A2779,'RESUMEN CLIENTES'!$D:$D,'RESUMEN CLIENTES'!$Y:$Y,""),
      7 + COUNTIFS(
            $A$2:INDEX($A:$A,ROW()), $A2779,
            $H$2:INDEX($H:$H,ROW()), "ALEM"
          )
    )),
    MONTH(EDATE(
      _xlfn.XLOOKUP($A2779,'RESUMEN CLIENTES'!$D:$D,'RESUMEN CLIENTES'!$Y:$Y,""),
      7 + COUNTIFS(
            $A$2:INDEX($A:$A,ROW()), $A2779,
            $H$2:INDEX($H:$H,ROW()), "ALEM"
          )
    )),
    1
  ),
"SIN FECHA MIG"))</f>
        <v>47027</v>
      </c>
      <c r="H2779" s="44" t="s">
        <v>1876</v>
      </c>
      <c r="I2779" s="2">
        <v>1000</v>
      </c>
      <c r="J2779"/>
      <c r="K2779"/>
      <c r="L2779" s="44" t="str" cm="1">
        <f t="array" ref="L2779">+_xlfn.IFS(COUNTIF(INGRESOS!E:E,Tabla6[[#This Row],[ID FACTURA]])=1,"PAGADA",Tabla6[[#This Row],[ID FACTURA]]&lt;&gt;0,"EMITIDA",Tabla6[[#This Row],[ID FACTURA]]=0,"POR EMITIR")</f>
        <v>POR EMITIR</v>
      </c>
      <c r="M2779" s="55" t="str">
        <f>+IF(Tabla6[[#This Row],[ESTADO FACTURA]]="PAGADA",Tabla6[[#This Row],[FECHA]]-_xlfn.XLOOKUP(Tabla6[[#This Row],[N° FACTURA]],INGRESOS!F:F,INGRESOS!A:A),"-")</f>
        <v>-</v>
      </c>
      <c r="N2779" s="2"/>
      <c r="O2779" t="s">
        <v>2084</v>
      </c>
    </row>
    <row r="2780" spans="1:15">
      <c r="A2780" s="321" t="s">
        <v>1756</v>
      </c>
      <c r="B2780" t="str">
        <f>+_xlfn.XLOOKUP(Tabla6[[#This Row],[ID CLIENTE]],'RESUMEN CLIENTES'!D:D,'RESUMEN CLIENTES'!A:A)</f>
        <v>Aylin Micaela Ortiz Chiriboga</v>
      </c>
      <c r="C2780" t="str">
        <f>+_xlfn.XLOOKUP(Tabla6[[#This Row],[ID CLIENTE]],'RESUMEN CLIENTES'!D:D,'RESUMEN CLIENTES'!C:C)</f>
        <v>Ecuador</v>
      </c>
      <c r="D2780" s="169" t="str">
        <f>+_xlfn.XLOOKUP(Tabla6[[#This Row],[ID CLIENTE]],'RESUMEN CLIENTES'!D:D,'RESUMEN CLIENTES'!M:M)</f>
        <v>¡REGULARIZAR!</v>
      </c>
      <c r="E2780" s="71">
        <f>+_xlfn.XLOOKUP(Tabla6[[#This Row],[NOMBRE]],'RESUMEN CLIENTES'!A:A,'RESUMEN CLIENTES'!X:X)</f>
        <v>0</v>
      </c>
      <c r="F2780" s="71">
        <f>+_xlfn.XLOOKUP(Tabla6[[#This Row],[ID CLIENTE]],'RESUMEN CLIENTES'!D:D,'RESUMEN CLIENTES'!W:W)</f>
        <v>1</v>
      </c>
      <c r="G2780" s="17">
        <f>IF($H2780&lt;&gt;"ALEM","",IFERROR(
  DATE(
    YEAR(EDATE(
      _xlfn.XLOOKUP($A2780,'RESUMEN CLIENTES'!$D:$D,'RESUMEN CLIENTES'!$Y:$Y,""),
      7 + COUNTIFS(
            $A$2:INDEX($A:$A,ROW()), $A2780,
            $H$2:INDEX($H:$H,ROW()), "ALEM"
          )
    )),
    MONTH(EDATE(
      _xlfn.XLOOKUP($A2780,'RESUMEN CLIENTES'!$D:$D,'RESUMEN CLIENTES'!$Y:$Y,""),
      7 + COUNTIFS(
            $A$2:INDEX($A:$A,ROW()), $A2780,
            $H$2:INDEX($H:$H,ROW()), "ALEM"
          )
    )),
    1
  ),
"SIN FECHA MIG"))</f>
        <v>47058</v>
      </c>
      <c r="H2780" s="169" t="s">
        <v>1876</v>
      </c>
      <c r="I2780" s="2">
        <v>800</v>
      </c>
      <c r="J2780"/>
      <c r="K2780"/>
      <c r="L2780" s="44" t="str" cm="1">
        <f t="array" ref="L2780">+_xlfn.IFS(COUNTIF(INGRESOS!E:E,Tabla6[[#This Row],[ID FACTURA]])=1,"PAGADA",Tabla6[[#This Row],[ID FACTURA]]&lt;&gt;0,"EMITIDA",Tabla6[[#This Row],[ID FACTURA]]=0,"POR EMITIR")</f>
        <v>POR EMITIR</v>
      </c>
      <c r="M2780" s="54" t="str">
        <f>+IF(Tabla6[[#This Row],[ESTADO FACTURA]]="PAGADA",Tabla6[[#This Row],[FECHA]]-_xlfn.XLOOKUP(Tabla6[[#This Row],[N° FACTURA]],INGRESOS!F:F,INGRESOS!A:A),"-")</f>
        <v>-</v>
      </c>
      <c r="O2780"/>
    </row>
    <row r="2781" spans="1:15">
      <c r="A2781" s="320" t="s">
        <v>1743</v>
      </c>
      <c r="B2781" t="str">
        <f>+_xlfn.XLOOKUP(Tabla6[[#This Row],[ID CLIENTE]],'RESUMEN CLIENTES'!D:D,'RESUMEN CLIENTES'!A:A)</f>
        <v>Fernando Alberto Lagos Belmar</v>
      </c>
      <c r="C2781" t="str">
        <f>+_xlfn.XLOOKUP(Tabla6[[#This Row],[ID CLIENTE]],'RESUMEN CLIENTES'!D:D,'RESUMEN CLIENTES'!C:C)</f>
        <v>Chile</v>
      </c>
      <c r="D2781" s="169" t="str">
        <f>+_xlfn.XLOOKUP(Tabla6[[#This Row],[ID CLIENTE]],'RESUMEN CLIENTES'!D:D,'RESUMEN CLIENTES'!M:M)</f>
        <v>OK</v>
      </c>
      <c r="E2781" s="71">
        <f>+_xlfn.XLOOKUP(Tabla6[[#This Row],[NOMBRE]],'RESUMEN CLIENTES'!A:A,'RESUMEN CLIENTES'!X:X)</f>
        <v>0.25</v>
      </c>
      <c r="F2781" s="71">
        <f>+_xlfn.XLOOKUP(Tabla6[[#This Row],[ID CLIENTE]],'RESUMEN CLIENTES'!D:D,'RESUMEN CLIENTES'!W:W)</f>
        <v>1</v>
      </c>
      <c r="G2781" s="17">
        <f>IF($H2781&lt;&gt;"ALEM","",IFERROR(
  DATE(
    YEAR(EDATE(
      _xlfn.XLOOKUP($A2781,'RESUMEN CLIENTES'!$D:$D,'RESUMEN CLIENTES'!$Y:$Y,""),
      7 + COUNTIFS(
            $A$2:INDEX($A:$A,ROW()), $A2781,
            $H$2:INDEX($H:$H,ROW()), "ALEM"
          )
    )),
    MONTH(EDATE(
      _xlfn.XLOOKUP($A2781,'RESUMEN CLIENTES'!$D:$D,'RESUMEN CLIENTES'!$Y:$Y,""),
      7 + COUNTIFS(
            $A$2:INDEX($A:$A,ROW()), $A2781,
            $H$2:INDEX($H:$H,ROW()), "ALEM"
          )
    )),
    1
  ),
"SIN FECHA MIG"))</f>
        <v>47058</v>
      </c>
      <c r="H2781" s="169" t="s">
        <v>1876</v>
      </c>
      <c r="I2781" s="2">
        <v>800</v>
      </c>
      <c r="J2781"/>
      <c r="K2781"/>
      <c r="L2781" s="44" t="str" cm="1">
        <f t="array" ref="L2781">+_xlfn.IFS(COUNTIF(INGRESOS!E:E,Tabla6[[#This Row],[ID FACTURA]])=1,"PAGADA",Tabla6[[#This Row],[ID FACTURA]]&lt;&gt;0,"EMITIDA",Tabla6[[#This Row],[ID FACTURA]]=0,"POR EMITIR")</f>
        <v>POR EMITIR</v>
      </c>
      <c r="M2781" s="55" t="str">
        <f>+IF(Tabla6[[#This Row],[ESTADO FACTURA]]="PAGADA",Tabla6[[#This Row],[FECHA]]-_xlfn.XLOOKUP(Tabla6[[#This Row],[N° FACTURA]],INGRESOS!F:F,INGRESOS!A:A),"-")</f>
        <v>-</v>
      </c>
      <c r="O2781"/>
    </row>
    <row r="2782" spans="1:15">
      <c r="A2782" s="320" t="s">
        <v>2046</v>
      </c>
      <c r="B2782" t="str">
        <f>+_xlfn.XLOOKUP(Tabla6[[#This Row],[ID CLIENTE]],'RESUMEN CLIENTES'!D:D,'RESUMEN CLIENTES'!A:A)</f>
        <v>Jesica Daniela Paredes Mendoza</v>
      </c>
      <c r="C2782" t="str">
        <f>+_xlfn.XLOOKUP(Tabla6[[#This Row],[ID CLIENTE]],'RESUMEN CLIENTES'!D:D,'RESUMEN CLIENTES'!C:C)</f>
        <v>México</v>
      </c>
      <c r="D2782" s="169" t="str">
        <f>+_xlfn.XLOOKUP(Tabla6[[#This Row],[ID CLIENTE]],'RESUMEN CLIENTES'!D:D,'RESUMEN CLIENTES'!M:M)</f>
        <v>OK</v>
      </c>
      <c r="E2782" s="71">
        <f>+_xlfn.XLOOKUP(Tabla6[[#This Row],[NOMBRE]],'RESUMEN CLIENTES'!A:A,'RESUMEN CLIENTES'!X:X)</f>
        <v>-2.75</v>
      </c>
      <c r="F2782" s="71">
        <f>+_xlfn.XLOOKUP(Tabla6[[#This Row],[ID CLIENTE]],'RESUMEN CLIENTES'!D:D,'RESUMEN CLIENTES'!W:W)</f>
        <v>1</v>
      </c>
      <c r="G2782" s="17">
        <f>IF($H2782&lt;&gt;"ALEM","",IFERROR(
  DATE(
    YEAR(EDATE(
      _xlfn.XLOOKUP($A2782,'RESUMEN CLIENTES'!$D:$D,'RESUMEN CLIENTES'!$Y:$Y,""),
      7 + COUNTIFS(
            $A$2:INDEX($A:$A,ROW()), $A2782,
            $H$2:INDEX($H:$H,ROW()), "ALEM"
          )
    )),
    MONTH(EDATE(
      _xlfn.XLOOKUP($A2782,'RESUMEN CLIENTES'!$D:$D,'RESUMEN CLIENTES'!$Y:$Y,""),
      7 + COUNTIFS(
            $A$2:INDEX($A:$A,ROW()), $A2782,
            $H$2:INDEX($H:$H,ROW()), "ALEM"
          )
    )),
    1
  ),
"null"))</f>
        <v>47058</v>
      </c>
      <c r="H2782" s="169" t="s">
        <v>1876</v>
      </c>
      <c r="I2782" s="2">
        <v>1000</v>
      </c>
      <c r="J2782"/>
      <c r="K2782"/>
      <c r="L2782" s="44" t="str" cm="1">
        <f t="array" ref="L2782">+_xlfn.IFS(COUNTIF(INGRESOS!E:E,Tabla6[[#This Row],[ID FACTURA]])=1,"PAGADA",Tabla6[[#This Row],[ID FACTURA]]&lt;&gt;0,"EMITIDA",Tabla6[[#This Row],[ID FACTURA]]=0,"POR EMITIR")</f>
        <v>POR EMITIR</v>
      </c>
      <c r="M2782" s="54" t="str">
        <f>+IF(Tabla6[[#This Row],[ESTADO FACTURA]]="PAGADA",Tabla6[[#This Row],[FECHA]]-_xlfn.XLOOKUP(Tabla6[[#This Row],[N° FACTURA]],INGRESOS!F:F,INGRESOS!A:A),"-")</f>
        <v>-</v>
      </c>
      <c r="O2782"/>
    </row>
    <row r="2783" spans="1:15">
      <c r="A2783" s="320" t="s">
        <v>1416</v>
      </c>
      <c r="B2783" t="str">
        <f>+_xlfn.XLOOKUP(Tabla6[[#This Row],[ID CLIENTE]],'RESUMEN CLIENTES'!D:D,'RESUMEN CLIENTES'!A:A)</f>
        <v>Luis Armando Calderon Manzanera</v>
      </c>
      <c r="C2783" t="str">
        <f>+_xlfn.XLOOKUP(Tabla6[[#This Row],[ID CLIENTE]],'RESUMEN CLIENTES'!D:D,'RESUMEN CLIENTES'!C:C)</f>
        <v>México</v>
      </c>
      <c r="D2783" s="44" t="str">
        <f>+_xlfn.XLOOKUP(Tabla6[[#This Row],[ID CLIENTE]],'RESUMEN CLIENTES'!D:D,'RESUMEN CLIENTES'!M:M)</f>
        <v>OK</v>
      </c>
      <c r="E2783" s="71">
        <f>+_xlfn.XLOOKUP(Tabla6[[#This Row],[NOMBRE]],'RESUMEN CLIENTES'!A:A,'RESUMEN CLIENTES'!X:X)</f>
        <v>2</v>
      </c>
      <c r="F2783" s="71">
        <f>+_xlfn.XLOOKUP(Tabla6[[#This Row],[ID CLIENTE]],'RESUMEN CLIENTES'!D:D,'RESUMEN CLIENTES'!W:W)</f>
        <v>1</v>
      </c>
      <c r="G2783" s="17">
        <f>IF($H2783&lt;&gt;"ALEM","",IFERROR(
  DATE(
    YEAR(EDATE(
      _xlfn.XLOOKUP($A2783,'RESUMEN CLIENTES'!$D:$D,'RESUMEN CLIENTES'!$Y:$Y,""),
      7 + COUNTIFS(
            $A$2:INDEX($A:$A,ROW()), $A2783,
            $H$2:INDEX($H:$H,ROW()), "ALEM"
          )
    )),
    MONTH(EDATE(
      _xlfn.XLOOKUP($A2783,'RESUMEN CLIENTES'!$D:$D,'RESUMEN CLIENTES'!$Y:$Y,""),
      7 + COUNTIFS(
            $A$2:INDEX($A:$A,ROW()), $A2783,
            $H$2:INDEX($H:$H,ROW()), "ALEM"
          )
    )),
    1
  ),
"SIN FECHA MIG"))</f>
        <v>47058</v>
      </c>
      <c r="H2783" s="44" t="s">
        <v>1876</v>
      </c>
      <c r="I2783" s="2">
        <v>800</v>
      </c>
      <c r="J2783"/>
      <c r="K2783"/>
      <c r="L2783" s="44" t="str" cm="1">
        <f t="array" ref="L2783">+_xlfn.IFS(COUNTIF(INGRESOS!E:E,Tabla6[[#This Row],[ID FACTURA]])=1,"PAGADA",Tabla6[[#This Row],[ID FACTURA]]&lt;&gt;0,"EMITIDA",Tabla6[[#This Row],[ID FACTURA]]=0,"POR EMITIR")</f>
        <v>POR EMITIR</v>
      </c>
      <c r="M2783" s="55" t="str">
        <f>+IF(Tabla6[[#This Row],[ESTADO FACTURA]]="PAGADA",Tabla6[[#This Row],[FECHA]]-_xlfn.XLOOKUP(Tabla6[[#This Row],[N° FACTURA]],INGRESOS!F:F,INGRESOS!A:A),"-")</f>
        <v>-</v>
      </c>
      <c r="N2783" s="2"/>
      <c r="O2783"/>
    </row>
    <row r="2784" spans="1:15">
      <c r="A2784" s="321" t="s">
        <v>1756</v>
      </c>
      <c r="B2784" t="str">
        <f>+_xlfn.XLOOKUP(Tabla6[[#This Row],[ID CLIENTE]],'RESUMEN CLIENTES'!D:D,'RESUMEN CLIENTES'!A:A)</f>
        <v>Aylin Micaela Ortiz Chiriboga</v>
      </c>
      <c r="C2784" t="str">
        <f>+_xlfn.XLOOKUP(Tabla6[[#This Row],[ID CLIENTE]],'RESUMEN CLIENTES'!D:D,'RESUMEN CLIENTES'!C:C)</f>
        <v>Ecuador</v>
      </c>
      <c r="D2784" s="169" t="str">
        <f>+_xlfn.XLOOKUP(Tabla6[[#This Row],[ID CLIENTE]],'RESUMEN CLIENTES'!D:D,'RESUMEN CLIENTES'!M:M)</f>
        <v>¡REGULARIZAR!</v>
      </c>
      <c r="E2784" s="71">
        <f>+_xlfn.XLOOKUP(Tabla6[[#This Row],[NOMBRE]],'RESUMEN CLIENTES'!A:A,'RESUMEN CLIENTES'!X:X)</f>
        <v>0</v>
      </c>
      <c r="F2784" s="71">
        <f>+_xlfn.XLOOKUP(Tabla6[[#This Row],[ID CLIENTE]],'RESUMEN CLIENTES'!D:D,'RESUMEN CLIENTES'!W:W)</f>
        <v>1</v>
      </c>
      <c r="G2784" s="17">
        <f>IF($H2784&lt;&gt;"ALEM","",IFERROR(
  DATE(
    YEAR(EDATE(
      _xlfn.XLOOKUP($A2784,'RESUMEN CLIENTES'!$D:$D,'RESUMEN CLIENTES'!$Y:$Y,""),
      7 + COUNTIFS(
            $A$2:INDEX($A:$A,ROW()), $A2784,
            $H$2:INDEX($H:$H,ROW()), "ALEM"
          )
    )),
    MONTH(EDATE(
      _xlfn.XLOOKUP($A2784,'RESUMEN CLIENTES'!$D:$D,'RESUMEN CLIENTES'!$Y:$Y,""),
      7 + COUNTIFS(
            $A$2:INDEX($A:$A,ROW()), $A2784,
            $H$2:INDEX($H:$H,ROW()), "ALEM"
          )
    )),
    1
  ),
"SIN FECHA MIG"))</f>
        <v>47088</v>
      </c>
      <c r="H2784" s="169" t="s">
        <v>1876</v>
      </c>
      <c r="I2784" s="2">
        <v>800</v>
      </c>
      <c r="J2784"/>
      <c r="K2784"/>
      <c r="L2784" s="44" t="str" cm="1">
        <f t="array" ref="L2784">+_xlfn.IFS(COUNTIF(INGRESOS!E:E,Tabla6[[#This Row],[ID FACTURA]])=1,"PAGADA",Tabla6[[#This Row],[ID FACTURA]]&lt;&gt;0,"EMITIDA",Tabla6[[#This Row],[ID FACTURA]]=0,"POR EMITIR")</f>
        <v>POR EMITIR</v>
      </c>
      <c r="M2784" s="54" t="str">
        <f>+IF(Tabla6[[#This Row],[ESTADO FACTURA]]="PAGADA",Tabla6[[#This Row],[FECHA]]-_xlfn.XLOOKUP(Tabla6[[#This Row],[N° FACTURA]],INGRESOS!F:F,INGRESOS!A:A),"-")</f>
        <v>-</v>
      </c>
      <c r="O2784"/>
    </row>
    <row r="2785" spans="1:15">
      <c r="A2785" s="320" t="s">
        <v>2521</v>
      </c>
      <c r="B2785" t="str">
        <f>+_xlfn.XLOOKUP(Tabla6[[#This Row],[ID CLIENTE]],'RESUMEN CLIENTES'!D:D,'RESUMEN CLIENTES'!A:A)</f>
        <v>Fabián Andrés Sarmiento Auli</v>
      </c>
      <c r="C2785" t="str">
        <f>+_xlfn.XLOOKUP(Tabla6[[#This Row],[ID CLIENTE]],'RESUMEN CLIENTES'!D:D,'RESUMEN CLIENTES'!C:C)</f>
        <v>Colombia</v>
      </c>
      <c r="D2785" s="169" t="str">
        <f>+_xlfn.XLOOKUP(Tabla6[[#This Row],[ID CLIENTE]],'RESUMEN CLIENTES'!D:D,'RESUMEN CLIENTES'!M:M)</f>
        <v>OK</v>
      </c>
      <c r="E2785" s="71">
        <f>+_xlfn.XLOOKUP(Tabla6[[#This Row],[NOMBRE]],'RESUMEN CLIENTES'!A:A,'RESUMEN CLIENTES'!X:X)</f>
        <v>0</v>
      </c>
      <c r="F2785" s="71">
        <f>+_xlfn.XLOOKUP(Tabla6[[#This Row],[ID CLIENTE]],'RESUMEN CLIENTES'!D:D,'RESUMEN CLIENTES'!W:W)</f>
        <v>0</v>
      </c>
      <c r="G2785" s="17">
        <f>IF($H2785&lt;&gt;"ALEM","",IFERROR(
  DATE(
    YEAR(EDATE(
      _xlfn.XLOOKUP($A2785,'RESUMEN CLIENTES'!$D:$D,'RESUMEN CLIENTES'!$Y:$Y,""),
      7 + COUNTIFS(
            $A$2:INDEX($A:$A,ROW()), $A2785,
            $H$2:INDEX($H:$H,ROW()), "ALEM"
          )
    )),
    MONTH(EDATE(
      _xlfn.XLOOKUP($A2785,'RESUMEN CLIENTES'!$D:$D,'RESUMEN CLIENTES'!$Y:$Y,""),
      7 + COUNTIFS(
            $A$2:INDEX($A:$A,ROW()), $A2785,
            $H$2:INDEX($H:$H,ROW()), "ALEM"
          )
    )),
    1
  ),
"null"))</f>
        <v>47088</v>
      </c>
      <c r="H2785" s="169" t="s">
        <v>1876</v>
      </c>
      <c r="I2785" s="2">
        <v>800</v>
      </c>
      <c r="J2785"/>
      <c r="K2785"/>
      <c r="L2785" s="44" t="str" cm="1">
        <f t="array" ref="L2785">+_xlfn.IFS(COUNTIF(INGRESOS!E:E,Tabla6[[#This Row],[ID FACTURA]])=1,"PAGADA",Tabla6[[#This Row],[ID FACTURA]]&lt;&gt;0,"EMITIDA",Tabla6[[#This Row],[ID FACTURA]]=0,"POR EMITIR")</f>
        <v>POR EMITIR</v>
      </c>
      <c r="M2785" s="54" t="str">
        <f>+IF(Tabla6[[#This Row],[ESTADO FACTURA]]="PAGADA",Tabla6[[#This Row],[FECHA]]-_xlfn.XLOOKUP(Tabla6[[#This Row],[N° FACTURA]],INGRESOS!F:F,INGRESOS!A:A),"-")</f>
        <v>-</v>
      </c>
      <c r="O2785"/>
    </row>
    <row r="2786" spans="1:15">
      <c r="A2786" s="320" t="s">
        <v>1743</v>
      </c>
      <c r="B2786" t="str">
        <f>+_xlfn.XLOOKUP(Tabla6[[#This Row],[ID CLIENTE]],'RESUMEN CLIENTES'!D:D,'RESUMEN CLIENTES'!A:A)</f>
        <v>Fernando Alberto Lagos Belmar</v>
      </c>
      <c r="C2786" t="str">
        <f>+_xlfn.XLOOKUP(Tabla6[[#This Row],[ID CLIENTE]],'RESUMEN CLIENTES'!D:D,'RESUMEN CLIENTES'!C:C)</f>
        <v>Chile</v>
      </c>
      <c r="D2786" s="169" t="str">
        <f>+_xlfn.XLOOKUP(Tabla6[[#This Row],[ID CLIENTE]],'RESUMEN CLIENTES'!D:D,'RESUMEN CLIENTES'!M:M)</f>
        <v>OK</v>
      </c>
      <c r="E2786" s="71">
        <f>+_xlfn.XLOOKUP(Tabla6[[#This Row],[NOMBRE]],'RESUMEN CLIENTES'!A:A,'RESUMEN CLIENTES'!X:X)</f>
        <v>0.25</v>
      </c>
      <c r="F2786" s="71">
        <f>+_xlfn.XLOOKUP(Tabla6[[#This Row],[ID CLIENTE]],'RESUMEN CLIENTES'!D:D,'RESUMEN CLIENTES'!W:W)</f>
        <v>1</v>
      </c>
      <c r="G2786" s="17">
        <f>IF($H2786&lt;&gt;"ALEM","",IFERROR(
  DATE(
    YEAR(EDATE(
      _xlfn.XLOOKUP($A2786,'RESUMEN CLIENTES'!$D:$D,'RESUMEN CLIENTES'!$Y:$Y,""),
      7 + COUNTIFS(
            $A$2:INDEX($A:$A,ROW()), $A2786,
            $H$2:INDEX($H:$H,ROW()), "ALEM"
          )
    )),
    MONTH(EDATE(
      _xlfn.XLOOKUP($A2786,'RESUMEN CLIENTES'!$D:$D,'RESUMEN CLIENTES'!$Y:$Y,""),
      7 + COUNTIFS(
            $A$2:INDEX($A:$A,ROW()), $A2786,
            $H$2:INDEX($H:$H,ROW()), "ALEM"
          )
    )),
    1
  ),
"SIN FECHA MIG"))</f>
        <v>47088</v>
      </c>
      <c r="H2786" s="169" t="s">
        <v>1876</v>
      </c>
      <c r="I2786" s="2">
        <v>800</v>
      </c>
      <c r="J2786"/>
      <c r="K2786"/>
      <c r="L2786" s="44" t="str" cm="1">
        <f t="array" ref="L2786">+_xlfn.IFS(COUNTIF(INGRESOS!E:E,Tabla6[[#This Row],[ID FACTURA]])=1,"PAGADA",Tabla6[[#This Row],[ID FACTURA]]&lt;&gt;0,"EMITIDA",Tabla6[[#This Row],[ID FACTURA]]=0,"POR EMITIR")</f>
        <v>POR EMITIR</v>
      </c>
      <c r="M2786" s="55" t="str">
        <f>+IF(Tabla6[[#This Row],[ESTADO FACTURA]]="PAGADA",Tabla6[[#This Row],[FECHA]]-_xlfn.XLOOKUP(Tabla6[[#This Row],[N° FACTURA]],INGRESOS!F:F,INGRESOS!A:A),"-")</f>
        <v>-</v>
      </c>
      <c r="O2786"/>
    </row>
    <row r="2787" spans="1:15">
      <c r="A2787" s="320" t="s">
        <v>2046</v>
      </c>
      <c r="B2787" t="str">
        <f>+_xlfn.XLOOKUP(Tabla6[[#This Row],[ID CLIENTE]],'RESUMEN CLIENTES'!D:D,'RESUMEN CLIENTES'!A:A)</f>
        <v>Jesica Daniela Paredes Mendoza</v>
      </c>
      <c r="C2787" t="str">
        <f>+_xlfn.XLOOKUP(Tabla6[[#This Row],[ID CLIENTE]],'RESUMEN CLIENTES'!D:D,'RESUMEN CLIENTES'!C:C)</f>
        <v>México</v>
      </c>
      <c r="D2787" s="169" t="str">
        <f>+_xlfn.XLOOKUP(Tabla6[[#This Row],[ID CLIENTE]],'RESUMEN CLIENTES'!D:D,'RESUMEN CLIENTES'!M:M)</f>
        <v>OK</v>
      </c>
      <c r="E2787" s="71">
        <f>+_xlfn.XLOOKUP(Tabla6[[#This Row],[NOMBRE]],'RESUMEN CLIENTES'!A:A,'RESUMEN CLIENTES'!X:X)</f>
        <v>-2.75</v>
      </c>
      <c r="F2787" s="71">
        <f>+_xlfn.XLOOKUP(Tabla6[[#This Row],[ID CLIENTE]],'RESUMEN CLIENTES'!D:D,'RESUMEN CLIENTES'!W:W)</f>
        <v>1</v>
      </c>
      <c r="G2787" s="17">
        <f>IF($H2787&lt;&gt;"ALEM","",IFERROR(
  DATE(
    YEAR(EDATE(
      _xlfn.XLOOKUP($A2787,'RESUMEN CLIENTES'!$D:$D,'RESUMEN CLIENTES'!$Y:$Y,""),
      7 + COUNTIFS(
            $A$2:INDEX($A:$A,ROW()), $A2787,
            $H$2:INDEX($H:$H,ROW()), "ALEM"
          )
    )),
    MONTH(EDATE(
      _xlfn.XLOOKUP($A2787,'RESUMEN CLIENTES'!$D:$D,'RESUMEN CLIENTES'!$Y:$Y,""),
      7 + COUNTIFS(
            $A$2:INDEX($A:$A,ROW()), $A2787,
            $H$2:INDEX($H:$H,ROW()), "ALEM"
          )
    )),
    1
  ),
"null"))</f>
        <v>47088</v>
      </c>
      <c r="H2787" s="169" t="s">
        <v>1876</v>
      </c>
      <c r="I2787" s="2">
        <v>1000</v>
      </c>
      <c r="J2787"/>
      <c r="K2787"/>
      <c r="L2787" s="44" t="str" cm="1">
        <f t="array" ref="L2787">+_xlfn.IFS(COUNTIF(INGRESOS!E:E,Tabla6[[#This Row],[ID FACTURA]])=1,"PAGADA",Tabla6[[#This Row],[ID FACTURA]]&lt;&gt;0,"EMITIDA",Tabla6[[#This Row],[ID FACTURA]]=0,"POR EMITIR")</f>
        <v>POR EMITIR</v>
      </c>
      <c r="M2787" s="54" t="str">
        <f>+IF(Tabla6[[#This Row],[ESTADO FACTURA]]="PAGADA",Tabla6[[#This Row],[FECHA]]-_xlfn.XLOOKUP(Tabla6[[#This Row],[N° FACTURA]],INGRESOS!F:F,INGRESOS!A:A),"-")</f>
        <v>-</v>
      </c>
      <c r="O2787"/>
    </row>
    <row r="2788" spans="1:15">
      <c r="A2788" s="320" t="s">
        <v>1416</v>
      </c>
      <c r="B2788" t="str">
        <f>+_xlfn.XLOOKUP(Tabla6[[#This Row],[ID CLIENTE]],'RESUMEN CLIENTES'!D:D,'RESUMEN CLIENTES'!A:A)</f>
        <v>Luis Armando Calderon Manzanera</v>
      </c>
      <c r="C2788" t="str">
        <f>+_xlfn.XLOOKUP(Tabla6[[#This Row],[ID CLIENTE]],'RESUMEN CLIENTES'!D:D,'RESUMEN CLIENTES'!C:C)</f>
        <v>México</v>
      </c>
      <c r="D2788" s="44" t="str">
        <f>+_xlfn.XLOOKUP(Tabla6[[#This Row],[ID CLIENTE]],'RESUMEN CLIENTES'!D:D,'RESUMEN CLIENTES'!M:M)</f>
        <v>OK</v>
      </c>
      <c r="E2788" s="71">
        <f>+_xlfn.XLOOKUP(Tabla6[[#This Row],[NOMBRE]],'RESUMEN CLIENTES'!A:A,'RESUMEN CLIENTES'!X:X)</f>
        <v>2</v>
      </c>
      <c r="F2788" s="71">
        <f>+_xlfn.XLOOKUP(Tabla6[[#This Row],[ID CLIENTE]],'RESUMEN CLIENTES'!D:D,'RESUMEN CLIENTES'!W:W)</f>
        <v>1</v>
      </c>
      <c r="G2788" s="17">
        <f>IF($H2788&lt;&gt;"ALEM","",IFERROR(
  DATE(
    YEAR(EDATE(
      _xlfn.XLOOKUP($A2788,'RESUMEN CLIENTES'!$D:$D,'RESUMEN CLIENTES'!$Y:$Y,""),
      7 + COUNTIFS(
            $A$2:INDEX($A:$A,ROW()), $A2788,
            $H$2:INDEX($H:$H,ROW()), "ALEM"
          )
    )),
    MONTH(EDATE(
      _xlfn.XLOOKUP($A2788,'RESUMEN CLIENTES'!$D:$D,'RESUMEN CLIENTES'!$Y:$Y,""),
      7 + COUNTIFS(
            $A$2:INDEX($A:$A,ROW()), $A2788,
            $H$2:INDEX($H:$H,ROW()), "ALEM"
          )
    )),
    1
  ),
"SIN FECHA MIG"))</f>
        <v>47088</v>
      </c>
      <c r="H2788" s="44" t="s">
        <v>1876</v>
      </c>
      <c r="I2788" s="2">
        <v>800</v>
      </c>
      <c r="J2788"/>
      <c r="K2788"/>
      <c r="L2788" s="44" t="str" cm="1">
        <f t="array" ref="L2788">+_xlfn.IFS(COUNTIF(INGRESOS!E:E,Tabla6[[#This Row],[ID FACTURA]])=1,"PAGADA",Tabla6[[#This Row],[ID FACTURA]]&lt;&gt;0,"EMITIDA",Tabla6[[#This Row],[ID FACTURA]]=0,"POR EMITIR")</f>
        <v>POR EMITIR</v>
      </c>
      <c r="M2788" s="55" t="str">
        <f>+IF(Tabla6[[#This Row],[ESTADO FACTURA]]="PAGADA",Tabla6[[#This Row],[FECHA]]-_xlfn.XLOOKUP(Tabla6[[#This Row],[N° FACTURA]],INGRESOS!F:F,INGRESOS!A:A),"-")</f>
        <v>-</v>
      </c>
      <c r="N2788" s="2"/>
      <c r="O2788"/>
    </row>
    <row r="2789" spans="1:15">
      <c r="A2789" s="321" t="s">
        <v>1756</v>
      </c>
      <c r="B2789" t="str">
        <f>+_xlfn.XLOOKUP(Tabla6[[#This Row],[ID CLIENTE]],'RESUMEN CLIENTES'!D:D,'RESUMEN CLIENTES'!A:A)</f>
        <v>Aylin Micaela Ortiz Chiriboga</v>
      </c>
      <c r="C2789" t="str">
        <f>+_xlfn.XLOOKUP(Tabla6[[#This Row],[ID CLIENTE]],'RESUMEN CLIENTES'!D:D,'RESUMEN CLIENTES'!C:C)</f>
        <v>Ecuador</v>
      </c>
      <c r="D2789" s="169" t="str">
        <f>+_xlfn.XLOOKUP(Tabla6[[#This Row],[ID CLIENTE]],'RESUMEN CLIENTES'!D:D,'RESUMEN CLIENTES'!M:M)</f>
        <v>¡REGULARIZAR!</v>
      </c>
      <c r="E2789" s="71">
        <f>+_xlfn.XLOOKUP(Tabla6[[#This Row],[NOMBRE]],'RESUMEN CLIENTES'!A:A,'RESUMEN CLIENTES'!X:X)</f>
        <v>0</v>
      </c>
      <c r="F2789" s="71">
        <f>+_xlfn.XLOOKUP(Tabla6[[#This Row],[ID CLIENTE]],'RESUMEN CLIENTES'!D:D,'RESUMEN CLIENTES'!W:W)</f>
        <v>1</v>
      </c>
      <c r="G2789" s="17">
        <f>IF($H2789&lt;&gt;"ALEM","",IFERROR(
  DATE(
    YEAR(EDATE(
      _xlfn.XLOOKUP($A2789,'RESUMEN CLIENTES'!$D:$D,'RESUMEN CLIENTES'!$Y:$Y,""),
      7 + COUNTIFS(
            $A$2:INDEX($A:$A,ROW()), $A2789,
            $H$2:INDEX($H:$H,ROW()), "ALEM"
          )
    )),
    MONTH(EDATE(
      _xlfn.XLOOKUP($A2789,'RESUMEN CLIENTES'!$D:$D,'RESUMEN CLIENTES'!$Y:$Y,""),
      7 + COUNTIFS(
            $A$2:INDEX($A:$A,ROW()), $A2789,
            $H$2:INDEX($H:$H,ROW()), "ALEM"
          )
    )),
    1
  ),
"SIN FECHA MIG"))</f>
        <v>47119</v>
      </c>
      <c r="H2789" s="169" t="s">
        <v>1876</v>
      </c>
      <c r="I2789" s="2">
        <v>800</v>
      </c>
      <c r="J2789"/>
      <c r="K2789"/>
      <c r="L2789" s="44" t="str" cm="1">
        <f t="array" ref="L2789">+_xlfn.IFS(COUNTIF(INGRESOS!E:E,Tabla6[[#This Row],[ID FACTURA]])=1,"PAGADA",Tabla6[[#This Row],[ID FACTURA]]&lt;&gt;0,"EMITIDA",Tabla6[[#This Row],[ID FACTURA]]=0,"POR EMITIR")</f>
        <v>POR EMITIR</v>
      </c>
      <c r="M2789" s="54" t="str">
        <f>+IF(Tabla6[[#This Row],[ESTADO FACTURA]]="PAGADA",Tabla6[[#This Row],[FECHA]]-_xlfn.XLOOKUP(Tabla6[[#This Row],[N° FACTURA]],INGRESOS!F:F,INGRESOS!A:A),"-")</f>
        <v>-</v>
      </c>
      <c r="O2789"/>
    </row>
    <row r="2790" spans="1:15">
      <c r="A2790" s="320" t="s">
        <v>2521</v>
      </c>
      <c r="B2790" t="str">
        <f>+_xlfn.XLOOKUP(Tabla6[[#This Row],[ID CLIENTE]],'RESUMEN CLIENTES'!D:D,'RESUMEN CLIENTES'!A:A)</f>
        <v>Fabián Andrés Sarmiento Auli</v>
      </c>
      <c r="C2790" t="str">
        <f>+_xlfn.XLOOKUP(Tabla6[[#This Row],[ID CLIENTE]],'RESUMEN CLIENTES'!D:D,'RESUMEN CLIENTES'!C:C)</f>
        <v>Colombia</v>
      </c>
      <c r="D2790" s="169" t="str">
        <f>+_xlfn.XLOOKUP(Tabla6[[#This Row],[ID CLIENTE]],'RESUMEN CLIENTES'!D:D,'RESUMEN CLIENTES'!M:M)</f>
        <v>OK</v>
      </c>
      <c r="E2790" s="71">
        <f>+_xlfn.XLOOKUP(Tabla6[[#This Row],[NOMBRE]],'RESUMEN CLIENTES'!A:A,'RESUMEN CLIENTES'!X:X)</f>
        <v>0</v>
      </c>
      <c r="F2790" s="71">
        <f>+_xlfn.XLOOKUP(Tabla6[[#This Row],[ID CLIENTE]],'RESUMEN CLIENTES'!D:D,'RESUMEN CLIENTES'!W:W)</f>
        <v>0</v>
      </c>
      <c r="G2790" s="17">
        <f>IF($H2790&lt;&gt;"ALEM","",IFERROR(
  DATE(
    YEAR(EDATE(
      _xlfn.XLOOKUP($A2790,'RESUMEN CLIENTES'!$D:$D,'RESUMEN CLIENTES'!$Y:$Y,""),
      7 + COUNTIFS(
            $A$2:INDEX($A:$A,ROW()), $A2790,
            $H$2:INDEX($H:$H,ROW()), "ALEM"
          )
    )),
    MONTH(EDATE(
      _xlfn.XLOOKUP($A2790,'RESUMEN CLIENTES'!$D:$D,'RESUMEN CLIENTES'!$Y:$Y,""),
      7 + COUNTIFS(
            $A$2:INDEX($A:$A,ROW()), $A2790,
            $H$2:INDEX($H:$H,ROW()), "ALEM"
          )
    )),
    1
  ),
"null"))</f>
        <v>47119</v>
      </c>
      <c r="H2790" s="169" t="s">
        <v>1876</v>
      </c>
      <c r="I2790" s="2">
        <v>800</v>
      </c>
      <c r="J2790"/>
      <c r="K2790"/>
      <c r="L2790" s="44" t="str" cm="1">
        <f t="array" ref="L2790">+_xlfn.IFS(COUNTIF(INGRESOS!E:E,Tabla6[[#This Row],[ID FACTURA]])=1,"PAGADA",Tabla6[[#This Row],[ID FACTURA]]&lt;&gt;0,"EMITIDA",Tabla6[[#This Row],[ID FACTURA]]=0,"POR EMITIR")</f>
        <v>POR EMITIR</v>
      </c>
      <c r="M2790" s="54" t="str">
        <f>+IF(Tabla6[[#This Row],[ESTADO FACTURA]]="PAGADA",Tabla6[[#This Row],[FECHA]]-_xlfn.XLOOKUP(Tabla6[[#This Row],[N° FACTURA]],INGRESOS!F:F,INGRESOS!A:A),"-")</f>
        <v>-</v>
      </c>
      <c r="O2790"/>
    </row>
    <row r="2791" spans="1:15">
      <c r="A2791" s="320" t="s">
        <v>1743</v>
      </c>
      <c r="B2791" t="str">
        <f>+_xlfn.XLOOKUP(Tabla6[[#This Row],[ID CLIENTE]],'RESUMEN CLIENTES'!D:D,'RESUMEN CLIENTES'!A:A)</f>
        <v>Fernando Alberto Lagos Belmar</v>
      </c>
      <c r="C2791" t="str">
        <f>+_xlfn.XLOOKUP(Tabla6[[#This Row],[ID CLIENTE]],'RESUMEN CLIENTES'!D:D,'RESUMEN CLIENTES'!C:C)</f>
        <v>Chile</v>
      </c>
      <c r="D2791" s="169" t="str">
        <f>+_xlfn.XLOOKUP(Tabla6[[#This Row],[ID CLIENTE]],'RESUMEN CLIENTES'!D:D,'RESUMEN CLIENTES'!M:M)</f>
        <v>OK</v>
      </c>
      <c r="E2791" s="71">
        <f>+_xlfn.XLOOKUP(Tabla6[[#This Row],[NOMBRE]],'RESUMEN CLIENTES'!A:A,'RESUMEN CLIENTES'!X:X)</f>
        <v>0.25</v>
      </c>
      <c r="F2791" s="71">
        <f>+_xlfn.XLOOKUP(Tabla6[[#This Row],[ID CLIENTE]],'RESUMEN CLIENTES'!D:D,'RESUMEN CLIENTES'!W:W)</f>
        <v>1</v>
      </c>
      <c r="G2791" s="17">
        <f>IF($H2791&lt;&gt;"ALEM","",IFERROR(
  DATE(
    YEAR(EDATE(
      _xlfn.XLOOKUP($A2791,'RESUMEN CLIENTES'!$D:$D,'RESUMEN CLIENTES'!$Y:$Y,""),
      7 + COUNTIFS(
            $A$2:INDEX($A:$A,ROW()), $A2791,
            $H$2:INDEX($H:$H,ROW()), "ALEM"
          )
    )),
    MONTH(EDATE(
      _xlfn.XLOOKUP($A2791,'RESUMEN CLIENTES'!$D:$D,'RESUMEN CLIENTES'!$Y:$Y,""),
      7 + COUNTIFS(
            $A$2:INDEX($A:$A,ROW()), $A2791,
            $H$2:INDEX($H:$H,ROW()), "ALEM"
          )
    )),
    1
  ),
"SIN FECHA MIG"))</f>
        <v>47119</v>
      </c>
      <c r="H2791" s="169" t="s">
        <v>1876</v>
      </c>
      <c r="I2791" s="2">
        <v>800</v>
      </c>
      <c r="J2791"/>
      <c r="K2791"/>
      <c r="L2791" s="44" t="str" cm="1">
        <f t="array" ref="L2791">+_xlfn.IFS(COUNTIF(INGRESOS!E:E,Tabla6[[#This Row],[ID FACTURA]])=1,"PAGADA",Tabla6[[#This Row],[ID FACTURA]]&lt;&gt;0,"EMITIDA",Tabla6[[#This Row],[ID FACTURA]]=0,"POR EMITIR")</f>
        <v>POR EMITIR</v>
      </c>
      <c r="M2791" s="55" t="str">
        <f>+IF(Tabla6[[#This Row],[ESTADO FACTURA]]="PAGADA",Tabla6[[#This Row],[FECHA]]-_xlfn.XLOOKUP(Tabla6[[#This Row],[N° FACTURA]],INGRESOS!F:F,INGRESOS!A:A),"-")</f>
        <v>-</v>
      </c>
      <c r="O2791"/>
    </row>
    <row r="2792" spans="1:15">
      <c r="A2792" s="320" t="s">
        <v>2046</v>
      </c>
      <c r="B2792" t="str">
        <f>+_xlfn.XLOOKUP(Tabla6[[#This Row],[ID CLIENTE]],'RESUMEN CLIENTES'!D:D,'RESUMEN CLIENTES'!A:A)</f>
        <v>Jesica Daniela Paredes Mendoza</v>
      </c>
      <c r="C2792" t="str">
        <f>+_xlfn.XLOOKUP(Tabla6[[#This Row],[ID CLIENTE]],'RESUMEN CLIENTES'!D:D,'RESUMEN CLIENTES'!C:C)</f>
        <v>México</v>
      </c>
      <c r="D2792" s="169" t="str">
        <f>+_xlfn.XLOOKUP(Tabla6[[#This Row],[ID CLIENTE]],'RESUMEN CLIENTES'!D:D,'RESUMEN CLIENTES'!M:M)</f>
        <v>OK</v>
      </c>
      <c r="E2792" s="71">
        <f>+_xlfn.XLOOKUP(Tabla6[[#This Row],[NOMBRE]],'RESUMEN CLIENTES'!A:A,'RESUMEN CLIENTES'!X:X)</f>
        <v>-2.75</v>
      </c>
      <c r="F2792" s="71">
        <f>+_xlfn.XLOOKUP(Tabla6[[#This Row],[ID CLIENTE]],'RESUMEN CLIENTES'!D:D,'RESUMEN CLIENTES'!W:W)</f>
        <v>1</v>
      </c>
      <c r="G2792" s="17">
        <f>IF($H2792&lt;&gt;"ALEM","",IFERROR(
  DATE(
    YEAR(EDATE(
      _xlfn.XLOOKUP($A2792,'RESUMEN CLIENTES'!$D:$D,'RESUMEN CLIENTES'!$Y:$Y,""),
      7 + COUNTIFS(
            $A$2:INDEX($A:$A,ROW()), $A2792,
            $H$2:INDEX($H:$H,ROW()), "ALEM"
          )
    )),
    MONTH(EDATE(
      _xlfn.XLOOKUP($A2792,'RESUMEN CLIENTES'!$D:$D,'RESUMEN CLIENTES'!$Y:$Y,""),
      7 + COUNTIFS(
            $A$2:INDEX($A:$A,ROW()), $A2792,
            $H$2:INDEX($H:$H,ROW()), "ALEM"
          )
    )),
    1
  ),
"null"))</f>
        <v>47119</v>
      </c>
      <c r="H2792" s="169" t="s">
        <v>1876</v>
      </c>
      <c r="I2792" s="2">
        <v>1000</v>
      </c>
      <c r="J2792"/>
      <c r="K2792"/>
      <c r="L2792" s="44" t="str" cm="1">
        <f t="array" ref="L2792">+_xlfn.IFS(COUNTIF(INGRESOS!E:E,Tabla6[[#This Row],[ID FACTURA]])=1,"PAGADA",Tabla6[[#This Row],[ID FACTURA]]&lt;&gt;0,"EMITIDA",Tabla6[[#This Row],[ID FACTURA]]=0,"POR EMITIR")</f>
        <v>POR EMITIR</v>
      </c>
      <c r="M2792" s="54" t="str">
        <f>+IF(Tabla6[[#This Row],[ESTADO FACTURA]]="PAGADA",Tabla6[[#This Row],[FECHA]]-_xlfn.XLOOKUP(Tabla6[[#This Row],[N° FACTURA]],INGRESOS!F:F,INGRESOS!A:A),"-")</f>
        <v>-</v>
      </c>
      <c r="O2792"/>
    </row>
    <row r="2793" spans="1:15">
      <c r="A2793" s="320" t="s">
        <v>1416</v>
      </c>
      <c r="B2793" t="str">
        <f>+_xlfn.XLOOKUP(Tabla6[[#This Row],[ID CLIENTE]],'RESUMEN CLIENTES'!D:D,'RESUMEN CLIENTES'!A:A)</f>
        <v>Luis Armando Calderon Manzanera</v>
      </c>
      <c r="C2793" t="str">
        <f>+_xlfn.XLOOKUP(Tabla6[[#This Row],[ID CLIENTE]],'RESUMEN CLIENTES'!D:D,'RESUMEN CLIENTES'!C:C)</f>
        <v>México</v>
      </c>
      <c r="D2793" s="44" t="str">
        <f>+_xlfn.XLOOKUP(Tabla6[[#This Row],[ID CLIENTE]],'RESUMEN CLIENTES'!D:D,'RESUMEN CLIENTES'!M:M)</f>
        <v>OK</v>
      </c>
      <c r="E2793" s="71">
        <f>+_xlfn.XLOOKUP(Tabla6[[#This Row],[NOMBRE]],'RESUMEN CLIENTES'!A:A,'RESUMEN CLIENTES'!X:X)</f>
        <v>2</v>
      </c>
      <c r="F2793" s="71">
        <f>+_xlfn.XLOOKUP(Tabla6[[#This Row],[ID CLIENTE]],'RESUMEN CLIENTES'!D:D,'RESUMEN CLIENTES'!W:W)</f>
        <v>1</v>
      </c>
      <c r="G2793" s="17">
        <f>IF($H2793&lt;&gt;"ALEM","",IFERROR(
  DATE(
    YEAR(EDATE(
      _xlfn.XLOOKUP($A2793,'RESUMEN CLIENTES'!$D:$D,'RESUMEN CLIENTES'!$Y:$Y,""),
      7 + COUNTIFS(
            $A$2:INDEX($A:$A,ROW()), $A2793,
            $H$2:INDEX($H:$H,ROW()), "ALEM"
          )
    )),
    MONTH(EDATE(
      _xlfn.XLOOKUP($A2793,'RESUMEN CLIENTES'!$D:$D,'RESUMEN CLIENTES'!$Y:$Y,""),
      7 + COUNTIFS(
            $A$2:INDEX($A:$A,ROW()), $A2793,
            $H$2:INDEX($H:$H,ROW()), "ALEM"
          )
    )),
    1
  ),
"SIN FECHA MIG"))</f>
        <v>47119</v>
      </c>
      <c r="H2793" s="44" t="s">
        <v>1876</v>
      </c>
      <c r="I2793" s="2">
        <v>800</v>
      </c>
      <c r="J2793"/>
      <c r="K2793"/>
      <c r="L2793" s="44" t="str" cm="1">
        <f t="array" ref="L2793">+_xlfn.IFS(COUNTIF(INGRESOS!E:E,Tabla6[[#This Row],[ID FACTURA]])=1,"PAGADA",Tabla6[[#This Row],[ID FACTURA]]&lt;&gt;0,"EMITIDA",Tabla6[[#This Row],[ID FACTURA]]=0,"POR EMITIR")</f>
        <v>POR EMITIR</v>
      </c>
      <c r="M2793" s="55" t="str">
        <f>+IF(Tabla6[[#This Row],[ESTADO FACTURA]]="PAGADA",Tabla6[[#This Row],[FECHA]]-_xlfn.XLOOKUP(Tabla6[[#This Row],[N° FACTURA]],INGRESOS!F:F,INGRESOS!A:A),"-")</f>
        <v>-</v>
      </c>
      <c r="N2793" s="2"/>
      <c r="O2793"/>
    </row>
    <row r="2794" spans="1:15">
      <c r="A2794" s="321" t="s">
        <v>1756</v>
      </c>
      <c r="B2794" t="str">
        <f>+_xlfn.XLOOKUP(Tabla6[[#This Row],[ID CLIENTE]],'RESUMEN CLIENTES'!D:D,'RESUMEN CLIENTES'!A:A)</f>
        <v>Aylin Micaela Ortiz Chiriboga</v>
      </c>
      <c r="C2794" t="str">
        <f>+_xlfn.XLOOKUP(Tabla6[[#This Row],[ID CLIENTE]],'RESUMEN CLIENTES'!D:D,'RESUMEN CLIENTES'!C:C)</f>
        <v>Ecuador</v>
      </c>
      <c r="D2794" s="169" t="str">
        <f>+_xlfn.XLOOKUP(Tabla6[[#This Row],[ID CLIENTE]],'RESUMEN CLIENTES'!D:D,'RESUMEN CLIENTES'!M:M)</f>
        <v>¡REGULARIZAR!</v>
      </c>
      <c r="E2794" s="71">
        <f>+_xlfn.XLOOKUP(Tabla6[[#This Row],[NOMBRE]],'RESUMEN CLIENTES'!A:A,'RESUMEN CLIENTES'!X:X)</f>
        <v>0</v>
      </c>
      <c r="F2794" s="71">
        <f>+_xlfn.XLOOKUP(Tabla6[[#This Row],[ID CLIENTE]],'RESUMEN CLIENTES'!D:D,'RESUMEN CLIENTES'!W:W)</f>
        <v>1</v>
      </c>
      <c r="G2794" s="17">
        <f>IF($H2794&lt;&gt;"ALEM","",IFERROR(
  DATE(
    YEAR(EDATE(
      _xlfn.XLOOKUP($A2794,'RESUMEN CLIENTES'!$D:$D,'RESUMEN CLIENTES'!$Y:$Y,""),
      7 + COUNTIFS(
            $A$2:INDEX($A:$A,ROW()), $A2794,
            $H$2:INDEX($H:$H,ROW()), "ALEM"
          )
    )),
    MONTH(EDATE(
      _xlfn.XLOOKUP($A2794,'RESUMEN CLIENTES'!$D:$D,'RESUMEN CLIENTES'!$Y:$Y,""),
      7 + COUNTIFS(
            $A$2:INDEX($A:$A,ROW()), $A2794,
            $H$2:INDEX($H:$H,ROW()), "ALEM"
          )
    )),
    1
  ),
"SIN FECHA MIG"))</f>
        <v>47150</v>
      </c>
      <c r="H2794" s="169" t="s">
        <v>1876</v>
      </c>
      <c r="I2794" s="2">
        <v>800</v>
      </c>
      <c r="J2794"/>
      <c r="K2794"/>
      <c r="L2794" s="44" t="str" cm="1">
        <f t="array" ref="L2794">+_xlfn.IFS(COUNTIF(INGRESOS!E:E,Tabla6[[#This Row],[ID FACTURA]])=1,"PAGADA",Tabla6[[#This Row],[ID FACTURA]]&lt;&gt;0,"EMITIDA",Tabla6[[#This Row],[ID FACTURA]]=0,"POR EMITIR")</f>
        <v>POR EMITIR</v>
      </c>
      <c r="M2794" s="54" t="str">
        <f>+IF(Tabla6[[#This Row],[ESTADO FACTURA]]="PAGADA",Tabla6[[#This Row],[FECHA]]-_xlfn.XLOOKUP(Tabla6[[#This Row],[N° FACTURA]],INGRESOS!F:F,INGRESOS!A:A),"-")</f>
        <v>-</v>
      </c>
      <c r="O2794"/>
    </row>
    <row r="2795" spans="1:15">
      <c r="A2795" s="320" t="s">
        <v>2521</v>
      </c>
      <c r="B2795" t="str">
        <f>+_xlfn.XLOOKUP(Tabla6[[#This Row],[ID CLIENTE]],'RESUMEN CLIENTES'!D:D,'RESUMEN CLIENTES'!A:A)</f>
        <v>Fabián Andrés Sarmiento Auli</v>
      </c>
      <c r="C2795" t="str">
        <f>+_xlfn.XLOOKUP(Tabla6[[#This Row],[ID CLIENTE]],'RESUMEN CLIENTES'!D:D,'RESUMEN CLIENTES'!C:C)</f>
        <v>Colombia</v>
      </c>
      <c r="D2795" s="169" t="str">
        <f>+_xlfn.XLOOKUP(Tabla6[[#This Row],[ID CLIENTE]],'RESUMEN CLIENTES'!D:D,'RESUMEN CLIENTES'!M:M)</f>
        <v>OK</v>
      </c>
      <c r="E2795" s="71">
        <f>+_xlfn.XLOOKUP(Tabla6[[#This Row],[NOMBRE]],'RESUMEN CLIENTES'!A:A,'RESUMEN CLIENTES'!X:X)</f>
        <v>0</v>
      </c>
      <c r="F2795" s="71">
        <f>+_xlfn.XLOOKUP(Tabla6[[#This Row],[ID CLIENTE]],'RESUMEN CLIENTES'!D:D,'RESUMEN CLIENTES'!W:W)</f>
        <v>0</v>
      </c>
      <c r="G2795" s="17">
        <f>IF($H2795&lt;&gt;"ALEM","",IFERROR(
  DATE(
    YEAR(EDATE(
      _xlfn.XLOOKUP($A2795,'RESUMEN CLIENTES'!$D:$D,'RESUMEN CLIENTES'!$Y:$Y,""),
      7 + COUNTIFS(
            $A$2:INDEX($A:$A,ROW()), $A2795,
            $H$2:INDEX($H:$H,ROW()), "ALEM"
          )
    )),
    MONTH(EDATE(
      _xlfn.XLOOKUP($A2795,'RESUMEN CLIENTES'!$D:$D,'RESUMEN CLIENTES'!$Y:$Y,""),
      7 + COUNTIFS(
            $A$2:INDEX($A:$A,ROW()), $A2795,
            $H$2:INDEX($H:$H,ROW()), "ALEM"
          )
    )),
    1
  ),
"null"))</f>
        <v>47150</v>
      </c>
      <c r="H2795" s="169" t="s">
        <v>1876</v>
      </c>
      <c r="I2795" s="2">
        <v>800</v>
      </c>
      <c r="J2795"/>
      <c r="K2795"/>
      <c r="L2795" s="44" t="str" cm="1">
        <f t="array" ref="L2795">+_xlfn.IFS(COUNTIF(INGRESOS!E:E,Tabla6[[#This Row],[ID FACTURA]])=1,"PAGADA",Tabla6[[#This Row],[ID FACTURA]]&lt;&gt;0,"EMITIDA",Tabla6[[#This Row],[ID FACTURA]]=0,"POR EMITIR")</f>
        <v>POR EMITIR</v>
      </c>
      <c r="M2795" s="54" t="str">
        <f>+IF(Tabla6[[#This Row],[ESTADO FACTURA]]="PAGADA",Tabla6[[#This Row],[FECHA]]-_xlfn.XLOOKUP(Tabla6[[#This Row],[N° FACTURA]],INGRESOS!F:F,INGRESOS!A:A),"-")</f>
        <v>-</v>
      </c>
      <c r="O2795"/>
    </row>
    <row r="2796" spans="1:15">
      <c r="A2796" s="320" t="s">
        <v>1743</v>
      </c>
      <c r="B2796" t="str">
        <f>+_xlfn.XLOOKUP(Tabla6[[#This Row],[ID CLIENTE]],'RESUMEN CLIENTES'!D:D,'RESUMEN CLIENTES'!A:A)</f>
        <v>Fernando Alberto Lagos Belmar</v>
      </c>
      <c r="C2796" t="str">
        <f>+_xlfn.XLOOKUP(Tabla6[[#This Row],[ID CLIENTE]],'RESUMEN CLIENTES'!D:D,'RESUMEN CLIENTES'!C:C)</f>
        <v>Chile</v>
      </c>
      <c r="D2796" s="169" t="str">
        <f>+_xlfn.XLOOKUP(Tabla6[[#This Row],[ID CLIENTE]],'RESUMEN CLIENTES'!D:D,'RESUMEN CLIENTES'!M:M)</f>
        <v>OK</v>
      </c>
      <c r="E2796" s="71">
        <f>+_xlfn.XLOOKUP(Tabla6[[#This Row],[NOMBRE]],'RESUMEN CLIENTES'!A:A,'RESUMEN CLIENTES'!X:X)</f>
        <v>0.25</v>
      </c>
      <c r="F2796" s="71">
        <f>+_xlfn.XLOOKUP(Tabla6[[#This Row],[ID CLIENTE]],'RESUMEN CLIENTES'!D:D,'RESUMEN CLIENTES'!W:W)</f>
        <v>1</v>
      </c>
      <c r="G2796" s="17">
        <f>IF($H2796&lt;&gt;"ALEM","",IFERROR(
  DATE(
    YEAR(EDATE(
      _xlfn.XLOOKUP($A2796,'RESUMEN CLIENTES'!$D:$D,'RESUMEN CLIENTES'!$Y:$Y,""),
      7 + COUNTIFS(
            $A$2:INDEX($A:$A,ROW()), $A2796,
            $H$2:INDEX($H:$H,ROW()), "ALEM"
          )
    )),
    MONTH(EDATE(
      _xlfn.XLOOKUP($A2796,'RESUMEN CLIENTES'!$D:$D,'RESUMEN CLIENTES'!$Y:$Y,""),
      7 + COUNTIFS(
            $A$2:INDEX($A:$A,ROW()), $A2796,
            $H$2:INDEX($H:$H,ROW()), "ALEM"
          )
    )),
    1
  ),
"SIN FECHA MIG"))</f>
        <v>47150</v>
      </c>
      <c r="H2796" s="169" t="s">
        <v>1876</v>
      </c>
      <c r="I2796" s="2">
        <v>800</v>
      </c>
      <c r="J2796"/>
      <c r="K2796"/>
      <c r="L2796" s="44" t="str" cm="1">
        <f t="array" ref="L2796">+_xlfn.IFS(COUNTIF(INGRESOS!E:E,Tabla6[[#This Row],[ID FACTURA]])=1,"PAGADA",Tabla6[[#This Row],[ID FACTURA]]&lt;&gt;0,"EMITIDA",Tabla6[[#This Row],[ID FACTURA]]=0,"POR EMITIR")</f>
        <v>POR EMITIR</v>
      </c>
      <c r="M2796" s="55" t="str">
        <f>+IF(Tabla6[[#This Row],[ESTADO FACTURA]]="PAGADA",Tabla6[[#This Row],[FECHA]]-_xlfn.XLOOKUP(Tabla6[[#This Row],[N° FACTURA]],INGRESOS!F:F,INGRESOS!A:A),"-")</f>
        <v>-</v>
      </c>
      <c r="O2796"/>
    </row>
    <row r="2797" spans="1:15">
      <c r="A2797" s="320" t="s">
        <v>2046</v>
      </c>
      <c r="B2797" t="str">
        <f>+_xlfn.XLOOKUP(Tabla6[[#This Row],[ID CLIENTE]],'RESUMEN CLIENTES'!D:D,'RESUMEN CLIENTES'!A:A)</f>
        <v>Jesica Daniela Paredes Mendoza</v>
      </c>
      <c r="C2797" t="str">
        <f>+_xlfn.XLOOKUP(Tabla6[[#This Row],[ID CLIENTE]],'RESUMEN CLIENTES'!D:D,'RESUMEN CLIENTES'!C:C)</f>
        <v>México</v>
      </c>
      <c r="D2797" s="169" t="str">
        <f>+_xlfn.XLOOKUP(Tabla6[[#This Row],[ID CLIENTE]],'RESUMEN CLIENTES'!D:D,'RESUMEN CLIENTES'!M:M)</f>
        <v>OK</v>
      </c>
      <c r="E2797" s="71">
        <f>+_xlfn.XLOOKUP(Tabla6[[#This Row],[NOMBRE]],'RESUMEN CLIENTES'!A:A,'RESUMEN CLIENTES'!X:X)</f>
        <v>-2.75</v>
      </c>
      <c r="F2797" s="71">
        <f>+_xlfn.XLOOKUP(Tabla6[[#This Row],[ID CLIENTE]],'RESUMEN CLIENTES'!D:D,'RESUMEN CLIENTES'!W:W)</f>
        <v>1</v>
      </c>
      <c r="G2797" s="17">
        <f>IF($H2797&lt;&gt;"ALEM","",IFERROR(
  DATE(
    YEAR(EDATE(
      _xlfn.XLOOKUP($A2797,'RESUMEN CLIENTES'!$D:$D,'RESUMEN CLIENTES'!$Y:$Y,""),
      7 + COUNTIFS(
            $A$2:INDEX($A:$A,ROW()), $A2797,
            $H$2:INDEX($H:$H,ROW()), "ALEM"
          )
    )),
    MONTH(EDATE(
      _xlfn.XLOOKUP($A2797,'RESUMEN CLIENTES'!$D:$D,'RESUMEN CLIENTES'!$Y:$Y,""),
      7 + COUNTIFS(
            $A$2:INDEX($A:$A,ROW()), $A2797,
            $H$2:INDEX($H:$H,ROW()), "ALEM"
          )
    )),
    1
  ),
"null"))</f>
        <v>47150</v>
      </c>
      <c r="H2797" s="169" t="s">
        <v>1876</v>
      </c>
      <c r="I2797" s="2">
        <v>1000</v>
      </c>
      <c r="J2797"/>
      <c r="K2797"/>
      <c r="L2797" s="44" t="str" cm="1">
        <f t="array" ref="L2797">+_xlfn.IFS(COUNTIF(INGRESOS!E:E,Tabla6[[#This Row],[ID FACTURA]])=1,"PAGADA",Tabla6[[#This Row],[ID FACTURA]]&lt;&gt;0,"EMITIDA",Tabla6[[#This Row],[ID FACTURA]]=0,"POR EMITIR")</f>
        <v>POR EMITIR</v>
      </c>
      <c r="M2797" s="54" t="str">
        <f>+IF(Tabla6[[#This Row],[ESTADO FACTURA]]="PAGADA",Tabla6[[#This Row],[FECHA]]-_xlfn.XLOOKUP(Tabla6[[#This Row],[N° FACTURA]],INGRESOS!F:F,INGRESOS!A:A),"-")</f>
        <v>-</v>
      </c>
      <c r="O2797"/>
    </row>
    <row r="2798" spans="1:15">
      <c r="A2798" s="320" t="s">
        <v>1416</v>
      </c>
      <c r="B2798" t="str">
        <f>+_xlfn.XLOOKUP(Tabla6[[#This Row],[ID CLIENTE]],'RESUMEN CLIENTES'!D:D,'RESUMEN CLIENTES'!A:A)</f>
        <v>Luis Armando Calderon Manzanera</v>
      </c>
      <c r="C2798" t="str">
        <f>+_xlfn.XLOOKUP(Tabla6[[#This Row],[ID CLIENTE]],'RESUMEN CLIENTES'!D:D,'RESUMEN CLIENTES'!C:C)</f>
        <v>México</v>
      </c>
      <c r="D2798" s="44" t="str">
        <f>+_xlfn.XLOOKUP(Tabla6[[#This Row],[ID CLIENTE]],'RESUMEN CLIENTES'!D:D,'RESUMEN CLIENTES'!M:M)</f>
        <v>OK</v>
      </c>
      <c r="E2798" s="71">
        <f>+_xlfn.XLOOKUP(Tabla6[[#This Row],[NOMBRE]],'RESUMEN CLIENTES'!A:A,'RESUMEN CLIENTES'!X:X)</f>
        <v>2</v>
      </c>
      <c r="F2798" s="71">
        <f>+_xlfn.XLOOKUP(Tabla6[[#This Row],[ID CLIENTE]],'RESUMEN CLIENTES'!D:D,'RESUMEN CLIENTES'!W:W)</f>
        <v>1</v>
      </c>
      <c r="G2798" s="17">
        <f>IF($H2798&lt;&gt;"ALEM","",IFERROR(
  DATE(
    YEAR(EDATE(
      _xlfn.XLOOKUP($A2798,'RESUMEN CLIENTES'!$D:$D,'RESUMEN CLIENTES'!$Y:$Y,""),
      7 + COUNTIFS(
            $A$2:INDEX($A:$A,ROW()), $A2798,
            $H$2:INDEX($H:$H,ROW()), "ALEM"
          )
    )),
    MONTH(EDATE(
      _xlfn.XLOOKUP($A2798,'RESUMEN CLIENTES'!$D:$D,'RESUMEN CLIENTES'!$Y:$Y,""),
      7 + COUNTIFS(
            $A$2:INDEX($A:$A,ROW()), $A2798,
            $H$2:INDEX($H:$H,ROW()), "ALEM"
          )
    )),
    1
  ),
"SIN FECHA MIG"))</f>
        <v>47150</v>
      </c>
      <c r="H2798" s="44" t="s">
        <v>1876</v>
      </c>
      <c r="I2798" s="2">
        <v>800</v>
      </c>
      <c r="J2798"/>
      <c r="K2798"/>
      <c r="L2798" s="44" t="str" cm="1">
        <f t="array" ref="L2798">+_xlfn.IFS(COUNTIF(INGRESOS!E:E,Tabla6[[#This Row],[ID FACTURA]])=1,"PAGADA",Tabla6[[#This Row],[ID FACTURA]]&lt;&gt;0,"EMITIDA",Tabla6[[#This Row],[ID FACTURA]]=0,"POR EMITIR")</f>
        <v>POR EMITIR</v>
      </c>
      <c r="M2798" s="55" t="str">
        <f>+IF(Tabla6[[#This Row],[ESTADO FACTURA]]="PAGADA",Tabla6[[#This Row],[FECHA]]-_xlfn.XLOOKUP(Tabla6[[#This Row],[N° FACTURA]],INGRESOS!F:F,INGRESOS!A:A),"-")</f>
        <v>-</v>
      </c>
      <c r="N2798" s="2"/>
      <c r="O2798"/>
    </row>
    <row r="2799" spans="1:15">
      <c r="A2799" s="321" t="s">
        <v>1756</v>
      </c>
      <c r="B2799" t="str">
        <f>+_xlfn.XLOOKUP(Tabla6[[#This Row],[ID CLIENTE]],'RESUMEN CLIENTES'!D:D,'RESUMEN CLIENTES'!A:A)</f>
        <v>Aylin Micaela Ortiz Chiriboga</v>
      </c>
      <c r="C2799" t="str">
        <f>+_xlfn.XLOOKUP(Tabla6[[#This Row],[ID CLIENTE]],'RESUMEN CLIENTES'!D:D,'RESUMEN CLIENTES'!C:C)</f>
        <v>Ecuador</v>
      </c>
      <c r="D2799" s="169" t="str">
        <f>+_xlfn.XLOOKUP(Tabla6[[#This Row],[ID CLIENTE]],'RESUMEN CLIENTES'!D:D,'RESUMEN CLIENTES'!M:M)</f>
        <v>¡REGULARIZAR!</v>
      </c>
      <c r="E2799" s="71">
        <f>+_xlfn.XLOOKUP(Tabla6[[#This Row],[NOMBRE]],'RESUMEN CLIENTES'!A:A,'RESUMEN CLIENTES'!X:X)</f>
        <v>0</v>
      </c>
      <c r="F2799" s="71">
        <f>+_xlfn.XLOOKUP(Tabla6[[#This Row],[ID CLIENTE]],'RESUMEN CLIENTES'!D:D,'RESUMEN CLIENTES'!W:W)</f>
        <v>1</v>
      </c>
      <c r="G2799" s="17">
        <f>IF($H2799&lt;&gt;"ALEM","",IFERROR(
  DATE(
    YEAR(EDATE(
      _xlfn.XLOOKUP($A2799,'RESUMEN CLIENTES'!$D:$D,'RESUMEN CLIENTES'!$Y:$Y,""),
      7 + COUNTIFS(
            $A$2:INDEX($A:$A,ROW()), $A2799,
            $H$2:INDEX($H:$H,ROW()), "ALEM"
          )
    )),
    MONTH(EDATE(
      _xlfn.XLOOKUP($A2799,'RESUMEN CLIENTES'!$D:$D,'RESUMEN CLIENTES'!$Y:$Y,""),
      7 + COUNTIFS(
            $A$2:INDEX($A:$A,ROW()), $A2799,
            $H$2:INDEX($H:$H,ROW()), "ALEM"
          )
    )),
    1
  ),
"SIN FECHA MIG"))</f>
        <v>47178</v>
      </c>
      <c r="H2799" s="169" t="s">
        <v>1876</v>
      </c>
      <c r="I2799" s="2">
        <v>800</v>
      </c>
      <c r="J2799"/>
      <c r="K2799"/>
      <c r="L2799" s="44" t="str" cm="1">
        <f t="array" ref="L2799">+_xlfn.IFS(COUNTIF(INGRESOS!E:E,Tabla6[[#This Row],[ID FACTURA]])=1,"PAGADA",Tabla6[[#This Row],[ID FACTURA]]&lt;&gt;0,"EMITIDA",Tabla6[[#This Row],[ID FACTURA]]=0,"POR EMITIR")</f>
        <v>POR EMITIR</v>
      </c>
      <c r="M2799" s="54" t="str">
        <f>+IF(Tabla6[[#This Row],[ESTADO FACTURA]]="PAGADA",Tabla6[[#This Row],[FECHA]]-_xlfn.XLOOKUP(Tabla6[[#This Row],[N° FACTURA]],INGRESOS!F:F,INGRESOS!A:A),"-")</f>
        <v>-</v>
      </c>
      <c r="O2799"/>
    </row>
    <row r="2800" spans="1:15">
      <c r="A2800" s="320" t="s">
        <v>2521</v>
      </c>
      <c r="B2800" t="str">
        <f>+_xlfn.XLOOKUP(Tabla6[[#This Row],[ID CLIENTE]],'RESUMEN CLIENTES'!D:D,'RESUMEN CLIENTES'!A:A)</f>
        <v>Fabián Andrés Sarmiento Auli</v>
      </c>
      <c r="C2800" t="str">
        <f>+_xlfn.XLOOKUP(Tabla6[[#This Row],[ID CLIENTE]],'RESUMEN CLIENTES'!D:D,'RESUMEN CLIENTES'!C:C)</f>
        <v>Colombia</v>
      </c>
      <c r="D2800" s="169" t="str">
        <f>+_xlfn.XLOOKUP(Tabla6[[#This Row],[ID CLIENTE]],'RESUMEN CLIENTES'!D:D,'RESUMEN CLIENTES'!M:M)</f>
        <v>OK</v>
      </c>
      <c r="E2800" s="71">
        <f>+_xlfn.XLOOKUP(Tabla6[[#This Row],[NOMBRE]],'RESUMEN CLIENTES'!A:A,'RESUMEN CLIENTES'!X:X)</f>
        <v>0</v>
      </c>
      <c r="F2800" s="71">
        <f>+_xlfn.XLOOKUP(Tabla6[[#This Row],[ID CLIENTE]],'RESUMEN CLIENTES'!D:D,'RESUMEN CLIENTES'!W:W)</f>
        <v>0</v>
      </c>
      <c r="G2800" s="17">
        <f>IF($H2800&lt;&gt;"ALEM","",IFERROR(
  DATE(
    YEAR(EDATE(
      _xlfn.XLOOKUP($A2800,'RESUMEN CLIENTES'!$D:$D,'RESUMEN CLIENTES'!$Y:$Y,""),
      7 + COUNTIFS(
            $A$2:INDEX($A:$A,ROW()), $A2800,
            $H$2:INDEX($H:$H,ROW()), "ALEM"
          )
    )),
    MONTH(EDATE(
      _xlfn.XLOOKUP($A2800,'RESUMEN CLIENTES'!$D:$D,'RESUMEN CLIENTES'!$Y:$Y,""),
      7 + COUNTIFS(
            $A$2:INDEX($A:$A,ROW()), $A2800,
            $H$2:INDEX($H:$H,ROW()), "ALEM"
          )
    )),
    1
  ),
"null"))</f>
        <v>47178</v>
      </c>
      <c r="H2800" s="169" t="s">
        <v>1876</v>
      </c>
      <c r="I2800" s="2">
        <v>800</v>
      </c>
      <c r="J2800"/>
      <c r="K2800"/>
      <c r="L2800" s="44" t="str" cm="1">
        <f t="array" ref="L2800">+_xlfn.IFS(COUNTIF(INGRESOS!E:E,Tabla6[[#This Row],[ID FACTURA]])=1,"PAGADA",Tabla6[[#This Row],[ID FACTURA]]&lt;&gt;0,"EMITIDA",Tabla6[[#This Row],[ID FACTURA]]=0,"POR EMITIR")</f>
        <v>POR EMITIR</v>
      </c>
      <c r="M2800" s="54" t="str">
        <f>+IF(Tabla6[[#This Row],[ESTADO FACTURA]]="PAGADA",Tabla6[[#This Row],[FECHA]]-_xlfn.XLOOKUP(Tabla6[[#This Row],[N° FACTURA]],INGRESOS!F:F,INGRESOS!A:A),"-")</f>
        <v>-</v>
      </c>
      <c r="O2800"/>
    </row>
    <row r="2801" spans="1:15">
      <c r="A2801" s="320" t="s">
        <v>2046</v>
      </c>
      <c r="B2801" t="str">
        <f>+_xlfn.XLOOKUP(Tabla6[[#This Row],[ID CLIENTE]],'RESUMEN CLIENTES'!D:D,'RESUMEN CLIENTES'!A:A)</f>
        <v>Jesica Daniela Paredes Mendoza</v>
      </c>
      <c r="C2801" t="str">
        <f>+_xlfn.XLOOKUP(Tabla6[[#This Row],[ID CLIENTE]],'RESUMEN CLIENTES'!D:D,'RESUMEN CLIENTES'!C:C)</f>
        <v>México</v>
      </c>
      <c r="D2801" s="169" t="str">
        <f>+_xlfn.XLOOKUP(Tabla6[[#This Row],[ID CLIENTE]],'RESUMEN CLIENTES'!D:D,'RESUMEN CLIENTES'!M:M)</f>
        <v>OK</v>
      </c>
      <c r="E2801" s="71">
        <f>+_xlfn.XLOOKUP(Tabla6[[#This Row],[NOMBRE]],'RESUMEN CLIENTES'!A:A,'RESUMEN CLIENTES'!X:X)</f>
        <v>-2.75</v>
      </c>
      <c r="F2801" s="71">
        <f>+_xlfn.XLOOKUP(Tabla6[[#This Row],[ID CLIENTE]],'RESUMEN CLIENTES'!D:D,'RESUMEN CLIENTES'!W:W)</f>
        <v>1</v>
      </c>
      <c r="G2801" s="17">
        <f>IF($H2801&lt;&gt;"ALEM","",IFERROR(
  DATE(
    YEAR(EDATE(
      _xlfn.XLOOKUP($A2801,'RESUMEN CLIENTES'!$D:$D,'RESUMEN CLIENTES'!$Y:$Y,""),
      7 + COUNTIFS(
            $A$2:INDEX($A:$A,ROW()), $A2801,
            $H$2:INDEX($H:$H,ROW()), "ALEM"
          )
    )),
    MONTH(EDATE(
      _xlfn.XLOOKUP($A2801,'RESUMEN CLIENTES'!$D:$D,'RESUMEN CLIENTES'!$Y:$Y,""),
      7 + COUNTIFS(
            $A$2:INDEX($A:$A,ROW()), $A2801,
            $H$2:INDEX($H:$H,ROW()), "ALEM"
          )
    )),
    1
  ),
"null"))</f>
        <v>47178</v>
      </c>
      <c r="H2801" s="169" t="s">
        <v>1876</v>
      </c>
      <c r="I2801" s="2">
        <v>1000</v>
      </c>
      <c r="J2801"/>
      <c r="K2801"/>
      <c r="L2801" s="44" t="str" cm="1">
        <f t="array" ref="L2801">+_xlfn.IFS(COUNTIF(INGRESOS!E:E,Tabla6[[#This Row],[ID FACTURA]])=1,"PAGADA",Tabla6[[#This Row],[ID FACTURA]]&lt;&gt;0,"EMITIDA",Tabla6[[#This Row],[ID FACTURA]]=0,"POR EMITIR")</f>
        <v>POR EMITIR</v>
      </c>
      <c r="M2801" s="54" t="str">
        <f>+IF(Tabla6[[#This Row],[ESTADO FACTURA]]="PAGADA",Tabla6[[#This Row],[FECHA]]-_xlfn.XLOOKUP(Tabla6[[#This Row],[N° FACTURA]],INGRESOS!F:F,INGRESOS!A:A),"-")</f>
        <v>-</v>
      </c>
      <c r="O2801"/>
    </row>
    <row r="2802" spans="1:15">
      <c r="A2802" s="320" t="s">
        <v>1416</v>
      </c>
      <c r="B2802" t="str">
        <f>+_xlfn.XLOOKUP(Tabla6[[#This Row],[ID CLIENTE]],'RESUMEN CLIENTES'!D:D,'RESUMEN CLIENTES'!A:A)</f>
        <v>Luis Armando Calderon Manzanera</v>
      </c>
      <c r="C2802" t="str">
        <f>+_xlfn.XLOOKUP(Tabla6[[#This Row],[ID CLIENTE]],'RESUMEN CLIENTES'!D:D,'RESUMEN CLIENTES'!C:C)</f>
        <v>México</v>
      </c>
      <c r="D2802" s="44" t="str">
        <f>+_xlfn.XLOOKUP(Tabla6[[#This Row],[ID CLIENTE]],'RESUMEN CLIENTES'!D:D,'RESUMEN CLIENTES'!M:M)</f>
        <v>OK</v>
      </c>
      <c r="E2802" s="71">
        <f>+_xlfn.XLOOKUP(Tabla6[[#This Row],[NOMBRE]],'RESUMEN CLIENTES'!A:A,'RESUMEN CLIENTES'!X:X)</f>
        <v>2</v>
      </c>
      <c r="F2802" s="71">
        <f>+_xlfn.XLOOKUP(Tabla6[[#This Row],[ID CLIENTE]],'RESUMEN CLIENTES'!D:D,'RESUMEN CLIENTES'!W:W)</f>
        <v>1</v>
      </c>
      <c r="G2802" s="17">
        <f>IF($H2802&lt;&gt;"ALEM","",IFERROR(
  DATE(
    YEAR(EDATE(
      _xlfn.XLOOKUP($A2802,'RESUMEN CLIENTES'!$D:$D,'RESUMEN CLIENTES'!$Y:$Y,""),
      7 + COUNTIFS(
            $A$2:INDEX($A:$A,ROW()), $A2802,
            $H$2:INDEX($H:$H,ROW()), "ALEM"
          )
    )),
    MONTH(EDATE(
      _xlfn.XLOOKUP($A2802,'RESUMEN CLIENTES'!$D:$D,'RESUMEN CLIENTES'!$Y:$Y,""),
      7 + COUNTIFS(
            $A$2:INDEX($A:$A,ROW()), $A2802,
            $H$2:INDEX($H:$H,ROW()), "ALEM"
          )
    )),
    1
  ),
"SIN FECHA MIG"))</f>
        <v>47178</v>
      </c>
      <c r="H2802" s="44" t="s">
        <v>1876</v>
      </c>
      <c r="I2802" s="2">
        <v>800</v>
      </c>
      <c r="J2802"/>
      <c r="K2802"/>
      <c r="L2802" s="44" t="str" cm="1">
        <f t="array" ref="L2802">+_xlfn.IFS(COUNTIF(INGRESOS!E:E,Tabla6[[#This Row],[ID FACTURA]])=1,"PAGADA",Tabla6[[#This Row],[ID FACTURA]]&lt;&gt;0,"EMITIDA",Tabla6[[#This Row],[ID FACTURA]]=0,"POR EMITIR")</f>
        <v>POR EMITIR</v>
      </c>
      <c r="M2802" s="55" t="str">
        <f>+IF(Tabla6[[#This Row],[ESTADO FACTURA]]="PAGADA",Tabla6[[#This Row],[FECHA]]-_xlfn.XLOOKUP(Tabla6[[#This Row],[N° FACTURA]],INGRESOS!F:F,INGRESOS!A:A),"-")</f>
        <v>-</v>
      </c>
      <c r="N2802" s="2"/>
      <c r="O2802"/>
    </row>
    <row r="2803" spans="1:15">
      <c r="A2803" s="321" t="s">
        <v>1756</v>
      </c>
      <c r="B2803" t="str">
        <f>+_xlfn.XLOOKUP(Tabla6[[#This Row],[ID CLIENTE]],'RESUMEN CLIENTES'!D:D,'RESUMEN CLIENTES'!A:A)</f>
        <v>Aylin Micaela Ortiz Chiriboga</v>
      </c>
      <c r="C2803" t="str">
        <f>+_xlfn.XLOOKUP(Tabla6[[#This Row],[ID CLIENTE]],'RESUMEN CLIENTES'!D:D,'RESUMEN CLIENTES'!C:C)</f>
        <v>Ecuador</v>
      </c>
      <c r="D2803" s="169" t="str">
        <f>+_xlfn.XLOOKUP(Tabla6[[#This Row],[ID CLIENTE]],'RESUMEN CLIENTES'!D:D,'RESUMEN CLIENTES'!M:M)</f>
        <v>¡REGULARIZAR!</v>
      </c>
      <c r="E2803" s="71">
        <f>+_xlfn.XLOOKUP(Tabla6[[#This Row],[NOMBRE]],'RESUMEN CLIENTES'!A:A,'RESUMEN CLIENTES'!X:X)</f>
        <v>0</v>
      </c>
      <c r="F2803" s="71">
        <f>+_xlfn.XLOOKUP(Tabla6[[#This Row],[ID CLIENTE]],'RESUMEN CLIENTES'!D:D,'RESUMEN CLIENTES'!W:W)</f>
        <v>1</v>
      </c>
      <c r="G2803" s="17">
        <f>IF($H2803&lt;&gt;"ALEM","",IFERROR(
  DATE(
    YEAR(EDATE(
      _xlfn.XLOOKUP($A2803,'RESUMEN CLIENTES'!$D:$D,'RESUMEN CLIENTES'!$Y:$Y,""),
      7 + COUNTIFS(
            $A$2:INDEX($A:$A,ROW()), $A2803,
            $H$2:INDEX($H:$H,ROW()), "ALEM"
          )
    )),
    MONTH(EDATE(
      _xlfn.XLOOKUP($A2803,'RESUMEN CLIENTES'!$D:$D,'RESUMEN CLIENTES'!$Y:$Y,""),
      7 + COUNTIFS(
            $A$2:INDEX($A:$A,ROW()), $A2803,
            $H$2:INDEX($H:$H,ROW()), "ALEM"
          )
    )),
    1
  ),
"SIN FECHA MIG"))</f>
        <v>47209</v>
      </c>
      <c r="H2803" s="169" t="s">
        <v>1876</v>
      </c>
      <c r="I2803" s="2">
        <v>800</v>
      </c>
      <c r="J2803"/>
      <c r="K2803"/>
      <c r="L2803" s="44" t="str" cm="1">
        <f t="array" ref="L2803">+_xlfn.IFS(COUNTIF(INGRESOS!E:E,Tabla6[[#This Row],[ID FACTURA]])=1,"PAGADA",Tabla6[[#This Row],[ID FACTURA]]&lt;&gt;0,"EMITIDA",Tabla6[[#This Row],[ID FACTURA]]=0,"POR EMITIR")</f>
        <v>POR EMITIR</v>
      </c>
      <c r="M2803" s="54" t="str">
        <f>+IF(Tabla6[[#This Row],[ESTADO FACTURA]]="PAGADA",Tabla6[[#This Row],[FECHA]]-_xlfn.XLOOKUP(Tabla6[[#This Row],[N° FACTURA]],INGRESOS!F:F,INGRESOS!A:A),"-")</f>
        <v>-</v>
      </c>
      <c r="O2803"/>
    </row>
    <row r="2804" spans="1:15">
      <c r="A2804" s="320" t="s">
        <v>2521</v>
      </c>
      <c r="B2804" t="str">
        <f>+_xlfn.XLOOKUP(Tabla6[[#This Row],[ID CLIENTE]],'RESUMEN CLIENTES'!D:D,'RESUMEN CLIENTES'!A:A)</f>
        <v>Fabián Andrés Sarmiento Auli</v>
      </c>
      <c r="C2804" t="str">
        <f>+_xlfn.XLOOKUP(Tabla6[[#This Row],[ID CLIENTE]],'RESUMEN CLIENTES'!D:D,'RESUMEN CLIENTES'!C:C)</f>
        <v>Colombia</v>
      </c>
      <c r="D2804" s="169" t="str">
        <f>+_xlfn.XLOOKUP(Tabla6[[#This Row],[ID CLIENTE]],'RESUMEN CLIENTES'!D:D,'RESUMEN CLIENTES'!M:M)</f>
        <v>OK</v>
      </c>
      <c r="E2804" s="71">
        <f>+_xlfn.XLOOKUP(Tabla6[[#This Row],[NOMBRE]],'RESUMEN CLIENTES'!A:A,'RESUMEN CLIENTES'!X:X)</f>
        <v>0</v>
      </c>
      <c r="F2804" s="71">
        <f>+_xlfn.XLOOKUP(Tabla6[[#This Row],[ID CLIENTE]],'RESUMEN CLIENTES'!D:D,'RESUMEN CLIENTES'!W:W)</f>
        <v>0</v>
      </c>
      <c r="G2804" s="17">
        <f>IF($H2804&lt;&gt;"ALEM","",IFERROR(
  DATE(
    YEAR(EDATE(
      _xlfn.XLOOKUP($A2804,'RESUMEN CLIENTES'!$D:$D,'RESUMEN CLIENTES'!$Y:$Y,""),
      7 + COUNTIFS(
            $A$2:INDEX($A:$A,ROW()), $A2804,
            $H$2:INDEX($H:$H,ROW()), "ALEM"
          )
    )),
    MONTH(EDATE(
      _xlfn.XLOOKUP($A2804,'RESUMEN CLIENTES'!$D:$D,'RESUMEN CLIENTES'!$Y:$Y,""),
      7 + COUNTIFS(
            $A$2:INDEX($A:$A,ROW()), $A2804,
            $H$2:INDEX($H:$H,ROW()), "ALEM"
          )
    )),
    1
  ),
"null"))</f>
        <v>47209</v>
      </c>
      <c r="H2804" s="169" t="s">
        <v>1876</v>
      </c>
      <c r="I2804" s="2">
        <v>800</v>
      </c>
      <c r="J2804"/>
      <c r="K2804"/>
      <c r="L2804" s="44" t="str" cm="1">
        <f t="array" ref="L2804">+_xlfn.IFS(COUNTIF(INGRESOS!E:E,Tabla6[[#This Row],[ID FACTURA]])=1,"PAGADA",Tabla6[[#This Row],[ID FACTURA]]&lt;&gt;0,"EMITIDA",Tabla6[[#This Row],[ID FACTURA]]=0,"POR EMITIR")</f>
        <v>POR EMITIR</v>
      </c>
      <c r="M2804" s="54" t="str">
        <f>+IF(Tabla6[[#This Row],[ESTADO FACTURA]]="PAGADA",Tabla6[[#This Row],[FECHA]]-_xlfn.XLOOKUP(Tabla6[[#This Row],[N° FACTURA]],INGRESOS!F:F,INGRESOS!A:A),"-")</f>
        <v>-</v>
      </c>
      <c r="O2804"/>
    </row>
    <row r="2805" spans="1:15">
      <c r="A2805" s="320" t="s">
        <v>2046</v>
      </c>
      <c r="B2805" t="str">
        <f>+_xlfn.XLOOKUP(Tabla6[[#This Row],[ID CLIENTE]],'RESUMEN CLIENTES'!D:D,'RESUMEN CLIENTES'!A:A)</f>
        <v>Jesica Daniela Paredes Mendoza</v>
      </c>
      <c r="C2805" t="str">
        <f>+_xlfn.XLOOKUP(Tabla6[[#This Row],[ID CLIENTE]],'RESUMEN CLIENTES'!D:D,'RESUMEN CLIENTES'!C:C)</f>
        <v>México</v>
      </c>
      <c r="D2805" s="169" t="str">
        <f>+_xlfn.XLOOKUP(Tabla6[[#This Row],[ID CLIENTE]],'RESUMEN CLIENTES'!D:D,'RESUMEN CLIENTES'!M:M)</f>
        <v>OK</v>
      </c>
      <c r="E2805" s="71">
        <f>+_xlfn.XLOOKUP(Tabla6[[#This Row],[NOMBRE]],'RESUMEN CLIENTES'!A:A,'RESUMEN CLIENTES'!X:X)</f>
        <v>-2.75</v>
      </c>
      <c r="F2805" s="71">
        <f>+_xlfn.XLOOKUP(Tabla6[[#This Row],[ID CLIENTE]],'RESUMEN CLIENTES'!D:D,'RESUMEN CLIENTES'!W:W)</f>
        <v>1</v>
      </c>
      <c r="G2805" s="17">
        <f>IF($H2805&lt;&gt;"ALEM","",IFERROR(
  DATE(
    YEAR(EDATE(
      _xlfn.XLOOKUP($A2805,'RESUMEN CLIENTES'!$D:$D,'RESUMEN CLIENTES'!$Y:$Y,""),
      7 + COUNTIFS(
            $A$2:INDEX($A:$A,ROW()), $A2805,
            $H$2:INDEX($H:$H,ROW()), "ALEM"
          )
    )),
    MONTH(EDATE(
      _xlfn.XLOOKUP($A2805,'RESUMEN CLIENTES'!$D:$D,'RESUMEN CLIENTES'!$Y:$Y,""),
      7 + COUNTIFS(
            $A$2:INDEX($A:$A,ROW()), $A2805,
            $H$2:INDEX($H:$H,ROW()), "ALEM"
          )
    )),
    1
  ),
"null"))</f>
        <v>47209</v>
      </c>
      <c r="H2805" s="169" t="s">
        <v>1876</v>
      </c>
      <c r="I2805" s="2">
        <v>1000</v>
      </c>
      <c r="J2805"/>
      <c r="K2805"/>
      <c r="L2805" s="44" t="str" cm="1">
        <f t="array" ref="L2805">+_xlfn.IFS(COUNTIF(INGRESOS!E:E,Tabla6[[#This Row],[ID FACTURA]])=1,"PAGADA",Tabla6[[#This Row],[ID FACTURA]]&lt;&gt;0,"EMITIDA",Tabla6[[#This Row],[ID FACTURA]]=0,"POR EMITIR")</f>
        <v>POR EMITIR</v>
      </c>
      <c r="M2805" s="54" t="str">
        <f>+IF(Tabla6[[#This Row],[ESTADO FACTURA]]="PAGADA",Tabla6[[#This Row],[FECHA]]-_xlfn.XLOOKUP(Tabla6[[#This Row],[N° FACTURA]],INGRESOS!F:F,INGRESOS!A:A),"-")</f>
        <v>-</v>
      </c>
      <c r="O2805"/>
    </row>
    <row r="2806" spans="1:15">
      <c r="A2806" s="320" t="s">
        <v>1416</v>
      </c>
      <c r="B2806" t="str">
        <f>+_xlfn.XLOOKUP(Tabla6[[#This Row],[ID CLIENTE]],'RESUMEN CLIENTES'!D:D,'RESUMEN CLIENTES'!A:A)</f>
        <v>Luis Armando Calderon Manzanera</v>
      </c>
      <c r="C2806" t="str">
        <f>+_xlfn.XLOOKUP(Tabla6[[#This Row],[ID CLIENTE]],'RESUMEN CLIENTES'!D:D,'RESUMEN CLIENTES'!C:C)</f>
        <v>México</v>
      </c>
      <c r="D2806" s="44" t="str">
        <f>+_xlfn.XLOOKUP(Tabla6[[#This Row],[ID CLIENTE]],'RESUMEN CLIENTES'!D:D,'RESUMEN CLIENTES'!M:M)</f>
        <v>OK</v>
      </c>
      <c r="E2806" s="71">
        <f>+_xlfn.XLOOKUP(Tabla6[[#This Row],[NOMBRE]],'RESUMEN CLIENTES'!A:A,'RESUMEN CLIENTES'!X:X)</f>
        <v>2</v>
      </c>
      <c r="F2806" s="71">
        <f>+_xlfn.XLOOKUP(Tabla6[[#This Row],[ID CLIENTE]],'RESUMEN CLIENTES'!D:D,'RESUMEN CLIENTES'!W:W)</f>
        <v>1</v>
      </c>
      <c r="G2806" s="17">
        <f>IF($H2806&lt;&gt;"ALEM","",IFERROR(
  DATE(
    YEAR(EDATE(
      _xlfn.XLOOKUP($A2806,'RESUMEN CLIENTES'!$D:$D,'RESUMEN CLIENTES'!$Y:$Y,""),
      7 + COUNTIFS(
            $A$2:INDEX($A:$A,ROW()), $A2806,
            $H$2:INDEX($H:$H,ROW()), "ALEM"
          )
    )),
    MONTH(EDATE(
      _xlfn.XLOOKUP($A2806,'RESUMEN CLIENTES'!$D:$D,'RESUMEN CLIENTES'!$Y:$Y,""),
      7 + COUNTIFS(
            $A$2:INDEX($A:$A,ROW()), $A2806,
            $H$2:INDEX($H:$H,ROW()), "ALEM"
          )
    )),
    1
  ),
"SIN FECHA MIG"))</f>
        <v>47209</v>
      </c>
      <c r="H2806" s="44" t="s">
        <v>1876</v>
      </c>
      <c r="I2806" s="2">
        <v>800</v>
      </c>
      <c r="J2806"/>
      <c r="K2806"/>
      <c r="L2806" s="44" t="str" cm="1">
        <f t="array" ref="L2806">+_xlfn.IFS(COUNTIF(INGRESOS!E:E,Tabla6[[#This Row],[ID FACTURA]])=1,"PAGADA",Tabla6[[#This Row],[ID FACTURA]]&lt;&gt;0,"EMITIDA",Tabla6[[#This Row],[ID FACTURA]]=0,"POR EMITIR")</f>
        <v>POR EMITIR</v>
      </c>
      <c r="M2806" s="55" t="str">
        <f>+IF(Tabla6[[#This Row],[ESTADO FACTURA]]="PAGADA",Tabla6[[#This Row],[FECHA]]-_xlfn.XLOOKUP(Tabla6[[#This Row],[N° FACTURA]],INGRESOS!F:F,INGRESOS!A:A),"-")</f>
        <v>-</v>
      </c>
      <c r="N2806" s="2"/>
      <c r="O2806"/>
    </row>
    <row r="2807" spans="1:15">
      <c r="A2807" s="321" t="s">
        <v>1756</v>
      </c>
      <c r="B2807" t="str">
        <f>+_xlfn.XLOOKUP(Tabla6[[#This Row],[ID CLIENTE]],'RESUMEN CLIENTES'!D:D,'RESUMEN CLIENTES'!A:A)</f>
        <v>Aylin Micaela Ortiz Chiriboga</v>
      </c>
      <c r="C2807" t="str">
        <f>+_xlfn.XLOOKUP(Tabla6[[#This Row],[ID CLIENTE]],'RESUMEN CLIENTES'!D:D,'RESUMEN CLIENTES'!C:C)</f>
        <v>Ecuador</v>
      </c>
      <c r="D2807" s="169" t="str">
        <f>+_xlfn.XLOOKUP(Tabla6[[#This Row],[ID CLIENTE]],'RESUMEN CLIENTES'!D:D,'RESUMEN CLIENTES'!M:M)</f>
        <v>¡REGULARIZAR!</v>
      </c>
      <c r="E2807" s="71">
        <f>+_xlfn.XLOOKUP(Tabla6[[#This Row],[NOMBRE]],'RESUMEN CLIENTES'!A:A,'RESUMEN CLIENTES'!X:X)</f>
        <v>0</v>
      </c>
      <c r="F2807" s="71">
        <f>+_xlfn.XLOOKUP(Tabla6[[#This Row],[ID CLIENTE]],'RESUMEN CLIENTES'!D:D,'RESUMEN CLIENTES'!W:W)</f>
        <v>1</v>
      </c>
      <c r="G2807" s="17">
        <f>IF($H2807&lt;&gt;"ALEM","",IFERROR(
  DATE(
    YEAR(EDATE(
      _xlfn.XLOOKUP($A2807,'RESUMEN CLIENTES'!$D:$D,'RESUMEN CLIENTES'!$Y:$Y,""),
      7 + COUNTIFS(
            $A$2:INDEX($A:$A,ROW()), $A2807,
            $H$2:INDEX($H:$H,ROW()), "ALEM"
          )
    )),
    MONTH(EDATE(
      _xlfn.XLOOKUP($A2807,'RESUMEN CLIENTES'!$D:$D,'RESUMEN CLIENTES'!$Y:$Y,""),
      7 + COUNTIFS(
            $A$2:INDEX($A:$A,ROW()), $A2807,
            $H$2:INDEX($H:$H,ROW()), "ALEM"
          )
    )),
    1
  ),
"SIN FECHA MIG"))</f>
        <v>47239</v>
      </c>
      <c r="H2807" s="169" t="s">
        <v>1876</v>
      </c>
      <c r="I2807" s="2">
        <v>800</v>
      </c>
      <c r="J2807"/>
      <c r="K2807"/>
      <c r="L2807" s="44" t="str" cm="1">
        <f t="array" ref="L2807">+_xlfn.IFS(COUNTIF(INGRESOS!E:E,Tabla6[[#This Row],[ID FACTURA]])=1,"PAGADA",Tabla6[[#This Row],[ID FACTURA]]&lt;&gt;0,"EMITIDA",Tabla6[[#This Row],[ID FACTURA]]=0,"POR EMITIR")</f>
        <v>POR EMITIR</v>
      </c>
      <c r="M2807" s="54" t="str">
        <f>+IF(Tabla6[[#This Row],[ESTADO FACTURA]]="PAGADA",Tabla6[[#This Row],[FECHA]]-_xlfn.XLOOKUP(Tabla6[[#This Row],[N° FACTURA]],INGRESOS!F:F,INGRESOS!A:A),"-")</f>
        <v>-</v>
      </c>
      <c r="O2807"/>
    </row>
    <row r="2808" spans="1:15">
      <c r="A2808" s="320" t="s">
        <v>2521</v>
      </c>
      <c r="B2808" t="str">
        <f>+_xlfn.XLOOKUP(Tabla6[[#This Row],[ID CLIENTE]],'RESUMEN CLIENTES'!D:D,'RESUMEN CLIENTES'!A:A)</f>
        <v>Fabián Andrés Sarmiento Auli</v>
      </c>
      <c r="C2808" t="str">
        <f>+_xlfn.XLOOKUP(Tabla6[[#This Row],[ID CLIENTE]],'RESUMEN CLIENTES'!D:D,'RESUMEN CLIENTES'!C:C)</f>
        <v>Colombia</v>
      </c>
      <c r="D2808" s="169" t="str">
        <f>+_xlfn.XLOOKUP(Tabla6[[#This Row],[ID CLIENTE]],'RESUMEN CLIENTES'!D:D,'RESUMEN CLIENTES'!M:M)</f>
        <v>OK</v>
      </c>
      <c r="E2808" s="71">
        <f>+_xlfn.XLOOKUP(Tabla6[[#This Row],[NOMBRE]],'RESUMEN CLIENTES'!A:A,'RESUMEN CLIENTES'!X:X)</f>
        <v>0</v>
      </c>
      <c r="F2808" s="71">
        <f>+_xlfn.XLOOKUP(Tabla6[[#This Row],[ID CLIENTE]],'RESUMEN CLIENTES'!D:D,'RESUMEN CLIENTES'!W:W)</f>
        <v>0</v>
      </c>
      <c r="G2808" s="17">
        <f>IF($H2808&lt;&gt;"ALEM","",IFERROR(
  DATE(
    YEAR(EDATE(
      _xlfn.XLOOKUP($A2808,'RESUMEN CLIENTES'!$D:$D,'RESUMEN CLIENTES'!$Y:$Y,""),
      7 + COUNTIFS(
            $A$2:INDEX($A:$A,ROW()), $A2808,
            $H$2:INDEX($H:$H,ROW()), "ALEM"
          )
    )),
    MONTH(EDATE(
      _xlfn.XLOOKUP($A2808,'RESUMEN CLIENTES'!$D:$D,'RESUMEN CLIENTES'!$Y:$Y,""),
      7 + COUNTIFS(
            $A$2:INDEX($A:$A,ROW()), $A2808,
            $H$2:INDEX($H:$H,ROW()), "ALEM"
          )
    )),
    1
  ),
"null"))</f>
        <v>47239</v>
      </c>
      <c r="H2808" s="169" t="s">
        <v>1876</v>
      </c>
      <c r="I2808" s="2">
        <v>800</v>
      </c>
      <c r="J2808"/>
      <c r="K2808"/>
      <c r="L2808" s="44" t="str" cm="1">
        <f t="array" ref="L2808">+_xlfn.IFS(COUNTIF(INGRESOS!E:E,Tabla6[[#This Row],[ID FACTURA]])=1,"PAGADA",Tabla6[[#This Row],[ID FACTURA]]&lt;&gt;0,"EMITIDA",Tabla6[[#This Row],[ID FACTURA]]=0,"POR EMITIR")</f>
        <v>POR EMITIR</v>
      </c>
      <c r="M2808" s="54" t="str">
        <f>+IF(Tabla6[[#This Row],[ESTADO FACTURA]]="PAGADA",Tabla6[[#This Row],[FECHA]]-_xlfn.XLOOKUP(Tabla6[[#This Row],[N° FACTURA]],INGRESOS!F:F,INGRESOS!A:A),"-")</f>
        <v>-</v>
      </c>
      <c r="O2808"/>
    </row>
    <row r="2809" spans="1:15">
      <c r="A2809" s="320" t="s">
        <v>2046</v>
      </c>
      <c r="B2809" t="str">
        <f>+_xlfn.XLOOKUP(Tabla6[[#This Row],[ID CLIENTE]],'RESUMEN CLIENTES'!D:D,'RESUMEN CLIENTES'!A:A)</f>
        <v>Jesica Daniela Paredes Mendoza</v>
      </c>
      <c r="C2809" t="str">
        <f>+_xlfn.XLOOKUP(Tabla6[[#This Row],[ID CLIENTE]],'RESUMEN CLIENTES'!D:D,'RESUMEN CLIENTES'!C:C)</f>
        <v>México</v>
      </c>
      <c r="D2809" s="169" t="str">
        <f>+_xlfn.XLOOKUP(Tabla6[[#This Row],[ID CLIENTE]],'RESUMEN CLIENTES'!D:D,'RESUMEN CLIENTES'!M:M)</f>
        <v>OK</v>
      </c>
      <c r="E2809" s="71">
        <f>+_xlfn.XLOOKUP(Tabla6[[#This Row],[NOMBRE]],'RESUMEN CLIENTES'!A:A,'RESUMEN CLIENTES'!X:X)</f>
        <v>-2.75</v>
      </c>
      <c r="F2809" s="71">
        <f>+_xlfn.XLOOKUP(Tabla6[[#This Row],[ID CLIENTE]],'RESUMEN CLIENTES'!D:D,'RESUMEN CLIENTES'!W:W)</f>
        <v>1</v>
      </c>
      <c r="G2809" s="17">
        <f>IF($H2809&lt;&gt;"ALEM","",IFERROR(
  DATE(
    YEAR(EDATE(
      _xlfn.XLOOKUP($A2809,'RESUMEN CLIENTES'!$D:$D,'RESUMEN CLIENTES'!$Y:$Y,""),
      7 + COUNTIFS(
            $A$2:INDEX($A:$A,ROW()), $A2809,
            $H$2:INDEX($H:$H,ROW()), "ALEM"
          )
    )),
    MONTH(EDATE(
      _xlfn.XLOOKUP($A2809,'RESUMEN CLIENTES'!$D:$D,'RESUMEN CLIENTES'!$Y:$Y,""),
      7 + COUNTIFS(
            $A$2:INDEX($A:$A,ROW()), $A2809,
            $H$2:INDEX($H:$H,ROW()), "ALEM"
          )
    )),
    1
  ),
"null"))</f>
        <v>47239</v>
      </c>
      <c r="H2809" s="169" t="s">
        <v>1876</v>
      </c>
      <c r="I2809" s="2">
        <v>1000</v>
      </c>
      <c r="J2809"/>
      <c r="K2809"/>
      <c r="L2809" s="44" t="str" cm="1">
        <f t="array" ref="L2809">+_xlfn.IFS(COUNTIF(INGRESOS!E:E,Tabla6[[#This Row],[ID FACTURA]])=1,"PAGADA",Tabla6[[#This Row],[ID FACTURA]]&lt;&gt;0,"EMITIDA",Tabla6[[#This Row],[ID FACTURA]]=0,"POR EMITIR")</f>
        <v>POR EMITIR</v>
      </c>
      <c r="M2809" s="54" t="str">
        <f>+IF(Tabla6[[#This Row],[ESTADO FACTURA]]="PAGADA",Tabla6[[#This Row],[FECHA]]-_xlfn.XLOOKUP(Tabla6[[#This Row],[N° FACTURA]],INGRESOS!F:F,INGRESOS!A:A),"-")</f>
        <v>-</v>
      </c>
      <c r="O2809"/>
    </row>
    <row r="2810" spans="1:15">
      <c r="A2810" s="320" t="s">
        <v>1416</v>
      </c>
      <c r="B2810" t="str">
        <f>+_xlfn.XLOOKUP(Tabla6[[#This Row],[ID CLIENTE]],'RESUMEN CLIENTES'!D:D,'RESUMEN CLIENTES'!A:A)</f>
        <v>Luis Armando Calderon Manzanera</v>
      </c>
      <c r="C2810" t="str">
        <f>+_xlfn.XLOOKUP(Tabla6[[#This Row],[ID CLIENTE]],'RESUMEN CLIENTES'!D:D,'RESUMEN CLIENTES'!C:C)</f>
        <v>México</v>
      </c>
      <c r="D2810" s="44" t="str">
        <f>+_xlfn.XLOOKUP(Tabla6[[#This Row],[ID CLIENTE]],'RESUMEN CLIENTES'!D:D,'RESUMEN CLIENTES'!M:M)</f>
        <v>OK</v>
      </c>
      <c r="E2810" s="71">
        <f>+_xlfn.XLOOKUP(Tabla6[[#This Row],[NOMBRE]],'RESUMEN CLIENTES'!A:A,'RESUMEN CLIENTES'!X:X)</f>
        <v>2</v>
      </c>
      <c r="F2810" s="71">
        <f>+_xlfn.XLOOKUP(Tabla6[[#This Row],[ID CLIENTE]],'RESUMEN CLIENTES'!D:D,'RESUMEN CLIENTES'!W:W)</f>
        <v>1</v>
      </c>
      <c r="G2810" s="17">
        <f>IF($H2810&lt;&gt;"ALEM","",IFERROR(
  DATE(
    YEAR(EDATE(
      _xlfn.XLOOKUP($A2810,'RESUMEN CLIENTES'!$D:$D,'RESUMEN CLIENTES'!$Y:$Y,""),
      7 + COUNTIFS(
            $A$2:INDEX($A:$A,ROW()), $A2810,
            $H$2:INDEX($H:$H,ROW()), "ALEM"
          )
    )),
    MONTH(EDATE(
      _xlfn.XLOOKUP($A2810,'RESUMEN CLIENTES'!$D:$D,'RESUMEN CLIENTES'!$Y:$Y,""),
      7 + COUNTIFS(
            $A$2:INDEX($A:$A,ROW()), $A2810,
            $H$2:INDEX($H:$H,ROW()), "ALEM"
          )
    )),
    1
  ),
"SIN FECHA MIG"))</f>
        <v>47239</v>
      </c>
      <c r="H2810" s="44" t="s">
        <v>1876</v>
      </c>
      <c r="I2810" s="2">
        <v>800</v>
      </c>
      <c r="J2810"/>
      <c r="K2810"/>
      <c r="L2810" s="44" t="str" cm="1">
        <f t="array" ref="L2810">+_xlfn.IFS(COUNTIF(INGRESOS!E:E,Tabla6[[#This Row],[ID FACTURA]])=1,"PAGADA",Tabla6[[#This Row],[ID FACTURA]]&lt;&gt;0,"EMITIDA",Tabla6[[#This Row],[ID FACTURA]]=0,"POR EMITIR")</f>
        <v>POR EMITIR</v>
      </c>
      <c r="M2810" s="55" t="str">
        <f>+IF(Tabla6[[#This Row],[ESTADO FACTURA]]="PAGADA",Tabla6[[#This Row],[FECHA]]-_xlfn.XLOOKUP(Tabla6[[#This Row],[N° FACTURA]],INGRESOS!F:F,INGRESOS!A:A),"-")</f>
        <v>-</v>
      </c>
      <c r="N2810" s="2"/>
      <c r="O2810"/>
    </row>
    <row r="2811" spans="1:15">
      <c r="A2811" s="321" t="s">
        <v>1756</v>
      </c>
      <c r="B2811" t="str">
        <f>+_xlfn.XLOOKUP(Tabla6[[#This Row],[ID CLIENTE]],'RESUMEN CLIENTES'!D:D,'RESUMEN CLIENTES'!A:A)</f>
        <v>Aylin Micaela Ortiz Chiriboga</v>
      </c>
      <c r="C2811" t="str">
        <f>+_xlfn.XLOOKUP(Tabla6[[#This Row],[ID CLIENTE]],'RESUMEN CLIENTES'!D:D,'RESUMEN CLIENTES'!C:C)</f>
        <v>Ecuador</v>
      </c>
      <c r="D2811" s="169" t="str">
        <f>+_xlfn.XLOOKUP(Tabla6[[#This Row],[ID CLIENTE]],'RESUMEN CLIENTES'!D:D,'RESUMEN CLIENTES'!M:M)</f>
        <v>¡REGULARIZAR!</v>
      </c>
      <c r="E2811" s="71">
        <f>+_xlfn.XLOOKUP(Tabla6[[#This Row],[NOMBRE]],'RESUMEN CLIENTES'!A:A,'RESUMEN CLIENTES'!X:X)</f>
        <v>0</v>
      </c>
      <c r="F2811" s="71">
        <f>+_xlfn.XLOOKUP(Tabla6[[#This Row],[ID CLIENTE]],'RESUMEN CLIENTES'!D:D,'RESUMEN CLIENTES'!W:W)</f>
        <v>1</v>
      </c>
      <c r="G2811" s="17">
        <f>IF($H2811&lt;&gt;"ALEM","",IFERROR(
  DATE(
    YEAR(EDATE(
      _xlfn.XLOOKUP($A2811,'RESUMEN CLIENTES'!$D:$D,'RESUMEN CLIENTES'!$Y:$Y,""),
      7 + COUNTIFS(
            $A$2:INDEX($A:$A,ROW()), $A2811,
            $H$2:INDEX($H:$H,ROW()), "ALEM"
          )
    )),
    MONTH(EDATE(
      _xlfn.XLOOKUP($A2811,'RESUMEN CLIENTES'!$D:$D,'RESUMEN CLIENTES'!$Y:$Y,""),
      7 + COUNTIFS(
            $A$2:INDEX($A:$A,ROW()), $A2811,
            $H$2:INDEX($H:$H,ROW()), "ALEM"
          )
    )),
    1
  ),
"SIN FECHA MIG"))</f>
        <v>47270</v>
      </c>
      <c r="H2811" s="169" t="s">
        <v>1876</v>
      </c>
      <c r="I2811" s="2">
        <v>800</v>
      </c>
      <c r="J2811"/>
      <c r="K2811"/>
      <c r="L2811" s="44" t="str" cm="1">
        <f t="array" ref="L2811">+_xlfn.IFS(COUNTIF(INGRESOS!E:E,Tabla6[[#This Row],[ID FACTURA]])=1,"PAGADA",Tabla6[[#This Row],[ID FACTURA]]&lt;&gt;0,"EMITIDA",Tabla6[[#This Row],[ID FACTURA]]=0,"POR EMITIR")</f>
        <v>POR EMITIR</v>
      </c>
      <c r="M2811" s="54" t="str">
        <f>+IF(Tabla6[[#This Row],[ESTADO FACTURA]]="PAGADA",Tabla6[[#This Row],[FECHA]]-_xlfn.XLOOKUP(Tabla6[[#This Row],[N° FACTURA]],INGRESOS!F:F,INGRESOS!A:A),"-")</f>
        <v>-</v>
      </c>
      <c r="O2811"/>
    </row>
    <row r="2812" spans="1:15">
      <c r="A2812" s="320" t="s">
        <v>2521</v>
      </c>
      <c r="B2812" t="str">
        <f>+_xlfn.XLOOKUP(Tabla6[[#This Row],[ID CLIENTE]],'RESUMEN CLIENTES'!D:D,'RESUMEN CLIENTES'!A:A)</f>
        <v>Fabián Andrés Sarmiento Auli</v>
      </c>
      <c r="C2812" t="str">
        <f>+_xlfn.XLOOKUP(Tabla6[[#This Row],[ID CLIENTE]],'RESUMEN CLIENTES'!D:D,'RESUMEN CLIENTES'!C:C)</f>
        <v>Colombia</v>
      </c>
      <c r="D2812" s="169" t="str">
        <f>+_xlfn.XLOOKUP(Tabla6[[#This Row],[ID CLIENTE]],'RESUMEN CLIENTES'!D:D,'RESUMEN CLIENTES'!M:M)</f>
        <v>OK</v>
      </c>
      <c r="E2812" s="71">
        <f>+_xlfn.XLOOKUP(Tabla6[[#This Row],[NOMBRE]],'RESUMEN CLIENTES'!A:A,'RESUMEN CLIENTES'!X:X)</f>
        <v>0</v>
      </c>
      <c r="F2812" s="71">
        <f>+_xlfn.XLOOKUP(Tabla6[[#This Row],[ID CLIENTE]],'RESUMEN CLIENTES'!D:D,'RESUMEN CLIENTES'!W:W)</f>
        <v>0</v>
      </c>
      <c r="G2812" s="17">
        <f>IF($H2812&lt;&gt;"ALEM","",IFERROR(
  DATE(
    YEAR(EDATE(
      _xlfn.XLOOKUP($A2812,'RESUMEN CLIENTES'!$D:$D,'RESUMEN CLIENTES'!$Y:$Y,""),
      7 + COUNTIFS(
            $A$2:INDEX($A:$A,ROW()), $A2812,
            $H$2:INDEX($H:$H,ROW()), "ALEM"
          )
    )),
    MONTH(EDATE(
      _xlfn.XLOOKUP($A2812,'RESUMEN CLIENTES'!$D:$D,'RESUMEN CLIENTES'!$Y:$Y,""),
      7 + COUNTIFS(
            $A$2:INDEX($A:$A,ROW()), $A2812,
            $H$2:INDEX($H:$H,ROW()), "ALEM"
          )
    )),
    1
  ),
"null"))</f>
        <v>47270</v>
      </c>
      <c r="H2812" s="169" t="s">
        <v>1876</v>
      </c>
      <c r="I2812" s="2">
        <v>800</v>
      </c>
      <c r="J2812"/>
      <c r="K2812"/>
      <c r="L2812" s="44" t="str" cm="1">
        <f t="array" ref="L2812">+_xlfn.IFS(COUNTIF(INGRESOS!E:E,Tabla6[[#This Row],[ID FACTURA]])=1,"PAGADA",Tabla6[[#This Row],[ID FACTURA]]&lt;&gt;0,"EMITIDA",Tabla6[[#This Row],[ID FACTURA]]=0,"POR EMITIR")</f>
        <v>POR EMITIR</v>
      </c>
      <c r="M2812" s="54" t="str">
        <f>+IF(Tabla6[[#This Row],[ESTADO FACTURA]]="PAGADA",Tabla6[[#This Row],[FECHA]]-_xlfn.XLOOKUP(Tabla6[[#This Row],[N° FACTURA]],INGRESOS!F:F,INGRESOS!A:A),"-")</f>
        <v>-</v>
      </c>
      <c r="O2812"/>
    </row>
    <row r="2813" spans="1:15">
      <c r="A2813" s="320" t="s">
        <v>2046</v>
      </c>
      <c r="B2813" t="str">
        <f>+_xlfn.XLOOKUP(Tabla6[[#This Row],[ID CLIENTE]],'RESUMEN CLIENTES'!D:D,'RESUMEN CLIENTES'!A:A)</f>
        <v>Jesica Daniela Paredes Mendoza</v>
      </c>
      <c r="C2813" t="str">
        <f>+_xlfn.XLOOKUP(Tabla6[[#This Row],[ID CLIENTE]],'RESUMEN CLIENTES'!D:D,'RESUMEN CLIENTES'!C:C)</f>
        <v>México</v>
      </c>
      <c r="D2813" s="169" t="str">
        <f>+_xlfn.XLOOKUP(Tabla6[[#This Row],[ID CLIENTE]],'RESUMEN CLIENTES'!D:D,'RESUMEN CLIENTES'!M:M)</f>
        <v>OK</v>
      </c>
      <c r="E2813" s="71">
        <f>+_xlfn.XLOOKUP(Tabla6[[#This Row],[NOMBRE]],'RESUMEN CLIENTES'!A:A,'RESUMEN CLIENTES'!X:X)</f>
        <v>-2.75</v>
      </c>
      <c r="F2813" s="71">
        <f>+_xlfn.XLOOKUP(Tabla6[[#This Row],[ID CLIENTE]],'RESUMEN CLIENTES'!D:D,'RESUMEN CLIENTES'!W:W)</f>
        <v>1</v>
      </c>
      <c r="G2813" s="17">
        <f>IF($H2813&lt;&gt;"ALEM","",IFERROR(
  DATE(
    YEAR(EDATE(
      _xlfn.XLOOKUP($A2813,'RESUMEN CLIENTES'!$D:$D,'RESUMEN CLIENTES'!$Y:$Y,""),
      7 + COUNTIFS(
            $A$2:INDEX($A:$A,ROW()), $A2813,
            $H$2:INDEX($H:$H,ROW()), "ALEM"
          )
    )),
    MONTH(EDATE(
      _xlfn.XLOOKUP($A2813,'RESUMEN CLIENTES'!$D:$D,'RESUMEN CLIENTES'!$Y:$Y,""),
      7 + COUNTIFS(
            $A$2:INDEX($A:$A,ROW()), $A2813,
            $H$2:INDEX($H:$H,ROW()), "ALEM"
          )
    )),
    1
  ),
"null"))</f>
        <v>47270</v>
      </c>
      <c r="H2813" s="169" t="s">
        <v>1876</v>
      </c>
      <c r="I2813" s="2">
        <v>1000</v>
      </c>
      <c r="J2813"/>
      <c r="K2813"/>
      <c r="L2813" s="44" t="str" cm="1">
        <f t="array" ref="L2813">+_xlfn.IFS(COUNTIF(INGRESOS!E:E,Tabla6[[#This Row],[ID FACTURA]])=1,"PAGADA",Tabla6[[#This Row],[ID FACTURA]]&lt;&gt;0,"EMITIDA",Tabla6[[#This Row],[ID FACTURA]]=0,"POR EMITIR")</f>
        <v>POR EMITIR</v>
      </c>
      <c r="M2813" s="54" t="str">
        <f>+IF(Tabla6[[#This Row],[ESTADO FACTURA]]="PAGADA",Tabla6[[#This Row],[FECHA]]-_xlfn.XLOOKUP(Tabla6[[#This Row],[N° FACTURA]],INGRESOS!F:F,INGRESOS!A:A),"-")</f>
        <v>-</v>
      </c>
      <c r="O2813"/>
    </row>
    <row r="2814" spans="1:15">
      <c r="A2814" s="320" t="s">
        <v>1416</v>
      </c>
      <c r="B2814" t="str">
        <f>+_xlfn.XLOOKUP(Tabla6[[#This Row],[ID CLIENTE]],'RESUMEN CLIENTES'!D:D,'RESUMEN CLIENTES'!A:A)</f>
        <v>Luis Armando Calderon Manzanera</v>
      </c>
      <c r="C2814" t="str">
        <f>+_xlfn.XLOOKUP(Tabla6[[#This Row],[ID CLIENTE]],'RESUMEN CLIENTES'!D:D,'RESUMEN CLIENTES'!C:C)</f>
        <v>México</v>
      </c>
      <c r="D2814" s="44" t="str">
        <f>+_xlfn.XLOOKUP(Tabla6[[#This Row],[ID CLIENTE]],'RESUMEN CLIENTES'!D:D,'RESUMEN CLIENTES'!M:M)</f>
        <v>OK</v>
      </c>
      <c r="E2814" s="71">
        <f>+_xlfn.XLOOKUP(Tabla6[[#This Row],[NOMBRE]],'RESUMEN CLIENTES'!A:A,'RESUMEN CLIENTES'!X:X)</f>
        <v>2</v>
      </c>
      <c r="F2814" s="71">
        <f>+_xlfn.XLOOKUP(Tabla6[[#This Row],[ID CLIENTE]],'RESUMEN CLIENTES'!D:D,'RESUMEN CLIENTES'!W:W)</f>
        <v>1</v>
      </c>
      <c r="G2814" s="17">
        <f>IF($H2814&lt;&gt;"ALEM","",IFERROR(
  DATE(
    YEAR(EDATE(
      _xlfn.XLOOKUP($A2814,'RESUMEN CLIENTES'!$D:$D,'RESUMEN CLIENTES'!$Y:$Y,""),
      7 + COUNTIFS(
            $A$2:INDEX($A:$A,ROW()), $A2814,
            $H$2:INDEX($H:$H,ROW()), "ALEM"
          )
    )),
    MONTH(EDATE(
      _xlfn.XLOOKUP($A2814,'RESUMEN CLIENTES'!$D:$D,'RESUMEN CLIENTES'!$Y:$Y,""),
      7 + COUNTIFS(
            $A$2:INDEX($A:$A,ROW()), $A2814,
            $H$2:INDEX($H:$H,ROW()), "ALEM"
          )
    )),
    1
  ),
"SIN FECHA MIG"))</f>
        <v>47270</v>
      </c>
      <c r="H2814" s="44" t="s">
        <v>1876</v>
      </c>
      <c r="I2814" s="2">
        <v>800</v>
      </c>
      <c r="J2814"/>
      <c r="K2814"/>
      <c r="L2814" s="44" t="str" cm="1">
        <f t="array" ref="L2814">+_xlfn.IFS(COUNTIF(INGRESOS!E:E,Tabla6[[#This Row],[ID FACTURA]])=1,"PAGADA",Tabla6[[#This Row],[ID FACTURA]]&lt;&gt;0,"EMITIDA",Tabla6[[#This Row],[ID FACTURA]]=0,"POR EMITIR")</f>
        <v>POR EMITIR</v>
      </c>
      <c r="M2814" s="55" t="str">
        <f>+IF(Tabla6[[#This Row],[ESTADO FACTURA]]="PAGADA",Tabla6[[#This Row],[FECHA]]-_xlfn.XLOOKUP(Tabla6[[#This Row],[N° FACTURA]],INGRESOS!F:F,INGRESOS!A:A),"-")</f>
        <v>-</v>
      </c>
      <c r="N2814" s="2"/>
      <c r="O2814"/>
    </row>
    <row r="2815" spans="1:15">
      <c r="A2815" s="321" t="s">
        <v>1756</v>
      </c>
      <c r="B2815" t="str">
        <f>+_xlfn.XLOOKUP(Tabla6[[#This Row],[ID CLIENTE]],'RESUMEN CLIENTES'!D:D,'RESUMEN CLIENTES'!A:A)</f>
        <v>Aylin Micaela Ortiz Chiriboga</v>
      </c>
      <c r="C2815" t="str">
        <f>+_xlfn.XLOOKUP(Tabla6[[#This Row],[ID CLIENTE]],'RESUMEN CLIENTES'!D:D,'RESUMEN CLIENTES'!C:C)</f>
        <v>Ecuador</v>
      </c>
      <c r="D2815" s="169" t="str">
        <f>+_xlfn.XLOOKUP(Tabla6[[#This Row],[ID CLIENTE]],'RESUMEN CLIENTES'!D:D,'RESUMEN CLIENTES'!M:M)</f>
        <v>¡REGULARIZAR!</v>
      </c>
      <c r="E2815" s="71">
        <f>+_xlfn.XLOOKUP(Tabla6[[#This Row],[NOMBRE]],'RESUMEN CLIENTES'!A:A,'RESUMEN CLIENTES'!X:X)</f>
        <v>0</v>
      </c>
      <c r="F2815" s="71">
        <f>+_xlfn.XLOOKUP(Tabla6[[#This Row],[ID CLIENTE]],'RESUMEN CLIENTES'!D:D,'RESUMEN CLIENTES'!W:W)</f>
        <v>1</v>
      </c>
      <c r="G2815" s="17">
        <f>IF($H2815&lt;&gt;"ALEM","",IFERROR(
  DATE(
    YEAR(EDATE(
      _xlfn.XLOOKUP($A2815,'RESUMEN CLIENTES'!$D:$D,'RESUMEN CLIENTES'!$Y:$Y,""),
      7 + COUNTIFS(
            $A$2:INDEX($A:$A,ROW()), $A2815,
            $H$2:INDEX($H:$H,ROW()), "ALEM"
          )
    )),
    MONTH(EDATE(
      _xlfn.XLOOKUP($A2815,'RESUMEN CLIENTES'!$D:$D,'RESUMEN CLIENTES'!$Y:$Y,""),
      7 + COUNTIFS(
            $A$2:INDEX($A:$A,ROW()), $A2815,
            $H$2:INDEX($H:$H,ROW()), "ALEM"
          )
    )),
    1
  ),
"SIN FECHA MIG"))</f>
        <v>47300</v>
      </c>
      <c r="H2815" s="169" t="s">
        <v>1876</v>
      </c>
      <c r="I2815" s="2">
        <v>800</v>
      </c>
      <c r="J2815"/>
      <c r="K2815"/>
      <c r="L2815" s="44" t="str" cm="1">
        <f t="array" ref="L2815">+_xlfn.IFS(COUNTIF(INGRESOS!E:E,Tabla6[[#This Row],[ID FACTURA]])=1,"PAGADA",Tabla6[[#This Row],[ID FACTURA]]&lt;&gt;0,"EMITIDA",Tabla6[[#This Row],[ID FACTURA]]=0,"POR EMITIR")</f>
        <v>POR EMITIR</v>
      </c>
      <c r="M2815" s="54" t="str">
        <f>+IF(Tabla6[[#This Row],[ESTADO FACTURA]]="PAGADA",Tabla6[[#This Row],[FECHA]]-_xlfn.XLOOKUP(Tabla6[[#This Row],[N° FACTURA]],INGRESOS!F:F,INGRESOS!A:A),"-")</f>
        <v>-</v>
      </c>
      <c r="O2815"/>
    </row>
    <row r="2816" spans="1:15">
      <c r="A2816" s="320" t="s">
        <v>2521</v>
      </c>
      <c r="B2816" t="str">
        <f>+_xlfn.XLOOKUP(Tabla6[[#This Row],[ID CLIENTE]],'RESUMEN CLIENTES'!D:D,'RESUMEN CLIENTES'!A:A)</f>
        <v>Fabián Andrés Sarmiento Auli</v>
      </c>
      <c r="C2816" t="str">
        <f>+_xlfn.XLOOKUP(Tabla6[[#This Row],[ID CLIENTE]],'RESUMEN CLIENTES'!D:D,'RESUMEN CLIENTES'!C:C)</f>
        <v>Colombia</v>
      </c>
      <c r="D2816" s="169" t="str">
        <f>+_xlfn.XLOOKUP(Tabla6[[#This Row],[ID CLIENTE]],'RESUMEN CLIENTES'!D:D,'RESUMEN CLIENTES'!M:M)</f>
        <v>OK</v>
      </c>
      <c r="E2816" s="71">
        <f>+_xlfn.XLOOKUP(Tabla6[[#This Row],[NOMBRE]],'RESUMEN CLIENTES'!A:A,'RESUMEN CLIENTES'!X:X)</f>
        <v>0</v>
      </c>
      <c r="F2816" s="71">
        <f>+_xlfn.XLOOKUP(Tabla6[[#This Row],[ID CLIENTE]],'RESUMEN CLIENTES'!D:D,'RESUMEN CLIENTES'!W:W)</f>
        <v>0</v>
      </c>
      <c r="G2816" s="17">
        <f>IF($H2816&lt;&gt;"ALEM","",IFERROR(
  DATE(
    YEAR(EDATE(
      _xlfn.XLOOKUP($A2816,'RESUMEN CLIENTES'!$D:$D,'RESUMEN CLIENTES'!$Y:$Y,""),
      7 + COUNTIFS(
            $A$2:INDEX($A:$A,ROW()), $A2816,
            $H$2:INDEX($H:$H,ROW()), "ALEM"
          )
    )),
    MONTH(EDATE(
      _xlfn.XLOOKUP($A2816,'RESUMEN CLIENTES'!$D:$D,'RESUMEN CLIENTES'!$Y:$Y,""),
      7 + COUNTIFS(
            $A$2:INDEX($A:$A,ROW()), $A2816,
            $H$2:INDEX($H:$H,ROW()), "ALEM"
          )
    )),
    1
  ),
"null"))</f>
        <v>47300</v>
      </c>
      <c r="H2816" s="169" t="s">
        <v>1876</v>
      </c>
      <c r="I2816" s="2">
        <v>800</v>
      </c>
      <c r="J2816"/>
      <c r="K2816"/>
      <c r="L2816" s="44" t="str" cm="1">
        <f t="array" ref="L2816">+_xlfn.IFS(COUNTIF(INGRESOS!E:E,Tabla6[[#This Row],[ID FACTURA]])=1,"PAGADA",Tabla6[[#This Row],[ID FACTURA]]&lt;&gt;0,"EMITIDA",Tabla6[[#This Row],[ID FACTURA]]=0,"POR EMITIR")</f>
        <v>POR EMITIR</v>
      </c>
      <c r="M2816" s="54" t="str">
        <f>+IF(Tabla6[[#This Row],[ESTADO FACTURA]]="PAGADA",Tabla6[[#This Row],[FECHA]]-_xlfn.XLOOKUP(Tabla6[[#This Row],[N° FACTURA]],INGRESOS!F:F,INGRESOS!A:A),"-")</f>
        <v>-</v>
      </c>
      <c r="O2816"/>
    </row>
    <row r="2817" spans="1:15">
      <c r="A2817" s="320" t="s">
        <v>2046</v>
      </c>
      <c r="B2817" t="str">
        <f>+_xlfn.XLOOKUP(Tabla6[[#This Row],[ID CLIENTE]],'RESUMEN CLIENTES'!D:D,'RESUMEN CLIENTES'!A:A)</f>
        <v>Jesica Daniela Paredes Mendoza</v>
      </c>
      <c r="C2817" t="str">
        <f>+_xlfn.XLOOKUP(Tabla6[[#This Row],[ID CLIENTE]],'RESUMEN CLIENTES'!D:D,'RESUMEN CLIENTES'!C:C)</f>
        <v>México</v>
      </c>
      <c r="D2817" s="169" t="str">
        <f>+_xlfn.XLOOKUP(Tabla6[[#This Row],[ID CLIENTE]],'RESUMEN CLIENTES'!D:D,'RESUMEN CLIENTES'!M:M)</f>
        <v>OK</v>
      </c>
      <c r="E2817" s="71">
        <f>+_xlfn.XLOOKUP(Tabla6[[#This Row],[NOMBRE]],'RESUMEN CLIENTES'!A:A,'RESUMEN CLIENTES'!X:X)</f>
        <v>-2.75</v>
      </c>
      <c r="F2817" s="71">
        <f>+_xlfn.XLOOKUP(Tabla6[[#This Row],[ID CLIENTE]],'RESUMEN CLIENTES'!D:D,'RESUMEN CLIENTES'!W:W)</f>
        <v>1</v>
      </c>
      <c r="G2817" s="17">
        <f>IF($H2817&lt;&gt;"ALEM","",IFERROR(
  DATE(
    YEAR(EDATE(
      _xlfn.XLOOKUP($A2817,'RESUMEN CLIENTES'!$D:$D,'RESUMEN CLIENTES'!$Y:$Y,""),
      7 + COUNTIFS(
            $A$2:INDEX($A:$A,ROW()), $A2817,
            $H$2:INDEX($H:$H,ROW()), "ALEM"
          )
    )),
    MONTH(EDATE(
      _xlfn.XLOOKUP($A2817,'RESUMEN CLIENTES'!$D:$D,'RESUMEN CLIENTES'!$Y:$Y,""),
      7 + COUNTIFS(
            $A$2:INDEX($A:$A,ROW()), $A2817,
            $H$2:INDEX($H:$H,ROW()), "ALEM"
          )
    )),
    1
  ),
"null"))</f>
        <v>47300</v>
      </c>
      <c r="H2817" s="169" t="s">
        <v>1876</v>
      </c>
      <c r="I2817" s="2">
        <v>1000</v>
      </c>
      <c r="J2817"/>
      <c r="K2817"/>
      <c r="L2817" s="44" t="str" cm="1">
        <f t="array" ref="L2817">+_xlfn.IFS(COUNTIF(INGRESOS!E:E,Tabla6[[#This Row],[ID FACTURA]])=1,"PAGADA",Tabla6[[#This Row],[ID FACTURA]]&lt;&gt;0,"EMITIDA",Tabla6[[#This Row],[ID FACTURA]]=0,"POR EMITIR")</f>
        <v>POR EMITIR</v>
      </c>
      <c r="M2817" s="54" t="str">
        <f>+IF(Tabla6[[#This Row],[ESTADO FACTURA]]="PAGADA",Tabla6[[#This Row],[FECHA]]-_xlfn.XLOOKUP(Tabla6[[#This Row],[N° FACTURA]],INGRESOS!F:F,INGRESOS!A:A),"-")</f>
        <v>-</v>
      </c>
      <c r="O2817"/>
    </row>
    <row r="2818" spans="1:15">
      <c r="A2818" s="320" t="s">
        <v>1416</v>
      </c>
      <c r="B2818" t="str">
        <f>+_xlfn.XLOOKUP(Tabla6[[#This Row],[ID CLIENTE]],'RESUMEN CLIENTES'!D:D,'RESUMEN CLIENTES'!A:A)</f>
        <v>Luis Armando Calderon Manzanera</v>
      </c>
      <c r="C2818" t="str">
        <f>+_xlfn.XLOOKUP(Tabla6[[#This Row],[ID CLIENTE]],'RESUMEN CLIENTES'!D:D,'RESUMEN CLIENTES'!C:C)</f>
        <v>México</v>
      </c>
      <c r="D2818" s="44" t="str">
        <f>+_xlfn.XLOOKUP(Tabla6[[#This Row],[ID CLIENTE]],'RESUMEN CLIENTES'!D:D,'RESUMEN CLIENTES'!M:M)</f>
        <v>OK</v>
      </c>
      <c r="E2818" s="71">
        <f>+_xlfn.XLOOKUP(Tabla6[[#This Row],[NOMBRE]],'RESUMEN CLIENTES'!A:A,'RESUMEN CLIENTES'!X:X)</f>
        <v>2</v>
      </c>
      <c r="F2818" s="71">
        <f>+_xlfn.XLOOKUP(Tabla6[[#This Row],[ID CLIENTE]],'RESUMEN CLIENTES'!D:D,'RESUMEN CLIENTES'!W:W)</f>
        <v>1</v>
      </c>
      <c r="G2818" s="17">
        <f>IF($H2818&lt;&gt;"ALEM","",IFERROR(
  DATE(
    YEAR(EDATE(
      _xlfn.XLOOKUP($A2818,'RESUMEN CLIENTES'!$D:$D,'RESUMEN CLIENTES'!$Y:$Y,""),
      7 + COUNTIFS(
            $A$2:INDEX($A:$A,ROW()), $A2818,
            $H$2:INDEX($H:$H,ROW()), "ALEM"
          )
    )),
    MONTH(EDATE(
      _xlfn.XLOOKUP($A2818,'RESUMEN CLIENTES'!$D:$D,'RESUMEN CLIENTES'!$Y:$Y,""),
      7 + COUNTIFS(
            $A$2:INDEX($A:$A,ROW()), $A2818,
            $H$2:INDEX($H:$H,ROW()), "ALEM"
          )
    )),
    1
  ),
"SIN FECHA MIG"))</f>
        <v>47300</v>
      </c>
      <c r="H2818" s="44" t="s">
        <v>1876</v>
      </c>
      <c r="I2818" s="2">
        <v>800</v>
      </c>
      <c r="J2818"/>
      <c r="K2818"/>
      <c r="L2818" s="44" t="str" cm="1">
        <f t="array" ref="L2818">+_xlfn.IFS(COUNTIF(INGRESOS!E:E,Tabla6[[#This Row],[ID FACTURA]])=1,"PAGADA",Tabla6[[#This Row],[ID FACTURA]]&lt;&gt;0,"EMITIDA",Tabla6[[#This Row],[ID FACTURA]]=0,"POR EMITIR")</f>
        <v>POR EMITIR</v>
      </c>
      <c r="M2818" s="55" t="str">
        <f>+IF(Tabla6[[#This Row],[ESTADO FACTURA]]="PAGADA",Tabla6[[#This Row],[FECHA]]-_xlfn.XLOOKUP(Tabla6[[#This Row],[N° FACTURA]],INGRESOS!F:F,INGRESOS!A:A),"-")</f>
        <v>-</v>
      </c>
      <c r="N2818" s="2"/>
      <c r="O2818"/>
    </row>
    <row r="2819" spans="1:15">
      <c r="A2819" s="320" t="s">
        <v>2521</v>
      </c>
      <c r="B2819" t="str">
        <f>+_xlfn.XLOOKUP(Tabla6[[#This Row],[ID CLIENTE]],'RESUMEN CLIENTES'!D:D,'RESUMEN CLIENTES'!A:A)</f>
        <v>Fabián Andrés Sarmiento Auli</v>
      </c>
      <c r="C2819" t="str">
        <f>+_xlfn.XLOOKUP(Tabla6[[#This Row],[ID CLIENTE]],'RESUMEN CLIENTES'!D:D,'RESUMEN CLIENTES'!C:C)</f>
        <v>Colombia</v>
      </c>
      <c r="D2819" s="169" t="str">
        <f>+_xlfn.XLOOKUP(Tabla6[[#This Row],[ID CLIENTE]],'RESUMEN CLIENTES'!D:D,'RESUMEN CLIENTES'!M:M)</f>
        <v>OK</v>
      </c>
      <c r="E2819" s="71">
        <f>+_xlfn.XLOOKUP(Tabla6[[#This Row],[NOMBRE]],'RESUMEN CLIENTES'!A:A,'RESUMEN CLIENTES'!X:X)</f>
        <v>0</v>
      </c>
      <c r="F2819" s="71">
        <f>+_xlfn.XLOOKUP(Tabla6[[#This Row],[ID CLIENTE]],'RESUMEN CLIENTES'!D:D,'RESUMEN CLIENTES'!W:W)</f>
        <v>0</v>
      </c>
      <c r="G2819" s="17">
        <f>IF($H2819&lt;&gt;"ALEM","",IFERROR(
  DATE(
    YEAR(EDATE(
      _xlfn.XLOOKUP($A2819,'RESUMEN CLIENTES'!$D:$D,'RESUMEN CLIENTES'!$Y:$Y,""),
      7 + COUNTIFS(
            $A$2:INDEX($A:$A,ROW()), $A2819,
            $H$2:INDEX($H:$H,ROW()), "ALEM"
          )
    )),
    MONTH(EDATE(
      _xlfn.XLOOKUP($A2819,'RESUMEN CLIENTES'!$D:$D,'RESUMEN CLIENTES'!$Y:$Y,""),
      7 + COUNTIFS(
            $A$2:INDEX($A:$A,ROW()), $A2819,
            $H$2:INDEX($H:$H,ROW()), "ALEM"
          )
    )),
    1
  ),
"null"))</f>
        <v>47331</v>
      </c>
      <c r="H2819" s="169" t="s">
        <v>1876</v>
      </c>
      <c r="I2819" s="2">
        <v>800</v>
      </c>
      <c r="J2819"/>
      <c r="K2819"/>
      <c r="L2819" s="44" t="str" cm="1">
        <f t="array" ref="L2819">+_xlfn.IFS(COUNTIF(INGRESOS!E:E,Tabla6[[#This Row],[ID FACTURA]])=1,"PAGADA",Tabla6[[#This Row],[ID FACTURA]]&lt;&gt;0,"EMITIDA",Tabla6[[#This Row],[ID FACTURA]]=0,"POR EMITIR")</f>
        <v>POR EMITIR</v>
      </c>
      <c r="M2819" s="54" t="str">
        <f>+IF(Tabla6[[#This Row],[ESTADO FACTURA]]="PAGADA",Tabla6[[#This Row],[FECHA]]-_xlfn.XLOOKUP(Tabla6[[#This Row],[N° FACTURA]],INGRESOS!F:F,INGRESOS!A:A),"-")</f>
        <v>-</v>
      </c>
      <c r="O2819"/>
    </row>
    <row r="2820" spans="1:15">
      <c r="A2820" s="320" t="s">
        <v>2046</v>
      </c>
      <c r="B2820" t="str">
        <f>+_xlfn.XLOOKUP(Tabla6[[#This Row],[ID CLIENTE]],'RESUMEN CLIENTES'!D:D,'RESUMEN CLIENTES'!A:A)</f>
        <v>Jesica Daniela Paredes Mendoza</v>
      </c>
      <c r="C2820" t="str">
        <f>+_xlfn.XLOOKUP(Tabla6[[#This Row],[ID CLIENTE]],'RESUMEN CLIENTES'!D:D,'RESUMEN CLIENTES'!C:C)</f>
        <v>México</v>
      </c>
      <c r="D2820" s="169" t="str">
        <f>+_xlfn.XLOOKUP(Tabla6[[#This Row],[ID CLIENTE]],'RESUMEN CLIENTES'!D:D,'RESUMEN CLIENTES'!M:M)</f>
        <v>OK</v>
      </c>
      <c r="E2820" s="71">
        <f>+_xlfn.XLOOKUP(Tabla6[[#This Row],[NOMBRE]],'RESUMEN CLIENTES'!A:A,'RESUMEN CLIENTES'!X:X)</f>
        <v>-2.75</v>
      </c>
      <c r="F2820" s="71">
        <f>+_xlfn.XLOOKUP(Tabla6[[#This Row],[ID CLIENTE]],'RESUMEN CLIENTES'!D:D,'RESUMEN CLIENTES'!W:W)</f>
        <v>1</v>
      </c>
      <c r="G2820" s="17">
        <f>IF($H2820&lt;&gt;"ALEM","",IFERROR(
  DATE(
    YEAR(EDATE(
      _xlfn.XLOOKUP($A2820,'RESUMEN CLIENTES'!$D:$D,'RESUMEN CLIENTES'!$Y:$Y,""),
      7 + COUNTIFS(
            $A$2:INDEX($A:$A,ROW()), $A2820,
            $H$2:INDEX($H:$H,ROW()), "ALEM"
          )
    )),
    MONTH(EDATE(
      _xlfn.XLOOKUP($A2820,'RESUMEN CLIENTES'!$D:$D,'RESUMEN CLIENTES'!$Y:$Y,""),
      7 + COUNTIFS(
            $A$2:INDEX($A:$A,ROW()), $A2820,
            $H$2:INDEX($H:$H,ROW()), "ALEM"
          )
    )),
    1
  ),
"null"))</f>
        <v>47331</v>
      </c>
      <c r="H2820" s="169" t="s">
        <v>1876</v>
      </c>
      <c r="I2820" s="2">
        <v>1000</v>
      </c>
      <c r="J2820"/>
      <c r="K2820"/>
      <c r="L2820" s="44" t="str" cm="1">
        <f t="array" ref="L2820">+_xlfn.IFS(COUNTIF(INGRESOS!E:E,Tabla6[[#This Row],[ID FACTURA]])=1,"PAGADA",Tabla6[[#This Row],[ID FACTURA]]&lt;&gt;0,"EMITIDA",Tabla6[[#This Row],[ID FACTURA]]=0,"POR EMITIR")</f>
        <v>POR EMITIR</v>
      </c>
      <c r="M2820" s="54" t="str">
        <f>+IF(Tabla6[[#This Row],[ESTADO FACTURA]]="PAGADA",Tabla6[[#This Row],[FECHA]]-_xlfn.XLOOKUP(Tabla6[[#This Row],[N° FACTURA]],INGRESOS!F:F,INGRESOS!A:A),"-")</f>
        <v>-</v>
      </c>
      <c r="O2820"/>
    </row>
    <row r="2821" spans="1:15">
      <c r="A2821" s="320" t="s">
        <v>2521</v>
      </c>
      <c r="B2821" t="str">
        <f>+_xlfn.XLOOKUP(Tabla6[[#This Row],[ID CLIENTE]],'RESUMEN CLIENTES'!D:D,'RESUMEN CLIENTES'!A:A)</f>
        <v>Fabián Andrés Sarmiento Auli</v>
      </c>
      <c r="C2821" t="str">
        <f>+_xlfn.XLOOKUP(Tabla6[[#This Row],[ID CLIENTE]],'RESUMEN CLIENTES'!D:D,'RESUMEN CLIENTES'!C:C)</f>
        <v>Colombia</v>
      </c>
      <c r="D2821" s="169" t="str">
        <f>+_xlfn.XLOOKUP(Tabla6[[#This Row],[ID CLIENTE]],'RESUMEN CLIENTES'!D:D,'RESUMEN CLIENTES'!M:M)</f>
        <v>OK</v>
      </c>
      <c r="E2821" s="71">
        <f>+_xlfn.XLOOKUP(Tabla6[[#This Row],[NOMBRE]],'RESUMEN CLIENTES'!A:A,'RESUMEN CLIENTES'!X:X)</f>
        <v>0</v>
      </c>
      <c r="F2821" s="71">
        <f>+_xlfn.XLOOKUP(Tabla6[[#This Row],[ID CLIENTE]],'RESUMEN CLIENTES'!D:D,'RESUMEN CLIENTES'!W:W)</f>
        <v>0</v>
      </c>
      <c r="G2821" s="17">
        <f>IF($H2821&lt;&gt;"ALEM","",IFERROR(
  DATE(
    YEAR(EDATE(
      _xlfn.XLOOKUP($A2821,'RESUMEN CLIENTES'!$D:$D,'RESUMEN CLIENTES'!$Y:$Y,""),
      7 + COUNTIFS(
            $A$2:INDEX($A:$A,ROW()), $A2821,
            $H$2:INDEX($H:$H,ROW()), "ALEM"
          )
    )),
    MONTH(EDATE(
      _xlfn.XLOOKUP($A2821,'RESUMEN CLIENTES'!$D:$D,'RESUMEN CLIENTES'!$Y:$Y,""),
      7 + COUNTIFS(
            $A$2:INDEX($A:$A,ROW()), $A2821,
            $H$2:INDEX($H:$H,ROW()), "ALEM"
          )
    )),
    1
  ),
"null"))</f>
        <v>47362</v>
      </c>
      <c r="H2821" s="169" t="s">
        <v>1876</v>
      </c>
      <c r="I2821" s="2">
        <v>800</v>
      </c>
      <c r="J2821"/>
      <c r="K2821"/>
      <c r="L2821" s="44" t="str" cm="1">
        <f t="array" ref="L2821">+_xlfn.IFS(COUNTIF(INGRESOS!E:E,Tabla6[[#This Row],[ID FACTURA]])=1,"PAGADA",Tabla6[[#This Row],[ID FACTURA]]&lt;&gt;0,"EMITIDA",Tabla6[[#This Row],[ID FACTURA]]=0,"POR EMITIR")</f>
        <v>POR EMITIR</v>
      </c>
      <c r="M2821" s="54" t="str">
        <f>+IF(Tabla6[[#This Row],[ESTADO FACTURA]]="PAGADA",Tabla6[[#This Row],[FECHA]]-_xlfn.XLOOKUP(Tabla6[[#This Row],[N° FACTURA]],INGRESOS!F:F,INGRESOS!A:A),"-")</f>
        <v>-</v>
      </c>
      <c r="O2821"/>
    </row>
    <row r="2822" spans="1:15">
      <c r="A2822" s="320" t="s">
        <v>450</v>
      </c>
      <c r="B2822" t="str">
        <f>+_xlfn.XLOOKUP(Tabla6[[#This Row],[ID CLIENTE]],'RESUMEN CLIENTES'!D:D,'RESUMEN CLIENTES'!A:A)</f>
        <v>Alexandra Carolina Ordoñez Cuotto</v>
      </c>
      <c r="C2822" t="str">
        <f>+_xlfn.XLOOKUP(Tabla6[[#This Row],[ID CLIENTE]],'RESUMEN CLIENTES'!D:D,'RESUMEN CLIENTES'!C:C)</f>
        <v>Venezuela</v>
      </c>
      <c r="D2822" s="44" t="str">
        <f>+_xlfn.XLOOKUP(Tabla6[[#This Row],[ID CLIENTE]],'RESUMEN CLIENTES'!D:D,'RESUMEN CLIENTES'!M:M)</f>
        <v>¡REGULARIZAR!</v>
      </c>
      <c r="E2822" s="72">
        <f>+_xlfn.XLOOKUP(Tabla6[[#This Row],[NOMBRE]],'RESUMEN CLIENTES'!A:A,'RESUMEN CLIENTES'!X:X)</f>
        <v>-2</v>
      </c>
      <c r="F2822" s="72">
        <f>+_xlfn.XLOOKUP(Tabla6[[#This Row],[ID CLIENTE]],'RESUMEN CLIENTES'!D:D,'RESUMEN CLIENTES'!W:W)</f>
        <v>0</v>
      </c>
      <c r="G2822" s="17" t="str">
        <f>IF($H2822&lt;&gt;"ALEM","",IFERROR(
  DATE(
    YEAR(EDATE(
      _xlfn.XLOOKUP($A2822,'RESUMEN CLIENTES'!$D:$D,'RESUMEN CLIENTES'!$Y:$Y,""),
      7 + COUNTIFS(
            $A$2:INDEX($A:$A,ROW()), $A2822,
            $H$2:INDEX($H:$H,ROW()), "ALEM"
          )
    )),
    MONTH(EDATE(
      _xlfn.XLOOKUP($A2822,'RESUMEN CLIENTES'!$D:$D,'RESUMEN CLIENTES'!$Y:$Y,""),
      7 + COUNTIFS(
            $A$2:INDEX($A:$A,ROW()), $A2822,
            $H$2:INDEX($H:$H,ROW()), "ALEM"
          )
    )),
    1
  ),
"null"))</f>
        <v>null</v>
      </c>
      <c r="H2822" s="44" t="s">
        <v>1876</v>
      </c>
      <c r="I2822" s="2">
        <v>1000</v>
      </c>
      <c r="J2822"/>
      <c r="K2822"/>
      <c r="L2822" s="44" t="str" cm="1">
        <f t="array" ref="L2822">+_xlfn.IFS(COUNTIF(INGRESOS!E:E,Tabla6[[#This Row],[ID FACTURA]])=1,"PAGADA",Tabla6[[#This Row],[ID FACTURA]]&lt;&gt;0,"EMITIDA",Tabla6[[#This Row],[ID FACTURA]]=0,"POR EMITIR")</f>
        <v>POR EMITIR</v>
      </c>
      <c r="M2822" s="55" t="str">
        <f>+IF(Tabla6[[#This Row],[ESTADO FACTURA]]="PAGADA",Tabla6[[#This Row],[FECHA]]-_xlfn.XLOOKUP(Tabla6[[#This Row],[N° FACTURA]],INGRESOS!F:F,INGRESOS!A:A),"-")</f>
        <v>-</v>
      </c>
      <c r="N2822" s="2"/>
      <c r="O2822"/>
    </row>
    <row r="2823" spans="1:15">
      <c r="A2823" s="320" t="s">
        <v>450</v>
      </c>
      <c r="B2823" t="str">
        <f>+_xlfn.XLOOKUP(Tabla6[[#This Row],[ID CLIENTE]],'RESUMEN CLIENTES'!D:D,'RESUMEN CLIENTES'!A:A)</f>
        <v>Alexandra Carolina Ordoñez Cuotto</v>
      </c>
      <c r="C2823" t="str">
        <f>+_xlfn.XLOOKUP(Tabla6[[#This Row],[ID CLIENTE]],'RESUMEN CLIENTES'!D:D,'RESUMEN CLIENTES'!C:C)</f>
        <v>Venezuela</v>
      </c>
      <c r="D2823" s="44" t="str">
        <f>+_xlfn.XLOOKUP(Tabla6[[#This Row],[ID CLIENTE]],'RESUMEN CLIENTES'!D:D,'RESUMEN CLIENTES'!M:M)</f>
        <v>¡REGULARIZAR!</v>
      </c>
      <c r="E2823" s="72">
        <f>+_xlfn.XLOOKUP(Tabla6[[#This Row],[NOMBRE]],'RESUMEN CLIENTES'!A:A,'RESUMEN CLIENTES'!X:X)</f>
        <v>-2</v>
      </c>
      <c r="F2823" s="72">
        <f>+_xlfn.XLOOKUP(Tabla6[[#This Row],[ID CLIENTE]],'RESUMEN CLIENTES'!D:D,'RESUMEN CLIENTES'!W:W)</f>
        <v>0</v>
      </c>
      <c r="G2823" s="17" t="str">
        <f>IF($H2823&lt;&gt;"ALEM","",IFERROR(
  DATE(
    YEAR(EDATE(
      _xlfn.XLOOKUP($A2823,'RESUMEN CLIENTES'!$D:$D,'RESUMEN CLIENTES'!$Y:$Y,""),
      7 + COUNTIFS(
            $A$2:INDEX($A:$A,ROW()), $A2823,
            $H$2:INDEX($H:$H,ROW()), "ALEM"
          )
    )),
    MONTH(EDATE(
      _xlfn.XLOOKUP($A2823,'RESUMEN CLIENTES'!$D:$D,'RESUMEN CLIENTES'!$Y:$Y,""),
      7 + COUNTIFS(
            $A$2:INDEX($A:$A,ROW()), $A2823,
            $H$2:INDEX($H:$H,ROW()), "ALEM"
          )
    )),
    1
  ),
"null"))</f>
        <v>null</v>
      </c>
      <c r="H2823" s="44" t="s">
        <v>1876</v>
      </c>
      <c r="I2823" s="2">
        <v>1000</v>
      </c>
      <c r="J2823"/>
      <c r="K2823"/>
      <c r="L2823" s="44" t="str" cm="1">
        <f t="array" ref="L2823">+_xlfn.IFS(COUNTIF(INGRESOS!E:E,Tabla6[[#This Row],[ID FACTURA]])=1,"PAGADA",Tabla6[[#This Row],[ID FACTURA]]&lt;&gt;0,"EMITIDA",Tabla6[[#This Row],[ID FACTURA]]=0,"POR EMITIR")</f>
        <v>POR EMITIR</v>
      </c>
      <c r="M2823" s="55" t="str">
        <f>+IF(Tabla6[[#This Row],[ESTADO FACTURA]]="PAGADA",Tabla6[[#This Row],[FECHA]]-_xlfn.XLOOKUP(Tabla6[[#This Row],[N° FACTURA]],INGRESOS!F:F,INGRESOS!A:A),"-")</f>
        <v>-</v>
      </c>
      <c r="N2823" s="2"/>
      <c r="O2823"/>
    </row>
    <row r="2824" spans="1:15">
      <c r="A2824" s="320" t="s">
        <v>450</v>
      </c>
      <c r="B2824" t="str">
        <f>+_xlfn.XLOOKUP(Tabla6[[#This Row],[ID CLIENTE]],'RESUMEN CLIENTES'!D:D,'RESUMEN CLIENTES'!A:A)</f>
        <v>Alexandra Carolina Ordoñez Cuotto</v>
      </c>
      <c r="C2824" t="str">
        <f>+_xlfn.XLOOKUP(Tabla6[[#This Row],[ID CLIENTE]],'RESUMEN CLIENTES'!D:D,'RESUMEN CLIENTES'!C:C)</f>
        <v>Venezuela</v>
      </c>
      <c r="D2824" s="44" t="str">
        <f>+_xlfn.XLOOKUP(Tabla6[[#This Row],[ID CLIENTE]],'RESUMEN CLIENTES'!D:D,'RESUMEN CLIENTES'!M:M)</f>
        <v>¡REGULARIZAR!</v>
      </c>
      <c r="E2824" s="72">
        <f>+_xlfn.XLOOKUP(Tabla6[[#This Row],[NOMBRE]],'RESUMEN CLIENTES'!A:A,'RESUMEN CLIENTES'!X:X)</f>
        <v>-2</v>
      </c>
      <c r="F2824" s="72">
        <f>+_xlfn.XLOOKUP(Tabla6[[#This Row],[ID CLIENTE]],'RESUMEN CLIENTES'!D:D,'RESUMEN CLIENTES'!W:W)</f>
        <v>0</v>
      </c>
      <c r="G2824" s="17" t="str">
        <f>IF($H2824&lt;&gt;"ALEM","",IFERROR(
  DATE(
    YEAR(EDATE(
      _xlfn.XLOOKUP($A2824,'RESUMEN CLIENTES'!$D:$D,'RESUMEN CLIENTES'!$Y:$Y,""),
      7 + COUNTIFS(
            $A$2:INDEX($A:$A,ROW()), $A2824,
            $H$2:INDEX($H:$H,ROW()), "ALEM"
          )
    )),
    MONTH(EDATE(
      _xlfn.XLOOKUP($A2824,'RESUMEN CLIENTES'!$D:$D,'RESUMEN CLIENTES'!$Y:$Y,""),
      7 + COUNTIFS(
            $A$2:INDEX($A:$A,ROW()), $A2824,
            $H$2:INDEX($H:$H,ROW()), "ALEM"
          )
    )),
    1
  ),
"null"))</f>
        <v>null</v>
      </c>
      <c r="H2824" s="44" t="s">
        <v>1876</v>
      </c>
      <c r="I2824" s="2">
        <v>1000</v>
      </c>
      <c r="J2824"/>
      <c r="K2824"/>
      <c r="L2824" s="44" t="str" cm="1">
        <f t="array" ref="L2824">+_xlfn.IFS(COUNTIF(INGRESOS!E:E,Tabla6[[#This Row],[ID FACTURA]])=1,"PAGADA",Tabla6[[#This Row],[ID FACTURA]]&lt;&gt;0,"EMITIDA",Tabla6[[#This Row],[ID FACTURA]]=0,"POR EMITIR")</f>
        <v>POR EMITIR</v>
      </c>
      <c r="M2824" s="55" t="str">
        <f>+IF(Tabla6[[#This Row],[ESTADO FACTURA]]="PAGADA",Tabla6[[#This Row],[FECHA]]-_xlfn.XLOOKUP(Tabla6[[#This Row],[N° FACTURA]],INGRESOS!F:F,INGRESOS!A:A),"-")</f>
        <v>-</v>
      </c>
      <c r="N2824" s="2"/>
      <c r="O2824"/>
    </row>
    <row r="2825" spans="1:15">
      <c r="A2825" s="320" t="s">
        <v>450</v>
      </c>
      <c r="B2825" t="str">
        <f>+_xlfn.XLOOKUP(Tabla6[[#This Row],[ID CLIENTE]],'RESUMEN CLIENTES'!D:D,'RESUMEN CLIENTES'!A:A)</f>
        <v>Alexandra Carolina Ordoñez Cuotto</v>
      </c>
      <c r="C2825" t="str">
        <f>+_xlfn.XLOOKUP(Tabla6[[#This Row],[ID CLIENTE]],'RESUMEN CLIENTES'!D:D,'RESUMEN CLIENTES'!C:C)</f>
        <v>Venezuela</v>
      </c>
      <c r="D2825" s="44" t="str">
        <f>+_xlfn.XLOOKUP(Tabla6[[#This Row],[ID CLIENTE]],'RESUMEN CLIENTES'!D:D,'RESUMEN CLIENTES'!M:M)</f>
        <v>¡REGULARIZAR!</v>
      </c>
      <c r="E2825" s="72">
        <f>+_xlfn.XLOOKUP(Tabla6[[#This Row],[NOMBRE]],'RESUMEN CLIENTES'!A:A,'RESUMEN CLIENTES'!X:X)</f>
        <v>-2</v>
      </c>
      <c r="F2825" s="72">
        <f>+_xlfn.XLOOKUP(Tabla6[[#This Row],[ID CLIENTE]],'RESUMEN CLIENTES'!D:D,'RESUMEN CLIENTES'!W:W)</f>
        <v>0</v>
      </c>
      <c r="G2825" s="17" t="str">
        <f>IF($H2825&lt;&gt;"ALEM","",IFERROR(
  DATE(
    YEAR(EDATE(
      _xlfn.XLOOKUP($A2825,'RESUMEN CLIENTES'!$D:$D,'RESUMEN CLIENTES'!$Y:$Y,""),
      7 + COUNTIFS(
            $A$2:INDEX($A:$A,ROW()), $A2825,
            $H$2:INDEX($H:$H,ROW()), "ALEM"
          )
    )),
    MONTH(EDATE(
      _xlfn.XLOOKUP($A2825,'RESUMEN CLIENTES'!$D:$D,'RESUMEN CLIENTES'!$Y:$Y,""),
      7 + COUNTIFS(
            $A$2:INDEX($A:$A,ROW()), $A2825,
            $H$2:INDEX($H:$H,ROW()), "ALEM"
          )
    )),
    1
  ),
"null"))</f>
        <v>null</v>
      </c>
      <c r="H2825" s="44" t="s">
        <v>1876</v>
      </c>
      <c r="I2825" s="2">
        <v>1000</v>
      </c>
      <c r="J2825"/>
      <c r="K2825"/>
      <c r="L2825" s="44" t="str" cm="1">
        <f t="array" ref="L2825">+_xlfn.IFS(COUNTIF(INGRESOS!E:E,Tabla6[[#This Row],[ID FACTURA]])=1,"PAGADA",Tabla6[[#This Row],[ID FACTURA]]&lt;&gt;0,"EMITIDA",Tabla6[[#This Row],[ID FACTURA]]=0,"POR EMITIR")</f>
        <v>POR EMITIR</v>
      </c>
      <c r="M2825" s="55" t="str">
        <f>+IF(Tabla6[[#This Row],[ESTADO FACTURA]]="PAGADA",Tabla6[[#This Row],[FECHA]]-_xlfn.XLOOKUP(Tabla6[[#This Row],[N° FACTURA]],INGRESOS!F:F,INGRESOS!A:A),"-")</f>
        <v>-</v>
      </c>
      <c r="N2825" s="2"/>
      <c r="O2825"/>
    </row>
    <row r="2826" spans="1:15">
      <c r="A2826" s="320" t="s">
        <v>450</v>
      </c>
      <c r="B2826" t="str">
        <f>+_xlfn.XLOOKUP(Tabla6[[#This Row],[ID CLIENTE]],'RESUMEN CLIENTES'!D:D,'RESUMEN CLIENTES'!A:A)</f>
        <v>Alexandra Carolina Ordoñez Cuotto</v>
      </c>
      <c r="C2826" t="str">
        <f>+_xlfn.XLOOKUP(Tabla6[[#This Row],[ID CLIENTE]],'RESUMEN CLIENTES'!D:D,'RESUMEN CLIENTES'!C:C)</f>
        <v>Venezuela</v>
      </c>
      <c r="D2826" s="44" t="str">
        <f>+_xlfn.XLOOKUP(Tabla6[[#This Row],[ID CLIENTE]],'RESUMEN CLIENTES'!D:D,'RESUMEN CLIENTES'!M:M)</f>
        <v>¡REGULARIZAR!</v>
      </c>
      <c r="E2826" s="72">
        <f>+_xlfn.XLOOKUP(Tabla6[[#This Row],[NOMBRE]],'RESUMEN CLIENTES'!A:A,'RESUMEN CLIENTES'!X:X)</f>
        <v>-2</v>
      </c>
      <c r="F2826" s="72">
        <f>+_xlfn.XLOOKUP(Tabla6[[#This Row],[ID CLIENTE]],'RESUMEN CLIENTES'!D:D,'RESUMEN CLIENTES'!W:W)</f>
        <v>0</v>
      </c>
      <c r="G2826" s="17" t="str">
        <f>IF($H2826&lt;&gt;"ALEM","",IFERROR(
  DATE(
    YEAR(EDATE(
      _xlfn.XLOOKUP($A2826,'RESUMEN CLIENTES'!$D:$D,'RESUMEN CLIENTES'!$Y:$Y,""),
      7 + COUNTIFS(
            $A$2:INDEX($A:$A,ROW()), $A2826,
            $H$2:INDEX($H:$H,ROW()), "ALEM"
          )
    )),
    MONTH(EDATE(
      _xlfn.XLOOKUP($A2826,'RESUMEN CLIENTES'!$D:$D,'RESUMEN CLIENTES'!$Y:$Y,""),
      7 + COUNTIFS(
            $A$2:INDEX($A:$A,ROW()), $A2826,
            $H$2:INDEX($H:$H,ROW()), "ALEM"
          )
    )),
    1
  ),
"null"))</f>
        <v>null</v>
      </c>
      <c r="H2826" s="44" t="s">
        <v>1876</v>
      </c>
      <c r="I2826" s="2">
        <v>1000</v>
      </c>
      <c r="J2826"/>
      <c r="K2826"/>
      <c r="L2826" s="44" t="str" cm="1">
        <f t="array" ref="L2826">+_xlfn.IFS(COUNTIF(INGRESOS!E:E,Tabla6[[#This Row],[ID FACTURA]])=1,"PAGADA",Tabla6[[#This Row],[ID FACTURA]]&lt;&gt;0,"EMITIDA",Tabla6[[#This Row],[ID FACTURA]]=0,"POR EMITIR")</f>
        <v>POR EMITIR</v>
      </c>
      <c r="M2826" s="55" t="str">
        <f>+IF(Tabla6[[#This Row],[ESTADO FACTURA]]="PAGADA",Tabla6[[#This Row],[FECHA]]-_xlfn.XLOOKUP(Tabla6[[#This Row],[N° FACTURA]],INGRESOS!F:F,INGRESOS!A:A),"-")</f>
        <v>-</v>
      </c>
      <c r="N2826" s="2"/>
      <c r="O2826"/>
    </row>
    <row r="2827" spans="1:15">
      <c r="A2827" s="320" t="s">
        <v>450</v>
      </c>
      <c r="B2827" t="str">
        <f>+_xlfn.XLOOKUP(Tabla6[[#This Row],[ID CLIENTE]],'RESUMEN CLIENTES'!D:D,'RESUMEN CLIENTES'!A:A)</f>
        <v>Alexandra Carolina Ordoñez Cuotto</v>
      </c>
      <c r="C2827" t="str">
        <f>+_xlfn.XLOOKUP(Tabla6[[#This Row],[ID CLIENTE]],'RESUMEN CLIENTES'!D:D,'RESUMEN CLIENTES'!C:C)</f>
        <v>Venezuela</v>
      </c>
      <c r="D2827" s="44" t="str">
        <f>+_xlfn.XLOOKUP(Tabla6[[#This Row],[ID CLIENTE]],'RESUMEN CLIENTES'!D:D,'RESUMEN CLIENTES'!M:M)</f>
        <v>¡REGULARIZAR!</v>
      </c>
      <c r="E2827" s="72">
        <f>+_xlfn.XLOOKUP(Tabla6[[#This Row],[NOMBRE]],'RESUMEN CLIENTES'!A:A,'RESUMEN CLIENTES'!X:X)</f>
        <v>-2</v>
      </c>
      <c r="F2827" s="72">
        <f>+_xlfn.XLOOKUP(Tabla6[[#This Row],[ID CLIENTE]],'RESUMEN CLIENTES'!D:D,'RESUMEN CLIENTES'!W:W)</f>
        <v>0</v>
      </c>
      <c r="G2827" s="17" t="str">
        <f>IF($H2827&lt;&gt;"ALEM","",IFERROR(
  DATE(
    YEAR(EDATE(
      _xlfn.XLOOKUP($A2827,'RESUMEN CLIENTES'!$D:$D,'RESUMEN CLIENTES'!$Y:$Y,""),
      7 + COUNTIFS(
            $A$2:INDEX($A:$A,ROW()), $A2827,
            $H$2:INDEX($H:$H,ROW()), "ALEM"
          )
    )),
    MONTH(EDATE(
      _xlfn.XLOOKUP($A2827,'RESUMEN CLIENTES'!$D:$D,'RESUMEN CLIENTES'!$Y:$Y,""),
      7 + COUNTIFS(
            $A$2:INDEX($A:$A,ROW()), $A2827,
            $H$2:INDEX($H:$H,ROW()), "ALEM"
          )
    )),
    1
  ),
"null"))</f>
        <v>null</v>
      </c>
      <c r="H2827" s="44" t="s">
        <v>1876</v>
      </c>
      <c r="I2827" s="2">
        <v>1000</v>
      </c>
      <c r="J2827"/>
      <c r="K2827"/>
      <c r="L2827" s="44" t="str" cm="1">
        <f t="array" ref="L2827">+_xlfn.IFS(COUNTIF(INGRESOS!E:E,Tabla6[[#This Row],[ID FACTURA]])=1,"PAGADA",Tabla6[[#This Row],[ID FACTURA]]&lt;&gt;0,"EMITIDA",Tabla6[[#This Row],[ID FACTURA]]=0,"POR EMITIR")</f>
        <v>POR EMITIR</v>
      </c>
      <c r="M2827" s="55" t="str">
        <f>+IF(Tabla6[[#This Row],[ESTADO FACTURA]]="PAGADA",Tabla6[[#This Row],[FECHA]]-_xlfn.XLOOKUP(Tabla6[[#This Row],[N° FACTURA]],INGRESOS!F:F,INGRESOS!A:A),"-")</f>
        <v>-</v>
      </c>
      <c r="N2827" s="2"/>
      <c r="O2827"/>
    </row>
    <row r="2828" spans="1:15">
      <c r="A2828" s="320" t="s">
        <v>901</v>
      </c>
      <c r="B2828" t="str">
        <f>+_xlfn.XLOOKUP(Tabla6[[#This Row],[ID CLIENTE]],'RESUMEN CLIENTES'!D:D,'RESUMEN CLIENTES'!A:A)</f>
        <v>Álvaro Sebastián García Riesco</v>
      </c>
      <c r="C2828" t="str">
        <f>+_xlfn.XLOOKUP(Tabla6[[#This Row],[ID CLIENTE]],'RESUMEN CLIENTES'!D:D,'RESUMEN CLIENTES'!C:C)</f>
        <v>Chile</v>
      </c>
      <c r="D2828" s="44" t="str">
        <f>+_xlfn.XLOOKUP(Tabla6[[#This Row],[ID CLIENTE]],'RESUMEN CLIENTES'!D:D,'RESUMEN CLIENTES'!M:M)</f>
        <v>OK</v>
      </c>
      <c r="E2828" s="72">
        <f>+_xlfn.XLOOKUP(Tabla6[[#This Row],[NOMBRE]],'RESUMEN CLIENTES'!A:A,'RESUMEN CLIENTES'!X:X)</f>
        <v>-0.33333333333333331</v>
      </c>
      <c r="F2828" s="72">
        <f>+_xlfn.XLOOKUP(Tabla6[[#This Row],[ID CLIENTE]],'RESUMEN CLIENTES'!D:D,'RESUMEN CLIENTES'!W:W)</f>
        <v>0</v>
      </c>
      <c r="G2828" s="17" t="str">
        <f>IF($H2828&lt;&gt;"ALEM","",IFERROR(
  DATE(
    YEAR(EDATE(
      _xlfn.XLOOKUP($A2828,'RESUMEN CLIENTES'!$D:$D,'RESUMEN CLIENTES'!$Y:$Y,""),
      7 + COUNTIFS(
            $A$2:INDEX($A:$A,ROW()), $A2828,
            $H$2:INDEX($H:$H,ROW()), "ALEM"
          )
    )),
    MONTH(EDATE(
      _xlfn.XLOOKUP($A2828,'RESUMEN CLIENTES'!$D:$D,'RESUMEN CLIENTES'!$Y:$Y,""),
      7 + COUNTIFS(
            $A$2:INDEX($A:$A,ROW()), $A2828,
            $H$2:INDEX($H:$H,ROW()), "ALEM"
          )
    )),
    1
  ),
"null"))</f>
        <v>null</v>
      </c>
      <c r="H2828" s="44" t="s">
        <v>1876</v>
      </c>
      <c r="I2828" s="2">
        <v>1000</v>
      </c>
      <c r="J2828"/>
      <c r="K2828"/>
      <c r="L2828" s="44" t="str" cm="1">
        <f t="array" ref="L2828">+_xlfn.IFS(COUNTIF(INGRESOS!E:E,Tabla6[[#This Row],[ID FACTURA]])=1,"PAGADA",Tabla6[[#This Row],[ID FACTURA]]&lt;&gt;0,"EMITIDA",Tabla6[[#This Row],[ID FACTURA]]=0,"POR EMITIR")</f>
        <v>POR EMITIR</v>
      </c>
      <c r="M2828" s="55" t="str">
        <f>+IF(Tabla6[[#This Row],[ESTADO FACTURA]]="PAGADA",Tabla6[[#This Row],[FECHA]]-_xlfn.XLOOKUP(Tabla6[[#This Row],[N° FACTURA]],INGRESOS!F:F,INGRESOS!A:A),"-")</f>
        <v>-</v>
      </c>
      <c r="N2828" s="2"/>
      <c r="O2828"/>
    </row>
    <row r="2829" spans="1:15">
      <c r="A2829" s="320" t="s">
        <v>901</v>
      </c>
      <c r="B2829" t="str">
        <f>+_xlfn.XLOOKUP(Tabla6[[#This Row],[ID CLIENTE]],'RESUMEN CLIENTES'!D:D,'RESUMEN CLIENTES'!A:A)</f>
        <v>Álvaro Sebastián García Riesco</v>
      </c>
      <c r="C2829" t="str">
        <f>+_xlfn.XLOOKUP(Tabla6[[#This Row],[ID CLIENTE]],'RESUMEN CLIENTES'!D:D,'RESUMEN CLIENTES'!C:C)</f>
        <v>Chile</v>
      </c>
      <c r="D2829" s="44" t="str">
        <f>+_xlfn.XLOOKUP(Tabla6[[#This Row],[ID CLIENTE]],'RESUMEN CLIENTES'!D:D,'RESUMEN CLIENTES'!M:M)</f>
        <v>OK</v>
      </c>
      <c r="E2829" s="72">
        <f>+_xlfn.XLOOKUP(Tabla6[[#This Row],[NOMBRE]],'RESUMEN CLIENTES'!A:A,'RESUMEN CLIENTES'!X:X)</f>
        <v>-0.33333333333333331</v>
      </c>
      <c r="F2829" s="72">
        <f>+_xlfn.XLOOKUP(Tabla6[[#This Row],[ID CLIENTE]],'RESUMEN CLIENTES'!D:D,'RESUMEN CLIENTES'!W:W)</f>
        <v>0</v>
      </c>
      <c r="G2829" s="17" t="str">
        <f>IF($H2829&lt;&gt;"ALEM","",IFERROR(
  DATE(
    YEAR(EDATE(
      _xlfn.XLOOKUP($A2829,'RESUMEN CLIENTES'!$D:$D,'RESUMEN CLIENTES'!$Y:$Y,""),
      7 + COUNTIFS(
            $A$2:INDEX($A:$A,ROW()), $A2829,
            $H$2:INDEX($H:$H,ROW()), "ALEM"
          )
    )),
    MONTH(EDATE(
      _xlfn.XLOOKUP($A2829,'RESUMEN CLIENTES'!$D:$D,'RESUMEN CLIENTES'!$Y:$Y,""),
      7 + COUNTIFS(
            $A$2:INDEX($A:$A,ROW()), $A2829,
            $H$2:INDEX($H:$H,ROW()), "ALEM"
          )
    )),
    1
  ),
"null"))</f>
        <v>null</v>
      </c>
      <c r="H2829" s="44" t="s">
        <v>1876</v>
      </c>
      <c r="I2829" s="2">
        <v>1000</v>
      </c>
      <c r="J2829"/>
      <c r="K2829"/>
      <c r="L2829" s="44" t="str" cm="1">
        <f t="array" ref="L2829">+_xlfn.IFS(COUNTIF(INGRESOS!E:E,Tabla6[[#This Row],[ID FACTURA]])=1,"PAGADA",Tabla6[[#This Row],[ID FACTURA]]&lt;&gt;0,"EMITIDA",Tabla6[[#This Row],[ID FACTURA]]=0,"POR EMITIR")</f>
        <v>POR EMITIR</v>
      </c>
      <c r="M2829" s="55" t="str">
        <f>+IF(Tabla6[[#This Row],[ESTADO FACTURA]]="PAGADA",Tabla6[[#This Row],[FECHA]]-_xlfn.XLOOKUP(Tabla6[[#This Row],[N° FACTURA]],INGRESOS!F:F,INGRESOS!A:A),"-")</f>
        <v>-</v>
      </c>
      <c r="N2829" s="2"/>
      <c r="O2829"/>
    </row>
    <row r="2830" spans="1:15">
      <c r="A2830" s="320" t="s">
        <v>901</v>
      </c>
      <c r="B2830" t="str">
        <f>+_xlfn.XLOOKUP(Tabla6[[#This Row],[ID CLIENTE]],'RESUMEN CLIENTES'!D:D,'RESUMEN CLIENTES'!A:A)</f>
        <v>Álvaro Sebastián García Riesco</v>
      </c>
      <c r="C2830" t="str">
        <f>+_xlfn.XLOOKUP(Tabla6[[#This Row],[ID CLIENTE]],'RESUMEN CLIENTES'!D:D,'RESUMEN CLIENTES'!C:C)</f>
        <v>Chile</v>
      </c>
      <c r="D2830" s="44" t="str">
        <f>+_xlfn.XLOOKUP(Tabla6[[#This Row],[ID CLIENTE]],'RESUMEN CLIENTES'!D:D,'RESUMEN CLIENTES'!M:M)</f>
        <v>OK</v>
      </c>
      <c r="E2830" s="72">
        <f>+_xlfn.XLOOKUP(Tabla6[[#This Row],[NOMBRE]],'RESUMEN CLIENTES'!A:A,'RESUMEN CLIENTES'!X:X)</f>
        <v>-0.33333333333333331</v>
      </c>
      <c r="F2830" s="72">
        <f>+_xlfn.XLOOKUP(Tabla6[[#This Row],[ID CLIENTE]],'RESUMEN CLIENTES'!D:D,'RESUMEN CLIENTES'!W:W)</f>
        <v>0</v>
      </c>
      <c r="G2830" s="17" t="str">
        <f>IF($H2830&lt;&gt;"ALEM","",IFERROR(
  DATE(
    YEAR(EDATE(
      _xlfn.XLOOKUP($A2830,'RESUMEN CLIENTES'!$D:$D,'RESUMEN CLIENTES'!$Y:$Y,""),
      7 + COUNTIFS(
            $A$2:INDEX($A:$A,ROW()), $A2830,
            $H$2:INDEX($H:$H,ROW()), "ALEM"
          )
    )),
    MONTH(EDATE(
      _xlfn.XLOOKUP($A2830,'RESUMEN CLIENTES'!$D:$D,'RESUMEN CLIENTES'!$Y:$Y,""),
      7 + COUNTIFS(
            $A$2:INDEX($A:$A,ROW()), $A2830,
            $H$2:INDEX($H:$H,ROW()), "ALEM"
          )
    )),
    1
  ),
"null"))</f>
        <v>null</v>
      </c>
      <c r="H2830" s="44" t="s">
        <v>1876</v>
      </c>
      <c r="I2830" s="2">
        <v>1000</v>
      </c>
      <c r="J2830"/>
      <c r="K2830"/>
      <c r="L2830" s="44" t="str" cm="1">
        <f t="array" ref="L2830">+_xlfn.IFS(COUNTIF(INGRESOS!E:E,Tabla6[[#This Row],[ID FACTURA]])=1,"PAGADA",Tabla6[[#This Row],[ID FACTURA]]&lt;&gt;0,"EMITIDA",Tabla6[[#This Row],[ID FACTURA]]=0,"POR EMITIR")</f>
        <v>POR EMITIR</v>
      </c>
      <c r="M2830" s="55" t="str">
        <f>+IF(Tabla6[[#This Row],[ESTADO FACTURA]]="PAGADA",Tabla6[[#This Row],[FECHA]]-_xlfn.XLOOKUP(Tabla6[[#This Row],[N° FACTURA]],INGRESOS!F:F,INGRESOS!A:A),"-")</f>
        <v>-</v>
      </c>
      <c r="N2830" s="2"/>
      <c r="O2830"/>
    </row>
    <row r="2831" spans="1:15">
      <c r="A2831" s="320" t="s">
        <v>901</v>
      </c>
      <c r="B2831" t="str">
        <f>+_xlfn.XLOOKUP(Tabla6[[#This Row],[ID CLIENTE]],'RESUMEN CLIENTES'!D:D,'RESUMEN CLIENTES'!A:A)</f>
        <v>Álvaro Sebastián García Riesco</v>
      </c>
      <c r="C2831" t="str">
        <f>+_xlfn.XLOOKUP(Tabla6[[#This Row],[ID CLIENTE]],'RESUMEN CLIENTES'!D:D,'RESUMEN CLIENTES'!C:C)</f>
        <v>Chile</v>
      </c>
      <c r="D2831" s="44" t="str">
        <f>+_xlfn.XLOOKUP(Tabla6[[#This Row],[ID CLIENTE]],'RESUMEN CLIENTES'!D:D,'RESUMEN CLIENTES'!M:M)</f>
        <v>OK</v>
      </c>
      <c r="E2831" s="72">
        <f>+_xlfn.XLOOKUP(Tabla6[[#This Row],[NOMBRE]],'RESUMEN CLIENTES'!A:A,'RESUMEN CLIENTES'!X:X)</f>
        <v>-0.33333333333333331</v>
      </c>
      <c r="F2831" s="72">
        <f>+_xlfn.XLOOKUP(Tabla6[[#This Row],[ID CLIENTE]],'RESUMEN CLIENTES'!D:D,'RESUMEN CLIENTES'!W:W)</f>
        <v>0</v>
      </c>
      <c r="G2831" s="17" t="str">
        <f>IF($H2831&lt;&gt;"ALEM","",IFERROR(
  DATE(
    YEAR(EDATE(
      _xlfn.XLOOKUP($A2831,'RESUMEN CLIENTES'!$D:$D,'RESUMEN CLIENTES'!$Y:$Y,""),
      7 + COUNTIFS(
            $A$2:INDEX($A:$A,ROW()), $A2831,
            $H$2:INDEX($H:$H,ROW()), "ALEM"
          )
    )),
    MONTH(EDATE(
      _xlfn.XLOOKUP($A2831,'RESUMEN CLIENTES'!$D:$D,'RESUMEN CLIENTES'!$Y:$Y,""),
      7 + COUNTIFS(
            $A$2:INDEX($A:$A,ROW()), $A2831,
            $H$2:INDEX($H:$H,ROW()), "ALEM"
          )
    )),
    1
  ),
"null"))</f>
        <v>null</v>
      </c>
      <c r="H2831" s="44" t="s">
        <v>1876</v>
      </c>
      <c r="I2831" s="2">
        <v>1000</v>
      </c>
      <c r="J2831"/>
      <c r="K2831"/>
      <c r="L2831" s="44" t="str" cm="1">
        <f t="array" ref="L2831">+_xlfn.IFS(COUNTIF(INGRESOS!E:E,Tabla6[[#This Row],[ID FACTURA]])=1,"PAGADA",Tabla6[[#This Row],[ID FACTURA]]&lt;&gt;0,"EMITIDA",Tabla6[[#This Row],[ID FACTURA]]=0,"POR EMITIR")</f>
        <v>POR EMITIR</v>
      </c>
      <c r="M2831" s="55" t="str">
        <f>+IF(Tabla6[[#This Row],[ESTADO FACTURA]]="PAGADA",Tabla6[[#This Row],[FECHA]]-_xlfn.XLOOKUP(Tabla6[[#This Row],[N° FACTURA]],INGRESOS!F:F,INGRESOS!A:A),"-")</f>
        <v>-</v>
      </c>
      <c r="N2831" s="2"/>
      <c r="O2831"/>
    </row>
    <row r="2832" spans="1:15">
      <c r="A2832" s="320" t="s">
        <v>901</v>
      </c>
      <c r="B2832" t="str">
        <f>+_xlfn.XLOOKUP(Tabla6[[#This Row],[ID CLIENTE]],'RESUMEN CLIENTES'!D:D,'RESUMEN CLIENTES'!A:A)</f>
        <v>Álvaro Sebastián García Riesco</v>
      </c>
      <c r="C2832" t="str">
        <f>+_xlfn.XLOOKUP(Tabla6[[#This Row],[ID CLIENTE]],'RESUMEN CLIENTES'!D:D,'RESUMEN CLIENTES'!C:C)</f>
        <v>Chile</v>
      </c>
      <c r="D2832" s="44" t="str">
        <f>+_xlfn.XLOOKUP(Tabla6[[#This Row],[ID CLIENTE]],'RESUMEN CLIENTES'!D:D,'RESUMEN CLIENTES'!M:M)</f>
        <v>OK</v>
      </c>
      <c r="E2832" s="72">
        <f>+_xlfn.XLOOKUP(Tabla6[[#This Row],[NOMBRE]],'RESUMEN CLIENTES'!A:A,'RESUMEN CLIENTES'!X:X)</f>
        <v>-0.33333333333333331</v>
      </c>
      <c r="F2832" s="72">
        <f>+_xlfn.XLOOKUP(Tabla6[[#This Row],[ID CLIENTE]],'RESUMEN CLIENTES'!D:D,'RESUMEN CLIENTES'!W:W)</f>
        <v>0</v>
      </c>
      <c r="G2832" s="17" t="str">
        <f>IF($H2832&lt;&gt;"ALEM","",IFERROR(
  DATE(
    YEAR(EDATE(
      _xlfn.XLOOKUP($A2832,'RESUMEN CLIENTES'!$D:$D,'RESUMEN CLIENTES'!$Y:$Y,""),
      7 + COUNTIFS(
            $A$2:INDEX($A:$A,ROW()), $A2832,
            $H$2:INDEX($H:$H,ROW()), "ALEM"
          )
    )),
    MONTH(EDATE(
      _xlfn.XLOOKUP($A2832,'RESUMEN CLIENTES'!$D:$D,'RESUMEN CLIENTES'!$Y:$Y,""),
      7 + COUNTIFS(
            $A$2:INDEX($A:$A,ROW()), $A2832,
            $H$2:INDEX($H:$H,ROW()), "ALEM"
          )
    )),
    1
  ),
"null"))</f>
        <v>null</v>
      </c>
      <c r="H2832" s="44" t="s">
        <v>1876</v>
      </c>
      <c r="I2832" s="2">
        <v>1000</v>
      </c>
      <c r="J2832"/>
      <c r="K2832"/>
      <c r="L2832" s="44" t="str" cm="1">
        <f t="array" ref="L2832">+_xlfn.IFS(COUNTIF(INGRESOS!E:E,Tabla6[[#This Row],[ID FACTURA]])=1,"PAGADA",Tabla6[[#This Row],[ID FACTURA]]&lt;&gt;0,"EMITIDA",Tabla6[[#This Row],[ID FACTURA]]=0,"POR EMITIR")</f>
        <v>POR EMITIR</v>
      </c>
      <c r="M2832" s="55" t="str">
        <f>+IF(Tabla6[[#This Row],[ESTADO FACTURA]]="PAGADA",Tabla6[[#This Row],[FECHA]]-_xlfn.XLOOKUP(Tabla6[[#This Row],[N° FACTURA]],INGRESOS!F:F,INGRESOS!A:A),"-")</f>
        <v>-</v>
      </c>
      <c r="N2832" s="2"/>
      <c r="O2832"/>
    </row>
    <row r="2833" spans="1:15">
      <c r="A2833" s="320" t="s">
        <v>901</v>
      </c>
      <c r="B2833" t="str">
        <f>+_xlfn.XLOOKUP(Tabla6[[#This Row],[ID CLIENTE]],'RESUMEN CLIENTES'!D:D,'RESUMEN CLIENTES'!A:A)</f>
        <v>Álvaro Sebastián García Riesco</v>
      </c>
      <c r="C2833" t="str">
        <f>+_xlfn.XLOOKUP(Tabla6[[#This Row],[ID CLIENTE]],'RESUMEN CLIENTES'!D:D,'RESUMEN CLIENTES'!C:C)</f>
        <v>Chile</v>
      </c>
      <c r="D2833" s="44" t="str">
        <f>+_xlfn.XLOOKUP(Tabla6[[#This Row],[ID CLIENTE]],'RESUMEN CLIENTES'!D:D,'RESUMEN CLIENTES'!M:M)</f>
        <v>OK</v>
      </c>
      <c r="E2833" s="72">
        <f>+_xlfn.XLOOKUP(Tabla6[[#This Row],[NOMBRE]],'RESUMEN CLIENTES'!A:A,'RESUMEN CLIENTES'!X:X)</f>
        <v>-0.33333333333333331</v>
      </c>
      <c r="F2833" s="72">
        <f>+_xlfn.XLOOKUP(Tabla6[[#This Row],[ID CLIENTE]],'RESUMEN CLIENTES'!D:D,'RESUMEN CLIENTES'!W:W)</f>
        <v>0</v>
      </c>
      <c r="G2833" s="17" t="str">
        <f>IF($H2833&lt;&gt;"ALEM","",IFERROR(
  DATE(
    YEAR(EDATE(
      _xlfn.XLOOKUP($A2833,'RESUMEN CLIENTES'!$D:$D,'RESUMEN CLIENTES'!$Y:$Y,""),
      7 + COUNTIFS(
            $A$2:INDEX($A:$A,ROW()), $A2833,
            $H$2:INDEX($H:$H,ROW()), "ALEM"
          )
    )),
    MONTH(EDATE(
      _xlfn.XLOOKUP($A2833,'RESUMEN CLIENTES'!$D:$D,'RESUMEN CLIENTES'!$Y:$Y,""),
      7 + COUNTIFS(
            $A$2:INDEX($A:$A,ROW()), $A2833,
            $H$2:INDEX($H:$H,ROW()), "ALEM"
          )
    )),
    1
  ),
"null"))</f>
        <v>null</v>
      </c>
      <c r="H2833" s="44" t="s">
        <v>1876</v>
      </c>
      <c r="I2833" s="2">
        <v>1000</v>
      </c>
      <c r="J2833"/>
      <c r="K2833"/>
      <c r="L2833" s="44" t="str" cm="1">
        <f t="array" ref="L2833">+_xlfn.IFS(COUNTIF(INGRESOS!E:E,Tabla6[[#This Row],[ID FACTURA]])=1,"PAGADA",Tabla6[[#This Row],[ID FACTURA]]&lt;&gt;0,"EMITIDA",Tabla6[[#This Row],[ID FACTURA]]=0,"POR EMITIR")</f>
        <v>POR EMITIR</v>
      </c>
      <c r="M2833" s="55" t="str">
        <f>+IF(Tabla6[[#This Row],[ESTADO FACTURA]]="PAGADA",Tabla6[[#This Row],[FECHA]]-_xlfn.XLOOKUP(Tabla6[[#This Row],[N° FACTURA]],INGRESOS!F:F,INGRESOS!A:A),"-")</f>
        <v>-</v>
      </c>
      <c r="N2833" s="2"/>
      <c r="O2833"/>
    </row>
    <row r="2834" spans="1:15">
      <c r="A2834" s="320" t="s">
        <v>1357</v>
      </c>
      <c r="B2834" t="str">
        <f>+_xlfn.XLOOKUP(Tabla6[[#This Row],[ID CLIENTE]],'RESUMEN CLIENTES'!D:D,'RESUMEN CLIENTES'!A:A)</f>
        <v>Angel Andres Velastegui Huebla</v>
      </c>
      <c r="C2834" t="str">
        <f>+_xlfn.XLOOKUP(Tabla6[[#This Row],[ID CLIENTE]],'RESUMEN CLIENTES'!D:D,'RESUMEN CLIENTES'!C:C)</f>
        <v>Ecuador</v>
      </c>
      <c r="D2834" s="44" t="str">
        <f>+_xlfn.XLOOKUP(Tabla6[[#This Row],[ID CLIENTE]],'RESUMEN CLIENTES'!D:D,'RESUMEN CLIENTES'!M:M)</f>
        <v>OK</v>
      </c>
      <c r="E2834" s="71">
        <f>+_xlfn.XLOOKUP(Tabla6[[#This Row],[NOMBRE]],'RESUMEN CLIENTES'!A:A,'RESUMEN CLIENTES'!X:X)</f>
        <v>0</v>
      </c>
      <c r="F2834" s="71">
        <f>+_xlfn.XLOOKUP(Tabla6[[#This Row],[ID CLIENTE]],'RESUMEN CLIENTES'!D:D,'RESUMEN CLIENTES'!W:W)</f>
        <v>1</v>
      </c>
      <c r="G2834" s="17" t="s">
        <v>2093</v>
      </c>
      <c r="H2834" s="44" t="s">
        <v>1669</v>
      </c>
      <c r="I2834" s="2">
        <v>3000</v>
      </c>
      <c r="J2834"/>
      <c r="K2834"/>
      <c r="L2834" s="44" t="str" cm="1">
        <f t="array" ref="L2834">+_xlfn.IFS(COUNTIF(INGRESOS!E:E,Tabla6[[#This Row],[ID FACTURA]])=1,"PAGADA",Tabla6[[#This Row],[ID FACTURA]]&lt;&gt;0,"EMITIDA",Tabla6[[#This Row],[ID FACTURA]]=0,"POR EMITIR")</f>
        <v>POR EMITIR</v>
      </c>
      <c r="M2834" s="55" t="str">
        <f>+IF(Tabla6[[#This Row],[ESTADO FACTURA]]="PAGADA",Tabla6[[#This Row],[FECHA]]-_xlfn.XLOOKUP(Tabla6[[#This Row],[N° FACTURA]],INGRESOS!F:F,INGRESOS!A:A),"-")</f>
        <v>-</v>
      </c>
      <c r="N2834" s="2"/>
      <c r="O2834"/>
    </row>
    <row r="2835" spans="1:15">
      <c r="A2835" s="320" t="s">
        <v>6035</v>
      </c>
      <c r="B2835" t="str">
        <f>+_xlfn.XLOOKUP(Tabla6[[#This Row],[ID CLIENTE]],'RESUMEN CLIENTES'!D:D,'RESUMEN CLIENTES'!A:A)</f>
        <v>Ari Sifuentes Becerra</v>
      </c>
      <c r="C2835" s="15" t="str">
        <f>+_xlfn.XLOOKUP(Tabla6[[#This Row],[ID CLIENTE]],'RESUMEN CLIENTES'!D:D,'RESUMEN CLIENTES'!C:C)</f>
        <v>México</v>
      </c>
      <c r="D2835" s="169" t="str">
        <f>+_xlfn.XLOOKUP(Tabla6[[#This Row],[ID CLIENTE]],'RESUMEN CLIENTES'!D:D,'RESUMEN CLIENTES'!M:M)</f>
        <v>OK</v>
      </c>
      <c r="E2835" s="71">
        <f>+_xlfn.XLOOKUP(Tabla6[[#This Row],[NOMBRE]],'RESUMEN CLIENTES'!A:A,'RESUMEN CLIENTES'!X:X)</f>
        <v>-1</v>
      </c>
      <c r="F2835" s="71">
        <f>+_xlfn.XLOOKUP(Tabla6[[#This Row],[ID CLIENTE]],'RESUMEN CLIENTES'!D:D,'RESUMEN CLIENTES'!W:W)</f>
        <v>0</v>
      </c>
      <c r="G2835" s="17" t="s">
        <v>2093</v>
      </c>
      <c r="H2835" s="169" t="s">
        <v>1669</v>
      </c>
      <c r="I2835" s="2">
        <v>3000</v>
      </c>
      <c r="J2835"/>
      <c r="K2835"/>
      <c r="L2835" s="44" t="str" cm="1">
        <f t="array" ref="L2835">+_xlfn.IFS(COUNTIF(INGRESOS!E:E,Tabla6[[#This Row],[ID FACTURA]])=1,"PAGADA",Tabla6[[#This Row],[ID FACTURA]]&lt;&gt;0,"EMITIDA",Tabla6[[#This Row],[ID FACTURA]]=0,"POR EMITIR")</f>
        <v>POR EMITIR</v>
      </c>
      <c r="M2835" s="54" t="str">
        <f>+IF(Tabla6[[#This Row],[ESTADO FACTURA]]="PAGADA",Tabla6[[#This Row],[FECHA]]-_xlfn.XLOOKUP(Tabla6[[#This Row],[N° FACTURA]],INGRESOS!F:F,INGRESOS!A:A),"-")</f>
        <v>-</v>
      </c>
      <c r="O2835"/>
    </row>
    <row r="2836" spans="1:15">
      <c r="A2836" s="320" t="s">
        <v>904</v>
      </c>
      <c r="B2836" t="str">
        <f>+_xlfn.XLOOKUP(Tabla6[[#This Row],[ID CLIENTE]],'RESUMEN CLIENTES'!D:D,'RESUMEN CLIENTES'!A:A)</f>
        <v>Armando Josmarx Suárez Solis</v>
      </c>
      <c r="C2836" t="str">
        <f>+_xlfn.XLOOKUP(Tabla6[[#This Row],[ID CLIENTE]],'RESUMEN CLIENTES'!D:D,'RESUMEN CLIENTES'!C:C)</f>
        <v>Nicaragua</v>
      </c>
      <c r="D2836" s="44" t="str">
        <f>+_xlfn.XLOOKUP(Tabla6[[#This Row],[ID CLIENTE]],'RESUMEN CLIENTES'!D:D,'RESUMEN CLIENTES'!M:M)</f>
        <v>OK</v>
      </c>
      <c r="E2836" s="72">
        <f>+_xlfn.XLOOKUP(Tabla6[[#This Row],[NOMBRE]],'RESUMEN CLIENTES'!A:A,'RESUMEN CLIENTES'!X:X)</f>
        <v>0.5625</v>
      </c>
      <c r="F2836" s="72">
        <f>+_xlfn.XLOOKUP(Tabla6[[#This Row],[ID CLIENTE]],'RESUMEN CLIENTES'!D:D,'RESUMEN CLIENTES'!W:W)</f>
        <v>1</v>
      </c>
      <c r="G2836" s="17" t="str">
        <f>IF($H2836&lt;&gt;"ALEM","",IFERROR(
  DATE(
    YEAR(EDATE(
      _xlfn.XLOOKUP($A2836,'RESUMEN CLIENTES'!$D:$D,'RESUMEN CLIENTES'!$Y:$Y,""),
      7 + COUNTIFS(
            $A$2:INDEX($A:$A,ROW()), $A2836,
            $H$2:INDEX($H:$H,ROW()), "ALEM"
          )
    )),
    MONTH(EDATE(
      _xlfn.XLOOKUP($A2836,'RESUMEN CLIENTES'!$D:$D,'RESUMEN CLIENTES'!$Y:$Y,""),
      7 + COUNTIFS(
            $A$2:INDEX($A:$A,ROW()), $A2836,
            $H$2:INDEX($H:$H,ROW()), "ALEM"
          )
    )),
    1
  ),
"null"))</f>
        <v>null</v>
      </c>
      <c r="H2836" s="44" t="s">
        <v>1876</v>
      </c>
      <c r="I2836" s="2">
        <v>800</v>
      </c>
      <c r="J2836"/>
      <c r="K2836"/>
      <c r="L2836" s="44" t="str" cm="1">
        <f t="array" ref="L2836">+_xlfn.IFS(COUNTIF(INGRESOS!E:E,Tabla6[[#This Row],[ID FACTURA]])=1,"PAGADA",Tabla6[[#This Row],[ID FACTURA]]&lt;&gt;0,"EMITIDA",Tabla6[[#This Row],[ID FACTURA]]=0,"POR EMITIR")</f>
        <v>POR EMITIR</v>
      </c>
      <c r="M2836" s="55" t="str">
        <f>+IF(Tabla6[[#This Row],[ESTADO FACTURA]]="PAGADA",Tabla6[[#This Row],[FECHA]]-_xlfn.XLOOKUP(Tabla6[[#This Row],[N° FACTURA]],INGRESOS!F:F,INGRESOS!A:A),"-")</f>
        <v>-</v>
      </c>
      <c r="N2836" s="2"/>
      <c r="O2836" t="s">
        <v>2084</v>
      </c>
    </row>
    <row r="2837" spans="1:15">
      <c r="A2837" s="320" t="s">
        <v>904</v>
      </c>
      <c r="B2837" t="str">
        <f>+_xlfn.XLOOKUP(Tabla6[[#This Row],[ID CLIENTE]],'RESUMEN CLIENTES'!D:D,'RESUMEN CLIENTES'!A:A)</f>
        <v>Armando Josmarx Suárez Solis</v>
      </c>
      <c r="C2837" t="str">
        <f>+_xlfn.XLOOKUP(Tabla6[[#This Row],[ID CLIENTE]],'RESUMEN CLIENTES'!D:D,'RESUMEN CLIENTES'!C:C)</f>
        <v>Nicaragua</v>
      </c>
      <c r="D2837" s="44" t="str">
        <f>+_xlfn.XLOOKUP(Tabla6[[#This Row],[ID CLIENTE]],'RESUMEN CLIENTES'!D:D,'RESUMEN CLIENTES'!M:M)</f>
        <v>OK</v>
      </c>
      <c r="E2837" s="72">
        <f>+_xlfn.XLOOKUP(Tabla6[[#This Row],[NOMBRE]],'RESUMEN CLIENTES'!A:A,'RESUMEN CLIENTES'!X:X)</f>
        <v>0.5625</v>
      </c>
      <c r="F2837" s="72">
        <f>+_xlfn.XLOOKUP(Tabla6[[#This Row],[ID CLIENTE]],'RESUMEN CLIENTES'!D:D,'RESUMEN CLIENTES'!W:W)</f>
        <v>1</v>
      </c>
      <c r="G2837" s="17" t="str">
        <f>IF($H2837&lt;&gt;"ALEM","",IFERROR(
  DATE(
    YEAR(EDATE(
      _xlfn.XLOOKUP($A2837,'RESUMEN CLIENTES'!$D:$D,'RESUMEN CLIENTES'!$Y:$Y,""),
      7 + COUNTIFS(
            $A$2:INDEX($A:$A,ROW()), $A2837,
            $H$2:INDEX($H:$H,ROW()), "ALEM"
          )
    )),
    MONTH(EDATE(
      _xlfn.XLOOKUP($A2837,'RESUMEN CLIENTES'!$D:$D,'RESUMEN CLIENTES'!$Y:$Y,""),
      7 + COUNTIFS(
            $A$2:INDEX($A:$A,ROW()), $A2837,
            $H$2:INDEX($H:$H,ROW()), "ALEM"
          )
    )),
    1
  ),
"null"))</f>
        <v>null</v>
      </c>
      <c r="H2837" s="44" t="s">
        <v>1876</v>
      </c>
      <c r="I2837" s="2">
        <v>800</v>
      </c>
      <c r="J2837"/>
      <c r="K2837"/>
      <c r="L2837" s="44" t="str" cm="1">
        <f t="array" ref="L2837">+_xlfn.IFS(COUNTIF(INGRESOS!E:E,Tabla6[[#This Row],[ID FACTURA]])=1,"PAGADA",Tabla6[[#This Row],[ID FACTURA]]&lt;&gt;0,"EMITIDA",Tabla6[[#This Row],[ID FACTURA]]=0,"POR EMITIR")</f>
        <v>POR EMITIR</v>
      </c>
      <c r="M2837" s="55" t="str">
        <f>+IF(Tabla6[[#This Row],[ESTADO FACTURA]]="PAGADA",Tabla6[[#This Row],[FECHA]]-_xlfn.XLOOKUP(Tabla6[[#This Row],[N° FACTURA]],INGRESOS!F:F,INGRESOS!A:A),"-")</f>
        <v>-</v>
      </c>
      <c r="N2837" s="2"/>
      <c r="O2837" t="s">
        <v>2084</v>
      </c>
    </row>
    <row r="2838" spans="1:15">
      <c r="A2838" s="320" t="s">
        <v>904</v>
      </c>
      <c r="B2838" t="str">
        <f>+_xlfn.XLOOKUP(Tabla6[[#This Row],[ID CLIENTE]],'RESUMEN CLIENTES'!D:D,'RESUMEN CLIENTES'!A:A)</f>
        <v>Armando Josmarx Suárez Solis</v>
      </c>
      <c r="C2838" t="str">
        <f>+_xlfn.XLOOKUP(Tabla6[[#This Row],[ID CLIENTE]],'RESUMEN CLIENTES'!D:D,'RESUMEN CLIENTES'!C:C)</f>
        <v>Nicaragua</v>
      </c>
      <c r="D2838" s="44" t="str">
        <f>+_xlfn.XLOOKUP(Tabla6[[#This Row],[ID CLIENTE]],'RESUMEN CLIENTES'!D:D,'RESUMEN CLIENTES'!M:M)</f>
        <v>OK</v>
      </c>
      <c r="E2838" s="72">
        <f>+_xlfn.XLOOKUP(Tabla6[[#This Row],[NOMBRE]],'RESUMEN CLIENTES'!A:A,'RESUMEN CLIENTES'!X:X)</f>
        <v>0.5625</v>
      </c>
      <c r="F2838" s="72">
        <f>+_xlfn.XLOOKUP(Tabla6[[#This Row],[ID CLIENTE]],'RESUMEN CLIENTES'!D:D,'RESUMEN CLIENTES'!W:W)</f>
        <v>1</v>
      </c>
      <c r="G2838" s="17" t="str">
        <f>IF($H2838&lt;&gt;"ALEM","",IFERROR(
  DATE(
    YEAR(EDATE(
      _xlfn.XLOOKUP($A2838,'RESUMEN CLIENTES'!$D:$D,'RESUMEN CLIENTES'!$Y:$Y,""),
      7 + COUNTIFS(
            $A$2:INDEX($A:$A,ROW()), $A2838,
            $H$2:INDEX($H:$H,ROW()), "ALEM"
          )
    )),
    MONTH(EDATE(
      _xlfn.XLOOKUP($A2838,'RESUMEN CLIENTES'!$D:$D,'RESUMEN CLIENTES'!$Y:$Y,""),
      7 + COUNTIFS(
            $A$2:INDEX($A:$A,ROW()), $A2838,
            $H$2:INDEX($H:$H,ROW()), "ALEM"
          )
    )),
    1
  ),
"null"))</f>
        <v>null</v>
      </c>
      <c r="H2838" s="44" t="s">
        <v>1876</v>
      </c>
      <c r="I2838" s="2">
        <v>800</v>
      </c>
      <c r="J2838"/>
      <c r="K2838"/>
      <c r="L2838" s="44" t="str" cm="1">
        <f t="array" ref="L2838">+_xlfn.IFS(COUNTIF(INGRESOS!E:E,Tabla6[[#This Row],[ID FACTURA]])=1,"PAGADA",Tabla6[[#This Row],[ID FACTURA]]&lt;&gt;0,"EMITIDA",Tabla6[[#This Row],[ID FACTURA]]=0,"POR EMITIR")</f>
        <v>POR EMITIR</v>
      </c>
      <c r="M2838" s="55" t="str">
        <f>+IF(Tabla6[[#This Row],[ESTADO FACTURA]]="PAGADA",Tabla6[[#This Row],[FECHA]]-_xlfn.XLOOKUP(Tabla6[[#This Row],[N° FACTURA]],INGRESOS!F:F,INGRESOS!A:A),"-")</f>
        <v>-</v>
      </c>
      <c r="N2838" s="2"/>
      <c r="O2838" t="s">
        <v>2084</v>
      </c>
    </row>
    <row r="2839" spans="1:15">
      <c r="A2839" s="320" t="s">
        <v>904</v>
      </c>
      <c r="B2839" t="str">
        <f>+_xlfn.XLOOKUP(Tabla6[[#This Row],[ID CLIENTE]],'RESUMEN CLIENTES'!D:D,'RESUMEN CLIENTES'!A:A)</f>
        <v>Armando Josmarx Suárez Solis</v>
      </c>
      <c r="C2839" t="str">
        <f>+_xlfn.XLOOKUP(Tabla6[[#This Row],[ID CLIENTE]],'RESUMEN CLIENTES'!D:D,'RESUMEN CLIENTES'!C:C)</f>
        <v>Nicaragua</v>
      </c>
      <c r="D2839" s="44" t="str">
        <f>+_xlfn.XLOOKUP(Tabla6[[#This Row],[ID CLIENTE]],'RESUMEN CLIENTES'!D:D,'RESUMEN CLIENTES'!M:M)</f>
        <v>OK</v>
      </c>
      <c r="E2839" s="72">
        <f>+_xlfn.XLOOKUP(Tabla6[[#This Row],[NOMBRE]],'RESUMEN CLIENTES'!A:A,'RESUMEN CLIENTES'!X:X)</f>
        <v>0.5625</v>
      </c>
      <c r="F2839" s="72">
        <f>+_xlfn.XLOOKUP(Tabla6[[#This Row],[ID CLIENTE]],'RESUMEN CLIENTES'!D:D,'RESUMEN CLIENTES'!W:W)</f>
        <v>1</v>
      </c>
      <c r="G2839" s="17" t="str">
        <f>IF($H2839&lt;&gt;"ALEM","",IFERROR(
  DATE(
    YEAR(EDATE(
      _xlfn.XLOOKUP($A2839,'RESUMEN CLIENTES'!$D:$D,'RESUMEN CLIENTES'!$Y:$Y,""),
      7 + COUNTIFS(
            $A$2:INDEX($A:$A,ROW()), $A2839,
            $H$2:INDEX($H:$H,ROW()), "ALEM"
          )
    )),
    MONTH(EDATE(
      _xlfn.XLOOKUP($A2839,'RESUMEN CLIENTES'!$D:$D,'RESUMEN CLIENTES'!$Y:$Y,""),
      7 + COUNTIFS(
            $A$2:INDEX($A:$A,ROW()), $A2839,
            $H$2:INDEX($H:$H,ROW()), "ALEM"
          )
    )),
    1
  ),
"null"))</f>
        <v>null</v>
      </c>
      <c r="H2839" s="44" t="s">
        <v>1876</v>
      </c>
      <c r="I2839" s="2">
        <v>800</v>
      </c>
      <c r="J2839"/>
      <c r="K2839"/>
      <c r="L2839" s="44" t="str" cm="1">
        <f t="array" ref="L2839">+_xlfn.IFS(COUNTIF(INGRESOS!E:E,Tabla6[[#This Row],[ID FACTURA]])=1,"PAGADA",Tabla6[[#This Row],[ID FACTURA]]&lt;&gt;0,"EMITIDA",Tabla6[[#This Row],[ID FACTURA]]=0,"POR EMITIR")</f>
        <v>POR EMITIR</v>
      </c>
      <c r="M2839" s="55" t="str">
        <f>+IF(Tabla6[[#This Row],[ESTADO FACTURA]]="PAGADA",Tabla6[[#This Row],[FECHA]]-_xlfn.XLOOKUP(Tabla6[[#This Row],[N° FACTURA]],INGRESOS!F:F,INGRESOS!A:A),"-")</f>
        <v>-</v>
      </c>
      <c r="N2839" s="2"/>
      <c r="O2839" t="s">
        <v>2084</v>
      </c>
    </row>
    <row r="2840" spans="1:15">
      <c r="A2840" s="320" t="s">
        <v>904</v>
      </c>
      <c r="B2840" t="str">
        <f>+_xlfn.XLOOKUP(Tabla6[[#This Row],[ID CLIENTE]],'RESUMEN CLIENTES'!D:D,'RESUMEN CLIENTES'!A:A)</f>
        <v>Armando Josmarx Suárez Solis</v>
      </c>
      <c r="C2840" t="str">
        <f>+_xlfn.XLOOKUP(Tabla6[[#This Row],[ID CLIENTE]],'RESUMEN CLIENTES'!D:D,'RESUMEN CLIENTES'!C:C)</f>
        <v>Nicaragua</v>
      </c>
      <c r="D2840" s="44" t="str">
        <f>+_xlfn.XLOOKUP(Tabla6[[#This Row],[ID CLIENTE]],'RESUMEN CLIENTES'!D:D,'RESUMEN CLIENTES'!M:M)</f>
        <v>OK</v>
      </c>
      <c r="E2840" s="72">
        <f>+_xlfn.XLOOKUP(Tabla6[[#This Row],[NOMBRE]],'RESUMEN CLIENTES'!A:A,'RESUMEN CLIENTES'!X:X)</f>
        <v>0.5625</v>
      </c>
      <c r="F2840" s="72">
        <f>+_xlfn.XLOOKUP(Tabla6[[#This Row],[ID CLIENTE]],'RESUMEN CLIENTES'!D:D,'RESUMEN CLIENTES'!W:W)</f>
        <v>1</v>
      </c>
      <c r="G2840" s="17" t="str">
        <f>IF($H2840&lt;&gt;"ALEM","",IFERROR(
  DATE(
    YEAR(EDATE(
      _xlfn.XLOOKUP($A2840,'RESUMEN CLIENTES'!$D:$D,'RESUMEN CLIENTES'!$Y:$Y,""),
      7 + COUNTIFS(
            $A$2:INDEX($A:$A,ROW()), $A2840,
            $H$2:INDEX($H:$H,ROW()), "ALEM"
          )
    )),
    MONTH(EDATE(
      _xlfn.XLOOKUP($A2840,'RESUMEN CLIENTES'!$D:$D,'RESUMEN CLIENTES'!$Y:$Y,""),
      7 + COUNTIFS(
            $A$2:INDEX($A:$A,ROW()), $A2840,
            $H$2:INDEX($H:$H,ROW()), "ALEM"
          )
    )),
    1
  ),
"null"))</f>
        <v>null</v>
      </c>
      <c r="H2840" s="44" t="s">
        <v>1876</v>
      </c>
      <c r="I2840" s="2">
        <v>800</v>
      </c>
      <c r="J2840"/>
      <c r="K2840"/>
      <c r="L2840" s="44" t="str" cm="1">
        <f t="array" ref="L2840">+_xlfn.IFS(COUNTIF(INGRESOS!E:E,Tabla6[[#This Row],[ID FACTURA]])=1,"PAGADA",Tabla6[[#This Row],[ID FACTURA]]&lt;&gt;0,"EMITIDA",Tabla6[[#This Row],[ID FACTURA]]=0,"POR EMITIR")</f>
        <v>POR EMITIR</v>
      </c>
      <c r="M2840" s="55" t="str">
        <f>+IF(Tabla6[[#This Row],[ESTADO FACTURA]]="PAGADA",Tabla6[[#This Row],[FECHA]]-_xlfn.XLOOKUP(Tabla6[[#This Row],[N° FACTURA]],INGRESOS!F:F,INGRESOS!A:A),"-")</f>
        <v>-</v>
      </c>
      <c r="N2840" s="2"/>
      <c r="O2840" t="s">
        <v>2084</v>
      </c>
    </row>
    <row r="2841" spans="1:15">
      <c r="A2841" s="320" t="s">
        <v>904</v>
      </c>
      <c r="B2841" t="str">
        <f>+_xlfn.XLOOKUP(Tabla6[[#This Row],[ID CLIENTE]],'RESUMEN CLIENTES'!D:D,'RESUMEN CLIENTES'!A:A)</f>
        <v>Armando Josmarx Suárez Solis</v>
      </c>
      <c r="C2841" t="str">
        <f>+_xlfn.XLOOKUP(Tabla6[[#This Row],[ID CLIENTE]],'RESUMEN CLIENTES'!D:D,'RESUMEN CLIENTES'!C:C)</f>
        <v>Nicaragua</v>
      </c>
      <c r="D2841" s="44" t="str">
        <f>+_xlfn.XLOOKUP(Tabla6[[#This Row],[ID CLIENTE]],'RESUMEN CLIENTES'!D:D,'RESUMEN CLIENTES'!M:M)</f>
        <v>OK</v>
      </c>
      <c r="E2841" s="72">
        <f>+_xlfn.XLOOKUP(Tabla6[[#This Row],[NOMBRE]],'RESUMEN CLIENTES'!A:A,'RESUMEN CLIENTES'!X:X)</f>
        <v>0.5625</v>
      </c>
      <c r="F2841" s="72">
        <f>+_xlfn.XLOOKUP(Tabla6[[#This Row],[ID CLIENTE]],'RESUMEN CLIENTES'!D:D,'RESUMEN CLIENTES'!W:W)</f>
        <v>1</v>
      </c>
      <c r="G2841" s="17" t="str">
        <f>IF($H2841&lt;&gt;"ALEM","",IFERROR(
  DATE(
    YEAR(EDATE(
      _xlfn.XLOOKUP($A2841,'RESUMEN CLIENTES'!$D:$D,'RESUMEN CLIENTES'!$Y:$Y,""),
      7 + COUNTIFS(
            $A$2:INDEX($A:$A,ROW()), $A2841,
            $H$2:INDEX($H:$H,ROW()), "ALEM"
          )
    )),
    MONTH(EDATE(
      _xlfn.XLOOKUP($A2841,'RESUMEN CLIENTES'!$D:$D,'RESUMEN CLIENTES'!$Y:$Y,""),
      7 + COUNTIFS(
            $A$2:INDEX($A:$A,ROW()), $A2841,
            $H$2:INDEX($H:$H,ROW()), "ALEM"
          )
    )),
    1
  ),
"null"))</f>
        <v>null</v>
      </c>
      <c r="H2841" s="44" t="s">
        <v>1876</v>
      </c>
      <c r="I2841" s="2">
        <v>800</v>
      </c>
      <c r="J2841"/>
      <c r="K2841"/>
      <c r="L2841" s="44" t="str" cm="1">
        <f t="array" ref="L2841">+_xlfn.IFS(COUNTIF(INGRESOS!E:E,Tabla6[[#This Row],[ID FACTURA]])=1,"PAGADA",Tabla6[[#This Row],[ID FACTURA]]&lt;&gt;0,"EMITIDA",Tabla6[[#This Row],[ID FACTURA]]=0,"POR EMITIR")</f>
        <v>POR EMITIR</v>
      </c>
      <c r="M2841" s="55" t="str">
        <f>+IF(Tabla6[[#This Row],[ESTADO FACTURA]]="PAGADA",Tabla6[[#This Row],[FECHA]]-_xlfn.XLOOKUP(Tabla6[[#This Row],[N° FACTURA]],INGRESOS!F:F,INGRESOS!A:A),"-")</f>
        <v>-</v>
      </c>
      <c r="N2841" s="2"/>
      <c r="O2841" t="s">
        <v>2084</v>
      </c>
    </row>
    <row r="2842" spans="1:15">
      <c r="A2842" s="320" t="s">
        <v>904</v>
      </c>
      <c r="B2842" t="str">
        <f>+_xlfn.XLOOKUP(Tabla6[[#This Row],[ID CLIENTE]],'RESUMEN CLIENTES'!D:D,'RESUMEN CLIENTES'!A:A)</f>
        <v>Armando Josmarx Suárez Solis</v>
      </c>
      <c r="C2842" t="str">
        <f>+_xlfn.XLOOKUP(Tabla6[[#This Row],[ID CLIENTE]],'RESUMEN CLIENTES'!D:D,'RESUMEN CLIENTES'!C:C)</f>
        <v>Nicaragua</v>
      </c>
      <c r="D2842" s="44" t="str">
        <f>+_xlfn.XLOOKUP(Tabla6[[#This Row],[ID CLIENTE]],'RESUMEN CLIENTES'!D:D,'RESUMEN CLIENTES'!M:M)</f>
        <v>OK</v>
      </c>
      <c r="E2842" s="72">
        <f>+_xlfn.XLOOKUP(Tabla6[[#This Row],[NOMBRE]],'RESUMEN CLIENTES'!A:A,'RESUMEN CLIENTES'!X:X)</f>
        <v>0.5625</v>
      </c>
      <c r="F2842" s="72">
        <f>+_xlfn.XLOOKUP(Tabla6[[#This Row],[ID CLIENTE]],'RESUMEN CLIENTES'!D:D,'RESUMEN CLIENTES'!W:W)</f>
        <v>1</v>
      </c>
      <c r="G2842" s="17" t="str">
        <f>IF($H2842&lt;&gt;"ALEM","",IFERROR(
  DATE(
    YEAR(EDATE(
      _xlfn.XLOOKUP($A2842,'RESUMEN CLIENTES'!$D:$D,'RESUMEN CLIENTES'!$Y:$Y,""),
      7 + COUNTIFS(
            $A$2:INDEX($A:$A,ROW()), $A2842,
            $H$2:INDEX($H:$H,ROW()), "ALEM"
          )
    )),
    MONTH(EDATE(
      _xlfn.XLOOKUP($A2842,'RESUMEN CLIENTES'!$D:$D,'RESUMEN CLIENTES'!$Y:$Y,""),
      7 + COUNTIFS(
            $A$2:INDEX($A:$A,ROW()), $A2842,
            $H$2:INDEX($H:$H,ROW()), "ALEM"
          )
    )),
    1
  ),
"null"))</f>
        <v>null</v>
      </c>
      <c r="H2842" s="44" t="s">
        <v>1876</v>
      </c>
      <c r="I2842" s="2">
        <v>800</v>
      </c>
      <c r="J2842"/>
      <c r="K2842"/>
      <c r="L2842" s="44" t="str" cm="1">
        <f t="array" ref="L2842">+_xlfn.IFS(COUNTIF(INGRESOS!E:E,Tabla6[[#This Row],[ID FACTURA]])=1,"PAGADA",Tabla6[[#This Row],[ID FACTURA]]&lt;&gt;0,"EMITIDA",Tabla6[[#This Row],[ID FACTURA]]=0,"POR EMITIR")</f>
        <v>POR EMITIR</v>
      </c>
      <c r="M2842" s="55" t="str">
        <f>+IF(Tabla6[[#This Row],[ESTADO FACTURA]]="PAGADA",Tabla6[[#This Row],[FECHA]]-_xlfn.XLOOKUP(Tabla6[[#This Row],[N° FACTURA]],INGRESOS!F:F,INGRESOS!A:A),"-")</f>
        <v>-</v>
      </c>
      <c r="N2842" s="2"/>
      <c r="O2842" t="s">
        <v>2084</v>
      </c>
    </row>
    <row r="2843" spans="1:15">
      <c r="A2843" s="320" t="s">
        <v>904</v>
      </c>
      <c r="B2843" t="str">
        <f>+_xlfn.XLOOKUP(Tabla6[[#This Row],[ID CLIENTE]],'RESUMEN CLIENTES'!D:D,'RESUMEN CLIENTES'!A:A)</f>
        <v>Armando Josmarx Suárez Solis</v>
      </c>
      <c r="C2843" t="str">
        <f>+_xlfn.XLOOKUP(Tabla6[[#This Row],[ID CLIENTE]],'RESUMEN CLIENTES'!D:D,'RESUMEN CLIENTES'!C:C)</f>
        <v>Nicaragua</v>
      </c>
      <c r="D2843" s="44" t="str">
        <f>+_xlfn.XLOOKUP(Tabla6[[#This Row],[ID CLIENTE]],'RESUMEN CLIENTES'!D:D,'RESUMEN CLIENTES'!M:M)</f>
        <v>OK</v>
      </c>
      <c r="E2843" s="72">
        <f>+_xlfn.XLOOKUP(Tabla6[[#This Row],[NOMBRE]],'RESUMEN CLIENTES'!A:A,'RESUMEN CLIENTES'!X:X)</f>
        <v>0.5625</v>
      </c>
      <c r="F2843" s="72">
        <f>+_xlfn.XLOOKUP(Tabla6[[#This Row],[ID CLIENTE]],'RESUMEN CLIENTES'!D:D,'RESUMEN CLIENTES'!W:W)</f>
        <v>1</v>
      </c>
      <c r="G2843" s="17" t="str">
        <f>IF($H2843&lt;&gt;"ALEM","",IFERROR(
  DATE(
    YEAR(EDATE(
      _xlfn.XLOOKUP($A2843,'RESUMEN CLIENTES'!$D:$D,'RESUMEN CLIENTES'!$Y:$Y,""),
      7 + COUNTIFS(
            $A$2:INDEX($A:$A,ROW()), $A2843,
            $H$2:INDEX($H:$H,ROW()), "ALEM"
          )
    )),
    MONTH(EDATE(
      _xlfn.XLOOKUP($A2843,'RESUMEN CLIENTES'!$D:$D,'RESUMEN CLIENTES'!$Y:$Y,""),
      7 + COUNTIFS(
            $A$2:INDEX($A:$A,ROW()), $A2843,
            $H$2:INDEX($H:$H,ROW()), "ALEM"
          )
    )),
    1
  ),
"null"))</f>
        <v>null</v>
      </c>
      <c r="H2843" s="44" t="s">
        <v>1876</v>
      </c>
      <c r="I2843" s="2">
        <v>800</v>
      </c>
      <c r="J2843"/>
      <c r="K2843"/>
      <c r="L2843" s="44" t="str" cm="1">
        <f t="array" ref="L2843">+_xlfn.IFS(COUNTIF(INGRESOS!E:E,Tabla6[[#This Row],[ID FACTURA]])=1,"PAGADA",Tabla6[[#This Row],[ID FACTURA]]&lt;&gt;0,"EMITIDA",Tabla6[[#This Row],[ID FACTURA]]=0,"POR EMITIR")</f>
        <v>POR EMITIR</v>
      </c>
      <c r="M2843" s="55" t="str">
        <f>+IF(Tabla6[[#This Row],[ESTADO FACTURA]]="PAGADA",Tabla6[[#This Row],[FECHA]]-_xlfn.XLOOKUP(Tabla6[[#This Row],[N° FACTURA]],INGRESOS!F:F,INGRESOS!A:A),"-")</f>
        <v>-</v>
      </c>
      <c r="N2843" s="2"/>
      <c r="O2843" t="s">
        <v>2084</v>
      </c>
    </row>
    <row r="2844" spans="1:15">
      <c r="A2844" s="320" t="s">
        <v>904</v>
      </c>
      <c r="B2844" t="str">
        <f>+_xlfn.XLOOKUP(Tabla6[[#This Row],[ID CLIENTE]],'RESUMEN CLIENTES'!D:D,'RESUMEN CLIENTES'!A:A)</f>
        <v>Armando Josmarx Suárez Solis</v>
      </c>
      <c r="C2844" t="str">
        <f>+_xlfn.XLOOKUP(Tabla6[[#This Row],[ID CLIENTE]],'RESUMEN CLIENTES'!D:D,'RESUMEN CLIENTES'!C:C)</f>
        <v>Nicaragua</v>
      </c>
      <c r="D2844" s="44" t="str">
        <f>+_xlfn.XLOOKUP(Tabla6[[#This Row],[ID CLIENTE]],'RESUMEN CLIENTES'!D:D,'RESUMEN CLIENTES'!M:M)</f>
        <v>OK</v>
      </c>
      <c r="E2844" s="72">
        <f>+_xlfn.XLOOKUP(Tabla6[[#This Row],[NOMBRE]],'RESUMEN CLIENTES'!A:A,'RESUMEN CLIENTES'!X:X)</f>
        <v>0.5625</v>
      </c>
      <c r="F2844" s="72">
        <f>+_xlfn.XLOOKUP(Tabla6[[#This Row],[ID CLIENTE]],'RESUMEN CLIENTES'!D:D,'RESUMEN CLIENTES'!W:W)</f>
        <v>1</v>
      </c>
      <c r="G2844" s="17" t="str">
        <f>IF($H2844&lt;&gt;"ALEM","",IFERROR(
  DATE(
    YEAR(EDATE(
      _xlfn.XLOOKUP($A2844,'RESUMEN CLIENTES'!$D:$D,'RESUMEN CLIENTES'!$Y:$Y,""),
      7 + COUNTIFS(
            $A$2:INDEX($A:$A,ROW()), $A2844,
            $H$2:INDEX($H:$H,ROW()), "ALEM"
          )
    )),
    MONTH(EDATE(
      _xlfn.XLOOKUP($A2844,'RESUMEN CLIENTES'!$D:$D,'RESUMEN CLIENTES'!$Y:$Y,""),
      7 + COUNTIFS(
            $A$2:INDEX($A:$A,ROW()), $A2844,
            $H$2:INDEX($H:$H,ROW()), "ALEM"
          )
    )),
    1
  ),
"null"))</f>
        <v>null</v>
      </c>
      <c r="H2844" s="44" t="s">
        <v>1876</v>
      </c>
      <c r="I2844" s="2">
        <v>800</v>
      </c>
      <c r="J2844"/>
      <c r="K2844"/>
      <c r="L2844" s="44" t="str" cm="1">
        <f t="array" ref="L2844">+_xlfn.IFS(COUNTIF(INGRESOS!E:E,Tabla6[[#This Row],[ID FACTURA]])=1,"PAGADA",Tabla6[[#This Row],[ID FACTURA]]&lt;&gt;0,"EMITIDA",Tabla6[[#This Row],[ID FACTURA]]=0,"POR EMITIR")</f>
        <v>POR EMITIR</v>
      </c>
      <c r="M2844" s="55" t="str">
        <f>+IF(Tabla6[[#This Row],[ESTADO FACTURA]]="PAGADA",Tabla6[[#This Row],[FECHA]]-_xlfn.XLOOKUP(Tabla6[[#This Row],[N° FACTURA]],INGRESOS!F:F,INGRESOS!A:A),"-")</f>
        <v>-</v>
      </c>
      <c r="N2844" s="2"/>
      <c r="O2844" t="s">
        <v>2084</v>
      </c>
    </row>
    <row r="2845" spans="1:15">
      <c r="A2845" s="320" t="s">
        <v>904</v>
      </c>
      <c r="B2845" t="str">
        <f>+_xlfn.XLOOKUP(Tabla6[[#This Row],[ID CLIENTE]],'RESUMEN CLIENTES'!D:D,'RESUMEN CLIENTES'!A:A)</f>
        <v>Armando Josmarx Suárez Solis</v>
      </c>
      <c r="C2845" t="str">
        <f>+_xlfn.XLOOKUP(Tabla6[[#This Row],[ID CLIENTE]],'RESUMEN CLIENTES'!D:D,'RESUMEN CLIENTES'!C:C)</f>
        <v>Nicaragua</v>
      </c>
      <c r="D2845" s="44" t="str">
        <f>+_xlfn.XLOOKUP(Tabla6[[#This Row],[ID CLIENTE]],'RESUMEN CLIENTES'!D:D,'RESUMEN CLIENTES'!M:M)</f>
        <v>OK</v>
      </c>
      <c r="E2845" s="72">
        <f>+_xlfn.XLOOKUP(Tabla6[[#This Row],[NOMBRE]],'RESUMEN CLIENTES'!A:A,'RESUMEN CLIENTES'!X:X)</f>
        <v>0.5625</v>
      </c>
      <c r="F2845" s="72">
        <f>+_xlfn.XLOOKUP(Tabla6[[#This Row],[ID CLIENTE]],'RESUMEN CLIENTES'!D:D,'RESUMEN CLIENTES'!W:W)</f>
        <v>1</v>
      </c>
      <c r="G2845" s="17" t="str">
        <f>IF($H2845&lt;&gt;"ALEM","",IFERROR(
  DATE(
    YEAR(EDATE(
      _xlfn.XLOOKUP($A2845,'RESUMEN CLIENTES'!$D:$D,'RESUMEN CLIENTES'!$Y:$Y,""),
      7 + COUNTIFS(
            $A$2:INDEX($A:$A,ROW()), $A2845,
            $H$2:INDEX($H:$H,ROW()), "ALEM"
          )
    )),
    MONTH(EDATE(
      _xlfn.XLOOKUP($A2845,'RESUMEN CLIENTES'!$D:$D,'RESUMEN CLIENTES'!$Y:$Y,""),
      7 + COUNTIFS(
            $A$2:INDEX($A:$A,ROW()), $A2845,
            $H$2:INDEX($H:$H,ROW()), "ALEM"
          )
    )),
    1
  ),
"null"))</f>
        <v>null</v>
      </c>
      <c r="H2845" s="44" t="s">
        <v>1876</v>
      </c>
      <c r="I2845" s="2">
        <v>800</v>
      </c>
      <c r="J2845"/>
      <c r="K2845"/>
      <c r="L2845" s="44" t="str" cm="1">
        <f t="array" ref="L2845">+_xlfn.IFS(COUNTIF(INGRESOS!E:E,Tabla6[[#This Row],[ID FACTURA]])=1,"PAGADA",Tabla6[[#This Row],[ID FACTURA]]&lt;&gt;0,"EMITIDA",Tabla6[[#This Row],[ID FACTURA]]=0,"POR EMITIR")</f>
        <v>POR EMITIR</v>
      </c>
      <c r="M2845" s="55" t="str">
        <f>+IF(Tabla6[[#This Row],[ESTADO FACTURA]]="PAGADA",Tabla6[[#This Row],[FECHA]]-_xlfn.XLOOKUP(Tabla6[[#This Row],[N° FACTURA]],INGRESOS!F:F,INGRESOS!A:A),"-")</f>
        <v>-</v>
      </c>
      <c r="N2845" s="2"/>
      <c r="O2845" t="s">
        <v>2084</v>
      </c>
    </row>
    <row r="2846" spans="1:15">
      <c r="A2846" s="320" t="s">
        <v>904</v>
      </c>
      <c r="B2846" t="str">
        <f>+_xlfn.XLOOKUP(Tabla6[[#This Row],[ID CLIENTE]],'RESUMEN CLIENTES'!D:D,'RESUMEN CLIENTES'!A:A)</f>
        <v>Armando Josmarx Suárez Solis</v>
      </c>
      <c r="C2846" t="str">
        <f>+_xlfn.XLOOKUP(Tabla6[[#This Row],[ID CLIENTE]],'RESUMEN CLIENTES'!D:D,'RESUMEN CLIENTES'!C:C)</f>
        <v>Nicaragua</v>
      </c>
      <c r="D2846" s="44" t="str">
        <f>+_xlfn.XLOOKUP(Tabla6[[#This Row],[ID CLIENTE]],'RESUMEN CLIENTES'!D:D,'RESUMEN CLIENTES'!M:M)</f>
        <v>OK</v>
      </c>
      <c r="E2846" s="72">
        <f>+_xlfn.XLOOKUP(Tabla6[[#This Row],[NOMBRE]],'RESUMEN CLIENTES'!A:A,'RESUMEN CLIENTES'!X:X)</f>
        <v>0.5625</v>
      </c>
      <c r="F2846" s="72">
        <f>+_xlfn.XLOOKUP(Tabla6[[#This Row],[ID CLIENTE]],'RESUMEN CLIENTES'!D:D,'RESUMEN CLIENTES'!W:W)</f>
        <v>1</v>
      </c>
      <c r="G2846" s="17" t="s">
        <v>2093</v>
      </c>
      <c r="H2846" s="44" t="s">
        <v>1669</v>
      </c>
      <c r="I2846" s="2">
        <v>3000</v>
      </c>
      <c r="J2846"/>
      <c r="K2846"/>
      <c r="L2846" s="44" t="str" cm="1">
        <f t="array" ref="L2846">+_xlfn.IFS(COUNTIF(INGRESOS!E:E,Tabla6[[#This Row],[ID FACTURA]])=1,"PAGADA",Tabla6[[#This Row],[ID FACTURA]]&lt;&gt;0,"EMITIDA",Tabla6[[#This Row],[ID FACTURA]]=0,"POR EMITIR")</f>
        <v>POR EMITIR</v>
      </c>
      <c r="M2846" s="55" t="str">
        <f>+IF(Tabla6[[#This Row],[ESTADO FACTURA]]="PAGADA",Tabla6[[#This Row],[FECHA]]-_xlfn.XLOOKUP(Tabla6[[#This Row],[N° FACTURA]],INGRESOS!F:F,INGRESOS!A:A),"-")</f>
        <v>-</v>
      </c>
      <c r="N2846" s="2"/>
      <c r="O2846"/>
    </row>
    <row r="2847" spans="1:15">
      <c r="A2847" s="321" t="s">
        <v>1756</v>
      </c>
      <c r="B2847" t="str">
        <f>+_xlfn.XLOOKUP(Tabla6[[#This Row],[ID CLIENTE]],'RESUMEN CLIENTES'!D:D,'RESUMEN CLIENTES'!A:A)</f>
        <v>Aylin Micaela Ortiz Chiriboga</v>
      </c>
      <c r="C2847" t="str">
        <f>+_xlfn.XLOOKUP(Tabla6[[#This Row],[ID CLIENTE]],'RESUMEN CLIENTES'!D:D,'RESUMEN CLIENTES'!C:C)</f>
        <v>Ecuador</v>
      </c>
      <c r="D2847" s="169" t="str">
        <f>+_xlfn.XLOOKUP(Tabla6[[#This Row],[ID CLIENTE]],'RESUMEN CLIENTES'!D:D,'RESUMEN CLIENTES'!M:M)</f>
        <v>¡REGULARIZAR!</v>
      </c>
      <c r="E2847" s="71">
        <f>+_xlfn.XLOOKUP(Tabla6[[#This Row],[NOMBRE]],'RESUMEN CLIENTES'!A:A,'RESUMEN CLIENTES'!X:X)</f>
        <v>0</v>
      </c>
      <c r="F2847" s="71">
        <f>+_xlfn.XLOOKUP(Tabla6[[#This Row],[ID CLIENTE]],'RESUMEN CLIENTES'!D:D,'RESUMEN CLIENTES'!W:W)</f>
        <v>1</v>
      </c>
      <c r="G2847" s="17" t="s">
        <v>2093</v>
      </c>
      <c r="H2847" s="169" t="s">
        <v>1669</v>
      </c>
      <c r="I2847" s="2">
        <v>3000</v>
      </c>
      <c r="J2847"/>
      <c r="K2847"/>
      <c r="L2847" s="44" t="str" cm="1">
        <f t="array" ref="L2847">+_xlfn.IFS(COUNTIF(INGRESOS!E:E,Tabla6[[#This Row],[ID FACTURA]])=1,"PAGADA",Tabla6[[#This Row],[ID FACTURA]]&lt;&gt;0,"EMITIDA",Tabla6[[#This Row],[ID FACTURA]]=0,"POR EMITIR")</f>
        <v>POR EMITIR</v>
      </c>
      <c r="M2847" s="54" t="str">
        <f>+IF(Tabla6[[#This Row],[ESTADO FACTURA]]="PAGADA",Tabla6[[#This Row],[FECHA]]-_xlfn.XLOOKUP(Tabla6[[#This Row],[N° FACTURA]],INGRESOS!F:F,INGRESOS!A:A),"-")</f>
        <v>-</v>
      </c>
      <c r="O2847"/>
    </row>
    <row r="2848" spans="1:15">
      <c r="A2848" s="320" t="s">
        <v>2011</v>
      </c>
      <c r="B2848" t="str">
        <f>+_xlfn.XLOOKUP(Tabla6[[#This Row],[ID CLIENTE]],'RESUMEN CLIENTES'!D:D,'RESUMEN CLIENTES'!A:A)</f>
        <v>Bárbara Fuentes</v>
      </c>
      <c r="C2848" t="str">
        <f>+_xlfn.XLOOKUP(Tabla6[[#This Row],[ID CLIENTE]],'RESUMEN CLIENTES'!D:D,'RESUMEN CLIENTES'!C:C)</f>
        <v>Chile</v>
      </c>
      <c r="D2848" s="169" t="str">
        <f>+_xlfn.XLOOKUP(Tabla6[[#This Row],[ID CLIENTE]],'RESUMEN CLIENTES'!D:D,'RESUMEN CLIENTES'!M:M)</f>
        <v>OK</v>
      </c>
      <c r="E2848" s="71">
        <f>+_xlfn.XLOOKUP(Tabla6[[#This Row],[NOMBRE]],'RESUMEN CLIENTES'!A:A,'RESUMEN CLIENTES'!X:X)</f>
        <v>-0.33333333333333331</v>
      </c>
      <c r="F2848" s="71">
        <f>+_xlfn.XLOOKUP(Tabla6[[#This Row],[ID CLIENTE]],'RESUMEN CLIENTES'!D:D,'RESUMEN CLIENTES'!W:W)</f>
        <v>0</v>
      </c>
      <c r="G2848" s="17" t="s">
        <v>2093</v>
      </c>
      <c r="H2848" s="169" t="s">
        <v>1669</v>
      </c>
      <c r="I2848" s="2">
        <v>2000</v>
      </c>
      <c r="J2848"/>
      <c r="K2848"/>
      <c r="L2848" s="44" t="str" cm="1">
        <f t="array" ref="L2848">+_xlfn.IFS(COUNTIF(INGRESOS!E:E,Tabla6[[#This Row],[ID FACTURA]])=1,"PAGADA",Tabla6[[#This Row],[ID FACTURA]]&lt;&gt;0,"EMITIDA",Tabla6[[#This Row],[ID FACTURA]]=0,"POR EMITIR")</f>
        <v>POR EMITIR</v>
      </c>
      <c r="M2848" s="54" t="str">
        <f>+IF(Tabla6[[#This Row],[ESTADO FACTURA]]="PAGADA",Tabla6[[#This Row],[FECHA]]-_xlfn.XLOOKUP(Tabla6[[#This Row],[N° FACTURA]],INGRESOS!F:F,INGRESOS!A:A),"-")</f>
        <v>-</v>
      </c>
      <c r="O2848"/>
    </row>
    <row r="2849" spans="1:15">
      <c r="A2849" s="321" t="s">
        <v>1870</v>
      </c>
      <c r="B2849" t="str">
        <f>+_xlfn.XLOOKUP(Tabla6[[#This Row],[ID CLIENTE]],'RESUMEN CLIENTES'!D:D,'RESUMEN CLIENTES'!A:A)</f>
        <v>Berenisse Shadia Yarango Garay</v>
      </c>
      <c r="C2849" t="str">
        <f>+_xlfn.XLOOKUP(Tabla6[[#This Row],[ID CLIENTE]],'RESUMEN CLIENTES'!D:D,'RESUMEN CLIENTES'!C:C)</f>
        <v>Perú</v>
      </c>
      <c r="D2849" s="169" t="str">
        <f>+_xlfn.XLOOKUP(Tabla6[[#This Row],[ID CLIENTE]],'RESUMEN CLIENTES'!D:D,'RESUMEN CLIENTES'!M:M)</f>
        <v>OK</v>
      </c>
      <c r="E2849" s="71">
        <f>+_xlfn.XLOOKUP(Tabla6[[#This Row],[NOMBRE]],'RESUMEN CLIENTES'!A:A,'RESUMEN CLIENTES'!X:X)</f>
        <v>-0.33333333333333331</v>
      </c>
      <c r="F2849" s="71">
        <f>+_xlfn.XLOOKUP(Tabla6[[#This Row],[ID CLIENTE]],'RESUMEN CLIENTES'!D:D,'RESUMEN CLIENTES'!W:W)</f>
        <v>0</v>
      </c>
      <c r="G2849" s="17" t="s">
        <v>2093</v>
      </c>
      <c r="H2849" s="169" t="s">
        <v>1669</v>
      </c>
      <c r="I2849" s="2">
        <v>3000</v>
      </c>
      <c r="J2849"/>
      <c r="K2849"/>
      <c r="L2849" s="44" t="str" cm="1">
        <f t="array" ref="L2849">+_xlfn.IFS(COUNTIF(INGRESOS!E:E,Tabla6[[#This Row],[ID FACTURA]])=1,"PAGADA",Tabla6[[#This Row],[ID FACTURA]]&lt;&gt;0,"EMITIDA",Tabla6[[#This Row],[ID FACTURA]]=0,"POR EMITIR")</f>
        <v>POR EMITIR</v>
      </c>
      <c r="M2849" s="54" t="str">
        <f>+IF(Tabla6[[#This Row],[ESTADO FACTURA]]="PAGADA",Tabla6[[#This Row],[FECHA]]-_xlfn.XLOOKUP(Tabla6[[#This Row],[N° FACTURA]],INGRESOS!F:F,INGRESOS!A:A),"-")</f>
        <v>-</v>
      </c>
      <c r="O2849"/>
    </row>
    <row r="2850" spans="1:15">
      <c r="A2850" s="320" t="s">
        <v>1206</v>
      </c>
      <c r="B2850" t="str">
        <f>+_xlfn.XLOOKUP(Tabla6[[#This Row],[ID CLIENTE]],'RESUMEN CLIENTES'!D:D,'RESUMEN CLIENTES'!A:A)</f>
        <v>Bryan Israel Jiménez Puente</v>
      </c>
      <c r="C2850" t="str">
        <f>+_xlfn.XLOOKUP(Tabla6[[#This Row],[ID CLIENTE]],'RESUMEN CLIENTES'!D:D,'RESUMEN CLIENTES'!C:C)</f>
        <v>Ecuador</v>
      </c>
      <c r="D2850" s="44" t="str">
        <f>+_xlfn.XLOOKUP(Tabla6[[#This Row],[ID CLIENTE]],'RESUMEN CLIENTES'!D:D,'RESUMEN CLIENTES'!M:M)</f>
        <v>OK</v>
      </c>
      <c r="E2850" s="72">
        <f>+_xlfn.XLOOKUP(Tabla6[[#This Row],[NOMBRE]],'RESUMEN CLIENTES'!A:A,'RESUMEN CLIENTES'!X:X)</f>
        <v>1</v>
      </c>
      <c r="F2850" s="72">
        <f>+_xlfn.XLOOKUP(Tabla6[[#This Row],[ID CLIENTE]],'RESUMEN CLIENTES'!D:D,'RESUMEN CLIENTES'!W:W)</f>
        <v>0</v>
      </c>
      <c r="G2850" s="17" t="s">
        <v>2093</v>
      </c>
      <c r="H2850" s="44" t="s">
        <v>1669</v>
      </c>
      <c r="I2850" s="2">
        <v>3000</v>
      </c>
      <c r="J2850"/>
      <c r="K2850"/>
      <c r="L2850" s="44" t="str" cm="1">
        <f t="array" ref="L2850">+_xlfn.IFS(COUNTIF(INGRESOS!E:E,Tabla6[[#This Row],[ID FACTURA]])=1,"PAGADA",Tabla6[[#This Row],[ID FACTURA]]&lt;&gt;0,"EMITIDA",Tabla6[[#This Row],[ID FACTURA]]=0,"POR EMITIR")</f>
        <v>POR EMITIR</v>
      </c>
      <c r="M2850" s="55" t="str">
        <f>+IF(Tabla6[[#This Row],[ESTADO FACTURA]]="PAGADA",Tabla6[[#This Row],[FECHA]]-_xlfn.XLOOKUP(Tabla6[[#This Row],[N° FACTURA]],INGRESOS!F:F,INGRESOS!A:A),"-")</f>
        <v>-</v>
      </c>
      <c r="N2850" s="2"/>
      <c r="O2850"/>
    </row>
    <row r="2851" spans="1:15">
      <c r="A2851" s="320" t="s">
        <v>1556</v>
      </c>
      <c r="B2851" t="str">
        <f>+_xlfn.XLOOKUP(Tabla6[[#This Row],[ID CLIENTE]],'RESUMEN CLIENTES'!D:D,'RESUMEN CLIENTES'!A:A)</f>
        <v>Claudia Nivon Chacón</v>
      </c>
      <c r="C2851" t="str">
        <f>+_xlfn.XLOOKUP(Tabla6[[#This Row],[ID CLIENTE]],'RESUMEN CLIENTES'!D:D,'RESUMEN CLIENTES'!C:C)</f>
        <v>México</v>
      </c>
      <c r="D2851" s="44" t="str">
        <f>+_xlfn.XLOOKUP(Tabla6[[#This Row],[ID CLIENTE]],'RESUMEN CLIENTES'!D:D,'RESUMEN CLIENTES'!M:M)</f>
        <v>OK</v>
      </c>
      <c r="E2851" s="71">
        <f>+_xlfn.XLOOKUP(Tabla6[[#This Row],[NOMBRE]],'RESUMEN CLIENTES'!A:A,'RESUMEN CLIENTES'!X:X)</f>
        <v>0.4</v>
      </c>
      <c r="F2851" s="71">
        <f>+_xlfn.XLOOKUP(Tabla6[[#This Row],[ID CLIENTE]],'RESUMEN CLIENTES'!D:D,'RESUMEN CLIENTES'!W:W)</f>
        <v>0</v>
      </c>
      <c r="G2851" s="17" t="s">
        <v>2093</v>
      </c>
      <c r="H2851" s="169" t="s">
        <v>1669</v>
      </c>
      <c r="I2851" s="2">
        <v>3409.09</v>
      </c>
      <c r="J2851"/>
      <c r="K2851"/>
      <c r="L2851" s="44" t="str" cm="1">
        <f t="array" ref="L2851">+_xlfn.IFS(COUNTIF(INGRESOS!E:E,Tabla6[[#This Row],[ID FACTURA]])=1,"PAGADA",Tabla6[[#This Row],[ID FACTURA]]&lt;&gt;0,"EMITIDA",Tabla6[[#This Row],[ID FACTURA]]=0,"POR EMITIR")</f>
        <v>POR EMITIR</v>
      </c>
      <c r="M2851" s="55" t="str">
        <f>+IF(Tabla6[[#This Row],[ESTADO FACTURA]]="PAGADA",Tabla6[[#This Row],[FECHA]]-_xlfn.XLOOKUP(Tabla6[[#This Row],[N° FACTURA]],INGRESOS!F:F,INGRESOS!A:A),"-")</f>
        <v>-</v>
      </c>
      <c r="N2851" s="2"/>
      <c r="O2851"/>
    </row>
    <row r="2852" spans="1:15">
      <c r="A2852" s="320" t="s">
        <v>1245</v>
      </c>
      <c r="B2852" t="str">
        <f>+_xlfn.XLOOKUP(Tabla6[[#This Row],[ID CLIENTE]],'RESUMEN CLIENTES'!D:D,'RESUMEN CLIENTES'!A:A)</f>
        <v>Constanza Andrea Águila Vergara</v>
      </c>
      <c r="C2852" t="str">
        <f>+_xlfn.XLOOKUP(Tabla6[[#This Row],[ID CLIENTE]],'RESUMEN CLIENTES'!D:D,'RESUMEN CLIENTES'!C:C)</f>
        <v>Chile</v>
      </c>
      <c r="D2852" s="44" t="str">
        <f>+_xlfn.XLOOKUP(Tabla6[[#This Row],[ID CLIENTE]],'RESUMEN CLIENTES'!D:D,'RESUMEN CLIENTES'!M:M)</f>
        <v>OK</v>
      </c>
      <c r="E2852" s="71">
        <f>+_xlfn.XLOOKUP(Tabla6[[#This Row],[NOMBRE]],'RESUMEN CLIENTES'!A:A,'RESUMEN CLIENTES'!X:X)</f>
        <v>-0.2</v>
      </c>
      <c r="F2852" s="71">
        <f>+_xlfn.XLOOKUP(Tabla6[[#This Row],[ID CLIENTE]],'RESUMEN CLIENTES'!D:D,'RESUMEN CLIENTES'!W:W)</f>
        <v>1</v>
      </c>
      <c r="G2852" s="17" t="s">
        <v>2093</v>
      </c>
      <c r="H2852" s="44" t="s">
        <v>1669</v>
      </c>
      <c r="I2852" s="2">
        <v>3000</v>
      </c>
      <c r="J2852"/>
      <c r="K2852"/>
      <c r="L2852" s="44" t="str" cm="1">
        <f t="array" ref="L2852">+_xlfn.IFS(COUNTIF(INGRESOS!E:E,Tabla6[[#This Row],[ID FACTURA]])=1,"PAGADA",Tabla6[[#This Row],[ID FACTURA]]&lt;&gt;0,"EMITIDA",Tabla6[[#This Row],[ID FACTURA]]=0,"POR EMITIR")</f>
        <v>POR EMITIR</v>
      </c>
      <c r="M2852" s="55" t="str">
        <f>+IF(Tabla6[[#This Row],[ESTADO FACTURA]]="PAGADA",Tabla6[[#This Row],[FECHA]]-_xlfn.XLOOKUP(Tabla6[[#This Row],[N° FACTURA]],INGRESOS!F:F,INGRESOS!A:A),"-")</f>
        <v>-</v>
      </c>
      <c r="N2852" s="2"/>
      <c r="O2852"/>
    </row>
    <row r="2853" spans="1:15">
      <c r="A2853" s="320" t="s">
        <v>1178</v>
      </c>
      <c r="B2853" t="str">
        <f>+_xlfn.XLOOKUP(Tabla6[[#This Row],[ID CLIENTE]],'RESUMEN CLIENTES'!D:D,'RESUMEN CLIENTES'!A:A)</f>
        <v>Daniel Flores</v>
      </c>
      <c r="C2853" t="str">
        <f>+_xlfn.XLOOKUP(Tabla6[[#This Row],[ID CLIENTE]],'RESUMEN CLIENTES'!D:D,'RESUMEN CLIENTES'!C:C)</f>
        <v>Ecuador</v>
      </c>
      <c r="D2853" s="44" t="str">
        <f>+_xlfn.XLOOKUP(Tabla6[[#This Row],[ID CLIENTE]],'RESUMEN CLIENTES'!D:D,'RESUMEN CLIENTES'!M:M)</f>
        <v>OK</v>
      </c>
      <c r="E2853" s="72">
        <f>+_xlfn.XLOOKUP(Tabla6[[#This Row],[NOMBRE]],'RESUMEN CLIENTES'!A:A,'RESUMEN CLIENTES'!X:X)</f>
        <v>3.8333333333333335</v>
      </c>
      <c r="F2853" s="72">
        <f>+_xlfn.XLOOKUP(Tabla6[[#This Row],[ID CLIENTE]],'RESUMEN CLIENTES'!D:D,'RESUMEN CLIENTES'!W:W)</f>
        <v>1</v>
      </c>
      <c r="G2853" s="17" t="s">
        <v>2093</v>
      </c>
      <c r="H2853" s="44" t="s">
        <v>1669</v>
      </c>
      <c r="I2853" s="2">
        <v>3000</v>
      </c>
      <c r="J2853"/>
      <c r="K2853"/>
      <c r="L2853" s="44" t="str" cm="1">
        <f t="array" ref="L2853">+_xlfn.IFS(COUNTIF(INGRESOS!E:E,Tabla6[[#This Row],[ID FACTURA]])=1,"PAGADA",Tabla6[[#This Row],[ID FACTURA]]&lt;&gt;0,"EMITIDA",Tabla6[[#This Row],[ID FACTURA]]=0,"POR EMITIR")</f>
        <v>POR EMITIR</v>
      </c>
      <c r="M2853" s="55" t="str">
        <f>+IF(Tabla6[[#This Row],[ESTADO FACTURA]]="PAGADA",Tabla6[[#This Row],[FECHA]]-_xlfn.XLOOKUP(Tabla6[[#This Row],[N° FACTURA]],INGRESOS!F:F,INGRESOS!A:A),"-")</f>
        <v>-</v>
      </c>
      <c r="N2853" s="2"/>
      <c r="O2853"/>
    </row>
    <row r="2854" spans="1:15">
      <c r="A2854" s="320" t="s">
        <v>122</v>
      </c>
      <c r="B2854" t="str">
        <f>+_xlfn.XLOOKUP(Tabla6[[#This Row],[ID CLIENTE]],'RESUMEN CLIENTES'!D:D,'RESUMEN CLIENTES'!A:A)</f>
        <v>Daniela Harbst Tassara</v>
      </c>
      <c r="C2854" t="str">
        <f>+_xlfn.XLOOKUP(Tabla6[[#This Row],[ID CLIENTE]],'RESUMEN CLIENTES'!D:D,'RESUMEN CLIENTES'!C:C)</f>
        <v>Chile</v>
      </c>
      <c r="D2854" s="44" t="str">
        <f>+_xlfn.XLOOKUP(Tabla6[[#This Row],[ID CLIENTE]],'RESUMEN CLIENTES'!D:D,'RESUMEN CLIENTES'!M:M)</f>
        <v>OK</v>
      </c>
      <c r="E2854" s="72">
        <f>+_xlfn.XLOOKUP(Tabla6[[#This Row],[NOMBRE]],'RESUMEN CLIENTES'!A:A,'RESUMEN CLIENTES'!X:X)</f>
        <v>1</v>
      </c>
      <c r="F2854" s="72">
        <f>+_xlfn.XLOOKUP(Tabla6[[#This Row],[ID CLIENTE]],'RESUMEN CLIENTES'!D:D,'RESUMEN CLIENTES'!W:W)</f>
        <v>0</v>
      </c>
      <c r="G2854" s="17" t="s">
        <v>2093</v>
      </c>
      <c r="H2854" s="44" t="s">
        <v>2094</v>
      </c>
      <c r="I2854" s="190">
        <v>8000</v>
      </c>
      <c r="J2854"/>
      <c r="K2854"/>
      <c r="L2854" s="44" t="str" cm="1">
        <f t="array" ref="L2854">+_xlfn.IFS(COUNTIF(INGRESOS!E:E,Tabla6[[#This Row],[ID FACTURA]])=1,"PAGADA",Tabla6[[#This Row],[ID FACTURA]]&lt;&gt;0,"EMITIDA",Tabla6[[#This Row],[ID FACTURA]]=0,"POR EMITIR")</f>
        <v>POR EMITIR</v>
      </c>
      <c r="M2854" s="55" t="str">
        <f>+IF(Tabla6[[#This Row],[ESTADO FACTURA]]="PAGADA",Tabla6[[#This Row],[FECHA]]-_xlfn.XLOOKUP(Tabla6[[#This Row],[N° FACTURA]],INGRESOS!F:F,INGRESOS!A:A),"-")</f>
        <v>-</v>
      </c>
      <c r="N2854" s="190"/>
      <c r="O2854" s="8" t="s">
        <v>2095</v>
      </c>
    </row>
    <row r="2855" spans="1:15">
      <c r="A2855" s="320" t="s">
        <v>115</v>
      </c>
      <c r="B2855" t="str">
        <f>+_xlfn.XLOOKUP(Tabla6[[#This Row],[ID CLIENTE]],'RESUMEN CLIENTES'!D:D,'RESUMEN CLIENTES'!A:A)</f>
        <v>David Hernández Viveros</v>
      </c>
      <c r="C2855" t="str">
        <f>+_xlfn.XLOOKUP(Tabla6[[#This Row],[ID CLIENTE]],'RESUMEN CLIENTES'!D:D,'RESUMEN CLIENTES'!C:C)</f>
        <v>México</v>
      </c>
      <c r="D2855" s="44" t="str">
        <f>+_xlfn.XLOOKUP(Tabla6[[#This Row],[ID CLIENTE]],'RESUMEN CLIENTES'!D:D,'RESUMEN CLIENTES'!M:M)</f>
        <v>OK</v>
      </c>
      <c r="E2855" s="72">
        <f>+_xlfn.XLOOKUP(Tabla6[[#This Row],[NOMBRE]],'RESUMEN CLIENTES'!A:A,'RESUMEN CLIENTES'!X:X)</f>
        <v>-0.5</v>
      </c>
      <c r="F2855" s="72">
        <f>+_xlfn.XLOOKUP(Tabla6[[#This Row],[ID CLIENTE]],'RESUMEN CLIENTES'!D:D,'RESUMEN CLIENTES'!W:W)</f>
        <v>1</v>
      </c>
      <c r="G2855" s="17" t="s">
        <v>2093</v>
      </c>
      <c r="H2855" s="44" t="s">
        <v>2094</v>
      </c>
      <c r="I2855" s="190">
        <f>6000+Tabla6[[#This Row],[DCTO DOC]]</f>
        <v>6120</v>
      </c>
      <c r="J2855"/>
      <c r="K2855"/>
      <c r="L2855" s="44" t="str" cm="1">
        <f t="array" ref="L2855">+_xlfn.IFS(COUNTIF(INGRESOS!E:E,Tabla6[[#This Row],[ID FACTURA]])=1,"PAGADA",Tabla6[[#This Row],[ID FACTURA]]&lt;&gt;0,"EMITIDA",Tabla6[[#This Row],[ID FACTURA]]=0,"POR EMITIR")</f>
        <v>POR EMITIR</v>
      </c>
      <c r="M2855" s="55" t="str">
        <f>+IF(Tabla6[[#This Row],[ESTADO FACTURA]]="PAGADA",Tabla6[[#This Row],[FECHA]]-_xlfn.XLOOKUP(Tabla6[[#This Row],[N° FACTURA]],INGRESOS!F:F,INGRESOS!A:A),"-")</f>
        <v>-</v>
      </c>
      <c r="N2855" s="190">
        <v>120</v>
      </c>
      <c r="O2855" s="8" t="s">
        <v>4565</v>
      </c>
    </row>
    <row r="2856" spans="1:15">
      <c r="A2856" s="320" t="s">
        <v>4660</v>
      </c>
      <c r="B2856" t="str">
        <f>+_xlfn.XLOOKUP(Tabla6[[#This Row],[ID CLIENTE]],'RESUMEN CLIENTES'!D:D,'RESUMEN CLIENTES'!A:A)</f>
        <v>Edipris Flores</v>
      </c>
      <c r="C2856" s="15" t="str">
        <f>+_xlfn.XLOOKUP(Tabla6[[#This Row],[ID CLIENTE]],'RESUMEN CLIENTES'!D:D,'RESUMEN CLIENTES'!C:C)</f>
        <v>Chile</v>
      </c>
      <c r="D2856" s="169" t="str">
        <f>+_xlfn.XLOOKUP(Tabla6[[#This Row],[ID CLIENTE]],'RESUMEN CLIENTES'!D:D,'RESUMEN CLIENTES'!M:M)</f>
        <v>OK</v>
      </c>
      <c r="E2856" s="71">
        <f>+_xlfn.XLOOKUP(Tabla6[[#This Row],[NOMBRE]],'RESUMEN CLIENTES'!A:A,'RESUMEN CLIENTES'!X:X)</f>
        <v>-4</v>
      </c>
      <c r="F2856" s="71">
        <f>+_xlfn.XLOOKUP(Tabla6[[#This Row],[ID CLIENTE]],'RESUMEN CLIENTES'!D:D,'RESUMEN CLIENTES'!W:W)</f>
        <v>0</v>
      </c>
      <c r="G2856" s="17" t="s">
        <v>2093</v>
      </c>
      <c r="H2856" s="169" t="s">
        <v>1669</v>
      </c>
      <c r="I2856" s="2">
        <v>3000</v>
      </c>
      <c r="J2856"/>
      <c r="K2856"/>
      <c r="L2856" s="44" t="str" cm="1">
        <f t="array" ref="L2856">+_xlfn.IFS(COUNTIF(INGRESOS!E:E,Tabla6[[#This Row],[ID FACTURA]])=1,"PAGADA",Tabla6[[#This Row],[ID FACTURA]]&lt;&gt;0,"EMITIDA",Tabla6[[#This Row],[ID FACTURA]]=0,"POR EMITIR")</f>
        <v>POR EMITIR</v>
      </c>
      <c r="M2856" s="54" t="str">
        <f>+IF(Tabla6[[#This Row],[ESTADO FACTURA]]="PAGADA",Tabla6[[#This Row],[FECHA]]-_xlfn.XLOOKUP(Tabla6[[#This Row],[N° FACTURA]],INGRESOS!F:F,INGRESOS!A:A),"-")</f>
        <v>-</v>
      </c>
      <c r="O2856"/>
    </row>
    <row r="2857" spans="1:15">
      <c r="A2857" s="320" t="s">
        <v>1248</v>
      </c>
      <c r="B2857" t="str">
        <f>+_xlfn.XLOOKUP(Tabla6[[#This Row],[ID CLIENTE]],'RESUMEN CLIENTES'!D:D,'RESUMEN CLIENTES'!A:A)</f>
        <v>Emily Vanessa Tapia Villalobos</v>
      </c>
      <c r="C2857" t="str">
        <f>+_xlfn.XLOOKUP(Tabla6[[#This Row],[ID CLIENTE]],'RESUMEN CLIENTES'!D:D,'RESUMEN CLIENTES'!C:C)</f>
        <v>Chile</v>
      </c>
      <c r="D2857" s="44" t="str">
        <f>+_xlfn.XLOOKUP(Tabla6[[#This Row],[ID CLIENTE]],'RESUMEN CLIENTES'!D:D,'RESUMEN CLIENTES'!M:M)</f>
        <v>OK</v>
      </c>
      <c r="E2857" s="71">
        <f>+_xlfn.XLOOKUP(Tabla6[[#This Row],[NOMBRE]],'RESUMEN CLIENTES'!A:A,'RESUMEN CLIENTES'!X:X)</f>
        <v>0.33333333333333331</v>
      </c>
      <c r="F2857" s="71">
        <f>+_xlfn.XLOOKUP(Tabla6[[#This Row],[ID CLIENTE]],'RESUMEN CLIENTES'!D:D,'RESUMEN CLIENTES'!W:W)</f>
        <v>0</v>
      </c>
      <c r="G2857" s="17" t="s">
        <v>2093</v>
      </c>
      <c r="H2857" s="44" t="s">
        <v>1669</v>
      </c>
      <c r="I2857" s="2">
        <v>3000</v>
      </c>
      <c r="J2857"/>
      <c r="K2857"/>
      <c r="L2857" s="44" t="str" cm="1">
        <f t="array" ref="L2857">+_xlfn.IFS(COUNTIF(INGRESOS!E:E,Tabla6[[#This Row],[ID FACTURA]])=1,"PAGADA",Tabla6[[#This Row],[ID FACTURA]]&lt;&gt;0,"EMITIDA",Tabla6[[#This Row],[ID FACTURA]]=0,"POR EMITIR")</f>
        <v>POR EMITIR</v>
      </c>
      <c r="M2857" s="55" t="str">
        <f>+IF(Tabla6[[#This Row],[ESTADO FACTURA]]="PAGADA",Tabla6[[#This Row],[FECHA]]-_xlfn.XLOOKUP(Tabla6[[#This Row],[N° FACTURA]],INGRESOS!F:F,INGRESOS!A:A),"-")</f>
        <v>-</v>
      </c>
      <c r="N2857" s="2"/>
      <c r="O2857"/>
    </row>
    <row r="2858" spans="1:15">
      <c r="A2858" s="320" t="s">
        <v>1251</v>
      </c>
      <c r="B2858" t="str">
        <f>+_xlfn.XLOOKUP(Tabla6[[#This Row],[ID CLIENTE]],'RESUMEN CLIENTES'!D:D,'RESUMEN CLIENTES'!A:A)</f>
        <v>Erick Ernesto Angulo Campos</v>
      </c>
      <c r="C2858" t="str">
        <f>+_xlfn.XLOOKUP(Tabla6[[#This Row],[ID CLIENTE]],'RESUMEN CLIENTES'!D:D,'RESUMEN CLIENTES'!C:C)</f>
        <v>Chile</v>
      </c>
      <c r="D2858" s="44" t="str">
        <f>+_xlfn.XLOOKUP(Tabla6[[#This Row],[ID CLIENTE]],'RESUMEN CLIENTES'!D:D,'RESUMEN CLIENTES'!M:M)</f>
        <v>OK</v>
      </c>
      <c r="E2858" s="71">
        <f>+_xlfn.XLOOKUP(Tabla6[[#This Row],[NOMBRE]],'RESUMEN CLIENTES'!A:A,'RESUMEN CLIENTES'!X:X)</f>
        <v>-0.66666666666666663</v>
      </c>
      <c r="F2858" s="71">
        <f>+_xlfn.XLOOKUP(Tabla6[[#This Row],[ID CLIENTE]],'RESUMEN CLIENTES'!D:D,'RESUMEN CLIENTES'!W:W)</f>
        <v>0</v>
      </c>
      <c r="G2858" s="17" t="s">
        <v>2093</v>
      </c>
      <c r="H2858" s="44" t="s">
        <v>1669</v>
      </c>
      <c r="I2858" s="2">
        <v>3000</v>
      </c>
      <c r="J2858"/>
      <c r="K2858"/>
      <c r="L2858" s="44" t="str" cm="1">
        <f t="array" ref="L2858">+_xlfn.IFS(COUNTIF(INGRESOS!E:E,Tabla6[[#This Row],[ID FACTURA]])=1,"PAGADA",Tabla6[[#This Row],[ID FACTURA]]&lt;&gt;0,"EMITIDA",Tabla6[[#This Row],[ID FACTURA]]=0,"POR EMITIR")</f>
        <v>POR EMITIR</v>
      </c>
      <c r="M2858" s="55" t="str">
        <f>+IF(Tabla6[[#This Row],[ESTADO FACTURA]]="PAGADA",Tabla6[[#This Row],[FECHA]]-_xlfn.XLOOKUP(Tabla6[[#This Row],[N° FACTURA]],INGRESOS!F:F,INGRESOS!A:A),"-")</f>
        <v>-</v>
      </c>
      <c r="N2858" s="2"/>
      <c r="O2858"/>
    </row>
    <row r="2859" spans="1:15">
      <c r="A2859" s="320" t="s">
        <v>1945</v>
      </c>
      <c r="B2859" t="str">
        <f>+_xlfn.XLOOKUP(Tabla6[[#This Row],[ID CLIENTE]],'RESUMEN CLIENTES'!D:D,'RESUMEN CLIENTES'!A:A)</f>
        <v>Fernanda Constanza Kompai Antu Arellano Guzmán</v>
      </c>
      <c r="C2859" t="str">
        <f>+_xlfn.XLOOKUP(Tabla6[[#This Row],[ID CLIENTE]],'RESUMEN CLIENTES'!D:D,'RESUMEN CLIENTES'!C:C)</f>
        <v>Chile</v>
      </c>
      <c r="D2859" s="169" t="str">
        <f>+_xlfn.XLOOKUP(Tabla6[[#This Row],[ID CLIENTE]],'RESUMEN CLIENTES'!D:D,'RESUMEN CLIENTES'!M:M)</f>
        <v>OK</v>
      </c>
      <c r="E2859" s="71">
        <f>+_xlfn.XLOOKUP(Tabla6[[#This Row],[NOMBRE]],'RESUMEN CLIENTES'!A:A,'RESUMEN CLIENTES'!X:X)</f>
        <v>0</v>
      </c>
      <c r="F2859" s="71">
        <f>+_xlfn.XLOOKUP(Tabla6[[#This Row],[ID CLIENTE]],'RESUMEN CLIENTES'!D:D,'RESUMEN CLIENTES'!W:W)</f>
        <v>0</v>
      </c>
      <c r="G2859" s="17" t="s">
        <v>2093</v>
      </c>
      <c r="H2859" s="170" t="s">
        <v>1669</v>
      </c>
      <c r="I2859" s="2">
        <v>3000</v>
      </c>
      <c r="J2859"/>
      <c r="K2859"/>
      <c r="L2859" s="44" t="str" cm="1">
        <f t="array" ref="L2859">+_xlfn.IFS(COUNTIF(INGRESOS!E:E,Tabla6[[#This Row],[ID FACTURA]])=1,"PAGADA",Tabla6[[#This Row],[ID FACTURA]]&lt;&gt;0,"EMITIDA",Tabla6[[#This Row],[ID FACTURA]]=0,"POR EMITIR")</f>
        <v>POR EMITIR</v>
      </c>
      <c r="M2859" s="54" t="str">
        <f>+IF(Tabla6[[#This Row],[ESTADO FACTURA]]="PAGADA",Tabla6[[#This Row],[FECHA]]-_xlfn.XLOOKUP(Tabla6[[#This Row],[N° FACTURA]],INGRESOS!F:F,INGRESOS!A:A),"-")</f>
        <v>-</v>
      </c>
      <c r="O2859"/>
    </row>
    <row r="2860" spans="1:15">
      <c r="A2860" s="320" t="s">
        <v>1761</v>
      </c>
      <c r="B2860" t="str">
        <f>+_xlfn.XLOOKUP(Tabla6[[#This Row],[ID CLIENTE]],'RESUMEN CLIENTES'!D:D,'RESUMEN CLIENTES'!A:A)</f>
        <v>Francisco Salas Barrera</v>
      </c>
      <c r="C2860" t="str">
        <f>+_xlfn.XLOOKUP(Tabla6[[#This Row],[ID CLIENTE]],'RESUMEN CLIENTES'!D:D,'RESUMEN CLIENTES'!C:C)</f>
        <v>México</v>
      </c>
      <c r="D2860" s="169" t="str">
        <f>+_xlfn.XLOOKUP(Tabla6[[#This Row],[ID CLIENTE]],'RESUMEN CLIENTES'!D:D,'RESUMEN CLIENTES'!M:M)</f>
        <v>OK</v>
      </c>
      <c r="E2860" s="71">
        <f>+_xlfn.XLOOKUP(Tabla6[[#This Row],[NOMBRE]],'RESUMEN CLIENTES'!A:A,'RESUMEN CLIENTES'!X:X)</f>
        <v>-0.75</v>
      </c>
      <c r="F2860" s="71">
        <f>+_xlfn.XLOOKUP(Tabla6[[#This Row],[ID CLIENTE]],'RESUMEN CLIENTES'!D:D,'RESUMEN CLIENTES'!W:W)</f>
        <v>0</v>
      </c>
      <c r="G2860" s="17" t="s">
        <v>2093</v>
      </c>
      <c r="H2860" s="169" t="s">
        <v>1669</v>
      </c>
      <c r="I2860" s="2">
        <v>3000</v>
      </c>
      <c r="J2860"/>
      <c r="K2860"/>
      <c r="L2860" s="44" t="str" cm="1">
        <f t="array" ref="L2860">+_xlfn.IFS(COUNTIF(INGRESOS!E:E,Tabla6[[#This Row],[ID FACTURA]])=1,"PAGADA",Tabla6[[#This Row],[ID FACTURA]]&lt;&gt;0,"EMITIDA",Tabla6[[#This Row],[ID FACTURA]]=0,"POR EMITIR")</f>
        <v>POR EMITIR</v>
      </c>
      <c r="M2860" s="55" t="str">
        <f>+IF(Tabla6[[#This Row],[ESTADO FACTURA]]="PAGADA",Tabla6[[#This Row],[FECHA]]-_xlfn.XLOOKUP(Tabla6[[#This Row],[N° FACTURA]],INGRESOS!F:F,INGRESOS!A:A),"-")</f>
        <v>-</v>
      </c>
      <c r="O2860"/>
    </row>
    <row r="2861" spans="1:15">
      <c r="A2861" s="320" t="s">
        <v>1645</v>
      </c>
      <c r="B2861" t="str">
        <f>+_xlfn.XLOOKUP(Tabla6[[#This Row],[ID CLIENTE]],'RESUMEN CLIENTES'!D:D,'RESUMEN CLIENTES'!A:A)</f>
        <v>Gerardo Abel Palacios Preciado</v>
      </c>
      <c r="C2861" t="str">
        <f>+_xlfn.XLOOKUP(Tabla6[[#This Row],[ID CLIENTE]],'RESUMEN CLIENTES'!D:D,'RESUMEN CLIENTES'!C:C)</f>
        <v>México</v>
      </c>
      <c r="D2861" s="169" t="str">
        <f>+_xlfn.XLOOKUP(Tabla6[[#This Row],[ID CLIENTE]],'RESUMEN CLIENTES'!D:D,'RESUMEN CLIENTES'!M:M)</f>
        <v>OK</v>
      </c>
      <c r="E2861" s="71">
        <f>+_xlfn.XLOOKUP(Tabla6[[#This Row],[NOMBRE]],'RESUMEN CLIENTES'!A:A,'RESUMEN CLIENTES'!X:X)</f>
        <v>-1.3333333333333333</v>
      </c>
      <c r="F2861" s="71">
        <f>+_xlfn.XLOOKUP(Tabla6[[#This Row],[ID CLIENTE]],'RESUMEN CLIENTES'!D:D,'RESUMEN CLIENTES'!W:W)</f>
        <v>1</v>
      </c>
      <c r="G2861" s="17" t="s">
        <v>2093</v>
      </c>
      <c r="H2861" s="169" t="s">
        <v>1669</v>
      </c>
      <c r="I2861" s="2">
        <v>8700</v>
      </c>
      <c r="J2861"/>
      <c r="K2861"/>
      <c r="L2861" s="44" t="str" cm="1">
        <f t="array" ref="L2861">+_xlfn.IFS(COUNTIF(INGRESOS!E:E,Tabla6[[#This Row],[ID FACTURA]])=1,"PAGADA",Tabla6[[#This Row],[ID FACTURA]]&lt;&gt;0,"EMITIDA",Tabla6[[#This Row],[ID FACTURA]]=0,"POR EMITIR")</f>
        <v>POR EMITIR</v>
      </c>
      <c r="M2861" s="55" t="str">
        <f>+IF(Tabla6[[#This Row],[ESTADO FACTURA]]="PAGADA",Tabla6[[#This Row],[FECHA]]-_xlfn.XLOOKUP(Tabla6[[#This Row],[N° FACTURA]],INGRESOS!F:F,INGRESOS!A:A),"-")</f>
        <v>-</v>
      </c>
      <c r="N2861" s="2"/>
      <c r="O2861"/>
    </row>
    <row r="2862" spans="1:15">
      <c r="A2862" s="320" t="s">
        <v>106</v>
      </c>
      <c r="B2862" t="str">
        <f>+_xlfn.XLOOKUP(Tabla6[[#This Row],[ID CLIENTE]],'RESUMEN CLIENTES'!D:D,'RESUMEN CLIENTES'!A:A)</f>
        <v>Hector Armando Daza Mejia</v>
      </c>
      <c r="C2862" t="str">
        <f>+_xlfn.XLOOKUP(Tabla6[[#This Row],[ID CLIENTE]],'RESUMEN CLIENTES'!D:D,'RESUMEN CLIENTES'!C:C)</f>
        <v>Colombia</v>
      </c>
      <c r="D2862" s="44" t="str">
        <f>+_xlfn.XLOOKUP(Tabla6[[#This Row],[ID CLIENTE]],'RESUMEN CLIENTES'!D:D,'RESUMEN CLIENTES'!M:M)</f>
        <v>OK</v>
      </c>
      <c r="E2862" s="72">
        <f>+_xlfn.XLOOKUP(Tabla6[[#This Row],[NOMBRE]],'RESUMEN CLIENTES'!A:A,'RESUMEN CLIENTES'!X:X)</f>
        <v>1.1111111111111112</v>
      </c>
      <c r="F2862" s="72">
        <f>+_xlfn.XLOOKUP(Tabla6[[#This Row],[ID CLIENTE]],'RESUMEN CLIENTES'!D:D,'RESUMEN CLIENTES'!W:W)</f>
        <v>0</v>
      </c>
      <c r="G2862" s="17" t="str">
        <f>IF($H2862&lt;&gt;"ALEM","",IFERROR(
  DATE(
    YEAR(EDATE(
      _xlfn.XLOOKUP($A2862,'RESUMEN CLIENTES'!$D:$D,'RESUMEN CLIENTES'!$Y:$Y,""),
      7 + COUNTIFS(
            $A$2:INDEX($A:$A,ROW()), $A2862,
            $H$2:INDEX($H:$H,ROW()), "ALEM"
          )
    )),
    MONTH(EDATE(
      _xlfn.XLOOKUP($A2862,'RESUMEN CLIENTES'!$D:$D,'RESUMEN CLIENTES'!$Y:$Y,""),
      7 + COUNTIFS(
            $A$2:INDEX($A:$A,ROW()), $A2862,
            $H$2:INDEX($H:$H,ROW()), "ALEM"
          )
    )),
    1
  ),
"null"))</f>
        <v>null</v>
      </c>
      <c r="H2862" s="44" t="s">
        <v>1876</v>
      </c>
      <c r="I2862" s="2">
        <v>1000</v>
      </c>
      <c r="J2862"/>
      <c r="K2862"/>
      <c r="L2862" s="44" t="str" cm="1">
        <f t="array" ref="L2862">+_xlfn.IFS(COUNTIF(INGRESOS!E:E,Tabla6[[#This Row],[ID FACTURA]])=1,"PAGADA",Tabla6[[#This Row],[ID FACTURA]]&lt;&gt;0,"EMITIDA",Tabla6[[#This Row],[ID FACTURA]]=0,"POR EMITIR")</f>
        <v>POR EMITIR</v>
      </c>
      <c r="M2862" s="55" t="str">
        <f>+IF(Tabla6[[#This Row],[ESTADO FACTURA]]="PAGADA",Tabla6[[#This Row],[FECHA]]-_xlfn.XLOOKUP(Tabla6[[#This Row],[N° FACTURA]],INGRESOS!F:F,INGRESOS!A:A),"-")</f>
        <v>-</v>
      </c>
      <c r="N2862" s="2"/>
      <c r="O2862" t="s">
        <v>2086</v>
      </c>
    </row>
    <row r="2863" spans="1:15">
      <c r="A2863" s="320" t="s">
        <v>106</v>
      </c>
      <c r="B2863" t="str">
        <f>+_xlfn.XLOOKUP(Tabla6[[#This Row],[ID CLIENTE]],'RESUMEN CLIENTES'!D:D,'RESUMEN CLIENTES'!A:A)</f>
        <v>Hector Armando Daza Mejia</v>
      </c>
      <c r="C2863" t="str">
        <f>+_xlfn.XLOOKUP(Tabla6[[#This Row],[ID CLIENTE]],'RESUMEN CLIENTES'!D:D,'RESUMEN CLIENTES'!C:C)</f>
        <v>Colombia</v>
      </c>
      <c r="D2863" s="44" t="str">
        <f>+_xlfn.XLOOKUP(Tabla6[[#This Row],[ID CLIENTE]],'RESUMEN CLIENTES'!D:D,'RESUMEN CLIENTES'!M:M)</f>
        <v>OK</v>
      </c>
      <c r="E2863" s="72">
        <f>+_xlfn.XLOOKUP(Tabla6[[#This Row],[NOMBRE]],'RESUMEN CLIENTES'!A:A,'RESUMEN CLIENTES'!X:X)</f>
        <v>1.1111111111111112</v>
      </c>
      <c r="F2863" s="72">
        <f>+_xlfn.XLOOKUP(Tabla6[[#This Row],[ID CLIENTE]],'RESUMEN CLIENTES'!D:D,'RESUMEN CLIENTES'!W:W)</f>
        <v>0</v>
      </c>
      <c r="G2863" s="17" t="str">
        <f>IF($H2863&lt;&gt;"ALEM","",IFERROR(
  DATE(
    YEAR(EDATE(
      _xlfn.XLOOKUP($A2863,'RESUMEN CLIENTES'!$D:$D,'RESUMEN CLIENTES'!$Y:$Y,""),
      7 + COUNTIFS(
            $A$2:INDEX($A:$A,ROW()), $A2863,
            $H$2:INDEX($H:$H,ROW()), "ALEM"
          )
    )),
    MONTH(EDATE(
      _xlfn.XLOOKUP($A2863,'RESUMEN CLIENTES'!$D:$D,'RESUMEN CLIENTES'!$Y:$Y,""),
      7 + COUNTIFS(
            $A$2:INDEX($A:$A,ROW()), $A2863,
            $H$2:INDEX($H:$H,ROW()), "ALEM"
          )
    )),
    1
  ),
"null"))</f>
        <v>null</v>
      </c>
      <c r="H2863" s="44" t="s">
        <v>1876</v>
      </c>
      <c r="I2863" s="2">
        <v>1000</v>
      </c>
      <c r="J2863"/>
      <c r="K2863"/>
      <c r="L2863" s="44" t="str" cm="1">
        <f t="array" ref="L2863">+_xlfn.IFS(COUNTIF(INGRESOS!E:E,Tabla6[[#This Row],[ID FACTURA]])=1,"PAGADA",Tabla6[[#This Row],[ID FACTURA]]&lt;&gt;0,"EMITIDA",Tabla6[[#This Row],[ID FACTURA]]=0,"POR EMITIR")</f>
        <v>POR EMITIR</v>
      </c>
      <c r="M2863" s="55" t="str">
        <f>+IF(Tabla6[[#This Row],[ESTADO FACTURA]]="PAGADA",Tabla6[[#This Row],[FECHA]]-_xlfn.XLOOKUP(Tabla6[[#This Row],[N° FACTURA]],INGRESOS!F:F,INGRESOS!A:A),"-")</f>
        <v>-</v>
      </c>
      <c r="N2863" s="2"/>
      <c r="O2863" t="s">
        <v>2086</v>
      </c>
    </row>
    <row r="2864" spans="1:15">
      <c r="A2864" s="320" t="s">
        <v>106</v>
      </c>
      <c r="B2864" t="str">
        <f>+_xlfn.XLOOKUP(Tabla6[[#This Row],[ID CLIENTE]],'RESUMEN CLIENTES'!D:D,'RESUMEN CLIENTES'!A:A)</f>
        <v>Hector Armando Daza Mejia</v>
      </c>
      <c r="C2864" t="str">
        <f>+_xlfn.XLOOKUP(Tabla6[[#This Row],[ID CLIENTE]],'RESUMEN CLIENTES'!D:D,'RESUMEN CLIENTES'!C:C)</f>
        <v>Colombia</v>
      </c>
      <c r="D2864" s="44" t="str">
        <f>+_xlfn.XLOOKUP(Tabla6[[#This Row],[ID CLIENTE]],'RESUMEN CLIENTES'!D:D,'RESUMEN CLIENTES'!M:M)</f>
        <v>OK</v>
      </c>
      <c r="E2864" s="72">
        <f>+_xlfn.XLOOKUP(Tabla6[[#This Row],[NOMBRE]],'RESUMEN CLIENTES'!A:A,'RESUMEN CLIENTES'!X:X)</f>
        <v>1.1111111111111112</v>
      </c>
      <c r="F2864" s="72">
        <f>+_xlfn.XLOOKUP(Tabla6[[#This Row],[ID CLIENTE]],'RESUMEN CLIENTES'!D:D,'RESUMEN CLIENTES'!W:W)</f>
        <v>0</v>
      </c>
      <c r="G2864" s="17" t="str">
        <f>IF($H2864&lt;&gt;"ALEM","",IFERROR(
  DATE(
    YEAR(EDATE(
      _xlfn.XLOOKUP($A2864,'RESUMEN CLIENTES'!$D:$D,'RESUMEN CLIENTES'!$Y:$Y,""),
      7 + COUNTIFS(
            $A$2:INDEX($A:$A,ROW()), $A2864,
            $H$2:INDEX($H:$H,ROW()), "ALEM"
          )
    )),
    MONTH(EDATE(
      _xlfn.XLOOKUP($A2864,'RESUMEN CLIENTES'!$D:$D,'RESUMEN CLIENTES'!$Y:$Y,""),
      7 + COUNTIFS(
            $A$2:INDEX($A:$A,ROW()), $A2864,
            $H$2:INDEX($H:$H,ROW()), "ALEM"
          )
    )),
    1
  ),
"null"))</f>
        <v>null</v>
      </c>
      <c r="H2864" s="44" t="s">
        <v>1876</v>
      </c>
      <c r="I2864" s="2">
        <v>1000</v>
      </c>
      <c r="J2864"/>
      <c r="K2864"/>
      <c r="L2864" s="44" t="str" cm="1">
        <f t="array" ref="L2864">+_xlfn.IFS(COUNTIF(INGRESOS!E:E,Tabla6[[#This Row],[ID FACTURA]])=1,"PAGADA",Tabla6[[#This Row],[ID FACTURA]]&lt;&gt;0,"EMITIDA",Tabla6[[#This Row],[ID FACTURA]]=0,"POR EMITIR")</f>
        <v>POR EMITIR</v>
      </c>
      <c r="M2864" s="55" t="str">
        <f>+IF(Tabla6[[#This Row],[ESTADO FACTURA]]="PAGADA",Tabla6[[#This Row],[FECHA]]-_xlfn.XLOOKUP(Tabla6[[#This Row],[N° FACTURA]],INGRESOS!F:F,INGRESOS!A:A),"-")</f>
        <v>-</v>
      </c>
      <c r="N2864" s="2"/>
      <c r="O2864" t="s">
        <v>2086</v>
      </c>
    </row>
    <row r="2865" spans="1:15">
      <c r="A2865" s="320" t="s">
        <v>106</v>
      </c>
      <c r="B2865" t="str">
        <f>+_xlfn.XLOOKUP(Tabla6[[#This Row],[ID CLIENTE]],'RESUMEN CLIENTES'!D:D,'RESUMEN CLIENTES'!A:A)</f>
        <v>Hector Armando Daza Mejia</v>
      </c>
      <c r="C2865" t="str">
        <f>+_xlfn.XLOOKUP(Tabla6[[#This Row],[ID CLIENTE]],'RESUMEN CLIENTES'!D:D,'RESUMEN CLIENTES'!C:C)</f>
        <v>Colombia</v>
      </c>
      <c r="D2865" s="44" t="str">
        <f>+_xlfn.XLOOKUP(Tabla6[[#This Row],[ID CLIENTE]],'RESUMEN CLIENTES'!D:D,'RESUMEN CLIENTES'!M:M)</f>
        <v>OK</v>
      </c>
      <c r="E2865" s="72">
        <f>+_xlfn.XLOOKUP(Tabla6[[#This Row],[NOMBRE]],'RESUMEN CLIENTES'!A:A,'RESUMEN CLIENTES'!X:X)</f>
        <v>1.1111111111111112</v>
      </c>
      <c r="F2865" s="72">
        <f>+_xlfn.XLOOKUP(Tabla6[[#This Row],[ID CLIENTE]],'RESUMEN CLIENTES'!D:D,'RESUMEN CLIENTES'!W:W)</f>
        <v>0</v>
      </c>
      <c r="G2865" s="17" t="str">
        <f>IF($H2865&lt;&gt;"ALEM","",IFERROR(
  DATE(
    YEAR(EDATE(
      _xlfn.XLOOKUP($A2865,'RESUMEN CLIENTES'!$D:$D,'RESUMEN CLIENTES'!$Y:$Y,""),
      7 + COUNTIFS(
            $A$2:INDEX($A:$A,ROW()), $A2865,
            $H$2:INDEX($H:$H,ROW()), "ALEM"
          )
    )),
    MONTH(EDATE(
      _xlfn.XLOOKUP($A2865,'RESUMEN CLIENTES'!$D:$D,'RESUMEN CLIENTES'!$Y:$Y,""),
      7 + COUNTIFS(
            $A$2:INDEX($A:$A,ROW()), $A2865,
            $H$2:INDEX($H:$H,ROW()), "ALEM"
          )
    )),
    1
  ),
"null"))</f>
        <v>null</v>
      </c>
      <c r="H2865" s="44" t="s">
        <v>1876</v>
      </c>
      <c r="I2865" s="2">
        <v>1000</v>
      </c>
      <c r="J2865"/>
      <c r="K2865"/>
      <c r="L2865" s="44" t="str" cm="1">
        <f t="array" ref="L2865">+_xlfn.IFS(COUNTIF(INGRESOS!E:E,Tabla6[[#This Row],[ID FACTURA]])=1,"PAGADA",Tabla6[[#This Row],[ID FACTURA]]&lt;&gt;0,"EMITIDA",Tabla6[[#This Row],[ID FACTURA]]=0,"POR EMITIR")</f>
        <v>POR EMITIR</v>
      </c>
      <c r="M2865" s="55" t="str">
        <f>+IF(Tabla6[[#This Row],[ESTADO FACTURA]]="PAGADA",Tabla6[[#This Row],[FECHA]]-_xlfn.XLOOKUP(Tabla6[[#This Row],[N° FACTURA]],INGRESOS!F:F,INGRESOS!A:A),"-")</f>
        <v>-</v>
      </c>
      <c r="N2865" s="2"/>
      <c r="O2865" t="s">
        <v>2086</v>
      </c>
    </row>
    <row r="2866" spans="1:15">
      <c r="A2866" s="320" t="s">
        <v>106</v>
      </c>
      <c r="B2866" t="str">
        <f>+_xlfn.XLOOKUP(Tabla6[[#This Row],[ID CLIENTE]],'RESUMEN CLIENTES'!D:D,'RESUMEN CLIENTES'!A:A)</f>
        <v>Hector Armando Daza Mejia</v>
      </c>
      <c r="C2866" t="str">
        <f>+_xlfn.XLOOKUP(Tabla6[[#This Row],[ID CLIENTE]],'RESUMEN CLIENTES'!D:D,'RESUMEN CLIENTES'!C:C)</f>
        <v>Colombia</v>
      </c>
      <c r="D2866" s="44" t="str">
        <f>+_xlfn.XLOOKUP(Tabla6[[#This Row],[ID CLIENTE]],'RESUMEN CLIENTES'!D:D,'RESUMEN CLIENTES'!M:M)</f>
        <v>OK</v>
      </c>
      <c r="E2866" s="72">
        <f>+_xlfn.XLOOKUP(Tabla6[[#This Row],[NOMBRE]],'RESUMEN CLIENTES'!A:A,'RESUMEN CLIENTES'!X:X)</f>
        <v>1.1111111111111112</v>
      </c>
      <c r="F2866" s="72">
        <f>+_xlfn.XLOOKUP(Tabla6[[#This Row],[ID CLIENTE]],'RESUMEN CLIENTES'!D:D,'RESUMEN CLIENTES'!W:W)</f>
        <v>0</v>
      </c>
      <c r="G2866" s="17" t="str">
        <f>IF($H2866&lt;&gt;"ALEM","",IFERROR(
  DATE(
    YEAR(EDATE(
      _xlfn.XLOOKUP($A2866,'RESUMEN CLIENTES'!$D:$D,'RESUMEN CLIENTES'!$Y:$Y,""),
      7 + COUNTIFS(
            $A$2:INDEX($A:$A,ROW()), $A2866,
            $H$2:INDEX($H:$H,ROW()), "ALEM"
          )
    )),
    MONTH(EDATE(
      _xlfn.XLOOKUP($A2866,'RESUMEN CLIENTES'!$D:$D,'RESUMEN CLIENTES'!$Y:$Y,""),
      7 + COUNTIFS(
            $A$2:INDEX($A:$A,ROW()), $A2866,
            $H$2:INDEX($H:$H,ROW()), "ALEM"
          )
    )),
    1
  ),
"null"))</f>
        <v>null</v>
      </c>
      <c r="H2866" s="44" t="s">
        <v>1876</v>
      </c>
      <c r="I2866" s="2">
        <v>1000</v>
      </c>
      <c r="J2866"/>
      <c r="K2866"/>
      <c r="L2866" s="44" t="str" cm="1">
        <f t="array" ref="L2866">+_xlfn.IFS(COUNTIF(INGRESOS!E:E,Tabla6[[#This Row],[ID FACTURA]])=1,"PAGADA",Tabla6[[#This Row],[ID FACTURA]]&lt;&gt;0,"EMITIDA",Tabla6[[#This Row],[ID FACTURA]]=0,"POR EMITIR")</f>
        <v>POR EMITIR</v>
      </c>
      <c r="M2866" s="55" t="str">
        <f>+IF(Tabla6[[#This Row],[ESTADO FACTURA]]="PAGADA",Tabla6[[#This Row],[FECHA]]-_xlfn.XLOOKUP(Tabla6[[#This Row],[N° FACTURA]],INGRESOS!F:F,INGRESOS!A:A),"-")</f>
        <v>-</v>
      </c>
      <c r="N2866" s="2"/>
      <c r="O2866" t="s">
        <v>2086</v>
      </c>
    </row>
    <row r="2867" spans="1:15">
      <c r="A2867" s="320" t="s">
        <v>106</v>
      </c>
      <c r="B2867" t="str">
        <f>+_xlfn.XLOOKUP(Tabla6[[#This Row],[ID CLIENTE]],'RESUMEN CLIENTES'!D:D,'RESUMEN CLIENTES'!A:A)</f>
        <v>Hector Armando Daza Mejia</v>
      </c>
      <c r="C2867" t="str">
        <f>+_xlfn.XLOOKUP(Tabla6[[#This Row],[ID CLIENTE]],'RESUMEN CLIENTES'!D:D,'RESUMEN CLIENTES'!C:C)</f>
        <v>Colombia</v>
      </c>
      <c r="D2867" s="44" t="str">
        <f>+_xlfn.XLOOKUP(Tabla6[[#This Row],[ID CLIENTE]],'RESUMEN CLIENTES'!D:D,'RESUMEN CLIENTES'!M:M)</f>
        <v>OK</v>
      </c>
      <c r="E2867" s="72">
        <f>+_xlfn.XLOOKUP(Tabla6[[#This Row],[NOMBRE]],'RESUMEN CLIENTES'!A:A,'RESUMEN CLIENTES'!X:X)</f>
        <v>1.1111111111111112</v>
      </c>
      <c r="F2867" s="72">
        <f>+_xlfn.XLOOKUP(Tabla6[[#This Row],[ID CLIENTE]],'RESUMEN CLIENTES'!D:D,'RESUMEN CLIENTES'!W:W)</f>
        <v>0</v>
      </c>
      <c r="G2867" s="17" t="str">
        <f>IF($H2867&lt;&gt;"ALEM","",IFERROR(
  DATE(
    YEAR(EDATE(
      _xlfn.XLOOKUP($A2867,'RESUMEN CLIENTES'!$D:$D,'RESUMEN CLIENTES'!$Y:$Y,""),
      7 + COUNTIFS(
            $A$2:INDEX($A:$A,ROW()), $A2867,
            $H$2:INDEX($H:$H,ROW()), "ALEM"
          )
    )),
    MONTH(EDATE(
      _xlfn.XLOOKUP($A2867,'RESUMEN CLIENTES'!$D:$D,'RESUMEN CLIENTES'!$Y:$Y,""),
      7 + COUNTIFS(
            $A$2:INDEX($A:$A,ROW()), $A2867,
            $H$2:INDEX($H:$H,ROW()), "ALEM"
          )
    )),
    1
  ),
"null"))</f>
        <v>null</v>
      </c>
      <c r="H2867" s="44" t="s">
        <v>1876</v>
      </c>
      <c r="I2867" s="2">
        <v>1000</v>
      </c>
      <c r="J2867"/>
      <c r="K2867"/>
      <c r="L2867" s="44" t="str" cm="1">
        <f t="array" ref="L2867">+_xlfn.IFS(COUNTIF(INGRESOS!E:E,Tabla6[[#This Row],[ID FACTURA]])=1,"PAGADA",Tabla6[[#This Row],[ID FACTURA]]&lt;&gt;0,"EMITIDA",Tabla6[[#This Row],[ID FACTURA]]=0,"POR EMITIR")</f>
        <v>POR EMITIR</v>
      </c>
      <c r="M2867" s="55" t="str">
        <f>+IF(Tabla6[[#This Row],[ESTADO FACTURA]]="PAGADA",Tabla6[[#This Row],[FECHA]]-_xlfn.XLOOKUP(Tabla6[[#This Row],[N° FACTURA]],INGRESOS!F:F,INGRESOS!A:A),"-")</f>
        <v>-</v>
      </c>
      <c r="N2867" s="2"/>
      <c r="O2867" t="s">
        <v>2086</v>
      </c>
    </row>
    <row r="2868" spans="1:15">
      <c r="A2868" s="320" t="s">
        <v>1936</v>
      </c>
      <c r="B2868" t="str">
        <f>+_xlfn.XLOOKUP(Tabla6[[#This Row],[ID CLIENTE]],'RESUMEN CLIENTES'!D:D,'RESUMEN CLIENTES'!A:A)</f>
        <v>Jaime Kevin Mendez Arias</v>
      </c>
      <c r="C2868" t="str">
        <f>+_xlfn.XLOOKUP(Tabla6[[#This Row],[ID CLIENTE]],'RESUMEN CLIENTES'!D:D,'RESUMEN CLIENTES'!C:C)</f>
        <v>México</v>
      </c>
      <c r="D2868" s="169" t="str">
        <f>+_xlfn.XLOOKUP(Tabla6[[#This Row],[ID CLIENTE]],'RESUMEN CLIENTES'!D:D,'RESUMEN CLIENTES'!M:M)</f>
        <v>OK</v>
      </c>
      <c r="E2868" s="71">
        <f>+_xlfn.XLOOKUP(Tabla6[[#This Row],[NOMBRE]],'RESUMEN CLIENTES'!A:A,'RESUMEN CLIENTES'!X:X)</f>
        <v>1.6666666666666667</v>
      </c>
      <c r="F2868" s="71">
        <f>+_xlfn.XLOOKUP(Tabla6[[#This Row],[ID CLIENTE]],'RESUMEN CLIENTES'!D:D,'RESUMEN CLIENTES'!W:W)</f>
        <v>0</v>
      </c>
      <c r="G2868" s="17" t="s">
        <v>2093</v>
      </c>
      <c r="H2868" s="169" t="s">
        <v>1669</v>
      </c>
      <c r="I2868" s="2">
        <v>3000</v>
      </c>
      <c r="J2868"/>
      <c r="K2868"/>
      <c r="L2868" s="44" t="str" cm="1">
        <f t="array" ref="L2868">+_xlfn.IFS(COUNTIF(INGRESOS!E:E,Tabla6[[#This Row],[ID FACTURA]])=1,"PAGADA",Tabla6[[#This Row],[ID FACTURA]]&lt;&gt;0,"EMITIDA",Tabla6[[#This Row],[ID FACTURA]]=0,"POR EMITIR")</f>
        <v>POR EMITIR</v>
      </c>
      <c r="M2868" s="54" t="str">
        <f>+IF(Tabla6[[#This Row],[ESTADO FACTURA]]="PAGADA",Tabla6[[#This Row],[FECHA]]-_xlfn.XLOOKUP(Tabla6[[#This Row],[N° FACTURA]],INGRESOS!F:F,INGRESOS!A:A),"-")</f>
        <v>-</v>
      </c>
      <c r="O2868"/>
    </row>
    <row r="2869" spans="1:15">
      <c r="A2869" s="320" t="s">
        <v>1428</v>
      </c>
      <c r="B2869" t="str">
        <f>+_xlfn.XLOOKUP(Tabla6[[#This Row],[ID CLIENTE]],'RESUMEN CLIENTES'!D:D,'RESUMEN CLIENTES'!A:A)</f>
        <v>Javier Bravo Castelo</v>
      </c>
      <c r="C2869" t="str">
        <f>+_xlfn.XLOOKUP(Tabla6[[#This Row],[ID CLIENTE]],'RESUMEN CLIENTES'!D:D,'RESUMEN CLIENTES'!C:C)</f>
        <v>Colombia</v>
      </c>
      <c r="D2869" s="44" t="str">
        <f>+_xlfn.XLOOKUP(Tabla6[[#This Row],[ID CLIENTE]],'RESUMEN CLIENTES'!D:D,'RESUMEN CLIENTES'!M:M)</f>
        <v>OK</v>
      </c>
      <c r="E2869" s="71">
        <f>+_xlfn.XLOOKUP(Tabla6[[#This Row],[NOMBRE]],'RESUMEN CLIENTES'!A:A,'RESUMEN CLIENTES'!X:X)</f>
        <v>-0.33333333333333331</v>
      </c>
      <c r="F2869" s="71">
        <f>+_xlfn.XLOOKUP(Tabla6[[#This Row],[ID CLIENTE]],'RESUMEN CLIENTES'!D:D,'RESUMEN CLIENTES'!W:W)</f>
        <v>0</v>
      </c>
      <c r="G2869" s="17" t="s">
        <v>2093</v>
      </c>
      <c r="H2869" s="169" t="s">
        <v>1669</v>
      </c>
      <c r="I2869" s="2">
        <v>3000</v>
      </c>
      <c r="J2869"/>
      <c r="K2869"/>
      <c r="L2869" s="44" t="str" cm="1">
        <f t="array" ref="L2869">+_xlfn.IFS(COUNTIF(INGRESOS!E:E,Tabla6[[#This Row],[ID FACTURA]])=1,"PAGADA",Tabla6[[#This Row],[ID FACTURA]]&lt;&gt;0,"EMITIDA",Tabla6[[#This Row],[ID FACTURA]]=0,"POR EMITIR")</f>
        <v>POR EMITIR</v>
      </c>
      <c r="M2869" s="55" t="str">
        <f>+IF(Tabla6[[#This Row],[ESTADO FACTURA]]="PAGADA",Tabla6[[#This Row],[FECHA]]-_xlfn.XLOOKUP(Tabla6[[#This Row],[N° FACTURA]],INGRESOS!F:F,INGRESOS!A:A),"-")</f>
        <v>-</v>
      </c>
      <c r="N2869" s="2"/>
      <c r="O2869"/>
    </row>
    <row r="2870" spans="1:15">
      <c r="A2870" s="320" t="s">
        <v>2046</v>
      </c>
      <c r="B2870" t="str">
        <f>+_xlfn.XLOOKUP(Tabla6[[#This Row],[ID CLIENTE]],'RESUMEN CLIENTES'!D:D,'RESUMEN CLIENTES'!A:A)</f>
        <v>Jesica Daniela Paredes Mendoza</v>
      </c>
      <c r="C2870" t="str">
        <f>+_xlfn.XLOOKUP(Tabla6[[#This Row],[ID CLIENTE]],'RESUMEN CLIENTES'!D:D,'RESUMEN CLIENTES'!C:C)</f>
        <v>México</v>
      </c>
      <c r="D2870" s="169" t="str">
        <f>+_xlfn.XLOOKUP(Tabla6[[#This Row],[ID CLIENTE]],'RESUMEN CLIENTES'!D:D,'RESUMEN CLIENTES'!M:M)</f>
        <v>OK</v>
      </c>
      <c r="E2870" s="71">
        <f>+_xlfn.XLOOKUP(Tabla6[[#This Row],[NOMBRE]],'RESUMEN CLIENTES'!A:A,'RESUMEN CLIENTES'!X:X)</f>
        <v>-2.75</v>
      </c>
      <c r="F2870" s="71">
        <f>+_xlfn.XLOOKUP(Tabla6[[#This Row],[ID CLIENTE]],'RESUMEN CLIENTES'!D:D,'RESUMEN CLIENTES'!W:W)</f>
        <v>1</v>
      </c>
      <c r="G2870" s="17" t="s">
        <v>2093</v>
      </c>
      <c r="H2870" s="169" t="s">
        <v>1669</v>
      </c>
      <c r="I2870" s="2">
        <v>2000</v>
      </c>
      <c r="J2870"/>
      <c r="K2870"/>
      <c r="L2870" s="44" t="str" cm="1">
        <f t="array" ref="L2870">+_xlfn.IFS(COUNTIF(INGRESOS!E:E,Tabla6[[#This Row],[ID FACTURA]])=1,"PAGADA",Tabla6[[#This Row],[ID FACTURA]]&lt;&gt;0,"EMITIDA",Tabla6[[#This Row],[ID FACTURA]]=0,"POR EMITIR")</f>
        <v>POR EMITIR</v>
      </c>
      <c r="M2870" s="54" t="str">
        <f>+IF(Tabla6[[#This Row],[ESTADO FACTURA]]="PAGADA",Tabla6[[#This Row],[FECHA]]-_xlfn.XLOOKUP(Tabla6[[#This Row],[N° FACTURA]],INGRESOS!F:F,INGRESOS!A:A),"-")</f>
        <v>-</v>
      </c>
      <c r="O2870"/>
    </row>
    <row r="2871" spans="1:15">
      <c r="A2871" s="321" t="s">
        <v>1899</v>
      </c>
      <c r="B2871" t="str">
        <f>+_xlfn.XLOOKUP(Tabla6[[#This Row],[ID CLIENTE]],'RESUMEN CLIENTES'!D:D,'RESUMEN CLIENTES'!A:A)</f>
        <v>Johan Martínez</v>
      </c>
      <c r="C2871" t="str">
        <f>+_xlfn.XLOOKUP(Tabla6[[#This Row],[ID CLIENTE]],'RESUMEN CLIENTES'!D:D,'RESUMEN CLIENTES'!C:C)</f>
        <v>Colombia</v>
      </c>
      <c r="D2871" s="169" t="str">
        <f>+_xlfn.XLOOKUP(Tabla6[[#This Row],[ID CLIENTE]],'RESUMEN CLIENTES'!D:D,'RESUMEN CLIENTES'!M:M)</f>
        <v>OK</v>
      </c>
      <c r="E2871" s="71">
        <f>+_xlfn.XLOOKUP(Tabla6[[#This Row],[NOMBRE]],'RESUMEN CLIENTES'!A:A,'RESUMEN CLIENTES'!X:X)</f>
        <v>-0.66666666666666663</v>
      </c>
      <c r="F2871" s="71">
        <f>+_xlfn.XLOOKUP(Tabla6[[#This Row],[ID CLIENTE]],'RESUMEN CLIENTES'!D:D,'RESUMEN CLIENTES'!W:W)</f>
        <v>0</v>
      </c>
      <c r="G2871" s="17" t="s">
        <v>2093</v>
      </c>
      <c r="H2871" s="169" t="s">
        <v>1669</v>
      </c>
      <c r="I2871" s="2">
        <v>1750</v>
      </c>
      <c r="J2871"/>
      <c r="K2871"/>
      <c r="L2871" s="44" t="str" cm="1">
        <f t="array" ref="L2871">+_xlfn.IFS(COUNTIF(INGRESOS!E:E,Tabla6[[#This Row],[ID FACTURA]])=1,"PAGADA",Tabla6[[#This Row],[ID FACTURA]]&lt;&gt;0,"EMITIDA",Tabla6[[#This Row],[ID FACTURA]]=0,"POR EMITIR")</f>
        <v>POR EMITIR</v>
      </c>
      <c r="M2871" s="54" t="str">
        <f>+IF(Tabla6[[#This Row],[ESTADO FACTURA]]="PAGADA",Tabla6[[#This Row],[FECHA]]-_xlfn.XLOOKUP(Tabla6[[#This Row],[N° FACTURA]],INGRESOS!F:F,INGRESOS!A:A),"-")</f>
        <v>-</v>
      </c>
      <c r="O2871"/>
    </row>
    <row r="2872" spans="1:15">
      <c r="A2872" s="320" t="s">
        <v>670</v>
      </c>
      <c r="B2872" t="str">
        <f>+_xlfn.XLOOKUP(Tabla6[[#This Row],[ID CLIENTE]],'RESUMEN CLIENTES'!D:D,'RESUMEN CLIENTES'!A:A)</f>
        <v>Jonathan Christian Cardenas Peña</v>
      </c>
      <c r="C2872" t="str">
        <f>+_xlfn.XLOOKUP(Tabla6[[#This Row],[ID CLIENTE]],'RESUMEN CLIENTES'!D:D,'RESUMEN CLIENTES'!C:C)</f>
        <v>Ecuador</v>
      </c>
      <c r="D2872" s="44" t="str">
        <f>+_xlfn.XLOOKUP(Tabla6[[#This Row],[ID CLIENTE]],'RESUMEN CLIENTES'!D:D,'RESUMEN CLIENTES'!M:M)</f>
        <v>OK</v>
      </c>
      <c r="E2872" s="72">
        <f>+_xlfn.XLOOKUP(Tabla6[[#This Row],[NOMBRE]],'RESUMEN CLIENTES'!A:A,'RESUMEN CLIENTES'!X:X)</f>
        <v>0.33333333333333331</v>
      </c>
      <c r="F2872" s="72">
        <f>+_xlfn.XLOOKUP(Tabla6[[#This Row],[ID CLIENTE]],'RESUMEN CLIENTES'!D:D,'RESUMEN CLIENTES'!W:W)</f>
        <v>0</v>
      </c>
      <c r="G2872" s="17" t="str">
        <f>IF($H2872&lt;&gt;"ALEM","",IFERROR(
  DATE(
    YEAR(EDATE(
      _xlfn.XLOOKUP($A2872,'RESUMEN CLIENTES'!$D:$D,'RESUMEN CLIENTES'!$Y:$Y,""),
      7 + COUNTIFS(
            $A$2:INDEX($A:$A,ROW()), $A2872,
            $H$2:INDEX($H:$H,ROW()), "ALEM"
          )
    )),
    MONTH(EDATE(
      _xlfn.XLOOKUP($A2872,'RESUMEN CLIENTES'!$D:$D,'RESUMEN CLIENTES'!$Y:$Y,""),
      7 + COUNTIFS(
            $A$2:INDEX($A:$A,ROW()), $A2872,
            $H$2:INDEX($H:$H,ROW()), "ALEM"
          )
    )),
    1
  ),
"null"))</f>
        <v>null</v>
      </c>
      <c r="H2872" s="44" t="s">
        <v>1876</v>
      </c>
      <c r="I2872" s="2">
        <v>1000</v>
      </c>
      <c r="J2872"/>
      <c r="K2872"/>
      <c r="L2872" s="44" t="str" cm="1">
        <f t="array" ref="L2872">+_xlfn.IFS(COUNTIF(INGRESOS!E:E,Tabla6[[#This Row],[ID FACTURA]])=1,"PAGADA",Tabla6[[#This Row],[ID FACTURA]]&lt;&gt;0,"EMITIDA",Tabla6[[#This Row],[ID FACTURA]]=0,"POR EMITIR")</f>
        <v>POR EMITIR</v>
      </c>
      <c r="M2872" s="55" t="str">
        <f>+IF(Tabla6[[#This Row],[ESTADO FACTURA]]="PAGADA",Tabla6[[#This Row],[FECHA]]-_xlfn.XLOOKUP(Tabla6[[#This Row],[N° FACTURA]],INGRESOS!F:F,INGRESOS!A:A),"-")</f>
        <v>-</v>
      </c>
      <c r="N2872" s="2"/>
      <c r="O2872"/>
    </row>
    <row r="2873" spans="1:15">
      <c r="A2873" s="320" t="s">
        <v>670</v>
      </c>
      <c r="B2873" t="str">
        <f>+_xlfn.XLOOKUP(Tabla6[[#This Row],[ID CLIENTE]],'RESUMEN CLIENTES'!D:D,'RESUMEN CLIENTES'!A:A)</f>
        <v>Jonathan Christian Cardenas Peña</v>
      </c>
      <c r="C2873" t="str">
        <f>+_xlfn.XLOOKUP(Tabla6[[#This Row],[ID CLIENTE]],'RESUMEN CLIENTES'!D:D,'RESUMEN CLIENTES'!C:C)</f>
        <v>Ecuador</v>
      </c>
      <c r="D2873" s="44" t="str">
        <f>+_xlfn.XLOOKUP(Tabla6[[#This Row],[ID CLIENTE]],'RESUMEN CLIENTES'!D:D,'RESUMEN CLIENTES'!M:M)</f>
        <v>OK</v>
      </c>
      <c r="E2873" s="72">
        <f>+_xlfn.XLOOKUP(Tabla6[[#This Row],[NOMBRE]],'RESUMEN CLIENTES'!A:A,'RESUMEN CLIENTES'!X:X)</f>
        <v>0.33333333333333331</v>
      </c>
      <c r="F2873" s="72">
        <f>+_xlfn.XLOOKUP(Tabla6[[#This Row],[ID CLIENTE]],'RESUMEN CLIENTES'!D:D,'RESUMEN CLIENTES'!W:W)</f>
        <v>0</v>
      </c>
      <c r="G2873" s="17" t="str">
        <f>IF($H2873&lt;&gt;"ALEM","",IFERROR(
  DATE(
    YEAR(EDATE(
      _xlfn.XLOOKUP($A2873,'RESUMEN CLIENTES'!$D:$D,'RESUMEN CLIENTES'!$Y:$Y,""),
      7 + COUNTIFS(
            $A$2:INDEX($A:$A,ROW()), $A2873,
            $H$2:INDEX($H:$H,ROW()), "ALEM"
          )
    )),
    MONTH(EDATE(
      _xlfn.XLOOKUP($A2873,'RESUMEN CLIENTES'!$D:$D,'RESUMEN CLIENTES'!$Y:$Y,""),
      7 + COUNTIFS(
            $A$2:INDEX($A:$A,ROW()), $A2873,
            $H$2:INDEX($H:$H,ROW()), "ALEM"
          )
    )),
    1
  ),
"null"))</f>
        <v>null</v>
      </c>
      <c r="H2873" s="44" t="s">
        <v>1876</v>
      </c>
      <c r="I2873" s="2">
        <v>1000</v>
      </c>
      <c r="J2873"/>
      <c r="K2873"/>
      <c r="L2873" s="44" t="str" cm="1">
        <f t="array" ref="L2873">+_xlfn.IFS(COUNTIF(INGRESOS!E:E,Tabla6[[#This Row],[ID FACTURA]])=1,"PAGADA",Tabla6[[#This Row],[ID FACTURA]]&lt;&gt;0,"EMITIDA",Tabla6[[#This Row],[ID FACTURA]]=0,"POR EMITIR")</f>
        <v>POR EMITIR</v>
      </c>
      <c r="M2873" s="55" t="str">
        <f>+IF(Tabla6[[#This Row],[ESTADO FACTURA]]="PAGADA",Tabla6[[#This Row],[FECHA]]-_xlfn.XLOOKUP(Tabla6[[#This Row],[N° FACTURA]],INGRESOS!F:F,INGRESOS!A:A),"-")</f>
        <v>-</v>
      </c>
      <c r="N2873" s="2"/>
      <c r="O2873"/>
    </row>
    <row r="2874" spans="1:15">
      <c r="A2874" s="320" t="s">
        <v>670</v>
      </c>
      <c r="B2874" t="str">
        <f>+_xlfn.XLOOKUP(Tabla6[[#This Row],[ID CLIENTE]],'RESUMEN CLIENTES'!D:D,'RESUMEN CLIENTES'!A:A)</f>
        <v>Jonathan Christian Cardenas Peña</v>
      </c>
      <c r="C2874" t="str">
        <f>+_xlfn.XLOOKUP(Tabla6[[#This Row],[ID CLIENTE]],'RESUMEN CLIENTES'!D:D,'RESUMEN CLIENTES'!C:C)</f>
        <v>Ecuador</v>
      </c>
      <c r="D2874" s="44" t="str">
        <f>+_xlfn.XLOOKUP(Tabla6[[#This Row],[ID CLIENTE]],'RESUMEN CLIENTES'!D:D,'RESUMEN CLIENTES'!M:M)</f>
        <v>OK</v>
      </c>
      <c r="E2874" s="72">
        <f>+_xlfn.XLOOKUP(Tabla6[[#This Row],[NOMBRE]],'RESUMEN CLIENTES'!A:A,'RESUMEN CLIENTES'!X:X)</f>
        <v>0.33333333333333331</v>
      </c>
      <c r="F2874" s="72">
        <f>+_xlfn.XLOOKUP(Tabla6[[#This Row],[ID CLIENTE]],'RESUMEN CLIENTES'!D:D,'RESUMEN CLIENTES'!W:W)</f>
        <v>0</v>
      </c>
      <c r="G2874" s="17" t="str">
        <f>IF($H2874&lt;&gt;"ALEM","",IFERROR(
  DATE(
    YEAR(EDATE(
      _xlfn.XLOOKUP($A2874,'RESUMEN CLIENTES'!$D:$D,'RESUMEN CLIENTES'!$Y:$Y,""),
      7 + COUNTIFS(
            $A$2:INDEX($A:$A,ROW()), $A2874,
            $H$2:INDEX($H:$H,ROW()), "ALEM"
          )
    )),
    MONTH(EDATE(
      _xlfn.XLOOKUP($A2874,'RESUMEN CLIENTES'!$D:$D,'RESUMEN CLIENTES'!$Y:$Y,""),
      7 + COUNTIFS(
            $A$2:INDEX($A:$A,ROW()), $A2874,
            $H$2:INDEX($H:$H,ROW()), "ALEM"
          )
    )),
    1
  ),
"null"))</f>
        <v>null</v>
      </c>
      <c r="H2874" s="44" t="s">
        <v>1876</v>
      </c>
      <c r="I2874" s="2">
        <v>1000</v>
      </c>
      <c r="J2874"/>
      <c r="K2874"/>
      <c r="L2874" s="44" t="str" cm="1">
        <f t="array" ref="L2874">+_xlfn.IFS(COUNTIF(INGRESOS!E:E,Tabla6[[#This Row],[ID FACTURA]])=1,"PAGADA",Tabla6[[#This Row],[ID FACTURA]]&lt;&gt;0,"EMITIDA",Tabla6[[#This Row],[ID FACTURA]]=0,"POR EMITIR")</f>
        <v>POR EMITIR</v>
      </c>
      <c r="M2874" s="55" t="str">
        <f>+IF(Tabla6[[#This Row],[ESTADO FACTURA]]="PAGADA",Tabla6[[#This Row],[FECHA]]-_xlfn.XLOOKUP(Tabla6[[#This Row],[N° FACTURA]],INGRESOS!F:F,INGRESOS!A:A),"-")</f>
        <v>-</v>
      </c>
      <c r="N2874" s="2"/>
      <c r="O2874"/>
    </row>
    <row r="2875" spans="1:15">
      <c r="A2875" s="320" t="s">
        <v>670</v>
      </c>
      <c r="B2875" t="str">
        <f>+_xlfn.XLOOKUP(Tabla6[[#This Row],[ID CLIENTE]],'RESUMEN CLIENTES'!D:D,'RESUMEN CLIENTES'!A:A)</f>
        <v>Jonathan Christian Cardenas Peña</v>
      </c>
      <c r="C2875" t="str">
        <f>+_xlfn.XLOOKUP(Tabla6[[#This Row],[ID CLIENTE]],'RESUMEN CLIENTES'!D:D,'RESUMEN CLIENTES'!C:C)</f>
        <v>Ecuador</v>
      </c>
      <c r="D2875" s="44" t="str">
        <f>+_xlfn.XLOOKUP(Tabla6[[#This Row],[ID CLIENTE]],'RESUMEN CLIENTES'!D:D,'RESUMEN CLIENTES'!M:M)</f>
        <v>OK</v>
      </c>
      <c r="E2875" s="72">
        <f>+_xlfn.XLOOKUP(Tabla6[[#This Row],[NOMBRE]],'RESUMEN CLIENTES'!A:A,'RESUMEN CLIENTES'!X:X)</f>
        <v>0.33333333333333331</v>
      </c>
      <c r="F2875" s="72">
        <f>+_xlfn.XLOOKUP(Tabla6[[#This Row],[ID CLIENTE]],'RESUMEN CLIENTES'!D:D,'RESUMEN CLIENTES'!W:W)</f>
        <v>0</v>
      </c>
      <c r="G2875" s="17" t="str">
        <f>IF($H2875&lt;&gt;"ALEM","",IFERROR(
  DATE(
    YEAR(EDATE(
      _xlfn.XLOOKUP($A2875,'RESUMEN CLIENTES'!$D:$D,'RESUMEN CLIENTES'!$Y:$Y,""),
      7 + COUNTIFS(
            $A$2:INDEX($A:$A,ROW()), $A2875,
            $H$2:INDEX($H:$H,ROW()), "ALEM"
          )
    )),
    MONTH(EDATE(
      _xlfn.XLOOKUP($A2875,'RESUMEN CLIENTES'!$D:$D,'RESUMEN CLIENTES'!$Y:$Y,""),
      7 + COUNTIFS(
            $A$2:INDEX($A:$A,ROW()), $A2875,
            $H$2:INDEX($H:$H,ROW()), "ALEM"
          )
    )),
    1
  ),
"null"))</f>
        <v>null</v>
      </c>
      <c r="H2875" s="44" t="s">
        <v>1876</v>
      </c>
      <c r="I2875" s="2">
        <v>1000</v>
      </c>
      <c r="J2875"/>
      <c r="K2875"/>
      <c r="L2875" s="44" t="str" cm="1">
        <f t="array" ref="L2875">+_xlfn.IFS(COUNTIF(INGRESOS!E:E,Tabla6[[#This Row],[ID FACTURA]])=1,"PAGADA",Tabla6[[#This Row],[ID FACTURA]]&lt;&gt;0,"EMITIDA",Tabla6[[#This Row],[ID FACTURA]]=0,"POR EMITIR")</f>
        <v>POR EMITIR</v>
      </c>
      <c r="M2875" s="55" t="str">
        <f>+IF(Tabla6[[#This Row],[ESTADO FACTURA]]="PAGADA",Tabla6[[#This Row],[FECHA]]-_xlfn.XLOOKUP(Tabla6[[#This Row],[N° FACTURA]],INGRESOS!F:F,INGRESOS!A:A),"-")</f>
        <v>-</v>
      </c>
      <c r="N2875" s="2"/>
      <c r="O2875"/>
    </row>
    <row r="2876" spans="1:15">
      <c r="A2876" s="320" t="s">
        <v>670</v>
      </c>
      <c r="B2876" t="str">
        <f>+_xlfn.XLOOKUP(Tabla6[[#This Row],[ID CLIENTE]],'RESUMEN CLIENTES'!D:D,'RESUMEN CLIENTES'!A:A)</f>
        <v>Jonathan Christian Cardenas Peña</v>
      </c>
      <c r="C2876" t="str">
        <f>+_xlfn.XLOOKUP(Tabla6[[#This Row],[ID CLIENTE]],'RESUMEN CLIENTES'!D:D,'RESUMEN CLIENTES'!C:C)</f>
        <v>Ecuador</v>
      </c>
      <c r="D2876" s="44" t="str">
        <f>+_xlfn.XLOOKUP(Tabla6[[#This Row],[ID CLIENTE]],'RESUMEN CLIENTES'!D:D,'RESUMEN CLIENTES'!M:M)</f>
        <v>OK</v>
      </c>
      <c r="E2876" s="72">
        <f>+_xlfn.XLOOKUP(Tabla6[[#This Row],[NOMBRE]],'RESUMEN CLIENTES'!A:A,'RESUMEN CLIENTES'!X:X)</f>
        <v>0.33333333333333331</v>
      </c>
      <c r="F2876" s="72">
        <f>+_xlfn.XLOOKUP(Tabla6[[#This Row],[ID CLIENTE]],'RESUMEN CLIENTES'!D:D,'RESUMEN CLIENTES'!W:W)</f>
        <v>0</v>
      </c>
      <c r="G2876" s="17" t="str">
        <f>IF($H2876&lt;&gt;"ALEM","",IFERROR(
  DATE(
    YEAR(EDATE(
      _xlfn.XLOOKUP($A2876,'RESUMEN CLIENTES'!$D:$D,'RESUMEN CLIENTES'!$Y:$Y,""),
      7 + COUNTIFS(
            $A$2:INDEX($A:$A,ROW()), $A2876,
            $H$2:INDEX($H:$H,ROW()), "ALEM"
          )
    )),
    MONTH(EDATE(
      _xlfn.XLOOKUP($A2876,'RESUMEN CLIENTES'!$D:$D,'RESUMEN CLIENTES'!$Y:$Y,""),
      7 + COUNTIFS(
            $A$2:INDEX($A:$A,ROW()), $A2876,
            $H$2:INDEX($H:$H,ROW()), "ALEM"
          )
    )),
    1
  ),
"null"))</f>
        <v>null</v>
      </c>
      <c r="H2876" s="44" t="s">
        <v>1876</v>
      </c>
      <c r="I2876" s="2">
        <v>1000</v>
      </c>
      <c r="J2876"/>
      <c r="K2876"/>
      <c r="L2876" s="44" t="str" cm="1">
        <f t="array" ref="L2876">+_xlfn.IFS(COUNTIF(INGRESOS!E:E,Tabla6[[#This Row],[ID FACTURA]])=1,"PAGADA",Tabla6[[#This Row],[ID FACTURA]]&lt;&gt;0,"EMITIDA",Tabla6[[#This Row],[ID FACTURA]]=0,"POR EMITIR")</f>
        <v>POR EMITIR</v>
      </c>
      <c r="M2876" s="55" t="str">
        <f>+IF(Tabla6[[#This Row],[ESTADO FACTURA]]="PAGADA",Tabla6[[#This Row],[FECHA]]-_xlfn.XLOOKUP(Tabla6[[#This Row],[N° FACTURA]],INGRESOS!F:F,INGRESOS!A:A),"-")</f>
        <v>-</v>
      </c>
      <c r="N2876" s="2"/>
      <c r="O2876"/>
    </row>
    <row r="2877" spans="1:15">
      <c r="A2877" s="320" t="s">
        <v>1437</v>
      </c>
      <c r="B2877" t="str">
        <f>+_xlfn.XLOOKUP(Tabla6[[#This Row],[ID CLIENTE]],'RESUMEN CLIENTES'!D:D,'RESUMEN CLIENTES'!A:A)</f>
        <v>Jorge Andres Galgani Muñoz</v>
      </c>
      <c r="C2877" t="str">
        <f>+_xlfn.XLOOKUP(Tabla6[[#This Row],[ID CLIENTE]],'RESUMEN CLIENTES'!D:D,'RESUMEN CLIENTES'!C:C)</f>
        <v>Chile</v>
      </c>
      <c r="D2877" s="44" t="str">
        <f>+_xlfn.XLOOKUP(Tabla6[[#This Row],[ID CLIENTE]],'RESUMEN CLIENTES'!D:D,'RESUMEN CLIENTES'!M:M)</f>
        <v>OK</v>
      </c>
      <c r="E2877" s="71">
        <f>+_xlfn.XLOOKUP(Tabla6[[#This Row],[NOMBRE]],'RESUMEN CLIENTES'!A:A,'RESUMEN CLIENTES'!X:X)</f>
        <v>-1.1428571428571428</v>
      </c>
      <c r="F2877" s="71">
        <f>+_xlfn.XLOOKUP(Tabla6[[#This Row],[ID CLIENTE]],'RESUMEN CLIENTES'!D:D,'RESUMEN CLIENTES'!W:W)</f>
        <v>1</v>
      </c>
      <c r="G2877" s="17" t="s">
        <v>2093</v>
      </c>
      <c r="H2877" s="169" t="s">
        <v>1669</v>
      </c>
      <c r="I2877" s="2">
        <v>3000</v>
      </c>
      <c r="J2877"/>
      <c r="K2877"/>
      <c r="L2877" s="44" t="str" cm="1">
        <f t="array" ref="L2877">+_xlfn.IFS(COUNTIF(INGRESOS!E:E,Tabla6[[#This Row],[ID FACTURA]])=1,"PAGADA",Tabla6[[#This Row],[ID FACTURA]]&lt;&gt;0,"EMITIDA",Tabla6[[#This Row],[ID FACTURA]]=0,"POR EMITIR")</f>
        <v>POR EMITIR</v>
      </c>
      <c r="M2877" s="55" t="str">
        <f>+IF(Tabla6[[#This Row],[ESTADO FACTURA]]="PAGADA",Tabla6[[#This Row],[FECHA]]-_xlfn.XLOOKUP(Tabla6[[#This Row],[N° FACTURA]],INGRESOS!F:F,INGRESOS!A:A),"-")</f>
        <v>-</v>
      </c>
      <c r="N2877" s="2"/>
      <c r="O2877"/>
    </row>
    <row r="2878" spans="1:15">
      <c r="A2878" s="320" t="s">
        <v>4454</v>
      </c>
      <c r="B2878" t="str">
        <f>+_xlfn.XLOOKUP(Tabla6[[#This Row],[ID CLIENTE]],'RESUMEN CLIENTES'!D:D,'RESUMEN CLIENTES'!A:A)</f>
        <v>Jose Luis Avilez Casas</v>
      </c>
      <c r="C2878" t="str">
        <f>+_xlfn.XLOOKUP(Tabla6[[#This Row],[ID CLIENTE]],'RESUMEN CLIENTES'!D:D,'RESUMEN CLIENTES'!C:C)</f>
        <v>México</v>
      </c>
      <c r="D2878" s="169" t="str">
        <f>+_xlfn.XLOOKUP(Tabla6[[#This Row],[ID CLIENTE]],'RESUMEN CLIENTES'!D:D,'RESUMEN CLIENTES'!M:M)</f>
        <v>OK</v>
      </c>
      <c r="E2878" s="71">
        <f>+_xlfn.XLOOKUP(Tabla6[[#This Row],[NOMBRE]],'RESUMEN CLIENTES'!A:A,'RESUMEN CLIENTES'!X:X)</f>
        <v>0.33333333333333331</v>
      </c>
      <c r="F2878" s="71">
        <f>+_xlfn.XLOOKUP(Tabla6[[#This Row],[ID CLIENTE]],'RESUMEN CLIENTES'!D:D,'RESUMEN CLIENTES'!W:W)</f>
        <v>0</v>
      </c>
      <c r="G2878" s="17" t="s">
        <v>2093</v>
      </c>
      <c r="H2878" s="169" t="s">
        <v>1669</v>
      </c>
      <c r="I2878" s="2">
        <v>3000</v>
      </c>
      <c r="J2878"/>
      <c r="K2878"/>
      <c r="L2878" s="44" t="str" cm="1">
        <f t="array" ref="L2878">+_xlfn.IFS(COUNTIF(INGRESOS!E:E,Tabla6[[#This Row],[ID FACTURA]])=1,"PAGADA",Tabla6[[#This Row],[ID FACTURA]]&lt;&gt;0,"EMITIDA",Tabla6[[#This Row],[ID FACTURA]]=0,"POR EMITIR")</f>
        <v>POR EMITIR</v>
      </c>
      <c r="M2878" s="54" t="str">
        <f>+IF(Tabla6[[#This Row],[ESTADO FACTURA]]="PAGADA",Tabla6[[#This Row],[FECHA]]-_xlfn.XLOOKUP(Tabla6[[#This Row],[N° FACTURA]],INGRESOS!F:F,INGRESOS!A:A),"-")</f>
        <v>-</v>
      </c>
      <c r="O2878"/>
    </row>
    <row r="2879" spans="1:15">
      <c r="A2879" s="320" t="s">
        <v>1931</v>
      </c>
      <c r="B2879" t="str">
        <f>+_xlfn.XLOOKUP(Tabla6[[#This Row],[ID CLIENTE]],'RESUMEN CLIENTES'!D:D,'RESUMEN CLIENTES'!A:A)</f>
        <v>Josué Bernardo Reyes Flores</v>
      </c>
      <c r="C2879" t="str">
        <f>+_xlfn.XLOOKUP(Tabla6[[#This Row],[ID CLIENTE]],'RESUMEN CLIENTES'!D:D,'RESUMEN CLIENTES'!C:C)</f>
        <v>México</v>
      </c>
      <c r="D2879" s="169" t="str">
        <f>+_xlfn.XLOOKUP(Tabla6[[#This Row],[ID CLIENTE]],'RESUMEN CLIENTES'!D:D,'RESUMEN CLIENTES'!M:M)</f>
        <v>OK</v>
      </c>
      <c r="E2879" s="71">
        <f>+_xlfn.XLOOKUP(Tabla6[[#This Row],[NOMBRE]],'RESUMEN CLIENTES'!A:A,'RESUMEN CLIENTES'!X:X)</f>
        <v>0</v>
      </c>
      <c r="F2879" s="71">
        <f>+_xlfn.XLOOKUP(Tabla6[[#This Row],[ID CLIENTE]],'RESUMEN CLIENTES'!D:D,'RESUMEN CLIENTES'!W:W)</f>
        <v>1</v>
      </c>
      <c r="G2879" s="17" t="s">
        <v>2093</v>
      </c>
      <c r="H2879" s="169" t="s">
        <v>1669</v>
      </c>
      <c r="I2879" s="2">
        <v>3000</v>
      </c>
      <c r="J2879"/>
      <c r="K2879"/>
      <c r="L2879" s="44" t="str" cm="1">
        <f t="array" ref="L2879">+_xlfn.IFS(COUNTIF(INGRESOS!E:E,Tabla6[[#This Row],[ID FACTURA]])=1,"PAGADA",Tabla6[[#This Row],[ID FACTURA]]&lt;&gt;0,"EMITIDA",Tabla6[[#This Row],[ID FACTURA]]=0,"POR EMITIR")</f>
        <v>POR EMITIR</v>
      </c>
      <c r="M2879" s="54" t="str">
        <f>+IF(Tabla6[[#This Row],[ESTADO FACTURA]]="PAGADA",Tabla6[[#This Row],[FECHA]]-_xlfn.XLOOKUP(Tabla6[[#This Row],[N° FACTURA]],INGRESOS!F:F,INGRESOS!A:A),"-")</f>
        <v>-</v>
      </c>
      <c r="O2879"/>
    </row>
    <row r="2880" spans="1:15">
      <c r="A2880" s="320" t="s">
        <v>136</v>
      </c>
      <c r="B2880" t="str">
        <f>+_xlfn.XLOOKUP(Tabla6[[#This Row],[ID CLIENTE]],'RESUMEN CLIENTES'!D:D,'RESUMEN CLIENTES'!A:A)</f>
        <v>Juan Pablo Martínez Cabello</v>
      </c>
      <c r="C2880" t="str">
        <f>+_xlfn.XLOOKUP(Tabla6[[#This Row],[ID CLIENTE]],'RESUMEN CLIENTES'!D:D,'RESUMEN CLIENTES'!C:C)</f>
        <v>Chile</v>
      </c>
      <c r="D2880" s="44" t="str">
        <f>+_xlfn.XLOOKUP(Tabla6[[#This Row],[ID CLIENTE]],'RESUMEN CLIENTES'!D:D,'RESUMEN CLIENTES'!M:M)</f>
        <v>OK</v>
      </c>
      <c r="E2880" s="72">
        <f>+_xlfn.XLOOKUP(Tabla6[[#This Row],[NOMBRE]],'RESUMEN CLIENTES'!A:A,'RESUMEN CLIENTES'!X:X)</f>
        <v>1.5714285714285714</v>
      </c>
      <c r="F2880" s="72">
        <f>+_xlfn.XLOOKUP(Tabla6[[#This Row],[ID CLIENTE]],'RESUMEN CLIENTES'!D:D,'RESUMEN CLIENTES'!W:W)</f>
        <v>1</v>
      </c>
      <c r="G2880" s="17" t="s">
        <v>2093</v>
      </c>
      <c r="H2880" s="44" t="s">
        <v>2094</v>
      </c>
      <c r="I2880" s="190">
        <f>8000-Tabla6[[#This Row],[DCTO DOC]]</f>
        <v>7855</v>
      </c>
      <c r="J2880"/>
      <c r="K2880"/>
      <c r="L2880" s="44" t="str" cm="1">
        <f t="array" ref="L2880">+_xlfn.IFS(COUNTIF(INGRESOS!E:E,Tabla6[[#This Row],[ID FACTURA]])=1,"PAGADA",Tabla6[[#This Row],[ID FACTURA]]&lt;&gt;0,"EMITIDA",Tabla6[[#This Row],[ID FACTURA]]=0,"POR EMITIR")</f>
        <v>POR EMITIR</v>
      </c>
      <c r="M2880" s="55" t="str">
        <f>+IF(Tabla6[[#This Row],[ESTADO FACTURA]]="PAGADA",Tabla6[[#This Row],[FECHA]]-_xlfn.XLOOKUP(Tabla6[[#This Row],[N° FACTURA]],INGRESOS!F:F,INGRESOS!A:A),"-")</f>
        <v>-</v>
      </c>
      <c r="N2880" s="209">
        <v>145</v>
      </c>
      <c r="O2880" t="s">
        <v>2096</v>
      </c>
    </row>
    <row r="2881" spans="1:15">
      <c r="A2881" s="320" t="s">
        <v>1416</v>
      </c>
      <c r="B2881" t="str">
        <f>+_xlfn.XLOOKUP(Tabla6[[#This Row],[ID CLIENTE]],'RESUMEN CLIENTES'!D:D,'RESUMEN CLIENTES'!A:A)</f>
        <v>Luis Armando Calderon Manzanera</v>
      </c>
      <c r="C2881" t="str">
        <f>+_xlfn.XLOOKUP(Tabla6[[#This Row],[ID CLIENTE]],'RESUMEN CLIENTES'!D:D,'RESUMEN CLIENTES'!C:C)</f>
        <v>México</v>
      </c>
      <c r="D2881" s="44" t="str">
        <f>+_xlfn.XLOOKUP(Tabla6[[#This Row],[ID CLIENTE]],'RESUMEN CLIENTES'!D:D,'RESUMEN CLIENTES'!M:M)</f>
        <v>OK</v>
      </c>
      <c r="E2881" s="71">
        <f>+_xlfn.XLOOKUP(Tabla6[[#This Row],[NOMBRE]],'RESUMEN CLIENTES'!A:A,'RESUMEN CLIENTES'!X:X)</f>
        <v>2</v>
      </c>
      <c r="F2881" s="71">
        <f>+_xlfn.XLOOKUP(Tabla6[[#This Row],[ID CLIENTE]],'RESUMEN CLIENTES'!D:D,'RESUMEN CLIENTES'!W:W)</f>
        <v>1</v>
      </c>
      <c r="G2881" s="17" t="s">
        <v>2093</v>
      </c>
      <c r="H2881" s="44" t="s">
        <v>1669</v>
      </c>
      <c r="I2881" s="2">
        <v>3000</v>
      </c>
      <c r="J2881"/>
      <c r="K2881"/>
      <c r="L2881" s="44" t="str" cm="1">
        <f t="array" ref="L2881">+_xlfn.IFS(COUNTIF(INGRESOS!E:E,Tabla6[[#This Row],[ID FACTURA]])=1,"PAGADA",Tabla6[[#This Row],[ID FACTURA]]&lt;&gt;0,"EMITIDA",Tabla6[[#This Row],[ID FACTURA]]=0,"POR EMITIR")</f>
        <v>POR EMITIR</v>
      </c>
      <c r="M2881" s="55" t="str">
        <f>+IF(Tabla6[[#This Row],[ESTADO FACTURA]]="PAGADA",Tabla6[[#This Row],[FECHA]]-_xlfn.XLOOKUP(Tabla6[[#This Row],[N° FACTURA]],INGRESOS!F:F,INGRESOS!A:A),"-")</f>
        <v>-</v>
      </c>
      <c r="N2881" s="2"/>
      <c r="O2881"/>
    </row>
    <row r="2882" spans="1:15">
      <c r="A2882" s="320" t="s">
        <v>907</v>
      </c>
      <c r="B2882" t="str">
        <f>+_xlfn.XLOOKUP(Tabla6[[#This Row],[ID CLIENTE]],'RESUMEN CLIENTES'!D:D,'RESUMEN CLIENTES'!A:A)</f>
        <v>Luis Carlos Villa Cortés</v>
      </c>
      <c r="C2882" t="str">
        <f>+_xlfn.XLOOKUP(Tabla6[[#This Row],[ID CLIENTE]],'RESUMEN CLIENTES'!D:D,'RESUMEN CLIENTES'!C:C)</f>
        <v>México</v>
      </c>
      <c r="D2882" s="44" t="str">
        <f>+_xlfn.XLOOKUP(Tabla6[[#This Row],[ID CLIENTE]],'RESUMEN CLIENTES'!D:D,'RESUMEN CLIENTES'!M:M)</f>
        <v>OK</v>
      </c>
      <c r="E2882" s="72">
        <f>+_xlfn.XLOOKUP(Tabla6[[#This Row],[NOMBRE]],'RESUMEN CLIENTES'!A:A,'RESUMEN CLIENTES'!X:X)</f>
        <v>0</v>
      </c>
      <c r="F2882" s="72">
        <f>+_xlfn.XLOOKUP(Tabla6[[#This Row],[ID CLIENTE]],'RESUMEN CLIENTES'!D:D,'RESUMEN CLIENTES'!W:W)</f>
        <v>1</v>
      </c>
      <c r="G2882" s="17" t="str">
        <f>IF($H2882&lt;&gt;"ALEM","",IFERROR(
  DATE(
    YEAR(EDATE(
      _xlfn.XLOOKUP($A2882,'RESUMEN CLIENTES'!$D:$D,'RESUMEN CLIENTES'!$Y:$Y,""),
      7 + COUNTIFS(
            $A$2:INDEX($A:$A,ROW()), $A2882,
            $H$2:INDEX($H:$H,ROW()), "ALEM"
          )
    )),
    MONTH(EDATE(
      _xlfn.XLOOKUP($A2882,'RESUMEN CLIENTES'!$D:$D,'RESUMEN CLIENTES'!$Y:$Y,""),
      7 + COUNTIFS(
            $A$2:INDEX($A:$A,ROW()), $A2882,
            $H$2:INDEX($H:$H,ROW()), "ALEM"
          )
    )),
    1
  ),
"null"))</f>
        <v>null</v>
      </c>
      <c r="H2882" s="44" t="s">
        <v>1876</v>
      </c>
      <c r="I2882" s="2">
        <v>800</v>
      </c>
      <c r="J2882"/>
      <c r="K2882"/>
      <c r="L2882" s="44" t="str" cm="1">
        <f t="array" ref="L2882">+_xlfn.IFS(COUNTIF(INGRESOS!E:E,Tabla6[[#This Row],[ID FACTURA]])=1,"PAGADA",Tabla6[[#This Row],[ID FACTURA]]&lt;&gt;0,"EMITIDA",Tabla6[[#This Row],[ID FACTURA]]=0,"POR EMITIR")</f>
        <v>POR EMITIR</v>
      </c>
      <c r="M2882" s="55" t="str">
        <f>+IF(Tabla6[[#This Row],[ESTADO FACTURA]]="PAGADA",Tabla6[[#This Row],[FECHA]]-_xlfn.XLOOKUP(Tabla6[[#This Row],[N° FACTURA]],INGRESOS!F:F,INGRESOS!A:A),"-")</f>
        <v>-</v>
      </c>
      <c r="N2882" s="2"/>
      <c r="O2882" t="s">
        <v>2084</v>
      </c>
    </row>
    <row r="2883" spans="1:15">
      <c r="A2883" s="320" t="s">
        <v>907</v>
      </c>
      <c r="B2883" t="str">
        <f>+_xlfn.XLOOKUP(Tabla6[[#This Row],[ID CLIENTE]],'RESUMEN CLIENTES'!D:D,'RESUMEN CLIENTES'!A:A)</f>
        <v>Luis Carlos Villa Cortés</v>
      </c>
      <c r="C2883" t="str">
        <f>+_xlfn.XLOOKUP(Tabla6[[#This Row],[ID CLIENTE]],'RESUMEN CLIENTES'!D:D,'RESUMEN CLIENTES'!C:C)</f>
        <v>México</v>
      </c>
      <c r="D2883" s="44" t="str">
        <f>+_xlfn.XLOOKUP(Tabla6[[#This Row],[ID CLIENTE]],'RESUMEN CLIENTES'!D:D,'RESUMEN CLIENTES'!M:M)</f>
        <v>OK</v>
      </c>
      <c r="E2883" s="72">
        <f>+_xlfn.XLOOKUP(Tabla6[[#This Row],[NOMBRE]],'RESUMEN CLIENTES'!A:A,'RESUMEN CLIENTES'!X:X)</f>
        <v>0</v>
      </c>
      <c r="F2883" s="72">
        <f>+_xlfn.XLOOKUP(Tabla6[[#This Row],[ID CLIENTE]],'RESUMEN CLIENTES'!D:D,'RESUMEN CLIENTES'!W:W)</f>
        <v>1</v>
      </c>
      <c r="G2883" s="17" t="str">
        <f>IF($H2883&lt;&gt;"ALEM","",IFERROR(
  DATE(
    YEAR(EDATE(
      _xlfn.XLOOKUP($A2883,'RESUMEN CLIENTES'!$D:$D,'RESUMEN CLIENTES'!$Y:$Y,""),
      7 + COUNTIFS(
            $A$2:INDEX($A:$A,ROW()), $A2883,
            $H$2:INDEX($H:$H,ROW()), "ALEM"
          )
    )),
    MONTH(EDATE(
      _xlfn.XLOOKUP($A2883,'RESUMEN CLIENTES'!$D:$D,'RESUMEN CLIENTES'!$Y:$Y,""),
      7 + COUNTIFS(
            $A$2:INDEX($A:$A,ROW()), $A2883,
            $H$2:INDEX($H:$H,ROW()), "ALEM"
          )
    )),
    1
  ),
"null"))</f>
        <v>null</v>
      </c>
      <c r="H2883" s="44" t="s">
        <v>1876</v>
      </c>
      <c r="I2883" s="2">
        <v>800</v>
      </c>
      <c r="J2883"/>
      <c r="K2883"/>
      <c r="L2883" s="44" t="str" cm="1">
        <f t="array" ref="L2883">+_xlfn.IFS(COUNTIF(INGRESOS!E:E,Tabla6[[#This Row],[ID FACTURA]])=1,"PAGADA",Tabla6[[#This Row],[ID FACTURA]]&lt;&gt;0,"EMITIDA",Tabla6[[#This Row],[ID FACTURA]]=0,"POR EMITIR")</f>
        <v>POR EMITIR</v>
      </c>
      <c r="M2883" s="55" t="str">
        <f>+IF(Tabla6[[#This Row],[ESTADO FACTURA]]="PAGADA",Tabla6[[#This Row],[FECHA]]-_xlfn.XLOOKUP(Tabla6[[#This Row],[N° FACTURA]],INGRESOS!F:F,INGRESOS!A:A),"-")</f>
        <v>-</v>
      </c>
      <c r="N2883" s="2"/>
      <c r="O2883" t="s">
        <v>2084</v>
      </c>
    </row>
    <row r="2884" spans="1:15">
      <c r="A2884" s="320" t="s">
        <v>907</v>
      </c>
      <c r="B2884" t="str">
        <f>+_xlfn.XLOOKUP(Tabla6[[#This Row],[ID CLIENTE]],'RESUMEN CLIENTES'!D:D,'RESUMEN CLIENTES'!A:A)</f>
        <v>Luis Carlos Villa Cortés</v>
      </c>
      <c r="C2884" t="str">
        <f>+_xlfn.XLOOKUP(Tabla6[[#This Row],[ID CLIENTE]],'RESUMEN CLIENTES'!D:D,'RESUMEN CLIENTES'!C:C)</f>
        <v>México</v>
      </c>
      <c r="D2884" s="44" t="str">
        <f>+_xlfn.XLOOKUP(Tabla6[[#This Row],[ID CLIENTE]],'RESUMEN CLIENTES'!D:D,'RESUMEN CLIENTES'!M:M)</f>
        <v>OK</v>
      </c>
      <c r="E2884" s="72">
        <f>+_xlfn.XLOOKUP(Tabla6[[#This Row],[NOMBRE]],'RESUMEN CLIENTES'!A:A,'RESUMEN CLIENTES'!X:X)</f>
        <v>0</v>
      </c>
      <c r="F2884" s="72">
        <f>+_xlfn.XLOOKUP(Tabla6[[#This Row],[ID CLIENTE]],'RESUMEN CLIENTES'!D:D,'RESUMEN CLIENTES'!W:W)</f>
        <v>1</v>
      </c>
      <c r="G2884" s="17" t="str">
        <f>IF($H2884&lt;&gt;"ALEM","",IFERROR(
  DATE(
    YEAR(EDATE(
      _xlfn.XLOOKUP($A2884,'RESUMEN CLIENTES'!$D:$D,'RESUMEN CLIENTES'!$Y:$Y,""),
      7 + COUNTIFS(
            $A$2:INDEX($A:$A,ROW()), $A2884,
            $H$2:INDEX($H:$H,ROW()), "ALEM"
          )
    )),
    MONTH(EDATE(
      _xlfn.XLOOKUP($A2884,'RESUMEN CLIENTES'!$D:$D,'RESUMEN CLIENTES'!$Y:$Y,""),
      7 + COUNTIFS(
            $A$2:INDEX($A:$A,ROW()), $A2884,
            $H$2:INDEX($H:$H,ROW()), "ALEM"
          )
    )),
    1
  ),
"null"))</f>
        <v>null</v>
      </c>
      <c r="H2884" s="44" t="s">
        <v>1876</v>
      </c>
      <c r="I2884" s="2">
        <v>800</v>
      </c>
      <c r="J2884"/>
      <c r="K2884"/>
      <c r="L2884" s="44" t="str" cm="1">
        <f t="array" ref="L2884">+_xlfn.IFS(COUNTIF(INGRESOS!E:E,Tabla6[[#This Row],[ID FACTURA]])=1,"PAGADA",Tabla6[[#This Row],[ID FACTURA]]&lt;&gt;0,"EMITIDA",Tabla6[[#This Row],[ID FACTURA]]=0,"POR EMITIR")</f>
        <v>POR EMITIR</v>
      </c>
      <c r="M2884" s="55" t="str">
        <f>+IF(Tabla6[[#This Row],[ESTADO FACTURA]]="PAGADA",Tabla6[[#This Row],[FECHA]]-_xlfn.XLOOKUP(Tabla6[[#This Row],[N° FACTURA]],INGRESOS!F:F,INGRESOS!A:A),"-")</f>
        <v>-</v>
      </c>
      <c r="N2884" s="2"/>
      <c r="O2884" t="s">
        <v>2084</v>
      </c>
    </row>
    <row r="2885" spans="1:15">
      <c r="A2885" s="320" t="s">
        <v>907</v>
      </c>
      <c r="B2885" t="str">
        <f>+_xlfn.XLOOKUP(Tabla6[[#This Row],[ID CLIENTE]],'RESUMEN CLIENTES'!D:D,'RESUMEN CLIENTES'!A:A)</f>
        <v>Luis Carlos Villa Cortés</v>
      </c>
      <c r="C2885" t="str">
        <f>+_xlfn.XLOOKUP(Tabla6[[#This Row],[ID CLIENTE]],'RESUMEN CLIENTES'!D:D,'RESUMEN CLIENTES'!C:C)</f>
        <v>México</v>
      </c>
      <c r="D2885" s="44" t="str">
        <f>+_xlfn.XLOOKUP(Tabla6[[#This Row],[ID CLIENTE]],'RESUMEN CLIENTES'!D:D,'RESUMEN CLIENTES'!M:M)</f>
        <v>OK</v>
      </c>
      <c r="E2885" s="72">
        <f>+_xlfn.XLOOKUP(Tabla6[[#This Row],[NOMBRE]],'RESUMEN CLIENTES'!A:A,'RESUMEN CLIENTES'!X:X)</f>
        <v>0</v>
      </c>
      <c r="F2885" s="72">
        <f>+_xlfn.XLOOKUP(Tabla6[[#This Row],[ID CLIENTE]],'RESUMEN CLIENTES'!D:D,'RESUMEN CLIENTES'!W:W)</f>
        <v>1</v>
      </c>
      <c r="G2885" s="17" t="str">
        <f>IF($H2885&lt;&gt;"ALEM","",IFERROR(
  DATE(
    YEAR(EDATE(
      _xlfn.XLOOKUP($A2885,'RESUMEN CLIENTES'!$D:$D,'RESUMEN CLIENTES'!$Y:$Y,""),
      7 + COUNTIFS(
            $A$2:INDEX($A:$A,ROW()), $A2885,
            $H$2:INDEX($H:$H,ROW()), "ALEM"
          )
    )),
    MONTH(EDATE(
      _xlfn.XLOOKUP($A2885,'RESUMEN CLIENTES'!$D:$D,'RESUMEN CLIENTES'!$Y:$Y,""),
      7 + COUNTIFS(
            $A$2:INDEX($A:$A,ROW()), $A2885,
            $H$2:INDEX($H:$H,ROW()), "ALEM"
          )
    )),
    1
  ),
"null"))</f>
        <v>null</v>
      </c>
      <c r="H2885" s="44" t="s">
        <v>1876</v>
      </c>
      <c r="I2885" s="2">
        <v>800</v>
      </c>
      <c r="J2885"/>
      <c r="K2885"/>
      <c r="L2885" s="44" t="str" cm="1">
        <f t="array" ref="L2885">+_xlfn.IFS(COUNTIF(INGRESOS!E:E,Tabla6[[#This Row],[ID FACTURA]])=1,"PAGADA",Tabla6[[#This Row],[ID FACTURA]]&lt;&gt;0,"EMITIDA",Tabla6[[#This Row],[ID FACTURA]]=0,"POR EMITIR")</f>
        <v>POR EMITIR</v>
      </c>
      <c r="M2885" s="55" t="str">
        <f>+IF(Tabla6[[#This Row],[ESTADO FACTURA]]="PAGADA",Tabla6[[#This Row],[FECHA]]-_xlfn.XLOOKUP(Tabla6[[#This Row],[N° FACTURA]],INGRESOS!F:F,INGRESOS!A:A),"-")</f>
        <v>-</v>
      </c>
      <c r="N2885" s="2"/>
      <c r="O2885" t="s">
        <v>2084</v>
      </c>
    </row>
    <row r="2886" spans="1:15">
      <c r="A2886" s="320" t="s">
        <v>907</v>
      </c>
      <c r="B2886" t="str">
        <f>+_xlfn.XLOOKUP(Tabla6[[#This Row],[ID CLIENTE]],'RESUMEN CLIENTES'!D:D,'RESUMEN CLIENTES'!A:A)</f>
        <v>Luis Carlos Villa Cortés</v>
      </c>
      <c r="C2886" t="str">
        <f>+_xlfn.XLOOKUP(Tabla6[[#This Row],[ID CLIENTE]],'RESUMEN CLIENTES'!D:D,'RESUMEN CLIENTES'!C:C)</f>
        <v>México</v>
      </c>
      <c r="D2886" s="44" t="str">
        <f>+_xlfn.XLOOKUP(Tabla6[[#This Row],[ID CLIENTE]],'RESUMEN CLIENTES'!D:D,'RESUMEN CLIENTES'!M:M)</f>
        <v>OK</v>
      </c>
      <c r="E2886" s="72">
        <f>+_xlfn.XLOOKUP(Tabla6[[#This Row],[NOMBRE]],'RESUMEN CLIENTES'!A:A,'RESUMEN CLIENTES'!X:X)</f>
        <v>0</v>
      </c>
      <c r="F2886" s="72">
        <f>+_xlfn.XLOOKUP(Tabla6[[#This Row],[ID CLIENTE]],'RESUMEN CLIENTES'!D:D,'RESUMEN CLIENTES'!W:W)</f>
        <v>1</v>
      </c>
      <c r="G2886" s="17" t="str">
        <f>IF($H2886&lt;&gt;"ALEM","",IFERROR(
  DATE(
    YEAR(EDATE(
      _xlfn.XLOOKUP($A2886,'RESUMEN CLIENTES'!$D:$D,'RESUMEN CLIENTES'!$Y:$Y,""),
      7 + COUNTIFS(
            $A$2:INDEX($A:$A,ROW()), $A2886,
            $H$2:INDEX($H:$H,ROW()), "ALEM"
          )
    )),
    MONTH(EDATE(
      _xlfn.XLOOKUP($A2886,'RESUMEN CLIENTES'!$D:$D,'RESUMEN CLIENTES'!$Y:$Y,""),
      7 + COUNTIFS(
            $A$2:INDEX($A:$A,ROW()), $A2886,
            $H$2:INDEX($H:$H,ROW()), "ALEM"
          )
    )),
    1
  ),
"null"))</f>
        <v>null</v>
      </c>
      <c r="H2886" s="44" t="s">
        <v>1876</v>
      </c>
      <c r="I2886" s="2">
        <v>800</v>
      </c>
      <c r="J2886"/>
      <c r="K2886"/>
      <c r="L2886" s="44" t="str" cm="1">
        <f t="array" ref="L2886">+_xlfn.IFS(COUNTIF(INGRESOS!E:E,Tabla6[[#This Row],[ID FACTURA]])=1,"PAGADA",Tabla6[[#This Row],[ID FACTURA]]&lt;&gt;0,"EMITIDA",Tabla6[[#This Row],[ID FACTURA]]=0,"POR EMITIR")</f>
        <v>POR EMITIR</v>
      </c>
      <c r="M2886" s="55" t="str">
        <f>+IF(Tabla6[[#This Row],[ESTADO FACTURA]]="PAGADA",Tabla6[[#This Row],[FECHA]]-_xlfn.XLOOKUP(Tabla6[[#This Row],[N° FACTURA]],INGRESOS!F:F,INGRESOS!A:A),"-")</f>
        <v>-</v>
      </c>
      <c r="N2886" s="2"/>
      <c r="O2886" t="s">
        <v>2084</v>
      </c>
    </row>
    <row r="2887" spans="1:15">
      <c r="A2887" s="320" t="s">
        <v>907</v>
      </c>
      <c r="B2887" t="str">
        <f>+_xlfn.XLOOKUP(Tabla6[[#This Row],[ID CLIENTE]],'RESUMEN CLIENTES'!D:D,'RESUMEN CLIENTES'!A:A)</f>
        <v>Luis Carlos Villa Cortés</v>
      </c>
      <c r="C2887" t="str">
        <f>+_xlfn.XLOOKUP(Tabla6[[#This Row],[ID CLIENTE]],'RESUMEN CLIENTES'!D:D,'RESUMEN CLIENTES'!C:C)</f>
        <v>México</v>
      </c>
      <c r="D2887" s="44" t="str">
        <f>+_xlfn.XLOOKUP(Tabla6[[#This Row],[ID CLIENTE]],'RESUMEN CLIENTES'!D:D,'RESUMEN CLIENTES'!M:M)</f>
        <v>OK</v>
      </c>
      <c r="E2887" s="72">
        <f>+_xlfn.XLOOKUP(Tabla6[[#This Row],[NOMBRE]],'RESUMEN CLIENTES'!A:A,'RESUMEN CLIENTES'!X:X)</f>
        <v>0</v>
      </c>
      <c r="F2887" s="72">
        <f>+_xlfn.XLOOKUP(Tabla6[[#This Row],[ID CLIENTE]],'RESUMEN CLIENTES'!D:D,'RESUMEN CLIENTES'!W:W)</f>
        <v>1</v>
      </c>
      <c r="G2887" s="17" t="str">
        <f>IF($H2887&lt;&gt;"ALEM","",IFERROR(
  DATE(
    YEAR(EDATE(
      _xlfn.XLOOKUP($A2887,'RESUMEN CLIENTES'!$D:$D,'RESUMEN CLIENTES'!$Y:$Y,""),
      7 + COUNTIFS(
            $A$2:INDEX($A:$A,ROW()), $A2887,
            $H$2:INDEX($H:$H,ROW()), "ALEM"
          )
    )),
    MONTH(EDATE(
      _xlfn.XLOOKUP($A2887,'RESUMEN CLIENTES'!$D:$D,'RESUMEN CLIENTES'!$Y:$Y,""),
      7 + COUNTIFS(
            $A$2:INDEX($A:$A,ROW()), $A2887,
            $H$2:INDEX($H:$H,ROW()), "ALEM"
          )
    )),
    1
  ),
"null"))</f>
        <v>null</v>
      </c>
      <c r="H2887" s="44" t="s">
        <v>1876</v>
      </c>
      <c r="I2887" s="2">
        <v>800</v>
      </c>
      <c r="J2887"/>
      <c r="K2887"/>
      <c r="L2887" s="44" t="str" cm="1">
        <f t="array" ref="L2887">+_xlfn.IFS(COUNTIF(INGRESOS!E:E,Tabla6[[#This Row],[ID FACTURA]])=1,"PAGADA",Tabla6[[#This Row],[ID FACTURA]]&lt;&gt;0,"EMITIDA",Tabla6[[#This Row],[ID FACTURA]]=0,"POR EMITIR")</f>
        <v>POR EMITIR</v>
      </c>
      <c r="M2887" s="55" t="str">
        <f>+IF(Tabla6[[#This Row],[ESTADO FACTURA]]="PAGADA",Tabla6[[#This Row],[FECHA]]-_xlfn.XLOOKUP(Tabla6[[#This Row],[N° FACTURA]],INGRESOS!F:F,INGRESOS!A:A),"-")</f>
        <v>-</v>
      </c>
      <c r="N2887" s="2"/>
      <c r="O2887" t="s">
        <v>2084</v>
      </c>
    </row>
    <row r="2888" spans="1:15">
      <c r="A2888" s="320" t="s">
        <v>907</v>
      </c>
      <c r="B2888" t="str">
        <f>+_xlfn.XLOOKUP(Tabla6[[#This Row],[ID CLIENTE]],'RESUMEN CLIENTES'!D:D,'RESUMEN CLIENTES'!A:A)</f>
        <v>Luis Carlos Villa Cortés</v>
      </c>
      <c r="C2888" t="str">
        <f>+_xlfn.XLOOKUP(Tabla6[[#This Row],[ID CLIENTE]],'RESUMEN CLIENTES'!D:D,'RESUMEN CLIENTES'!C:C)</f>
        <v>México</v>
      </c>
      <c r="D2888" s="44" t="str">
        <f>+_xlfn.XLOOKUP(Tabla6[[#This Row],[ID CLIENTE]],'RESUMEN CLIENTES'!D:D,'RESUMEN CLIENTES'!M:M)</f>
        <v>OK</v>
      </c>
      <c r="E2888" s="72">
        <f>+_xlfn.XLOOKUP(Tabla6[[#This Row],[NOMBRE]],'RESUMEN CLIENTES'!A:A,'RESUMEN CLIENTES'!X:X)</f>
        <v>0</v>
      </c>
      <c r="F2888" s="72">
        <f>+_xlfn.XLOOKUP(Tabla6[[#This Row],[ID CLIENTE]],'RESUMEN CLIENTES'!D:D,'RESUMEN CLIENTES'!W:W)</f>
        <v>1</v>
      </c>
      <c r="G2888" s="17" t="str">
        <f>IF($H2888&lt;&gt;"ALEM","",IFERROR(
  DATE(
    YEAR(EDATE(
      _xlfn.XLOOKUP($A2888,'RESUMEN CLIENTES'!$D:$D,'RESUMEN CLIENTES'!$Y:$Y,""),
      7 + COUNTIFS(
            $A$2:INDEX($A:$A,ROW()), $A2888,
            $H$2:INDEX($H:$H,ROW()), "ALEM"
          )
    )),
    MONTH(EDATE(
      _xlfn.XLOOKUP($A2888,'RESUMEN CLIENTES'!$D:$D,'RESUMEN CLIENTES'!$Y:$Y,""),
      7 + COUNTIFS(
            $A$2:INDEX($A:$A,ROW()), $A2888,
            $H$2:INDEX($H:$H,ROW()), "ALEM"
          )
    )),
    1
  ),
"null"))</f>
        <v>null</v>
      </c>
      <c r="H2888" s="44" t="s">
        <v>1876</v>
      </c>
      <c r="I2888" s="2">
        <v>800</v>
      </c>
      <c r="J2888"/>
      <c r="K2888"/>
      <c r="L2888" s="44" t="str" cm="1">
        <f t="array" ref="L2888">+_xlfn.IFS(COUNTIF(INGRESOS!E:E,Tabla6[[#This Row],[ID FACTURA]])=1,"PAGADA",Tabla6[[#This Row],[ID FACTURA]]&lt;&gt;0,"EMITIDA",Tabla6[[#This Row],[ID FACTURA]]=0,"POR EMITIR")</f>
        <v>POR EMITIR</v>
      </c>
      <c r="M2888" s="55" t="str">
        <f>+IF(Tabla6[[#This Row],[ESTADO FACTURA]]="PAGADA",Tabla6[[#This Row],[FECHA]]-_xlfn.XLOOKUP(Tabla6[[#This Row],[N° FACTURA]],INGRESOS!F:F,INGRESOS!A:A),"-")</f>
        <v>-</v>
      </c>
      <c r="N2888" s="2"/>
      <c r="O2888" t="s">
        <v>2084</v>
      </c>
    </row>
    <row r="2889" spans="1:15">
      <c r="A2889" s="320" t="s">
        <v>907</v>
      </c>
      <c r="B2889" t="str">
        <f>+_xlfn.XLOOKUP(Tabla6[[#This Row],[ID CLIENTE]],'RESUMEN CLIENTES'!D:D,'RESUMEN CLIENTES'!A:A)</f>
        <v>Luis Carlos Villa Cortés</v>
      </c>
      <c r="C2889" t="str">
        <f>+_xlfn.XLOOKUP(Tabla6[[#This Row],[ID CLIENTE]],'RESUMEN CLIENTES'!D:D,'RESUMEN CLIENTES'!C:C)</f>
        <v>México</v>
      </c>
      <c r="D2889" s="44" t="str">
        <f>+_xlfn.XLOOKUP(Tabla6[[#This Row],[ID CLIENTE]],'RESUMEN CLIENTES'!D:D,'RESUMEN CLIENTES'!M:M)</f>
        <v>OK</v>
      </c>
      <c r="E2889" s="72">
        <f>+_xlfn.XLOOKUP(Tabla6[[#This Row],[NOMBRE]],'RESUMEN CLIENTES'!A:A,'RESUMEN CLIENTES'!X:X)</f>
        <v>0</v>
      </c>
      <c r="F2889" s="72">
        <f>+_xlfn.XLOOKUP(Tabla6[[#This Row],[ID CLIENTE]],'RESUMEN CLIENTES'!D:D,'RESUMEN CLIENTES'!W:W)</f>
        <v>1</v>
      </c>
      <c r="G2889" s="17" t="str">
        <f>IF($H2889&lt;&gt;"ALEM","",IFERROR(
  DATE(
    YEAR(EDATE(
      _xlfn.XLOOKUP($A2889,'RESUMEN CLIENTES'!$D:$D,'RESUMEN CLIENTES'!$Y:$Y,""),
      7 + COUNTIFS(
            $A$2:INDEX($A:$A,ROW()), $A2889,
            $H$2:INDEX($H:$H,ROW()), "ALEM"
          )
    )),
    MONTH(EDATE(
      _xlfn.XLOOKUP($A2889,'RESUMEN CLIENTES'!$D:$D,'RESUMEN CLIENTES'!$Y:$Y,""),
      7 + COUNTIFS(
            $A$2:INDEX($A:$A,ROW()), $A2889,
            $H$2:INDEX($H:$H,ROW()), "ALEM"
          )
    )),
    1
  ),
"null"))</f>
        <v>null</v>
      </c>
      <c r="H2889" s="44" t="s">
        <v>1876</v>
      </c>
      <c r="I2889" s="2">
        <v>800</v>
      </c>
      <c r="J2889"/>
      <c r="K2889"/>
      <c r="L2889" s="44" t="str" cm="1">
        <f t="array" ref="L2889">+_xlfn.IFS(COUNTIF(INGRESOS!E:E,Tabla6[[#This Row],[ID FACTURA]])=1,"PAGADA",Tabla6[[#This Row],[ID FACTURA]]&lt;&gt;0,"EMITIDA",Tabla6[[#This Row],[ID FACTURA]]=0,"POR EMITIR")</f>
        <v>POR EMITIR</v>
      </c>
      <c r="M2889" s="55" t="str">
        <f>+IF(Tabla6[[#This Row],[ESTADO FACTURA]]="PAGADA",Tabla6[[#This Row],[FECHA]]-_xlfn.XLOOKUP(Tabla6[[#This Row],[N° FACTURA]],INGRESOS!F:F,INGRESOS!A:A),"-")</f>
        <v>-</v>
      </c>
      <c r="N2889" s="2"/>
      <c r="O2889" t="s">
        <v>2084</v>
      </c>
    </row>
    <row r="2890" spans="1:15">
      <c r="A2890" s="320" t="s">
        <v>907</v>
      </c>
      <c r="B2890" t="str">
        <f>+_xlfn.XLOOKUP(Tabla6[[#This Row],[ID CLIENTE]],'RESUMEN CLIENTES'!D:D,'RESUMEN CLIENTES'!A:A)</f>
        <v>Luis Carlos Villa Cortés</v>
      </c>
      <c r="C2890" t="str">
        <f>+_xlfn.XLOOKUP(Tabla6[[#This Row],[ID CLIENTE]],'RESUMEN CLIENTES'!D:D,'RESUMEN CLIENTES'!C:C)</f>
        <v>México</v>
      </c>
      <c r="D2890" s="44" t="str">
        <f>+_xlfn.XLOOKUP(Tabla6[[#This Row],[ID CLIENTE]],'RESUMEN CLIENTES'!D:D,'RESUMEN CLIENTES'!M:M)</f>
        <v>OK</v>
      </c>
      <c r="E2890" s="72">
        <f>+_xlfn.XLOOKUP(Tabla6[[#This Row],[NOMBRE]],'RESUMEN CLIENTES'!A:A,'RESUMEN CLIENTES'!X:X)</f>
        <v>0</v>
      </c>
      <c r="F2890" s="72">
        <f>+_xlfn.XLOOKUP(Tabla6[[#This Row],[ID CLIENTE]],'RESUMEN CLIENTES'!D:D,'RESUMEN CLIENTES'!W:W)</f>
        <v>1</v>
      </c>
      <c r="G2890" s="17" t="str">
        <f>IF($H2890&lt;&gt;"ALEM","",IFERROR(
  DATE(
    YEAR(EDATE(
      _xlfn.XLOOKUP($A2890,'RESUMEN CLIENTES'!$D:$D,'RESUMEN CLIENTES'!$Y:$Y,""),
      7 + COUNTIFS(
            $A$2:INDEX($A:$A,ROW()), $A2890,
            $H$2:INDEX($H:$H,ROW()), "ALEM"
          )
    )),
    MONTH(EDATE(
      _xlfn.XLOOKUP($A2890,'RESUMEN CLIENTES'!$D:$D,'RESUMEN CLIENTES'!$Y:$Y,""),
      7 + COUNTIFS(
            $A$2:INDEX($A:$A,ROW()), $A2890,
            $H$2:INDEX($H:$H,ROW()), "ALEM"
          )
    )),
    1
  ),
"null"))</f>
        <v>null</v>
      </c>
      <c r="H2890" s="44" t="s">
        <v>1876</v>
      </c>
      <c r="I2890" s="2">
        <v>800</v>
      </c>
      <c r="J2890"/>
      <c r="K2890"/>
      <c r="L2890" s="44" t="str" cm="1">
        <f t="array" ref="L2890">+_xlfn.IFS(COUNTIF(INGRESOS!E:E,Tabla6[[#This Row],[ID FACTURA]])=1,"PAGADA",Tabla6[[#This Row],[ID FACTURA]]&lt;&gt;0,"EMITIDA",Tabla6[[#This Row],[ID FACTURA]]=0,"POR EMITIR")</f>
        <v>POR EMITIR</v>
      </c>
      <c r="M2890" s="55" t="str">
        <f>+IF(Tabla6[[#This Row],[ESTADO FACTURA]]="PAGADA",Tabla6[[#This Row],[FECHA]]-_xlfn.XLOOKUP(Tabla6[[#This Row],[N° FACTURA]],INGRESOS!F:F,INGRESOS!A:A),"-")</f>
        <v>-</v>
      </c>
      <c r="N2890" s="2"/>
      <c r="O2890" t="s">
        <v>2084</v>
      </c>
    </row>
    <row r="2891" spans="1:15">
      <c r="A2891" s="320" t="s">
        <v>907</v>
      </c>
      <c r="B2891" t="str">
        <f>+_xlfn.XLOOKUP(Tabla6[[#This Row],[ID CLIENTE]],'RESUMEN CLIENTES'!D:D,'RESUMEN CLIENTES'!A:A)</f>
        <v>Luis Carlos Villa Cortés</v>
      </c>
      <c r="C2891" t="str">
        <f>+_xlfn.XLOOKUP(Tabla6[[#This Row],[ID CLIENTE]],'RESUMEN CLIENTES'!D:D,'RESUMEN CLIENTES'!C:C)</f>
        <v>México</v>
      </c>
      <c r="D2891" s="44" t="str">
        <f>+_xlfn.XLOOKUP(Tabla6[[#This Row],[ID CLIENTE]],'RESUMEN CLIENTES'!D:D,'RESUMEN CLIENTES'!M:M)</f>
        <v>OK</v>
      </c>
      <c r="E2891" s="72">
        <f>+_xlfn.XLOOKUP(Tabla6[[#This Row],[NOMBRE]],'RESUMEN CLIENTES'!A:A,'RESUMEN CLIENTES'!X:X)</f>
        <v>0</v>
      </c>
      <c r="F2891" s="72">
        <f>+_xlfn.XLOOKUP(Tabla6[[#This Row],[ID CLIENTE]],'RESUMEN CLIENTES'!D:D,'RESUMEN CLIENTES'!W:W)</f>
        <v>1</v>
      </c>
      <c r="G2891" s="17" t="str">
        <f>IF($H2891&lt;&gt;"ALEM","",IFERROR(
  DATE(
    YEAR(EDATE(
      _xlfn.XLOOKUP($A2891,'RESUMEN CLIENTES'!$D:$D,'RESUMEN CLIENTES'!$Y:$Y,""),
      7 + COUNTIFS(
            $A$2:INDEX($A:$A,ROW()), $A2891,
            $H$2:INDEX($H:$H,ROW()), "ALEM"
          )
    )),
    MONTH(EDATE(
      _xlfn.XLOOKUP($A2891,'RESUMEN CLIENTES'!$D:$D,'RESUMEN CLIENTES'!$Y:$Y,""),
      7 + COUNTIFS(
            $A$2:INDEX($A:$A,ROW()), $A2891,
            $H$2:INDEX($H:$H,ROW()), "ALEM"
          )
    )),
    1
  ),
"null"))</f>
        <v>null</v>
      </c>
      <c r="H2891" s="44" t="s">
        <v>1876</v>
      </c>
      <c r="I2891" s="2">
        <v>800</v>
      </c>
      <c r="J2891"/>
      <c r="K2891"/>
      <c r="L2891" s="44" t="str" cm="1">
        <f t="array" ref="L2891">+_xlfn.IFS(COUNTIF(INGRESOS!E:E,Tabla6[[#This Row],[ID FACTURA]])=1,"PAGADA",Tabla6[[#This Row],[ID FACTURA]]&lt;&gt;0,"EMITIDA",Tabla6[[#This Row],[ID FACTURA]]=0,"POR EMITIR")</f>
        <v>POR EMITIR</v>
      </c>
      <c r="M2891" s="55" t="str">
        <f>+IF(Tabla6[[#This Row],[ESTADO FACTURA]]="PAGADA",Tabla6[[#This Row],[FECHA]]-_xlfn.XLOOKUP(Tabla6[[#This Row],[N° FACTURA]],INGRESOS!F:F,INGRESOS!A:A),"-")</f>
        <v>-</v>
      </c>
      <c r="N2891" s="2"/>
      <c r="O2891" t="s">
        <v>2084</v>
      </c>
    </row>
    <row r="2892" spans="1:15">
      <c r="A2892" s="320" t="s">
        <v>907</v>
      </c>
      <c r="B2892" t="str">
        <f>+_xlfn.XLOOKUP(Tabla6[[#This Row],[ID CLIENTE]],'RESUMEN CLIENTES'!D:D,'RESUMEN CLIENTES'!A:A)</f>
        <v>Luis Carlos Villa Cortés</v>
      </c>
      <c r="C2892" t="str">
        <f>+_xlfn.XLOOKUP(Tabla6[[#This Row],[ID CLIENTE]],'RESUMEN CLIENTES'!D:D,'RESUMEN CLIENTES'!C:C)</f>
        <v>México</v>
      </c>
      <c r="D2892" s="44" t="str">
        <f>+_xlfn.XLOOKUP(Tabla6[[#This Row],[ID CLIENTE]],'RESUMEN CLIENTES'!D:D,'RESUMEN CLIENTES'!M:M)</f>
        <v>OK</v>
      </c>
      <c r="E2892" s="72">
        <f>+_xlfn.XLOOKUP(Tabla6[[#This Row],[NOMBRE]],'RESUMEN CLIENTES'!A:A,'RESUMEN CLIENTES'!X:X)</f>
        <v>0</v>
      </c>
      <c r="F2892" s="72">
        <f>+_xlfn.XLOOKUP(Tabla6[[#This Row],[ID CLIENTE]],'RESUMEN CLIENTES'!D:D,'RESUMEN CLIENTES'!W:W)</f>
        <v>1</v>
      </c>
      <c r="G2892" s="17" t="s">
        <v>2093</v>
      </c>
      <c r="H2892" s="44" t="s">
        <v>1669</v>
      </c>
      <c r="I2892" s="2">
        <v>3000</v>
      </c>
      <c r="J2892"/>
      <c r="K2892"/>
      <c r="L2892" s="44" t="str" cm="1">
        <f t="array" ref="L2892">+_xlfn.IFS(COUNTIF(INGRESOS!E:E,Tabla6[[#This Row],[ID FACTURA]])=1,"PAGADA",Tabla6[[#This Row],[ID FACTURA]]&lt;&gt;0,"EMITIDA",Tabla6[[#This Row],[ID FACTURA]]=0,"POR EMITIR")</f>
        <v>POR EMITIR</v>
      </c>
      <c r="M2892" s="55" t="str">
        <f>+IF(Tabla6[[#This Row],[ESTADO FACTURA]]="PAGADA",Tabla6[[#This Row],[FECHA]]-_xlfn.XLOOKUP(Tabla6[[#This Row],[N° FACTURA]],INGRESOS!F:F,INGRESOS!A:A),"-")</f>
        <v>-</v>
      </c>
      <c r="N2892" s="2"/>
      <c r="O2892"/>
    </row>
    <row r="2893" spans="1:15">
      <c r="A2893" s="320" t="s">
        <v>188</v>
      </c>
      <c r="B2893" t="str">
        <f>+_xlfn.XLOOKUP(Tabla6[[#This Row],[ID CLIENTE]],'RESUMEN CLIENTES'!D:D,'RESUMEN CLIENTES'!A:A)</f>
        <v>Marco Tulio Negrete Aceves</v>
      </c>
      <c r="C2893" t="str">
        <f>+_xlfn.XLOOKUP(Tabla6[[#This Row],[ID CLIENTE]],'RESUMEN CLIENTES'!D:D,'RESUMEN CLIENTES'!C:C)</f>
        <v>México</v>
      </c>
      <c r="D2893" s="44" t="str">
        <f>+_xlfn.XLOOKUP(Tabla6[[#This Row],[ID CLIENTE]],'RESUMEN CLIENTES'!D:D,'RESUMEN CLIENTES'!M:M)</f>
        <v>OK</v>
      </c>
      <c r="E2893" s="72">
        <f>+_xlfn.XLOOKUP(Tabla6[[#This Row],[NOMBRE]],'RESUMEN CLIENTES'!A:A,'RESUMEN CLIENTES'!X:X)</f>
        <v>2.625</v>
      </c>
      <c r="F2893" s="72">
        <f>+_xlfn.XLOOKUP(Tabla6[[#This Row],[ID CLIENTE]],'RESUMEN CLIENTES'!D:D,'RESUMEN CLIENTES'!W:W)</f>
        <v>1</v>
      </c>
      <c r="G2893" s="17" t="str">
        <f>IF($H2893&lt;&gt;"ALEM","",IFERROR(
  DATE(
    YEAR(EDATE(
      _xlfn.XLOOKUP($A2893,'RESUMEN CLIENTES'!$D:$D,'RESUMEN CLIENTES'!$Y:$Y,""),
      7 + COUNTIFS(
            $A$2:INDEX($A:$A,ROW()), $A2893,
            $H$2:INDEX($H:$H,ROW()), "ALEM"
          )
    )),
    MONTH(EDATE(
      _xlfn.XLOOKUP($A2893,'RESUMEN CLIENTES'!$D:$D,'RESUMEN CLIENTES'!$Y:$Y,""),
      7 + COUNTIFS(
            $A$2:INDEX($A:$A,ROW()), $A2893,
            $H$2:INDEX($H:$H,ROW()), "ALEM"
          )
    )),
    1
  ),
"null"))</f>
        <v>null</v>
      </c>
      <c r="H2893" s="44" t="s">
        <v>1876</v>
      </c>
      <c r="I2893" s="2">
        <v>900</v>
      </c>
      <c r="J2893"/>
      <c r="K2893"/>
      <c r="L2893" s="44" t="str" cm="1">
        <f t="array" ref="L2893">+_xlfn.IFS(COUNTIF(INGRESOS!E:E,Tabla6[[#This Row],[ID FACTURA]])=1,"PAGADA",Tabla6[[#This Row],[ID FACTURA]]&lt;&gt;0,"EMITIDA",Tabla6[[#This Row],[ID FACTURA]]=0,"POR EMITIR")</f>
        <v>POR EMITIR</v>
      </c>
      <c r="M2893" s="55" t="str">
        <f>+IF(Tabla6[[#This Row],[ESTADO FACTURA]]="PAGADA",Tabla6[[#This Row],[FECHA]]-_xlfn.XLOOKUP(Tabla6[[#This Row],[N° FACTURA]],INGRESOS!F:F,INGRESOS!A:A),"-")</f>
        <v>-</v>
      </c>
      <c r="N2893" s="2"/>
      <c r="O2893" t="s">
        <v>2086</v>
      </c>
    </row>
    <row r="2894" spans="1:15">
      <c r="A2894" s="320" t="s">
        <v>188</v>
      </c>
      <c r="B2894" t="str">
        <f>+_xlfn.XLOOKUP(Tabla6[[#This Row],[ID CLIENTE]],'RESUMEN CLIENTES'!D:D,'RESUMEN CLIENTES'!A:A)</f>
        <v>Marco Tulio Negrete Aceves</v>
      </c>
      <c r="C2894" t="str">
        <f>+_xlfn.XLOOKUP(Tabla6[[#This Row],[ID CLIENTE]],'RESUMEN CLIENTES'!D:D,'RESUMEN CLIENTES'!C:C)</f>
        <v>México</v>
      </c>
      <c r="D2894" s="44" t="str">
        <f>+_xlfn.XLOOKUP(Tabla6[[#This Row],[ID CLIENTE]],'RESUMEN CLIENTES'!D:D,'RESUMEN CLIENTES'!M:M)</f>
        <v>OK</v>
      </c>
      <c r="E2894" s="72">
        <f>+_xlfn.XLOOKUP(Tabla6[[#This Row],[NOMBRE]],'RESUMEN CLIENTES'!A:A,'RESUMEN CLIENTES'!X:X)</f>
        <v>2.625</v>
      </c>
      <c r="F2894" s="72">
        <f>+_xlfn.XLOOKUP(Tabla6[[#This Row],[ID CLIENTE]],'RESUMEN CLIENTES'!D:D,'RESUMEN CLIENTES'!W:W)</f>
        <v>1</v>
      </c>
      <c r="G2894" s="17" t="str">
        <f>IF($H2894&lt;&gt;"ALEM","",IFERROR(
  DATE(
    YEAR(EDATE(
      _xlfn.XLOOKUP($A2894,'RESUMEN CLIENTES'!$D:$D,'RESUMEN CLIENTES'!$Y:$Y,""),
      7 + COUNTIFS(
            $A$2:INDEX($A:$A,ROW()), $A2894,
            $H$2:INDEX($H:$H,ROW()), "ALEM"
          )
    )),
    MONTH(EDATE(
      _xlfn.XLOOKUP($A2894,'RESUMEN CLIENTES'!$D:$D,'RESUMEN CLIENTES'!$Y:$Y,""),
      7 + COUNTIFS(
            $A$2:INDEX($A:$A,ROW()), $A2894,
            $H$2:INDEX($H:$H,ROW()), "ALEM"
          )
    )),
    1
  ),
"null"))</f>
        <v>null</v>
      </c>
      <c r="H2894" s="44" t="s">
        <v>1876</v>
      </c>
      <c r="I2894" s="2">
        <v>900</v>
      </c>
      <c r="J2894"/>
      <c r="K2894"/>
      <c r="L2894" s="44" t="str" cm="1">
        <f t="array" ref="L2894">+_xlfn.IFS(COUNTIF(INGRESOS!E:E,Tabla6[[#This Row],[ID FACTURA]])=1,"PAGADA",Tabla6[[#This Row],[ID FACTURA]]&lt;&gt;0,"EMITIDA",Tabla6[[#This Row],[ID FACTURA]]=0,"POR EMITIR")</f>
        <v>POR EMITIR</v>
      </c>
      <c r="M2894" s="55" t="str">
        <f>+IF(Tabla6[[#This Row],[ESTADO FACTURA]]="PAGADA",Tabla6[[#This Row],[FECHA]]-_xlfn.XLOOKUP(Tabla6[[#This Row],[N° FACTURA]],INGRESOS!F:F,INGRESOS!A:A),"-")</f>
        <v>-</v>
      </c>
      <c r="N2894" s="2"/>
      <c r="O2894" t="s">
        <v>2086</v>
      </c>
    </row>
    <row r="2895" spans="1:15">
      <c r="A2895" s="320" t="s">
        <v>188</v>
      </c>
      <c r="B2895" t="str">
        <f>+_xlfn.XLOOKUP(Tabla6[[#This Row],[ID CLIENTE]],'RESUMEN CLIENTES'!D:D,'RESUMEN CLIENTES'!A:A)</f>
        <v>Marco Tulio Negrete Aceves</v>
      </c>
      <c r="C2895" t="str">
        <f>+_xlfn.XLOOKUP(Tabla6[[#This Row],[ID CLIENTE]],'RESUMEN CLIENTES'!D:D,'RESUMEN CLIENTES'!C:C)</f>
        <v>México</v>
      </c>
      <c r="D2895" s="44" t="str">
        <f>+_xlfn.XLOOKUP(Tabla6[[#This Row],[ID CLIENTE]],'RESUMEN CLIENTES'!D:D,'RESUMEN CLIENTES'!M:M)</f>
        <v>OK</v>
      </c>
      <c r="E2895" s="72">
        <f>+_xlfn.XLOOKUP(Tabla6[[#This Row],[NOMBRE]],'RESUMEN CLIENTES'!A:A,'RESUMEN CLIENTES'!X:X)</f>
        <v>2.625</v>
      </c>
      <c r="F2895" s="72">
        <f>+_xlfn.XLOOKUP(Tabla6[[#This Row],[ID CLIENTE]],'RESUMEN CLIENTES'!D:D,'RESUMEN CLIENTES'!W:W)</f>
        <v>1</v>
      </c>
      <c r="G2895" s="17" t="str">
        <f>IF($H2895&lt;&gt;"ALEM","",IFERROR(
  DATE(
    YEAR(EDATE(
      _xlfn.XLOOKUP($A2895,'RESUMEN CLIENTES'!$D:$D,'RESUMEN CLIENTES'!$Y:$Y,""),
      7 + COUNTIFS(
            $A$2:INDEX($A:$A,ROW()), $A2895,
            $H$2:INDEX($H:$H,ROW()), "ALEM"
          )
    )),
    MONTH(EDATE(
      _xlfn.XLOOKUP($A2895,'RESUMEN CLIENTES'!$D:$D,'RESUMEN CLIENTES'!$Y:$Y,""),
      7 + COUNTIFS(
            $A$2:INDEX($A:$A,ROW()), $A2895,
            $H$2:INDEX($H:$H,ROW()), "ALEM"
          )
    )),
    1
  ),
"null"))</f>
        <v>null</v>
      </c>
      <c r="H2895" s="44" t="s">
        <v>1876</v>
      </c>
      <c r="I2895" s="2">
        <v>1150</v>
      </c>
      <c r="J2895"/>
      <c r="K2895"/>
      <c r="L2895" s="44" t="str" cm="1">
        <f t="array" ref="L2895">+_xlfn.IFS(COUNTIF(INGRESOS!E:E,Tabla6[[#This Row],[ID FACTURA]])=1,"PAGADA",Tabla6[[#This Row],[ID FACTURA]]&lt;&gt;0,"EMITIDA",Tabla6[[#This Row],[ID FACTURA]]=0,"POR EMITIR")</f>
        <v>POR EMITIR</v>
      </c>
      <c r="M2895" s="55" t="str">
        <f>+IF(Tabla6[[#This Row],[ESTADO FACTURA]]="PAGADA",Tabla6[[#This Row],[FECHA]]-_xlfn.XLOOKUP(Tabla6[[#This Row],[N° FACTURA]],INGRESOS!F:F,INGRESOS!A:A),"-")</f>
        <v>-</v>
      </c>
      <c r="N2895" s="2"/>
      <c r="O2895" t="s">
        <v>2086</v>
      </c>
    </row>
    <row r="2896" spans="1:15">
      <c r="A2896" s="320" t="s">
        <v>188</v>
      </c>
      <c r="B2896" t="str">
        <f>+_xlfn.XLOOKUP(Tabla6[[#This Row],[ID CLIENTE]],'RESUMEN CLIENTES'!D:D,'RESUMEN CLIENTES'!A:A)</f>
        <v>Marco Tulio Negrete Aceves</v>
      </c>
      <c r="C2896" t="str">
        <f>+_xlfn.XLOOKUP(Tabla6[[#This Row],[ID CLIENTE]],'RESUMEN CLIENTES'!D:D,'RESUMEN CLIENTES'!C:C)</f>
        <v>México</v>
      </c>
      <c r="D2896" s="44" t="str">
        <f>+_xlfn.XLOOKUP(Tabla6[[#This Row],[ID CLIENTE]],'RESUMEN CLIENTES'!D:D,'RESUMEN CLIENTES'!M:M)</f>
        <v>OK</v>
      </c>
      <c r="E2896" s="72">
        <f>+_xlfn.XLOOKUP(Tabla6[[#This Row],[NOMBRE]],'RESUMEN CLIENTES'!A:A,'RESUMEN CLIENTES'!X:X)</f>
        <v>2.625</v>
      </c>
      <c r="F2896" s="72">
        <f>+_xlfn.XLOOKUP(Tabla6[[#This Row],[ID CLIENTE]],'RESUMEN CLIENTES'!D:D,'RESUMEN CLIENTES'!W:W)</f>
        <v>1</v>
      </c>
      <c r="G2896" s="17" t="str">
        <f>IF($H2896&lt;&gt;"ALEM","",IFERROR(
  DATE(
    YEAR(EDATE(
      _xlfn.XLOOKUP($A2896,'RESUMEN CLIENTES'!$D:$D,'RESUMEN CLIENTES'!$Y:$Y,""),
      7 + COUNTIFS(
            $A$2:INDEX($A:$A,ROW()), $A2896,
            $H$2:INDEX($H:$H,ROW()), "ALEM"
          )
    )),
    MONTH(EDATE(
      _xlfn.XLOOKUP($A2896,'RESUMEN CLIENTES'!$D:$D,'RESUMEN CLIENTES'!$Y:$Y,""),
      7 + COUNTIFS(
            $A$2:INDEX($A:$A,ROW()), $A2896,
            $H$2:INDEX($H:$H,ROW()), "ALEM"
          )
    )),
    1
  ),
"null"))</f>
        <v>null</v>
      </c>
      <c r="H2896" s="44" t="s">
        <v>1876</v>
      </c>
      <c r="I2896" s="2">
        <v>1150</v>
      </c>
      <c r="J2896"/>
      <c r="K2896"/>
      <c r="L2896" s="44" t="str" cm="1">
        <f t="array" ref="L2896">+_xlfn.IFS(COUNTIF(INGRESOS!E:E,Tabla6[[#This Row],[ID FACTURA]])=1,"PAGADA",Tabla6[[#This Row],[ID FACTURA]]&lt;&gt;0,"EMITIDA",Tabla6[[#This Row],[ID FACTURA]]=0,"POR EMITIR")</f>
        <v>POR EMITIR</v>
      </c>
      <c r="M2896" s="55" t="str">
        <f>+IF(Tabla6[[#This Row],[ESTADO FACTURA]]="PAGADA",Tabla6[[#This Row],[FECHA]]-_xlfn.XLOOKUP(Tabla6[[#This Row],[N° FACTURA]],INGRESOS!F:F,INGRESOS!A:A),"-")</f>
        <v>-</v>
      </c>
      <c r="N2896" s="2"/>
      <c r="O2896" t="s">
        <v>2086</v>
      </c>
    </row>
    <row r="2897" spans="1:15">
      <c r="A2897" s="320" t="s">
        <v>1551</v>
      </c>
      <c r="B2897" t="str">
        <f>+_xlfn.XLOOKUP(Tabla6[[#This Row],[ID CLIENTE]],'RESUMEN CLIENTES'!D:D,'RESUMEN CLIENTES'!A:A)</f>
        <v>María Fernanda Cid Ramírez</v>
      </c>
      <c r="C2897" t="str">
        <f>+_xlfn.XLOOKUP(Tabla6[[#This Row],[ID CLIENTE]],'RESUMEN CLIENTES'!D:D,'RESUMEN CLIENTES'!C:C)</f>
        <v>México</v>
      </c>
      <c r="D2897" s="44" t="str">
        <f>+_xlfn.XLOOKUP(Tabla6[[#This Row],[ID CLIENTE]],'RESUMEN CLIENTES'!D:D,'RESUMEN CLIENTES'!M:M)</f>
        <v>OK</v>
      </c>
      <c r="E2897" s="71">
        <f>+_xlfn.XLOOKUP(Tabla6[[#This Row],[NOMBRE]],'RESUMEN CLIENTES'!A:A,'RESUMEN CLIENTES'!X:X)</f>
        <v>-0.8571428571428571</v>
      </c>
      <c r="F2897" s="71">
        <f>+_xlfn.XLOOKUP(Tabla6[[#This Row],[ID CLIENTE]],'RESUMEN CLIENTES'!D:D,'RESUMEN CLIENTES'!W:W)</f>
        <v>0</v>
      </c>
      <c r="G2897" s="17" t="s">
        <v>2093</v>
      </c>
      <c r="H2897" s="169" t="s">
        <v>1669</v>
      </c>
      <c r="I2897" s="2">
        <v>3000</v>
      </c>
      <c r="J2897"/>
      <c r="K2897"/>
      <c r="L2897" s="44" t="str" cm="1">
        <f t="array" ref="L2897">+_xlfn.IFS(COUNTIF(INGRESOS!E:E,Tabla6[[#This Row],[ID FACTURA]])=1,"PAGADA",Tabla6[[#This Row],[ID FACTURA]]&lt;&gt;0,"EMITIDA",Tabla6[[#This Row],[ID FACTURA]]=0,"POR EMITIR")</f>
        <v>POR EMITIR</v>
      </c>
      <c r="M2897" s="55" t="str">
        <f>+IF(Tabla6[[#This Row],[ESTADO FACTURA]]="PAGADA",Tabla6[[#This Row],[FECHA]]-_xlfn.XLOOKUP(Tabla6[[#This Row],[N° FACTURA]],INGRESOS!F:F,INGRESOS!A:A),"-")</f>
        <v>-</v>
      </c>
      <c r="N2897" s="2"/>
      <c r="O2897"/>
    </row>
    <row r="2898" spans="1:15">
      <c r="A2898" s="320" t="s">
        <v>762</v>
      </c>
      <c r="B2898" t="str">
        <f>+_xlfn.XLOOKUP(Tabla6[[#This Row],[ID CLIENTE]],'RESUMEN CLIENTES'!D:D,'RESUMEN CLIENTES'!A:A)</f>
        <v>María Stefania Gelvez Olaya</v>
      </c>
      <c r="C2898" t="str">
        <f>+_xlfn.XLOOKUP(Tabla6[[#This Row],[ID CLIENTE]],'RESUMEN CLIENTES'!D:D,'RESUMEN CLIENTES'!C:C)</f>
        <v>Colombia</v>
      </c>
      <c r="D2898" s="44" t="str">
        <f>+_xlfn.XLOOKUP(Tabla6[[#This Row],[ID CLIENTE]],'RESUMEN CLIENTES'!D:D,'RESUMEN CLIENTES'!M:M)</f>
        <v>OK</v>
      </c>
      <c r="E2898" s="72">
        <f>+_xlfn.XLOOKUP(Tabla6[[#This Row],[NOMBRE]],'RESUMEN CLIENTES'!A:A,'RESUMEN CLIENTES'!X:X)</f>
        <v>-0.14285714285714285</v>
      </c>
      <c r="F2898" s="72">
        <f>+_xlfn.XLOOKUP(Tabla6[[#This Row],[ID CLIENTE]],'RESUMEN CLIENTES'!D:D,'RESUMEN CLIENTES'!W:W)</f>
        <v>1</v>
      </c>
      <c r="G2898" s="17" t="str">
        <f>IF($H2898&lt;&gt;"ALEM","",IFERROR(
  DATE(
    YEAR(EDATE(
      _xlfn.XLOOKUP($A2898,'RESUMEN CLIENTES'!$D:$D,'RESUMEN CLIENTES'!$Y:$Y,""),
      7 + COUNTIFS(
            $A$2:INDEX($A:$A,ROW()), $A2898,
            $H$2:INDEX($H:$H,ROW()), "ALEM"
          )
    )),
    MONTH(EDATE(
      _xlfn.XLOOKUP($A2898,'RESUMEN CLIENTES'!$D:$D,'RESUMEN CLIENTES'!$Y:$Y,""),
      7 + COUNTIFS(
            $A$2:INDEX($A:$A,ROW()), $A2898,
            $H$2:INDEX($H:$H,ROW()), "ALEM"
          )
    )),
    1
  ),
"null"))</f>
        <v>null</v>
      </c>
      <c r="H2898" s="44" t="s">
        <v>1876</v>
      </c>
      <c r="I2898" s="2">
        <v>1000</v>
      </c>
      <c r="J2898"/>
      <c r="K2898"/>
      <c r="L2898" s="44" t="str" cm="1">
        <f t="array" ref="L2898">+_xlfn.IFS(COUNTIF(INGRESOS!E:E,Tabla6[[#This Row],[ID FACTURA]])=1,"PAGADA",Tabla6[[#This Row],[ID FACTURA]]&lt;&gt;0,"EMITIDA",Tabla6[[#This Row],[ID FACTURA]]=0,"POR EMITIR")</f>
        <v>POR EMITIR</v>
      </c>
      <c r="M2898" s="55" t="str">
        <f>+IF(Tabla6[[#This Row],[ESTADO FACTURA]]="PAGADA",Tabla6[[#This Row],[FECHA]]-_xlfn.XLOOKUP(Tabla6[[#This Row],[N° FACTURA]],INGRESOS!F:F,INGRESOS!A:A),"-")</f>
        <v>-</v>
      </c>
      <c r="N2898" s="2"/>
      <c r="O2898"/>
    </row>
    <row r="2899" spans="1:15">
      <c r="A2899" s="320" t="s">
        <v>762</v>
      </c>
      <c r="B2899" t="str">
        <f>+_xlfn.XLOOKUP(Tabla6[[#This Row],[ID CLIENTE]],'RESUMEN CLIENTES'!D:D,'RESUMEN CLIENTES'!A:A)</f>
        <v>María Stefania Gelvez Olaya</v>
      </c>
      <c r="C2899" t="str">
        <f>+_xlfn.XLOOKUP(Tabla6[[#This Row],[ID CLIENTE]],'RESUMEN CLIENTES'!D:D,'RESUMEN CLIENTES'!C:C)</f>
        <v>Colombia</v>
      </c>
      <c r="D2899" s="44" t="str">
        <f>+_xlfn.XLOOKUP(Tabla6[[#This Row],[ID CLIENTE]],'RESUMEN CLIENTES'!D:D,'RESUMEN CLIENTES'!M:M)</f>
        <v>OK</v>
      </c>
      <c r="E2899" s="72">
        <f>+_xlfn.XLOOKUP(Tabla6[[#This Row],[NOMBRE]],'RESUMEN CLIENTES'!A:A,'RESUMEN CLIENTES'!X:X)</f>
        <v>-0.14285714285714285</v>
      </c>
      <c r="F2899" s="72">
        <f>+_xlfn.XLOOKUP(Tabla6[[#This Row],[ID CLIENTE]],'RESUMEN CLIENTES'!D:D,'RESUMEN CLIENTES'!W:W)</f>
        <v>1</v>
      </c>
      <c r="G2899" s="17" t="str">
        <f>IF($H2899&lt;&gt;"ALEM","",IFERROR(
  DATE(
    YEAR(EDATE(
      _xlfn.XLOOKUP($A2899,'RESUMEN CLIENTES'!$D:$D,'RESUMEN CLIENTES'!$Y:$Y,""),
      7 + COUNTIFS(
            $A$2:INDEX($A:$A,ROW()), $A2899,
            $H$2:INDEX($H:$H,ROW()), "ALEM"
          )
    )),
    MONTH(EDATE(
      _xlfn.XLOOKUP($A2899,'RESUMEN CLIENTES'!$D:$D,'RESUMEN CLIENTES'!$Y:$Y,""),
      7 + COUNTIFS(
            $A$2:INDEX($A:$A,ROW()), $A2899,
            $H$2:INDEX($H:$H,ROW()), "ALEM"
          )
    )),
    1
  ),
"null"))</f>
        <v>null</v>
      </c>
      <c r="H2899" s="44" t="s">
        <v>1876</v>
      </c>
      <c r="I2899" s="2">
        <v>1000</v>
      </c>
      <c r="J2899"/>
      <c r="K2899"/>
      <c r="L2899" s="44" t="str" cm="1">
        <f t="array" ref="L2899">+_xlfn.IFS(COUNTIF(INGRESOS!E:E,Tabla6[[#This Row],[ID FACTURA]])=1,"PAGADA",Tabla6[[#This Row],[ID FACTURA]]&lt;&gt;0,"EMITIDA",Tabla6[[#This Row],[ID FACTURA]]=0,"POR EMITIR")</f>
        <v>POR EMITIR</v>
      </c>
      <c r="M2899" s="55" t="str">
        <f>+IF(Tabla6[[#This Row],[ESTADO FACTURA]]="PAGADA",Tabla6[[#This Row],[FECHA]]-_xlfn.XLOOKUP(Tabla6[[#This Row],[N° FACTURA]],INGRESOS!F:F,INGRESOS!A:A),"-")</f>
        <v>-</v>
      </c>
      <c r="N2899" s="2"/>
      <c r="O2899"/>
    </row>
    <row r="2900" spans="1:15">
      <c r="A2900" s="320" t="s">
        <v>762</v>
      </c>
      <c r="B2900" t="str">
        <f>+_xlfn.XLOOKUP(Tabla6[[#This Row],[ID CLIENTE]],'RESUMEN CLIENTES'!D:D,'RESUMEN CLIENTES'!A:A)</f>
        <v>María Stefania Gelvez Olaya</v>
      </c>
      <c r="C2900" t="str">
        <f>+_xlfn.XLOOKUP(Tabla6[[#This Row],[ID CLIENTE]],'RESUMEN CLIENTES'!D:D,'RESUMEN CLIENTES'!C:C)</f>
        <v>Colombia</v>
      </c>
      <c r="D2900" s="44" t="str">
        <f>+_xlfn.XLOOKUP(Tabla6[[#This Row],[ID CLIENTE]],'RESUMEN CLIENTES'!D:D,'RESUMEN CLIENTES'!M:M)</f>
        <v>OK</v>
      </c>
      <c r="E2900" s="72">
        <f>+_xlfn.XLOOKUP(Tabla6[[#This Row],[NOMBRE]],'RESUMEN CLIENTES'!A:A,'RESUMEN CLIENTES'!X:X)</f>
        <v>-0.14285714285714285</v>
      </c>
      <c r="F2900" s="72">
        <f>+_xlfn.XLOOKUP(Tabla6[[#This Row],[ID CLIENTE]],'RESUMEN CLIENTES'!D:D,'RESUMEN CLIENTES'!W:W)</f>
        <v>1</v>
      </c>
      <c r="G2900" s="17" t="str">
        <f>IF($H2900&lt;&gt;"ALEM","",IFERROR(
  DATE(
    YEAR(EDATE(
      _xlfn.XLOOKUP($A2900,'RESUMEN CLIENTES'!$D:$D,'RESUMEN CLIENTES'!$Y:$Y,""),
      7 + COUNTIFS(
            $A$2:INDEX($A:$A,ROW()), $A2900,
            $H$2:INDEX($H:$H,ROW()), "ALEM"
          )
    )),
    MONTH(EDATE(
      _xlfn.XLOOKUP($A2900,'RESUMEN CLIENTES'!$D:$D,'RESUMEN CLIENTES'!$Y:$Y,""),
      7 + COUNTIFS(
            $A$2:INDEX($A:$A,ROW()), $A2900,
            $H$2:INDEX($H:$H,ROW()), "ALEM"
          )
    )),
    1
  ),
"null"))</f>
        <v>null</v>
      </c>
      <c r="H2900" s="44" t="s">
        <v>1876</v>
      </c>
      <c r="I2900" s="2">
        <v>1000</v>
      </c>
      <c r="J2900"/>
      <c r="K2900"/>
      <c r="L2900" s="44" t="str" cm="1">
        <f t="array" ref="L2900">+_xlfn.IFS(COUNTIF(INGRESOS!E:E,Tabla6[[#This Row],[ID FACTURA]])=1,"PAGADA",Tabla6[[#This Row],[ID FACTURA]]&lt;&gt;0,"EMITIDA",Tabla6[[#This Row],[ID FACTURA]]=0,"POR EMITIR")</f>
        <v>POR EMITIR</v>
      </c>
      <c r="M2900" s="55" t="str">
        <f>+IF(Tabla6[[#This Row],[ESTADO FACTURA]]="PAGADA",Tabla6[[#This Row],[FECHA]]-_xlfn.XLOOKUP(Tabla6[[#This Row],[N° FACTURA]],INGRESOS!F:F,INGRESOS!A:A),"-")</f>
        <v>-</v>
      </c>
      <c r="N2900" s="2"/>
      <c r="O2900"/>
    </row>
    <row r="2901" spans="1:15">
      <c r="A2901" s="320" t="s">
        <v>762</v>
      </c>
      <c r="B2901" t="str">
        <f>+_xlfn.XLOOKUP(Tabla6[[#This Row],[ID CLIENTE]],'RESUMEN CLIENTES'!D:D,'RESUMEN CLIENTES'!A:A)</f>
        <v>María Stefania Gelvez Olaya</v>
      </c>
      <c r="C2901" t="str">
        <f>+_xlfn.XLOOKUP(Tabla6[[#This Row],[ID CLIENTE]],'RESUMEN CLIENTES'!D:D,'RESUMEN CLIENTES'!C:C)</f>
        <v>Colombia</v>
      </c>
      <c r="D2901" s="44" t="str">
        <f>+_xlfn.XLOOKUP(Tabla6[[#This Row],[ID CLIENTE]],'RESUMEN CLIENTES'!D:D,'RESUMEN CLIENTES'!M:M)</f>
        <v>OK</v>
      </c>
      <c r="E2901" s="72">
        <f>+_xlfn.XLOOKUP(Tabla6[[#This Row],[NOMBRE]],'RESUMEN CLIENTES'!A:A,'RESUMEN CLIENTES'!X:X)</f>
        <v>-0.14285714285714285</v>
      </c>
      <c r="F2901" s="72">
        <f>+_xlfn.XLOOKUP(Tabla6[[#This Row],[ID CLIENTE]],'RESUMEN CLIENTES'!D:D,'RESUMEN CLIENTES'!W:W)</f>
        <v>1</v>
      </c>
      <c r="G2901" s="17" t="str">
        <f>IF($H2901&lt;&gt;"ALEM","",IFERROR(
  DATE(
    YEAR(EDATE(
      _xlfn.XLOOKUP($A2901,'RESUMEN CLIENTES'!$D:$D,'RESUMEN CLIENTES'!$Y:$Y,""),
      7 + COUNTIFS(
            $A$2:INDEX($A:$A,ROW()), $A2901,
            $H$2:INDEX($H:$H,ROW()), "ALEM"
          )
    )),
    MONTH(EDATE(
      _xlfn.XLOOKUP($A2901,'RESUMEN CLIENTES'!$D:$D,'RESUMEN CLIENTES'!$Y:$Y,""),
      7 + COUNTIFS(
            $A$2:INDEX($A:$A,ROW()), $A2901,
            $H$2:INDEX($H:$H,ROW()), "ALEM"
          )
    )),
    1
  ),
"null"))</f>
        <v>null</v>
      </c>
      <c r="H2901" s="44" t="s">
        <v>1876</v>
      </c>
      <c r="I2901" s="2">
        <v>1000</v>
      </c>
      <c r="J2901"/>
      <c r="K2901"/>
      <c r="L2901" s="44" t="str" cm="1">
        <f t="array" ref="L2901">+_xlfn.IFS(COUNTIF(INGRESOS!E:E,Tabla6[[#This Row],[ID FACTURA]])=1,"PAGADA",Tabla6[[#This Row],[ID FACTURA]]&lt;&gt;0,"EMITIDA",Tabla6[[#This Row],[ID FACTURA]]=0,"POR EMITIR")</f>
        <v>POR EMITIR</v>
      </c>
      <c r="M2901" s="55" t="str">
        <f>+IF(Tabla6[[#This Row],[ESTADO FACTURA]]="PAGADA",Tabla6[[#This Row],[FECHA]]-_xlfn.XLOOKUP(Tabla6[[#This Row],[N° FACTURA]],INGRESOS!F:F,INGRESOS!A:A),"-")</f>
        <v>-</v>
      </c>
      <c r="N2901" s="2"/>
      <c r="O2901"/>
    </row>
    <row r="2902" spans="1:15">
      <c r="A2902" s="320" t="s">
        <v>762</v>
      </c>
      <c r="B2902" t="str">
        <f>+_xlfn.XLOOKUP(Tabla6[[#This Row],[ID CLIENTE]],'RESUMEN CLIENTES'!D:D,'RESUMEN CLIENTES'!A:A)</f>
        <v>María Stefania Gelvez Olaya</v>
      </c>
      <c r="C2902" t="str">
        <f>+_xlfn.XLOOKUP(Tabla6[[#This Row],[ID CLIENTE]],'RESUMEN CLIENTES'!D:D,'RESUMEN CLIENTES'!C:C)</f>
        <v>Colombia</v>
      </c>
      <c r="D2902" s="44" t="str">
        <f>+_xlfn.XLOOKUP(Tabla6[[#This Row],[ID CLIENTE]],'RESUMEN CLIENTES'!D:D,'RESUMEN CLIENTES'!M:M)</f>
        <v>OK</v>
      </c>
      <c r="E2902" s="72">
        <f>+_xlfn.XLOOKUP(Tabla6[[#This Row],[NOMBRE]],'RESUMEN CLIENTES'!A:A,'RESUMEN CLIENTES'!X:X)</f>
        <v>-0.14285714285714285</v>
      </c>
      <c r="F2902" s="72">
        <f>+_xlfn.XLOOKUP(Tabla6[[#This Row],[ID CLIENTE]],'RESUMEN CLIENTES'!D:D,'RESUMEN CLIENTES'!W:W)</f>
        <v>1</v>
      </c>
      <c r="G2902" s="17" t="str">
        <f>IF($H2902&lt;&gt;"ALEM","",IFERROR(
  DATE(
    YEAR(EDATE(
      _xlfn.XLOOKUP($A2902,'RESUMEN CLIENTES'!$D:$D,'RESUMEN CLIENTES'!$Y:$Y,""),
      7 + COUNTIFS(
            $A$2:INDEX($A:$A,ROW()), $A2902,
            $H$2:INDEX($H:$H,ROW()), "ALEM"
          )
    )),
    MONTH(EDATE(
      _xlfn.XLOOKUP($A2902,'RESUMEN CLIENTES'!$D:$D,'RESUMEN CLIENTES'!$Y:$Y,""),
      7 + COUNTIFS(
            $A$2:INDEX($A:$A,ROW()), $A2902,
            $H$2:INDEX($H:$H,ROW()), "ALEM"
          )
    )),
    1
  ),
"null"))</f>
        <v>null</v>
      </c>
      <c r="H2902" s="44" t="s">
        <v>1876</v>
      </c>
      <c r="I2902" s="2">
        <v>1000</v>
      </c>
      <c r="J2902"/>
      <c r="K2902"/>
      <c r="L2902" s="44" t="str" cm="1">
        <f t="array" ref="L2902">+_xlfn.IFS(COUNTIF(INGRESOS!E:E,Tabla6[[#This Row],[ID FACTURA]])=1,"PAGADA",Tabla6[[#This Row],[ID FACTURA]]&lt;&gt;0,"EMITIDA",Tabla6[[#This Row],[ID FACTURA]]=0,"POR EMITIR")</f>
        <v>POR EMITIR</v>
      </c>
      <c r="M2902" s="55" t="str">
        <f>+IF(Tabla6[[#This Row],[ESTADO FACTURA]]="PAGADA",Tabla6[[#This Row],[FECHA]]-_xlfn.XLOOKUP(Tabla6[[#This Row],[N° FACTURA]],INGRESOS!F:F,INGRESOS!A:A),"-")</f>
        <v>-</v>
      </c>
      <c r="N2902" s="2"/>
      <c r="O2902"/>
    </row>
    <row r="2903" spans="1:15">
      <c r="A2903" s="320" t="s">
        <v>762</v>
      </c>
      <c r="B2903" t="str">
        <f>+_xlfn.XLOOKUP(Tabla6[[#This Row],[ID CLIENTE]],'RESUMEN CLIENTES'!D:D,'RESUMEN CLIENTES'!A:A)</f>
        <v>María Stefania Gelvez Olaya</v>
      </c>
      <c r="C2903" t="str">
        <f>+_xlfn.XLOOKUP(Tabla6[[#This Row],[ID CLIENTE]],'RESUMEN CLIENTES'!D:D,'RESUMEN CLIENTES'!C:C)</f>
        <v>Colombia</v>
      </c>
      <c r="D2903" s="44" t="str">
        <f>+_xlfn.XLOOKUP(Tabla6[[#This Row],[ID CLIENTE]],'RESUMEN CLIENTES'!D:D,'RESUMEN CLIENTES'!M:M)</f>
        <v>OK</v>
      </c>
      <c r="E2903" s="72">
        <f>+_xlfn.XLOOKUP(Tabla6[[#This Row],[NOMBRE]],'RESUMEN CLIENTES'!A:A,'RESUMEN CLIENTES'!X:X)</f>
        <v>-0.14285714285714285</v>
      </c>
      <c r="F2903" s="72">
        <f>+_xlfn.XLOOKUP(Tabla6[[#This Row],[ID CLIENTE]],'RESUMEN CLIENTES'!D:D,'RESUMEN CLIENTES'!W:W)</f>
        <v>1</v>
      </c>
      <c r="G2903" s="17" t="str">
        <f>IF($H2903&lt;&gt;"ALEM","",IFERROR(
  DATE(
    YEAR(EDATE(
      _xlfn.XLOOKUP($A2903,'RESUMEN CLIENTES'!$D:$D,'RESUMEN CLIENTES'!$Y:$Y,""),
      7 + COUNTIFS(
            $A$2:INDEX($A:$A,ROW()), $A2903,
            $H$2:INDEX($H:$H,ROW()), "ALEM"
          )
    )),
    MONTH(EDATE(
      _xlfn.XLOOKUP($A2903,'RESUMEN CLIENTES'!$D:$D,'RESUMEN CLIENTES'!$Y:$Y,""),
      7 + COUNTIFS(
            $A$2:INDEX($A:$A,ROW()), $A2903,
            $H$2:INDEX($H:$H,ROW()), "ALEM"
          )
    )),
    1
  ),
"null"))</f>
        <v>null</v>
      </c>
      <c r="H2903" s="44" t="s">
        <v>1876</v>
      </c>
      <c r="I2903" s="2">
        <v>1000</v>
      </c>
      <c r="J2903"/>
      <c r="K2903"/>
      <c r="L2903" s="44" t="str" cm="1">
        <f t="array" ref="L2903">+_xlfn.IFS(COUNTIF(INGRESOS!E:E,Tabla6[[#This Row],[ID FACTURA]])=1,"PAGADA",Tabla6[[#This Row],[ID FACTURA]]&lt;&gt;0,"EMITIDA",Tabla6[[#This Row],[ID FACTURA]]=0,"POR EMITIR")</f>
        <v>POR EMITIR</v>
      </c>
      <c r="M2903" s="55" t="str">
        <f>+IF(Tabla6[[#This Row],[ESTADO FACTURA]]="PAGADA",Tabla6[[#This Row],[FECHA]]-_xlfn.XLOOKUP(Tabla6[[#This Row],[N° FACTURA]],INGRESOS!F:F,INGRESOS!A:A),"-")</f>
        <v>-</v>
      </c>
      <c r="N2903" s="2"/>
      <c r="O2903"/>
    </row>
    <row r="2904" spans="1:15">
      <c r="A2904" s="320" t="s">
        <v>1155</v>
      </c>
      <c r="B2904" t="str">
        <f>+_xlfn.XLOOKUP(Tabla6[[#This Row],[ID CLIENTE]],'RESUMEN CLIENTES'!D:D,'RESUMEN CLIENTES'!A:A)</f>
        <v>Mario Arciga Casián</v>
      </c>
      <c r="C2904" t="str">
        <f>+_xlfn.XLOOKUP(Tabla6[[#This Row],[ID CLIENTE]],'RESUMEN CLIENTES'!D:D,'RESUMEN CLIENTES'!C:C)</f>
        <v>México</v>
      </c>
      <c r="D2904" s="44" t="str">
        <f>+_xlfn.XLOOKUP(Tabla6[[#This Row],[ID CLIENTE]],'RESUMEN CLIENTES'!D:D,'RESUMEN CLIENTES'!M:M)</f>
        <v>OK</v>
      </c>
      <c r="E2904" s="72">
        <f>+_xlfn.XLOOKUP(Tabla6[[#This Row],[NOMBRE]],'RESUMEN CLIENTES'!A:A,'RESUMEN CLIENTES'!X:X)</f>
        <v>-0.66666666666666663</v>
      </c>
      <c r="F2904" s="72">
        <f>+_xlfn.XLOOKUP(Tabla6[[#This Row],[ID CLIENTE]],'RESUMEN CLIENTES'!D:D,'RESUMEN CLIENTES'!W:W)</f>
        <v>1</v>
      </c>
      <c r="G2904" s="17" t="s">
        <v>2093</v>
      </c>
      <c r="H2904" s="44" t="s">
        <v>1669</v>
      </c>
      <c r="I2904" s="2">
        <v>3000</v>
      </c>
      <c r="J2904"/>
      <c r="K2904"/>
      <c r="L2904" s="44" t="str" cm="1">
        <f t="array" ref="L2904">+_xlfn.IFS(COUNTIF(INGRESOS!E:E,Tabla6[[#This Row],[ID FACTURA]])=1,"PAGADA",Tabla6[[#This Row],[ID FACTURA]]&lt;&gt;0,"EMITIDA",Tabla6[[#This Row],[ID FACTURA]]=0,"POR EMITIR")</f>
        <v>POR EMITIR</v>
      </c>
      <c r="M2904" s="55" t="str">
        <f>+IF(Tabla6[[#This Row],[ESTADO FACTURA]]="PAGADA",Tabla6[[#This Row],[FECHA]]-_xlfn.XLOOKUP(Tabla6[[#This Row],[N° FACTURA]],INGRESOS!F:F,INGRESOS!A:A),"-")</f>
        <v>-</v>
      </c>
      <c r="N2904" s="2"/>
      <c r="O2904"/>
    </row>
    <row r="2905" spans="1:15">
      <c r="A2905" s="320" t="s">
        <v>200</v>
      </c>
      <c r="B2905" t="str">
        <f>+_xlfn.XLOOKUP(Tabla6[[#This Row],[ID CLIENTE]],'RESUMEN CLIENTES'!D:D,'RESUMEN CLIENTES'!A:A)</f>
        <v>Mateo Gabriel Martinez Dávila</v>
      </c>
      <c r="C2905" t="str">
        <f>+_xlfn.XLOOKUP(Tabla6[[#This Row],[ID CLIENTE]],'RESUMEN CLIENTES'!D:D,'RESUMEN CLIENTES'!C:C)</f>
        <v>Bolivia</v>
      </c>
      <c r="D2905" s="169" t="str">
        <f>+_xlfn.XLOOKUP(Tabla6[[#This Row],[ID CLIENTE]],'RESUMEN CLIENTES'!D:D,'RESUMEN CLIENTES'!M:M)</f>
        <v>OK</v>
      </c>
      <c r="E2905" s="71">
        <f>+_xlfn.XLOOKUP(Tabla6[[#This Row],[NOMBRE]],'RESUMEN CLIENTES'!A:A,'RESUMEN CLIENTES'!X:X)</f>
        <v>-0.5</v>
      </c>
      <c r="F2905" s="71">
        <f>+_xlfn.XLOOKUP(Tabla6[[#This Row],[ID CLIENTE]],'RESUMEN CLIENTES'!D:D,'RESUMEN CLIENTES'!W:W)</f>
        <v>0</v>
      </c>
      <c r="G2905" s="17" t="str">
        <f>IF($H2905&lt;&gt;"ALEM","",IFERROR(
  DATE(
    YEAR(EDATE(
      _xlfn.XLOOKUP($A2905,'RESUMEN CLIENTES'!$D:$D,'RESUMEN CLIENTES'!$Y:$Y,""),
      7 + COUNTIFS(
            $A$2:INDEX($A:$A,ROW()), $A2905,
            $H$2:INDEX($H:$H,ROW()), "ALEM"
          )
    )),
    MONTH(EDATE(
      _xlfn.XLOOKUP($A2905,'RESUMEN CLIENTES'!$D:$D,'RESUMEN CLIENTES'!$Y:$Y,""),
      7 + COUNTIFS(
            $A$2:INDEX($A:$A,ROW()), $A2905,
            $H$2:INDEX($H:$H,ROW()), "ALEM"
          )
    )),
    1
  ),
"null"))</f>
        <v>null</v>
      </c>
      <c r="H2905" s="169" t="s">
        <v>1876</v>
      </c>
      <c r="I2905" s="2">
        <v>1000</v>
      </c>
      <c r="J2905"/>
      <c r="K2905"/>
      <c r="L2905" s="44" t="str" cm="1">
        <f t="array" ref="L2905">+_xlfn.IFS(COUNTIF(INGRESOS!E:E,Tabla6[[#This Row],[ID FACTURA]])=1,"PAGADA",Tabla6[[#This Row],[ID FACTURA]]&lt;&gt;0,"EMITIDA",Tabla6[[#This Row],[ID FACTURA]]=0,"POR EMITIR")</f>
        <v>POR EMITIR</v>
      </c>
      <c r="M2905" s="54" t="str">
        <f>+IF(Tabla6[[#This Row],[ESTADO FACTURA]]="PAGADA",Tabla6[[#This Row],[FECHA]]-_xlfn.XLOOKUP(Tabla6[[#This Row],[N° FACTURA]],INGRESOS!F:F,INGRESOS!A:A),"-")</f>
        <v>-</v>
      </c>
      <c r="O2905"/>
    </row>
    <row r="2906" spans="1:15">
      <c r="A2906" s="320" t="s">
        <v>200</v>
      </c>
      <c r="B2906" t="str">
        <f>+_xlfn.XLOOKUP(Tabla6[[#This Row],[ID CLIENTE]],'RESUMEN CLIENTES'!D:D,'RESUMEN CLIENTES'!A:A)</f>
        <v>Mateo Gabriel Martinez Dávila</v>
      </c>
      <c r="C2906" t="str">
        <f>+_xlfn.XLOOKUP(Tabla6[[#This Row],[ID CLIENTE]],'RESUMEN CLIENTES'!D:D,'RESUMEN CLIENTES'!C:C)</f>
        <v>Bolivia</v>
      </c>
      <c r="D2906" s="169" t="str">
        <f>+_xlfn.XLOOKUP(Tabla6[[#This Row],[ID CLIENTE]],'RESUMEN CLIENTES'!D:D,'RESUMEN CLIENTES'!M:M)</f>
        <v>OK</v>
      </c>
      <c r="E2906" s="71">
        <f>+_xlfn.XLOOKUP(Tabla6[[#This Row],[NOMBRE]],'RESUMEN CLIENTES'!A:A,'RESUMEN CLIENTES'!X:X)</f>
        <v>-0.5</v>
      </c>
      <c r="F2906" s="71">
        <f>+_xlfn.XLOOKUP(Tabla6[[#This Row],[ID CLIENTE]],'RESUMEN CLIENTES'!D:D,'RESUMEN CLIENTES'!W:W)</f>
        <v>0</v>
      </c>
      <c r="G2906" s="17" t="str">
        <f>IF($H2906&lt;&gt;"ALEM","",IFERROR(
  DATE(
    YEAR(EDATE(
      _xlfn.XLOOKUP($A2906,'RESUMEN CLIENTES'!$D:$D,'RESUMEN CLIENTES'!$Y:$Y,""),
      7 + COUNTIFS(
            $A$2:INDEX($A:$A,ROW()), $A2906,
            $H$2:INDEX($H:$H,ROW()), "ALEM"
          )
    )),
    MONTH(EDATE(
      _xlfn.XLOOKUP($A2906,'RESUMEN CLIENTES'!$D:$D,'RESUMEN CLIENTES'!$Y:$Y,""),
      7 + COUNTIFS(
            $A$2:INDEX($A:$A,ROW()), $A2906,
            $H$2:INDEX($H:$H,ROW()), "ALEM"
          )
    )),
    1
  ),
"null"))</f>
        <v>null</v>
      </c>
      <c r="H2906" s="169" t="s">
        <v>1876</v>
      </c>
      <c r="I2906" s="2">
        <v>1000</v>
      </c>
      <c r="J2906"/>
      <c r="K2906"/>
      <c r="L2906" s="44" t="str" cm="1">
        <f t="array" ref="L2906">+_xlfn.IFS(COUNTIF(INGRESOS!E:E,Tabla6[[#This Row],[ID FACTURA]])=1,"PAGADA",Tabla6[[#This Row],[ID FACTURA]]&lt;&gt;0,"EMITIDA",Tabla6[[#This Row],[ID FACTURA]]=0,"POR EMITIR")</f>
        <v>POR EMITIR</v>
      </c>
      <c r="M2906" s="54" t="str">
        <f>+IF(Tabla6[[#This Row],[ESTADO FACTURA]]="PAGADA",Tabla6[[#This Row],[FECHA]]-_xlfn.XLOOKUP(Tabla6[[#This Row],[N° FACTURA]],INGRESOS!F:F,INGRESOS!A:A),"-")</f>
        <v>-</v>
      </c>
      <c r="O2906"/>
    </row>
    <row r="2907" spans="1:15">
      <c r="A2907" s="320" t="s">
        <v>200</v>
      </c>
      <c r="B2907" t="str">
        <f>+_xlfn.XLOOKUP(Tabla6[[#This Row],[ID CLIENTE]],'RESUMEN CLIENTES'!D:D,'RESUMEN CLIENTES'!A:A)</f>
        <v>Mateo Gabriel Martinez Dávila</v>
      </c>
      <c r="C2907" t="str">
        <f>+_xlfn.XLOOKUP(Tabla6[[#This Row],[ID CLIENTE]],'RESUMEN CLIENTES'!D:D,'RESUMEN CLIENTES'!C:C)</f>
        <v>Bolivia</v>
      </c>
      <c r="D2907" s="169" t="str">
        <f>+_xlfn.XLOOKUP(Tabla6[[#This Row],[ID CLIENTE]],'RESUMEN CLIENTES'!D:D,'RESUMEN CLIENTES'!M:M)</f>
        <v>OK</v>
      </c>
      <c r="E2907" s="71">
        <f>+_xlfn.XLOOKUP(Tabla6[[#This Row],[NOMBRE]],'RESUMEN CLIENTES'!A:A,'RESUMEN CLIENTES'!X:X)</f>
        <v>-0.5</v>
      </c>
      <c r="F2907" s="71">
        <f>+_xlfn.XLOOKUP(Tabla6[[#This Row],[ID CLIENTE]],'RESUMEN CLIENTES'!D:D,'RESUMEN CLIENTES'!W:W)</f>
        <v>0</v>
      </c>
      <c r="G2907" s="17" t="str">
        <f>IF($H2907&lt;&gt;"ALEM","",IFERROR(
  DATE(
    YEAR(EDATE(
      _xlfn.XLOOKUP($A2907,'RESUMEN CLIENTES'!$D:$D,'RESUMEN CLIENTES'!$Y:$Y,""),
      7 + COUNTIFS(
            $A$2:INDEX($A:$A,ROW()), $A2907,
            $H$2:INDEX($H:$H,ROW()), "ALEM"
          )
    )),
    MONTH(EDATE(
      _xlfn.XLOOKUP($A2907,'RESUMEN CLIENTES'!$D:$D,'RESUMEN CLIENTES'!$Y:$Y,""),
      7 + COUNTIFS(
            $A$2:INDEX($A:$A,ROW()), $A2907,
            $H$2:INDEX($H:$H,ROW()), "ALEM"
          )
    )),
    1
  ),
"null"))</f>
        <v>null</v>
      </c>
      <c r="H2907" s="169" t="s">
        <v>1876</v>
      </c>
      <c r="I2907" s="2">
        <v>1000</v>
      </c>
      <c r="J2907"/>
      <c r="K2907"/>
      <c r="L2907" s="44" t="str" cm="1">
        <f t="array" ref="L2907">+_xlfn.IFS(COUNTIF(INGRESOS!E:E,Tabla6[[#This Row],[ID FACTURA]])=1,"PAGADA",Tabla6[[#This Row],[ID FACTURA]]&lt;&gt;0,"EMITIDA",Tabla6[[#This Row],[ID FACTURA]]=0,"POR EMITIR")</f>
        <v>POR EMITIR</v>
      </c>
      <c r="M2907" s="54" t="str">
        <f>+IF(Tabla6[[#This Row],[ESTADO FACTURA]]="PAGADA",Tabla6[[#This Row],[FECHA]]-_xlfn.XLOOKUP(Tabla6[[#This Row],[N° FACTURA]],INGRESOS!F:F,INGRESOS!A:A),"-")</f>
        <v>-</v>
      </c>
      <c r="O2907"/>
    </row>
    <row r="2908" spans="1:15">
      <c r="A2908" s="320" t="s">
        <v>200</v>
      </c>
      <c r="B2908" t="str">
        <f>+_xlfn.XLOOKUP(Tabla6[[#This Row],[ID CLIENTE]],'RESUMEN CLIENTES'!D:D,'RESUMEN CLIENTES'!A:A)</f>
        <v>Mateo Gabriel Martinez Dávila</v>
      </c>
      <c r="C2908" t="str">
        <f>+_xlfn.XLOOKUP(Tabla6[[#This Row],[ID CLIENTE]],'RESUMEN CLIENTES'!D:D,'RESUMEN CLIENTES'!C:C)</f>
        <v>Bolivia</v>
      </c>
      <c r="D2908" s="169" t="str">
        <f>+_xlfn.XLOOKUP(Tabla6[[#This Row],[ID CLIENTE]],'RESUMEN CLIENTES'!D:D,'RESUMEN CLIENTES'!M:M)</f>
        <v>OK</v>
      </c>
      <c r="E2908" s="71">
        <f>+_xlfn.XLOOKUP(Tabla6[[#This Row],[NOMBRE]],'RESUMEN CLIENTES'!A:A,'RESUMEN CLIENTES'!X:X)</f>
        <v>-0.5</v>
      </c>
      <c r="F2908" s="71">
        <f>+_xlfn.XLOOKUP(Tabla6[[#This Row],[ID CLIENTE]],'RESUMEN CLIENTES'!D:D,'RESUMEN CLIENTES'!W:W)</f>
        <v>0</v>
      </c>
      <c r="G2908" s="17" t="str">
        <f>IF($H2908&lt;&gt;"ALEM","",IFERROR(
  DATE(
    YEAR(EDATE(
      _xlfn.XLOOKUP($A2908,'RESUMEN CLIENTES'!$D:$D,'RESUMEN CLIENTES'!$Y:$Y,""),
      7 + COUNTIFS(
            $A$2:INDEX($A:$A,ROW()), $A2908,
            $H$2:INDEX($H:$H,ROW()), "ALEM"
          )
    )),
    MONTH(EDATE(
      _xlfn.XLOOKUP($A2908,'RESUMEN CLIENTES'!$D:$D,'RESUMEN CLIENTES'!$Y:$Y,""),
      7 + COUNTIFS(
            $A$2:INDEX($A:$A,ROW()), $A2908,
            $H$2:INDEX($H:$H,ROW()), "ALEM"
          )
    )),
    1
  ),
"null"))</f>
        <v>null</v>
      </c>
      <c r="H2908" s="169" t="s">
        <v>1876</v>
      </c>
      <c r="I2908" s="2">
        <v>1000</v>
      </c>
      <c r="J2908"/>
      <c r="K2908"/>
      <c r="L2908" s="44" t="str" cm="1">
        <f t="array" ref="L2908">+_xlfn.IFS(COUNTIF(INGRESOS!E:E,Tabla6[[#This Row],[ID FACTURA]])=1,"PAGADA",Tabla6[[#This Row],[ID FACTURA]]&lt;&gt;0,"EMITIDA",Tabla6[[#This Row],[ID FACTURA]]=0,"POR EMITIR")</f>
        <v>POR EMITIR</v>
      </c>
      <c r="M2908" s="54" t="str">
        <f>+IF(Tabla6[[#This Row],[ESTADO FACTURA]]="PAGADA",Tabla6[[#This Row],[FECHA]]-_xlfn.XLOOKUP(Tabla6[[#This Row],[N° FACTURA]],INGRESOS!F:F,INGRESOS!A:A),"-")</f>
        <v>-</v>
      </c>
      <c r="O2908"/>
    </row>
    <row r="2909" spans="1:15">
      <c r="A2909" s="320" t="s">
        <v>200</v>
      </c>
      <c r="B2909" t="str">
        <f>+_xlfn.XLOOKUP(Tabla6[[#This Row],[ID CLIENTE]],'RESUMEN CLIENTES'!D:D,'RESUMEN CLIENTES'!A:A)</f>
        <v>Mateo Gabriel Martinez Dávila</v>
      </c>
      <c r="C2909" t="str">
        <f>+_xlfn.XLOOKUP(Tabla6[[#This Row],[ID CLIENTE]],'RESUMEN CLIENTES'!D:D,'RESUMEN CLIENTES'!C:C)</f>
        <v>Bolivia</v>
      </c>
      <c r="D2909" s="169" t="str">
        <f>+_xlfn.XLOOKUP(Tabla6[[#This Row],[ID CLIENTE]],'RESUMEN CLIENTES'!D:D,'RESUMEN CLIENTES'!M:M)</f>
        <v>OK</v>
      </c>
      <c r="E2909" s="71">
        <f>+_xlfn.XLOOKUP(Tabla6[[#This Row],[NOMBRE]],'RESUMEN CLIENTES'!A:A,'RESUMEN CLIENTES'!X:X)</f>
        <v>-0.5</v>
      </c>
      <c r="F2909" s="71">
        <f>+_xlfn.XLOOKUP(Tabla6[[#This Row],[ID CLIENTE]],'RESUMEN CLIENTES'!D:D,'RESUMEN CLIENTES'!W:W)</f>
        <v>0</v>
      </c>
      <c r="G2909" s="17" t="str">
        <f>IF($H2909&lt;&gt;"ALEM","",IFERROR(
  DATE(
    YEAR(EDATE(
      _xlfn.XLOOKUP($A2909,'RESUMEN CLIENTES'!$D:$D,'RESUMEN CLIENTES'!$Y:$Y,""),
      7 + COUNTIFS(
            $A$2:INDEX($A:$A,ROW()), $A2909,
            $H$2:INDEX($H:$H,ROW()), "ALEM"
          )
    )),
    MONTH(EDATE(
      _xlfn.XLOOKUP($A2909,'RESUMEN CLIENTES'!$D:$D,'RESUMEN CLIENTES'!$Y:$Y,""),
      7 + COUNTIFS(
            $A$2:INDEX($A:$A,ROW()), $A2909,
            $H$2:INDEX($H:$H,ROW()), "ALEM"
          )
    )),
    1
  ),
"null"))</f>
        <v>null</v>
      </c>
      <c r="H2909" s="169" t="s">
        <v>1876</v>
      </c>
      <c r="I2909" s="2">
        <v>1000</v>
      </c>
      <c r="J2909"/>
      <c r="K2909"/>
      <c r="L2909" s="44" t="str" cm="1">
        <f t="array" ref="L2909">+_xlfn.IFS(COUNTIF(INGRESOS!E:E,Tabla6[[#This Row],[ID FACTURA]])=1,"PAGADA",Tabla6[[#This Row],[ID FACTURA]]&lt;&gt;0,"EMITIDA",Tabla6[[#This Row],[ID FACTURA]]=0,"POR EMITIR")</f>
        <v>POR EMITIR</v>
      </c>
      <c r="M2909" s="54" t="str">
        <f>+IF(Tabla6[[#This Row],[ESTADO FACTURA]]="PAGADA",Tabla6[[#This Row],[FECHA]]-_xlfn.XLOOKUP(Tabla6[[#This Row],[N° FACTURA]],INGRESOS!F:F,INGRESOS!A:A),"-")</f>
        <v>-</v>
      </c>
      <c r="O2909"/>
    </row>
    <row r="2910" spans="1:15">
      <c r="A2910" s="320" t="s">
        <v>200</v>
      </c>
      <c r="B2910" t="str">
        <f>+_xlfn.XLOOKUP(Tabla6[[#This Row],[ID CLIENTE]],'RESUMEN CLIENTES'!D:D,'RESUMEN CLIENTES'!A:A)</f>
        <v>Mateo Gabriel Martinez Dávila</v>
      </c>
      <c r="C2910" t="str">
        <f>+_xlfn.XLOOKUP(Tabla6[[#This Row],[ID CLIENTE]],'RESUMEN CLIENTES'!D:D,'RESUMEN CLIENTES'!C:C)</f>
        <v>Bolivia</v>
      </c>
      <c r="D2910" s="169" t="str">
        <f>+_xlfn.XLOOKUP(Tabla6[[#This Row],[ID CLIENTE]],'RESUMEN CLIENTES'!D:D,'RESUMEN CLIENTES'!M:M)</f>
        <v>OK</v>
      </c>
      <c r="E2910" s="71">
        <f>+_xlfn.XLOOKUP(Tabla6[[#This Row],[NOMBRE]],'RESUMEN CLIENTES'!A:A,'RESUMEN CLIENTES'!X:X)</f>
        <v>-0.5</v>
      </c>
      <c r="F2910" s="71">
        <f>+_xlfn.XLOOKUP(Tabla6[[#This Row],[ID CLIENTE]],'RESUMEN CLIENTES'!D:D,'RESUMEN CLIENTES'!W:W)</f>
        <v>0</v>
      </c>
      <c r="G2910" s="17" t="str">
        <f>IF($H2910&lt;&gt;"ALEM","",IFERROR(
  DATE(
    YEAR(EDATE(
      _xlfn.XLOOKUP($A2910,'RESUMEN CLIENTES'!$D:$D,'RESUMEN CLIENTES'!$Y:$Y,""),
      7 + COUNTIFS(
            $A$2:INDEX($A:$A,ROW()), $A2910,
            $H$2:INDEX($H:$H,ROW()), "ALEM"
          )
    )),
    MONTH(EDATE(
      _xlfn.XLOOKUP($A2910,'RESUMEN CLIENTES'!$D:$D,'RESUMEN CLIENTES'!$Y:$Y,""),
      7 + COUNTIFS(
            $A$2:INDEX($A:$A,ROW()), $A2910,
            $H$2:INDEX($H:$H,ROW()), "ALEM"
          )
    )),
    1
  ),
"null"))</f>
        <v>null</v>
      </c>
      <c r="H2910" s="169" t="s">
        <v>1876</v>
      </c>
      <c r="I2910" s="2">
        <v>1000</v>
      </c>
      <c r="J2910"/>
      <c r="K2910"/>
      <c r="L2910" s="44" t="str" cm="1">
        <f t="array" ref="L2910">+_xlfn.IFS(COUNTIF(INGRESOS!E:E,Tabla6[[#This Row],[ID FACTURA]])=1,"PAGADA",Tabla6[[#This Row],[ID FACTURA]]&lt;&gt;0,"EMITIDA",Tabla6[[#This Row],[ID FACTURA]]=0,"POR EMITIR")</f>
        <v>POR EMITIR</v>
      </c>
      <c r="M2910" s="54" t="str">
        <f>+IF(Tabla6[[#This Row],[ESTADO FACTURA]]="PAGADA",Tabla6[[#This Row],[FECHA]]-_xlfn.XLOOKUP(Tabla6[[#This Row],[N° FACTURA]],INGRESOS!F:F,INGRESOS!A:A),"-")</f>
        <v>-</v>
      </c>
      <c r="O2910"/>
    </row>
    <row r="2911" spans="1:15">
      <c r="A2911" s="320" t="s">
        <v>322</v>
      </c>
      <c r="B2911" t="str">
        <f>+_xlfn.XLOOKUP(Tabla6[[#This Row],[ID CLIENTE]],'RESUMEN CLIENTES'!D:D,'RESUMEN CLIENTES'!A:A)</f>
        <v>Mauricio Ignacio Alcayaga Romo</v>
      </c>
      <c r="C2911" t="str">
        <f>+_xlfn.XLOOKUP(Tabla6[[#This Row],[ID CLIENTE]],'RESUMEN CLIENTES'!D:D,'RESUMEN CLIENTES'!C:C)</f>
        <v>Chile</v>
      </c>
      <c r="D2911" s="44" t="str">
        <f>+_xlfn.XLOOKUP(Tabla6[[#This Row],[ID CLIENTE]],'RESUMEN CLIENTES'!D:D,'RESUMEN CLIENTES'!M:M)</f>
        <v>OK</v>
      </c>
      <c r="E2911" s="72">
        <f>+_xlfn.XLOOKUP(Tabla6[[#This Row],[NOMBRE]],'RESUMEN CLIENTES'!A:A,'RESUMEN CLIENTES'!X:X)</f>
        <v>-0.3</v>
      </c>
      <c r="F2911" s="72">
        <f>+_xlfn.XLOOKUP(Tabla6[[#This Row],[ID CLIENTE]],'RESUMEN CLIENTES'!D:D,'RESUMEN CLIENTES'!W:W)</f>
        <v>0</v>
      </c>
      <c r="G2911" s="17" t="str">
        <f>IF($H2911&lt;&gt;"ALEM","",IFERROR(
  DATE(
    YEAR(EDATE(
      _xlfn.XLOOKUP($A2911,'RESUMEN CLIENTES'!$D:$D,'RESUMEN CLIENTES'!$Y:$Y,""),
      7 + COUNTIFS(
            $A$2:INDEX($A:$A,ROW()), $A2911,
            $H$2:INDEX($H:$H,ROW()), "ALEM"
          )
    )),
    MONTH(EDATE(
      _xlfn.XLOOKUP($A2911,'RESUMEN CLIENTES'!$D:$D,'RESUMEN CLIENTES'!$Y:$Y,""),
      7 + COUNTIFS(
            $A$2:INDEX($A:$A,ROW()), $A2911,
            $H$2:INDEX($H:$H,ROW()), "ALEM"
          )
    )),
    1
  ),
"null"))</f>
        <v>null</v>
      </c>
      <c r="H2911" s="44" t="s">
        <v>1876</v>
      </c>
      <c r="I2911" s="2">
        <v>500</v>
      </c>
      <c r="J2911"/>
      <c r="K2911"/>
      <c r="L2911" s="44" t="str" cm="1">
        <f t="array" ref="L2911">+_xlfn.IFS(COUNTIF(INGRESOS!E:E,Tabla6[[#This Row],[ID FACTURA]])=1,"PAGADA",Tabla6[[#This Row],[ID FACTURA]]&lt;&gt;0,"EMITIDA",Tabla6[[#This Row],[ID FACTURA]]=0,"POR EMITIR")</f>
        <v>POR EMITIR</v>
      </c>
      <c r="M2911" s="55" t="str">
        <f>+IF(Tabla6[[#This Row],[ESTADO FACTURA]]="PAGADA",Tabla6[[#This Row],[FECHA]]-_xlfn.XLOOKUP(Tabla6[[#This Row],[N° FACTURA]],INGRESOS!F:F,INGRESOS!A:A),"-")</f>
        <v>-</v>
      </c>
      <c r="N2911" s="2"/>
      <c r="O2911"/>
    </row>
    <row r="2912" spans="1:15">
      <c r="A2912" s="320" t="s">
        <v>322</v>
      </c>
      <c r="B2912" t="str">
        <f>+_xlfn.XLOOKUP(Tabla6[[#This Row],[ID CLIENTE]],'RESUMEN CLIENTES'!D:D,'RESUMEN CLIENTES'!A:A)</f>
        <v>Mauricio Ignacio Alcayaga Romo</v>
      </c>
      <c r="C2912" t="str">
        <f>+_xlfn.XLOOKUP(Tabla6[[#This Row],[ID CLIENTE]],'RESUMEN CLIENTES'!D:D,'RESUMEN CLIENTES'!C:C)</f>
        <v>Chile</v>
      </c>
      <c r="D2912" s="44" t="str">
        <f>+_xlfn.XLOOKUP(Tabla6[[#This Row],[ID CLIENTE]],'RESUMEN CLIENTES'!D:D,'RESUMEN CLIENTES'!M:M)</f>
        <v>OK</v>
      </c>
      <c r="E2912" s="72">
        <f>+_xlfn.XLOOKUP(Tabla6[[#This Row],[NOMBRE]],'RESUMEN CLIENTES'!A:A,'RESUMEN CLIENTES'!X:X)</f>
        <v>-0.3</v>
      </c>
      <c r="F2912" s="72">
        <f>+_xlfn.XLOOKUP(Tabla6[[#This Row],[ID CLIENTE]],'RESUMEN CLIENTES'!D:D,'RESUMEN CLIENTES'!W:W)</f>
        <v>0</v>
      </c>
      <c r="G2912" s="17" t="str">
        <f>IF($H2912&lt;&gt;"ALEM","",IFERROR(
  DATE(
    YEAR(EDATE(
      _xlfn.XLOOKUP($A2912,'RESUMEN CLIENTES'!$D:$D,'RESUMEN CLIENTES'!$Y:$Y,""),
      7 + COUNTIFS(
            $A$2:INDEX($A:$A,ROW()), $A2912,
            $H$2:INDEX($H:$H,ROW()), "ALEM"
          )
    )),
    MONTH(EDATE(
      _xlfn.XLOOKUP($A2912,'RESUMEN CLIENTES'!$D:$D,'RESUMEN CLIENTES'!$Y:$Y,""),
      7 + COUNTIFS(
            $A$2:INDEX($A:$A,ROW()), $A2912,
            $H$2:INDEX($H:$H,ROW()), "ALEM"
          )
    )),
    1
  ),
"null"))</f>
        <v>null</v>
      </c>
      <c r="H2912" s="44" t="s">
        <v>1876</v>
      </c>
      <c r="I2912" s="2">
        <v>1000</v>
      </c>
      <c r="J2912"/>
      <c r="K2912"/>
      <c r="L2912" s="44" t="str" cm="1">
        <f t="array" ref="L2912">+_xlfn.IFS(COUNTIF(INGRESOS!E:E,Tabla6[[#This Row],[ID FACTURA]])=1,"PAGADA",Tabla6[[#This Row],[ID FACTURA]]&lt;&gt;0,"EMITIDA",Tabla6[[#This Row],[ID FACTURA]]=0,"POR EMITIR")</f>
        <v>POR EMITIR</v>
      </c>
      <c r="M2912" s="55" t="str">
        <f>+IF(Tabla6[[#This Row],[ESTADO FACTURA]]="PAGADA",Tabla6[[#This Row],[FECHA]]-_xlfn.XLOOKUP(Tabla6[[#This Row],[N° FACTURA]],INGRESOS!F:F,INGRESOS!A:A),"-")</f>
        <v>-</v>
      </c>
      <c r="N2912" s="2"/>
      <c r="O2912"/>
    </row>
    <row r="2913" spans="1:15">
      <c r="A2913" s="320" t="s">
        <v>322</v>
      </c>
      <c r="B2913" t="str">
        <f>+_xlfn.XLOOKUP(Tabla6[[#This Row],[ID CLIENTE]],'RESUMEN CLIENTES'!D:D,'RESUMEN CLIENTES'!A:A)</f>
        <v>Mauricio Ignacio Alcayaga Romo</v>
      </c>
      <c r="C2913" t="str">
        <f>+_xlfn.XLOOKUP(Tabla6[[#This Row],[ID CLIENTE]],'RESUMEN CLIENTES'!D:D,'RESUMEN CLIENTES'!C:C)</f>
        <v>Chile</v>
      </c>
      <c r="D2913" s="44" t="str">
        <f>+_xlfn.XLOOKUP(Tabla6[[#This Row],[ID CLIENTE]],'RESUMEN CLIENTES'!D:D,'RESUMEN CLIENTES'!M:M)</f>
        <v>OK</v>
      </c>
      <c r="E2913" s="72">
        <f>+_xlfn.XLOOKUP(Tabla6[[#This Row],[NOMBRE]],'RESUMEN CLIENTES'!A:A,'RESUMEN CLIENTES'!X:X)</f>
        <v>-0.3</v>
      </c>
      <c r="F2913" s="72">
        <f>+_xlfn.XLOOKUP(Tabla6[[#This Row],[ID CLIENTE]],'RESUMEN CLIENTES'!D:D,'RESUMEN CLIENTES'!W:W)</f>
        <v>0</v>
      </c>
      <c r="G2913" s="17" t="str">
        <f>IF($H2913&lt;&gt;"ALEM","",IFERROR(
  DATE(
    YEAR(EDATE(
      _xlfn.XLOOKUP($A2913,'RESUMEN CLIENTES'!$D:$D,'RESUMEN CLIENTES'!$Y:$Y,""),
      7 + COUNTIFS(
            $A$2:INDEX($A:$A,ROW()), $A2913,
            $H$2:INDEX($H:$H,ROW()), "ALEM"
          )
    )),
    MONTH(EDATE(
      _xlfn.XLOOKUP($A2913,'RESUMEN CLIENTES'!$D:$D,'RESUMEN CLIENTES'!$Y:$Y,""),
      7 + COUNTIFS(
            $A$2:INDEX($A:$A,ROW()), $A2913,
            $H$2:INDEX($H:$H,ROW()), "ALEM"
          )
    )),
    1
  ),
"null"))</f>
        <v>null</v>
      </c>
      <c r="H2913" s="44" t="s">
        <v>1876</v>
      </c>
      <c r="I2913" s="2">
        <v>1000</v>
      </c>
      <c r="J2913"/>
      <c r="K2913"/>
      <c r="L2913" s="44" t="str" cm="1">
        <f t="array" ref="L2913">+_xlfn.IFS(COUNTIF(INGRESOS!E:E,Tabla6[[#This Row],[ID FACTURA]])=1,"PAGADA",Tabla6[[#This Row],[ID FACTURA]]&lt;&gt;0,"EMITIDA",Tabla6[[#This Row],[ID FACTURA]]=0,"POR EMITIR")</f>
        <v>POR EMITIR</v>
      </c>
      <c r="M2913" s="55" t="str">
        <f>+IF(Tabla6[[#This Row],[ESTADO FACTURA]]="PAGADA",Tabla6[[#This Row],[FECHA]]-_xlfn.XLOOKUP(Tabla6[[#This Row],[N° FACTURA]],INGRESOS!F:F,INGRESOS!A:A),"-")</f>
        <v>-</v>
      </c>
      <c r="N2913" s="2"/>
      <c r="O2913"/>
    </row>
    <row r="2914" spans="1:15">
      <c r="A2914" s="320" t="s">
        <v>322</v>
      </c>
      <c r="B2914" t="str">
        <f>+_xlfn.XLOOKUP(Tabla6[[#This Row],[ID CLIENTE]],'RESUMEN CLIENTES'!D:D,'RESUMEN CLIENTES'!A:A)</f>
        <v>Mauricio Ignacio Alcayaga Romo</v>
      </c>
      <c r="C2914" t="str">
        <f>+_xlfn.XLOOKUP(Tabla6[[#This Row],[ID CLIENTE]],'RESUMEN CLIENTES'!D:D,'RESUMEN CLIENTES'!C:C)</f>
        <v>Chile</v>
      </c>
      <c r="D2914" s="44" t="str">
        <f>+_xlfn.XLOOKUP(Tabla6[[#This Row],[ID CLIENTE]],'RESUMEN CLIENTES'!D:D,'RESUMEN CLIENTES'!M:M)</f>
        <v>OK</v>
      </c>
      <c r="E2914" s="72">
        <f>+_xlfn.XLOOKUP(Tabla6[[#This Row],[NOMBRE]],'RESUMEN CLIENTES'!A:A,'RESUMEN CLIENTES'!X:X)</f>
        <v>-0.3</v>
      </c>
      <c r="F2914" s="72">
        <f>+_xlfn.XLOOKUP(Tabla6[[#This Row],[ID CLIENTE]],'RESUMEN CLIENTES'!D:D,'RESUMEN CLIENTES'!W:W)</f>
        <v>0</v>
      </c>
      <c r="G2914" s="17" t="str">
        <f>IF($H2914&lt;&gt;"ALEM","",IFERROR(
  DATE(
    YEAR(EDATE(
      _xlfn.XLOOKUP($A2914,'RESUMEN CLIENTES'!$D:$D,'RESUMEN CLIENTES'!$Y:$Y,""),
      7 + COUNTIFS(
            $A$2:INDEX($A:$A,ROW()), $A2914,
            $H$2:INDEX($H:$H,ROW()), "ALEM"
          )
    )),
    MONTH(EDATE(
      _xlfn.XLOOKUP($A2914,'RESUMEN CLIENTES'!$D:$D,'RESUMEN CLIENTES'!$Y:$Y,""),
      7 + COUNTIFS(
            $A$2:INDEX($A:$A,ROW()), $A2914,
            $H$2:INDEX($H:$H,ROW()), "ALEM"
          )
    )),
    1
  ),
"null"))</f>
        <v>null</v>
      </c>
      <c r="H2914" s="44" t="s">
        <v>1876</v>
      </c>
      <c r="I2914" s="2">
        <v>1000</v>
      </c>
      <c r="J2914"/>
      <c r="K2914"/>
      <c r="L2914" s="44" t="str" cm="1">
        <f t="array" ref="L2914">+_xlfn.IFS(COUNTIF(INGRESOS!E:E,Tabla6[[#This Row],[ID FACTURA]])=1,"PAGADA",Tabla6[[#This Row],[ID FACTURA]]&lt;&gt;0,"EMITIDA",Tabla6[[#This Row],[ID FACTURA]]=0,"POR EMITIR")</f>
        <v>POR EMITIR</v>
      </c>
      <c r="M2914" s="55" t="str">
        <f>+IF(Tabla6[[#This Row],[ESTADO FACTURA]]="PAGADA",Tabla6[[#This Row],[FECHA]]-_xlfn.XLOOKUP(Tabla6[[#This Row],[N° FACTURA]],INGRESOS!F:F,INGRESOS!A:A),"-")</f>
        <v>-</v>
      </c>
      <c r="N2914" s="2"/>
      <c r="O2914"/>
    </row>
    <row r="2915" spans="1:15">
      <c r="A2915" s="320" t="s">
        <v>322</v>
      </c>
      <c r="B2915" t="str">
        <f>+_xlfn.XLOOKUP(Tabla6[[#This Row],[ID CLIENTE]],'RESUMEN CLIENTES'!D:D,'RESUMEN CLIENTES'!A:A)</f>
        <v>Mauricio Ignacio Alcayaga Romo</v>
      </c>
      <c r="C2915" t="str">
        <f>+_xlfn.XLOOKUP(Tabla6[[#This Row],[ID CLIENTE]],'RESUMEN CLIENTES'!D:D,'RESUMEN CLIENTES'!C:C)</f>
        <v>Chile</v>
      </c>
      <c r="D2915" s="44" t="str">
        <f>+_xlfn.XLOOKUP(Tabla6[[#This Row],[ID CLIENTE]],'RESUMEN CLIENTES'!D:D,'RESUMEN CLIENTES'!M:M)</f>
        <v>OK</v>
      </c>
      <c r="E2915" s="72">
        <f>+_xlfn.XLOOKUP(Tabla6[[#This Row],[NOMBRE]],'RESUMEN CLIENTES'!A:A,'RESUMEN CLIENTES'!X:X)</f>
        <v>-0.3</v>
      </c>
      <c r="F2915" s="72">
        <f>+_xlfn.XLOOKUP(Tabla6[[#This Row],[ID CLIENTE]],'RESUMEN CLIENTES'!D:D,'RESUMEN CLIENTES'!W:W)</f>
        <v>0</v>
      </c>
      <c r="G2915" s="17" t="str">
        <f>IF($H2915&lt;&gt;"ALEM","",IFERROR(
  DATE(
    YEAR(EDATE(
      _xlfn.XLOOKUP($A2915,'RESUMEN CLIENTES'!$D:$D,'RESUMEN CLIENTES'!$Y:$Y,""),
      7 + COUNTIFS(
            $A$2:INDEX($A:$A,ROW()), $A2915,
            $H$2:INDEX($H:$H,ROW()), "ALEM"
          )
    )),
    MONTH(EDATE(
      _xlfn.XLOOKUP($A2915,'RESUMEN CLIENTES'!$D:$D,'RESUMEN CLIENTES'!$Y:$Y,""),
      7 + COUNTIFS(
            $A$2:INDEX($A:$A,ROW()), $A2915,
            $H$2:INDEX($H:$H,ROW()), "ALEM"
          )
    )),
    1
  ),
"null"))</f>
        <v>null</v>
      </c>
      <c r="H2915" s="44" t="s">
        <v>1876</v>
      </c>
      <c r="I2915" s="2">
        <v>1000</v>
      </c>
      <c r="J2915"/>
      <c r="K2915"/>
      <c r="L2915" s="44" t="str" cm="1">
        <f t="array" ref="L2915">+_xlfn.IFS(COUNTIF(INGRESOS!E:E,Tabla6[[#This Row],[ID FACTURA]])=1,"PAGADA",Tabla6[[#This Row],[ID FACTURA]]&lt;&gt;0,"EMITIDA",Tabla6[[#This Row],[ID FACTURA]]=0,"POR EMITIR")</f>
        <v>POR EMITIR</v>
      </c>
      <c r="M2915" s="55" t="str">
        <f>+IF(Tabla6[[#This Row],[ESTADO FACTURA]]="PAGADA",Tabla6[[#This Row],[FECHA]]-_xlfn.XLOOKUP(Tabla6[[#This Row],[N° FACTURA]],INGRESOS!F:F,INGRESOS!A:A),"-")</f>
        <v>-</v>
      </c>
      <c r="N2915" s="2"/>
      <c r="O2915"/>
    </row>
    <row r="2916" spans="1:15">
      <c r="A2916" s="320" t="s">
        <v>322</v>
      </c>
      <c r="B2916" t="str">
        <f>+_xlfn.XLOOKUP(Tabla6[[#This Row],[ID CLIENTE]],'RESUMEN CLIENTES'!D:D,'RESUMEN CLIENTES'!A:A)</f>
        <v>Mauricio Ignacio Alcayaga Romo</v>
      </c>
      <c r="C2916" t="str">
        <f>+_xlfn.XLOOKUP(Tabla6[[#This Row],[ID CLIENTE]],'RESUMEN CLIENTES'!D:D,'RESUMEN CLIENTES'!C:C)</f>
        <v>Chile</v>
      </c>
      <c r="D2916" s="44" t="str">
        <f>+_xlfn.XLOOKUP(Tabla6[[#This Row],[ID CLIENTE]],'RESUMEN CLIENTES'!D:D,'RESUMEN CLIENTES'!M:M)</f>
        <v>OK</v>
      </c>
      <c r="E2916" s="72">
        <f>+_xlfn.XLOOKUP(Tabla6[[#This Row],[NOMBRE]],'RESUMEN CLIENTES'!A:A,'RESUMEN CLIENTES'!X:X)</f>
        <v>-0.3</v>
      </c>
      <c r="F2916" s="72">
        <f>+_xlfn.XLOOKUP(Tabla6[[#This Row],[ID CLIENTE]],'RESUMEN CLIENTES'!D:D,'RESUMEN CLIENTES'!W:W)</f>
        <v>0</v>
      </c>
      <c r="G2916" s="17" t="str">
        <f>IF($H2916&lt;&gt;"ALEM","",IFERROR(
  DATE(
    YEAR(EDATE(
      _xlfn.XLOOKUP($A2916,'RESUMEN CLIENTES'!$D:$D,'RESUMEN CLIENTES'!$Y:$Y,""),
      7 + COUNTIFS(
            $A$2:INDEX($A:$A,ROW()), $A2916,
            $H$2:INDEX($H:$H,ROW()), "ALEM"
          )
    )),
    MONTH(EDATE(
      _xlfn.XLOOKUP($A2916,'RESUMEN CLIENTES'!$D:$D,'RESUMEN CLIENTES'!$Y:$Y,""),
      7 + COUNTIFS(
            $A$2:INDEX($A:$A,ROW()), $A2916,
            $H$2:INDEX($H:$H,ROW()), "ALEM"
          )
    )),
    1
  ),
"null"))</f>
        <v>null</v>
      </c>
      <c r="H2916" s="44" t="s">
        <v>1876</v>
      </c>
      <c r="I2916" s="2">
        <v>1000</v>
      </c>
      <c r="J2916"/>
      <c r="K2916"/>
      <c r="L2916" s="44" t="str" cm="1">
        <f t="array" ref="L2916">+_xlfn.IFS(COUNTIF(INGRESOS!E:E,Tabla6[[#This Row],[ID FACTURA]])=1,"PAGADA",Tabla6[[#This Row],[ID FACTURA]]&lt;&gt;0,"EMITIDA",Tabla6[[#This Row],[ID FACTURA]]=0,"POR EMITIR")</f>
        <v>POR EMITIR</v>
      </c>
      <c r="M2916" s="55" t="str">
        <f>+IF(Tabla6[[#This Row],[ESTADO FACTURA]]="PAGADA",Tabla6[[#This Row],[FECHA]]-_xlfn.XLOOKUP(Tabla6[[#This Row],[N° FACTURA]],INGRESOS!F:F,INGRESOS!A:A),"-")</f>
        <v>-</v>
      </c>
      <c r="N2916" s="2"/>
      <c r="O2916"/>
    </row>
    <row r="2917" spans="1:15">
      <c r="A2917" s="320" t="s">
        <v>322</v>
      </c>
      <c r="B2917" t="str">
        <f>+_xlfn.XLOOKUP(Tabla6[[#This Row],[ID CLIENTE]],'RESUMEN CLIENTES'!D:D,'RESUMEN CLIENTES'!A:A)</f>
        <v>Mauricio Ignacio Alcayaga Romo</v>
      </c>
      <c r="C2917" t="str">
        <f>+_xlfn.XLOOKUP(Tabla6[[#This Row],[ID CLIENTE]],'RESUMEN CLIENTES'!D:D,'RESUMEN CLIENTES'!C:C)</f>
        <v>Chile</v>
      </c>
      <c r="D2917" s="44" t="str">
        <f>+_xlfn.XLOOKUP(Tabla6[[#This Row],[ID CLIENTE]],'RESUMEN CLIENTES'!D:D,'RESUMEN CLIENTES'!M:M)</f>
        <v>OK</v>
      </c>
      <c r="E2917" s="72">
        <f>+_xlfn.XLOOKUP(Tabla6[[#This Row],[NOMBRE]],'RESUMEN CLIENTES'!A:A,'RESUMEN CLIENTES'!X:X)</f>
        <v>-0.3</v>
      </c>
      <c r="F2917" s="72">
        <f>+_xlfn.XLOOKUP(Tabla6[[#This Row],[ID CLIENTE]],'RESUMEN CLIENTES'!D:D,'RESUMEN CLIENTES'!W:W)</f>
        <v>0</v>
      </c>
      <c r="G2917" s="17" t="str">
        <f>IF($H2917&lt;&gt;"ALEM","",IFERROR(
  DATE(
    YEAR(EDATE(
      _xlfn.XLOOKUP($A2917,'RESUMEN CLIENTES'!$D:$D,'RESUMEN CLIENTES'!$Y:$Y,""),
      7 + COUNTIFS(
            $A$2:INDEX($A:$A,ROW()), $A2917,
            $H$2:INDEX($H:$H,ROW()), "ALEM"
          )
    )),
    MONTH(EDATE(
      _xlfn.XLOOKUP($A2917,'RESUMEN CLIENTES'!$D:$D,'RESUMEN CLIENTES'!$Y:$Y,""),
      7 + COUNTIFS(
            $A$2:INDEX($A:$A,ROW()), $A2917,
            $H$2:INDEX($H:$H,ROW()), "ALEM"
          )
    )),
    1
  ),
"null"))</f>
        <v>null</v>
      </c>
      <c r="H2917" s="44" t="s">
        <v>1876</v>
      </c>
      <c r="I2917" s="2">
        <v>1000</v>
      </c>
      <c r="J2917"/>
      <c r="K2917"/>
      <c r="L2917" s="44" t="str" cm="1">
        <f t="array" ref="L2917">+_xlfn.IFS(COUNTIF(INGRESOS!E:E,Tabla6[[#This Row],[ID FACTURA]])=1,"PAGADA",Tabla6[[#This Row],[ID FACTURA]]&lt;&gt;0,"EMITIDA",Tabla6[[#This Row],[ID FACTURA]]=0,"POR EMITIR")</f>
        <v>POR EMITIR</v>
      </c>
      <c r="M2917" s="55" t="str">
        <f>+IF(Tabla6[[#This Row],[ESTADO FACTURA]]="PAGADA",Tabla6[[#This Row],[FECHA]]-_xlfn.XLOOKUP(Tabla6[[#This Row],[N° FACTURA]],INGRESOS!F:F,INGRESOS!A:A),"-")</f>
        <v>-</v>
      </c>
      <c r="N2917" s="2"/>
      <c r="O2917"/>
    </row>
    <row r="2918" spans="1:15">
      <c r="A2918" s="320" t="s">
        <v>407</v>
      </c>
      <c r="B2918" t="str">
        <f>+_xlfn.XLOOKUP(Tabla6[[#This Row],[ID CLIENTE]],'RESUMEN CLIENTES'!D:D,'RESUMEN CLIENTES'!A:A)</f>
        <v>Mayra Leonor Rivera Paico</v>
      </c>
      <c r="C2918" t="str">
        <f>+_xlfn.XLOOKUP(Tabla6[[#This Row],[ID CLIENTE]],'RESUMEN CLIENTES'!D:D,'RESUMEN CLIENTES'!C:C)</f>
        <v>Perú</v>
      </c>
      <c r="D2918" s="44" t="str">
        <f>+_xlfn.XLOOKUP(Tabla6[[#This Row],[ID CLIENTE]],'RESUMEN CLIENTES'!D:D,'RESUMEN CLIENTES'!M:M)</f>
        <v>OK</v>
      </c>
      <c r="E2918" s="72">
        <f>+_xlfn.XLOOKUP(Tabla6[[#This Row],[NOMBRE]],'RESUMEN CLIENTES'!A:A,'RESUMEN CLIENTES'!X:X)</f>
        <v>-0.22222222222222221</v>
      </c>
      <c r="F2918" s="72">
        <f>+_xlfn.XLOOKUP(Tabla6[[#This Row],[ID CLIENTE]],'RESUMEN CLIENTES'!D:D,'RESUMEN CLIENTES'!W:W)</f>
        <v>0</v>
      </c>
      <c r="G2918" s="17" t="str">
        <f>IF($H2918&lt;&gt;"ALEM","",IFERROR(
  DATE(
    YEAR(EDATE(
      _xlfn.XLOOKUP($A2918,'RESUMEN CLIENTES'!$D:$D,'RESUMEN CLIENTES'!$Y:$Y,""),
      7 + COUNTIFS(
            $A$2:INDEX($A:$A,ROW()), $A2918,
            $H$2:INDEX($H:$H,ROW()), "ALEM"
          )
    )),
    MONTH(EDATE(
      _xlfn.XLOOKUP($A2918,'RESUMEN CLIENTES'!$D:$D,'RESUMEN CLIENTES'!$Y:$Y,""),
      7 + COUNTIFS(
            $A$2:INDEX($A:$A,ROW()), $A2918,
            $H$2:INDEX($H:$H,ROW()), "ALEM"
          )
    )),
    1
  ),
"null"))</f>
        <v>null</v>
      </c>
      <c r="H2918" s="44" t="s">
        <v>1876</v>
      </c>
      <c r="I2918" s="2">
        <v>1000</v>
      </c>
      <c r="J2918"/>
      <c r="K2918"/>
      <c r="L2918" s="44" t="str" cm="1">
        <f t="array" ref="L2918">+_xlfn.IFS(COUNTIF(INGRESOS!E:E,Tabla6[[#This Row],[ID FACTURA]])=1,"PAGADA",Tabla6[[#This Row],[ID FACTURA]]&lt;&gt;0,"EMITIDA",Tabla6[[#This Row],[ID FACTURA]]=0,"POR EMITIR")</f>
        <v>POR EMITIR</v>
      </c>
      <c r="M2918" s="55" t="str">
        <f>+IF(Tabla6[[#This Row],[ESTADO FACTURA]]="PAGADA",Tabla6[[#This Row],[FECHA]]-_xlfn.XLOOKUP(Tabla6[[#This Row],[N° FACTURA]],INGRESOS!F:F,INGRESOS!A:A),"-")</f>
        <v>-</v>
      </c>
      <c r="N2918" s="2"/>
      <c r="O2918"/>
    </row>
    <row r="2919" spans="1:15">
      <c r="A2919" s="320" t="s">
        <v>407</v>
      </c>
      <c r="B2919" t="str">
        <f>+_xlfn.XLOOKUP(Tabla6[[#This Row],[ID CLIENTE]],'RESUMEN CLIENTES'!D:D,'RESUMEN CLIENTES'!A:A)</f>
        <v>Mayra Leonor Rivera Paico</v>
      </c>
      <c r="C2919" t="str">
        <f>+_xlfn.XLOOKUP(Tabla6[[#This Row],[ID CLIENTE]],'RESUMEN CLIENTES'!D:D,'RESUMEN CLIENTES'!C:C)</f>
        <v>Perú</v>
      </c>
      <c r="D2919" s="44" t="str">
        <f>+_xlfn.XLOOKUP(Tabla6[[#This Row],[ID CLIENTE]],'RESUMEN CLIENTES'!D:D,'RESUMEN CLIENTES'!M:M)</f>
        <v>OK</v>
      </c>
      <c r="E2919" s="72">
        <f>+_xlfn.XLOOKUP(Tabla6[[#This Row],[NOMBRE]],'RESUMEN CLIENTES'!A:A,'RESUMEN CLIENTES'!X:X)</f>
        <v>-0.22222222222222221</v>
      </c>
      <c r="F2919" s="72">
        <f>+_xlfn.XLOOKUP(Tabla6[[#This Row],[ID CLIENTE]],'RESUMEN CLIENTES'!D:D,'RESUMEN CLIENTES'!W:W)</f>
        <v>0</v>
      </c>
      <c r="G2919" s="17" t="str">
        <f>IF($H2919&lt;&gt;"ALEM","",IFERROR(
  DATE(
    YEAR(EDATE(
      _xlfn.XLOOKUP($A2919,'RESUMEN CLIENTES'!$D:$D,'RESUMEN CLIENTES'!$Y:$Y,""),
      7 + COUNTIFS(
            $A$2:INDEX($A:$A,ROW()), $A2919,
            $H$2:INDEX($H:$H,ROW()), "ALEM"
          )
    )),
    MONTH(EDATE(
      _xlfn.XLOOKUP($A2919,'RESUMEN CLIENTES'!$D:$D,'RESUMEN CLIENTES'!$Y:$Y,""),
      7 + COUNTIFS(
            $A$2:INDEX($A:$A,ROW()), $A2919,
            $H$2:INDEX($H:$H,ROW()), "ALEM"
          )
    )),
    1
  ),
"null"))</f>
        <v>null</v>
      </c>
      <c r="H2919" s="44" t="s">
        <v>1876</v>
      </c>
      <c r="I2919" s="2">
        <v>1000</v>
      </c>
      <c r="J2919"/>
      <c r="K2919"/>
      <c r="L2919" s="44" t="str" cm="1">
        <f t="array" ref="L2919">+_xlfn.IFS(COUNTIF(INGRESOS!E:E,Tabla6[[#This Row],[ID FACTURA]])=1,"PAGADA",Tabla6[[#This Row],[ID FACTURA]]&lt;&gt;0,"EMITIDA",Tabla6[[#This Row],[ID FACTURA]]=0,"POR EMITIR")</f>
        <v>POR EMITIR</v>
      </c>
      <c r="M2919" s="55" t="str">
        <f>+IF(Tabla6[[#This Row],[ESTADO FACTURA]]="PAGADA",Tabla6[[#This Row],[FECHA]]-_xlfn.XLOOKUP(Tabla6[[#This Row],[N° FACTURA]],INGRESOS!F:F,INGRESOS!A:A),"-")</f>
        <v>-</v>
      </c>
      <c r="N2919" s="2"/>
      <c r="O2919"/>
    </row>
    <row r="2920" spans="1:15">
      <c r="A2920" s="320" t="s">
        <v>407</v>
      </c>
      <c r="B2920" t="str">
        <f>+_xlfn.XLOOKUP(Tabla6[[#This Row],[ID CLIENTE]],'RESUMEN CLIENTES'!D:D,'RESUMEN CLIENTES'!A:A)</f>
        <v>Mayra Leonor Rivera Paico</v>
      </c>
      <c r="C2920" t="str">
        <f>+_xlfn.XLOOKUP(Tabla6[[#This Row],[ID CLIENTE]],'RESUMEN CLIENTES'!D:D,'RESUMEN CLIENTES'!C:C)</f>
        <v>Perú</v>
      </c>
      <c r="D2920" s="44" t="str">
        <f>+_xlfn.XLOOKUP(Tabla6[[#This Row],[ID CLIENTE]],'RESUMEN CLIENTES'!D:D,'RESUMEN CLIENTES'!M:M)</f>
        <v>OK</v>
      </c>
      <c r="E2920" s="72">
        <f>+_xlfn.XLOOKUP(Tabla6[[#This Row],[NOMBRE]],'RESUMEN CLIENTES'!A:A,'RESUMEN CLIENTES'!X:X)</f>
        <v>-0.22222222222222221</v>
      </c>
      <c r="F2920" s="72">
        <f>+_xlfn.XLOOKUP(Tabla6[[#This Row],[ID CLIENTE]],'RESUMEN CLIENTES'!D:D,'RESUMEN CLIENTES'!W:W)</f>
        <v>0</v>
      </c>
      <c r="G2920" s="17" t="str">
        <f>IF($H2920&lt;&gt;"ALEM","",IFERROR(
  DATE(
    YEAR(EDATE(
      _xlfn.XLOOKUP($A2920,'RESUMEN CLIENTES'!$D:$D,'RESUMEN CLIENTES'!$Y:$Y,""),
      7 + COUNTIFS(
            $A$2:INDEX($A:$A,ROW()), $A2920,
            $H$2:INDEX($H:$H,ROW()), "ALEM"
          )
    )),
    MONTH(EDATE(
      _xlfn.XLOOKUP($A2920,'RESUMEN CLIENTES'!$D:$D,'RESUMEN CLIENTES'!$Y:$Y,""),
      7 + COUNTIFS(
            $A$2:INDEX($A:$A,ROW()), $A2920,
            $H$2:INDEX($H:$H,ROW()), "ALEM"
          )
    )),
    1
  ),
"null"))</f>
        <v>null</v>
      </c>
      <c r="H2920" s="44" t="s">
        <v>1876</v>
      </c>
      <c r="I2920" s="2">
        <v>1000</v>
      </c>
      <c r="J2920"/>
      <c r="K2920"/>
      <c r="L2920" s="44" t="str" cm="1">
        <f t="array" ref="L2920">+_xlfn.IFS(COUNTIF(INGRESOS!E:E,Tabla6[[#This Row],[ID FACTURA]])=1,"PAGADA",Tabla6[[#This Row],[ID FACTURA]]&lt;&gt;0,"EMITIDA",Tabla6[[#This Row],[ID FACTURA]]=0,"POR EMITIR")</f>
        <v>POR EMITIR</v>
      </c>
      <c r="M2920" s="55" t="str">
        <f>+IF(Tabla6[[#This Row],[ESTADO FACTURA]]="PAGADA",Tabla6[[#This Row],[FECHA]]-_xlfn.XLOOKUP(Tabla6[[#This Row],[N° FACTURA]],INGRESOS!F:F,INGRESOS!A:A),"-")</f>
        <v>-</v>
      </c>
      <c r="N2920" s="2"/>
      <c r="O2920"/>
    </row>
    <row r="2921" spans="1:15">
      <c r="A2921" s="320" t="s">
        <v>407</v>
      </c>
      <c r="B2921" t="str">
        <f>+_xlfn.XLOOKUP(Tabla6[[#This Row],[ID CLIENTE]],'RESUMEN CLIENTES'!D:D,'RESUMEN CLIENTES'!A:A)</f>
        <v>Mayra Leonor Rivera Paico</v>
      </c>
      <c r="C2921" t="str">
        <f>+_xlfn.XLOOKUP(Tabla6[[#This Row],[ID CLIENTE]],'RESUMEN CLIENTES'!D:D,'RESUMEN CLIENTES'!C:C)</f>
        <v>Perú</v>
      </c>
      <c r="D2921" s="44" t="str">
        <f>+_xlfn.XLOOKUP(Tabla6[[#This Row],[ID CLIENTE]],'RESUMEN CLIENTES'!D:D,'RESUMEN CLIENTES'!M:M)</f>
        <v>OK</v>
      </c>
      <c r="E2921" s="72">
        <f>+_xlfn.XLOOKUP(Tabla6[[#This Row],[NOMBRE]],'RESUMEN CLIENTES'!A:A,'RESUMEN CLIENTES'!X:X)</f>
        <v>-0.22222222222222221</v>
      </c>
      <c r="F2921" s="72">
        <f>+_xlfn.XLOOKUP(Tabla6[[#This Row],[ID CLIENTE]],'RESUMEN CLIENTES'!D:D,'RESUMEN CLIENTES'!W:W)</f>
        <v>0</v>
      </c>
      <c r="G2921" s="17" t="str">
        <f>IF($H2921&lt;&gt;"ALEM","",IFERROR(
  DATE(
    YEAR(EDATE(
      _xlfn.XLOOKUP($A2921,'RESUMEN CLIENTES'!$D:$D,'RESUMEN CLIENTES'!$Y:$Y,""),
      7 + COUNTIFS(
            $A$2:INDEX($A:$A,ROW()), $A2921,
            $H$2:INDEX($H:$H,ROW()), "ALEM"
          )
    )),
    MONTH(EDATE(
      _xlfn.XLOOKUP($A2921,'RESUMEN CLIENTES'!$D:$D,'RESUMEN CLIENTES'!$Y:$Y,""),
      7 + COUNTIFS(
            $A$2:INDEX($A:$A,ROW()), $A2921,
            $H$2:INDEX($H:$H,ROW()), "ALEM"
          )
    )),
    1
  ),
"null"))</f>
        <v>null</v>
      </c>
      <c r="H2921" s="44" t="s">
        <v>1876</v>
      </c>
      <c r="I2921" s="2">
        <v>1000</v>
      </c>
      <c r="J2921"/>
      <c r="K2921"/>
      <c r="L2921" s="44" t="str" cm="1">
        <f t="array" ref="L2921">+_xlfn.IFS(COUNTIF(INGRESOS!E:E,Tabla6[[#This Row],[ID FACTURA]])=1,"PAGADA",Tabla6[[#This Row],[ID FACTURA]]&lt;&gt;0,"EMITIDA",Tabla6[[#This Row],[ID FACTURA]]=0,"POR EMITIR")</f>
        <v>POR EMITIR</v>
      </c>
      <c r="M2921" s="55" t="str">
        <f>+IF(Tabla6[[#This Row],[ESTADO FACTURA]]="PAGADA",Tabla6[[#This Row],[FECHA]]-_xlfn.XLOOKUP(Tabla6[[#This Row],[N° FACTURA]],INGRESOS!F:F,INGRESOS!A:A),"-")</f>
        <v>-</v>
      </c>
      <c r="N2921" s="2"/>
      <c r="O2921"/>
    </row>
    <row r="2922" spans="1:15">
      <c r="A2922" s="320" t="s">
        <v>407</v>
      </c>
      <c r="B2922" t="str">
        <f>+_xlfn.XLOOKUP(Tabla6[[#This Row],[ID CLIENTE]],'RESUMEN CLIENTES'!D:D,'RESUMEN CLIENTES'!A:A)</f>
        <v>Mayra Leonor Rivera Paico</v>
      </c>
      <c r="C2922" t="str">
        <f>+_xlfn.XLOOKUP(Tabla6[[#This Row],[ID CLIENTE]],'RESUMEN CLIENTES'!D:D,'RESUMEN CLIENTES'!C:C)</f>
        <v>Perú</v>
      </c>
      <c r="D2922" s="44" t="str">
        <f>+_xlfn.XLOOKUP(Tabla6[[#This Row],[ID CLIENTE]],'RESUMEN CLIENTES'!D:D,'RESUMEN CLIENTES'!M:M)</f>
        <v>OK</v>
      </c>
      <c r="E2922" s="72">
        <f>+_xlfn.XLOOKUP(Tabla6[[#This Row],[NOMBRE]],'RESUMEN CLIENTES'!A:A,'RESUMEN CLIENTES'!X:X)</f>
        <v>-0.22222222222222221</v>
      </c>
      <c r="F2922" s="72">
        <f>+_xlfn.XLOOKUP(Tabla6[[#This Row],[ID CLIENTE]],'RESUMEN CLIENTES'!D:D,'RESUMEN CLIENTES'!W:W)</f>
        <v>0</v>
      </c>
      <c r="G2922" s="17" t="str">
        <f>IF($H2922&lt;&gt;"ALEM","",IFERROR(
  DATE(
    YEAR(EDATE(
      _xlfn.XLOOKUP($A2922,'RESUMEN CLIENTES'!$D:$D,'RESUMEN CLIENTES'!$Y:$Y,""),
      7 + COUNTIFS(
            $A$2:INDEX($A:$A,ROW()), $A2922,
            $H$2:INDEX($H:$H,ROW()), "ALEM"
          )
    )),
    MONTH(EDATE(
      _xlfn.XLOOKUP($A2922,'RESUMEN CLIENTES'!$D:$D,'RESUMEN CLIENTES'!$Y:$Y,""),
      7 + COUNTIFS(
            $A$2:INDEX($A:$A,ROW()), $A2922,
            $H$2:INDEX($H:$H,ROW()), "ALEM"
          )
    )),
    1
  ),
"null"))</f>
        <v>null</v>
      </c>
      <c r="H2922" s="44" t="s">
        <v>1876</v>
      </c>
      <c r="I2922" s="2">
        <v>1000</v>
      </c>
      <c r="J2922"/>
      <c r="K2922"/>
      <c r="L2922" s="44" t="str" cm="1">
        <f t="array" ref="L2922">+_xlfn.IFS(COUNTIF(INGRESOS!E:E,Tabla6[[#This Row],[ID FACTURA]])=1,"PAGADA",Tabla6[[#This Row],[ID FACTURA]]&lt;&gt;0,"EMITIDA",Tabla6[[#This Row],[ID FACTURA]]=0,"POR EMITIR")</f>
        <v>POR EMITIR</v>
      </c>
      <c r="M2922" s="55" t="str">
        <f>+IF(Tabla6[[#This Row],[ESTADO FACTURA]]="PAGADA",Tabla6[[#This Row],[FECHA]]-_xlfn.XLOOKUP(Tabla6[[#This Row],[N° FACTURA]],INGRESOS!F:F,INGRESOS!A:A),"-")</f>
        <v>-</v>
      </c>
      <c r="N2922" s="2"/>
      <c r="O2922"/>
    </row>
    <row r="2923" spans="1:15">
      <c r="A2923" s="320" t="s">
        <v>407</v>
      </c>
      <c r="B2923" t="str">
        <f>+_xlfn.XLOOKUP(Tabla6[[#This Row],[ID CLIENTE]],'RESUMEN CLIENTES'!D:D,'RESUMEN CLIENTES'!A:A)</f>
        <v>Mayra Leonor Rivera Paico</v>
      </c>
      <c r="C2923" t="str">
        <f>+_xlfn.XLOOKUP(Tabla6[[#This Row],[ID CLIENTE]],'RESUMEN CLIENTES'!D:D,'RESUMEN CLIENTES'!C:C)</f>
        <v>Perú</v>
      </c>
      <c r="D2923" s="44" t="str">
        <f>+_xlfn.XLOOKUP(Tabla6[[#This Row],[ID CLIENTE]],'RESUMEN CLIENTES'!D:D,'RESUMEN CLIENTES'!M:M)</f>
        <v>OK</v>
      </c>
      <c r="E2923" s="72">
        <f>+_xlfn.XLOOKUP(Tabla6[[#This Row],[NOMBRE]],'RESUMEN CLIENTES'!A:A,'RESUMEN CLIENTES'!X:X)</f>
        <v>-0.22222222222222221</v>
      </c>
      <c r="F2923" s="72">
        <f>+_xlfn.XLOOKUP(Tabla6[[#This Row],[ID CLIENTE]],'RESUMEN CLIENTES'!D:D,'RESUMEN CLIENTES'!W:W)</f>
        <v>0</v>
      </c>
      <c r="G2923" s="17" t="str">
        <f>IF($H2923&lt;&gt;"ALEM","",IFERROR(
  DATE(
    YEAR(EDATE(
      _xlfn.XLOOKUP($A2923,'RESUMEN CLIENTES'!$D:$D,'RESUMEN CLIENTES'!$Y:$Y,""),
      7 + COUNTIFS(
            $A$2:INDEX($A:$A,ROW()), $A2923,
            $H$2:INDEX($H:$H,ROW()), "ALEM"
          )
    )),
    MONTH(EDATE(
      _xlfn.XLOOKUP($A2923,'RESUMEN CLIENTES'!$D:$D,'RESUMEN CLIENTES'!$Y:$Y,""),
      7 + COUNTIFS(
            $A$2:INDEX($A:$A,ROW()), $A2923,
            $H$2:INDEX($H:$H,ROW()), "ALEM"
          )
    )),
    1
  ),
"null"))</f>
        <v>null</v>
      </c>
      <c r="H2923" s="44" t="s">
        <v>1876</v>
      </c>
      <c r="I2923" s="2">
        <v>1000</v>
      </c>
      <c r="J2923"/>
      <c r="K2923"/>
      <c r="L2923" s="44" t="str" cm="1">
        <f t="array" ref="L2923">+_xlfn.IFS(COUNTIF(INGRESOS!E:E,Tabla6[[#This Row],[ID FACTURA]])=1,"PAGADA",Tabla6[[#This Row],[ID FACTURA]]&lt;&gt;0,"EMITIDA",Tabla6[[#This Row],[ID FACTURA]]=0,"POR EMITIR")</f>
        <v>POR EMITIR</v>
      </c>
      <c r="M2923" s="55" t="str">
        <f>+IF(Tabla6[[#This Row],[ESTADO FACTURA]]="PAGADA",Tabla6[[#This Row],[FECHA]]-_xlfn.XLOOKUP(Tabla6[[#This Row],[N° FACTURA]],INGRESOS!F:F,INGRESOS!A:A),"-")</f>
        <v>-</v>
      </c>
      <c r="N2923" s="2"/>
      <c r="O2923"/>
    </row>
    <row r="2924" spans="1:15">
      <c r="A2924" s="320" t="s">
        <v>535</v>
      </c>
      <c r="B2924" t="str">
        <f>+_xlfn.XLOOKUP(Tabla6[[#This Row],[ID CLIENTE]],'RESUMEN CLIENTES'!D:D,'RESUMEN CLIENTES'!A:A)</f>
        <v>Miguel Angel Pretell Cabrera</v>
      </c>
      <c r="C2924" t="str">
        <f>+_xlfn.XLOOKUP(Tabla6[[#This Row],[ID CLIENTE]],'RESUMEN CLIENTES'!D:D,'RESUMEN CLIENTES'!C:C)</f>
        <v>Perú</v>
      </c>
      <c r="D2924" s="44" t="str">
        <f>+_xlfn.XLOOKUP(Tabla6[[#This Row],[ID CLIENTE]],'RESUMEN CLIENTES'!D:D,'RESUMEN CLIENTES'!M:M)</f>
        <v>OK</v>
      </c>
      <c r="E2924" s="72">
        <f>+_xlfn.XLOOKUP(Tabla6[[#This Row],[NOMBRE]],'RESUMEN CLIENTES'!A:A,'RESUMEN CLIENTES'!X:X)</f>
        <v>-2.5</v>
      </c>
      <c r="F2924" s="72">
        <f>+_xlfn.XLOOKUP(Tabla6[[#This Row],[ID CLIENTE]],'RESUMEN CLIENTES'!D:D,'RESUMEN CLIENTES'!W:W)</f>
        <v>0</v>
      </c>
      <c r="G2924" s="17" t="s">
        <v>2093</v>
      </c>
      <c r="H2924" s="44" t="s">
        <v>1669</v>
      </c>
      <c r="I2924" s="2">
        <v>1700</v>
      </c>
      <c r="J2924"/>
      <c r="K2924"/>
      <c r="L2924" s="44" t="str" cm="1">
        <f t="array" ref="L2924">+_xlfn.IFS(COUNTIF(INGRESOS!E:E,Tabla6[[#This Row],[ID FACTURA]])=1,"PAGADA",Tabla6[[#This Row],[ID FACTURA]]&lt;&gt;0,"EMITIDA",Tabla6[[#This Row],[ID FACTURA]]=0,"POR EMITIR")</f>
        <v>POR EMITIR</v>
      </c>
      <c r="M2924" s="55" t="str">
        <f>+IF(Tabla6[[#This Row],[ESTADO FACTURA]]="PAGADA",Tabla6[[#This Row],[FECHA]]-_xlfn.XLOOKUP(Tabla6[[#This Row],[N° FACTURA]],INGRESOS!F:F,INGRESOS!A:A),"-")</f>
        <v>-</v>
      </c>
      <c r="N2924" s="2"/>
      <c r="O2924" s="8" t="s">
        <v>2097</v>
      </c>
    </row>
    <row r="2925" spans="1:15">
      <c r="A2925" s="320" t="s">
        <v>535</v>
      </c>
      <c r="B2925" t="str">
        <f>+_xlfn.XLOOKUP(Tabla6[[#This Row],[ID CLIENTE]],'RESUMEN CLIENTES'!D:D,'RESUMEN CLIENTES'!A:A)</f>
        <v>Miguel Angel Pretell Cabrera</v>
      </c>
      <c r="C2925" t="str">
        <f>+_xlfn.XLOOKUP(Tabla6[[#This Row],[ID CLIENTE]],'RESUMEN CLIENTES'!D:D,'RESUMEN CLIENTES'!C:C)</f>
        <v>Perú</v>
      </c>
      <c r="D2925" s="44" t="str">
        <f>+_xlfn.XLOOKUP(Tabla6[[#This Row],[ID CLIENTE]],'RESUMEN CLIENTES'!D:D,'RESUMEN CLIENTES'!M:M)</f>
        <v>OK</v>
      </c>
      <c r="E2925" s="72">
        <f>+_xlfn.XLOOKUP(Tabla6[[#This Row],[NOMBRE]],'RESUMEN CLIENTES'!A:A,'RESUMEN CLIENTES'!X:X)</f>
        <v>-2.5</v>
      </c>
      <c r="F2925" s="72">
        <f>+_xlfn.XLOOKUP(Tabla6[[#This Row],[ID CLIENTE]],'RESUMEN CLIENTES'!D:D,'RESUMEN CLIENTES'!W:W)</f>
        <v>0</v>
      </c>
      <c r="G2925" s="17" t="str">
        <f>IF($H2925&lt;&gt;"ALEM","",IFERROR(
  DATE(
    YEAR(EDATE(
      _xlfn.XLOOKUP($A2925,'RESUMEN CLIENTES'!$D:$D,'RESUMEN CLIENTES'!$Y:$Y,""),
      7 + COUNTIFS(
            $A$2:INDEX($A:$A,ROW()), $A2925,
            $H$2:INDEX($H:$H,ROW()), "ALEM"
          )
    )),
    MONTH(EDATE(
      _xlfn.XLOOKUP($A2925,'RESUMEN CLIENTES'!$D:$D,'RESUMEN CLIENTES'!$Y:$Y,""),
      7 + COUNTIFS(
            $A$2:INDEX($A:$A,ROW()), $A2925,
            $H$2:INDEX($H:$H,ROW()), "ALEM"
          )
    )),
    1
  ),
"null"))</f>
        <v>null</v>
      </c>
      <c r="H2925" s="44" t="s">
        <v>1876</v>
      </c>
      <c r="I2925" s="2">
        <v>3700</v>
      </c>
      <c r="J2925"/>
      <c r="K2925"/>
      <c r="L2925" s="44" t="str" cm="1">
        <f t="array" ref="L2925">+_xlfn.IFS(COUNTIF(INGRESOS!E:E,Tabla6[[#This Row],[ID FACTURA]])=1,"PAGADA",Tabla6[[#This Row],[ID FACTURA]]&lt;&gt;0,"EMITIDA",Tabla6[[#This Row],[ID FACTURA]]=0,"POR EMITIR")</f>
        <v>POR EMITIR</v>
      </c>
      <c r="M2925" s="55" t="str">
        <f>+IF(Tabla6[[#This Row],[ESTADO FACTURA]]="PAGADA",Tabla6[[#This Row],[FECHA]]-_xlfn.XLOOKUP(Tabla6[[#This Row],[N° FACTURA]],INGRESOS!F:F,INGRESOS!A:A),"-")</f>
        <v>-</v>
      </c>
      <c r="N2925" s="2"/>
      <c r="O2925"/>
    </row>
    <row r="2926" spans="1:15">
      <c r="A2926" s="320" t="s">
        <v>535</v>
      </c>
      <c r="B2926" t="str">
        <f>+_xlfn.XLOOKUP(Tabla6[[#This Row],[ID CLIENTE]],'RESUMEN CLIENTES'!D:D,'RESUMEN CLIENTES'!A:A)</f>
        <v>Miguel Angel Pretell Cabrera</v>
      </c>
      <c r="C2926" t="str">
        <f>+_xlfn.XLOOKUP(Tabla6[[#This Row],[ID CLIENTE]],'RESUMEN CLIENTES'!D:D,'RESUMEN CLIENTES'!C:C)</f>
        <v>Perú</v>
      </c>
      <c r="D2926" s="44" t="str">
        <f>+_xlfn.XLOOKUP(Tabla6[[#This Row],[ID CLIENTE]],'RESUMEN CLIENTES'!D:D,'RESUMEN CLIENTES'!M:M)</f>
        <v>OK</v>
      </c>
      <c r="E2926" s="72">
        <f>+_xlfn.XLOOKUP(Tabla6[[#This Row],[NOMBRE]],'RESUMEN CLIENTES'!A:A,'RESUMEN CLIENTES'!X:X)</f>
        <v>-2.5</v>
      </c>
      <c r="F2926" s="72">
        <f>+_xlfn.XLOOKUP(Tabla6[[#This Row],[ID CLIENTE]],'RESUMEN CLIENTES'!D:D,'RESUMEN CLIENTES'!W:W)</f>
        <v>0</v>
      </c>
      <c r="G2926" s="17" t="str">
        <f>IF($H2926&lt;&gt;"ALEM","",IFERROR(
  DATE(
    YEAR(EDATE(
      _xlfn.XLOOKUP($A2926,'RESUMEN CLIENTES'!$D:$D,'RESUMEN CLIENTES'!$Y:$Y,""),
      7 + COUNTIFS(
            $A$2:INDEX($A:$A,ROW()), $A2926,
            $H$2:INDEX($H:$H,ROW()), "ALEM"
          )
    )),
    MONTH(EDATE(
      _xlfn.XLOOKUP($A2926,'RESUMEN CLIENTES'!$D:$D,'RESUMEN CLIENTES'!$Y:$Y,""),
      7 + COUNTIFS(
            $A$2:INDEX($A:$A,ROW()), $A2926,
            $H$2:INDEX($H:$H,ROW()), "ALEM"
          )
    )),
    1
  ),
"null"))</f>
        <v>null</v>
      </c>
      <c r="H2926" s="44" t="s">
        <v>1876</v>
      </c>
      <c r="I2926" s="2">
        <v>5000</v>
      </c>
      <c r="J2926"/>
      <c r="K2926"/>
      <c r="L2926" s="44" t="str" cm="1">
        <f t="array" ref="L2926">+_xlfn.IFS(COUNTIF(INGRESOS!E:E,Tabla6[[#This Row],[ID FACTURA]])=1,"PAGADA",Tabla6[[#This Row],[ID FACTURA]]&lt;&gt;0,"EMITIDA",Tabla6[[#This Row],[ID FACTURA]]=0,"POR EMITIR")</f>
        <v>POR EMITIR</v>
      </c>
      <c r="M2926" s="55" t="str">
        <f>+IF(Tabla6[[#This Row],[ESTADO FACTURA]]="PAGADA",Tabla6[[#This Row],[FECHA]]-_xlfn.XLOOKUP(Tabla6[[#This Row],[N° FACTURA]],INGRESOS!F:F,INGRESOS!A:A),"-")</f>
        <v>-</v>
      </c>
      <c r="N2926" s="2"/>
      <c r="O2926"/>
    </row>
    <row r="2927" spans="1:15">
      <c r="A2927" s="320" t="s">
        <v>1658</v>
      </c>
      <c r="B2927" t="str">
        <f>+_xlfn.XLOOKUP(Tabla6[[#This Row],[ID CLIENTE]],'RESUMEN CLIENTES'!D:D,'RESUMEN CLIENTES'!A:A)</f>
        <v>Nadya Sofía García Carrasco</v>
      </c>
      <c r="C2927" t="str">
        <f>+_xlfn.XLOOKUP(Tabla6[[#This Row],[ID CLIENTE]],'RESUMEN CLIENTES'!D:D,'RESUMEN CLIENTES'!C:C)</f>
        <v>Ecuador</v>
      </c>
      <c r="D2927" s="169" t="str">
        <f>+_xlfn.XLOOKUP(Tabla6[[#This Row],[ID CLIENTE]],'RESUMEN CLIENTES'!D:D,'RESUMEN CLIENTES'!M:M)</f>
        <v>OK</v>
      </c>
      <c r="E2927" s="71">
        <f>+_xlfn.XLOOKUP(Tabla6[[#This Row],[NOMBRE]],'RESUMEN CLIENTES'!A:A,'RESUMEN CLIENTES'!X:X)</f>
        <v>0</v>
      </c>
      <c r="F2927" s="71">
        <f>+_xlfn.XLOOKUP(Tabla6[[#This Row],[ID CLIENTE]],'RESUMEN CLIENTES'!D:D,'RESUMEN CLIENTES'!W:W)</f>
        <v>1</v>
      </c>
      <c r="G2927" s="17" t="s">
        <v>2093</v>
      </c>
      <c r="H2927" s="169" t="s">
        <v>1669</v>
      </c>
      <c r="I2927" s="2">
        <v>3000</v>
      </c>
      <c r="J2927"/>
      <c r="K2927"/>
      <c r="L2927" s="44" t="str" cm="1">
        <f t="array" ref="L2927">+_xlfn.IFS(COUNTIF(INGRESOS!E:E,Tabla6[[#This Row],[ID FACTURA]])=1,"PAGADA",Tabla6[[#This Row],[ID FACTURA]]&lt;&gt;0,"EMITIDA",Tabla6[[#This Row],[ID FACTURA]]=0,"POR EMITIR")</f>
        <v>POR EMITIR</v>
      </c>
      <c r="M2927" s="55" t="str">
        <f>+IF(Tabla6[[#This Row],[ESTADO FACTURA]]="PAGADA",Tabla6[[#This Row],[FECHA]]-_xlfn.XLOOKUP(Tabla6[[#This Row],[N° FACTURA]],INGRESOS!F:F,INGRESOS!A:A),"-")</f>
        <v>-</v>
      </c>
      <c r="O2927"/>
    </row>
    <row r="2928" spans="1:15">
      <c r="A2928" s="321" t="s">
        <v>1881</v>
      </c>
      <c r="B2928" t="str">
        <f>+_xlfn.XLOOKUP(Tabla6[[#This Row],[ID CLIENTE]],'RESUMEN CLIENTES'!D:D,'RESUMEN CLIENTES'!A:A)</f>
        <v>Paulina Alejandra Silva Gómez</v>
      </c>
      <c r="C2928" t="str">
        <f>+_xlfn.XLOOKUP(Tabla6[[#This Row],[ID CLIENTE]],'RESUMEN CLIENTES'!D:D,'RESUMEN CLIENTES'!C:C)</f>
        <v>Chile</v>
      </c>
      <c r="D2928" s="169" t="str">
        <f>+_xlfn.XLOOKUP(Tabla6[[#This Row],[ID CLIENTE]],'RESUMEN CLIENTES'!D:D,'RESUMEN CLIENTES'!M:M)</f>
        <v>¡REGULARIZAR!</v>
      </c>
      <c r="E2928" s="71">
        <f>+_xlfn.XLOOKUP(Tabla6[[#This Row],[NOMBRE]],'RESUMEN CLIENTES'!A:A,'RESUMEN CLIENTES'!X:X)</f>
        <v>-6.833333333333333</v>
      </c>
      <c r="F2928" s="71">
        <f>+_xlfn.XLOOKUP(Tabla6[[#This Row],[ID CLIENTE]],'RESUMEN CLIENTES'!D:D,'RESUMEN CLIENTES'!W:W)</f>
        <v>0</v>
      </c>
      <c r="G2928" s="17" t="s">
        <v>2093</v>
      </c>
      <c r="H2928" s="169" t="s">
        <v>1669</v>
      </c>
      <c r="I2928" s="2">
        <v>3000</v>
      </c>
      <c r="J2928"/>
      <c r="K2928"/>
      <c r="L2928" s="44" t="str" cm="1">
        <f t="array" ref="L2928">+_xlfn.IFS(COUNTIF(INGRESOS!E:E,Tabla6[[#This Row],[ID FACTURA]])=1,"PAGADA",Tabla6[[#This Row],[ID FACTURA]]&lt;&gt;0,"EMITIDA",Tabla6[[#This Row],[ID FACTURA]]=0,"POR EMITIR")</f>
        <v>POR EMITIR</v>
      </c>
      <c r="M2928" s="54" t="str">
        <f>+IF(Tabla6[[#This Row],[ESTADO FACTURA]]="PAGADA",Tabla6[[#This Row],[FECHA]]-_xlfn.XLOOKUP(Tabla6[[#This Row],[N° FACTURA]],INGRESOS!F:F,INGRESOS!A:A),"-")</f>
        <v>-</v>
      </c>
      <c r="O2928"/>
    </row>
    <row r="2929" spans="1:15">
      <c r="A2929" s="320" t="s">
        <v>350</v>
      </c>
      <c r="B2929" t="str">
        <f>+_xlfn.XLOOKUP(Tabla6[[#This Row],[ID CLIENTE]],'RESUMEN CLIENTES'!D:D,'RESUMEN CLIENTES'!A:A)</f>
        <v>Rainier Guerrero</v>
      </c>
      <c r="C2929" t="str">
        <f>+_xlfn.XLOOKUP(Tabla6[[#This Row],[ID CLIENTE]],'RESUMEN CLIENTES'!D:D,'RESUMEN CLIENTES'!C:C)</f>
        <v>México</v>
      </c>
      <c r="D2929" s="44" t="str">
        <f>+_xlfn.XLOOKUP(Tabla6[[#This Row],[ID CLIENTE]],'RESUMEN CLIENTES'!D:D,'RESUMEN CLIENTES'!M:M)</f>
        <v>OK</v>
      </c>
      <c r="E2929" s="72">
        <f>+_xlfn.XLOOKUP(Tabla6[[#This Row],[NOMBRE]],'RESUMEN CLIENTES'!A:A,'RESUMEN CLIENTES'!X:X)</f>
        <v>-0.3</v>
      </c>
      <c r="F2929" s="72">
        <f>+_xlfn.XLOOKUP(Tabla6[[#This Row],[ID CLIENTE]],'RESUMEN CLIENTES'!D:D,'RESUMEN CLIENTES'!W:W)</f>
        <v>1</v>
      </c>
      <c r="G2929" s="17" t="str">
        <f>IF($H2929&lt;&gt;"ALEM","",IFERROR(
  DATE(
    YEAR(EDATE(
      _xlfn.XLOOKUP($A2929,'RESUMEN CLIENTES'!$D:$D,'RESUMEN CLIENTES'!$Y:$Y,""),
      7 + COUNTIFS(
            $A$2:INDEX($A:$A,ROW()), $A2929,
            $H$2:INDEX($H:$H,ROW()), "ALEM"
          )
    )),
    MONTH(EDATE(
      _xlfn.XLOOKUP($A2929,'RESUMEN CLIENTES'!$D:$D,'RESUMEN CLIENTES'!$Y:$Y,""),
      7 + COUNTIFS(
            $A$2:INDEX($A:$A,ROW()), $A2929,
            $H$2:INDEX($H:$H,ROW()), "ALEM"
          )
    )),
    1
  ),
"null"))</f>
        <v>null</v>
      </c>
      <c r="H2929" s="44" t="s">
        <v>1876</v>
      </c>
      <c r="I2929" s="2">
        <v>1000</v>
      </c>
      <c r="J2929"/>
      <c r="K2929"/>
      <c r="L2929" s="44" t="str" cm="1">
        <f t="array" ref="L2929">+_xlfn.IFS(COUNTIF(INGRESOS!E:E,Tabla6[[#This Row],[ID FACTURA]])=1,"PAGADA",Tabla6[[#This Row],[ID FACTURA]]&lt;&gt;0,"EMITIDA",Tabla6[[#This Row],[ID FACTURA]]=0,"POR EMITIR")</f>
        <v>POR EMITIR</v>
      </c>
      <c r="M2929" s="55" t="str">
        <f>+IF(Tabla6[[#This Row],[ESTADO FACTURA]]="PAGADA",Tabla6[[#This Row],[FECHA]]-_xlfn.XLOOKUP(Tabla6[[#This Row],[N° FACTURA]],INGRESOS!F:F,INGRESOS!A:A),"-")</f>
        <v>-</v>
      </c>
      <c r="N2929" s="2"/>
      <c r="O2929"/>
    </row>
    <row r="2930" spans="1:15">
      <c r="A2930" s="320" t="s">
        <v>350</v>
      </c>
      <c r="B2930" t="str">
        <f>+_xlfn.XLOOKUP(Tabla6[[#This Row],[ID CLIENTE]],'RESUMEN CLIENTES'!D:D,'RESUMEN CLIENTES'!A:A)</f>
        <v>Rainier Guerrero</v>
      </c>
      <c r="C2930" t="str">
        <f>+_xlfn.XLOOKUP(Tabla6[[#This Row],[ID CLIENTE]],'RESUMEN CLIENTES'!D:D,'RESUMEN CLIENTES'!C:C)</f>
        <v>México</v>
      </c>
      <c r="D2930" s="44" t="str">
        <f>+_xlfn.XLOOKUP(Tabla6[[#This Row],[ID CLIENTE]],'RESUMEN CLIENTES'!D:D,'RESUMEN CLIENTES'!M:M)</f>
        <v>OK</v>
      </c>
      <c r="E2930" s="72">
        <f>+_xlfn.XLOOKUP(Tabla6[[#This Row],[NOMBRE]],'RESUMEN CLIENTES'!A:A,'RESUMEN CLIENTES'!X:X)</f>
        <v>-0.3</v>
      </c>
      <c r="F2930" s="72">
        <f>+_xlfn.XLOOKUP(Tabla6[[#This Row],[ID CLIENTE]],'RESUMEN CLIENTES'!D:D,'RESUMEN CLIENTES'!W:W)</f>
        <v>1</v>
      </c>
      <c r="G2930" s="17" t="str">
        <f>IF($H2930&lt;&gt;"ALEM","",IFERROR(
  DATE(
    YEAR(EDATE(
      _xlfn.XLOOKUP($A2930,'RESUMEN CLIENTES'!$D:$D,'RESUMEN CLIENTES'!$Y:$Y,""),
      7 + COUNTIFS(
            $A$2:INDEX($A:$A,ROW()), $A2930,
            $H$2:INDEX($H:$H,ROW()), "ALEM"
          )
    )),
    MONTH(EDATE(
      _xlfn.XLOOKUP($A2930,'RESUMEN CLIENTES'!$D:$D,'RESUMEN CLIENTES'!$Y:$Y,""),
      7 + COUNTIFS(
            $A$2:INDEX($A:$A,ROW()), $A2930,
            $H$2:INDEX($H:$H,ROW()), "ALEM"
          )
    )),
    1
  ),
"null"))</f>
        <v>null</v>
      </c>
      <c r="H2930" s="44" t="s">
        <v>1876</v>
      </c>
      <c r="I2930" s="2">
        <v>1000</v>
      </c>
      <c r="J2930"/>
      <c r="K2930"/>
      <c r="L2930" s="44" t="str" cm="1">
        <f t="array" ref="L2930">+_xlfn.IFS(COUNTIF(INGRESOS!E:E,Tabla6[[#This Row],[ID FACTURA]])=1,"PAGADA",Tabla6[[#This Row],[ID FACTURA]]&lt;&gt;0,"EMITIDA",Tabla6[[#This Row],[ID FACTURA]]=0,"POR EMITIR")</f>
        <v>POR EMITIR</v>
      </c>
      <c r="M2930" s="55" t="str">
        <f>+IF(Tabla6[[#This Row],[ESTADO FACTURA]]="PAGADA",Tabla6[[#This Row],[FECHA]]-_xlfn.XLOOKUP(Tabla6[[#This Row],[N° FACTURA]],INGRESOS!F:F,INGRESOS!A:A),"-")</f>
        <v>-</v>
      </c>
      <c r="N2930" s="2"/>
      <c r="O2930"/>
    </row>
    <row r="2931" spans="1:15">
      <c r="A2931" s="320" t="s">
        <v>350</v>
      </c>
      <c r="B2931" t="str">
        <f>+_xlfn.XLOOKUP(Tabla6[[#This Row],[ID CLIENTE]],'RESUMEN CLIENTES'!D:D,'RESUMEN CLIENTES'!A:A)</f>
        <v>Rainier Guerrero</v>
      </c>
      <c r="C2931" t="str">
        <f>+_xlfn.XLOOKUP(Tabla6[[#This Row],[ID CLIENTE]],'RESUMEN CLIENTES'!D:D,'RESUMEN CLIENTES'!C:C)</f>
        <v>México</v>
      </c>
      <c r="D2931" s="44" t="str">
        <f>+_xlfn.XLOOKUP(Tabla6[[#This Row],[ID CLIENTE]],'RESUMEN CLIENTES'!D:D,'RESUMEN CLIENTES'!M:M)</f>
        <v>OK</v>
      </c>
      <c r="E2931" s="72">
        <f>+_xlfn.XLOOKUP(Tabla6[[#This Row],[NOMBRE]],'RESUMEN CLIENTES'!A:A,'RESUMEN CLIENTES'!X:X)</f>
        <v>-0.3</v>
      </c>
      <c r="F2931" s="72">
        <f>+_xlfn.XLOOKUP(Tabla6[[#This Row],[ID CLIENTE]],'RESUMEN CLIENTES'!D:D,'RESUMEN CLIENTES'!W:W)</f>
        <v>1</v>
      </c>
      <c r="G2931" s="17" t="str">
        <f>IF($H2931&lt;&gt;"ALEM","",IFERROR(
  DATE(
    YEAR(EDATE(
      _xlfn.XLOOKUP($A2931,'RESUMEN CLIENTES'!$D:$D,'RESUMEN CLIENTES'!$Y:$Y,""),
      7 + COUNTIFS(
            $A$2:INDEX($A:$A,ROW()), $A2931,
            $H$2:INDEX($H:$H,ROW()), "ALEM"
          )
    )),
    MONTH(EDATE(
      _xlfn.XLOOKUP($A2931,'RESUMEN CLIENTES'!$D:$D,'RESUMEN CLIENTES'!$Y:$Y,""),
      7 + COUNTIFS(
            $A$2:INDEX($A:$A,ROW()), $A2931,
            $H$2:INDEX($H:$H,ROW()), "ALEM"
          )
    )),
    1
  ),
"null"))</f>
        <v>null</v>
      </c>
      <c r="H2931" s="44" t="s">
        <v>1876</v>
      </c>
      <c r="I2931" s="2">
        <v>1000</v>
      </c>
      <c r="J2931"/>
      <c r="K2931"/>
      <c r="L2931" s="44" t="str" cm="1">
        <f t="array" ref="L2931">+_xlfn.IFS(COUNTIF(INGRESOS!E:E,Tabla6[[#This Row],[ID FACTURA]])=1,"PAGADA",Tabla6[[#This Row],[ID FACTURA]]&lt;&gt;0,"EMITIDA",Tabla6[[#This Row],[ID FACTURA]]=0,"POR EMITIR")</f>
        <v>POR EMITIR</v>
      </c>
      <c r="M2931" s="55" t="str">
        <f>+IF(Tabla6[[#This Row],[ESTADO FACTURA]]="PAGADA",Tabla6[[#This Row],[FECHA]]-_xlfn.XLOOKUP(Tabla6[[#This Row],[N° FACTURA]],INGRESOS!F:F,INGRESOS!A:A),"-")</f>
        <v>-</v>
      </c>
      <c r="N2931" s="2"/>
      <c r="O2931"/>
    </row>
    <row r="2932" spans="1:15">
      <c r="A2932" s="320" t="s">
        <v>350</v>
      </c>
      <c r="B2932" t="str">
        <f>+_xlfn.XLOOKUP(Tabla6[[#This Row],[ID CLIENTE]],'RESUMEN CLIENTES'!D:D,'RESUMEN CLIENTES'!A:A)</f>
        <v>Rainier Guerrero</v>
      </c>
      <c r="C2932" t="str">
        <f>+_xlfn.XLOOKUP(Tabla6[[#This Row],[ID CLIENTE]],'RESUMEN CLIENTES'!D:D,'RESUMEN CLIENTES'!C:C)</f>
        <v>México</v>
      </c>
      <c r="D2932" s="44" t="str">
        <f>+_xlfn.XLOOKUP(Tabla6[[#This Row],[ID CLIENTE]],'RESUMEN CLIENTES'!D:D,'RESUMEN CLIENTES'!M:M)</f>
        <v>OK</v>
      </c>
      <c r="E2932" s="72">
        <f>+_xlfn.XLOOKUP(Tabla6[[#This Row],[NOMBRE]],'RESUMEN CLIENTES'!A:A,'RESUMEN CLIENTES'!X:X)</f>
        <v>-0.3</v>
      </c>
      <c r="F2932" s="72">
        <f>+_xlfn.XLOOKUP(Tabla6[[#This Row],[ID CLIENTE]],'RESUMEN CLIENTES'!D:D,'RESUMEN CLIENTES'!W:W)</f>
        <v>1</v>
      </c>
      <c r="G2932" s="17" t="str">
        <f>IF($H2932&lt;&gt;"ALEM","",IFERROR(
  DATE(
    YEAR(EDATE(
      _xlfn.XLOOKUP($A2932,'RESUMEN CLIENTES'!$D:$D,'RESUMEN CLIENTES'!$Y:$Y,""),
      7 + COUNTIFS(
            $A$2:INDEX($A:$A,ROW()), $A2932,
            $H$2:INDEX($H:$H,ROW()), "ALEM"
          )
    )),
    MONTH(EDATE(
      _xlfn.XLOOKUP($A2932,'RESUMEN CLIENTES'!$D:$D,'RESUMEN CLIENTES'!$Y:$Y,""),
      7 + COUNTIFS(
            $A$2:INDEX($A:$A,ROW()), $A2932,
            $H$2:INDEX($H:$H,ROW()), "ALEM"
          )
    )),
    1
  ),
"null"))</f>
        <v>null</v>
      </c>
      <c r="H2932" s="44" t="s">
        <v>1876</v>
      </c>
      <c r="I2932" s="2">
        <v>1000</v>
      </c>
      <c r="J2932"/>
      <c r="K2932"/>
      <c r="L2932" s="44" t="str" cm="1">
        <f t="array" ref="L2932">+_xlfn.IFS(COUNTIF(INGRESOS!E:E,Tabla6[[#This Row],[ID FACTURA]])=1,"PAGADA",Tabla6[[#This Row],[ID FACTURA]]&lt;&gt;0,"EMITIDA",Tabla6[[#This Row],[ID FACTURA]]=0,"POR EMITIR")</f>
        <v>POR EMITIR</v>
      </c>
      <c r="M2932" s="55" t="str">
        <f>+IF(Tabla6[[#This Row],[ESTADO FACTURA]]="PAGADA",Tabla6[[#This Row],[FECHA]]-_xlfn.XLOOKUP(Tabla6[[#This Row],[N° FACTURA]],INGRESOS!F:F,INGRESOS!A:A),"-")</f>
        <v>-</v>
      </c>
      <c r="N2932" s="2"/>
      <c r="O2932"/>
    </row>
    <row r="2933" spans="1:15">
      <c r="A2933" s="320" t="s">
        <v>350</v>
      </c>
      <c r="B2933" t="str">
        <f>+_xlfn.XLOOKUP(Tabla6[[#This Row],[ID CLIENTE]],'RESUMEN CLIENTES'!D:D,'RESUMEN CLIENTES'!A:A)</f>
        <v>Rainier Guerrero</v>
      </c>
      <c r="C2933" t="str">
        <f>+_xlfn.XLOOKUP(Tabla6[[#This Row],[ID CLIENTE]],'RESUMEN CLIENTES'!D:D,'RESUMEN CLIENTES'!C:C)</f>
        <v>México</v>
      </c>
      <c r="D2933" s="44" t="str">
        <f>+_xlfn.XLOOKUP(Tabla6[[#This Row],[ID CLIENTE]],'RESUMEN CLIENTES'!D:D,'RESUMEN CLIENTES'!M:M)</f>
        <v>OK</v>
      </c>
      <c r="E2933" s="72">
        <f>+_xlfn.XLOOKUP(Tabla6[[#This Row],[NOMBRE]],'RESUMEN CLIENTES'!A:A,'RESUMEN CLIENTES'!X:X)</f>
        <v>-0.3</v>
      </c>
      <c r="F2933" s="72">
        <f>+_xlfn.XLOOKUP(Tabla6[[#This Row],[ID CLIENTE]],'RESUMEN CLIENTES'!D:D,'RESUMEN CLIENTES'!W:W)</f>
        <v>1</v>
      </c>
      <c r="G2933" s="17" t="str">
        <f>IF($H2933&lt;&gt;"ALEM","",IFERROR(
  DATE(
    YEAR(EDATE(
      _xlfn.XLOOKUP($A2933,'RESUMEN CLIENTES'!$D:$D,'RESUMEN CLIENTES'!$Y:$Y,""),
      7 + COUNTIFS(
            $A$2:INDEX($A:$A,ROW()), $A2933,
            $H$2:INDEX($H:$H,ROW()), "ALEM"
          )
    )),
    MONTH(EDATE(
      _xlfn.XLOOKUP($A2933,'RESUMEN CLIENTES'!$D:$D,'RESUMEN CLIENTES'!$Y:$Y,""),
      7 + COUNTIFS(
            $A$2:INDEX($A:$A,ROW()), $A2933,
            $H$2:INDEX($H:$H,ROW()), "ALEM"
          )
    )),
    1
  ),
"null"))</f>
        <v>null</v>
      </c>
      <c r="H2933" s="44" t="s">
        <v>1876</v>
      </c>
      <c r="I2933" s="2">
        <v>1000</v>
      </c>
      <c r="J2933"/>
      <c r="K2933"/>
      <c r="L2933" s="44" t="str" cm="1">
        <f t="array" ref="L2933">+_xlfn.IFS(COUNTIF(INGRESOS!E:E,Tabla6[[#This Row],[ID FACTURA]])=1,"PAGADA",Tabla6[[#This Row],[ID FACTURA]]&lt;&gt;0,"EMITIDA",Tabla6[[#This Row],[ID FACTURA]]=0,"POR EMITIR")</f>
        <v>POR EMITIR</v>
      </c>
      <c r="M2933" s="55" t="str">
        <f>+IF(Tabla6[[#This Row],[ESTADO FACTURA]]="PAGADA",Tabla6[[#This Row],[FECHA]]-_xlfn.XLOOKUP(Tabla6[[#This Row],[N° FACTURA]],INGRESOS!F:F,INGRESOS!A:A),"-")</f>
        <v>-</v>
      </c>
      <c r="N2933" s="2"/>
      <c r="O2933"/>
    </row>
    <row r="2934" spans="1:15">
      <c r="A2934" s="320" t="s">
        <v>350</v>
      </c>
      <c r="B2934" t="str">
        <f>+_xlfn.XLOOKUP(Tabla6[[#This Row],[ID CLIENTE]],'RESUMEN CLIENTES'!D:D,'RESUMEN CLIENTES'!A:A)</f>
        <v>Rainier Guerrero</v>
      </c>
      <c r="C2934" t="str">
        <f>+_xlfn.XLOOKUP(Tabla6[[#This Row],[ID CLIENTE]],'RESUMEN CLIENTES'!D:D,'RESUMEN CLIENTES'!C:C)</f>
        <v>México</v>
      </c>
      <c r="D2934" s="44" t="str">
        <f>+_xlfn.XLOOKUP(Tabla6[[#This Row],[ID CLIENTE]],'RESUMEN CLIENTES'!D:D,'RESUMEN CLIENTES'!M:M)</f>
        <v>OK</v>
      </c>
      <c r="E2934" s="72">
        <f>+_xlfn.XLOOKUP(Tabla6[[#This Row],[NOMBRE]],'RESUMEN CLIENTES'!A:A,'RESUMEN CLIENTES'!X:X)</f>
        <v>-0.3</v>
      </c>
      <c r="F2934" s="72">
        <f>+_xlfn.XLOOKUP(Tabla6[[#This Row],[ID CLIENTE]],'RESUMEN CLIENTES'!D:D,'RESUMEN CLIENTES'!W:W)</f>
        <v>1</v>
      </c>
      <c r="G2934" s="17" t="str">
        <f>IF($H2934&lt;&gt;"ALEM","",IFERROR(
  DATE(
    YEAR(EDATE(
      _xlfn.XLOOKUP($A2934,'RESUMEN CLIENTES'!$D:$D,'RESUMEN CLIENTES'!$Y:$Y,""),
      7 + COUNTIFS(
            $A$2:INDEX($A:$A,ROW()), $A2934,
            $H$2:INDEX($H:$H,ROW()), "ALEM"
          )
    )),
    MONTH(EDATE(
      _xlfn.XLOOKUP($A2934,'RESUMEN CLIENTES'!$D:$D,'RESUMEN CLIENTES'!$Y:$Y,""),
      7 + COUNTIFS(
            $A$2:INDEX($A:$A,ROW()), $A2934,
            $H$2:INDEX($H:$H,ROW()), "ALEM"
          )
    )),
    1
  ),
"null"))</f>
        <v>null</v>
      </c>
      <c r="H2934" s="44" t="s">
        <v>1876</v>
      </c>
      <c r="I2934" s="2">
        <v>1000</v>
      </c>
      <c r="J2934"/>
      <c r="K2934"/>
      <c r="L2934" s="44" t="str" cm="1">
        <f t="array" ref="L2934">+_xlfn.IFS(COUNTIF(INGRESOS!E:E,Tabla6[[#This Row],[ID FACTURA]])=1,"PAGADA",Tabla6[[#This Row],[ID FACTURA]]&lt;&gt;0,"EMITIDA",Tabla6[[#This Row],[ID FACTURA]]=0,"POR EMITIR")</f>
        <v>POR EMITIR</v>
      </c>
      <c r="M2934" s="55" t="str">
        <f>+IF(Tabla6[[#This Row],[ESTADO FACTURA]]="PAGADA",Tabla6[[#This Row],[FECHA]]-_xlfn.XLOOKUP(Tabla6[[#This Row],[N° FACTURA]],INGRESOS!F:F,INGRESOS!A:A),"-")</f>
        <v>-</v>
      </c>
      <c r="N2934" s="2"/>
      <c r="O2934"/>
    </row>
    <row r="2935" spans="1:15">
      <c r="A2935" s="320" t="s">
        <v>994</v>
      </c>
      <c r="B2935" t="str">
        <f>+_xlfn.XLOOKUP(Tabla6[[#This Row],[ID CLIENTE]],'RESUMEN CLIENTES'!D:D,'RESUMEN CLIENTES'!A:A)</f>
        <v>Raúl Ernesto Martínez Orantes</v>
      </c>
      <c r="C2935" t="str">
        <f>+_xlfn.XLOOKUP(Tabla6[[#This Row],[ID CLIENTE]],'RESUMEN CLIENTES'!D:D,'RESUMEN CLIENTES'!C:C)</f>
        <v>El Salvador</v>
      </c>
      <c r="D2935" s="44" t="str">
        <f>+_xlfn.XLOOKUP(Tabla6[[#This Row],[ID CLIENTE]],'RESUMEN CLIENTES'!D:D,'RESUMEN CLIENTES'!M:M)</f>
        <v>OK</v>
      </c>
      <c r="E2935" s="72">
        <f>+_xlfn.XLOOKUP(Tabla6[[#This Row],[NOMBRE]],'RESUMEN CLIENTES'!A:A,'RESUMEN CLIENTES'!X:X)</f>
        <v>1.1428571428571428</v>
      </c>
      <c r="F2935" s="72">
        <f>+_xlfn.XLOOKUP(Tabla6[[#This Row],[ID CLIENTE]],'RESUMEN CLIENTES'!D:D,'RESUMEN CLIENTES'!W:W)</f>
        <v>1</v>
      </c>
      <c r="G2935" s="17" t="s">
        <v>2093</v>
      </c>
      <c r="H2935" s="44" t="s">
        <v>1669</v>
      </c>
      <c r="I2935" s="2">
        <v>3000</v>
      </c>
      <c r="J2935"/>
      <c r="K2935"/>
      <c r="L2935" s="44" t="str" cm="1">
        <f t="array" ref="L2935">+_xlfn.IFS(COUNTIF(INGRESOS!E:E,Tabla6[[#This Row],[ID FACTURA]])=1,"PAGADA",Tabla6[[#This Row],[ID FACTURA]]&lt;&gt;0,"EMITIDA",Tabla6[[#This Row],[ID FACTURA]]=0,"POR EMITIR")</f>
        <v>POR EMITIR</v>
      </c>
      <c r="M2935" s="55" t="str">
        <f>+IF(Tabla6[[#This Row],[ESTADO FACTURA]]="PAGADA",Tabla6[[#This Row],[FECHA]]-_xlfn.XLOOKUP(Tabla6[[#This Row],[N° FACTURA]],INGRESOS!F:F,INGRESOS!A:A),"-")</f>
        <v>-</v>
      </c>
      <c r="N2935" s="2"/>
      <c r="O2935"/>
    </row>
    <row r="2936" spans="1:15">
      <c r="A2936" s="320" t="s">
        <v>1419</v>
      </c>
      <c r="B2936" t="str">
        <f>+_xlfn.XLOOKUP(Tabla6[[#This Row],[ID CLIENTE]],'RESUMEN CLIENTES'!D:D,'RESUMEN CLIENTES'!A:A)</f>
        <v>Rocio Natalia López Núñez</v>
      </c>
      <c r="C2936" t="str">
        <f>+_xlfn.XLOOKUP(Tabla6[[#This Row],[ID CLIENTE]],'RESUMEN CLIENTES'!D:D,'RESUMEN CLIENTES'!C:C)</f>
        <v>Chile</v>
      </c>
      <c r="D2936" s="44" t="str">
        <f>+_xlfn.XLOOKUP(Tabla6[[#This Row],[ID CLIENTE]],'RESUMEN CLIENTES'!D:D,'RESUMEN CLIENTES'!M:M)</f>
        <v>OK</v>
      </c>
      <c r="E2936" s="71">
        <f>+_xlfn.XLOOKUP(Tabla6[[#This Row],[NOMBRE]],'RESUMEN CLIENTES'!A:A,'RESUMEN CLIENTES'!X:X)</f>
        <v>0</v>
      </c>
      <c r="F2936" s="71">
        <f>+_xlfn.XLOOKUP(Tabla6[[#This Row],[ID CLIENTE]],'RESUMEN CLIENTES'!D:D,'RESUMEN CLIENTES'!W:W)</f>
        <v>0</v>
      </c>
      <c r="G2936" s="17" t="s">
        <v>2093</v>
      </c>
      <c r="H2936" s="169" t="s">
        <v>1669</v>
      </c>
      <c r="I2936" s="2">
        <v>3000</v>
      </c>
      <c r="J2936"/>
      <c r="K2936"/>
      <c r="L2936" s="44" t="str" cm="1">
        <f t="array" ref="L2936">+_xlfn.IFS(COUNTIF(INGRESOS!E:E,Tabla6[[#This Row],[ID FACTURA]])=1,"PAGADA",Tabla6[[#This Row],[ID FACTURA]]&lt;&gt;0,"EMITIDA",Tabla6[[#This Row],[ID FACTURA]]=0,"POR EMITIR")</f>
        <v>POR EMITIR</v>
      </c>
      <c r="M2936" s="55" t="str">
        <f>+IF(Tabla6[[#This Row],[ESTADO FACTURA]]="PAGADA",Tabla6[[#This Row],[FECHA]]-_xlfn.XLOOKUP(Tabla6[[#This Row],[N° FACTURA]],INGRESOS!F:F,INGRESOS!A:A),"-")</f>
        <v>-</v>
      </c>
      <c r="N2936" s="2"/>
      <c r="O2936"/>
    </row>
    <row r="2937" spans="1:15">
      <c r="A2937" s="320" t="s">
        <v>1374</v>
      </c>
      <c r="B2937" t="str">
        <f>+_xlfn.XLOOKUP(Tabla6[[#This Row],[ID CLIENTE]],'RESUMEN CLIENTES'!D:D,'RESUMEN CLIENTES'!A:A)</f>
        <v>Samuel Sebastián Marmolejo Saldarriaga</v>
      </c>
      <c r="C2937" t="str">
        <f>+_xlfn.XLOOKUP(Tabla6[[#This Row],[ID CLIENTE]],'RESUMEN CLIENTES'!D:D,'RESUMEN CLIENTES'!C:C)</f>
        <v>Perú</v>
      </c>
      <c r="D2937" s="44" t="str">
        <f>+_xlfn.XLOOKUP(Tabla6[[#This Row],[ID CLIENTE]],'RESUMEN CLIENTES'!D:D,'RESUMEN CLIENTES'!M:M)</f>
        <v>OK</v>
      </c>
      <c r="E2937" s="71">
        <f>+_xlfn.XLOOKUP(Tabla6[[#This Row],[NOMBRE]],'RESUMEN CLIENTES'!A:A,'RESUMEN CLIENTES'!X:X)</f>
        <v>-0.5</v>
      </c>
      <c r="F2937" s="71">
        <f>+_xlfn.XLOOKUP(Tabla6[[#This Row],[ID CLIENTE]],'RESUMEN CLIENTES'!D:D,'RESUMEN CLIENTES'!W:W)</f>
        <v>0</v>
      </c>
      <c r="G2937" s="17" t="str">
        <f>IF($H2937&lt;&gt;"ALEM","",IFERROR(
  DATE(
    YEAR(EDATE(
      _xlfn.XLOOKUP($A2937,'RESUMEN CLIENTES'!$D:$D,'RESUMEN CLIENTES'!$Y:$Y,""),
      7 + COUNTIFS(
            $A$2:INDEX($A:$A,ROW()), $A2937,
            $H$2:INDEX($H:$H,ROW()), "ALEM"
          )
    )),
    MONTH(EDATE(
      _xlfn.XLOOKUP($A2937,'RESUMEN CLIENTES'!$D:$D,'RESUMEN CLIENTES'!$Y:$Y,""),
      7 + COUNTIFS(
            $A$2:INDEX($A:$A,ROW()), $A2937,
            $H$2:INDEX($H:$H,ROW()), "ALEM"
          )
    )),
    1
  ),
"null"))</f>
        <v>null</v>
      </c>
      <c r="H2937" s="44" t="s">
        <v>1876</v>
      </c>
      <c r="I2937" s="2">
        <v>800</v>
      </c>
      <c r="J2937"/>
      <c r="K2937"/>
      <c r="L2937" s="44" t="str" cm="1">
        <f t="array" ref="L2937">+_xlfn.IFS(COUNTIF(INGRESOS!E:E,Tabla6[[#This Row],[ID FACTURA]])=1,"PAGADA",Tabla6[[#This Row],[ID FACTURA]]&lt;&gt;0,"EMITIDA",Tabla6[[#This Row],[ID FACTURA]]=0,"POR EMITIR")</f>
        <v>POR EMITIR</v>
      </c>
      <c r="M2937" s="55" t="str">
        <f>+IF(Tabla6[[#This Row],[ESTADO FACTURA]]="PAGADA",Tabla6[[#This Row],[FECHA]]-_xlfn.XLOOKUP(Tabla6[[#This Row],[N° FACTURA]],INGRESOS!F:F,INGRESOS!A:A),"-")</f>
        <v>-</v>
      </c>
      <c r="N2937" s="2"/>
      <c r="O2937" t="s">
        <v>2084</v>
      </c>
    </row>
    <row r="2938" spans="1:15">
      <c r="A2938" s="320" t="s">
        <v>1374</v>
      </c>
      <c r="B2938" t="str">
        <f>+_xlfn.XLOOKUP(Tabla6[[#This Row],[ID CLIENTE]],'RESUMEN CLIENTES'!D:D,'RESUMEN CLIENTES'!A:A)</f>
        <v>Samuel Sebastián Marmolejo Saldarriaga</v>
      </c>
      <c r="C2938" t="str">
        <f>+_xlfn.XLOOKUP(Tabla6[[#This Row],[ID CLIENTE]],'RESUMEN CLIENTES'!D:D,'RESUMEN CLIENTES'!C:C)</f>
        <v>Perú</v>
      </c>
      <c r="D2938" s="44" t="str">
        <f>+_xlfn.XLOOKUP(Tabla6[[#This Row],[ID CLIENTE]],'RESUMEN CLIENTES'!D:D,'RESUMEN CLIENTES'!M:M)</f>
        <v>OK</v>
      </c>
      <c r="E2938" s="71">
        <f>+_xlfn.XLOOKUP(Tabla6[[#This Row],[NOMBRE]],'RESUMEN CLIENTES'!A:A,'RESUMEN CLIENTES'!X:X)</f>
        <v>-0.5</v>
      </c>
      <c r="F2938" s="71">
        <f>+_xlfn.XLOOKUP(Tabla6[[#This Row],[ID CLIENTE]],'RESUMEN CLIENTES'!D:D,'RESUMEN CLIENTES'!W:W)</f>
        <v>0</v>
      </c>
      <c r="G2938" s="17" t="str">
        <f>IF($H2938&lt;&gt;"ALEM","",IFERROR(
  DATE(
    YEAR(EDATE(
      _xlfn.XLOOKUP($A2938,'RESUMEN CLIENTES'!$D:$D,'RESUMEN CLIENTES'!$Y:$Y,""),
      7 + COUNTIFS(
            $A$2:INDEX($A:$A,ROW()), $A2938,
            $H$2:INDEX($H:$H,ROW()), "ALEM"
          )
    )),
    MONTH(EDATE(
      _xlfn.XLOOKUP($A2938,'RESUMEN CLIENTES'!$D:$D,'RESUMEN CLIENTES'!$Y:$Y,""),
      7 + COUNTIFS(
            $A$2:INDEX($A:$A,ROW()), $A2938,
            $H$2:INDEX($H:$H,ROW()), "ALEM"
          )
    )),
    1
  ),
"null"))</f>
        <v>null</v>
      </c>
      <c r="H2938" s="44" t="s">
        <v>1876</v>
      </c>
      <c r="I2938" s="2">
        <v>800</v>
      </c>
      <c r="J2938"/>
      <c r="K2938"/>
      <c r="L2938" s="44" t="str" cm="1">
        <f t="array" ref="L2938">+_xlfn.IFS(COUNTIF(INGRESOS!E:E,Tabla6[[#This Row],[ID FACTURA]])=1,"PAGADA",Tabla6[[#This Row],[ID FACTURA]]&lt;&gt;0,"EMITIDA",Tabla6[[#This Row],[ID FACTURA]]=0,"POR EMITIR")</f>
        <v>POR EMITIR</v>
      </c>
      <c r="M2938" s="55" t="str">
        <f>+IF(Tabla6[[#This Row],[ESTADO FACTURA]]="PAGADA",Tabla6[[#This Row],[FECHA]]-_xlfn.XLOOKUP(Tabla6[[#This Row],[N° FACTURA]],INGRESOS!F:F,INGRESOS!A:A),"-")</f>
        <v>-</v>
      </c>
      <c r="N2938" s="2"/>
      <c r="O2938" t="s">
        <v>2084</v>
      </c>
    </row>
    <row r="2939" spans="1:15">
      <c r="A2939" s="320" t="s">
        <v>1374</v>
      </c>
      <c r="B2939" t="str">
        <f>+_xlfn.XLOOKUP(Tabla6[[#This Row],[ID CLIENTE]],'RESUMEN CLIENTES'!D:D,'RESUMEN CLIENTES'!A:A)</f>
        <v>Samuel Sebastián Marmolejo Saldarriaga</v>
      </c>
      <c r="C2939" t="str">
        <f>+_xlfn.XLOOKUP(Tabla6[[#This Row],[ID CLIENTE]],'RESUMEN CLIENTES'!D:D,'RESUMEN CLIENTES'!C:C)</f>
        <v>Perú</v>
      </c>
      <c r="D2939" s="44" t="str">
        <f>+_xlfn.XLOOKUP(Tabla6[[#This Row],[ID CLIENTE]],'RESUMEN CLIENTES'!D:D,'RESUMEN CLIENTES'!M:M)</f>
        <v>OK</v>
      </c>
      <c r="E2939" s="71">
        <f>+_xlfn.XLOOKUP(Tabla6[[#This Row],[NOMBRE]],'RESUMEN CLIENTES'!A:A,'RESUMEN CLIENTES'!X:X)</f>
        <v>-0.5</v>
      </c>
      <c r="F2939" s="71">
        <f>+_xlfn.XLOOKUP(Tabla6[[#This Row],[ID CLIENTE]],'RESUMEN CLIENTES'!D:D,'RESUMEN CLIENTES'!W:W)</f>
        <v>0</v>
      </c>
      <c r="G2939" s="17" t="str">
        <f>IF($H2939&lt;&gt;"ALEM","",IFERROR(
  DATE(
    YEAR(EDATE(
      _xlfn.XLOOKUP($A2939,'RESUMEN CLIENTES'!$D:$D,'RESUMEN CLIENTES'!$Y:$Y,""),
      7 + COUNTIFS(
            $A$2:INDEX($A:$A,ROW()), $A2939,
            $H$2:INDEX($H:$H,ROW()), "ALEM"
          )
    )),
    MONTH(EDATE(
      _xlfn.XLOOKUP($A2939,'RESUMEN CLIENTES'!$D:$D,'RESUMEN CLIENTES'!$Y:$Y,""),
      7 + COUNTIFS(
            $A$2:INDEX($A:$A,ROW()), $A2939,
            $H$2:INDEX($H:$H,ROW()), "ALEM"
          )
    )),
    1
  ),
"null"))</f>
        <v>null</v>
      </c>
      <c r="H2939" s="44" t="s">
        <v>1876</v>
      </c>
      <c r="I2939" s="2">
        <v>800</v>
      </c>
      <c r="J2939"/>
      <c r="K2939"/>
      <c r="L2939" s="44" t="str" cm="1">
        <f t="array" ref="L2939">+_xlfn.IFS(COUNTIF(INGRESOS!E:E,Tabla6[[#This Row],[ID FACTURA]])=1,"PAGADA",Tabla6[[#This Row],[ID FACTURA]]&lt;&gt;0,"EMITIDA",Tabla6[[#This Row],[ID FACTURA]]=0,"POR EMITIR")</f>
        <v>POR EMITIR</v>
      </c>
      <c r="M2939" s="55" t="str">
        <f>+IF(Tabla6[[#This Row],[ESTADO FACTURA]]="PAGADA",Tabla6[[#This Row],[FECHA]]-_xlfn.XLOOKUP(Tabla6[[#This Row],[N° FACTURA]],INGRESOS!F:F,INGRESOS!A:A),"-")</f>
        <v>-</v>
      </c>
      <c r="N2939" s="2"/>
      <c r="O2939" t="s">
        <v>2084</v>
      </c>
    </row>
    <row r="2940" spans="1:15">
      <c r="A2940" s="320" t="s">
        <v>1374</v>
      </c>
      <c r="B2940" t="str">
        <f>+_xlfn.XLOOKUP(Tabla6[[#This Row],[ID CLIENTE]],'RESUMEN CLIENTES'!D:D,'RESUMEN CLIENTES'!A:A)</f>
        <v>Samuel Sebastián Marmolejo Saldarriaga</v>
      </c>
      <c r="C2940" t="str">
        <f>+_xlfn.XLOOKUP(Tabla6[[#This Row],[ID CLIENTE]],'RESUMEN CLIENTES'!D:D,'RESUMEN CLIENTES'!C:C)</f>
        <v>Perú</v>
      </c>
      <c r="D2940" s="44" t="str">
        <f>+_xlfn.XLOOKUP(Tabla6[[#This Row],[ID CLIENTE]],'RESUMEN CLIENTES'!D:D,'RESUMEN CLIENTES'!M:M)</f>
        <v>OK</v>
      </c>
      <c r="E2940" s="71">
        <f>+_xlfn.XLOOKUP(Tabla6[[#This Row],[NOMBRE]],'RESUMEN CLIENTES'!A:A,'RESUMEN CLIENTES'!X:X)</f>
        <v>-0.5</v>
      </c>
      <c r="F2940" s="71">
        <f>+_xlfn.XLOOKUP(Tabla6[[#This Row],[ID CLIENTE]],'RESUMEN CLIENTES'!D:D,'RESUMEN CLIENTES'!W:W)</f>
        <v>0</v>
      </c>
      <c r="G2940" s="17" t="str">
        <f>IF($H2940&lt;&gt;"ALEM","",IFERROR(
  DATE(
    YEAR(EDATE(
      _xlfn.XLOOKUP($A2940,'RESUMEN CLIENTES'!$D:$D,'RESUMEN CLIENTES'!$Y:$Y,""),
      7 + COUNTIFS(
            $A$2:INDEX($A:$A,ROW()), $A2940,
            $H$2:INDEX($H:$H,ROW()), "ALEM"
          )
    )),
    MONTH(EDATE(
      _xlfn.XLOOKUP($A2940,'RESUMEN CLIENTES'!$D:$D,'RESUMEN CLIENTES'!$Y:$Y,""),
      7 + COUNTIFS(
            $A$2:INDEX($A:$A,ROW()), $A2940,
            $H$2:INDEX($H:$H,ROW()), "ALEM"
          )
    )),
    1
  ),
"null"))</f>
        <v>null</v>
      </c>
      <c r="H2940" s="44" t="s">
        <v>1876</v>
      </c>
      <c r="I2940" s="2">
        <v>800</v>
      </c>
      <c r="J2940"/>
      <c r="K2940"/>
      <c r="L2940" s="44" t="str" cm="1">
        <f t="array" ref="L2940">+_xlfn.IFS(COUNTIF(INGRESOS!E:E,Tabla6[[#This Row],[ID FACTURA]])=1,"PAGADA",Tabla6[[#This Row],[ID FACTURA]]&lt;&gt;0,"EMITIDA",Tabla6[[#This Row],[ID FACTURA]]=0,"POR EMITIR")</f>
        <v>POR EMITIR</v>
      </c>
      <c r="M2940" s="55" t="str">
        <f>+IF(Tabla6[[#This Row],[ESTADO FACTURA]]="PAGADA",Tabla6[[#This Row],[FECHA]]-_xlfn.XLOOKUP(Tabla6[[#This Row],[N° FACTURA]],INGRESOS!F:F,INGRESOS!A:A),"-")</f>
        <v>-</v>
      </c>
      <c r="N2940" s="2"/>
      <c r="O2940" t="s">
        <v>2084</v>
      </c>
    </row>
    <row r="2941" spans="1:15">
      <c r="A2941" s="320" t="s">
        <v>1374</v>
      </c>
      <c r="B2941" t="str">
        <f>+_xlfn.XLOOKUP(Tabla6[[#This Row],[ID CLIENTE]],'RESUMEN CLIENTES'!D:D,'RESUMEN CLIENTES'!A:A)</f>
        <v>Samuel Sebastián Marmolejo Saldarriaga</v>
      </c>
      <c r="C2941" t="str">
        <f>+_xlfn.XLOOKUP(Tabla6[[#This Row],[ID CLIENTE]],'RESUMEN CLIENTES'!D:D,'RESUMEN CLIENTES'!C:C)</f>
        <v>Perú</v>
      </c>
      <c r="D2941" s="44" t="str">
        <f>+_xlfn.XLOOKUP(Tabla6[[#This Row],[ID CLIENTE]],'RESUMEN CLIENTES'!D:D,'RESUMEN CLIENTES'!M:M)</f>
        <v>OK</v>
      </c>
      <c r="E2941" s="71">
        <f>+_xlfn.XLOOKUP(Tabla6[[#This Row],[NOMBRE]],'RESUMEN CLIENTES'!A:A,'RESUMEN CLIENTES'!X:X)</f>
        <v>-0.5</v>
      </c>
      <c r="F2941" s="71">
        <f>+_xlfn.XLOOKUP(Tabla6[[#This Row],[ID CLIENTE]],'RESUMEN CLIENTES'!D:D,'RESUMEN CLIENTES'!W:W)</f>
        <v>0</v>
      </c>
      <c r="G2941" s="17" t="str">
        <f>IF($H2941&lt;&gt;"ALEM","",IFERROR(
  DATE(
    YEAR(EDATE(
      _xlfn.XLOOKUP($A2941,'RESUMEN CLIENTES'!$D:$D,'RESUMEN CLIENTES'!$Y:$Y,""),
      7 + COUNTIFS(
            $A$2:INDEX($A:$A,ROW()), $A2941,
            $H$2:INDEX($H:$H,ROW()), "ALEM"
          )
    )),
    MONTH(EDATE(
      _xlfn.XLOOKUP($A2941,'RESUMEN CLIENTES'!$D:$D,'RESUMEN CLIENTES'!$Y:$Y,""),
      7 + COUNTIFS(
            $A$2:INDEX($A:$A,ROW()), $A2941,
            $H$2:INDEX($H:$H,ROW()), "ALEM"
          )
    )),
    1
  ),
"null"))</f>
        <v>null</v>
      </c>
      <c r="H2941" s="44" t="s">
        <v>1876</v>
      </c>
      <c r="I2941" s="2">
        <v>800</v>
      </c>
      <c r="J2941"/>
      <c r="K2941"/>
      <c r="L2941" s="44" t="str" cm="1">
        <f t="array" ref="L2941">+_xlfn.IFS(COUNTIF(INGRESOS!E:E,Tabla6[[#This Row],[ID FACTURA]])=1,"PAGADA",Tabla6[[#This Row],[ID FACTURA]]&lt;&gt;0,"EMITIDA",Tabla6[[#This Row],[ID FACTURA]]=0,"POR EMITIR")</f>
        <v>POR EMITIR</v>
      </c>
      <c r="M2941" s="55" t="str">
        <f>+IF(Tabla6[[#This Row],[ESTADO FACTURA]]="PAGADA",Tabla6[[#This Row],[FECHA]]-_xlfn.XLOOKUP(Tabla6[[#This Row],[N° FACTURA]],INGRESOS!F:F,INGRESOS!A:A),"-")</f>
        <v>-</v>
      </c>
      <c r="N2941" s="2"/>
      <c r="O2941" t="s">
        <v>2084</v>
      </c>
    </row>
    <row r="2942" spans="1:15">
      <c r="A2942" s="320" t="s">
        <v>1374</v>
      </c>
      <c r="B2942" t="str">
        <f>+_xlfn.XLOOKUP(Tabla6[[#This Row],[ID CLIENTE]],'RESUMEN CLIENTES'!D:D,'RESUMEN CLIENTES'!A:A)</f>
        <v>Samuel Sebastián Marmolejo Saldarriaga</v>
      </c>
      <c r="C2942" t="str">
        <f>+_xlfn.XLOOKUP(Tabla6[[#This Row],[ID CLIENTE]],'RESUMEN CLIENTES'!D:D,'RESUMEN CLIENTES'!C:C)</f>
        <v>Perú</v>
      </c>
      <c r="D2942" s="44" t="str">
        <f>+_xlfn.XLOOKUP(Tabla6[[#This Row],[ID CLIENTE]],'RESUMEN CLIENTES'!D:D,'RESUMEN CLIENTES'!M:M)</f>
        <v>OK</v>
      </c>
      <c r="E2942" s="71">
        <f>+_xlfn.XLOOKUP(Tabla6[[#This Row],[NOMBRE]],'RESUMEN CLIENTES'!A:A,'RESUMEN CLIENTES'!X:X)</f>
        <v>-0.5</v>
      </c>
      <c r="F2942" s="71">
        <f>+_xlfn.XLOOKUP(Tabla6[[#This Row],[ID CLIENTE]],'RESUMEN CLIENTES'!D:D,'RESUMEN CLIENTES'!W:W)</f>
        <v>0</v>
      </c>
      <c r="G2942" s="17" t="str">
        <f>IF($H2942&lt;&gt;"ALEM","",IFERROR(
  DATE(
    YEAR(EDATE(
      _xlfn.XLOOKUP($A2942,'RESUMEN CLIENTES'!$D:$D,'RESUMEN CLIENTES'!$Y:$Y,""),
      7 + COUNTIFS(
            $A$2:INDEX($A:$A,ROW()), $A2942,
            $H$2:INDEX($H:$H,ROW()), "ALEM"
          )
    )),
    MONTH(EDATE(
      _xlfn.XLOOKUP($A2942,'RESUMEN CLIENTES'!$D:$D,'RESUMEN CLIENTES'!$Y:$Y,""),
      7 + COUNTIFS(
            $A$2:INDEX($A:$A,ROW()), $A2942,
            $H$2:INDEX($H:$H,ROW()), "ALEM"
          )
    )),
    1
  ),
"null"))</f>
        <v>null</v>
      </c>
      <c r="H2942" s="44" t="s">
        <v>1876</v>
      </c>
      <c r="I2942" s="2">
        <v>800</v>
      </c>
      <c r="J2942"/>
      <c r="K2942"/>
      <c r="L2942" s="44" t="str" cm="1">
        <f t="array" ref="L2942">+_xlfn.IFS(COUNTIF(INGRESOS!E:E,Tabla6[[#This Row],[ID FACTURA]])=1,"PAGADA",Tabla6[[#This Row],[ID FACTURA]]&lt;&gt;0,"EMITIDA",Tabla6[[#This Row],[ID FACTURA]]=0,"POR EMITIR")</f>
        <v>POR EMITIR</v>
      </c>
      <c r="M2942" s="55" t="str">
        <f>+IF(Tabla6[[#This Row],[ESTADO FACTURA]]="PAGADA",Tabla6[[#This Row],[FECHA]]-_xlfn.XLOOKUP(Tabla6[[#This Row],[N° FACTURA]],INGRESOS!F:F,INGRESOS!A:A),"-")</f>
        <v>-</v>
      </c>
      <c r="N2942" s="2"/>
      <c r="O2942" t="s">
        <v>2084</v>
      </c>
    </row>
    <row r="2943" spans="1:15">
      <c r="A2943" s="320" t="s">
        <v>1374</v>
      </c>
      <c r="B2943" t="str">
        <f>+_xlfn.XLOOKUP(Tabla6[[#This Row],[ID CLIENTE]],'RESUMEN CLIENTES'!D:D,'RESUMEN CLIENTES'!A:A)</f>
        <v>Samuel Sebastián Marmolejo Saldarriaga</v>
      </c>
      <c r="C2943" t="str">
        <f>+_xlfn.XLOOKUP(Tabla6[[#This Row],[ID CLIENTE]],'RESUMEN CLIENTES'!D:D,'RESUMEN CLIENTES'!C:C)</f>
        <v>Perú</v>
      </c>
      <c r="D2943" s="44" t="str">
        <f>+_xlfn.XLOOKUP(Tabla6[[#This Row],[ID CLIENTE]],'RESUMEN CLIENTES'!D:D,'RESUMEN CLIENTES'!M:M)</f>
        <v>OK</v>
      </c>
      <c r="E2943" s="71">
        <f>+_xlfn.XLOOKUP(Tabla6[[#This Row],[NOMBRE]],'RESUMEN CLIENTES'!A:A,'RESUMEN CLIENTES'!X:X)</f>
        <v>-0.5</v>
      </c>
      <c r="F2943" s="71">
        <f>+_xlfn.XLOOKUP(Tabla6[[#This Row],[ID CLIENTE]],'RESUMEN CLIENTES'!D:D,'RESUMEN CLIENTES'!W:W)</f>
        <v>0</v>
      </c>
      <c r="G2943" s="17" t="str">
        <f>IF($H2943&lt;&gt;"ALEM","",IFERROR(
  DATE(
    YEAR(EDATE(
      _xlfn.XLOOKUP($A2943,'RESUMEN CLIENTES'!$D:$D,'RESUMEN CLIENTES'!$Y:$Y,""),
      7 + COUNTIFS(
            $A$2:INDEX($A:$A,ROW()), $A2943,
            $H$2:INDEX($H:$H,ROW()), "ALEM"
          )
    )),
    MONTH(EDATE(
      _xlfn.XLOOKUP($A2943,'RESUMEN CLIENTES'!$D:$D,'RESUMEN CLIENTES'!$Y:$Y,""),
      7 + COUNTIFS(
            $A$2:INDEX($A:$A,ROW()), $A2943,
            $H$2:INDEX($H:$H,ROW()), "ALEM"
          )
    )),
    1
  ),
"null"))</f>
        <v>null</v>
      </c>
      <c r="H2943" s="44" t="s">
        <v>1876</v>
      </c>
      <c r="I2943" s="2">
        <v>800</v>
      </c>
      <c r="J2943"/>
      <c r="K2943"/>
      <c r="L2943" s="44" t="str" cm="1">
        <f t="array" ref="L2943">+_xlfn.IFS(COUNTIF(INGRESOS!E:E,Tabla6[[#This Row],[ID FACTURA]])=1,"PAGADA",Tabla6[[#This Row],[ID FACTURA]]&lt;&gt;0,"EMITIDA",Tabla6[[#This Row],[ID FACTURA]]=0,"POR EMITIR")</f>
        <v>POR EMITIR</v>
      </c>
      <c r="M2943" s="55" t="str">
        <f>+IF(Tabla6[[#This Row],[ESTADO FACTURA]]="PAGADA",Tabla6[[#This Row],[FECHA]]-_xlfn.XLOOKUP(Tabla6[[#This Row],[N° FACTURA]],INGRESOS!F:F,INGRESOS!A:A),"-")</f>
        <v>-</v>
      </c>
      <c r="N2943" s="2"/>
      <c r="O2943" t="s">
        <v>2084</v>
      </c>
    </row>
    <row r="2944" spans="1:15">
      <c r="A2944" s="320" t="s">
        <v>1374</v>
      </c>
      <c r="B2944" t="str">
        <f>+_xlfn.XLOOKUP(Tabla6[[#This Row],[ID CLIENTE]],'RESUMEN CLIENTES'!D:D,'RESUMEN CLIENTES'!A:A)</f>
        <v>Samuel Sebastián Marmolejo Saldarriaga</v>
      </c>
      <c r="C2944" t="str">
        <f>+_xlfn.XLOOKUP(Tabla6[[#This Row],[ID CLIENTE]],'RESUMEN CLIENTES'!D:D,'RESUMEN CLIENTES'!C:C)</f>
        <v>Perú</v>
      </c>
      <c r="D2944" s="44" t="str">
        <f>+_xlfn.XLOOKUP(Tabla6[[#This Row],[ID CLIENTE]],'RESUMEN CLIENTES'!D:D,'RESUMEN CLIENTES'!M:M)</f>
        <v>OK</v>
      </c>
      <c r="E2944" s="71">
        <f>+_xlfn.XLOOKUP(Tabla6[[#This Row],[NOMBRE]],'RESUMEN CLIENTES'!A:A,'RESUMEN CLIENTES'!X:X)</f>
        <v>-0.5</v>
      </c>
      <c r="F2944" s="71">
        <f>+_xlfn.XLOOKUP(Tabla6[[#This Row],[ID CLIENTE]],'RESUMEN CLIENTES'!D:D,'RESUMEN CLIENTES'!W:W)</f>
        <v>0</v>
      </c>
      <c r="G2944" s="17" t="str">
        <f>IF($H2944&lt;&gt;"ALEM","",IFERROR(
  DATE(
    YEAR(EDATE(
      _xlfn.XLOOKUP($A2944,'RESUMEN CLIENTES'!$D:$D,'RESUMEN CLIENTES'!$Y:$Y,""),
      7 + COUNTIFS(
            $A$2:INDEX($A:$A,ROW()), $A2944,
            $H$2:INDEX($H:$H,ROW()), "ALEM"
          )
    )),
    MONTH(EDATE(
      _xlfn.XLOOKUP($A2944,'RESUMEN CLIENTES'!$D:$D,'RESUMEN CLIENTES'!$Y:$Y,""),
      7 + COUNTIFS(
            $A$2:INDEX($A:$A,ROW()), $A2944,
            $H$2:INDEX($H:$H,ROW()), "ALEM"
          )
    )),
    1
  ),
"null"))</f>
        <v>null</v>
      </c>
      <c r="H2944" s="44" t="s">
        <v>1876</v>
      </c>
      <c r="I2944" s="2">
        <v>800</v>
      </c>
      <c r="J2944"/>
      <c r="K2944"/>
      <c r="L2944" s="44" t="str" cm="1">
        <f t="array" ref="L2944">+_xlfn.IFS(COUNTIF(INGRESOS!E:E,Tabla6[[#This Row],[ID FACTURA]])=1,"PAGADA",Tabla6[[#This Row],[ID FACTURA]]&lt;&gt;0,"EMITIDA",Tabla6[[#This Row],[ID FACTURA]]=0,"POR EMITIR")</f>
        <v>POR EMITIR</v>
      </c>
      <c r="M2944" s="55" t="str">
        <f>+IF(Tabla6[[#This Row],[ESTADO FACTURA]]="PAGADA",Tabla6[[#This Row],[FECHA]]-_xlfn.XLOOKUP(Tabla6[[#This Row],[N° FACTURA]],INGRESOS!F:F,INGRESOS!A:A),"-")</f>
        <v>-</v>
      </c>
      <c r="N2944" s="2"/>
      <c r="O2944" t="s">
        <v>2084</v>
      </c>
    </row>
    <row r="2945" spans="1:15">
      <c r="A2945" s="320" t="s">
        <v>1374</v>
      </c>
      <c r="B2945" t="str">
        <f>+_xlfn.XLOOKUP(Tabla6[[#This Row],[ID CLIENTE]],'RESUMEN CLIENTES'!D:D,'RESUMEN CLIENTES'!A:A)</f>
        <v>Samuel Sebastián Marmolejo Saldarriaga</v>
      </c>
      <c r="C2945" t="str">
        <f>+_xlfn.XLOOKUP(Tabla6[[#This Row],[ID CLIENTE]],'RESUMEN CLIENTES'!D:D,'RESUMEN CLIENTES'!C:C)</f>
        <v>Perú</v>
      </c>
      <c r="D2945" s="44" t="str">
        <f>+_xlfn.XLOOKUP(Tabla6[[#This Row],[ID CLIENTE]],'RESUMEN CLIENTES'!D:D,'RESUMEN CLIENTES'!M:M)</f>
        <v>OK</v>
      </c>
      <c r="E2945" s="71">
        <f>+_xlfn.XLOOKUP(Tabla6[[#This Row],[NOMBRE]],'RESUMEN CLIENTES'!A:A,'RESUMEN CLIENTES'!X:X)</f>
        <v>-0.5</v>
      </c>
      <c r="F2945" s="71">
        <f>+_xlfn.XLOOKUP(Tabla6[[#This Row],[ID CLIENTE]],'RESUMEN CLIENTES'!D:D,'RESUMEN CLIENTES'!W:W)</f>
        <v>0</v>
      </c>
      <c r="G2945" s="17" t="str">
        <f>IF($H2945&lt;&gt;"ALEM","",IFERROR(
  DATE(
    YEAR(EDATE(
      _xlfn.XLOOKUP($A2945,'RESUMEN CLIENTES'!$D:$D,'RESUMEN CLIENTES'!$Y:$Y,""),
      7 + COUNTIFS(
            $A$2:INDEX($A:$A,ROW()), $A2945,
            $H$2:INDEX($H:$H,ROW()), "ALEM"
          )
    )),
    MONTH(EDATE(
      _xlfn.XLOOKUP($A2945,'RESUMEN CLIENTES'!$D:$D,'RESUMEN CLIENTES'!$Y:$Y,""),
      7 + COUNTIFS(
            $A$2:INDEX($A:$A,ROW()), $A2945,
            $H$2:INDEX($H:$H,ROW()), "ALEM"
          )
    )),
    1
  ),
"null"))</f>
        <v>null</v>
      </c>
      <c r="H2945" s="44" t="s">
        <v>1876</v>
      </c>
      <c r="I2945" s="2">
        <v>800</v>
      </c>
      <c r="J2945"/>
      <c r="K2945"/>
      <c r="L2945" s="44" t="str" cm="1">
        <f t="array" ref="L2945">+_xlfn.IFS(COUNTIF(INGRESOS!E:E,Tabla6[[#This Row],[ID FACTURA]])=1,"PAGADA",Tabla6[[#This Row],[ID FACTURA]]&lt;&gt;0,"EMITIDA",Tabla6[[#This Row],[ID FACTURA]]=0,"POR EMITIR")</f>
        <v>POR EMITIR</v>
      </c>
      <c r="M2945" s="55" t="str">
        <f>+IF(Tabla6[[#This Row],[ESTADO FACTURA]]="PAGADA",Tabla6[[#This Row],[FECHA]]-_xlfn.XLOOKUP(Tabla6[[#This Row],[N° FACTURA]],INGRESOS!F:F,INGRESOS!A:A),"-")</f>
        <v>-</v>
      </c>
      <c r="N2945" s="2"/>
      <c r="O2945" t="s">
        <v>2084</v>
      </c>
    </row>
    <row r="2946" spans="1:15">
      <c r="A2946" s="320" t="s">
        <v>1374</v>
      </c>
      <c r="B2946" t="str">
        <f>+_xlfn.XLOOKUP(Tabla6[[#This Row],[ID CLIENTE]],'RESUMEN CLIENTES'!D:D,'RESUMEN CLIENTES'!A:A)</f>
        <v>Samuel Sebastián Marmolejo Saldarriaga</v>
      </c>
      <c r="C2946" t="str">
        <f>+_xlfn.XLOOKUP(Tabla6[[#This Row],[ID CLIENTE]],'RESUMEN CLIENTES'!D:D,'RESUMEN CLIENTES'!C:C)</f>
        <v>Perú</v>
      </c>
      <c r="D2946" s="44" t="str">
        <f>+_xlfn.XLOOKUP(Tabla6[[#This Row],[ID CLIENTE]],'RESUMEN CLIENTES'!D:D,'RESUMEN CLIENTES'!M:M)</f>
        <v>OK</v>
      </c>
      <c r="E2946" s="71">
        <f>+_xlfn.XLOOKUP(Tabla6[[#This Row],[NOMBRE]],'RESUMEN CLIENTES'!A:A,'RESUMEN CLIENTES'!X:X)</f>
        <v>-0.5</v>
      </c>
      <c r="F2946" s="71">
        <f>+_xlfn.XLOOKUP(Tabla6[[#This Row],[ID CLIENTE]],'RESUMEN CLIENTES'!D:D,'RESUMEN CLIENTES'!W:W)</f>
        <v>0</v>
      </c>
      <c r="G2946" s="17" t="str">
        <f>IF($H2946&lt;&gt;"ALEM","",IFERROR(
  DATE(
    YEAR(EDATE(
      _xlfn.XLOOKUP($A2946,'RESUMEN CLIENTES'!$D:$D,'RESUMEN CLIENTES'!$Y:$Y,""),
      7 + COUNTIFS(
            $A$2:INDEX($A:$A,ROW()), $A2946,
            $H$2:INDEX($H:$H,ROW()), "ALEM"
          )
    )),
    MONTH(EDATE(
      _xlfn.XLOOKUP($A2946,'RESUMEN CLIENTES'!$D:$D,'RESUMEN CLIENTES'!$Y:$Y,""),
      7 + COUNTIFS(
            $A$2:INDEX($A:$A,ROW()), $A2946,
            $H$2:INDEX($H:$H,ROW()), "ALEM"
          )
    )),
    1
  ),
"null"))</f>
        <v>null</v>
      </c>
      <c r="H2946" s="44" t="s">
        <v>1876</v>
      </c>
      <c r="I2946" s="2">
        <v>800</v>
      </c>
      <c r="J2946"/>
      <c r="K2946"/>
      <c r="L2946" s="44" t="str" cm="1">
        <f t="array" ref="L2946">+_xlfn.IFS(COUNTIF(INGRESOS!E:E,Tabla6[[#This Row],[ID FACTURA]])=1,"PAGADA",Tabla6[[#This Row],[ID FACTURA]]&lt;&gt;0,"EMITIDA",Tabla6[[#This Row],[ID FACTURA]]=0,"POR EMITIR")</f>
        <v>POR EMITIR</v>
      </c>
      <c r="M2946" s="55" t="str">
        <f>+IF(Tabla6[[#This Row],[ESTADO FACTURA]]="PAGADA",Tabla6[[#This Row],[FECHA]]-_xlfn.XLOOKUP(Tabla6[[#This Row],[N° FACTURA]],INGRESOS!F:F,INGRESOS!A:A),"-")</f>
        <v>-</v>
      </c>
      <c r="N2946" s="2"/>
      <c r="O2946" t="s">
        <v>2084</v>
      </c>
    </row>
    <row r="2947" spans="1:15">
      <c r="A2947" s="320" t="s">
        <v>1374</v>
      </c>
      <c r="B2947" t="str">
        <f>+_xlfn.XLOOKUP(Tabla6[[#This Row],[ID CLIENTE]],'RESUMEN CLIENTES'!D:D,'RESUMEN CLIENTES'!A:A)</f>
        <v>Samuel Sebastián Marmolejo Saldarriaga</v>
      </c>
      <c r="C2947" t="str">
        <f>+_xlfn.XLOOKUP(Tabla6[[#This Row],[ID CLIENTE]],'RESUMEN CLIENTES'!D:D,'RESUMEN CLIENTES'!C:C)</f>
        <v>Perú</v>
      </c>
      <c r="D2947" s="44" t="str">
        <f>+_xlfn.XLOOKUP(Tabla6[[#This Row],[ID CLIENTE]],'RESUMEN CLIENTES'!D:D,'RESUMEN CLIENTES'!M:M)</f>
        <v>OK</v>
      </c>
      <c r="E2947" s="71">
        <f>+_xlfn.XLOOKUP(Tabla6[[#This Row],[NOMBRE]],'RESUMEN CLIENTES'!A:A,'RESUMEN CLIENTES'!X:X)</f>
        <v>-0.5</v>
      </c>
      <c r="F2947" s="71">
        <f>+_xlfn.XLOOKUP(Tabla6[[#This Row],[ID CLIENTE]],'RESUMEN CLIENTES'!D:D,'RESUMEN CLIENTES'!W:W)</f>
        <v>0</v>
      </c>
      <c r="G2947" s="17" t="s">
        <v>2093</v>
      </c>
      <c r="H2947" s="44" t="s">
        <v>1669</v>
      </c>
      <c r="I2947" s="2">
        <v>3000</v>
      </c>
      <c r="J2947"/>
      <c r="K2947"/>
      <c r="L2947" s="44" t="str" cm="1">
        <f t="array" ref="L2947">+_xlfn.IFS(COUNTIF(INGRESOS!E:E,Tabla6[[#This Row],[ID FACTURA]])=1,"PAGADA",Tabla6[[#This Row],[ID FACTURA]]&lt;&gt;0,"EMITIDA",Tabla6[[#This Row],[ID FACTURA]]=0,"POR EMITIR")</f>
        <v>POR EMITIR</v>
      </c>
      <c r="M2947" s="55" t="str">
        <f>+IF(Tabla6[[#This Row],[ESTADO FACTURA]]="PAGADA",Tabla6[[#This Row],[FECHA]]-_xlfn.XLOOKUP(Tabla6[[#This Row],[N° FACTURA]],INGRESOS!F:F,INGRESOS!A:A),"-")</f>
        <v>-</v>
      </c>
      <c r="N2947" s="2"/>
      <c r="O2947"/>
    </row>
    <row r="2948" spans="1:15">
      <c r="A2948" s="320" t="s">
        <v>912</v>
      </c>
      <c r="B2948" t="str">
        <f>+_xlfn.XLOOKUP(Tabla6[[#This Row],[ID CLIENTE]],'RESUMEN CLIENTES'!D:D,'RESUMEN CLIENTES'!A:A)</f>
        <v>Vanessa Villarreal Villareal</v>
      </c>
      <c r="C2948" t="str">
        <f>+_xlfn.XLOOKUP(Tabla6[[#This Row],[ID CLIENTE]],'RESUMEN CLIENTES'!D:D,'RESUMEN CLIENTES'!C:C)</f>
        <v>Ecuador</v>
      </c>
      <c r="D2948" s="44" t="str">
        <f>+_xlfn.XLOOKUP(Tabla6[[#This Row],[ID CLIENTE]],'RESUMEN CLIENTES'!D:D,'RESUMEN CLIENTES'!M:M)</f>
        <v>OK</v>
      </c>
      <c r="E2948" s="72">
        <f>+_xlfn.XLOOKUP(Tabla6[[#This Row],[NOMBRE]],'RESUMEN CLIENTES'!A:A,'RESUMEN CLIENTES'!X:X)</f>
        <v>-9.1428571428571423</v>
      </c>
      <c r="F2948" s="72">
        <f>+_xlfn.XLOOKUP(Tabla6[[#This Row],[ID CLIENTE]],'RESUMEN CLIENTES'!D:D,'RESUMEN CLIENTES'!W:W)</f>
        <v>1</v>
      </c>
      <c r="G2948" s="17" t="str">
        <f>IF($H2948&lt;&gt;"ALEM","",IFERROR(
  DATE(
    YEAR(EDATE(
      _xlfn.XLOOKUP($A2948,'RESUMEN CLIENTES'!$D:$D,'RESUMEN CLIENTES'!$Y:$Y,""),
      7 + COUNTIFS(
            $A$2:INDEX($A:$A,ROW()), $A2948,
            $H$2:INDEX($H:$H,ROW()), "ALEM"
          )
    )),
    MONTH(EDATE(
      _xlfn.XLOOKUP($A2948,'RESUMEN CLIENTES'!$D:$D,'RESUMEN CLIENTES'!$Y:$Y,""),
      7 + COUNTIFS(
            $A$2:INDEX($A:$A,ROW()), $A2948,
            $H$2:INDEX($H:$H,ROW()), "ALEM"
          )
    )),
    1
  ),
"null"))</f>
        <v>null</v>
      </c>
      <c r="H2948" s="44" t="s">
        <v>1876</v>
      </c>
      <c r="I2948" s="2">
        <v>1000</v>
      </c>
      <c r="J2948"/>
      <c r="K2948"/>
      <c r="L2948" s="44" t="str" cm="1">
        <f t="array" ref="L2948">+_xlfn.IFS(COUNTIF(INGRESOS!E:E,Tabla6[[#This Row],[ID FACTURA]])=1,"PAGADA",Tabla6[[#This Row],[ID FACTURA]]&lt;&gt;0,"EMITIDA",Tabla6[[#This Row],[ID FACTURA]]=0,"POR EMITIR")</f>
        <v>POR EMITIR</v>
      </c>
      <c r="M2948" s="55" t="str">
        <f>+IF(Tabla6[[#This Row],[ESTADO FACTURA]]="PAGADA",Tabla6[[#This Row],[FECHA]]-_xlfn.XLOOKUP(Tabla6[[#This Row],[N° FACTURA]],INGRESOS!F:F,INGRESOS!A:A),"-")</f>
        <v>-</v>
      </c>
      <c r="N2948" s="2"/>
      <c r="O2948" t="s">
        <v>2084</v>
      </c>
    </row>
    <row r="2949" spans="1:15">
      <c r="A2949" s="320" t="s">
        <v>912</v>
      </c>
      <c r="B2949" t="str">
        <f>+_xlfn.XLOOKUP(Tabla6[[#This Row],[ID CLIENTE]],'RESUMEN CLIENTES'!D:D,'RESUMEN CLIENTES'!A:A)</f>
        <v>Vanessa Villarreal Villareal</v>
      </c>
      <c r="C2949" t="str">
        <f>+_xlfn.XLOOKUP(Tabla6[[#This Row],[ID CLIENTE]],'RESUMEN CLIENTES'!D:D,'RESUMEN CLIENTES'!C:C)</f>
        <v>Ecuador</v>
      </c>
      <c r="D2949" s="44" t="str">
        <f>+_xlfn.XLOOKUP(Tabla6[[#This Row],[ID CLIENTE]],'RESUMEN CLIENTES'!D:D,'RESUMEN CLIENTES'!M:M)</f>
        <v>OK</v>
      </c>
      <c r="E2949" s="72">
        <f>+_xlfn.XLOOKUP(Tabla6[[#This Row],[NOMBRE]],'RESUMEN CLIENTES'!A:A,'RESUMEN CLIENTES'!X:X)</f>
        <v>-9.1428571428571423</v>
      </c>
      <c r="F2949" s="72">
        <f>+_xlfn.XLOOKUP(Tabla6[[#This Row],[ID CLIENTE]],'RESUMEN CLIENTES'!D:D,'RESUMEN CLIENTES'!W:W)</f>
        <v>1</v>
      </c>
      <c r="G2949" s="17" t="str">
        <f>IF($H2949&lt;&gt;"ALEM","",IFERROR(
  DATE(
    YEAR(EDATE(
      _xlfn.XLOOKUP($A2949,'RESUMEN CLIENTES'!$D:$D,'RESUMEN CLIENTES'!$Y:$Y,""),
      7 + COUNTIFS(
            $A$2:INDEX($A:$A,ROW()), $A2949,
            $H$2:INDEX($H:$H,ROW()), "ALEM"
          )
    )),
    MONTH(EDATE(
      _xlfn.XLOOKUP($A2949,'RESUMEN CLIENTES'!$D:$D,'RESUMEN CLIENTES'!$Y:$Y,""),
      7 + COUNTIFS(
            $A$2:INDEX($A:$A,ROW()), $A2949,
            $H$2:INDEX($H:$H,ROW()), "ALEM"
          )
    )),
    1
  ),
"null"))</f>
        <v>null</v>
      </c>
      <c r="H2949" s="44" t="s">
        <v>1876</v>
      </c>
      <c r="I2949" s="2">
        <v>1000</v>
      </c>
      <c r="J2949"/>
      <c r="K2949"/>
      <c r="L2949" s="44" t="str" cm="1">
        <f t="array" ref="L2949">+_xlfn.IFS(COUNTIF(INGRESOS!E:E,Tabla6[[#This Row],[ID FACTURA]])=1,"PAGADA",Tabla6[[#This Row],[ID FACTURA]]&lt;&gt;0,"EMITIDA",Tabla6[[#This Row],[ID FACTURA]]=0,"POR EMITIR")</f>
        <v>POR EMITIR</v>
      </c>
      <c r="M2949" s="55" t="str">
        <f>+IF(Tabla6[[#This Row],[ESTADO FACTURA]]="PAGADA",Tabla6[[#This Row],[FECHA]]-_xlfn.XLOOKUP(Tabla6[[#This Row],[N° FACTURA]],INGRESOS!F:F,INGRESOS!A:A),"-")</f>
        <v>-</v>
      </c>
      <c r="N2949" s="2"/>
      <c r="O2949" t="s">
        <v>2084</v>
      </c>
    </row>
    <row r="2950" spans="1:15">
      <c r="A2950" s="320" t="s">
        <v>912</v>
      </c>
      <c r="B2950" t="str">
        <f>+_xlfn.XLOOKUP(Tabla6[[#This Row],[ID CLIENTE]],'RESUMEN CLIENTES'!D:D,'RESUMEN CLIENTES'!A:A)</f>
        <v>Vanessa Villarreal Villareal</v>
      </c>
      <c r="C2950" t="str">
        <f>+_xlfn.XLOOKUP(Tabla6[[#This Row],[ID CLIENTE]],'RESUMEN CLIENTES'!D:D,'RESUMEN CLIENTES'!C:C)</f>
        <v>Ecuador</v>
      </c>
      <c r="D2950" s="44" t="str">
        <f>+_xlfn.XLOOKUP(Tabla6[[#This Row],[ID CLIENTE]],'RESUMEN CLIENTES'!D:D,'RESUMEN CLIENTES'!M:M)</f>
        <v>OK</v>
      </c>
      <c r="E2950" s="72">
        <f>+_xlfn.XLOOKUP(Tabla6[[#This Row],[NOMBRE]],'RESUMEN CLIENTES'!A:A,'RESUMEN CLIENTES'!X:X)</f>
        <v>-9.1428571428571423</v>
      </c>
      <c r="F2950" s="72">
        <f>+_xlfn.XLOOKUP(Tabla6[[#This Row],[ID CLIENTE]],'RESUMEN CLIENTES'!D:D,'RESUMEN CLIENTES'!W:W)</f>
        <v>1</v>
      </c>
      <c r="G2950" s="17" t="str">
        <f>IF($H2950&lt;&gt;"ALEM","",IFERROR(
  DATE(
    YEAR(EDATE(
      _xlfn.XLOOKUP($A2950,'RESUMEN CLIENTES'!$D:$D,'RESUMEN CLIENTES'!$Y:$Y,""),
      7 + COUNTIFS(
            $A$2:INDEX($A:$A,ROW()), $A2950,
            $H$2:INDEX($H:$H,ROW()), "ALEM"
          )
    )),
    MONTH(EDATE(
      _xlfn.XLOOKUP($A2950,'RESUMEN CLIENTES'!$D:$D,'RESUMEN CLIENTES'!$Y:$Y,""),
      7 + COUNTIFS(
            $A$2:INDEX($A:$A,ROW()), $A2950,
            $H$2:INDEX($H:$H,ROW()), "ALEM"
          )
    )),
    1
  ),
"null"))</f>
        <v>null</v>
      </c>
      <c r="H2950" s="44" t="s">
        <v>1876</v>
      </c>
      <c r="I2950" s="2">
        <v>1000</v>
      </c>
      <c r="J2950"/>
      <c r="K2950"/>
      <c r="L2950" s="44" t="str" cm="1">
        <f t="array" ref="L2950">+_xlfn.IFS(COUNTIF(INGRESOS!E:E,Tabla6[[#This Row],[ID FACTURA]])=1,"PAGADA",Tabla6[[#This Row],[ID FACTURA]]&lt;&gt;0,"EMITIDA",Tabla6[[#This Row],[ID FACTURA]]=0,"POR EMITIR")</f>
        <v>POR EMITIR</v>
      </c>
      <c r="M2950" s="55" t="str">
        <f>+IF(Tabla6[[#This Row],[ESTADO FACTURA]]="PAGADA",Tabla6[[#This Row],[FECHA]]-_xlfn.XLOOKUP(Tabla6[[#This Row],[N° FACTURA]],INGRESOS!F:F,INGRESOS!A:A),"-")</f>
        <v>-</v>
      </c>
      <c r="N2950" s="2"/>
      <c r="O2950" t="s">
        <v>2084</v>
      </c>
    </row>
    <row r="2951" spans="1:15">
      <c r="A2951" s="320" t="s">
        <v>912</v>
      </c>
      <c r="B2951" t="str">
        <f>+_xlfn.XLOOKUP(Tabla6[[#This Row],[ID CLIENTE]],'RESUMEN CLIENTES'!D:D,'RESUMEN CLIENTES'!A:A)</f>
        <v>Vanessa Villarreal Villareal</v>
      </c>
      <c r="C2951" t="str">
        <f>+_xlfn.XLOOKUP(Tabla6[[#This Row],[ID CLIENTE]],'RESUMEN CLIENTES'!D:D,'RESUMEN CLIENTES'!C:C)</f>
        <v>Ecuador</v>
      </c>
      <c r="D2951" s="44" t="str">
        <f>+_xlfn.XLOOKUP(Tabla6[[#This Row],[ID CLIENTE]],'RESUMEN CLIENTES'!D:D,'RESUMEN CLIENTES'!M:M)</f>
        <v>OK</v>
      </c>
      <c r="E2951" s="72">
        <f>+_xlfn.XLOOKUP(Tabla6[[#This Row],[NOMBRE]],'RESUMEN CLIENTES'!A:A,'RESUMEN CLIENTES'!X:X)</f>
        <v>-9.1428571428571423</v>
      </c>
      <c r="F2951" s="72">
        <f>+_xlfn.XLOOKUP(Tabla6[[#This Row],[ID CLIENTE]],'RESUMEN CLIENTES'!D:D,'RESUMEN CLIENTES'!W:W)</f>
        <v>1</v>
      </c>
      <c r="G2951" s="17" t="str">
        <f>IF($H2951&lt;&gt;"ALEM","",IFERROR(
  DATE(
    YEAR(EDATE(
      _xlfn.XLOOKUP($A2951,'RESUMEN CLIENTES'!$D:$D,'RESUMEN CLIENTES'!$Y:$Y,""),
      7 + COUNTIFS(
            $A$2:INDEX($A:$A,ROW()), $A2951,
            $H$2:INDEX($H:$H,ROW()), "ALEM"
          )
    )),
    MONTH(EDATE(
      _xlfn.XLOOKUP($A2951,'RESUMEN CLIENTES'!$D:$D,'RESUMEN CLIENTES'!$Y:$Y,""),
      7 + COUNTIFS(
            $A$2:INDEX($A:$A,ROW()), $A2951,
            $H$2:INDEX($H:$H,ROW()), "ALEM"
          )
    )),
    1
  ),
"null"))</f>
        <v>null</v>
      </c>
      <c r="H2951" s="44" t="s">
        <v>1876</v>
      </c>
      <c r="I2951" s="2">
        <v>1000</v>
      </c>
      <c r="J2951"/>
      <c r="K2951"/>
      <c r="L2951" s="44" t="str" cm="1">
        <f t="array" ref="L2951">+_xlfn.IFS(COUNTIF(INGRESOS!E:E,Tabla6[[#This Row],[ID FACTURA]])=1,"PAGADA",Tabla6[[#This Row],[ID FACTURA]]&lt;&gt;0,"EMITIDA",Tabla6[[#This Row],[ID FACTURA]]=0,"POR EMITIR")</f>
        <v>POR EMITIR</v>
      </c>
      <c r="M2951" s="55" t="str">
        <f>+IF(Tabla6[[#This Row],[ESTADO FACTURA]]="PAGADA",Tabla6[[#This Row],[FECHA]]-_xlfn.XLOOKUP(Tabla6[[#This Row],[N° FACTURA]],INGRESOS!F:F,INGRESOS!A:A),"-")</f>
        <v>-</v>
      </c>
      <c r="N2951" s="2"/>
      <c r="O2951" t="s">
        <v>2084</v>
      </c>
    </row>
    <row r="2952" spans="1:15">
      <c r="A2952" s="320" t="s">
        <v>912</v>
      </c>
      <c r="B2952" t="str">
        <f>+_xlfn.XLOOKUP(Tabla6[[#This Row],[ID CLIENTE]],'RESUMEN CLIENTES'!D:D,'RESUMEN CLIENTES'!A:A)</f>
        <v>Vanessa Villarreal Villareal</v>
      </c>
      <c r="C2952" t="str">
        <f>+_xlfn.XLOOKUP(Tabla6[[#This Row],[ID CLIENTE]],'RESUMEN CLIENTES'!D:D,'RESUMEN CLIENTES'!C:C)</f>
        <v>Ecuador</v>
      </c>
      <c r="D2952" s="44" t="str">
        <f>+_xlfn.XLOOKUP(Tabla6[[#This Row],[ID CLIENTE]],'RESUMEN CLIENTES'!D:D,'RESUMEN CLIENTES'!M:M)</f>
        <v>OK</v>
      </c>
      <c r="E2952" s="72">
        <f>+_xlfn.XLOOKUP(Tabla6[[#This Row],[NOMBRE]],'RESUMEN CLIENTES'!A:A,'RESUMEN CLIENTES'!X:X)</f>
        <v>-9.1428571428571423</v>
      </c>
      <c r="F2952" s="72">
        <f>+_xlfn.XLOOKUP(Tabla6[[#This Row],[ID CLIENTE]],'RESUMEN CLIENTES'!D:D,'RESUMEN CLIENTES'!W:W)</f>
        <v>1</v>
      </c>
      <c r="G2952" s="17" t="str">
        <f>IF($H2952&lt;&gt;"ALEM","",IFERROR(
  DATE(
    YEAR(EDATE(
      _xlfn.XLOOKUP($A2952,'RESUMEN CLIENTES'!$D:$D,'RESUMEN CLIENTES'!$Y:$Y,""),
      7 + COUNTIFS(
            $A$2:INDEX($A:$A,ROW()), $A2952,
            $H$2:INDEX($H:$H,ROW()), "ALEM"
          )
    )),
    MONTH(EDATE(
      _xlfn.XLOOKUP($A2952,'RESUMEN CLIENTES'!$D:$D,'RESUMEN CLIENTES'!$Y:$Y,""),
      7 + COUNTIFS(
            $A$2:INDEX($A:$A,ROW()), $A2952,
            $H$2:INDEX($H:$H,ROW()), "ALEM"
          )
    )),
    1
  ),
"null"))</f>
        <v>null</v>
      </c>
      <c r="H2952" s="44" t="s">
        <v>1876</v>
      </c>
      <c r="I2952" s="2">
        <v>1000</v>
      </c>
      <c r="J2952"/>
      <c r="K2952"/>
      <c r="L2952" s="44" t="str" cm="1">
        <f t="array" ref="L2952">+_xlfn.IFS(COUNTIF(INGRESOS!E:E,Tabla6[[#This Row],[ID FACTURA]])=1,"PAGADA",Tabla6[[#This Row],[ID FACTURA]]&lt;&gt;0,"EMITIDA",Tabla6[[#This Row],[ID FACTURA]]=0,"POR EMITIR")</f>
        <v>POR EMITIR</v>
      </c>
      <c r="M2952" s="55" t="str">
        <f>+IF(Tabla6[[#This Row],[ESTADO FACTURA]]="PAGADA",Tabla6[[#This Row],[FECHA]]-_xlfn.XLOOKUP(Tabla6[[#This Row],[N° FACTURA]],INGRESOS!F:F,INGRESOS!A:A),"-")</f>
        <v>-</v>
      </c>
      <c r="N2952" s="2"/>
      <c r="O2952" t="s">
        <v>2084</v>
      </c>
    </row>
    <row r="2953" spans="1:15">
      <c r="A2953" s="320" t="s">
        <v>912</v>
      </c>
      <c r="B2953" t="str">
        <f>+_xlfn.XLOOKUP(Tabla6[[#This Row],[ID CLIENTE]],'RESUMEN CLIENTES'!D:D,'RESUMEN CLIENTES'!A:A)</f>
        <v>Vanessa Villarreal Villareal</v>
      </c>
      <c r="C2953" t="str">
        <f>+_xlfn.XLOOKUP(Tabla6[[#This Row],[ID CLIENTE]],'RESUMEN CLIENTES'!D:D,'RESUMEN CLIENTES'!C:C)</f>
        <v>Ecuador</v>
      </c>
      <c r="D2953" s="44" t="str">
        <f>+_xlfn.XLOOKUP(Tabla6[[#This Row],[ID CLIENTE]],'RESUMEN CLIENTES'!D:D,'RESUMEN CLIENTES'!M:M)</f>
        <v>OK</v>
      </c>
      <c r="E2953" s="72">
        <f>+_xlfn.XLOOKUP(Tabla6[[#This Row],[NOMBRE]],'RESUMEN CLIENTES'!A:A,'RESUMEN CLIENTES'!X:X)</f>
        <v>-9.1428571428571423</v>
      </c>
      <c r="F2953" s="72">
        <f>+_xlfn.XLOOKUP(Tabla6[[#This Row],[ID CLIENTE]],'RESUMEN CLIENTES'!D:D,'RESUMEN CLIENTES'!W:W)</f>
        <v>1</v>
      </c>
      <c r="G2953" s="17" t="str">
        <f>IF($H2953&lt;&gt;"ALEM","",IFERROR(
  DATE(
    YEAR(EDATE(
      _xlfn.XLOOKUP($A2953,'RESUMEN CLIENTES'!$D:$D,'RESUMEN CLIENTES'!$Y:$Y,""),
      7 + COUNTIFS(
            $A$2:INDEX($A:$A,ROW()), $A2953,
            $H$2:INDEX($H:$H,ROW()), "ALEM"
          )
    )),
    MONTH(EDATE(
      _xlfn.XLOOKUP($A2953,'RESUMEN CLIENTES'!$D:$D,'RESUMEN CLIENTES'!$Y:$Y,""),
      7 + COUNTIFS(
            $A$2:INDEX($A:$A,ROW()), $A2953,
            $H$2:INDEX($H:$H,ROW()), "ALEM"
          )
    )),
    1
  ),
"null"))</f>
        <v>null</v>
      </c>
      <c r="H2953" s="44" t="s">
        <v>1876</v>
      </c>
      <c r="I2953" s="2">
        <v>1000</v>
      </c>
      <c r="J2953"/>
      <c r="K2953"/>
      <c r="L2953" s="44" t="str" cm="1">
        <f t="array" ref="L2953">+_xlfn.IFS(COUNTIF(INGRESOS!E:E,Tabla6[[#This Row],[ID FACTURA]])=1,"PAGADA",Tabla6[[#This Row],[ID FACTURA]]&lt;&gt;0,"EMITIDA",Tabla6[[#This Row],[ID FACTURA]]=0,"POR EMITIR")</f>
        <v>POR EMITIR</v>
      </c>
      <c r="M2953" s="55" t="str">
        <f>+IF(Tabla6[[#This Row],[ESTADO FACTURA]]="PAGADA",Tabla6[[#This Row],[FECHA]]-_xlfn.XLOOKUP(Tabla6[[#This Row],[N° FACTURA]],INGRESOS!F:F,INGRESOS!A:A),"-")</f>
        <v>-</v>
      </c>
      <c r="N2953" s="2"/>
      <c r="O2953" t="s">
        <v>2084</v>
      </c>
    </row>
    <row r="2954" spans="1:15">
      <c r="A2954" s="320" t="s">
        <v>538</v>
      </c>
      <c r="B2954" t="str">
        <f>+_xlfn.XLOOKUP(Tabla6[[#This Row],[ID CLIENTE]],'RESUMEN CLIENTES'!D:D,'RESUMEN CLIENTES'!A:A)</f>
        <v>Yaritza Soledad Martinez Rodriguez</v>
      </c>
      <c r="C2954" t="str">
        <f>+_xlfn.XLOOKUP(Tabla6[[#This Row],[ID CLIENTE]],'RESUMEN CLIENTES'!D:D,'RESUMEN CLIENTES'!C:C)</f>
        <v>Argentina</v>
      </c>
      <c r="D2954" s="44" t="str">
        <f>+_xlfn.XLOOKUP(Tabla6[[#This Row],[ID CLIENTE]],'RESUMEN CLIENTES'!D:D,'RESUMEN CLIENTES'!M:M)</f>
        <v>OK</v>
      </c>
      <c r="E2954" s="72">
        <f>+_xlfn.XLOOKUP(Tabla6[[#This Row],[NOMBRE]],'RESUMEN CLIENTES'!A:A,'RESUMEN CLIENTES'!X:X)</f>
        <v>-0.25</v>
      </c>
      <c r="F2954" s="72">
        <f>+_xlfn.XLOOKUP(Tabla6[[#This Row],[ID CLIENTE]],'RESUMEN CLIENTES'!D:D,'RESUMEN CLIENTES'!W:W)</f>
        <v>0</v>
      </c>
      <c r="G2954" s="17" t="str">
        <f>IF($H2954&lt;&gt;"ALEM","",IFERROR(
  DATE(
    YEAR(EDATE(
      _xlfn.XLOOKUP($A2954,'RESUMEN CLIENTES'!$D:$D,'RESUMEN CLIENTES'!$Y:$Y,""),
      7 + COUNTIFS(
            $A$2:INDEX($A:$A,ROW()), $A2954,
            $H$2:INDEX($H:$H,ROW()), "ALEM"
          )
    )),
    MONTH(EDATE(
      _xlfn.XLOOKUP($A2954,'RESUMEN CLIENTES'!$D:$D,'RESUMEN CLIENTES'!$Y:$Y,""),
      7 + COUNTIFS(
            $A$2:INDEX($A:$A,ROW()), $A2954,
            $H$2:INDEX($H:$H,ROW()), "ALEM"
          )
    )),
    1
  ),
"null"))</f>
        <v>null</v>
      </c>
      <c r="H2954" s="44" t="s">
        <v>1876</v>
      </c>
      <c r="I2954" s="2">
        <v>1000</v>
      </c>
      <c r="J2954"/>
      <c r="K2954"/>
      <c r="L2954" s="44" t="str" cm="1">
        <f t="array" ref="L2954">+_xlfn.IFS(COUNTIF(INGRESOS!E:E,Tabla6[[#This Row],[ID FACTURA]])=1,"PAGADA",Tabla6[[#This Row],[ID FACTURA]]&lt;&gt;0,"EMITIDA",Tabla6[[#This Row],[ID FACTURA]]=0,"POR EMITIR")</f>
        <v>POR EMITIR</v>
      </c>
      <c r="M2954" s="55" t="str">
        <f>+IF(Tabla6[[#This Row],[ESTADO FACTURA]]="PAGADA",Tabla6[[#This Row],[FECHA]]-_xlfn.XLOOKUP(Tabla6[[#This Row],[N° FACTURA]],INGRESOS!F:F,INGRESOS!A:A),"-")</f>
        <v>-</v>
      </c>
      <c r="N2954" s="2"/>
      <c r="O2954"/>
    </row>
    <row r="2955" spans="1:15">
      <c r="A2955" s="320" t="s">
        <v>538</v>
      </c>
      <c r="B2955" t="str">
        <f>+_xlfn.XLOOKUP(Tabla6[[#This Row],[ID CLIENTE]],'RESUMEN CLIENTES'!D:D,'RESUMEN CLIENTES'!A:A)</f>
        <v>Yaritza Soledad Martinez Rodriguez</v>
      </c>
      <c r="C2955" t="str">
        <f>+_xlfn.XLOOKUP(Tabla6[[#This Row],[ID CLIENTE]],'RESUMEN CLIENTES'!D:D,'RESUMEN CLIENTES'!C:C)</f>
        <v>Argentina</v>
      </c>
      <c r="D2955" s="44" t="str">
        <f>+_xlfn.XLOOKUP(Tabla6[[#This Row],[ID CLIENTE]],'RESUMEN CLIENTES'!D:D,'RESUMEN CLIENTES'!M:M)</f>
        <v>OK</v>
      </c>
      <c r="E2955" s="72">
        <f>+_xlfn.XLOOKUP(Tabla6[[#This Row],[NOMBRE]],'RESUMEN CLIENTES'!A:A,'RESUMEN CLIENTES'!X:X)</f>
        <v>-0.25</v>
      </c>
      <c r="F2955" s="72">
        <f>+_xlfn.XLOOKUP(Tabla6[[#This Row],[ID CLIENTE]],'RESUMEN CLIENTES'!D:D,'RESUMEN CLIENTES'!W:W)</f>
        <v>0</v>
      </c>
      <c r="G2955" s="17" t="str">
        <f>IF($H2955&lt;&gt;"ALEM","",IFERROR(
  DATE(
    YEAR(EDATE(
      _xlfn.XLOOKUP($A2955,'RESUMEN CLIENTES'!$D:$D,'RESUMEN CLIENTES'!$Y:$Y,""),
      7 + COUNTIFS(
            $A$2:INDEX($A:$A,ROW()), $A2955,
            $H$2:INDEX($H:$H,ROW()), "ALEM"
          )
    )),
    MONTH(EDATE(
      _xlfn.XLOOKUP($A2955,'RESUMEN CLIENTES'!$D:$D,'RESUMEN CLIENTES'!$Y:$Y,""),
      7 + COUNTIFS(
            $A$2:INDEX($A:$A,ROW()), $A2955,
            $H$2:INDEX($H:$H,ROW()), "ALEM"
          )
    )),
    1
  ),
"null"))</f>
        <v>null</v>
      </c>
      <c r="H2955" s="44" t="s">
        <v>1876</v>
      </c>
      <c r="I2955" s="2">
        <v>1000</v>
      </c>
      <c r="J2955"/>
      <c r="K2955"/>
      <c r="L2955" s="44" t="str" cm="1">
        <f t="array" ref="L2955">+_xlfn.IFS(COUNTIF(INGRESOS!E:E,Tabla6[[#This Row],[ID FACTURA]])=1,"PAGADA",Tabla6[[#This Row],[ID FACTURA]]&lt;&gt;0,"EMITIDA",Tabla6[[#This Row],[ID FACTURA]]=0,"POR EMITIR")</f>
        <v>POR EMITIR</v>
      </c>
      <c r="M2955" s="55" t="str">
        <f>+IF(Tabla6[[#This Row],[ESTADO FACTURA]]="PAGADA",Tabla6[[#This Row],[FECHA]]-_xlfn.XLOOKUP(Tabla6[[#This Row],[N° FACTURA]],INGRESOS!F:F,INGRESOS!A:A),"-")</f>
        <v>-</v>
      </c>
      <c r="N2955" s="2"/>
      <c r="O2955"/>
    </row>
    <row r="2956" spans="1:15">
      <c r="A2956" s="320" t="s">
        <v>538</v>
      </c>
      <c r="B2956" t="str">
        <f>+_xlfn.XLOOKUP(Tabla6[[#This Row],[ID CLIENTE]],'RESUMEN CLIENTES'!D:D,'RESUMEN CLIENTES'!A:A)</f>
        <v>Yaritza Soledad Martinez Rodriguez</v>
      </c>
      <c r="C2956" t="str">
        <f>+_xlfn.XLOOKUP(Tabla6[[#This Row],[ID CLIENTE]],'RESUMEN CLIENTES'!D:D,'RESUMEN CLIENTES'!C:C)</f>
        <v>Argentina</v>
      </c>
      <c r="D2956" s="44" t="str">
        <f>+_xlfn.XLOOKUP(Tabla6[[#This Row],[ID CLIENTE]],'RESUMEN CLIENTES'!D:D,'RESUMEN CLIENTES'!M:M)</f>
        <v>OK</v>
      </c>
      <c r="E2956" s="72">
        <f>+_xlfn.XLOOKUP(Tabla6[[#This Row],[NOMBRE]],'RESUMEN CLIENTES'!A:A,'RESUMEN CLIENTES'!X:X)</f>
        <v>-0.25</v>
      </c>
      <c r="F2956" s="72">
        <f>+_xlfn.XLOOKUP(Tabla6[[#This Row],[ID CLIENTE]],'RESUMEN CLIENTES'!D:D,'RESUMEN CLIENTES'!W:W)</f>
        <v>0</v>
      </c>
      <c r="G2956" s="17" t="str">
        <f>IF($H2956&lt;&gt;"ALEM","",IFERROR(
  DATE(
    YEAR(EDATE(
      _xlfn.XLOOKUP($A2956,'RESUMEN CLIENTES'!$D:$D,'RESUMEN CLIENTES'!$Y:$Y,""),
      7 + COUNTIFS(
            $A$2:INDEX($A:$A,ROW()), $A2956,
            $H$2:INDEX($H:$H,ROW()), "ALEM"
          )
    )),
    MONTH(EDATE(
      _xlfn.XLOOKUP($A2956,'RESUMEN CLIENTES'!$D:$D,'RESUMEN CLIENTES'!$Y:$Y,""),
      7 + COUNTIFS(
            $A$2:INDEX($A:$A,ROW()), $A2956,
            $H$2:INDEX($H:$H,ROW()), "ALEM"
          )
    )),
    1
  ),
"null"))</f>
        <v>null</v>
      </c>
      <c r="H2956" s="44" t="s">
        <v>1876</v>
      </c>
      <c r="I2956" s="2">
        <v>1000</v>
      </c>
      <c r="J2956"/>
      <c r="K2956"/>
      <c r="L2956" s="44" t="str" cm="1">
        <f t="array" ref="L2956">+_xlfn.IFS(COUNTIF(INGRESOS!E:E,Tabla6[[#This Row],[ID FACTURA]])=1,"PAGADA",Tabla6[[#This Row],[ID FACTURA]]&lt;&gt;0,"EMITIDA",Tabla6[[#This Row],[ID FACTURA]]=0,"POR EMITIR")</f>
        <v>POR EMITIR</v>
      </c>
      <c r="M2956" s="55" t="str">
        <f>+IF(Tabla6[[#This Row],[ESTADO FACTURA]]="PAGADA",Tabla6[[#This Row],[FECHA]]-_xlfn.XLOOKUP(Tabla6[[#This Row],[N° FACTURA]],INGRESOS!F:F,INGRESOS!A:A),"-")</f>
        <v>-</v>
      </c>
      <c r="N2956" s="2"/>
      <c r="O2956"/>
    </row>
    <row r="2957" spans="1:15">
      <c r="A2957" s="320" t="s">
        <v>538</v>
      </c>
      <c r="B2957" t="str">
        <f>+_xlfn.XLOOKUP(Tabla6[[#This Row],[ID CLIENTE]],'RESUMEN CLIENTES'!D:D,'RESUMEN CLIENTES'!A:A)</f>
        <v>Yaritza Soledad Martinez Rodriguez</v>
      </c>
      <c r="C2957" t="str">
        <f>+_xlfn.XLOOKUP(Tabla6[[#This Row],[ID CLIENTE]],'RESUMEN CLIENTES'!D:D,'RESUMEN CLIENTES'!C:C)</f>
        <v>Argentina</v>
      </c>
      <c r="D2957" s="44" t="str">
        <f>+_xlfn.XLOOKUP(Tabla6[[#This Row],[ID CLIENTE]],'RESUMEN CLIENTES'!D:D,'RESUMEN CLIENTES'!M:M)</f>
        <v>OK</v>
      </c>
      <c r="E2957" s="72">
        <f>+_xlfn.XLOOKUP(Tabla6[[#This Row],[NOMBRE]],'RESUMEN CLIENTES'!A:A,'RESUMEN CLIENTES'!X:X)</f>
        <v>-0.25</v>
      </c>
      <c r="F2957" s="72">
        <f>+_xlfn.XLOOKUP(Tabla6[[#This Row],[ID CLIENTE]],'RESUMEN CLIENTES'!D:D,'RESUMEN CLIENTES'!W:W)</f>
        <v>0</v>
      </c>
      <c r="G2957" s="17" t="str">
        <f>IF($H2957&lt;&gt;"ALEM","",IFERROR(
  DATE(
    YEAR(EDATE(
      _xlfn.XLOOKUP($A2957,'RESUMEN CLIENTES'!$D:$D,'RESUMEN CLIENTES'!$Y:$Y,""),
      7 + COUNTIFS(
            $A$2:INDEX($A:$A,ROW()), $A2957,
            $H$2:INDEX($H:$H,ROW()), "ALEM"
          )
    )),
    MONTH(EDATE(
      _xlfn.XLOOKUP($A2957,'RESUMEN CLIENTES'!$D:$D,'RESUMEN CLIENTES'!$Y:$Y,""),
      7 + COUNTIFS(
            $A$2:INDEX($A:$A,ROW()), $A2957,
            $H$2:INDEX($H:$H,ROW()), "ALEM"
          )
    )),
    1
  ),
"null"))</f>
        <v>null</v>
      </c>
      <c r="H2957" s="44" t="s">
        <v>1876</v>
      </c>
      <c r="I2957" s="2">
        <v>1000</v>
      </c>
      <c r="J2957"/>
      <c r="K2957"/>
      <c r="L2957" s="44" t="str" cm="1">
        <f t="array" ref="L2957">+_xlfn.IFS(COUNTIF(INGRESOS!E:E,Tabla6[[#This Row],[ID FACTURA]])=1,"PAGADA",Tabla6[[#This Row],[ID FACTURA]]&lt;&gt;0,"EMITIDA",Tabla6[[#This Row],[ID FACTURA]]=0,"POR EMITIR")</f>
        <v>POR EMITIR</v>
      </c>
      <c r="M2957" s="55" t="str">
        <f>+IF(Tabla6[[#This Row],[ESTADO FACTURA]]="PAGADA",Tabla6[[#This Row],[FECHA]]-_xlfn.XLOOKUP(Tabla6[[#This Row],[N° FACTURA]],INGRESOS!F:F,INGRESOS!A:A),"-")</f>
        <v>-</v>
      </c>
      <c r="N2957" s="2"/>
      <c r="O2957"/>
    </row>
    <row r="2958" spans="1:15">
      <c r="A2958" s="320" t="s">
        <v>538</v>
      </c>
      <c r="B2958" t="str">
        <f>+_xlfn.XLOOKUP(Tabla6[[#This Row],[ID CLIENTE]],'RESUMEN CLIENTES'!D:D,'RESUMEN CLIENTES'!A:A)</f>
        <v>Yaritza Soledad Martinez Rodriguez</v>
      </c>
      <c r="C2958" t="str">
        <f>+_xlfn.XLOOKUP(Tabla6[[#This Row],[ID CLIENTE]],'RESUMEN CLIENTES'!D:D,'RESUMEN CLIENTES'!C:C)</f>
        <v>Argentina</v>
      </c>
      <c r="D2958" s="44" t="str">
        <f>+_xlfn.XLOOKUP(Tabla6[[#This Row],[ID CLIENTE]],'RESUMEN CLIENTES'!D:D,'RESUMEN CLIENTES'!M:M)</f>
        <v>OK</v>
      </c>
      <c r="E2958" s="72">
        <f>+_xlfn.XLOOKUP(Tabla6[[#This Row],[NOMBRE]],'RESUMEN CLIENTES'!A:A,'RESUMEN CLIENTES'!X:X)</f>
        <v>-0.25</v>
      </c>
      <c r="F2958" s="72">
        <f>+_xlfn.XLOOKUP(Tabla6[[#This Row],[ID CLIENTE]],'RESUMEN CLIENTES'!D:D,'RESUMEN CLIENTES'!W:W)</f>
        <v>0</v>
      </c>
      <c r="G2958" s="17" t="str">
        <f>IF($H2958&lt;&gt;"ALEM","",IFERROR(
  DATE(
    YEAR(EDATE(
      _xlfn.XLOOKUP($A2958,'RESUMEN CLIENTES'!$D:$D,'RESUMEN CLIENTES'!$Y:$Y,""),
      7 + COUNTIFS(
            $A$2:INDEX($A:$A,ROW()), $A2958,
            $H$2:INDEX($H:$H,ROW()), "ALEM"
          )
    )),
    MONTH(EDATE(
      _xlfn.XLOOKUP($A2958,'RESUMEN CLIENTES'!$D:$D,'RESUMEN CLIENTES'!$Y:$Y,""),
      7 + COUNTIFS(
            $A$2:INDEX($A:$A,ROW()), $A2958,
            $H$2:INDEX($H:$H,ROW()), "ALEM"
          )
    )),
    1
  ),
"null"))</f>
        <v>null</v>
      </c>
      <c r="H2958" s="44" t="s">
        <v>1876</v>
      </c>
      <c r="I2958" s="2">
        <v>1000</v>
      </c>
      <c r="J2958"/>
      <c r="K2958"/>
      <c r="L2958" s="44" t="str" cm="1">
        <f t="array" ref="L2958">+_xlfn.IFS(COUNTIF(INGRESOS!E:E,Tabla6[[#This Row],[ID FACTURA]])=1,"PAGADA",Tabla6[[#This Row],[ID FACTURA]]&lt;&gt;0,"EMITIDA",Tabla6[[#This Row],[ID FACTURA]]=0,"POR EMITIR")</f>
        <v>POR EMITIR</v>
      </c>
      <c r="M2958" s="55" t="str">
        <f>+IF(Tabla6[[#This Row],[ESTADO FACTURA]]="PAGADA",Tabla6[[#This Row],[FECHA]]-_xlfn.XLOOKUP(Tabla6[[#This Row],[N° FACTURA]],INGRESOS!F:F,INGRESOS!A:A),"-")</f>
        <v>-</v>
      </c>
      <c r="N2958" s="2"/>
      <c r="O2958"/>
    </row>
  </sheetData>
  <sheetProtection insertColumns="0" insertRows="0"/>
  <phoneticPr fontId="7" type="noConversion"/>
  <conditionalFormatting sqref="D1:D1048576">
    <cfRule type="cellIs" dxfId="4" priority="1" operator="equal">
      <formula>"ELIMINADO"</formula>
    </cfRule>
    <cfRule type="cellIs" dxfId="3" priority="2" operator="equal">
      <formula>"¡REGULARIZAR!"</formula>
    </cfRule>
  </conditionalFormatting>
  <conditionalFormatting sqref="L1:N1 L2:M2363 L2276:N1048576">
    <cfRule type="cellIs" dxfId="2" priority="6" operator="equal">
      <formula>"PAGADA"</formula>
    </cfRule>
  </conditionalFormatting>
  <conditionalFormatting sqref="N387">
    <cfRule type="cellIs" dxfId="1" priority="4" operator="equal">
      <formula>"PAGADA"</formula>
    </cfRule>
  </conditionalFormatting>
  <conditionalFormatting sqref="N2184">
    <cfRule type="cellIs" dxfId="0" priority="3" operator="equal">
      <formula>"PAGADA"</formula>
    </cfRule>
  </conditionalFormatting>
  <pageMargins left="0.7" right="0.7" top="0.75" bottom="0.75" header="0.3" footer="0.3"/>
  <pageSetup paperSize="9" orientation="portrait" r:id="rId1"/>
  <legacy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548EB-11E7-EE47-BB2D-F7437CA94ED5}">
  <dimension ref="A1:X1476"/>
  <sheetViews>
    <sheetView tabSelected="1" zoomScale="110" zoomScaleNormal="83" workbookViewId="0">
      <pane xSplit="1" ySplit="1" topLeftCell="B343" activePane="bottomRight" state="frozen"/>
      <selection pane="topRight" activeCell="B1" sqref="B1"/>
      <selection pane="bottomLeft" activeCell="A2" sqref="A2"/>
      <selection pane="bottomRight" activeCell="H1338" sqref="H1338"/>
    </sheetView>
  </sheetViews>
  <sheetFormatPr baseColWidth="10" defaultColWidth="10.6640625" defaultRowHeight="15"/>
  <cols>
    <col min="1" max="1" width="10.33203125" bestFit="1" customWidth="1"/>
    <col min="2" max="2" width="37" bestFit="1" customWidth="1"/>
    <col min="3" max="3" width="10.83203125" style="44" bestFit="1" customWidth="1"/>
    <col min="4" max="4" width="16.83203125" bestFit="1" customWidth="1"/>
    <col min="5" max="5" width="11.1640625" style="43" bestFit="1" customWidth="1"/>
    <col min="6" max="6" width="15.83203125" bestFit="1" customWidth="1"/>
    <col min="7" max="7" width="49.1640625" bestFit="1" customWidth="1"/>
    <col min="8" max="8" width="52.33203125" customWidth="1"/>
    <col min="9" max="9" width="24.6640625" bestFit="1" customWidth="1"/>
    <col min="10" max="10" width="26.83203125" bestFit="1" customWidth="1"/>
    <col min="11" max="11" width="23" style="4" bestFit="1" customWidth="1"/>
    <col min="12" max="12" width="27.83203125" style="62" bestFit="1" customWidth="1"/>
    <col min="13" max="13" width="14" style="225" bestFit="1" customWidth="1"/>
    <col min="14" max="14" width="16.83203125" style="42" bestFit="1" customWidth="1"/>
    <col min="15" max="15" width="18" style="56" bestFit="1" customWidth="1"/>
    <col min="16" max="16" width="14.1640625" bestFit="1" customWidth="1"/>
    <col min="17" max="17" width="11.33203125" bestFit="1" customWidth="1"/>
    <col min="18" max="18" width="21.6640625" bestFit="1" customWidth="1"/>
    <col min="19" max="19" width="14" style="62" bestFit="1" customWidth="1"/>
    <col min="20" max="20" width="14.5" bestFit="1" customWidth="1"/>
    <col min="21" max="21" width="16.33203125" bestFit="1" customWidth="1"/>
    <col min="22" max="22" width="19.6640625" bestFit="1" customWidth="1"/>
    <col min="23" max="23" width="19" style="42" bestFit="1" customWidth="1"/>
    <col min="24" max="24" width="12.6640625" bestFit="1" customWidth="1"/>
  </cols>
  <sheetData>
    <row r="1" spans="1:24" s="4" customFormat="1">
      <c r="A1" s="205" t="s">
        <v>2674</v>
      </c>
      <c r="B1" s="205" t="s">
        <v>2675</v>
      </c>
      <c r="C1" s="205" t="s">
        <v>2676</v>
      </c>
      <c r="D1" s="545" t="s">
        <v>2677</v>
      </c>
      <c r="E1" s="546" t="s">
        <v>2678</v>
      </c>
      <c r="F1" s="545" t="s">
        <v>2679</v>
      </c>
      <c r="G1" s="205" t="s">
        <v>2680</v>
      </c>
      <c r="H1" s="205" t="s">
        <v>2681</v>
      </c>
      <c r="I1" s="205" t="s">
        <v>2682</v>
      </c>
      <c r="J1" s="9" t="s">
        <v>2683</v>
      </c>
      <c r="K1" s="547" t="s">
        <v>2684</v>
      </c>
      <c r="L1" s="211" t="s">
        <v>2685</v>
      </c>
      <c r="M1" s="429" t="s">
        <v>2686</v>
      </c>
      <c r="N1" s="547" t="s">
        <v>6013</v>
      </c>
      <c r="O1" s="547" t="s">
        <v>2687</v>
      </c>
      <c r="P1" s="547" t="s">
        <v>2688</v>
      </c>
      <c r="Q1" s="211" t="s">
        <v>2689</v>
      </c>
      <c r="R1" s="211" t="s">
        <v>2690</v>
      </c>
      <c r="S1" s="211" t="s">
        <v>2691</v>
      </c>
      <c r="T1" s="211" t="s">
        <v>2692</v>
      </c>
      <c r="U1" s="205" t="s">
        <v>2693</v>
      </c>
      <c r="V1" s="205" t="s">
        <v>2694</v>
      </c>
      <c r="W1" s="211" t="s">
        <v>2695</v>
      </c>
      <c r="X1" s="211" t="s">
        <v>2696</v>
      </c>
    </row>
    <row r="2" spans="1:24" hidden="1">
      <c r="A2" s="532">
        <v>45582</v>
      </c>
      <c r="B2" s="533">
        <v>23060389</v>
      </c>
      <c r="C2" s="534" t="s">
        <v>2697</v>
      </c>
      <c r="D2" s="535">
        <v>-214.2</v>
      </c>
      <c r="E2" s="536">
        <v>1</v>
      </c>
      <c r="F2" s="537">
        <f>Tabla5109[[#This Row],[Original Amount]]*Tabla5109[[#This Row],[ER to EUR]]</f>
        <v>-214.2</v>
      </c>
      <c r="G2" s="218" t="s">
        <v>2698</v>
      </c>
      <c r="H2" s="538" t="s">
        <v>2699</v>
      </c>
      <c r="I2" s="218" t="s">
        <v>2700</v>
      </c>
      <c r="J2" s="218" t="s">
        <v>2701</v>
      </c>
      <c r="K2" s="218" t="s">
        <v>2702</v>
      </c>
      <c r="L2" s="218" t="s">
        <v>2703</v>
      </c>
      <c r="M2" s="539" t="s">
        <v>125</v>
      </c>
      <c r="N2" s="540" t="s">
        <v>2704</v>
      </c>
      <c r="O2" s="540" t="s">
        <v>2704</v>
      </c>
      <c r="P2" s="541" t="str">
        <f t="shared" ref="P2:P65" si="0">"C"&amp;INT((MONTH(A2)-1)/4)+1&amp;"-"&amp;YEAR(A2)</f>
        <v>C3-2024</v>
      </c>
      <c r="Q2" s="541" t="str">
        <f t="shared" ref="Q2:Q65" si="1">"T"&amp;INT((MONTH(A2)-1)/3)+1&amp;"-"&amp;YEAR(A2)</f>
        <v>T4-2024</v>
      </c>
      <c r="R2" s="541" t="s">
        <v>2705</v>
      </c>
      <c r="S2" s="542" t="s">
        <v>2706</v>
      </c>
      <c r="T2" s="541" t="s">
        <v>2707</v>
      </c>
      <c r="U2" s="531" t="s">
        <v>2708</v>
      </c>
      <c r="V2" s="531" t="s">
        <v>54</v>
      </c>
      <c r="W2" s="543" t="s">
        <v>125</v>
      </c>
      <c r="X2" s="544" t="s">
        <v>2709</v>
      </c>
    </row>
    <row r="3" spans="1:24" hidden="1">
      <c r="A3" s="161">
        <v>45582</v>
      </c>
      <c r="B3" s="133" t="s">
        <v>2710</v>
      </c>
      <c r="C3" s="32" t="s">
        <v>2697</v>
      </c>
      <c r="D3" s="146">
        <v>-200</v>
      </c>
      <c r="E3" s="120">
        <v>1</v>
      </c>
      <c r="F3" s="121">
        <f>Tabla5109[[#This Row],[Original Amount]]*Tabla5109[[#This Row],[ER to EUR]]</f>
        <v>-200</v>
      </c>
      <c r="G3" s="9" t="s">
        <v>2711</v>
      </c>
      <c r="H3" s="9" t="s">
        <v>2712</v>
      </c>
      <c r="I3" s="9" t="s">
        <v>2713</v>
      </c>
      <c r="J3" s="9" t="s">
        <v>2714</v>
      </c>
      <c r="K3" s="9" t="s">
        <v>2715</v>
      </c>
      <c r="L3" s="9" t="s">
        <v>2716</v>
      </c>
      <c r="M3" s="32" t="s">
        <v>125</v>
      </c>
      <c r="N3" s="129" t="s">
        <v>2704</v>
      </c>
      <c r="O3" s="122" t="s">
        <v>2704</v>
      </c>
      <c r="P3" s="123" t="str">
        <f t="shared" si="0"/>
        <v>C3-2024</v>
      </c>
      <c r="Q3" s="123" t="str">
        <f t="shared" si="1"/>
        <v>T4-2024</v>
      </c>
      <c r="R3" s="123" t="s">
        <v>2705</v>
      </c>
      <c r="S3" s="124" t="s">
        <v>2706</v>
      </c>
      <c r="T3" s="123" t="s">
        <v>2717</v>
      </c>
      <c r="U3" s="162" t="s">
        <v>2708</v>
      </c>
      <c r="V3" s="162" t="s">
        <v>56</v>
      </c>
      <c r="W3" s="237" t="s">
        <v>125</v>
      </c>
      <c r="X3" s="173" t="s">
        <v>2709</v>
      </c>
    </row>
    <row r="4" spans="1:24" hidden="1">
      <c r="A4" s="161">
        <v>45621</v>
      </c>
      <c r="B4" s="125">
        <v>78148533294</v>
      </c>
      <c r="C4" s="118" t="s">
        <v>2697</v>
      </c>
      <c r="D4" s="146">
        <v>-43.38</v>
      </c>
      <c r="E4" s="120">
        <v>1</v>
      </c>
      <c r="F4" s="121">
        <f>Tabla5109[[#This Row],[Original Amount]]*Tabla5109[[#This Row],[ER to EUR]]</f>
        <v>-43.38</v>
      </c>
      <c r="G4" s="9" t="s">
        <v>2718</v>
      </c>
      <c r="H4" s="410" t="s">
        <v>2719</v>
      </c>
      <c r="I4" s="9" t="s">
        <v>2720</v>
      </c>
      <c r="J4" s="9" t="s">
        <v>2714</v>
      </c>
      <c r="K4" s="9" t="s">
        <v>2721</v>
      </c>
      <c r="L4" s="9" t="s">
        <v>2716</v>
      </c>
      <c r="M4" s="32" t="s">
        <v>125</v>
      </c>
      <c r="N4" s="122" t="s">
        <v>2704</v>
      </c>
      <c r="O4" s="122" t="s">
        <v>2704</v>
      </c>
      <c r="P4" s="123" t="str">
        <f t="shared" si="0"/>
        <v>C3-2024</v>
      </c>
      <c r="Q4" s="123" t="str">
        <f t="shared" si="1"/>
        <v>T4-2024</v>
      </c>
      <c r="R4" s="123" t="s">
        <v>2722</v>
      </c>
      <c r="S4" s="124" t="s">
        <v>2723</v>
      </c>
      <c r="T4" s="123" t="s">
        <v>2724</v>
      </c>
      <c r="U4" s="162" t="s">
        <v>2708</v>
      </c>
      <c r="V4" s="162" t="s">
        <v>54</v>
      </c>
      <c r="W4" s="237" t="s">
        <v>125</v>
      </c>
      <c r="X4" s="173" t="s">
        <v>2709</v>
      </c>
    </row>
    <row r="5" spans="1:24" hidden="1">
      <c r="A5" s="161">
        <v>45625</v>
      </c>
      <c r="B5" s="117">
        <v>14437</v>
      </c>
      <c r="C5" s="118" t="s">
        <v>2697</v>
      </c>
      <c r="D5" s="146">
        <v>-2500</v>
      </c>
      <c r="E5" s="120">
        <v>1</v>
      </c>
      <c r="F5" s="121">
        <f>Tabla5109[[#This Row],[Original Amount]]*Tabla5109[[#This Row],[ER to EUR]]</f>
        <v>-2500</v>
      </c>
      <c r="G5" s="9" t="s">
        <v>2725</v>
      </c>
      <c r="H5" s="73" t="s">
        <v>2726</v>
      </c>
      <c r="I5" s="9" t="s">
        <v>2727</v>
      </c>
      <c r="J5" s="9" t="s">
        <v>2701</v>
      </c>
      <c r="K5" s="9" t="s">
        <v>2728</v>
      </c>
      <c r="L5" s="9" t="s">
        <v>2729</v>
      </c>
      <c r="M5" s="32" t="s">
        <v>125</v>
      </c>
      <c r="N5" s="122" t="s">
        <v>2704</v>
      </c>
      <c r="O5" s="122" t="s">
        <v>2704</v>
      </c>
      <c r="P5" s="123" t="str">
        <f t="shared" si="0"/>
        <v>C3-2024</v>
      </c>
      <c r="Q5" s="123" t="str">
        <f t="shared" si="1"/>
        <v>T4-2024</v>
      </c>
      <c r="R5" s="123" t="s">
        <v>2730</v>
      </c>
      <c r="S5" s="124" t="s">
        <v>2731</v>
      </c>
      <c r="T5" s="123" t="s">
        <v>2707</v>
      </c>
      <c r="U5" s="162" t="s">
        <v>51</v>
      </c>
      <c r="V5" s="162" t="s">
        <v>57</v>
      </c>
      <c r="W5" s="237" t="s">
        <v>125</v>
      </c>
      <c r="X5" s="173" t="s">
        <v>2709</v>
      </c>
    </row>
    <row r="6" spans="1:24" hidden="1">
      <c r="A6" s="161">
        <v>45629</v>
      </c>
      <c r="B6" s="128" t="s">
        <v>2732</v>
      </c>
      <c r="C6" s="118" t="s">
        <v>2697</v>
      </c>
      <c r="D6" s="146">
        <v>-34.65</v>
      </c>
      <c r="E6" s="120">
        <v>1</v>
      </c>
      <c r="F6" s="121">
        <f>Tabla5109[[#This Row],[Original Amount]]*Tabla5109[[#This Row],[ER to EUR]]</f>
        <v>-34.65</v>
      </c>
      <c r="G6" s="9" t="s">
        <v>2733</v>
      </c>
      <c r="H6" s="73" t="s">
        <v>2734</v>
      </c>
      <c r="I6" s="9" t="s">
        <v>2713</v>
      </c>
      <c r="J6" s="9" t="s">
        <v>2701</v>
      </c>
      <c r="K6" s="9" t="s">
        <v>2702</v>
      </c>
      <c r="L6" s="9" t="s">
        <v>2703</v>
      </c>
      <c r="M6" s="32" t="s">
        <v>125</v>
      </c>
      <c r="N6" s="122" t="s">
        <v>2704</v>
      </c>
      <c r="O6" s="122" t="s">
        <v>2704</v>
      </c>
      <c r="P6" s="123" t="str">
        <f t="shared" si="0"/>
        <v>C3-2024</v>
      </c>
      <c r="Q6" s="123" t="str">
        <f t="shared" si="1"/>
        <v>T4-2024</v>
      </c>
      <c r="R6" s="123" t="s">
        <v>2705</v>
      </c>
      <c r="S6" s="124" t="s">
        <v>2735</v>
      </c>
      <c r="T6" s="123" t="s">
        <v>2707</v>
      </c>
      <c r="U6" s="162" t="s">
        <v>2708</v>
      </c>
      <c r="V6" s="162" t="s">
        <v>56</v>
      </c>
      <c r="W6" s="237" t="s">
        <v>125</v>
      </c>
      <c r="X6" s="173" t="s">
        <v>2709</v>
      </c>
    </row>
    <row r="7" spans="1:24" hidden="1">
      <c r="A7" s="161">
        <v>45631</v>
      </c>
      <c r="B7" s="117" t="s">
        <v>2736</v>
      </c>
      <c r="C7" s="118" t="s">
        <v>2697</v>
      </c>
      <c r="D7" s="119">
        <v>-19.920000000000002</v>
      </c>
      <c r="E7" s="120">
        <v>1</v>
      </c>
      <c r="F7" s="121">
        <f>Tabla5109[[#This Row],[Original Amount]]*Tabla5109[[#This Row],[ER to EUR]]</f>
        <v>-19.920000000000002</v>
      </c>
      <c r="G7" s="9" t="s">
        <v>2737</v>
      </c>
      <c r="H7" s="73" t="s">
        <v>2738</v>
      </c>
      <c r="I7" s="9" t="s">
        <v>2739</v>
      </c>
      <c r="J7" s="9" t="s">
        <v>2701</v>
      </c>
      <c r="K7" s="9" t="s">
        <v>2702</v>
      </c>
      <c r="L7" s="9" t="s">
        <v>2740</v>
      </c>
      <c r="M7" s="32" t="s">
        <v>125</v>
      </c>
      <c r="N7" s="122" t="s">
        <v>2704</v>
      </c>
      <c r="O7" s="122" t="s">
        <v>2704</v>
      </c>
      <c r="P7" s="123" t="str">
        <f t="shared" si="0"/>
        <v>C3-2024</v>
      </c>
      <c r="Q7" s="123" t="str">
        <f t="shared" si="1"/>
        <v>T4-2024</v>
      </c>
      <c r="R7" s="123" t="s">
        <v>2741</v>
      </c>
      <c r="S7" s="124" t="s">
        <v>2723</v>
      </c>
      <c r="T7" s="123" t="s">
        <v>2724</v>
      </c>
      <c r="U7" s="162" t="s">
        <v>2708</v>
      </c>
      <c r="V7" s="162" t="s">
        <v>54</v>
      </c>
      <c r="W7" s="237" t="s">
        <v>125</v>
      </c>
      <c r="X7" s="173" t="s">
        <v>2709</v>
      </c>
    </row>
    <row r="8" spans="1:24" hidden="1">
      <c r="A8" s="161">
        <v>45639</v>
      </c>
      <c r="B8" s="117" t="s">
        <v>2742</v>
      </c>
      <c r="C8" s="118" t="s">
        <v>2697</v>
      </c>
      <c r="D8" s="119">
        <v>-1500</v>
      </c>
      <c r="E8" s="120">
        <v>1</v>
      </c>
      <c r="F8" s="121">
        <f>Tabla5109[[#This Row],[Original Amount]]*Tabla5109[[#This Row],[ER to EUR]]</f>
        <v>-1500</v>
      </c>
      <c r="G8" s="9" t="s">
        <v>2725</v>
      </c>
      <c r="H8" s="73" t="s">
        <v>2743</v>
      </c>
      <c r="I8" s="9" t="s">
        <v>2727</v>
      </c>
      <c r="J8" s="9" t="s">
        <v>2701</v>
      </c>
      <c r="K8" s="9" t="s">
        <v>2728</v>
      </c>
      <c r="L8" s="9" t="s">
        <v>2729</v>
      </c>
      <c r="M8" s="32" t="s">
        <v>125</v>
      </c>
      <c r="N8" s="122" t="s">
        <v>2704</v>
      </c>
      <c r="O8" s="122" t="s">
        <v>2704</v>
      </c>
      <c r="P8" s="123" t="str">
        <f t="shared" si="0"/>
        <v>C3-2024</v>
      </c>
      <c r="Q8" s="123" t="str">
        <f t="shared" si="1"/>
        <v>T4-2024</v>
      </c>
      <c r="R8" s="123" t="s">
        <v>2730</v>
      </c>
      <c r="S8" s="124" t="s">
        <v>2731</v>
      </c>
      <c r="T8" s="123" t="s">
        <v>2707</v>
      </c>
      <c r="U8" s="162" t="s">
        <v>51</v>
      </c>
      <c r="V8" s="162" t="s">
        <v>57</v>
      </c>
      <c r="W8" s="237" t="s">
        <v>125</v>
      </c>
      <c r="X8" s="173" t="s">
        <v>2709</v>
      </c>
    </row>
    <row r="9" spans="1:24" hidden="1">
      <c r="A9" s="161">
        <v>45642</v>
      </c>
      <c r="B9" s="128" t="s">
        <v>2744</v>
      </c>
      <c r="C9" s="118" t="s">
        <v>2697</v>
      </c>
      <c r="D9" s="119">
        <v>-43.98</v>
      </c>
      <c r="E9" s="120">
        <v>1</v>
      </c>
      <c r="F9" s="121">
        <f>Tabla5109[[#This Row],[Original Amount]]*Tabla5109[[#This Row],[ER to EUR]]</f>
        <v>-43.98</v>
      </c>
      <c r="G9" s="9" t="s">
        <v>2733</v>
      </c>
      <c r="H9" s="73" t="s">
        <v>2734</v>
      </c>
      <c r="I9" s="9" t="s">
        <v>2713</v>
      </c>
      <c r="J9" s="9" t="s">
        <v>2701</v>
      </c>
      <c r="K9" s="9" t="s">
        <v>2702</v>
      </c>
      <c r="L9" s="9" t="s">
        <v>2703</v>
      </c>
      <c r="M9" s="32" t="s">
        <v>125</v>
      </c>
      <c r="N9" s="129" t="s">
        <v>2704</v>
      </c>
      <c r="O9" s="122" t="s">
        <v>2704</v>
      </c>
      <c r="P9" s="123" t="str">
        <f t="shared" si="0"/>
        <v>C3-2024</v>
      </c>
      <c r="Q9" s="123" t="str">
        <f t="shared" si="1"/>
        <v>T4-2024</v>
      </c>
      <c r="R9" s="123" t="s">
        <v>2705</v>
      </c>
      <c r="S9" s="124" t="s">
        <v>2735</v>
      </c>
      <c r="T9" s="123" t="s">
        <v>2707</v>
      </c>
      <c r="U9" s="162" t="s">
        <v>2708</v>
      </c>
      <c r="V9" s="162" t="s">
        <v>56</v>
      </c>
      <c r="W9" s="237" t="s">
        <v>125</v>
      </c>
      <c r="X9" s="173" t="s">
        <v>2709</v>
      </c>
    </row>
    <row r="10" spans="1:24" hidden="1">
      <c r="A10" s="161">
        <v>45645</v>
      </c>
      <c r="B10" s="398">
        <v>11513</v>
      </c>
      <c r="C10" s="32" t="s">
        <v>2543</v>
      </c>
      <c r="D10" s="152">
        <v>-7771696</v>
      </c>
      <c r="E10" s="120">
        <v>1.008E-3</v>
      </c>
      <c r="F10" s="121">
        <f>Tabla5109[[#This Row],[Original Amount]]*Tabla5109[[#This Row],[ER to EUR]]</f>
        <v>-7833.8695680000001</v>
      </c>
      <c r="G10" s="9" t="s">
        <v>2745</v>
      </c>
      <c r="H10" s="9" t="s">
        <v>2746</v>
      </c>
      <c r="I10" s="9" t="s">
        <v>2727</v>
      </c>
      <c r="J10" s="9" t="s">
        <v>2714</v>
      </c>
      <c r="K10" s="205" t="s">
        <v>2747</v>
      </c>
      <c r="L10" s="9" t="s">
        <v>2716</v>
      </c>
      <c r="M10" s="227" t="s">
        <v>2704</v>
      </c>
      <c r="N10" s="122" t="s">
        <v>2748</v>
      </c>
      <c r="O10" s="122" t="s">
        <v>2704</v>
      </c>
      <c r="P10" s="123" t="str">
        <f t="shared" si="0"/>
        <v>C3-2024</v>
      </c>
      <c r="Q10" s="123" t="str">
        <f t="shared" si="1"/>
        <v>T4-2024</v>
      </c>
      <c r="R10" s="91" t="s">
        <v>2749</v>
      </c>
      <c r="S10" s="123" t="s">
        <v>2750</v>
      </c>
      <c r="T10" s="123" t="s">
        <v>2707</v>
      </c>
      <c r="U10" s="162" t="s">
        <v>2708</v>
      </c>
      <c r="V10" s="162" t="s">
        <v>54</v>
      </c>
      <c r="W10" s="237" t="s">
        <v>125</v>
      </c>
      <c r="X10" s="173" t="s">
        <v>2751</v>
      </c>
    </row>
    <row r="11" spans="1:24" hidden="1">
      <c r="A11" s="161">
        <v>45646</v>
      </c>
      <c r="B11" s="130" t="s">
        <v>2752</v>
      </c>
      <c r="C11" s="118" t="s">
        <v>2697</v>
      </c>
      <c r="D11" s="119">
        <v>-27.97</v>
      </c>
      <c r="E11" s="120">
        <v>1</v>
      </c>
      <c r="F11" s="121">
        <f>Tabla5109[[#This Row],[Original Amount]]*Tabla5109[[#This Row],[ER to EUR]]</f>
        <v>-27.97</v>
      </c>
      <c r="G11" s="9" t="s">
        <v>2753</v>
      </c>
      <c r="H11" s="73" t="s">
        <v>2754</v>
      </c>
      <c r="I11" s="9" t="s">
        <v>2755</v>
      </c>
      <c r="J11" s="9" t="s">
        <v>2701</v>
      </c>
      <c r="K11" s="9" t="s">
        <v>2702</v>
      </c>
      <c r="L11" s="9" t="s">
        <v>2703</v>
      </c>
      <c r="M11" s="32" t="s">
        <v>125</v>
      </c>
      <c r="N11" s="129" t="s">
        <v>2704</v>
      </c>
      <c r="O11" s="122" t="s">
        <v>2704</v>
      </c>
      <c r="P11" s="123" t="str">
        <f t="shared" si="0"/>
        <v>C3-2024</v>
      </c>
      <c r="Q11" s="123" t="str">
        <f t="shared" si="1"/>
        <v>T4-2024</v>
      </c>
      <c r="R11" s="123" t="s">
        <v>2705</v>
      </c>
      <c r="S11" s="124" t="s">
        <v>2706</v>
      </c>
      <c r="T11" s="123" t="s">
        <v>2707</v>
      </c>
      <c r="U11" s="162" t="s">
        <v>2708</v>
      </c>
      <c r="V11" s="162" t="s">
        <v>56</v>
      </c>
      <c r="W11" s="237" t="s">
        <v>125</v>
      </c>
      <c r="X11" s="173" t="s">
        <v>2709</v>
      </c>
    </row>
    <row r="12" spans="1:24" hidden="1">
      <c r="A12" s="161">
        <v>45647</v>
      </c>
      <c r="B12" s="125">
        <v>78156635570</v>
      </c>
      <c r="C12" s="118" t="s">
        <v>2697</v>
      </c>
      <c r="D12" s="119">
        <v>-43.38</v>
      </c>
      <c r="E12" s="120">
        <v>1</v>
      </c>
      <c r="F12" s="121">
        <f>Tabla5109[[#This Row],[Original Amount]]*Tabla5109[[#This Row],[ER to EUR]]</f>
        <v>-43.38</v>
      </c>
      <c r="G12" s="9" t="s">
        <v>2718</v>
      </c>
      <c r="H12" s="73" t="s">
        <v>2756</v>
      </c>
      <c r="I12" s="9" t="s">
        <v>2720</v>
      </c>
      <c r="J12" s="9" t="s">
        <v>2714</v>
      </c>
      <c r="K12" s="9" t="s">
        <v>2721</v>
      </c>
      <c r="L12" s="9" t="s">
        <v>2716</v>
      </c>
      <c r="M12" s="32" t="s">
        <v>125</v>
      </c>
      <c r="N12" s="129" t="s">
        <v>2704</v>
      </c>
      <c r="O12" s="122" t="s">
        <v>2704</v>
      </c>
      <c r="P12" s="123" t="str">
        <f t="shared" si="0"/>
        <v>C3-2024</v>
      </c>
      <c r="Q12" s="123" t="str">
        <f t="shared" si="1"/>
        <v>T4-2024</v>
      </c>
      <c r="R12" s="123" t="s">
        <v>2722</v>
      </c>
      <c r="S12" s="124" t="s">
        <v>2723</v>
      </c>
      <c r="T12" s="123" t="s">
        <v>2724</v>
      </c>
      <c r="U12" s="162" t="s">
        <v>2708</v>
      </c>
      <c r="V12" s="162" t="s">
        <v>54</v>
      </c>
      <c r="W12" s="237" t="s">
        <v>125</v>
      </c>
      <c r="X12" s="173" t="s">
        <v>2709</v>
      </c>
    </row>
    <row r="13" spans="1:24" hidden="1">
      <c r="A13" s="161">
        <v>45648</v>
      </c>
      <c r="B13" s="130" t="s">
        <v>2757</v>
      </c>
      <c r="C13" s="118" t="s">
        <v>2697</v>
      </c>
      <c r="D13" s="119">
        <v>-47.72</v>
      </c>
      <c r="E13" s="120">
        <v>1</v>
      </c>
      <c r="F13" s="121">
        <f>Tabla5109[[#This Row],[Original Amount]]*Tabla5109[[#This Row],[ER to EUR]]</f>
        <v>-47.72</v>
      </c>
      <c r="G13" s="9" t="s">
        <v>2758</v>
      </c>
      <c r="H13" s="73" t="s">
        <v>2759</v>
      </c>
      <c r="I13" s="9" t="s">
        <v>2713</v>
      </c>
      <c r="J13" s="9" t="s">
        <v>2701</v>
      </c>
      <c r="K13" s="9" t="s">
        <v>2702</v>
      </c>
      <c r="L13" s="9" t="s">
        <v>2760</v>
      </c>
      <c r="M13" s="32" t="s">
        <v>125</v>
      </c>
      <c r="N13" s="129" t="s">
        <v>2704</v>
      </c>
      <c r="O13" s="122" t="s">
        <v>2704</v>
      </c>
      <c r="P13" s="123" t="str">
        <f t="shared" si="0"/>
        <v>C3-2024</v>
      </c>
      <c r="Q13" s="123" t="str">
        <f t="shared" si="1"/>
        <v>T4-2024</v>
      </c>
      <c r="R13" s="123" t="s">
        <v>2730</v>
      </c>
      <c r="S13" s="124" t="s">
        <v>2731</v>
      </c>
      <c r="T13" s="123" t="s">
        <v>2707</v>
      </c>
      <c r="U13" s="162" t="s">
        <v>2708</v>
      </c>
      <c r="V13" s="162" t="s">
        <v>55</v>
      </c>
      <c r="W13" s="237" t="s">
        <v>125</v>
      </c>
      <c r="X13" s="173" t="s">
        <v>2709</v>
      </c>
    </row>
    <row r="14" spans="1:24" hidden="1">
      <c r="A14" s="161">
        <v>45656</v>
      </c>
      <c r="B14" s="117" t="s">
        <v>2761</v>
      </c>
      <c r="C14" s="118" t="s">
        <v>2697</v>
      </c>
      <c r="D14" s="119">
        <v>-170.76</v>
      </c>
      <c r="E14" s="120">
        <v>1</v>
      </c>
      <c r="F14" s="121">
        <f>Tabla5109[[#This Row],[Original Amount]]*Tabla5109[[#This Row],[ER to EUR]]</f>
        <v>-170.76</v>
      </c>
      <c r="G14" s="9" t="s">
        <v>2698</v>
      </c>
      <c r="H14" s="73" t="s">
        <v>2762</v>
      </c>
      <c r="I14" s="9" t="s">
        <v>2763</v>
      </c>
      <c r="J14" s="9" t="s">
        <v>2701</v>
      </c>
      <c r="K14" s="9" t="s">
        <v>2702</v>
      </c>
      <c r="L14" s="9" t="s">
        <v>2703</v>
      </c>
      <c r="M14" s="32" t="s">
        <v>125</v>
      </c>
      <c r="N14" s="129" t="s">
        <v>2704</v>
      </c>
      <c r="O14" s="122" t="s">
        <v>2704</v>
      </c>
      <c r="P14" s="123" t="str">
        <f t="shared" si="0"/>
        <v>C3-2024</v>
      </c>
      <c r="Q14" s="123" t="str">
        <f t="shared" si="1"/>
        <v>T4-2024</v>
      </c>
      <c r="R14" s="123" t="s">
        <v>2705</v>
      </c>
      <c r="S14" s="124" t="s">
        <v>2706</v>
      </c>
      <c r="T14" s="123" t="s">
        <v>2707</v>
      </c>
      <c r="U14" s="162" t="s">
        <v>2708</v>
      </c>
      <c r="V14" s="162" t="s">
        <v>54</v>
      </c>
      <c r="W14" s="237" t="s">
        <v>125</v>
      </c>
      <c r="X14" s="173" t="s">
        <v>2709</v>
      </c>
    </row>
    <row r="15" spans="1:24" hidden="1">
      <c r="A15" s="161">
        <v>45656</v>
      </c>
      <c r="B15" s="130" t="s">
        <v>2764</v>
      </c>
      <c r="C15" s="118" t="s">
        <v>2697</v>
      </c>
      <c r="D15" s="119">
        <v>-56.08</v>
      </c>
      <c r="E15" s="120">
        <v>1</v>
      </c>
      <c r="F15" s="121">
        <f>Tabla5109[[#This Row],[Original Amount]]*Tabla5109[[#This Row],[ER to EUR]]</f>
        <v>-56.08</v>
      </c>
      <c r="G15" s="9" t="s">
        <v>2758</v>
      </c>
      <c r="H15" s="73" t="s">
        <v>2759</v>
      </c>
      <c r="I15" s="9" t="s">
        <v>2713</v>
      </c>
      <c r="J15" s="9" t="s">
        <v>2701</v>
      </c>
      <c r="K15" s="9" t="s">
        <v>2702</v>
      </c>
      <c r="L15" s="9" t="s">
        <v>2760</v>
      </c>
      <c r="M15" s="32" t="s">
        <v>125</v>
      </c>
      <c r="N15" s="129" t="s">
        <v>2704</v>
      </c>
      <c r="O15" s="122" t="s">
        <v>2704</v>
      </c>
      <c r="P15" s="123" t="str">
        <f t="shared" si="0"/>
        <v>C3-2024</v>
      </c>
      <c r="Q15" s="123" t="str">
        <f t="shared" si="1"/>
        <v>T4-2024</v>
      </c>
      <c r="R15" s="123" t="s">
        <v>2730</v>
      </c>
      <c r="S15" s="124" t="s">
        <v>2731</v>
      </c>
      <c r="T15" s="123" t="s">
        <v>2707</v>
      </c>
      <c r="U15" s="162" t="s">
        <v>2708</v>
      </c>
      <c r="V15" s="162" t="s">
        <v>55</v>
      </c>
      <c r="W15" s="237" t="s">
        <v>125</v>
      </c>
      <c r="X15" s="173" t="s">
        <v>2709</v>
      </c>
    </row>
    <row r="16" spans="1:24" hidden="1">
      <c r="A16" s="161">
        <v>45656</v>
      </c>
      <c r="B16" s="131" t="s">
        <v>2765</v>
      </c>
      <c r="C16" s="118" t="s">
        <v>2697</v>
      </c>
      <c r="D16" s="146">
        <v>-135.25</v>
      </c>
      <c r="E16" s="120">
        <v>1</v>
      </c>
      <c r="F16" s="121">
        <f>Tabla5109[[#This Row],[Original Amount]]*Tabla5109[[#This Row],[ER to EUR]]</f>
        <v>-135.25</v>
      </c>
      <c r="G16" s="9" t="s">
        <v>2766</v>
      </c>
      <c r="H16" s="9" t="s">
        <v>2767</v>
      </c>
      <c r="I16" s="9" t="s">
        <v>2713</v>
      </c>
      <c r="J16" s="9" t="s">
        <v>2701</v>
      </c>
      <c r="K16" s="205" t="s">
        <v>2702</v>
      </c>
      <c r="L16" s="9" t="s">
        <v>2760</v>
      </c>
      <c r="M16" s="32" t="s">
        <v>125</v>
      </c>
      <c r="N16" s="129" t="s">
        <v>2704</v>
      </c>
      <c r="O16" s="122" t="s">
        <v>2704</v>
      </c>
      <c r="P16" s="123" t="str">
        <f t="shared" si="0"/>
        <v>C3-2024</v>
      </c>
      <c r="Q16" s="123" t="str">
        <f t="shared" si="1"/>
        <v>T4-2024</v>
      </c>
      <c r="R16" s="124" t="s">
        <v>2705</v>
      </c>
      <c r="S16" s="124" t="s">
        <v>2706</v>
      </c>
      <c r="T16" s="123" t="s">
        <v>2707</v>
      </c>
      <c r="U16" s="162" t="s">
        <v>2708</v>
      </c>
      <c r="V16" s="162" t="s">
        <v>55</v>
      </c>
      <c r="W16" s="237" t="s">
        <v>125</v>
      </c>
      <c r="X16" s="173" t="s">
        <v>2709</v>
      </c>
    </row>
    <row r="17" spans="1:24" hidden="1">
      <c r="A17" s="161">
        <v>45659</v>
      </c>
      <c r="B17" s="134">
        <v>132013406496</v>
      </c>
      <c r="C17" s="118" t="s">
        <v>2697</v>
      </c>
      <c r="D17" s="126">
        <v>-13.81</v>
      </c>
      <c r="E17" s="120">
        <v>1</v>
      </c>
      <c r="F17" s="127">
        <f>Tabla5109[[#This Row],[Original Amount]]*Tabla5109[[#This Row],[ER to EUR]]</f>
        <v>-13.81</v>
      </c>
      <c r="G17" s="9" t="s">
        <v>2768</v>
      </c>
      <c r="H17" s="73" t="s">
        <v>2769</v>
      </c>
      <c r="I17" s="9" t="s">
        <v>2763</v>
      </c>
      <c r="J17" s="9" t="s">
        <v>2770</v>
      </c>
      <c r="K17" s="205" t="s">
        <v>2771</v>
      </c>
      <c r="L17" s="9" t="s">
        <v>2772</v>
      </c>
      <c r="M17" s="32" t="s">
        <v>125</v>
      </c>
      <c r="N17" s="129" t="s">
        <v>2704</v>
      </c>
      <c r="O17" s="122" t="s">
        <v>2704</v>
      </c>
      <c r="P17" s="123" t="str">
        <f t="shared" si="0"/>
        <v>C1-2025</v>
      </c>
      <c r="Q17" s="123" t="str">
        <f t="shared" si="1"/>
        <v>T1-2025</v>
      </c>
      <c r="R17" s="124" t="s">
        <v>2705</v>
      </c>
      <c r="S17" s="123" t="s">
        <v>2735</v>
      </c>
      <c r="T17" s="123" t="s">
        <v>2724</v>
      </c>
      <c r="U17" s="162" t="s">
        <v>2708</v>
      </c>
      <c r="V17" s="162" t="s">
        <v>56</v>
      </c>
      <c r="W17" s="237" t="s">
        <v>125</v>
      </c>
      <c r="X17" s="173" t="s">
        <v>2709</v>
      </c>
    </row>
    <row r="18" spans="1:24" hidden="1">
      <c r="A18" s="161">
        <v>45660</v>
      </c>
      <c r="B18" s="135" t="s">
        <v>2773</v>
      </c>
      <c r="C18" s="118" t="s">
        <v>2697</v>
      </c>
      <c r="D18" s="126">
        <v>-341.54</v>
      </c>
      <c r="E18" s="120">
        <v>1</v>
      </c>
      <c r="F18" s="127">
        <f>Tabla5109[[#This Row],[Original Amount]]*Tabla5109[[#This Row],[ER to EUR]]</f>
        <v>-341.54</v>
      </c>
      <c r="G18" s="9" t="s">
        <v>2774</v>
      </c>
      <c r="H18" s="73" t="s">
        <v>2775</v>
      </c>
      <c r="I18" s="9" t="s">
        <v>2727</v>
      </c>
      <c r="J18" s="9" t="s">
        <v>2714</v>
      </c>
      <c r="K18" s="205" t="s">
        <v>2747</v>
      </c>
      <c r="L18" s="9" t="s">
        <v>2716</v>
      </c>
      <c r="M18" s="32" t="s">
        <v>125</v>
      </c>
      <c r="N18" s="129" t="s">
        <v>2704</v>
      </c>
      <c r="O18" s="122" t="s">
        <v>2704</v>
      </c>
      <c r="P18" s="123" t="str">
        <f t="shared" si="0"/>
        <v>C1-2025</v>
      </c>
      <c r="Q18" s="123" t="str">
        <f t="shared" si="1"/>
        <v>T1-2025</v>
      </c>
      <c r="R18" s="124" t="s">
        <v>2705</v>
      </c>
      <c r="S18" s="124" t="s">
        <v>2706</v>
      </c>
      <c r="T18" s="123" t="s">
        <v>2717</v>
      </c>
      <c r="U18" s="162" t="s">
        <v>2708</v>
      </c>
      <c r="V18" s="162" t="s">
        <v>56</v>
      </c>
      <c r="W18" s="237" t="s">
        <v>125</v>
      </c>
      <c r="X18" s="173" t="s">
        <v>2709</v>
      </c>
    </row>
    <row r="19" spans="1:24" hidden="1">
      <c r="A19" s="161">
        <v>45660</v>
      </c>
      <c r="B19" s="219" t="s">
        <v>2776</v>
      </c>
      <c r="C19" s="118" t="s">
        <v>2548</v>
      </c>
      <c r="D19" s="141">
        <v>-20</v>
      </c>
      <c r="E19" s="120">
        <v>0.96550000000000002</v>
      </c>
      <c r="F19" s="127">
        <f>Tabla5109[[#This Row],[Original Amount]]*Tabla5109[[#This Row],[ER to EUR]]</f>
        <v>-19.310000000000002</v>
      </c>
      <c r="G19" s="9" t="s">
        <v>2737</v>
      </c>
      <c r="H19" s="9" t="s">
        <v>2738</v>
      </c>
      <c r="I19" s="9" t="s">
        <v>2739</v>
      </c>
      <c r="J19" s="9" t="s">
        <v>2701</v>
      </c>
      <c r="K19" s="205" t="s">
        <v>2702</v>
      </c>
      <c r="L19" s="9" t="s">
        <v>2740</v>
      </c>
      <c r="M19" s="32" t="s">
        <v>125</v>
      </c>
      <c r="N19" s="129" t="s">
        <v>2704</v>
      </c>
      <c r="O19" s="122" t="s">
        <v>2704</v>
      </c>
      <c r="P19" s="123" t="str">
        <f t="shared" si="0"/>
        <v>C1-2025</v>
      </c>
      <c r="Q19" s="123" t="str">
        <f t="shared" si="1"/>
        <v>T1-2025</v>
      </c>
      <c r="R19" s="124" t="s">
        <v>2741</v>
      </c>
      <c r="S19" s="123" t="s">
        <v>2723</v>
      </c>
      <c r="T19" s="123" t="s">
        <v>2724</v>
      </c>
      <c r="U19" s="162" t="s">
        <v>2708</v>
      </c>
      <c r="V19" s="162" t="s">
        <v>54</v>
      </c>
      <c r="W19" s="237" t="s">
        <v>125</v>
      </c>
      <c r="X19" s="173" t="s">
        <v>2709</v>
      </c>
    </row>
    <row r="20" spans="1:24" hidden="1">
      <c r="A20" s="161">
        <v>45663</v>
      </c>
      <c r="B20" s="143">
        <v>1113</v>
      </c>
      <c r="C20" s="118" t="s">
        <v>2697</v>
      </c>
      <c r="D20" s="126">
        <v>-46.41</v>
      </c>
      <c r="E20" s="120">
        <v>1</v>
      </c>
      <c r="F20" s="127">
        <f>Tabla5109[[#This Row],[Original Amount]]*Tabla5109[[#This Row],[ER to EUR]]</f>
        <v>-46.41</v>
      </c>
      <c r="G20" s="9" t="s">
        <v>2777</v>
      </c>
      <c r="H20" s="73" t="s">
        <v>2778</v>
      </c>
      <c r="I20" s="9" t="s">
        <v>2779</v>
      </c>
      <c r="J20" s="9" t="s">
        <v>2714</v>
      </c>
      <c r="K20" s="205" t="s">
        <v>2780</v>
      </c>
      <c r="L20" s="9" t="s">
        <v>2716</v>
      </c>
      <c r="M20" s="32" t="s">
        <v>125</v>
      </c>
      <c r="N20" s="129" t="s">
        <v>2704</v>
      </c>
      <c r="O20" s="122" t="s">
        <v>2704</v>
      </c>
      <c r="P20" s="123" t="str">
        <f t="shared" si="0"/>
        <v>C1-2025</v>
      </c>
      <c r="Q20" s="123" t="str">
        <f t="shared" si="1"/>
        <v>T1-2025</v>
      </c>
      <c r="R20" s="124" t="s">
        <v>2705</v>
      </c>
      <c r="S20" s="123" t="s">
        <v>2735</v>
      </c>
      <c r="T20" s="123" t="s">
        <v>2724</v>
      </c>
      <c r="U20" s="162" t="s">
        <v>2708</v>
      </c>
      <c r="V20" s="162" t="s">
        <v>54</v>
      </c>
      <c r="W20" s="237" t="s">
        <v>125</v>
      </c>
      <c r="X20" s="173" t="s">
        <v>2709</v>
      </c>
    </row>
    <row r="21" spans="1:24" hidden="1">
      <c r="A21" s="161">
        <v>45663</v>
      </c>
      <c r="B21" s="399" t="s">
        <v>2781</v>
      </c>
      <c r="C21" s="118" t="s">
        <v>2548</v>
      </c>
      <c r="D21" s="141">
        <v>-69</v>
      </c>
      <c r="E21" s="120">
        <v>0.96550000000000002</v>
      </c>
      <c r="F21" s="127">
        <f>Tabla5109[[#This Row],[Original Amount]]*Tabla5109[[#This Row],[ER to EUR]]</f>
        <v>-66.619500000000002</v>
      </c>
      <c r="G21" s="9" t="s">
        <v>2782</v>
      </c>
      <c r="H21" s="73" t="s">
        <v>2783</v>
      </c>
      <c r="I21" s="9" t="s">
        <v>2784</v>
      </c>
      <c r="J21" s="9" t="s">
        <v>2714</v>
      </c>
      <c r="K21" s="205" t="s">
        <v>2771</v>
      </c>
      <c r="L21" s="9" t="s">
        <v>2716</v>
      </c>
      <c r="M21" s="32" t="s">
        <v>125</v>
      </c>
      <c r="N21" s="129" t="s">
        <v>2704</v>
      </c>
      <c r="O21" s="122" t="s">
        <v>2704</v>
      </c>
      <c r="P21" s="123" t="str">
        <f t="shared" si="0"/>
        <v>C1-2025</v>
      </c>
      <c r="Q21" s="123" t="str">
        <f t="shared" si="1"/>
        <v>T1-2025</v>
      </c>
      <c r="R21" s="124" t="s">
        <v>2705</v>
      </c>
      <c r="S21" s="123" t="s">
        <v>2735</v>
      </c>
      <c r="T21" s="123" t="s">
        <v>2724</v>
      </c>
      <c r="U21" s="162" t="s">
        <v>2708</v>
      </c>
      <c r="V21" s="162" t="s">
        <v>56</v>
      </c>
      <c r="W21" s="237" t="s">
        <v>125</v>
      </c>
      <c r="X21" s="173" t="s">
        <v>2709</v>
      </c>
    </row>
    <row r="22" spans="1:24" hidden="1">
      <c r="A22" s="161">
        <v>45663</v>
      </c>
      <c r="B22" s="135" t="s">
        <v>2785</v>
      </c>
      <c r="C22" s="122" t="s">
        <v>2548</v>
      </c>
      <c r="D22" s="141">
        <v>-60</v>
      </c>
      <c r="E22" s="120">
        <v>0.96550000000000002</v>
      </c>
      <c r="F22" s="127">
        <f>Tabla5109[[#This Row],[Original Amount]]*Tabla5109[[#This Row],[ER to EUR]]</f>
        <v>-57.93</v>
      </c>
      <c r="G22" s="9" t="s">
        <v>2786</v>
      </c>
      <c r="H22" s="73" t="s">
        <v>2787</v>
      </c>
      <c r="I22" s="9" t="s">
        <v>2713</v>
      </c>
      <c r="J22" s="9" t="s">
        <v>2701</v>
      </c>
      <c r="K22" s="205" t="s">
        <v>2702</v>
      </c>
      <c r="L22" s="9" t="s">
        <v>2788</v>
      </c>
      <c r="M22" s="32" t="s">
        <v>125</v>
      </c>
      <c r="N22" s="129" t="s">
        <v>2704</v>
      </c>
      <c r="O22" s="122" t="s">
        <v>2704</v>
      </c>
      <c r="P22" s="123" t="str">
        <f t="shared" si="0"/>
        <v>C1-2025</v>
      </c>
      <c r="Q22" s="123" t="str">
        <f t="shared" si="1"/>
        <v>T1-2025</v>
      </c>
      <c r="R22" s="124" t="s">
        <v>2705</v>
      </c>
      <c r="S22" s="124" t="s">
        <v>2706</v>
      </c>
      <c r="T22" s="123" t="s">
        <v>2724</v>
      </c>
      <c r="U22" s="162" t="s">
        <v>2708</v>
      </c>
      <c r="V22" s="162" t="s">
        <v>56</v>
      </c>
      <c r="W22" s="237" t="s">
        <v>125</v>
      </c>
      <c r="X22" s="173" t="s">
        <v>2709</v>
      </c>
    </row>
    <row r="23" spans="1:24" hidden="1">
      <c r="A23" s="161">
        <v>45664</v>
      </c>
      <c r="B23" s="219" t="s">
        <v>2789</v>
      </c>
      <c r="C23" s="118" t="s">
        <v>2697</v>
      </c>
      <c r="D23" s="126">
        <v>-1547</v>
      </c>
      <c r="E23" s="120">
        <v>1</v>
      </c>
      <c r="F23" s="127">
        <f>Tabla5109[[#This Row],[Original Amount]]*Tabla5109[[#This Row],[ER to EUR]]</f>
        <v>-1547</v>
      </c>
      <c r="G23" s="9" t="s">
        <v>2790</v>
      </c>
      <c r="H23" s="73" t="s">
        <v>2791</v>
      </c>
      <c r="I23" s="9" t="s">
        <v>2727</v>
      </c>
      <c r="J23" s="9" t="s">
        <v>2723</v>
      </c>
      <c r="K23" s="205" t="s">
        <v>2792</v>
      </c>
      <c r="L23" s="9" t="s">
        <v>2793</v>
      </c>
      <c r="M23" s="32" t="s">
        <v>125</v>
      </c>
      <c r="N23" s="129" t="s">
        <v>2704</v>
      </c>
      <c r="O23" s="122" t="s">
        <v>2704</v>
      </c>
      <c r="P23" s="123" t="str">
        <f t="shared" si="0"/>
        <v>C1-2025</v>
      </c>
      <c r="Q23" s="123" t="str">
        <f t="shared" si="1"/>
        <v>T1-2025</v>
      </c>
      <c r="R23" s="124" t="s">
        <v>2794</v>
      </c>
      <c r="S23" s="123" t="s">
        <v>2731</v>
      </c>
      <c r="T23" s="123" t="s">
        <v>2724</v>
      </c>
      <c r="U23" s="162" t="s">
        <v>2708</v>
      </c>
      <c r="V23" s="162" t="s">
        <v>57</v>
      </c>
      <c r="W23" s="237" t="s">
        <v>125</v>
      </c>
      <c r="X23" s="173" t="s">
        <v>2709</v>
      </c>
    </row>
    <row r="24" spans="1:24" hidden="1">
      <c r="A24" s="161">
        <v>45664</v>
      </c>
      <c r="B24" s="219" t="s">
        <v>2795</v>
      </c>
      <c r="C24" s="118" t="s">
        <v>2697</v>
      </c>
      <c r="D24" s="126">
        <v>-252.59</v>
      </c>
      <c r="E24" s="120">
        <v>1</v>
      </c>
      <c r="F24" s="127">
        <f>Tabla5109[[#This Row],[Original Amount]]*Tabla5109[[#This Row],[ER to EUR]]</f>
        <v>-252.59</v>
      </c>
      <c r="G24" s="9" t="s">
        <v>2796</v>
      </c>
      <c r="H24" s="73" t="s">
        <v>2797</v>
      </c>
      <c r="I24" s="9" t="s">
        <v>2727</v>
      </c>
      <c r="J24" s="9" t="s">
        <v>2714</v>
      </c>
      <c r="K24" s="205" t="s">
        <v>2798</v>
      </c>
      <c r="L24" s="9" t="s">
        <v>2799</v>
      </c>
      <c r="M24" s="32" t="s">
        <v>125</v>
      </c>
      <c r="N24" s="129" t="s">
        <v>2704</v>
      </c>
      <c r="O24" s="122" t="s">
        <v>2704</v>
      </c>
      <c r="P24" s="123" t="str">
        <f t="shared" si="0"/>
        <v>C1-2025</v>
      </c>
      <c r="Q24" s="123" t="str">
        <f t="shared" si="1"/>
        <v>T1-2025</v>
      </c>
      <c r="R24" s="124" t="s">
        <v>2705</v>
      </c>
      <c r="S24" s="124" t="s">
        <v>2706</v>
      </c>
      <c r="T24" s="123" t="s">
        <v>2724</v>
      </c>
      <c r="U24" s="162" t="s">
        <v>2708</v>
      </c>
      <c r="V24" s="162" t="s">
        <v>56</v>
      </c>
      <c r="W24" s="237" t="s">
        <v>125</v>
      </c>
      <c r="X24" s="173" t="s">
        <v>2709</v>
      </c>
    </row>
    <row r="25" spans="1:24" hidden="1">
      <c r="A25" s="161">
        <v>45666</v>
      </c>
      <c r="B25" s="135" t="s">
        <v>2800</v>
      </c>
      <c r="C25" s="122" t="s">
        <v>2697</v>
      </c>
      <c r="D25" s="126">
        <v>-428.4</v>
      </c>
      <c r="E25" s="120">
        <v>1</v>
      </c>
      <c r="F25" s="127">
        <f>Tabla5109[[#This Row],[Original Amount]]*Tabla5109[[#This Row],[ER to EUR]]</f>
        <v>-428.4</v>
      </c>
      <c r="G25" s="9" t="s">
        <v>2801</v>
      </c>
      <c r="H25" s="73" t="s">
        <v>2802</v>
      </c>
      <c r="I25" s="9" t="s">
        <v>2713</v>
      </c>
      <c r="J25" s="9" t="s">
        <v>2714</v>
      </c>
      <c r="K25" s="205" t="s">
        <v>2803</v>
      </c>
      <c r="L25" s="9" t="s">
        <v>2716</v>
      </c>
      <c r="M25" s="32" t="s">
        <v>125</v>
      </c>
      <c r="N25" s="129" t="s">
        <v>2704</v>
      </c>
      <c r="O25" s="122" t="s">
        <v>2704</v>
      </c>
      <c r="P25" s="123" t="str">
        <f t="shared" si="0"/>
        <v>C1-2025</v>
      </c>
      <c r="Q25" s="123" t="str">
        <f t="shared" si="1"/>
        <v>T1-2025</v>
      </c>
      <c r="R25" s="124" t="s">
        <v>2705</v>
      </c>
      <c r="S25" s="124" t="s">
        <v>2706</v>
      </c>
      <c r="T25" s="123" t="s">
        <v>2717</v>
      </c>
      <c r="U25" s="162" t="s">
        <v>51</v>
      </c>
      <c r="V25" s="162" t="s">
        <v>57</v>
      </c>
      <c r="W25" s="237" t="s">
        <v>125</v>
      </c>
      <c r="X25" s="173" t="s">
        <v>2709</v>
      </c>
    </row>
    <row r="26" spans="1:24" hidden="1">
      <c r="A26" s="161">
        <v>45666</v>
      </c>
      <c r="B26" s="219" t="s">
        <v>2804</v>
      </c>
      <c r="C26" s="122" t="s">
        <v>2697</v>
      </c>
      <c r="D26" s="126">
        <v>-164.93</v>
      </c>
      <c r="E26" s="120">
        <v>1</v>
      </c>
      <c r="F26" s="127">
        <f>Tabla5109[[#This Row],[Original Amount]]*Tabla5109[[#This Row],[ER to EUR]]</f>
        <v>-164.93</v>
      </c>
      <c r="G26" s="9" t="s">
        <v>2698</v>
      </c>
      <c r="H26" s="73" t="s">
        <v>2805</v>
      </c>
      <c r="I26" s="9" t="s">
        <v>2784</v>
      </c>
      <c r="J26" s="9" t="s">
        <v>2701</v>
      </c>
      <c r="K26" s="205" t="s">
        <v>2702</v>
      </c>
      <c r="L26" s="9" t="s">
        <v>2703</v>
      </c>
      <c r="M26" s="32" t="s">
        <v>125</v>
      </c>
      <c r="N26" s="129" t="s">
        <v>2704</v>
      </c>
      <c r="O26" s="122" t="s">
        <v>2704</v>
      </c>
      <c r="P26" s="123" t="str">
        <f t="shared" si="0"/>
        <v>C1-2025</v>
      </c>
      <c r="Q26" s="123" t="str">
        <f t="shared" si="1"/>
        <v>T1-2025</v>
      </c>
      <c r="R26" s="124" t="s">
        <v>2705</v>
      </c>
      <c r="S26" s="124" t="s">
        <v>2706</v>
      </c>
      <c r="T26" s="123" t="s">
        <v>2707</v>
      </c>
      <c r="U26" s="162" t="s">
        <v>2708</v>
      </c>
      <c r="V26" s="9" t="s">
        <v>54</v>
      </c>
      <c r="W26" s="237" t="s">
        <v>125</v>
      </c>
      <c r="X26" s="173" t="s">
        <v>2709</v>
      </c>
    </row>
    <row r="27" spans="1:24" hidden="1">
      <c r="A27" s="161">
        <v>45671</v>
      </c>
      <c r="B27" s="134">
        <v>1001585762381</v>
      </c>
      <c r="C27" s="122" t="s">
        <v>2697</v>
      </c>
      <c r="D27" s="126">
        <v>-29.75</v>
      </c>
      <c r="E27" s="120">
        <v>1</v>
      </c>
      <c r="F27" s="127">
        <f>Tabla5109[[#This Row],[Original Amount]]*Tabla5109[[#This Row],[ER to EUR]]</f>
        <v>-29.75</v>
      </c>
      <c r="G27" s="9" t="s">
        <v>2806</v>
      </c>
      <c r="H27" s="73" t="s">
        <v>2807</v>
      </c>
      <c r="I27" s="9" t="s">
        <v>2784</v>
      </c>
      <c r="J27" s="9" t="s">
        <v>2701</v>
      </c>
      <c r="K27" s="4" t="s">
        <v>2702</v>
      </c>
      <c r="L27" t="s">
        <v>2703</v>
      </c>
      <c r="M27" s="32" t="s">
        <v>125</v>
      </c>
      <c r="N27" s="129" t="s">
        <v>2704</v>
      </c>
      <c r="O27" s="122" t="s">
        <v>2704</v>
      </c>
      <c r="P27" s="123" t="str">
        <f t="shared" si="0"/>
        <v>C1-2025</v>
      </c>
      <c r="Q27" s="123" t="str">
        <f t="shared" si="1"/>
        <v>T1-2025</v>
      </c>
      <c r="R27" s="124" t="s">
        <v>2705</v>
      </c>
      <c r="S27" s="123" t="s">
        <v>2735</v>
      </c>
      <c r="T27" t="s">
        <v>2724</v>
      </c>
      <c r="U27" t="s">
        <v>2708</v>
      </c>
      <c r="V27" s="116" t="s">
        <v>56</v>
      </c>
      <c r="W27" s="237" t="s">
        <v>125</v>
      </c>
      <c r="X27" s="173" t="s">
        <v>2709</v>
      </c>
    </row>
    <row r="28" spans="1:24" hidden="1">
      <c r="A28" s="161">
        <v>45672</v>
      </c>
      <c r="B28" s="135" t="s">
        <v>2808</v>
      </c>
      <c r="C28" s="122" t="s">
        <v>2697</v>
      </c>
      <c r="D28" s="126">
        <v>-43.98</v>
      </c>
      <c r="E28" s="120">
        <v>1</v>
      </c>
      <c r="F28" s="127">
        <f>Tabla5109[[#This Row],[Original Amount]]*Tabla5109[[#This Row],[ER to EUR]]</f>
        <v>-43.98</v>
      </c>
      <c r="G28" s="9" t="s">
        <v>2733</v>
      </c>
      <c r="H28" s="73" t="s">
        <v>2734</v>
      </c>
      <c r="I28" s="9" t="s">
        <v>2713</v>
      </c>
      <c r="J28" s="9" t="s">
        <v>2701</v>
      </c>
      <c r="K28" s="205" t="s">
        <v>2809</v>
      </c>
      <c r="L28" s="9" t="s">
        <v>2810</v>
      </c>
      <c r="M28" s="32" t="s">
        <v>125</v>
      </c>
      <c r="N28" s="129" t="s">
        <v>2704</v>
      </c>
      <c r="O28" s="122" t="s">
        <v>2704</v>
      </c>
      <c r="P28" s="123" t="str">
        <f t="shared" si="0"/>
        <v>C1-2025</v>
      </c>
      <c r="Q28" s="123" t="str">
        <f t="shared" si="1"/>
        <v>T1-2025</v>
      </c>
      <c r="R28" s="124" t="s">
        <v>2705</v>
      </c>
      <c r="S28" s="123" t="s">
        <v>2735</v>
      </c>
      <c r="T28" s="123" t="s">
        <v>2707</v>
      </c>
      <c r="U28" s="162" t="s">
        <v>2708</v>
      </c>
      <c r="V28" s="9" t="s">
        <v>56</v>
      </c>
      <c r="W28" s="237" t="s">
        <v>125</v>
      </c>
      <c r="X28" s="173" t="s">
        <v>2709</v>
      </c>
    </row>
    <row r="29" spans="1:24" hidden="1">
      <c r="A29" s="161">
        <v>45672</v>
      </c>
      <c r="B29" s="399" t="s">
        <v>2811</v>
      </c>
      <c r="C29" s="129" t="s">
        <v>2697</v>
      </c>
      <c r="D29" s="126">
        <v>-118.99</v>
      </c>
      <c r="E29" s="120">
        <v>1</v>
      </c>
      <c r="F29" s="127">
        <f>Tabla5109[[#This Row],[Original Amount]]*Tabla5109[[#This Row],[ER to EUR]]</f>
        <v>-118.99</v>
      </c>
      <c r="G29" s="9" t="s">
        <v>2812</v>
      </c>
      <c r="H29" s="73" t="s">
        <v>2813</v>
      </c>
      <c r="I29" s="9" t="s">
        <v>2727</v>
      </c>
      <c r="J29" s="9" t="s">
        <v>2714</v>
      </c>
      <c r="K29" s="205" t="s">
        <v>2814</v>
      </c>
      <c r="L29" s="9" t="s">
        <v>2799</v>
      </c>
      <c r="M29" s="32" t="s">
        <v>125</v>
      </c>
      <c r="N29" s="129" t="s">
        <v>2704</v>
      </c>
      <c r="O29" s="122" t="s">
        <v>2704</v>
      </c>
      <c r="P29" s="123" t="str">
        <f t="shared" si="0"/>
        <v>C1-2025</v>
      </c>
      <c r="Q29" s="123" t="str">
        <f t="shared" si="1"/>
        <v>T1-2025</v>
      </c>
      <c r="R29" s="124" t="s">
        <v>2705</v>
      </c>
      <c r="S29" s="124" t="s">
        <v>2706</v>
      </c>
      <c r="T29" s="123" t="s">
        <v>2724</v>
      </c>
      <c r="U29" s="162" t="s">
        <v>2708</v>
      </c>
      <c r="V29" s="9" t="s">
        <v>56</v>
      </c>
      <c r="W29" s="237" t="s">
        <v>125</v>
      </c>
      <c r="X29" s="173" t="s">
        <v>2709</v>
      </c>
    </row>
    <row r="30" spans="1:24" hidden="1">
      <c r="A30" s="161">
        <v>45673</v>
      </c>
      <c r="B30" s="134">
        <v>1856362</v>
      </c>
      <c r="C30" s="118" t="s">
        <v>2697</v>
      </c>
      <c r="D30" s="126">
        <v>-180.83</v>
      </c>
      <c r="E30" s="120">
        <v>1</v>
      </c>
      <c r="F30" s="127">
        <f>Tabla5109[[#This Row],[Original Amount]]*Tabla5109[[#This Row],[ER to EUR]]</f>
        <v>-180.83</v>
      </c>
      <c r="G30" s="9" t="s">
        <v>2815</v>
      </c>
      <c r="H30" s="9" t="s">
        <v>2816</v>
      </c>
      <c r="I30" s="9" t="s">
        <v>2727</v>
      </c>
      <c r="J30" s="37" t="s">
        <v>2817</v>
      </c>
      <c r="K30" s="217" t="s">
        <v>2702</v>
      </c>
      <c r="L30" s="37" t="s">
        <v>2818</v>
      </c>
      <c r="M30" s="32" t="s">
        <v>125</v>
      </c>
      <c r="N30" s="156" t="s">
        <v>2704</v>
      </c>
      <c r="O30" s="158" t="s">
        <v>2704</v>
      </c>
      <c r="P30" s="123" t="str">
        <f t="shared" si="0"/>
        <v>C1-2025</v>
      </c>
      <c r="Q30" s="123" t="str">
        <f t="shared" si="1"/>
        <v>T1-2025</v>
      </c>
      <c r="R30" s="124" t="s">
        <v>2819</v>
      </c>
      <c r="S30" s="123" t="s">
        <v>2723</v>
      </c>
      <c r="T30" s="123" t="s">
        <v>2724</v>
      </c>
      <c r="U30" s="162" t="s">
        <v>2708</v>
      </c>
      <c r="V30" s="162" t="s">
        <v>54</v>
      </c>
      <c r="W30" s="237" t="s">
        <v>125</v>
      </c>
      <c r="X30" s="173" t="s">
        <v>2709</v>
      </c>
    </row>
    <row r="31" spans="1:24" hidden="1">
      <c r="A31" s="161">
        <v>45673</v>
      </c>
      <c r="B31" s="219" t="s">
        <v>2820</v>
      </c>
      <c r="C31" s="129" t="s">
        <v>2697</v>
      </c>
      <c r="D31" s="126">
        <v>-160.81</v>
      </c>
      <c r="E31" s="120">
        <v>1</v>
      </c>
      <c r="F31" s="127">
        <f>Tabla5109[[#This Row],[Original Amount]]*Tabla5109[[#This Row],[ER to EUR]]</f>
        <v>-160.81</v>
      </c>
      <c r="G31" s="9" t="s">
        <v>2698</v>
      </c>
      <c r="H31" s="9" t="s">
        <v>2821</v>
      </c>
      <c r="I31" s="9" t="s">
        <v>2784</v>
      </c>
      <c r="J31" s="9" t="s">
        <v>2701</v>
      </c>
      <c r="K31" s="205" t="s">
        <v>2702</v>
      </c>
      <c r="L31" s="9" t="s">
        <v>2703</v>
      </c>
      <c r="M31" s="32" t="s">
        <v>125</v>
      </c>
      <c r="N31" s="129" t="s">
        <v>2704</v>
      </c>
      <c r="O31" s="122" t="s">
        <v>2704</v>
      </c>
      <c r="P31" s="123" t="str">
        <f t="shared" si="0"/>
        <v>C1-2025</v>
      </c>
      <c r="Q31" s="123" t="str">
        <f t="shared" si="1"/>
        <v>T1-2025</v>
      </c>
      <c r="R31" s="124" t="s">
        <v>2705</v>
      </c>
      <c r="S31" s="124" t="s">
        <v>2706</v>
      </c>
      <c r="T31" s="123" t="s">
        <v>2707</v>
      </c>
      <c r="U31" s="162" t="s">
        <v>2708</v>
      </c>
      <c r="V31" s="162" t="s">
        <v>54</v>
      </c>
      <c r="W31" s="237" t="s">
        <v>125</v>
      </c>
      <c r="X31" s="173" t="s">
        <v>2709</v>
      </c>
    </row>
    <row r="32" spans="1:24" hidden="1">
      <c r="A32" s="161">
        <v>45673</v>
      </c>
      <c r="B32" s="133" t="s">
        <v>2822</v>
      </c>
      <c r="C32" s="32" t="s">
        <v>2543</v>
      </c>
      <c r="D32" s="258">
        <v>-1262986</v>
      </c>
      <c r="E32" s="120">
        <v>9.6599999999999995E-4</v>
      </c>
      <c r="F32" s="259">
        <f>Tabla5109[[#This Row],[Original Amount]]*Tabla5109[[#This Row],[ER to EUR]]</f>
        <v>-1220.044476</v>
      </c>
      <c r="G32" s="9" t="s">
        <v>2823</v>
      </c>
      <c r="H32" s="9" t="s">
        <v>2824</v>
      </c>
      <c r="I32" s="9" t="s">
        <v>2763</v>
      </c>
      <c r="J32" s="9" t="s">
        <v>2825</v>
      </c>
      <c r="K32" s="205" t="s">
        <v>2826</v>
      </c>
      <c r="L32" s="9" t="s">
        <v>2827</v>
      </c>
      <c r="M32" s="227" t="s">
        <v>2704</v>
      </c>
      <c r="N32" s="122" t="s">
        <v>2748</v>
      </c>
      <c r="O32" s="122" t="s">
        <v>2704</v>
      </c>
      <c r="P32" s="123" t="str">
        <f t="shared" si="0"/>
        <v>C1-2025</v>
      </c>
      <c r="Q32" s="123" t="str">
        <f t="shared" si="1"/>
        <v>T1-2025</v>
      </c>
      <c r="R32" s="124" t="s">
        <v>2828</v>
      </c>
      <c r="S32" s="124" t="s">
        <v>2706</v>
      </c>
      <c r="T32" s="123" t="s">
        <v>2717</v>
      </c>
      <c r="U32" s="162" t="s">
        <v>2708</v>
      </c>
      <c r="V32" s="162" t="s">
        <v>56</v>
      </c>
      <c r="W32" s="237" t="s">
        <v>125</v>
      </c>
      <c r="X32" s="173" t="s">
        <v>2751</v>
      </c>
    </row>
    <row r="33" spans="1:24" hidden="1">
      <c r="A33" s="161">
        <v>45674</v>
      </c>
      <c r="B33" s="131" t="s">
        <v>2829</v>
      </c>
      <c r="C33" s="32" t="s">
        <v>2697</v>
      </c>
      <c r="D33" s="126">
        <v>-5.99</v>
      </c>
      <c r="E33" s="120">
        <v>1</v>
      </c>
      <c r="F33" s="127">
        <f>Tabla5109[[#This Row],[Original Amount]]*Tabla5109[[#This Row],[ER to EUR]]</f>
        <v>-5.99</v>
      </c>
      <c r="G33" s="9" t="s">
        <v>2830</v>
      </c>
      <c r="H33" s="9" t="s">
        <v>2831</v>
      </c>
      <c r="I33" s="9" t="s">
        <v>2727</v>
      </c>
      <c r="J33" s="9" t="s">
        <v>2817</v>
      </c>
      <c r="K33" s="205" t="s">
        <v>2702</v>
      </c>
      <c r="L33" s="9" t="s">
        <v>2818</v>
      </c>
      <c r="M33" s="32" t="s">
        <v>125</v>
      </c>
      <c r="N33" s="122" t="s">
        <v>2704</v>
      </c>
      <c r="O33" s="129" t="s">
        <v>2704</v>
      </c>
      <c r="P33" s="123" t="str">
        <f t="shared" si="0"/>
        <v>C1-2025</v>
      </c>
      <c r="Q33" s="123" t="str">
        <f t="shared" si="1"/>
        <v>T1-2025</v>
      </c>
      <c r="R33" s="124" t="s">
        <v>2722</v>
      </c>
      <c r="S33" s="123" t="s">
        <v>2723</v>
      </c>
      <c r="T33" s="123" t="s">
        <v>2724</v>
      </c>
      <c r="U33" s="162" t="s">
        <v>2708</v>
      </c>
      <c r="V33" s="162" t="s">
        <v>54</v>
      </c>
      <c r="W33" s="237" t="s">
        <v>125</v>
      </c>
      <c r="X33" s="173" t="s">
        <v>2709</v>
      </c>
    </row>
    <row r="34" spans="1:24" hidden="1">
      <c r="A34" s="161">
        <v>45674</v>
      </c>
      <c r="B34" s="131" t="s">
        <v>2832</v>
      </c>
      <c r="C34" s="32" t="s">
        <v>2697</v>
      </c>
      <c r="D34" s="126">
        <v>-45</v>
      </c>
      <c r="E34" s="120">
        <v>1</v>
      </c>
      <c r="F34" s="127">
        <f>Tabla5109[[#This Row],[Original Amount]]*Tabla5109[[#This Row],[ER to EUR]]</f>
        <v>-45</v>
      </c>
      <c r="G34" s="9" t="s">
        <v>2833</v>
      </c>
      <c r="H34" s="9" t="s">
        <v>2834</v>
      </c>
      <c r="I34" s="9" t="s">
        <v>2713</v>
      </c>
      <c r="J34" s="9" t="s">
        <v>2701</v>
      </c>
      <c r="K34" s="205" t="s">
        <v>2771</v>
      </c>
      <c r="L34" s="211" t="s">
        <v>2818</v>
      </c>
      <c r="M34" s="32" t="s">
        <v>125</v>
      </c>
      <c r="N34" s="122" t="s">
        <v>2704</v>
      </c>
      <c r="O34" s="129" t="s">
        <v>2704</v>
      </c>
      <c r="P34" s="123" t="str">
        <f t="shared" si="0"/>
        <v>C1-2025</v>
      </c>
      <c r="Q34" s="123" t="str">
        <f t="shared" si="1"/>
        <v>T1-2025</v>
      </c>
      <c r="R34" s="91" t="s">
        <v>2819</v>
      </c>
      <c r="S34" s="123" t="s">
        <v>2817</v>
      </c>
      <c r="T34" s="123" t="s">
        <v>2724</v>
      </c>
      <c r="U34" s="162" t="s">
        <v>2708</v>
      </c>
      <c r="V34" s="162" t="s">
        <v>54</v>
      </c>
      <c r="W34" s="237" t="s">
        <v>125</v>
      </c>
      <c r="X34" s="173" t="s">
        <v>2709</v>
      </c>
    </row>
    <row r="35" spans="1:24" hidden="1">
      <c r="A35" s="161">
        <v>45677</v>
      </c>
      <c r="B35" s="219" t="s">
        <v>2835</v>
      </c>
      <c r="C35" s="129" t="s">
        <v>2697</v>
      </c>
      <c r="D35" s="126">
        <v>-500</v>
      </c>
      <c r="E35" s="120">
        <v>1</v>
      </c>
      <c r="F35" s="127">
        <f>Tabla5109[[#This Row],[Original Amount]]*Tabla5109[[#This Row],[ER to EUR]]</f>
        <v>-500</v>
      </c>
      <c r="G35" s="9" t="s">
        <v>2725</v>
      </c>
      <c r="H35" s="73" t="s">
        <v>2836</v>
      </c>
      <c r="I35" s="9" t="s">
        <v>2727</v>
      </c>
      <c r="J35" s="9" t="s">
        <v>2701</v>
      </c>
      <c r="K35" s="205" t="s">
        <v>2728</v>
      </c>
      <c r="L35" s="9" t="s">
        <v>2729</v>
      </c>
      <c r="M35" s="32" t="s">
        <v>125</v>
      </c>
      <c r="N35" s="129" t="s">
        <v>2704</v>
      </c>
      <c r="O35" s="122" t="s">
        <v>2704</v>
      </c>
      <c r="P35" s="123" t="str">
        <f t="shared" si="0"/>
        <v>C1-2025</v>
      </c>
      <c r="Q35" s="123" t="str">
        <f t="shared" si="1"/>
        <v>T1-2025</v>
      </c>
      <c r="R35" s="124" t="s">
        <v>2730</v>
      </c>
      <c r="S35" s="123" t="s">
        <v>2731</v>
      </c>
      <c r="T35" s="123" t="s">
        <v>2707</v>
      </c>
      <c r="U35" s="162" t="s">
        <v>51</v>
      </c>
      <c r="V35" s="162" t="s">
        <v>57</v>
      </c>
      <c r="W35" s="237" t="s">
        <v>125</v>
      </c>
      <c r="X35" s="173" t="s">
        <v>2709</v>
      </c>
    </row>
    <row r="36" spans="1:24" hidden="1">
      <c r="A36" s="161">
        <v>45678</v>
      </c>
      <c r="B36" s="135" t="s">
        <v>2837</v>
      </c>
      <c r="C36" s="129" t="s">
        <v>2697</v>
      </c>
      <c r="D36" s="126">
        <v>-27.97</v>
      </c>
      <c r="E36" s="120">
        <v>1</v>
      </c>
      <c r="F36" s="127">
        <f>Tabla5109[[#This Row],[Original Amount]]*Tabla5109[[#This Row],[ER to EUR]]</f>
        <v>-27.97</v>
      </c>
      <c r="G36" s="9" t="s">
        <v>2753</v>
      </c>
      <c r="H36" s="73" t="s">
        <v>2754</v>
      </c>
      <c r="I36" s="9" t="s">
        <v>2755</v>
      </c>
      <c r="J36" s="9" t="s">
        <v>2701</v>
      </c>
      <c r="K36" s="205" t="s">
        <v>2702</v>
      </c>
      <c r="L36" s="9" t="s">
        <v>2703</v>
      </c>
      <c r="M36" s="32" t="s">
        <v>125</v>
      </c>
      <c r="N36" s="129" t="s">
        <v>2704</v>
      </c>
      <c r="O36" s="122" t="s">
        <v>2704</v>
      </c>
      <c r="P36" s="123" t="str">
        <f t="shared" si="0"/>
        <v>C1-2025</v>
      </c>
      <c r="Q36" s="123" t="str">
        <f t="shared" si="1"/>
        <v>T1-2025</v>
      </c>
      <c r="R36" s="124" t="s">
        <v>2705</v>
      </c>
      <c r="S36" s="124" t="s">
        <v>2706</v>
      </c>
      <c r="T36" s="123" t="s">
        <v>2707</v>
      </c>
      <c r="U36" s="162" t="s">
        <v>2708</v>
      </c>
      <c r="V36" s="162" t="s">
        <v>56</v>
      </c>
      <c r="W36" s="237" t="s">
        <v>125</v>
      </c>
      <c r="X36" s="173" t="s">
        <v>2709</v>
      </c>
    </row>
    <row r="37" spans="1:24" hidden="1">
      <c r="A37" s="161">
        <v>45678</v>
      </c>
      <c r="B37" s="399" t="s">
        <v>2838</v>
      </c>
      <c r="C37" s="129" t="s">
        <v>2697</v>
      </c>
      <c r="D37" s="126">
        <v>-84.14</v>
      </c>
      <c r="E37" s="120">
        <v>1</v>
      </c>
      <c r="F37" s="127">
        <f>Tabla5109[[#This Row],[Original Amount]]*Tabla5109[[#This Row],[ER to EUR]]</f>
        <v>-84.14</v>
      </c>
      <c r="G37" s="9" t="s">
        <v>2839</v>
      </c>
      <c r="H37" s="73" t="s">
        <v>2840</v>
      </c>
      <c r="I37" s="9" t="s">
        <v>2784</v>
      </c>
      <c r="J37" s="9" t="s">
        <v>2701</v>
      </c>
      <c r="K37" s="205" t="s">
        <v>2702</v>
      </c>
      <c r="L37" s="9" t="s">
        <v>2703</v>
      </c>
      <c r="M37" s="32" t="s">
        <v>125</v>
      </c>
      <c r="N37" s="129" t="s">
        <v>2704</v>
      </c>
      <c r="O37" s="122" t="s">
        <v>2704</v>
      </c>
      <c r="P37" s="123" t="str">
        <f t="shared" si="0"/>
        <v>C1-2025</v>
      </c>
      <c r="Q37" s="123" t="str">
        <f t="shared" si="1"/>
        <v>T1-2025</v>
      </c>
      <c r="R37" s="124" t="s">
        <v>2705</v>
      </c>
      <c r="S37" s="124" t="s">
        <v>2706</v>
      </c>
      <c r="T37" s="123" t="s">
        <v>2707</v>
      </c>
      <c r="U37" s="162" t="s">
        <v>2708</v>
      </c>
      <c r="V37" s="162" t="s">
        <v>56</v>
      </c>
      <c r="W37" s="237" t="s">
        <v>125</v>
      </c>
      <c r="X37" s="173" t="s">
        <v>2709</v>
      </c>
    </row>
    <row r="38" spans="1:24" hidden="1">
      <c r="A38" s="161">
        <v>45678</v>
      </c>
      <c r="B38" s="399" t="s">
        <v>2841</v>
      </c>
      <c r="C38" s="129" t="s">
        <v>2697</v>
      </c>
      <c r="D38" s="126">
        <v>-1071</v>
      </c>
      <c r="E38" s="120">
        <v>1</v>
      </c>
      <c r="F38" s="127">
        <f>Tabla5109[[#This Row],[Original Amount]]*Tabla5109[[#This Row],[ER to EUR]]</f>
        <v>-1071</v>
      </c>
      <c r="G38" s="9" t="s">
        <v>2842</v>
      </c>
      <c r="H38" s="73" t="s">
        <v>2843</v>
      </c>
      <c r="I38" s="9" t="s">
        <v>2727</v>
      </c>
      <c r="J38" s="9" t="s">
        <v>2701</v>
      </c>
      <c r="K38" s="205" t="s">
        <v>2747</v>
      </c>
      <c r="L38" s="9" t="s">
        <v>2703</v>
      </c>
      <c r="M38" s="32" t="s">
        <v>125</v>
      </c>
      <c r="N38" s="129" t="s">
        <v>2704</v>
      </c>
      <c r="O38" s="122" t="s">
        <v>2704</v>
      </c>
      <c r="P38" s="123" t="str">
        <f t="shared" si="0"/>
        <v>C1-2025</v>
      </c>
      <c r="Q38" s="123" t="str">
        <f t="shared" si="1"/>
        <v>T1-2025</v>
      </c>
      <c r="R38" s="124" t="s">
        <v>2705</v>
      </c>
      <c r="S38" s="124" t="s">
        <v>2706</v>
      </c>
      <c r="T38" s="123" t="s">
        <v>2717</v>
      </c>
      <c r="U38" s="162" t="s">
        <v>2708</v>
      </c>
      <c r="V38" s="165" t="s">
        <v>55</v>
      </c>
      <c r="W38" s="237" t="s">
        <v>125</v>
      </c>
      <c r="X38" s="173" t="s">
        <v>2709</v>
      </c>
    </row>
    <row r="39" spans="1:24" hidden="1">
      <c r="A39" s="161">
        <v>45678</v>
      </c>
      <c r="B39" s="125">
        <v>4916</v>
      </c>
      <c r="C39" s="32" t="s">
        <v>2543</v>
      </c>
      <c r="D39" s="147">
        <v>-3543193</v>
      </c>
      <c r="E39" s="120">
        <v>9.6599999999999995E-4</v>
      </c>
      <c r="F39" s="127">
        <f>Tabla5109[[#This Row],[Original Amount]]*Tabla5109[[#This Row],[ER to EUR]]</f>
        <v>-3422.7244379999997</v>
      </c>
      <c r="G39" s="9" t="s">
        <v>2844</v>
      </c>
      <c r="H39" s="9" t="s">
        <v>2845</v>
      </c>
      <c r="I39" s="9" t="s">
        <v>2713</v>
      </c>
      <c r="J39" s="9" t="s">
        <v>2723</v>
      </c>
      <c r="K39" s="205" t="s">
        <v>2792</v>
      </c>
      <c r="L39" s="211" t="s">
        <v>2703</v>
      </c>
      <c r="M39" s="227" t="s">
        <v>2704</v>
      </c>
      <c r="N39" s="122" t="s">
        <v>2748</v>
      </c>
      <c r="O39" s="122" t="s">
        <v>2704</v>
      </c>
      <c r="P39" s="123" t="str">
        <f t="shared" si="0"/>
        <v>C1-2025</v>
      </c>
      <c r="Q39" s="123" t="str">
        <f t="shared" si="1"/>
        <v>T1-2025</v>
      </c>
      <c r="R39" s="91" t="s">
        <v>2705</v>
      </c>
      <c r="S39" s="123" t="s">
        <v>2723</v>
      </c>
      <c r="T39" s="123" t="s">
        <v>2717</v>
      </c>
      <c r="U39" s="162" t="s">
        <v>2708</v>
      </c>
      <c r="V39" s="162" t="s">
        <v>54</v>
      </c>
      <c r="W39" s="237" t="s">
        <v>125</v>
      </c>
      <c r="X39" s="201" t="s">
        <v>2751</v>
      </c>
    </row>
    <row r="40" spans="1:24" hidden="1">
      <c r="A40" s="161">
        <v>45679</v>
      </c>
      <c r="B40" s="219" t="s">
        <v>2846</v>
      </c>
      <c r="C40" s="129" t="s">
        <v>2697</v>
      </c>
      <c r="D40" s="126">
        <v>-150</v>
      </c>
      <c r="E40" s="120">
        <v>1</v>
      </c>
      <c r="F40" s="127">
        <f>Tabla5109[[#This Row],[Original Amount]]*Tabla5109[[#This Row],[ER to EUR]]</f>
        <v>-150</v>
      </c>
      <c r="G40" s="9" t="s">
        <v>2847</v>
      </c>
      <c r="H40" s="73" t="s">
        <v>2848</v>
      </c>
      <c r="I40" s="9" t="s">
        <v>2727</v>
      </c>
      <c r="J40" s="37" t="s">
        <v>2723</v>
      </c>
      <c r="K40" s="217" t="s">
        <v>2747</v>
      </c>
      <c r="L40" s="37" t="s">
        <v>2793</v>
      </c>
      <c r="M40" s="32" t="s">
        <v>125</v>
      </c>
      <c r="N40" s="156" t="s">
        <v>2704</v>
      </c>
      <c r="O40" s="158" t="s">
        <v>2704</v>
      </c>
      <c r="P40" s="123" t="str">
        <f t="shared" si="0"/>
        <v>C1-2025</v>
      </c>
      <c r="Q40" s="123" t="str">
        <f t="shared" si="1"/>
        <v>T1-2025</v>
      </c>
      <c r="R40" s="124" t="s">
        <v>2705</v>
      </c>
      <c r="S40" s="124" t="s">
        <v>2706</v>
      </c>
      <c r="T40" s="123" t="s">
        <v>2707</v>
      </c>
      <c r="U40" s="162" t="s">
        <v>2708</v>
      </c>
      <c r="V40" s="162" t="s">
        <v>54</v>
      </c>
      <c r="W40" s="237" t="s">
        <v>125</v>
      </c>
      <c r="X40" s="173" t="s">
        <v>2709</v>
      </c>
    </row>
    <row r="41" spans="1:24" hidden="1">
      <c r="A41" s="161">
        <v>45680</v>
      </c>
      <c r="B41" s="134">
        <v>78164174623</v>
      </c>
      <c r="C41" s="129" t="s">
        <v>2697</v>
      </c>
      <c r="D41" s="126">
        <v>-43.38</v>
      </c>
      <c r="E41" s="120">
        <v>1</v>
      </c>
      <c r="F41" s="127">
        <f>Tabla5109[[#This Row],[Original Amount]]*Tabla5109[[#This Row],[ER to EUR]]</f>
        <v>-43.38</v>
      </c>
      <c r="G41" s="9" t="s">
        <v>2718</v>
      </c>
      <c r="H41" s="73" t="s">
        <v>2849</v>
      </c>
      <c r="I41" s="9" t="s">
        <v>2720</v>
      </c>
      <c r="J41" s="9" t="s">
        <v>2714</v>
      </c>
      <c r="K41" s="205" t="s">
        <v>2721</v>
      </c>
      <c r="L41" s="9" t="s">
        <v>2716</v>
      </c>
      <c r="M41" s="32" t="s">
        <v>125</v>
      </c>
      <c r="N41" s="129" t="s">
        <v>2704</v>
      </c>
      <c r="O41" s="122" t="s">
        <v>2704</v>
      </c>
      <c r="P41" s="123" t="str">
        <f t="shared" si="0"/>
        <v>C1-2025</v>
      </c>
      <c r="Q41" s="123" t="str">
        <f t="shared" si="1"/>
        <v>T1-2025</v>
      </c>
      <c r="R41" s="124" t="s">
        <v>2722</v>
      </c>
      <c r="S41" s="123" t="s">
        <v>2723</v>
      </c>
      <c r="T41" s="123" t="s">
        <v>2724</v>
      </c>
      <c r="U41" s="162" t="s">
        <v>2708</v>
      </c>
      <c r="V41" s="162" t="s">
        <v>54</v>
      </c>
      <c r="W41" s="237" t="s">
        <v>125</v>
      </c>
      <c r="X41" s="173" t="s">
        <v>2709</v>
      </c>
    </row>
    <row r="42" spans="1:24" hidden="1">
      <c r="A42" s="161">
        <v>45680</v>
      </c>
      <c r="B42" s="399" t="s">
        <v>2850</v>
      </c>
      <c r="C42" s="129" t="s">
        <v>2697</v>
      </c>
      <c r="D42" s="126">
        <v>-56.83</v>
      </c>
      <c r="E42" s="120">
        <v>1</v>
      </c>
      <c r="F42" s="127">
        <f>Tabla5109[[#This Row],[Original Amount]]*Tabla5109[[#This Row],[ER to EUR]]</f>
        <v>-56.83</v>
      </c>
      <c r="G42" s="9" t="s">
        <v>2851</v>
      </c>
      <c r="H42" s="73" t="s">
        <v>2852</v>
      </c>
      <c r="I42" s="9" t="s">
        <v>2713</v>
      </c>
      <c r="J42" s="9" t="s">
        <v>2701</v>
      </c>
      <c r="K42" s="4" t="s">
        <v>2702</v>
      </c>
      <c r="L42" s="9" t="s">
        <v>2788</v>
      </c>
      <c r="M42" s="32" t="s">
        <v>125</v>
      </c>
      <c r="N42" s="129" t="s">
        <v>2704</v>
      </c>
      <c r="O42" s="122" t="s">
        <v>2704</v>
      </c>
      <c r="P42" s="123" t="str">
        <f t="shared" si="0"/>
        <v>C1-2025</v>
      </c>
      <c r="Q42" s="123" t="str">
        <f t="shared" si="1"/>
        <v>T1-2025</v>
      </c>
      <c r="R42" s="124" t="s">
        <v>2794</v>
      </c>
      <c r="S42" s="123" t="s">
        <v>2731</v>
      </c>
      <c r="T42" s="123" t="s">
        <v>2724</v>
      </c>
      <c r="U42" s="162" t="s">
        <v>2708</v>
      </c>
      <c r="V42" s="162" t="s">
        <v>55</v>
      </c>
      <c r="W42" s="237" t="s">
        <v>125</v>
      </c>
      <c r="X42" s="173" t="s">
        <v>2709</v>
      </c>
    </row>
    <row r="43" spans="1:24" hidden="1">
      <c r="A43" s="161">
        <v>45681</v>
      </c>
      <c r="B43" s="135" t="s">
        <v>2853</v>
      </c>
      <c r="C43" s="129" t="s">
        <v>2697</v>
      </c>
      <c r="D43" s="126">
        <v>-47.72</v>
      </c>
      <c r="E43" s="120">
        <v>1</v>
      </c>
      <c r="F43" s="127">
        <f>Tabla5109[[#This Row],[Original Amount]]*Tabla5109[[#This Row],[ER to EUR]]</f>
        <v>-47.72</v>
      </c>
      <c r="G43" s="9" t="s">
        <v>2758</v>
      </c>
      <c r="H43" s="73" t="s">
        <v>2759</v>
      </c>
      <c r="I43" s="9" t="s">
        <v>2713</v>
      </c>
      <c r="J43" s="9" t="s">
        <v>2701</v>
      </c>
      <c r="K43" s="205" t="s">
        <v>2702</v>
      </c>
      <c r="L43" s="9" t="s">
        <v>2760</v>
      </c>
      <c r="M43" s="32" t="s">
        <v>125</v>
      </c>
      <c r="N43" s="129" t="s">
        <v>2704</v>
      </c>
      <c r="O43" s="122" t="s">
        <v>2704</v>
      </c>
      <c r="P43" s="123" t="str">
        <f t="shared" si="0"/>
        <v>C1-2025</v>
      </c>
      <c r="Q43" s="123" t="str">
        <f t="shared" si="1"/>
        <v>T1-2025</v>
      </c>
      <c r="R43" s="124" t="s">
        <v>2730</v>
      </c>
      <c r="S43" s="123" t="s">
        <v>2731</v>
      </c>
      <c r="T43" s="123" t="s">
        <v>2707</v>
      </c>
      <c r="U43" s="162" t="s">
        <v>2708</v>
      </c>
      <c r="V43" s="162" t="s">
        <v>55</v>
      </c>
      <c r="W43" s="237" t="s">
        <v>125</v>
      </c>
      <c r="X43" s="173" t="s">
        <v>2709</v>
      </c>
    </row>
    <row r="44" spans="1:24" hidden="1">
      <c r="A44" s="161">
        <v>45682</v>
      </c>
      <c r="B44" s="131" t="s">
        <v>2854</v>
      </c>
      <c r="C44" s="32" t="s">
        <v>2697</v>
      </c>
      <c r="D44" s="126">
        <v>-15.46</v>
      </c>
      <c r="E44" s="120">
        <v>1</v>
      </c>
      <c r="F44" s="127">
        <f>Tabla5109[[#This Row],[Original Amount]]*Tabla5109[[#This Row],[ER to EUR]]</f>
        <v>-15.46</v>
      </c>
      <c r="G44" s="9" t="s">
        <v>2830</v>
      </c>
      <c r="H44" s="9" t="s">
        <v>2855</v>
      </c>
      <c r="I44" s="9" t="s">
        <v>2739</v>
      </c>
      <c r="J44" s="9" t="s">
        <v>2817</v>
      </c>
      <c r="K44" s="205" t="s">
        <v>2702</v>
      </c>
      <c r="L44" s="9" t="s">
        <v>2818</v>
      </c>
      <c r="M44" s="32" t="s">
        <v>125</v>
      </c>
      <c r="N44" s="122" t="s">
        <v>2704</v>
      </c>
      <c r="O44" s="129" t="s">
        <v>2704</v>
      </c>
      <c r="P44" s="123" t="str">
        <f t="shared" si="0"/>
        <v>C1-2025</v>
      </c>
      <c r="Q44" s="123" t="str">
        <f t="shared" si="1"/>
        <v>T1-2025</v>
      </c>
      <c r="R44" s="124" t="s">
        <v>2722</v>
      </c>
      <c r="S44" s="123" t="s">
        <v>2723</v>
      </c>
      <c r="T44" s="123" t="s">
        <v>2724</v>
      </c>
      <c r="U44" s="162" t="s">
        <v>2708</v>
      </c>
      <c r="V44" s="162" t="s">
        <v>54</v>
      </c>
      <c r="W44" s="237" t="s">
        <v>125</v>
      </c>
      <c r="X44" s="173" t="s">
        <v>2709</v>
      </c>
    </row>
    <row r="45" spans="1:24" hidden="1">
      <c r="A45" s="161">
        <v>45684</v>
      </c>
      <c r="B45" s="135" t="s">
        <v>2856</v>
      </c>
      <c r="C45" s="129" t="s">
        <v>2697</v>
      </c>
      <c r="D45" s="126">
        <v>-55.81</v>
      </c>
      <c r="E45" s="120">
        <v>1</v>
      </c>
      <c r="F45" s="127">
        <f>Tabla5109[[#This Row],[Original Amount]]*Tabla5109[[#This Row],[ER to EUR]]</f>
        <v>-55.81</v>
      </c>
      <c r="G45" s="9" t="s">
        <v>2758</v>
      </c>
      <c r="H45" s="73" t="s">
        <v>2759</v>
      </c>
      <c r="I45" s="9" t="s">
        <v>2713</v>
      </c>
      <c r="J45" s="9" t="s">
        <v>2701</v>
      </c>
      <c r="K45" s="205" t="s">
        <v>2702</v>
      </c>
      <c r="L45" s="9" t="s">
        <v>2760</v>
      </c>
      <c r="M45" s="32" t="s">
        <v>125</v>
      </c>
      <c r="N45" s="129" t="s">
        <v>2704</v>
      </c>
      <c r="O45" s="122" t="s">
        <v>2704</v>
      </c>
      <c r="P45" s="123" t="str">
        <f t="shared" si="0"/>
        <v>C1-2025</v>
      </c>
      <c r="Q45" s="123" t="str">
        <f t="shared" si="1"/>
        <v>T1-2025</v>
      </c>
      <c r="R45" s="124" t="s">
        <v>2730</v>
      </c>
      <c r="S45" s="123" t="s">
        <v>2731</v>
      </c>
      <c r="T45" s="123" t="s">
        <v>2707</v>
      </c>
      <c r="U45" s="162" t="s">
        <v>2708</v>
      </c>
      <c r="V45" s="162" t="s">
        <v>55</v>
      </c>
      <c r="W45" s="237" t="s">
        <v>125</v>
      </c>
      <c r="X45" s="173" t="s">
        <v>2709</v>
      </c>
    </row>
    <row r="46" spans="1:24" hidden="1">
      <c r="A46" s="161">
        <v>45685</v>
      </c>
      <c r="B46" s="213" t="s">
        <v>2857</v>
      </c>
      <c r="C46" s="129" t="s">
        <v>2697</v>
      </c>
      <c r="D46" s="126">
        <v>-8.3699999999999992</v>
      </c>
      <c r="E46" s="120">
        <v>1</v>
      </c>
      <c r="F46" s="127">
        <f>Tabla5109[[#This Row],[Original Amount]]*Tabla5109[[#This Row],[ER to EUR]]</f>
        <v>-8.3699999999999992</v>
      </c>
      <c r="G46" s="9" t="s">
        <v>2753</v>
      </c>
      <c r="H46" s="73" t="s">
        <v>2858</v>
      </c>
      <c r="I46" s="9" t="s">
        <v>2755</v>
      </c>
      <c r="J46" s="9" t="s">
        <v>2701</v>
      </c>
      <c r="K46" s="205" t="s">
        <v>2702</v>
      </c>
      <c r="L46" s="9" t="s">
        <v>2703</v>
      </c>
      <c r="M46" s="32" t="s">
        <v>125</v>
      </c>
      <c r="N46" s="129" t="s">
        <v>2704</v>
      </c>
      <c r="O46" s="122" t="s">
        <v>2704</v>
      </c>
      <c r="P46" s="123" t="str">
        <f t="shared" si="0"/>
        <v>C1-2025</v>
      </c>
      <c r="Q46" s="123" t="str">
        <f t="shared" si="1"/>
        <v>T1-2025</v>
      </c>
      <c r="R46" s="124" t="s">
        <v>2705</v>
      </c>
      <c r="S46" s="124" t="s">
        <v>2706</v>
      </c>
      <c r="T46" s="123" t="s">
        <v>2707</v>
      </c>
      <c r="U46" s="162" t="s">
        <v>2708</v>
      </c>
      <c r="V46" s="162" t="s">
        <v>56</v>
      </c>
      <c r="W46" s="237" t="s">
        <v>125</v>
      </c>
      <c r="X46" s="173" t="s">
        <v>2709</v>
      </c>
    </row>
    <row r="47" spans="1:24" hidden="1">
      <c r="A47" s="161">
        <v>45685</v>
      </c>
      <c r="B47" s="390" t="s">
        <v>2859</v>
      </c>
      <c r="C47" s="129" t="s">
        <v>2697</v>
      </c>
      <c r="D47" s="126">
        <v>-554.78</v>
      </c>
      <c r="E47" s="120">
        <v>1</v>
      </c>
      <c r="F47" s="127">
        <f>Tabla5109[[#This Row],[Original Amount]]*Tabla5109[[#This Row],[ER to EUR]]</f>
        <v>-554.78</v>
      </c>
      <c r="G47" s="9" t="s">
        <v>2698</v>
      </c>
      <c r="H47" s="73" t="s">
        <v>2860</v>
      </c>
      <c r="I47" s="9" t="s">
        <v>2784</v>
      </c>
      <c r="J47" s="9" t="s">
        <v>2701</v>
      </c>
      <c r="K47" s="205" t="s">
        <v>2702</v>
      </c>
      <c r="L47" s="9" t="s">
        <v>2703</v>
      </c>
      <c r="M47" s="32" t="s">
        <v>125</v>
      </c>
      <c r="N47" s="129" t="s">
        <v>2704</v>
      </c>
      <c r="O47" s="122" t="s">
        <v>2704</v>
      </c>
      <c r="P47" s="123" t="str">
        <f t="shared" si="0"/>
        <v>C1-2025</v>
      </c>
      <c r="Q47" s="123" t="str">
        <f t="shared" si="1"/>
        <v>T1-2025</v>
      </c>
      <c r="R47" s="124" t="s">
        <v>2705</v>
      </c>
      <c r="S47" s="124" t="s">
        <v>2706</v>
      </c>
      <c r="T47" s="123" t="s">
        <v>2707</v>
      </c>
      <c r="U47" s="162" t="s">
        <v>2708</v>
      </c>
      <c r="V47" s="162" t="s">
        <v>54</v>
      </c>
      <c r="W47" s="237" t="s">
        <v>125</v>
      </c>
      <c r="X47" s="173" t="s">
        <v>2709</v>
      </c>
    </row>
    <row r="48" spans="1:24" hidden="1">
      <c r="A48" s="161">
        <v>45687</v>
      </c>
      <c r="B48" s="131" t="s">
        <v>2861</v>
      </c>
      <c r="C48" s="129" t="s">
        <v>2697</v>
      </c>
      <c r="D48" s="126">
        <v>-120</v>
      </c>
      <c r="E48" s="120">
        <v>1</v>
      </c>
      <c r="F48" s="127">
        <f>Tabla5109[[#This Row],[Original Amount]]*Tabla5109[[#This Row],[ER to EUR]]</f>
        <v>-120</v>
      </c>
      <c r="G48" s="9" t="s">
        <v>2862</v>
      </c>
      <c r="H48" s="73" t="s">
        <v>2863</v>
      </c>
      <c r="I48" s="9" t="s">
        <v>2727</v>
      </c>
      <c r="J48" s="9" t="s">
        <v>2714</v>
      </c>
      <c r="K48" s="205" t="s">
        <v>2747</v>
      </c>
      <c r="L48" s="9" t="s">
        <v>2864</v>
      </c>
      <c r="M48" s="32" t="s">
        <v>125</v>
      </c>
      <c r="N48" s="129" t="s">
        <v>2704</v>
      </c>
      <c r="O48" s="122" t="s">
        <v>2704</v>
      </c>
      <c r="P48" s="123" t="str">
        <f t="shared" si="0"/>
        <v>C1-2025</v>
      </c>
      <c r="Q48" s="123" t="str">
        <f t="shared" si="1"/>
        <v>T1-2025</v>
      </c>
      <c r="R48" s="124" t="s">
        <v>2705</v>
      </c>
      <c r="S48" s="124" t="s">
        <v>2706</v>
      </c>
      <c r="T48" s="123" t="s">
        <v>2717</v>
      </c>
      <c r="U48" s="162" t="s">
        <v>2708</v>
      </c>
      <c r="V48" s="162" t="s">
        <v>56</v>
      </c>
      <c r="W48" s="237" t="s">
        <v>125</v>
      </c>
      <c r="X48" s="173" t="s">
        <v>2709</v>
      </c>
    </row>
    <row r="49" spans="1:24" hidden="1">
      <c r="A49" s="161">
        <v>45688</v>
      </c>
      <c r="B49" s="135" t="s">
        <v>2865</v>
      </c>
      <c r="C49" s="129" t="s">
        <v>2697</v>
      </c>
      <c r="D49" s="126">
        <v>-1666</v>
      </c>
      <c r="E49" s="120">
        <v>1</v>
      </c>
      <c r="F49" s="127">
        <f>Tabla5109[[#This Row],[Original Amount]]*Tabla5109[[#This Row],[ER to EUR]]</f>
        <v>-1666</v>
      </c>
      <c r="G49" s="9" t="s">
        <v>2866</v>
      </c>
      <c r="H49" s="73" t="s">
        <v>2867</v>
      </c>
      <c r="I49" s="9" t="s">
        <v>2727</v>
      </c>
      <c r="J49" s="9" t="s">
        <v>2714</v>
      </c>
      <c r="K49" s="205" t="s">
        <v>2868</v>
      </c>
      <c r="L49" s="9" t="s">
        <v>2864</v>
      </c>
      <c r="M49" s="32" t="s">
        <v>125</v>
      </c>
      <c r="N49" s="129" t="s">
        <v>2704</v>
      </c>
      <c r="O49" s="122" t="s">
        <v>2704</v>
      </c>
      <c r="P49" s="123" t="str">
        <f t="shared" si="0"/>
        <v>C1-2025</v>
      </c>
      <c r="Q49" s="123" t="str">
        <f t="shared" si="1"/>
        <v>T1-2025</v>
      </c>
      <c r="R49" s="124" t="s">
        <v>2705</v>
      </c>
      <c r="S49" s="124" t="s">
        <v>2706</v>
      </c>
      <c r="T49" s="123" t="s">
        <v>2717</v>
      </c>
      <c r="U49" s="162" t="s">
        <v>2708</v>
      </c>
      <c r="V49" s="162" t="s">
        <v>56</v>
      </c>
      <c r="W49" s="237" t="s">
        <v>125</v>
      </c>
      <c r="X49" s="173" t="s">
        <v>2709</v>
      </c>
    </row>
    <row r="50" spans="1:24" hidden="1">
      <c r="A50" s="161">
        <v>45688</v>
      </c>
      <c r="B50" s="131" t="s">
        <v>2869</v>
      </c>
      <c r="C50" s="129" t="s">
        <v>2548</v>
      </c>
      <c r="D50" s="151">
        <v>-120</v>
      </c>
      <c r="E50" s="154">
        <v>0.96550000000000002</v>
      </c>
      <c r="F50" s="235">
        <f>Tabla5109[[#This Row],[Original Amount]]*Tabla5109[[#This Row],[ER to EUR]]</f>
        <v>-115.86</v>
      </c>
      <c r="G50" s="9" t="s">
        <v>2766</v>
      </c>
      <c r="H50" s="9" t="s">
        <v>2870</v>
      </c>
      <c r="I50" s="9" t="s">
        <v>2713</v>
      </c>
      <c r="J50" s="9" t="s">
        <v>2701</v>
      </c>
      <c r="K50" s="205" t="s">
        <v>2702</v>
      </c>
      <c r="L50" s="9" t="s">
        <v>2760</v>
      </c>
      <c r="M50" s="32" t="s">
        <v>125</v>
      </c>
      <c r="N50" s="129" t="s">
        <v>2704</v>
      </c>
      <c r="O50" s="122" t="s">
        <v>2704</v>
      </c>
      <c r="P50" s="123" t="str">
        <f t="shared" si="0"/>
        <v>C1-2025</v>
      </c>
      <c r="Q50" s="123" t="str">
        <f t="shared" si="1"/>
        <v>T1-2025</v>
      </c>
      <c r="R50" s="124" t="s">
        <v>2705</v>
      </c>
      <c r="S50" s="124" t="s">
        <v>2706</v>
      </c>
      <c r="T50" s="123" t="s">
        <v>2707</v>
      </c>
      <c r="U50" s="162" t="s">
        <v>2708</v>
      </c>
      <c r="V50" s="162" t="s">
        <v>55</v>
      </c>
      <c r="W50" s="237" t="s">
        <v>125</v>
      </c>
      <c r="X50" s="173" t="s">
        <v>2709</v>
      </c>
    </row>
    <row r="51" spans="1:24" hidden="1">
      <c r="A51" s="161">
        <v>45688</v>
      </c>
      <c r="B51" s="194" t="s">
        <v>2871</v>
      </c>
      <c r="C51" s="32" t="s">
        <v>2543</v>
      </c>
      <c r="D51" s="147">
        <v>-342995</v>
      </c>
      <c r="E51" s="154">
        <v>9.6599999999999995E-4</v>
      </c>
      <c r="F51" s="235">
        <f>Tabla5109[[#This Row],[Original Amount]]*Tabla5109[[#This Row],[ER to EUR]]</f>
        <v>-331.33317</v>
      </c>
      <c r="G51" s="9" t="s">
        <v>2872</v>
      </c>
      <c r="H51" s="9" t="s">
        <v>2873</v>
      </c>
      <c r="I51" s="9" t="s">
        <v>2713</v>
      </c>
      <c r="J51" s="9" t="s">
        <v>2770</v>
      </c>
      <c r="K51" s="205" t="s">
        <v>2874</v>
      </c>
      <c r="L51" s="9" t="s">
        <v>2875</v>
      </c>
      <c r="M51" s="227" t="s">
        <v>2704</v>
      </c>
      <c r="N51" s="122" t="s">
        <v>2748</v>
      </c>
      <c r="O51" s="129" t="s">
        <v>2748</v>
      </c>
      <c r="P51" s="123" t="str">
        <f t="shared" si="0"/>
        <v>C1-2025</v>
      </c>
      <c r="Q51" s="123" t="str">
        <f t="shared" si="1"/>
        <v>T1-2025</v>
      </c>
      <c r="R51" s="91" t="s">
        <v>2749</v>
      </c>
      <c r="S51" s="123" t="s">
        <v>2750</v>
      </c>
      <c r="T51" s="123" t="s">
        <v>2724</v>
      </c>
      <c r="U51" s="162" t="s">
        <v>2708</v>
      </c>
      <c r="V51" s="162" t="s">
        <v>54</v>
      </c>
      <c r="W51" s="237" t="s">
        <v>125</v>
      </c>
      <c r="X51" s="173" t="s">
        <v>2751</v>
      </c>
    </row>
    <row r="52" spans="1:24" hidden="1">
      <c r="A52" s="161">
        <v>45688</v>
      </c>
      <c r="B52" s="194" t="s">
        <v>2871</v>
      </c>
      <c r="C52" s="32" t="s">
        <v>2543</v>
      </c>
      <c r="D52" s="147">
        <v>-1725199</v>
      </c>
      <c r="E52" s="154">
        <v>9.6599999999999995E-4</v>
      </c>
      <c r="F52" s="127">
        <f>Tabla5109[[#This Row],[Original Amount]]*Tabla5109[[#This Row],[ER to EUR]]</f>
        <v>-1666.542234</v>
      </c>
      <c r="G52" s="9" t="s">
        <v>2876</v>
      </c>
      <c r="H52" s="9" t="s">
        <v>2873</v>
      </c>
      <c r="I52" s="9" t="s">
        <v>2713</v>
      </c>
      <c r="J52" s="9" t="s">
        <v>2770</v>
      </c>
      <c r="K52" s="205" t="s">
        <v>2874</v>
      </c>
      <c r="L52" s="9" t="s">
        <v>2875</v>
      </c>
      <c r="M52" s="227" t="s">
        <v>2704</v>
      </c>
      <c r="N52" s="122" t="s">
        <v>2748</v>
      </c>
      <c r="O52" s="129" t="s">
        <v>2748</v>
      </c>
      <c r="P52" s="123" t="str">
        <f t="shared" si="0"/>
        <v>C1-2025</v>
      </c>
      <c r="Q52" s="123" t="str">
        <f t="shared" si="1"/>
        <v>T1-2025</v>
      </c>
      <c r="R52" s="91" t="s">
        <v>2749</v>
      </c>
      <c r="S52" s="123" t="s">
        <v>2750</v>
      </c>
      <c r="T52" s="123" t="s">
        <v>2724</v>
      </c>
      <c r="U52" s="162" t="s">
        <v>2708</v>
      </c>
      <c r="V52" s="162" t="s">
        <v>56</v>
      </c>
      <c r="W52" s="237" t="s">
        <v>125</v>
      </c>
      <c r="X52" s="173" t="s">
        <v>2751</v>
      </c>
    </row>
    <row r="53" spans="1:24" hidden="1">
      <c r="A53" s="161">
        <v>45688</v>
      </c>
      <c r="B53" s="194" t="s">
        <v>2871</v>
      </c>
      <c r="C53" s="32" t="s">
        <v>2543</v>
      </c>
      <c r="D53" s="147">
        <v>-3191975</v>
      </c>
      <c r="E53" s="154">
        <v>9.6599999999999995E-4</v>
      </c>
      <c r="F53" s="127">
        <f>Tabla5109[[#This Row],[Original Amount]]*Tabla5109[[#This Row],[ER to EUR]]</f>
        <v>-3083.44785</v>
      </c>
      <c r="G53" s="9" t="s">
        <v>2877</v>
      </c>
      <c r="H53" s="9" t="s">
        <v>2873</v>
      </c>
      <c r="I53" s="9" t="s">
        <v>2713</v>
      </c>
      <c r="J53" s="9" t="s">
        <v>2770</v>
      </c>
      <c r="K53" s="205" t="s">
        <v>2874</v>
      </c>
      <c r="L53" s="9" t="s">
        <v>2875</v>
      </c>
      <c r="M53" s="227" t="s">
        <v>2704</v>
      </c>
      <c r="N53" s="122" t="s">
        <v>2748</v>
      </c>
      <c r="O53" s="129" t="s">
        <v>2748</v>
      </c>
      <c r="P53" s="123" t="str">
        <f t="shared" si="0"/>
        <v>C1-2025</v>
      </c>
      <c r="Q53" s="123" t="str">
        <f t="shared" si="1"/>
        <v>T1-2025</v>
      </c>
      <c r="R53" s="91" t="s">
        <v>2749</v>
      </c>
      <c r="S53" s="123" t="s">
        <v>2750</v>
      </c>
      <c r="T53" s="123" t="s">
        <v>2724</v>
      </c>
      <c r="U53" s="162" t="s">
        <v>2708</v>
      </c>
      <c r="V53" s="162" t="s">
        <v>54</v>
      </c>
      <c r="W53" s="237" t="s">
        <v>125</v>
      </c>
      <c r="X53" s="173" t="s">
        <v>2751</v>
      </c>
    </row>
    <row r="54" spans="1:24" hidden="1">
      <c r="A54" s="161">
        <v>45689</v>
      </c>
      <c r="B54" s="134">
        <v>202500000174</v>
      </c>
      <c r="C54" s="129" t="s">
        <v>2697</v>
      </c>
      <c r="D54" s="119">
        <v>-313.20999999999998</v>
      </c>
      <c r="E54" s="120">
        <v>1</v>
      </c>
      <c r="F54" s="121">
        <f>Tabla5109[[#This Row],[Original Amount]]*Tabla5109[[#This Row],[ER to EUR]]</f>
        <v>-313.20999999999998</v>
      </c>
      <c r="G54" s="9" t="s">
        <v>2796</v>
      </c>
      <c r="H54" s="73" t="s">
        <v>2797</v>
      </c>
      <c r="I54" s="9" t="s">
        <v>2727</v>
      </c>
      <c r="J54" s="9" t="s">
        <v>2714</v>
      </c>
      <c r="K54" s="205" t="s">
        <v>2798</v>
      </c>
      <c r="L54" s="9" t="s">
        <v>2799</v>
      </c>
      <c r="M54" s="32" t="s">
        <v>125</v>
      </c>
      <c r="N54" s="129" t="s">
        <v>2704</v>
      </c>
      <c r="O54" s="122" t="s">
        <v>2704</v>
      </c>
      <c r="P54" s="123" t="str">
        <f t="shared" si="0"/>
        <v>C1-2025</v>
      </c>
      <c r="Q54" s="123" t="str">
        <f t="shared" si="1"/>
        <v>T1-2025</v>
      </c>
      <c r="R54" s="124" t="s">
        <v>2705</v>
      </c>
      <c r="S54" s="124" t="s">
        <v>2706</v>
      </c>
      <c r="T54" s="123" t="s">
        <v>2724</v>
      </c>
      <c r="U54" s="162" t="s">
        <v>2708</v>
      </c>
      <c r="V54" s="162" t="s">
        <v>56</v>
      </c>
      <c r="W54" s="237" t="s">
        <v>125</v>
      </c>
      <c r="X54" s="173" t="s">
        <v>2709</v>
      </c>
    </row>
    <row r="55" spans="1:24" hidden="1">
      <c r="A55" s="161">
        <v>45689</v>
      </c>
      <c r="B55" s="125">
        <v>12</v>
      </c>
      <c r="C55" s="32" t="s">
        <v>2697</v>
      </c>
      <c r="D55" s="119">
        <v>-6783</v>
      </c>
      <c r="E55" s="120">
        <v>1</v>
      </c>
      <c r="F55" s="121">
        <f>Tabla5109[[#This Row],[Original Amount]]*Tabla5109[[#This Row],[ER to EUR]]</f>
        <v>-6783</v>
      </c>
      <c r="G55" s="9" t="s">
        <v>2790</v>
      </c>
      <c r="H55" s="91" t="s">
        <v>2791</v>
      </c>
      <c r="I55" s="9" t="s">
        <v>2727</v>
      </c>
      <c r="J55" s="9" t="s">
        <v>2723</v>
      </c>
      <c r="K55" s="205" t="s">
        <v>2792</v>
      </c>
      <c r="L55" s="9" t="s">
        <v>2793</v>
      </c>
      <c r="M55" s="32" t="s">
        <v>125</v>
      </c>
      <c r="N55" s="129" t="s">
        <v>2748</v>
      </c>
      <c r="O55" s="122" t="s">
        <v>2748</v>
      </c>
      <c r="P55" s="123" t="str">
        <f t="shared" si="0"/>
        <v>C1-2025</v>
      </c>
      <c r="Q55" s="123" t="str">
        <f t="shared" si="1"/>
        <v>T1-2025</v>
      </c>
      <c r="R55" s="124" t="s">
        <v>2794</v>
      </c>
      <c r="S55" s="123" t="s">
        <v>2731</v>
      </c>
      <c r="T55" s="123" t="s">
        <v>2724</v>
      </c>
      <c r="U55" s="162" t="s">
        <v>2708</v>
      </c>
      <c r="V55" s="162" t="s">
        <v>57</v>
      </c>
      <c r="W55" s="237" t="s">
        <v>125</v>
      </c>
      <c r="X55" s="173" t="s">
        <v>2709</v>
      </c>
    </row>
    <row r="56" spans="1:24" hidden="1">
      <c r="A56" s="161">
        <v>45691</v>
      </c>
      <c r="B56" s="125">
        <v>4960</v>
      </c>
      <c r="C56" s="32" t="s">
        <v>2543</v>
      </c>
      <c r="D56" s="152">
        <v>-7079560</v>
      </c>
      <c r="E56" s="120">
        <v>9.6599999999999995E-4</v>
      </c>
      <c r="F56" s="121">
        <f>Tabla5109[[#This Row],[Original Amount]]*Tabla5109[[#This Row],[ER to EUR]]</f>
        <v>-6838.8549599999997</v>
      </c>
      <c r="G56" s="9" t="s">
        <v>2844</v>
      </c>
      <c r="H56" s="9" t="s">
        <v>2878</v>
      </c>
      <c r="I56" s="9" t="s">
        <v>2713</v>
      </c>
      <c r="J56" s="9" t="s">
        <v>2723</v>
      </c>
      <c r="K56" s="205" t="s">
        <v>2792</v>
      </c>
      <c r="L56" s="211" t="s">
        <v>2703</v>
      </c>
      <c r="M56" s="227" t="s">
        <v>2704</v>
      </c>
      <c r="N56" s="129" t="s">
        <v>2748</v>
      </c>
      <c r="O56" s="122" t="s">
        <v>2704</v>
      </c>
      <c r="P56" s="123" t="str">
        <f t="shared" si="0"/>
        <v>C1-2025</v>
      </c>
      <c r="Q56" s="123" t="str">
        <f t="shared" si="1"/>
        <v>T1-2025</v>
      </c>
      <c r="R56" s="91" t="s">
        <v>2705</v>
      </c>
      <c r="S56" s="123" t="s">
        <v>2723</v>
      </c>
      <c r="T56" s="123" t="s">
        <v>2717</v>
      </c>
      <c r="U56" s="162" t="s">
        <v>2708</v>
      </c>
      <c r="V56" s="162" t="s">
        <v>54</v>
      </c>
      <c r="W56" s="237" t="s">
        <v>125</v>
      </c>
      <c r="X56" s="201" t="s">
        <v>2751</v>
      </c>
    </row>
    <row r="57" spans="1:24" hidden="1">
      <c r="A57" s="161">
        <v>45692</v>
      </c>
      <c r="B57" s="125">
        <v>132013815904</v>
      </c>
      <c r="C57" s="129" t="s">
        <v>2697</v>
      </c>
      <c r="D57" s="119">
        <v>-13.81</v>
      </c>
      <c r="E57" s="120">
        <v>1</v>
      </c>
      <c r="F57" s="121">
        <f>Tabla5109[[#This Row],[Original Amount]]*Tabla5109[[#This Row],[ER to EUR]]</f>
        <v>-13.81</v>
      </c>
      <c r="G57" s="9" t="s">
        <v>2768</v>
      </c>
      <c r="H57" s="9" t="s">
        <v>2769</v>
      </c>
      <c r="I57" s="9" t="s">
        <v>2763</v>
      </c>
      <c r="J57" s="9" t="s">
        <v>2770</v>
      </c>
      <c r="K57" s="205" t="s">
        <v>2771</v>
      </c>
      <c r="L57" s="9" t="s">
        <v>2772</v>
      </c>
      <c r="M57" s="32" t="s">
        <v>125</v>
      </c>
      <c r="N57" s="129" t="s">
        <v>2704</v>
      </c>
      <c r="O57" s="122" t="s">
        <v>2704</v>
      </c>
      <c r="P57" s="123" t="str">
        <f t="shared" si="0"/>
        <v>C1-2025</v>
      </c>
      <c r="Q57" s="123" t="str">
        <f t="shared" si="1"/>
        <v>T1-2025</v>
      </c>
      <c r="R57" s="124" t="s">
        <v>2705</v>
      </c>
      <c r="S57" s="123" t="s">
        <v>2735</v>
      </c>
      <c r="T57" s="123" t="s">
        <v>2724</v>
      </c>
      <c r="U57" s="162" t="s">
        <v>2708</v>
      </c>
      <c r="V57" s="162" t="s">
        <v>56</v>
      </c>
      <c r="W57" s="237" t="s">
        <v>125</v>
      </c>
      <c r="X57" s="173" t="s">
        <v>2709</v>
      </c>
    </row>
    <row r="58" spans="1:24" hidden="1">
      <c r="A58" s="161">
        <v>45692</v>
      </c>
      <c r="B58" s="130" t="s">
        <v>2879</v>
      </c>
      <c r="C58" s="122" t="s">
        <v>2548</v>
      </c>
      <c r="D58" s="136">
        <v>-9.67</v>
      </c>
      <c r="E58" s="120">
        <v>0.95960000000000001</v>
      </c>
      <c r="F58" s="121">
        <f>Tabla5109[[#This Row],[Original Amount]]*Tabla5109[[#This Row],[ER to EUR]]</f>
        <v>-9.2793320000000001</v>
      </c>
      <c r="G58" s="9" t="s">
        <v>2786</v>
      </c>
      <c r="H58" s="9" t="s">
        <v>2880</v>
      </c>
      <c r="I58" s="9" t="s">
        <v>2713</v>
      </c>
      <c r="J58" s="9" t="s">
        <v>2701</v>
      </c>
      <c r="K58" s="205" t="s">
        <v>2702</v>
      </c>
      <c r="L58" s="9" t="s">
        <v>2788</v>
      </c>
      <c r="M58" s="32" t="s">
        <v>125</v>
      </c>
      <c r="N58" s="129" t="s">
        <v>2704</v>
      </c>
      <c r="O58" s="122" t="s">
        <v>2704</v>
      </c>
      <c r="P58" s="123" t="str">
        <f t="shared" si="0"/>
        <v>C1-2025</v>
      </c>
      <c r="Q58" s="123" t="str">
        <f t="shared" si="1"/>
        <v>T1-2025</v>
      </c>
      <c r="R58" s="124" t="s">
        <v>2705</v>
      </c>
      <c r="S58" s="124" t="s">
        <v>2706</v>
      </c>
      <c r="T58" s="123" t="s">
        <v>2724</v>
      </c>
      <c r="U58" s="162" t="s">
        <v>2708</v>
      </c>
      <c r="V58" s="162" t="s">
        <v>56</v>
      </c>
      <c r="W58" s="237" t="s">
        <v>125</v>
      </c>
      <c r="X58" s="173" t="s">
        <v>2709</v>
      </c>
    </row>
    <row r="59" spans="1:24" hidden="1">
      <c r="A59" s="161">
        <v>45693</v>
      </c>
      <c r="B59" s="117" t="s">
        <v>2881</v>
      </c>
      <c r="C59" s="129" t="s">
        <v>2697</v>
      </c>
      <c r="D59" s="210">
        <v>-337.5</v>
      </c>
      <c r="E59" s="120">
        <v>1</v>
      </c>
      <c r="F59" s="121">
        <f>Tabla5109[[#This Row],[Original Amount]]*Tabla5109[[#This Row],[ER to EUR]]</f>
        <v>-337.5</v>
      </c>
      <c r="G59" s="9" t="s">
        <v>2847</v>
      </c>
      <c r="H59" s="73" t="s">
        <v>2848</v>
      </c>
      <c r="I59" s="9" t="s">
        <v>2727</v>
      </c>
      <c r="J59" s="9" t="s">
        <v>2723</v>
      </c>
      <c r="K59" s="205" t="s">
        <v>2747</v>
      </c>
      <c r="L59" s="9" t="s">
        <v>2793</v>
      </c>
      <c r="M59" s="32" t="s">
        <v>125</v>
      </c>
      <c r="N59" s="129" t="s">
        <v>2704</v>
      </c>
      <c r="O59" s="122" t="s">
        <v>2704</v>
      </c>
      <c r="P59" s="123" t="str">
        <f t="shared" si="0"/>
        <v>C1-2025</v>
      </c>
      <c r="Q59" s="123" t="str">
        <f t="shared" si="1"/>
        <v>T1-2025</v>
      </c>
      <c r="R59" s="124" t="s">
        <v>2705</v>
      </c>
      <c r="S59" s="124" t="s">
        <v>2706</v>
      </c>
      <c r="T59" s="123" t="s">
        <v>2707</v>
      </c>
      <c r="U59" s="162" t="s">
        <v>2708</v>
      </c>
      <c r="V59" s="162" t="s">
        <v>54</v>
      </c>
      <c r="W59" s="237" t="s">
        <v>125</v>
      </c>
      <c r="X59" s="173" t="s">
        <v>2709</v>
      </c>
    </row>
    <row r="60" spans="1:24" hidden="1">
      <c r="A60" s="161">
        <v>45693</v>
      </c>
      <c r="B60" s="117" t="s">
        <v>2882</v>
      </c>
      <c r="C60" s="129" t="s">
        <v>2697</v>
      </c>
      <c r="D60" s="210">
        <v>-20.13</v>
      </c>
      <c r="E60" s="120">
        <v>1</v>
      </c>
      <c r="F60" s="121">
        <f>Tabla5109[[#This Row],[Original Amount]]*Tabla5109[[#This Row],[ER to EUR]]</f>
        <v>-20.13</v>
      </c>
      <c r="G60" s="9" t="s">
        <v>2737</v>
      </c>
      <c r="H60" s="73" t="s">
        <v>2738</v>
      </c>
      <c r="I60" s="9" t="s">
        <v>2739</v>
      </c>
      <c r="J60" s="9" t="s">
        <v>2701</v>
      </c>
      <c r="K60" s="205" t="s">
        <v>2702</v>
      </c>
      <c r="L60" s="9" t="s">
        <v>2740</v>
      </c>
      <c r="M60" s="32" t="s">
        <v>125</v>
      </c>
      <c r="N60" s="129" t="s">
        <v>2704</v>
      </c>
      <c r="O60" s="122" t="s">
        <v>2704</v>
      </c>
      <c r="P60" s="123" t="str">
        <f t="shared" si="0"/>
        <v>C1-2025</v>
      </c>
      <c r="Q60" s="123" t="str">
        <f t="shared" si="1"/>
        <v>T1-2025</v>
      </c>
      <c r="R60" s="124" t="s">
        <v>2741</v>
      </c>
      <c r="S60" s="123" t="s">
        <v>2723</v>
      </c>
      <c r="T60" s="123" t="s">
        <v>2724</v>
      </c>
      <c r="U60" s="162" t="s">
        <v>2708</v>
      </c>
      <c r="V60" s="162" t="s">
        <v>54</v>
      </c>
      <c r="W60" s="237" t="s">
        <v>125</v>
      </c>
      <c r="X60" s="173" t="s">
        <v>2709</v>
      </c>
    </row>
    <row r="61" spans="1:24" hidden="1">
      <c r="A61" s="161">
        <v>45694</v>
      </c>
      <c r="B61" s="132">
        <v>1241</v>
      </c>
      <c r="C61" s="129" t="s">
        <v>2697</v>
      </c>
      <c r="D61" s="210">
        <v>-46.41</v>
      </c>
      <c r="E61" s="120">
        <v>1</v>
      </c>
      <c r="F61" s="121">
        <f>Tabla5109[[#This Row],[Original Amount]]*Tabla5109[[#This Row],[ER to EUR]]</f>
        <v>-46.41</v>
      </c>
      <c r="G61" s="9" t="s">
        <v>2777</v>
      </c>
      <c r="H61" s="9" t="s">
        <v>2778</v>
      </c>
      <c r="I61" s="9" t="s">
        <v>2779</v>
      </c>
      <c r="J61" s="9" t="s">
        <v>2714</v>
      </c>
      <c r="K61" s="205" t="s">
        <v>2780</v>
      </c>
      <c r="L61" s="9" t="s">
        <v>2716</v>
      </c>
      <c r="M61" s="32" t="s">
        <v>125</v>
      </c>
      <c r="N61" s="129" t="s">
        <v>2704</v>
      </c>
      <c r="O61" s="122" t="s">
        <v>2704</v>
      </c>
      <c r="P61" s="123" t="str">
        <f t="shared" si="0"/>
        <v>C1-2025</v>
      </c>
      <c r="Q61" s="123" t="str">
        <f t="shared" si="1"/>
        <v>T1-2025</v>
      </c>
      <c r="R61" s="124" t="s">
        <v>2705</v>
      </c>
      <c r="S61" s="123" t="s">
        <v>2735</v>
      </c>
      <c r="T61" s="123" t="s">
        <v>2724</v>
      </c>
      <c r="U61" s="162" t="s">
        <v>2708</v>
      </c>
      <c r="V61" s="162" t="s">
        <v>54</v>
      </c>
      <c r="W61" s="237" t="s">
        <v>125</v>
      </c>
      <c r="X61" s="173" t="s">
        <v>2709</v>
      </c>
    </row>
    <row r="62" spans="1:24" hidden="1">
      <c r="A62" s="161">
        <v>45694</v>
      </c>
      <c r="B62" s="133" t="s">
        <v>2883</v>
      </c>
      <c r="C62" s="122" t="s">
        <v>2697</v>
      </c>
      <c r="D62" s="210">
        <v>-2.38</v>
      </c>
      <c r="E62" s="120">
        <v>1</v>
      </c>
      <c r="F62" s="121">
        <f>Tabla5109[[#This Row],[Original Amount]]*Tabla5109[[#This Row],[ER to EUR]]</f>
        <v>-2.38</v>
      </c>
      <c r="G62" s="9" t="s">
        <v>2884</v>
      </c>
      <c r="H62" s="73" t="s">
        <v>2885</v>
      </c>
      <c r="I62" s="9" t="s">
        <v>2779</v>
      </c>
      <c r="J62" s="9" t="s">
        <v>2723</v>
      </c>
      <c r="K62" s="205" t="s">
        <v>2792</v>
      </c>
      <c r="L62" s="9" t="s">
        <v>2793</v>
      </c>
      <c r="M62" s="32" t="s">
        <v>125</v>
      </c>
      <c r="N62" s="129" t="s">
        <v>2704</v>
      </c>
      <c r="O62" s="122" t="s">
        <v>2704</v>
      </c>
      <c r="P62" s="123" t="str">
        <f t="shared" si="0"/>
        <v>C1-2025</v>
      </c>
      <c r="Q62" s="123" t="str">
        <f t="shared" si="1"/>
        <v>T1-2025</v>
      </c>
      <c r="R62" s="124" t="s">
        <v>2741</v>
      </c>
      <c r="S62" s="123" t="s">
        <v>2723</v>
      </c>
      <c r="T62" s="123" t="s">
        <v>2707</v>
      </c>
      <c r="U62" s="162" t="s">
        <v>2708</v>
      </c>
      <c r="V62" s="162" t="s">
        <v>54</v>
      </c>
      <c r="W62" s="237" t="s">
        <v>125</v>
      </c>
      <c r="X62" s="173" t="s">
        <v>2709</v>
      </c>
    </row>
    <row r="63" spans="1:24" hidden="1">
      <c r="A63" s="161">
        <v>45694</v>
      </c>
      <c r="B63" s="133" t="s">
        <v>2886</v>
      </c>
      <c r="C63" s="122" t="s">
        <v>2697</v>
      </c>
      <c r="D63" s="210">
        <v>-2.38</v>
      </c>
      <c r="E63" s="120">
        <v>1</v>
      </c>
      <c r="F63" s="121">
        <f>Tabla5109[[#This Row],[Original Amount]]*Tabla5109[[#This Row],[ER to EUR]]</f>
        <v>-2.38</v>
      </c>
      <c r="G63" s="9" t="s">
        <v>2884</v>
      </c>
      <c r="H63" s="73" t="s">
        <v>2885</v>
      </c>
      <c r="I63" s="9" t="s">
        <v>2779</v>
      </c>
      <c r="J63" s="9" t="s">
        <v>2723</v>
      </c>
      <c r="K63" s="205" t="s">
        <v>2792</v>
      </c>
      <c r="L63" s="9" t="s">
        <v>2793</v>
      </c>
      <c r="M63" s="32" t="s">
        <v>125</v>
      </c>
      <c r="N63" s="129" t="s">
        <v>2704</v>
      </c>
      <c r="O63" s="122" t="s">
        <v>2704</v>
      </c>
      <c r="P63" s="123" t="str">
        <f t="shared" si="0"/>
        <v>C1-2025</v>
      </c>
      <c r="Q63" s="123" t="str">
        <f t="shared" si="1"/>
        <v>T1-2025</v>
      </c>
      <c r="R63" s="124" t="s">
        <v>2741</v>
      </c>
      <c r="S63" s="123" t="s">
        <v>2723</v>
      </c>
      <c r="T63" s="123" t="s">
        <v>2707</v>
      </c>
      <c r="U63" s="162" t="s">
        <v>2708</v>
      </c>
      <c r="V63" s="162" t="s">
        <v>54</v>
      </c>
      <c r="W63" s="237" t="s">
        <v>125</v>
      </c>
      <c r="X63" s="173" t="s">
        <v>2709</v>
      </c>
    </row>
    <row r="64" spans="1:24" hidden="1">
      <c r="A64" s="161">
        <v>45695</v>
      </c>
      <c r="B64" s="125">
        <v>78169316535</v>
      </c>
      <c r="C64" s="122" t="s">
        <v>2697</v>
      </c>
      <c r="D64" s="210">
        <v>-82.64</v>
      </c>
      <c r="E64" s="120">
        <v>1</v>
      </c>
      <c r="F64" s="121">
        <f>Tabla5109[[#This Row],[Original Amount]]*Tabla5109[[#This Row],[ER to EUR]]</f>
        <v>-82.64</v>
      </c>
      <c r="G64" s="9" t="s">
        <v>2718</v>
      </c>
      <c r="H64" s="73" t="s">
        <v>2887</v>
      </c>
      <c r="I64" s="9" t="s">
        <v>2779</v>
      </c>
      <c r="J64" s="37" t="s">
        <v>2714</v>
      </c>
      <c r="K64" s="217" t="s">
        <v>2721</v>
      </c>
      <c r="L64" s="37" t="s">
        <v>2716</v>
      </c>
      <c r="M64" s="32" t="s">
        <v>125</v>
      </c>
      <c r="N64" s="156" t="s">
        <v>2704</v>
      </c>
      <c r="O64" s="158" t="s">
        <v>2704</v>
      </c>
      <c r="P64" s="123" t="str">
        <f t="shared" si="0"/>
        <v>C1-2025</v>
      </c>
      <c r="Q64" s="123" t="str">
        <f t="shared" si="1"/>
        <v>T1-2025</v>
      </c>
      <c r="R64" s="124" t="s">
        <v>2722</v>
      </c>
      <c r="S64" s="123" t="s">
        <v>2723</v>
      </c>
      <c r="T64" s="123" t="s">
        <v>2724</v>
      </c>
      <c r="U64" s="162" t="s">
        <v>2708</v>
      </c>
      <c r="V64" s="162" t="s">
        <v>54</v>
      </c>
      <c r="W64" s="237" t="s">
        <v>125</v>
      </c>
      <c r="X64" s="173" t="s">
        <v>2709</v>
      </c>
    </row>
    <row r="65" spans="1:24" hidden="1">
      <c r="A65" s="161">
        <v>45695</v>
      </c>
      <c r="B65" s="117" t="s">
        <v>2888</v>
      </c>
      <c r="C65" s="122" t="s">
        <v>2697</v>
      </c>
      <c r="D65" s="210">
        <v>-2.38</v>
      </c>
      <c r="E65" s="120">
        <v>1</v>
      </c>
      <c r="F65" s="121">
        <f>Tabla5109[[#This Row],[Original Amount]]*Tabla5109[[#This Row],[ER to EUR]]</f>
        <v>-2.38</v>
      </c>
      <c r="G65" s="9" t="s">
        <v>2884</v>
      </c>
      <c r="H65" s="73" t="s">
        <v>2885</v>
      </c>
      <c r="I65" s="9" t="s">
        <v>2779</v>
      </c>
      <c r="J65" s="9" t="s">
        <v>2723</v>
      </c>
      <c r="K65" s="205" t="s">
        <v>2792</v>
      </c>
      <c r="L65" s="9" t="s">
        <v>2793</v>
      </c>
      <c r="M65" s="32" t="s">
        <v>125</v>
      </c>
      <c r="N65" s="129" t="s">
        <v>2704</v>
      </c>
      <c r="O65" s="122" t="s">
        <v>2704</v>
      </c>
      <c r="P65" s="123" t="str">
        <f t="shared" si="0"/>
        <v>C1-2025</v>
      </c>
      <c r="Q65" s="123" t="str">
        <f t="shared" si="1"/>
        <v>T1-2025</v>
      </c>
      <c r="R65" s="124" t="s">
        <v>2741</v>
      </c>
      <c r="S65" s="123" t="s">
        <v>2723</v>
      </c>
      <c r="T65" s="123" t="s">
        <v>2707</v>
      </c>
      <c r="U65" s="162" t="s">
        <v>2708</v>
      </c>
      <c r="V65" s="162" t="s">
        <v>54</v>
      </c>
      <c r="W65" s="237" t="s">
        <v>125</v>
      </c>
      <c r="X65" s="173" t="s">
        <v>2709</v>
      </c>
    </row>
    <row r="66" spans="1:24" hidden="1">
      <c r="A66" s="161">
        <v>45695</v>
      </c>
      <c r="B66" s="117" t="s">
        <v>2889</v>
      </c>
      <c r="C66" s="122" t="s">
        <v>2697</v>
      </c>
      <c r="D66" s="210">
        <v>-3.57</v>
      </c>
      <c r="E66" s="120">
        <v>1</v>
      </c>
      <c r="F66" s="121">
        <f>Tabla5109[[#This Row],[Original Amount]]*Tabla5109[[#This Row],[ER to EUR]]</f>
        <v>-3.57</v>
      </c>
      <c r="G66" s="9" t="s">
        <v>2884</v>
      </c>
      <c r="H66" s="73" t="s">
        <v>2885</v>
      </c>
      <c r="I66" s="9" t="s">
        <v>2779</v>
      </c>
      <c r="J66" s="9" t="s">
        <v>2723</v>
      </c>
      <c r="K66" s="205" t="s">
        <v>2792</v>
      </c>
      <c r="L66" s="9" t="s">
        <v>2793</v>
      </c>
      <c r="M66" s="32" t="s">
        <v>125</v>
      </c>
      <c r="N66" s="129" t="s">
        <v>2704</v>
      </c>
      <c r="O66" s="122" t="s">
        <v>2704</v>
      </c>
      <c r="P66" s="123" t="str">
        <f t="shared" ref="P66:P129" si="2">"C"&amp;INT((MONTH(A66)-1)/4)+1&amp;"-"&amp;YEAR(A66)</f>
        <v>C1-2025</v>
      </c>
      <c r="Q66" s="123" t="str">
        <f t="shared" ref="Q66:Q129" si="3">"T"&amp;INT((MONTH(A66)-1)/3)+1&amp;"-"&amp;YEAR(A66)</f>
        <v>T1-2025</v>
      </c>
      <c r="R66" s="124" t="s">
        <v>2741</v>
      </c>
      <c r="S66" s="123" t="s">
        <v>2723</v>
      </c>
      <c r="T66" s="123" t="s">
        <v>2707</v>
      </c>
      <c r="U66" s="162" t="s">
        <v>2708</v>
      </c>
      <c r="V66" s="162" t="s">
        <v>54</v>
      </c>
      <c r="W66" s="237" t="s">
        <v>125</v>
      </c>
      <c r="X66" s="173" t="s">
        <v>2709</v>
      </c>
    </row>
    <row r="67" spans="1:24" hidden="1">
      <c r="A67" s="161">
        <v>45695</v>
      </c>
      <c r="B67" s="117" t="s">
        <v>2890</v>
      </c>
      <c r="C67" s="122" t="s">
        <v>2697</v>
      </c>
      <c r="D67" s="210">
        <v>-3.57</v>
      </c>
      <c r="E67" s="120">
        <v>1</v>
      </c>
      <c r="F67" s="121">
        <f>Tabla5109[[#This Row],[Original Amount]]*Tabla5109[[#This Row],[ER to EUR]]</f>
        <v>-3.57</v>
      </c>
      <c r="G67" s="9" t="s">
        <v>2884</v>
      </c>
      <c r="H67" s="73" t="s">
        <v>2885</v>
      </c>
      <c r="I67" s="9" t="s">
        <v>2779</v>
      </c>
      <c r="J67" s="9" t="s">
        <v>2723</v>
      </c>
      <c r="K67" s="205" t="s">
        <v>2792</v>
      </c>
      <c r="L67" s="9" t="s">
        <v>2793</v>
      </c>
      <c r="M67" s="32" t="s">
        <v>125</v>
      </c>
      <c r="N67" s="129" t="s">
        <v>2704</v>
      </c>
      <c r="O67" s="122" t="s">
        <v>2704</v>
      </c>
      <c r="P67" s="123" t="str">
        <f t="shared" si="2"/>
        <v>C1-2025</v>
      </c>
      <c r="Q67" s="123" t="str">
        <f t="shared" si="3"/>
        <v>T1-2025</v>
      </c>
      <c r="R67" s="124" t="s">
        <v>2741</v>
      </c>
      <c r="S67" s="123" t="s">
        <v>2723</v>
      </c>
      <c r="T67" s="123" t="s">
        <v>2707</v>
      </c>
      <c r="U67" s="162" t="s">
        <v>2708</v>
      </c>
      <c r="V67" s="162" t="s">
        <v>54</v>
      </c>
      <c r="W67" s="237" t="s">
        <v>125</v>
      </c>
      <c r="X67" s="173" t="s">
        <v>2709</v>
      </c>
    </row>
    <row r="68" spans="1:24" hidden="1">
      <c r="A68" s="161">
        <v>45695</v>
      </c>
      <c r="B68" s="117" t="s">
        <v>2891</v>
      </c>
      <c r="C68" s="122" t="s">
        <v>2697</v>
      </c>
      <c r="D68" s="210">
        <v>-3.51</v>
      </c>
      <c r="E68" s="120">
        <v>1</v>
      </c>
      <c r="F68" s="121">
        <f>Tabla5109[[#This Row],[Original Amount]]*Tabla5109[[#This Row],[ER to EUR]]</f>
        <v>-3.51</v>
      </c>
      <c r="G68" s="9" t="s">
        <v>2884</v>
      </c>
      <c r="H68" s="73" t="s">
        <v>2885</v>
      </c>
      <c r="I68" s="9" t="s">
        <v>2779</v>
      </c>
      <c r="J68" s="9" t="s">
        <v>2723</v>
      </c>
      <c r="K68" s="205" t="s">
        <v>2792</v>
      </c>
      <c r="L68" s="9" t="s">
        <v>2793</v>
      </c>
      <c r="M68" s="32" t="s">
        <v>125</v>
      </c>
      <c r="N68" s="129" t="s">
        <v>2704</v>
      </c>
      <c r="O68" s="122" t="s">
        <v>2704</v>
      </c>
      <c r="P68" s="123" t="str">
        <f t="shared" si="2"/>
        <v>C1-2025</v>
      </c>
      <c r="Q68" s="123" t="str">
        <f t="shared" si="3"/>
        <v>T1-2025</v>
      </c>
      <c r="R68" s="124" t="s">
        <v>2741</v>
      </c>
      <c r="S68" s="123" t="s">
        <v>2723</v>
      </c>
      <c r="T68" s="123" t="s">
        <v>2707</v>
      </c>
      <c r="U68" s="162" t="s">
        <v>2708</v>
      </c>
      <c r="V68" s="162" t="s">
        <v>54</v>
      </c>
      <c r="W68" s="237" t="s">
        <v>125</v>
      </c>
      <c r="X68" s="173" t="s">
        <v>2709</v>
      </c>
    </row>
    <row r="69" spans="1:24" hidden="1">
      <c r="A69" s="161">
        <v>45695</v>
      </c>
      <c r="B69" s="128" t="s">
        <v>2892</v>
      </c>
      <c r="C69" s="122" t="s">
        <v>2697</v>
      </c>
      <c r="D69" s="210">
        <v>-26.9</v>
      </c>
      <c r="E69" s="120">
        <v>1</v>
      </c>
      <c r="F69" s="121">
        <f>Tabla5109[[#This Row],[Original Amount]]*Tabla5109[[#This Row],[ER to EUR]]</f>
        <v>-26.9</v>
      </c>
      <c r="G69" s="9" t="s">
        <v>2839</v>
      </c>
      <c r="H69" s="9" t="s">
        <v>2840</v>
      </c>
      <c r="I69" s="9" t="s">
        <v>2784</v>
      </c>
      <c r="J69" s="9" t="s">
        <v>2701</v>
      </c>
      <c r="K69" s="205" t="s">
        <v>2702</v>
      </c>
      <c r="L69" s="9" t="s">
        <v>2703</v>
      </c>
      <c r="M69" s="32" t="s">
        <v>125</v>
      </c>
      <c r="N69" s="129" t="s">
        <v>2704</v>
      </c>
      <c r="O69" s="122" t="s">
        <v>2704</v>
      </c>
      <c r="P69" s="123" t="str">
        <f t="shared" si="2"/>
        <v>C1-2025</v>
      </c>
      <c r="Q69" s="123" t="str">
        <f t="shared" si="3"/>
        <v>T1-2025</v>
      </c>
      <c r="R69" s="124" t="s">
        <v>2705</v>
      </c>
      <c r="S69" s="124" t="s">
        <v>2706</v>
      </c>
      <c r="T69" s="123" t="s">
        <v>2707</v>
      </c>
      <c r="U69" s="162" t="s">
        <v>2708</v>
      </c>
      <c r="V69" s="162" t="s">
        <v>56</v>
      </c>
      <c r="W69" s="237" t="s">
        <v>125</v>
      </c>
      <c r="X69" s="173" t="s">
        <v>2709</v>
      </c>
    </row>
    <row r="70" spans="1:24" hidden="1">
      <c r="A70" s="161">
        <v>45696</v>
      </c>
      <c r="B70" s="117" t="s">
        <v>2893</v>
      </c>
      <c r="C70" s="122" t="s">
        <v>2697</v>
      </c>
      <c r="D70" s="210">
        <v>-14.28</v>
      </c>
      <c r="E70" s="120">
        <v>1</v>
      </c>
      <c r="F70" s="121">
        <f>Tabla5109[[#This Row],[Original Amount]]*Tabla5109[[#This Row],[ER to EUR]]</f>
        <v>-14.28</v>
      </c>
      <c r="G70" s="9" t="s">
        <v>2884</v>
      </c>
      <c r="H70" s="73" t="s">
        <v>2885</v>
      </c>
      <c r="I70" s="9" t="s">
        <v>2779</v>
      </c>
      <c r="J70" s="9" t="s">
        <v>2723</v>
      </c>
      <c r="K70" s="205" t="s">
        <v>2792</v>
      </c>
      <c r="L70" s="9" t="s">
        <v>2793</v>
      </c>
      <c r="M70" s="32" t="s">
        <v>125</v>
      </c>
      <c r="N70" s="129" t="s">
        <v>2704</v>
      </c>
      <c r="O70" s="122" t="s">
        <v>2704</v>
      </c>
      <c r="P70" s="123" t="str">
        <f t="shared" si="2"/>
        <v>C1-2025</v>
      </c>
      <c r="Q70" s="123" t="str">
        <f t="shared" si="3"/>
        <v>T1-2025</v>
      </c>
      <c r="R70" s="124" t="s">
        <v>2741</v>
      </c>
      <c r="S70" s="123" t="s">
        <v>2723</v>
      </c>
      <c r="T70" s="123" t="s">
        <v>2707</v>
      </c>
      <c r="U70" s="162" t="s">
        <v>2708</v>
      </c>
      <c r="V70" s="162" t="s">
        <v>54</v>
      </c>
      <c r="W70" s="237" t="s">
        <v>125</v>
      </c>
      <c r="X70" s="173" t="s">
        <v>2709</v>
      </c>
    </row>
    <row r="71" spans="1:24" hidden="1">
      <c r="A71" s="161">
        <v>45696</v>
      </c>
      <c r="B71" s="117" t="s">
        <v>2894</v>
      </c>
      <c r="C71" s="122" t="s">
        <v>2697</v>
      </c>
      <c r="D71" s="210">
        <v>-5.95</v>
      </c>
      <c r="E71" s="120">
        <v>1</v>
      </c>
      <c r="F71" s="121">
        <f>Tabla5109[[#This Row],[Original Amount]]*Tabla5109[[#This Row],[ER to EUR]]</f>
        <v>-5.95</v>
      </c>
      <c r="G71" s="9" t="s">
        <v>2884</v>
      </c>
      <c r="H71" s="73" t="s">
        <v>2885</v>
      </c>
      <c r="I71" s="9" t="s">
        <v>2779</v>
      </c>
      <c r="J71" s="9" t="s">
        <v>2723</v>
      </c>
      <c r="K71" s="205" t="s">
        <v>2792</v>
      </c>
      <c r="L71" s="9" t="s">
        <v>2793</v>
      </c>
      <c r="M71" s="32" t="s">
        <v>125</v>
      </c>
      <c r="N71" s="129" t="s">
        <v>2704</v>
      </c>
      <c r="O71" s="122" t="s">
        <v>2704</v>
      </c>
      <c r="P71" s="123" t="str">
        <f t="shared" si="2"/>
        <v>C1-2025</v>
      </c>
      <c r="Q71" s="123" t="str">
        <f t="shared" si="3"/>
        <v>T1-2025</v>
      </c>
      <c r="R71" s="124" t="s">
        <v>2741</v>
      </c>
      <c r="S71" s="123" t="s">
        <v>2723</v>
      </c>
      <c r="T71" s="123" t="s">
        <v>2707</v>
      </c>
      <c r="U71" s="162" t="s">
        <v>2708</v>
      </c>
      <c r="V71" s="162" t="s">
        <v>54</v>
      </c>
      <c r="W71" s="237" t="s">
        <v>125</v>
      </c>
      <c r="X71" s="173" t="s">
        <v>2709</v>
      </c>
    </row>
    <row r="72" spans="1:24" hidden="1">
      <c r="A72" s="161">
        <v>45696</v>
      </c>
      <c r="B72" s="117" t="s">
        <v>2895</v>
      </c>
      <c r="C72" s="122" t="s">
        <v>2697</v>
      </c>
      <c r="D72" s="210">
        <v>-9.52</v>
      </c>
      <c r="E72" s="120">
        <v>1</v>
      </c>
      <c r="F72" s="121">
        <f>Tabla5109[[#This Row],[Original Amount]]*Tabla5109[[#This Row],[ER to EUR]]</f>
        <v>-9.52</v>
      </c>
      <c r="G72" s="9" t="s">
        <v>2884</v>
      </c>
      <c r="H72" s="73" t="s">
        <v>2885</v>
      </c>
      <c r="I72" s="9" t="s">
        <v>2779</v>
      </c>
      <c r="J72" s="9" t="s">
        <v>2723</v>
      </c>
      <c r="K72" s="205" t="s">
        <v>2792</v>
      </c>
      <c r="L72" s="9" t="s">
        <v>2793</v>
      </c>
      <c r="M72" s="32" t="s">
        <v>125</v>
      </c>
      <c r="N72" s="129" t="s">
        <v>2704</v>
      </c>
      <c r="O72" s="122" t="s">
        <v>2704</v>
      </c>
      <c r="P72" s="123" t="str">
        <f t="shared" si="2"/>
        <v>C1-2025</v>
      </c>
      <c r="Q72" s="123" t="str">
        <f t="shared" si="3"/>
        <v>T1-2025</v>
      </c>
      <c r="R72" s="124" t="s">
        <v>2741</v>
      </c>
      <c r="S72" s="123" t="s">
        <v>2723</v>
      </c>
      <c r="T72" s="123" t="s">
        <v>2707</v>
      </c>
      <c r="U72" s="162" t="s">
        <v>2708</v>
      </c>
      <c r="V72" s="162" t="s">
        <v>54</v>
      </c>
      <c r="W72" s="237" t="s">
        <v>125</v>
      </c>
      <c r="X72" s="173" t="s">
        <v>2709</v>
      </c>
    </row>
    <row r="73" spans="1:24" hidden="1">
      <c r="A73" s="161">
        <v>45696</v>
      </c>
      <c r="B73" s="133" t="s">
        <v>2896</v>
      </c>
      <c r="C73" s="32" t="s">
        <v>2697</v>
      </c>
      <c r="D73" s="210">
        <v>-59.49</v>
      </c>
      <c r="E73" s="120">
        <v>1</v>
      </c>
      <c r="F73" s="121">
        <f>Tabla5109[[#This Row],[Original Amount]]*Tabla5109[[#This Row],[ER to EUR]]</f>
        <v>-59.49</v>
      </c>
      <c r="G73" s="9" t="s">
        <v>2830</v>
      </c>
      <c r="H73" s="9" t="s">
        <v>2897</v>
      </c>
      <c r="I73" s="9" t="s">
        <v>2739</v>
      </c>
      <c r="J73" s="9" t="s">
        <v>2817</v>
      </c>
      <c r="K73" s="205" t="s">
        <v>2702</v>
      </c>
      <c r="L73" s="9" t="s">
        <v>2818</v>
      </c>
      <c r="M73" s="32" t="s">
        <v>125</v>
      </c>
      <c r="N73" s="122" t="s">
        <v>2704</v>
      </c>
      <c r="O73" s="129" t="s">
        <v>2704</v>
      </c>
      <c r="P73" s="123" t="str">
        <f t="shared" si="2"/>
        <v>C1-2025</v>
      </c>
      <c r="Q73" s="123" t="str">
        <f t="shared" si="3"/>
        <v>T1-2025</v>
      </c>
      <c r="R73" s="124" t="s">
        <v>2722</v>
      </c>
      <c r="S73" s="123" t="s">
        <v>2723</v>
      </c>
      <c r="T73" s="123" t="s">
        <v>2724</v>
      </c>
      <c r="U73" s="162" t="s">
        <v>2708</v>
      </c>
      <c r="V73" s="162" t="s">
        <v>54</v>
      </c>
      <c r="W73" s="237" t="s">
        <v>125</v>
      </c>
      <c r="X73" s="173" t="s">
        <v>2709</v>
      </c>
    </row>
    <row r="74" spans="1:24" hidden="1">
      <c r="A74" s="161">
        <v>45697</v>
      </c>
      <c r="B74" s="133" t="s">
        <v>2898</v>
      </c>
      <c r="C74" s="122" t="s">
        <v>2697</v>
      </c>
      <c r="D74" s="210">
        <v>-0.09</v>
      </c>
      <c r="E74" s="120">
        <v>1</v>
      </c>
      <c r="F74" s="121">
        <f>Tabla5109[[#This Row],[Original Amount]]*Tabla5109[[#This Row],[ER to EUR]]</f>
        <v>-0.09</v>
      </c>
      <c r="G74" s="9" t="s">
        <v>2884</v>
      </c>
      <c r="H74" s="73" t="s">
        <v>2885</v>
      </c>
      <c r="I74" s="9" t="s">
        <v>2899</v>
      </c>
      <c r="J74" s="9" t="s">
        <v>2723</v>
      </c>
      <c r="K74" s="205" t="s">
        <v>2792</v>
      </c>
      <c r="L74" s="9" t="s">
        <v>2793</v>
      </c>
      <c r="M74" s="32" t="s">
        <v>125</v>
      </c>
      <c r="N74" s="129" t="s">
        <v>2704</v>
      </c>
      <c r="O74" s="122" t="s">
        <v>2704</v>
      </c>
      <c r="P74" s="123" t="str">
        <f t="shared" si="2"/>
        <v>C1-2025</v>
      </c>
      <c r="Q74" s="123" t="str">
        <f t="shared" si="3"/>
        <v>T1-2025</v>
      </c>
      <c r="R74" s="124" t="s">
        <v>2741</v>
      </c>
      <c r="S74" s="123" t="s">
        <v>2723</v>
      </c>
      <c r="T74" s="123" t="s">
        <v>2707</v>
      </c>
      <c r="U74" s="162" t="s">
        <v>2708</v>
      </c>
      <c r="V74" s="162" t="s">
        <v>54</v>
      </c>
      <c r="W74" s="237" t="s">
        <v>125</v>
      </c>
      <c r="X74" s="173" t="s">
        <v>2709</v>
      </c>
    </row>
    <row r="75" spans="1:24" hidden="1">
      <c r="A75" s="161">
        <v>45697</v>
      </c>
      <c r="B75" s="133" t="s">
        <v>2900</v>
      </c>
      <c r="C75" s="122" t="s">
        <v>2697</v>
      </c>
      <c r="D75" s="210">
        <v>-8</v>
      </c>
      <c r="E75" s="120">
        <v>1</v>
      </c>
      <c r="F75" s="121">
        <f>Tabla5109[[#This Row],[Original Amount]]*Tabla5109[[#This Row],[ER to EUR]]</f>
        <v>-8</v>
      </c>
      <c r="G75" s="9" t="s">
        <v>2884</v>
      </c>
      <c r="H75" s="73" t="s">
        <v>2885</v>
      </c>
      <c r="I75" s="9" t="s">
        <v>2899</v>
      </c>
      <c r="J75" s="9" t="s">
        <v>2723</v>
      </c>
      <c r="K75" s="205" t="s">
        <v>2792</v>
      </c>
      <c r="L75" s="9" t="s">
        <v>2793</v>
      </c>
      <c r="M75" s="32" t="s">
        <v>125</v>
      </c>
      <c r="N75" s="129" t="s">
        <v>2704</v>
      </c>
      <c r="O75" s="122" t="s">
        <v>2704</v>
      </c>
      <c r="P75" s="123" t="str">
        <f t="shared" si="2"/>
        <v>C1-2025</v>
      </c>
      <c r="Q75" s="123" t="str">
        <f t="shared" si="3"/>
        <v>T1-2025</v>
      </c>
      <c r="R75" s="124" t="s">
        <v>2741</v>
      </c>
      <c r="S75" s="123" t="s">
        <v>2723</v>
      </c>
      <c r="T75" s="123" t="s">
        <v>2707</v>
      </c>
      <c r="U75" s="162" t="s">
        <v>2708</v>
      </c>
      <c r="V75" s="162" t="s">
        <v>54</v>
      </c>
      <c r="W75" s="237" t="s">
        <v>125</v>
      </c>
      <c r="X75" s="173" t="s">
        <v>2709</v>
      </c>
    </row>
    <row r="76" spans="1:24" hidden="1">
      <c r="A76" s="161">
        <v>45697</v>
      </c>
      <c r="B76" s="128" t="s">
        <v>2901</v>
      </c>
      <c r="C76" s="122" t="s">
        <v>2697</v>
      </c>
      <c r="D76" s="210">
        <v>-970</v>
      </c>
      <c r="E76" s="120">
        <v>1</v>
      </c>
      <c r="F76" s="121">
        <f>Tabla5109[[#This Row],[Original Amount]]*Tabla5109[[#This Row],[ER to EUR]]</f>
        <v>-970</v>
      </c>
      <c r="G76" s="9" t="s">
        <v>2884</v>
      </c>
      <c r="H76" s="73" t="s">
        <v>2885</v>
      </c>
      <c r="I76" s="9" t="s">
        <v>2779</v>
      </c>
      <c r="J76" s="9" t="s">
        <v>2723</v>
      </c>
      <c r="K76" s="205" t="s">
        <v>2792</v>
      </c>
      <c r="L76" s="9" t="s">
        <v>2793</v>
      </c>
      <c r="M76" s="32" t="s">
        <v>125</v>
      </c>
      <c r="N76" s="129" t="s">
        <v>2704</v>
      </c>
      <c r="O76" s="122" t="s">
        <v>2704</v>
      </c>
      <c r="P76" s="123" t="str">
        <f t="shared" si="2"/>
        <v>C1-2025</v>
      </c>
      <c r="Q76" s="123" t="str">
        <f t="shared" si="3"/>
        <v>T1-2025</v>
      </c>
      <c r="R76" s="124" t="s">
        <v>2741</v>
      </c>
      <c r="S76" s="123" t="s">
        <v>2723</v>
      </c>
      <c r="T76" s="123" t="s">
        <v>2707</v>
      </c>
      <c r="U76" s="162" t="s">
        <v>2708</v>
      </c>
      <c r="V76" s="162" t="s">
        <v>54</v>
      </c>
      <c r="W76" s="237" t="s">
        <v>125</v>
      </c>
      <c r="X76" s="173" t="s">
        <v>2709</v>
      </c>
    </row>
    <row r="77" spans="1:24" hidden="1">
      <c r="A77" s="161">
        <v>45697</v>
      </c>
      <c r="B77" s="133" t="s">
        <v>2902</v>
      </c>
      <c r="C77" s="122" t="s">
        <v>2697</v>
      </c>
      <c r="D77" s="210">
        <v>-0.08</v>
      </c>
      <c r="E77" s="120">
        <v>1</v>
      </c>
      <c r="F77" s="121">
        <f>Tabla5109[[#This Row],[Original Amount]]*Tabla5109[[#This Row],[ER to EUR]]</f>
        <v>-0.08</v>
      </c>
      <c r="G77" s="9" t="s">
        <v>2884</v>
      </c>
      <c r="H77" s="73" t="s">
        <v>2885</v>
      </c>
      <c r="I77" s="9" t="s">
        <v>2899</v>
      </c>
      <c r="J77" s="9" t="s">
        <v>2723</v>
      </c>
      <c r="K77" s="205" t="s">
        <v>2792</v>
      </c>
      <c r="L77" s="9" t="s">
        <v>2793</v>
      </c>
      <c r="M77" s="32" t="s">
        <v>125</v>
      </c>
      <c r="N77" s="129" t="s">
        <v>2704</v>
      </c>
      <c r="O77" s="122" t="s">
        <v>2704</v>
      </c>
      <c r="P77" s="123" t="str">
        <f t="shared" si="2"/>
        <v>C1-2025</v>
      </c>
      <c r="Q77" s="123" t="str">
        <f t="shared" si="3"/>
        <v>T1-2025</v>
      </c>
      <c r="R77" s="124" t="s">
        <v>2741</v>
      </c>
      <c r="S77" s="123" t="s">
        <v>2723</v>
      </c>
      <c r="T77" s="123" t="s">
        <v>2707</v>
      </c>
      <c r="U77" s="162" t="s">
        <v>2708</v>
      </c>
      <c r="V77" s="162" t="s">
        <v>54</v>
      </c>
      <c r="W77" s="237" t="s">
        <v>125</v>
      </c>
      <c r="X77" s="173" t="s">
        <v>2709</v>
      </c>
    </row>
    <row r="78" spans="1:24" hidden="1">
      <c r="A78" s="161">
        <v>45697</v>
      </c>
      <c r="B78" s="133" t="s">
        <v>2903</v>
      </c>
      <c r="C78" s="122" t="s">
        <v>2697</v>
      </c>
      <c r="D78" s="210">
        <v>-2.15</v>
      </c>
      <c r="E78" s="120">
        <v>1</v>
      </c>
      <c r="F78" s="121">
        <f>Tabla5109[[#This Row],[Original Amount]]*Tabla5109[[#This Row],[ER to EUR]]</f>
        <v>-2.15</v>
      </c>
      <c r="G78" s="9" t="s">
        <v>2884</v>
      </c>
      <c r="H78" s="73" t="s">
        <v>2885</v>
      </c>
      <c r="I78" s="9" t="s">
        <v>2899</v>
      </c>
      <c r="J78" s="9" t="s">
        <v>2723</v>
      </c>
      <c r="K78" s="205" t="s">
        <v>2792</v>
      </c>
      <c r="L78" s="9" t="s">
        <v>2793</v>
      </c>
      <c r="M78" s="32" t="s">
        <v>125</v>
      </c>
      <c r="N78" s="129" t="s">
        <v>2704</v>
      </c>
      <c r="O78" s="122" t="s">
        <v>2704</v>
      </c>
      <c r="P78" s="123" t="str">
        <f t="shared" si="2"/>
        <v>C1-2025</v>
      </c>
      <c r="Q78" s="123" t="str">
        <f t="shared" si="3"/>
        <v>T1-2025</v>
      </c>
      <c r="R78" s="124" t="s">
        <v>2741</v>
      </c>
      <c r="S78" s="123" t="s">
        <v>2723</v>
      </c>
      <c r="T78" s="123" t="s">
        <v>2707</v>
      </c>
      <c r="U78" s="162" t="s">
        <v>2708</v>
      </c>
      <c r="V78" s="162" t="s">
        <v>54</v>
      </c>
      <c r="W78" s="237" t="s">
        <v>125</v>
      </c>
      <c r="X78" s="173" t="s">
        <v>2709</v>
      </c>
    </row>
    <row r="79" spans="1:24" hidden="1">
      <c r="A79" s="161">
        <v>45697</v>
      </c>
      <c r="B79" s="133" t="s">
        <v>2904</v>
      </c>
      <c r="C79" s="122" t="s">
        <v>2697</v>
      </c>
      <c r="D79" s="210">
        <v>-7.0000000000000007E-2</v>
      </c>
      <c r="E79" s="120">
        <v>1</v>
      </c>
      <c r="F79" s="121">
        <f>Tabla5109[[#This Row],[Original Amount]]*Tabla5109[[#This Row],[ER to EUR]]</f>
        <v>-7.0000000000000007E-2</v>
      </c>
      <c r="G79" s="9" t="s">
        <v>2884</v>
      </c>
      <c r="H79" s="73" t="s">
        <v>2885</v>
      </c>
      <c r="I79" s="9" t="s">
        <v>2899</v>
      </c>
      <c r="J79" s="9" t="s">
        <v>2723</v>
      </c>
      <c r="K79" s="205" t="s">
        <v>2792</v>
      </c>
      <c r="L79" s="9" t="s">
        <v>2793</v>
      </c>
      <c r="M79" s="32" t="s">
        <v>125</v>
      </c>
      <c r="N79" s="129" t="s">
        <v>2704</v>
      </c>
      <c r="O79" s="122" t="s">
        <v>2704</v>
      </c>
      <c r="P79" s="123" t="str">
        <f t="shared" si="2"/>
        <v>C1-2025</v>
      </c>
      <c r="Q79" s="123" t="str">
        <f t="shared" si="3"/>
        <v>T1-2025</v>
      </c>
      <c r="R79" s="124" t="s">
        <v>2741</v>
      </c>
      <c r="S79" s="123" t="s">
        <v>2723</v>
      </c>
      <c r="T79" s="123" t="s">
        <v>2707</v>
      </c>
      <c r="U79" s="162" t="s">
        <v>2708</v>
      </c>
      <c r="V79" s="162" t="s">
        <v>54</v>
      </c>
      <c r="W79" s="237" t="s">
        <v>125</v>
      </c>
      <c r="X79" s="173" t="s">
        <v>2709</v>
      </c>
    </row>
    <row r="80" spans="1:24" hidden="1">
      <c r="A80" s="161">
        <v>45697</v>
      </c>
      <c r="B80" s="133" t="s">
        <v>2905</v>
      </c>
      <c r="C80" s="122" t="s">
        <v>2697</v>
      </c>
      <c r="D80" s="210">
        <v>-5</v>
      </c>
      <c r="E80" s="120">
        <v>1</v>
      </c>
      <c r="F80" s="121">
        <f>Tabla5109[[#This Row],[Original Amount]]*Tabla5109[[#This Row],[ER to EUR]]</f>
        <v>-5</v>
      </c>
      <c r="G80" s="9" t="s">
        <v>2884</v>
      </c>
      <c r="H80" s="73" t="s">
        <v>2885</v>
      </c>
      <c r="I80" s="9" t="s">
        <v>2899</v>
      </c>
      <c r="J80" s="9" t="s">
        <v>2723</v>
      </c>
      <c r="K80" s="205" t="s">
        <v>2792</v>
      </c>
      <c r="L80" s="9" t="s">
        <v>2793</v>
      </c>
      <c r="M80" s="32" t="s">
        <v>125</v>
      </c>
      <c r="N80" s="129" t="s">
        <v>2704</v>
      </c>
      <c r="O80" s="122" t="s">
        <v>2704</v>
      </c>
      <c r="P80" s="123" t="str">
        <f t="shared" si="2"/>
        <v>C1-2025</v>
      </c>
      <c r="Q80" s="123" t="str">
        <f t="shared" si="3"/>
        <v>T1-2025</v>
      </c>
      <c r="R80" s="124" t="s">
        <v>2741</v>
      </c>
      <c r="S80" s="123" t="s">
        <v>2723</v>
      </c>
      <c r="T80" s="123" t="s">
        <v>2707</v>
      </c>
      <c r="U80" s="162" t="s">
        <v>2708</v>
      </c>
      <c r="V80" s="162" t="s">
        <v>54</v>
      </c>
      <c r="W80" s="237" t="s">
        <v>125</v>
      </c>
      <c r="X80" s="173" t="s">
        <v>2709</v>
      </c>
    </row>
    <row r="81" spans="1:24" hidden="1">
      <c r="A81" s="161">
        <v>45697</v>
      </c>
      <c r="B81" s="133" t="s">
        <v>2906</v>
      </c>
      <c r="C81" s="122" t="s">
        <v>2697</v>
      </c>
      <c r="D81" s="210">
        <v>-0.17</v>
      </c>
      <c r="E81" s="120">
        <v>1</v>
      </c>
      <c r="F81" s="121">
        <f>Tabla5109[[#This Row],[Original Amount]]*Tabla5109[[#This Row],[ER to EUR]]</f>
        <v>-0.17</v>
      </c>
      <c r="G81" s="9" t="s">
        <v>2884</v>
      </c>
      <c r="H81" s="73" t="s">
        <v>2885</v>
      </c>
      <c r="I81" s="9" t="s">
        <v>2899</v>
      </c>
      <c r="J81" s="9" t="s">
        <v>2723</v>
      </c>
      <c r="K81" s="205" t="s">
        <v>2792</v>
      </c>
      <c r="L81" s="9" t="s">
        <v>2793</v>
      </c>
      <c r="M81" s="32" t="s">
        <v>125</v>
      </c>
      <c r="N81" s="129" t="s">
        <v>2704</v>
      </c>
      <c r="O81" s="122" t="s">
        <v>2704</v>
      </c>
      <c r="P81" s="123" t="str">
        <f t="shared" si="2"/>
        <v>C1-2025</v>
      </c>
      <c r="Q81" s="123" t="str">
        <f t="shared" si="3"/>
        <v>T1-2025</v>
      </c>
      <c r="R81" s="124" t="s">
        <v>2741</v>
      </c>
      <c r="S81" s="123" t="s">
        <v>2723</v>
      </c>
      <c r="T81" s="123" t="s">
        <v>2707</v>
      </c>
      <c r="U81" s="162" t="s">
        <v>2708</v>
      </c>
      <c r="V81" s="162" t="s">
        <v>54</v>
      </c>
      <c r="W81" s="237" t="s">
        <v>125</v>
      </c>
      <c r="X81" s="173" t="s">
        <v>2709</v>
      </c>
    </row>
    <row r="82" spans="1:24" hidden="1">
      <c r="A82" s="161">
        <v>45697</v>
      </c>
      <c r="B82" s="133" t="s">
        <v>2907</v>
      </c>
      <c r="C82" s="122" t="s">
        <v>2697</v>
      </c>
      <c r="D82" s="210">
        <v>-0.04</v>
      </c>
      <c r="E82" s="120">
        <v>1</v>
      </c>
      <c r="F82" s="121">
        <f>Tabla5109[[#This Row],[Original Amount]]*Tabla5109[[#This Row],[ER to EUR]]</f>
        <v>-0.04</v>
      </c>
      <c r="G82" s="9" t="s">
        <v>2884</v>
      </c>
      <c r="H82" s="73" t="s">
        <v>2885</v>
      </c>
      <c r="I82" s="9" t="s">
        <v>2899</v>
      </c>
      <c r="J82" s="9" t="s">
        <v>2723</v>
      </c>
      <c r="K82" s="205" t="s">
        <v>2792</v>
      </c>
      <c r="L82" s="9" t="s">
        <v>2793</v>
      </c>
      <c r="M82" s="32" t="s">
        <v>125</v>
      </c>
      <c r="N82" s="129" t="s">
        <v>2704</v>
      </c>
      <c r="O82" s="122" t="s">
        <v>2704</v>
      </c>
      <c r="P82" s="123" t="str">
        <f t="shared" si="2"/>
        <v>C1-2025</v>
      </c>
      <c r="Q82" s="123" t="str">
        <f t="shared" si="3"/>
        <v>T1-2025</v>
      </c>
      <c r="R82" s="124" t="s">
        <v>2741</v>
      </c>
      <c r="S82" s="123" t="s">
        <v>2723</v>
      </c>
      <c r="T82" s="123" t="s">
        <v>2707</v>
      </c>
      <c r="U82" s="162" t="s">
        <v>2708</v>
      </c>
      <c r="V82" s="162" t="s">
        <v>54</v>
      </c>
      <c r="W82" s="237" t="s">
        <v>125</v>
      </c>
      <c r="X82" s="173" t="s">
        <v>2709</v>
      </c>
    </row>
    <row r="83" spans="1:24" hidden="1">
      <c r="A83" s="161">
        <v>45697</v>
      </c>
      <c r="B83" s="133" t="s">
        <v>2908</v>
      </c>
      <c r="C83" s="122" t="s">
        <v>2697</v>
      </c>
      <c r="D83" s="210">
        <v>-2</v>
      </c>
      <c r="E83" s="120">
        <v>1</v>
      </c>
      <c r="F83" s="121">
        <f>Tabla5109[[#This Row],[Original Amount]]*Tabla5109[[#This Row],[ER to EUR]]</f>
        <v>-2</v>
      </c>
      <c r="G83" s="9" t="s">
        <v>2884</v>
      </c>
      <c r="H83" s="73" t="s">
        <v>2885</v>
      </c>
      <c r="I83" s="9" t="s">
        <v>2899</v>
      </c>
      <c r="J83" s="9" t="s">
        <v>2723</v>
      </c>
      <c r="K83" s="205" t="s">
        <v>2792</v>
      </c>
      <c r="L83" s="9" t="s">
        <v>2793</v>
      </c>
      <c r="M83" s="32" t="s">
        <v>125</v>
      </c>
      <c r="N83" s="129" t="s">
        <v>2704</v>
      </c>
      <c r="O83" s="122" t="s">
        <v>2704</v>
      </c>
      <c r="P83" s="123" t="str">
        <f t="shared" si="2"/>
        <v>C1-2025</v>
      </c>
      <c r="Q83" s="123" t="str">
        <f t="shared" si="3"/>
        <v>T1-2025</v>
      </c>
      <c r="R83" s="124" t="s">
        <v>2741</v>
      </c>
      <c r="S83" s="123" t="s">
        <v>2723</v>
      </c>
      <c r="T83" s="123" t="s">
        <v>2707</v>
      </c>
      <c r="U83" s="162" t="s">
        <v>2708</v>
      </c>
      <c r="V83" s="162" t="s">
        <v>54</v>
      </c>
      <c r="W83" s="237" t="s">
        <v>125</v>
      </c>
      <c r="X83" s="173" t="s">
        <v>2709</v>
      </c>
    </row>
    <row r="84" spans="1:24" hidden="1">
      <c r="A84" s="161">
        <v>45697</v>
      </c>
      <c r="B84" s="133" t="s">
        <v>2909</v>
      </c>
      <c r="C84" s="122" t="s">
        <v>2697</v>
      </c>
      <c r="D84" s="210">
        <v>-0.02</v>
      </c>
      <c r="E84" s="120">
        <v>1</v>
      </c>
      <c r="F84" s="121">
        <f>Tabla5109[[#This Row],[Original Amount]]*Tabla5109[[#This Row],[ER to EUR]]</f>
        <v>-0.02</v>
      </c>
      <c r="G84" s="9" t="s">
        <v>2884</v>
      </c>
      <c r="H84" s="73" t="s">
        <v>2885</v>
      </c>
      <c r="I84" s="9" t="s">
        <v>2899</v>
      </c>
      <c r="J84" s="9" t="s">
        <v>2723</v>
      </c>
      <c r="K84" s="205" t="s">
        <v>2792</v>
      </c>
      <c r="L84" s="9" t="s">
        <v>2793</v>
      </c>
      <c r="M84" s="32" t="s">
        <v>125</v>
      </c>
      <c r="N84" s="129" t="s">
        <v>2704</v>
      </c>
      <c r="O84" s="122" t="s">
        <v>2704</v>
      </c>
      <c r="P84" s="123" t="str">
        <f t="shared" si="2"/>
        <v>C1-2025</v>
      </c>
      <c r="Q84" s="123" t="str">
        <f t="shared" si="3"/>
        <v>T1-2025</v>
      </c>
      <c r="R84" s="124" t="s">
        <v>2741</v>
      </c>
      <c r="S84" s="123" t="s">
        <v>2723</v>
      </c>
      <c r="T84" s="123" t="s">
        <v>2707</v>
      </c>
      <c r="U84" s="162" t="s">
        <v>2708</v>
      </c>
      <c r="V84" s="162" t="s">
        <v>54</v>
      </c>
      <c r="W84" s="237" t="s">
        <v>125</v>
      </c>
      <c r="X84" s="173" t="s">
        <v>2709</v>
      </c>
    </row>
    <row r="85" spans="1:24" hidden="1">
      <c r="A85" s="161">
        <v>45697</v>
      </c>
      <c r="B85" s="133" t="s">
        <v>2910</v>
      </c>
      <c r="C85" s="122" t="s">
        <v>2697</v>
      </c>
      <c r="D85" s="210">
        <v>-2</v>
      </c>
      <c r="E85" s="120">
        <v>1</v>
      </c>
      <c r="F85" s="121">
        <f>Tabla5109[[#This Row],[Original Amount]]*Tabla5109[[#This Row],[ER to EUR]]</f>
        <v>-2</v>
      </c>
      <c r="G85" s="9" t="s">
        <v>2884</v>
      </c>
      <c r="H85" s="73" t="s">
        <v>2885</v>
      </c>
      <c r="I85" s="9" t="s">
        <v>2899</v>
      </c>
      <c r="J85" s="9" t="s">
        <v>2723</v>
      </c>
      <c r="K85" s="205" t="s">
        <v>2792</v>
      </c>
      <c r="L85" s="9" t="s">
        <v>2793</v>
      </c>
      <c r="M85" s="32" t="s">
        <v>125</v>
      </c>
      <c r="N85" s="129" t="s">
        <v>2704</v>
      </c>
      <c r="O85" s="122" t="s">
        <v>2704</v>
      </c>
      <c r="P85" s="123" t="str">
        <f t="shared" si="2"/>
        <v>C1-2025</v>
      </c>
      <c r="Q85" s="123" t="str">
        <f t="shared" si="3"/>
        <v>T1-2025</v>
      </c>
      <c r="R85" s="124" t="s">
        <v>2741</v>
      </c>
      <c r="S85" s="123" t="s">
        <v>2723</v>
      </c>
      <c r="T85" s="123" t="s">
        <v>2707</v>
      </c>
      <c r="U85" s="162" t="s">
        <v>2708</v>
      </c>
      <c r="V85" s="162" t="s">
        <v>54</v>
      </c>
      <c r="W85" s="237" t="s">
        <v>125</v>
      </c>
      <c r="X85" s="173" t="s">
        <v>2709</v>
      </c>
    </row>
    <row r="86" spans="1:24" hidden="1">
      <c r="A86" s="161">
        <v>45697</v>
      </c>
      <c r="B86" s="133" t="s">
        <v>2911</v>
      </c>
      <c r="C86" s="122" t="s">
        <v>2697</v>
      </c>
      <c r="D86" s="210">
        <v>-3</v>
      </c>
      <c r="E86" s="120">
        <v>1</v>
      </c>
      <c r="F86" s="121">
        <f>Tabla5109[[#This Row],[Original Amount]]*Tabla5109[[#This Row],[ER to EUR]]</f>
        <v>-3</v>
      </c>
      <c r="G86" s="9" t="s">
        <v>2884</v>
      </c>
      <c r="H86" s="73" t="s">
        <v>2885</v>
      </c>
      <c r="I86" s="9" t="s">
        <v>2899</v>
      </c>
      <c r="J86" s="9" t="s">
        <v>2723</v>
      </c>
      <c r="K86" s="205" t="s">
        <v>2792</v>
      </c>
      <c r="L86" s="9" t="s">
        <v>2793</v>
      </c>
      <c r="M86" s="32" t="s">
        <v>125</v>
      </c>
      <c r="N86" s="129" t="s">
        <v>2704</v>
      </c>
      <c r="O86" s="122" t="s">
        <v>2704</v>
      </c>
      <c r="P86" s="123" t="str">
        <f t="shared" si="2"/>
        <v>C1-2025</v>
      </c>
      <c r="Q86" s="123" t="str">
        <f t="shared" si="3"/>
        <v>T1-2025</v>
      </c>
      <c r="R86" s="124" t="s">
        <v>2741</v>
      </c>
      <c r="S86" s="123" t="s">
        <v>2723</v>
      </c>
      <c r="T86" s="123" t="s">
        <v>2707</v>
      </c>
      <c r="U86" s="162" t="s">
        <v>2708</v>
      </c>
      <c r="V86" s="162" t="s">
        <v>54</v>
      </c>
      <c r="W86" s="237" t="s">
        <v>125</v>
      </c>
      <c r="X86" s="173" t="s">
        <v>2709</v>
      </c>
    </row>
    <row r="87" spans="1:24" hidden="1">
      <c r="A87" s="161">
        <v>45697</v>
      </c>
      <c r="B87" s="133" t="s">
        <v>2912</v>
      </c>
      <c r="C87" s="122" t="s">
        <v>2697</v>
      </c>
      <c r="D87" s="210">
        <v>-2</v>
      </c>
      <c r="E87" s="120">
        <v>1</v>
      </c>
      <c r="F87" s="121">
        <f>Tabla5109[[#This Row],[Original Amount]]*Tabla5109[[#This Row],[ER to EUR]]</f>
        <v>-2</v>
      </c>
      <c r="G87" s="9" t="s">
        <v>2884</v>
      </c>
      <c r="H87" s="73" t="s">
        <v>2885</v>
      </c>
      <c r="I87" s="9" t="s">
        <v>2899</v>
      </c>
      <c r="J87" s="9" t="s">
        <v>2723</v>
      </c>
      <c r="K87" s="205" t="s">
        <v>2792</v>
      </c>
      <c r="L87" s="9" t="s">
        <v>2793</v>
      </c>
      <c r="M87" s="32" t="s">
        <v>125</v>
      </c>
      <c r="N87" s="129" t="s">
        <v>2704</v>
      </c>
      <c r="O87" s="122" t="s">
        <v>2704</v>
      </c>
      <c r="P87" s="123" t="str">
        <f t="shared" si="2"/>
        <v>C1-2025</v>
      </c>
      <c r="Q87" s="123" t="str">
        <f t="shared" si="3"/>
        <v>T1-2025</v>
      </c>
      <c r="R87" s="124" t="s">
        <v>2741</v>
      </c>
      <c r="S87" s="123" t="s">
        <v>2723</v>
      </c>
      <c r="T87" s="123" t="s">
        <v>2707</v>
      </c>
      <c r="U87" s="162" t="s">
        <v>2708</v>
      </c>
      <c r="V87" s="162" t="s">
        <v>54</v>
      </c>
      <c r="W87" s="237" t="s">
        <v>125</v>
      </c>
      <c r="X87" s="173" t="s">
        <v>2709</v>
      </c>
    </row>
    <row r="88" spans="1:24" hidden="1">
      <c r="A88" s="161">
        <v>45697</v>
      </c>
      <c r="B88" s="133" t="s">
        <v>2913</v>
      </c>
      <c r="C88" s="122" t="s">
        <v>2697</v>
      </c>
      <c r="D88" s="210">
        <v>-0.04</v>
      </c>
      <c r="E88" s="120">
        <v>1</v>
      </c>
      <c r="F88" s="121">
        <f>Tabla5109[[#This Row],[Original Amount]]*Tabla5109[[#This Row],[ER to EUR]]</f>
        <v>-0.04</v>
      </c>
      <c r="G88" s="9" t="s">
        <v>2884</v>
      </c>
      <c r="H88" s="73" t="s">
        <v>2885</v>
      </c>
      <c r="I88" s="9" t="s">
        <v>2899</v>
      </c>
      <c r="J88" s="9" t="s">
        <v>2723</v>
      </c>
      <c r="K88" s="205" t="s">
        <v>2792</v>
      </c>
      <c r="L88" s="9" t="s">
        <v>2793</v>
      </c>
      <c r="M88" s="32" t="s">
        <v>125</v>
      </c>
      <c r="N88" s="129" t="s">
        <v>2704</v>
      </c>
      <c r="O88" s="122" t="s">
        <v>2704</v>
      </c>
      <c r="P88" s="123" t="str">
        <f t="shared" si="2"/>
        <v>C1-2025</v>
      </c>
      <c r="Q88" s="123" t="str">
        <f t="shared" si="3"/>
        <v>T1-2025</v>
      </c>
      <c r="R88" s="124" t="s">
        <v>2741</v>
      </c>
      <c r="S88" s="123" t="s">
        <v>2723</v>
      </c>
      <c r="T88" s="123" t="s">
        <v>2707</v>
      </c>
      <c r="U88" s="162" t="s">
        <v>2708</v>
      </c>
      <c r="V88" s="162" t="s">
        <v>54</v>
      </c>
      <c r="W88" s="237" t="s">
        <v>125</v>
      </c>
      <c r="X88" s="173" t="s">
        <v>2709</v>
      </c>
    </row>
    <row r="89" spans="1:24" hidden="1">
      <c r="A89" s="161">
        <v>45697</v>
      </c>
      <c r="B89" s="178" t="s">
        <v>2914</v>
      </c>
      <c r="C89" s="122" t="s">
        <v>2697</v>
      </c>
      <c r="D89" s="210">
        <v>-2</v>
      </c>
      <c r="E89" s="120">
        <v>1</v>
      </c>
      <c r="F89" s="121">
        <f>Tabla5109[[#This Row],[Original Amount]]*Tabla5109[[#This Row],[ER to EUR]]</f>
        <v>-2</v>
      </c>
      <c r="G89" s="9" t="s">
        <v>2884</v>
      </c>
      <c r="H89" s="73" t="s">
        <v>2885</v>
      </c>
      <c r="I89" s="9" t="s">
        <v>2899</v>
      </c>
      <c r="J89" s="9" t="s">
        <v>2723</v>
      </c>
      <c r="K89" s="205" t="s">
        <v>2792</v>
      </c>
      <c r="L89" s="9" t="s">
        <v>2793</v>
      </c>
      <c r="M89" s="32" t="s">
        <v>125</v>
      </c>
      <c r="N89" s="129" t="s">
        <v>2704</v>
      </c>
      <c r="O89" s="122" t="s">
        <v>2704</v>
      </c>
      <c r="P89" s="123" t="str">
        <f t="shared" si="2"/>
        <v>C1-2025</v>
      </c>
      <c r="Q89" s="123" t="str">
        <f t="shared" si="3"/>
        <v>T1-2025</v>
      </c>
      <c r="R89" s="124" t="s">
        <v>2741</v>
      </c>
      <c r="S89" s="123" t="s">
        <v>2723</v>
      </c>
      <c r="T89" s="123" t="s">
        <v>2707</v>
      </c>
      <c r="U89" s="162" t="s">
        <v>2708</v>
      </c>
      <c r="V89" s="162" t="s">
        <v>54</v>
      </c>
      <c r="W89" s="237" t="s">
        <v>125</v>
      </c>
      <c r="X89" s="173" t="s">
        <v>2709</v>
      </c>
    </row>
    <row r="90" spans="1:24" hidden="1">
      <c r="A90" s="161">
        <v>45697</v>
      </c>
      <c r="B90" s="133" t="s">
        <v>2915</v>
      </c>
      <c r="C90" s="122" t="s">
        <v>2697</v>
      </c>
      <c r="D90" s="210">
        <v>-2</v>
      </c>
      <c r="E90" s="120">
        <v>1</v>
      </c>
      <c r="F90" s="121">
        <f>Tabla5109[[#This Row],[Original Amount]]*Tabla5109[[#This Row],[ER to EUR]]</f>
        <v>-2</v>
      </c>
      <c r="G90" s="9" t="s">
        <v>2884</v>
      </c>
      <c r="H90" s="73" t="s">
        <v>2885</v>
      </c>
      <c r="I90" s="9" t="s">
        <v>2899</v>
      </c>
      <c r="J90" s="9" t="s">
        <v>2723</v>
      </c>
      <c r="K90" s="205" t="s">
        <v>2792</v>
      </c>
      <c r="L90" s="9" t="s">
        <v>2793</v>
      </c>
      <c r="M90" s="32" t="s">
        <v>125</v>
      </c>
      <c r="N90" s="129" t="s">
        <v>2704</v>
      </c>
      <c r="O90" s="122" t="s">
        <v>2704</v>
      </c>
      <c r="P90" s="123" t="str">
        <f t="shared" si="2"/>
        <v>C1-2025</v>
      </c>
      <c r="Q90" s="123" t="str">
        <f t="shared" si="3"/>
        <v>T1-2025</v>
      </c>
      <c r="R90" s="124" t="s">
        <v>2741</v>
      </c>
      <c r="S90" s="123" t="s">
        <v>2723</v>
      </c>
      <c r="T90" s="123" t="s">
        <v>2707</v>
      </c>
      <c r="U90" s="162" t="s">
        <v>2708</v>
      </c>
      <c r="V90" s="162" t="s">
        <v>54</v>
      </c>
      <c r="W90" s="237" t="s">
        <v>125</v>
      </c>
      <c r="X90" s="173" t="s">
        <v>2709</v>
      </c>
    </row>
    <row r="91" spans="1:24" hidden="1">
      <c r="A91" s="161">
        <v>45697</v>
      </c>
      <c r="B91" s="133" t="s">
        <v>2916</v>
      </c>
      <c r="C91" s="122" t="s">
        <v>2697</v>
      </c>
      <c r="D91" s="210">
        <v>-3</v>
      </c>
      <c r="E91" s="120">
        <v>1</v>
      </c>
      <c r="F91" s="121">
        <f>Tabla5109[[#This Row],[Original Amount]]*Tabla5109[[#This Row],[ER to EUR]]</f>
        <v>-3</v>
      </c>
      <c r="G91" s="9" t="s">
        <v>2884</v>
      </c>
      <c r="H91" s="73" t="s">
        <v>2885</v>
      </c>
      <c r="I91" s="9" t="s">
        <v>2899</v>
      </c>
      <c r="J91" s="9" t="s">
        <v>2723</v>
      </c>
      <c r="K91" s="205" t="s">
        <v>2792</v>
      </c>
      <c r="L91" s="9" t="s">
        <v>2793</v>
      </c>
      <c r="M91" s="32" t="s">
        <v>125</v>
      </c>
      <c r="N91" s="129" t="s">
        <v>2704</v>
      </c>
      <c r="O91" s="122" t="s">
        <v>2704</v>
      </c>
      <c r="P91" s="123" t="str">
        <f t="shared" si="2"/>
        <v>C1-2025</v>
      </c>
      <c r="Q91" s="123" t="str">
        <f t="shared" si="3"/>
        <v>T1-2025</v>
      </c>
      <c r="R91" s="124" t="s">
        <v>2741</v>
      </c>
      <c r="S91" s="123" t="s">
        <v>2723</v>
      </c>
      <c r="T91" s="123" t="s">
        <v>2707</v>
      </c>
      <c r="U91" s="162" t="s">
        <v>2708</v>
      </c>
      <c r="V91" s="162" t="s">
        <v>54</v>
      </c>
      <c r="W91" s="237" t="s">
        <v>125</v>
      </c>
      <c r="X91" s="173" t="s">
        <v>2709</v>
      </c>
    </row>
    <row r="92" spans="1:24" hidden="1">
      <c r="A92" s="161">
        <v>45697</v>
      </c>
      <c r="B92" s="133" t="s">
        <v>2917</v>
      </c>
      <c r="C92" s="122" t="s">
        <v>2697</v>
      </c>
      <c r="D92" s="210">
        <v>-0.41</v>
      </c>
      <c r="E92" s="120">
        <v>1</v>
      </c>
      <c r="F92" s="121">
        <f>Tabla5109[[#This Row],[Original Amount]]*Tabla5109[[#This Row],[ER to EUR]]</f>
        <v>-0.41</v>
      </c>
      <c r="G92" s="9" t="s">
        <v>2884</v>
      </c>
      <c r="H92" s="73" t="s">
        <v>2885</v>
      </c>
      <c r="I92" s="9" t="s">
        <v>2899</v>
      </c>
      <c r="J92" s="9" t="s">
        <v>2723</v>
      </c>
      <c r="K92" s="205" t="s">
        <v>2792</v>
      </c>
      <c r="L92" s="9" t="s">
        <v>2793</v>
      </c>
      <c r="M92" s="32" t="s">
        <v>125</v>
      </c>
      <c r="N92" s="129" t="s">
        <v>2704</v>
      </c>
      <c r="O92" s="122" t="s">
        <v>2704</v>
      </c>
      <c r="P92" s="123" t="str">
        <f t="shared" si="2"/>
        <v>C1-2025</v>
      </c>
      <c r="Q92" s="123" t="str">
        <f t="shared" si="3"/>
        <v>T1-2025</v>
      </c>
      <c r="R92" s="124" t="s">
        <v>2741</v>
      </c>
      <c r="S92" s="123" t="s">
        <v>2723</v>
      </c>
      <c r="T92" s="123" t="s">
        <v>2707</v>
      </c>
      <c r="U92" s="162" t="s">
        <v>2708</v>
      </c>
      <c r="V92" s="162" t="s">
        <v>54</v>
      </c>
      <c r="W92" s="237" t="s">
        <v>125</v>
      </c>
      <c r="X92" s="173" t="s">
        <v>2709</v>
      </c>
    </row>
    <row r="93" spans="1:24" hidden="1">
      <c r="A93" s="161">
        <v>45697</v>
      </c>
      <c r="B93" s="133" t="s">
        <v>2918</v>
      </c>
      <c r="C93" s="122" t="s">
        <v>2697</v>
      </c>
      <c r="D93" s="210">
        <v>-2</v>
      </c>
      <c r="E93" s="120">
        <v>1</v>
      </c>
      <c r="F93" s="121">
        <f>Tabla5109[[#This Row],[Original Amount]]*Tabla5109[[#This Row],[ER to EUR]]</f>
        <v>-2</v>
      </c>
      <c r="G93" s="9" t="s">
        <v>2884</v>
      </c>
      <c r="H93" s="73" t="s">
        <v>2885</v>
      </c>
      <c r="I93" s="9" t="s">
        <v>2899</v>
      </c>
      <c r="J93" s="9" t="s">
        <v>2723</v>
      </c>
      <c r="K93" s="205" t="s">
        <v>2792</v>
      </c>
      <c r="L93" s="9" t="s">
        <v>2793</v>
      </c>
      <c r="M93" s="32" t="s">
        <v>125</v>
      </c>
      <c r="N93" s="129" t="s">
        <v>2704</v>
      </c>
      <c r="O93" s="122" t="s">
        <v>2704</v>
      </c>
      <c r="P93" s="123" t="str">
        <f t="shared" si="2"/>
        <v>C1-2025</v>
      </c>
      <c r="Q93" s="123" t="str">
        <f t="shared" si="3"/>
        <v>T1-2025</v>
      </c>
      <c r="R93" s="124" t="s">
        <v>2741</v>
      </c>
      <c r="S93" s="123" t="s">
        <v>2723</v>
      </c>
      <c r="T93" s="123" t="s">
        <v>2707</v>
      </c>
      <c r="U93" s="162" t="s">
        <v>2708</v>
      </c>
      <c r="V93" s="162" t="s">
        <v>54</v>
      </c>
      <c r="W93" s="237" t="s">
        <v>125</v>
      </c>
      <c r="X93" s="173" t="s">
        <v>2709</v>
      </c>
    </row>
    <row r="94" spans="1:24" hidden="1">
      <c r="A94" s="161">
        <v>45697</v>
      </c>
      <c r="B94" s="133" t="s">
        <v>2919</v>
      </c>
      <c r="C94" s="122" t="s">
        <v>2697</v>
      </c>
      <c r="D94" s="210">
        <v>-2</v>
      </c>
      <c r="E94" s="120">
        <v>1</v>
      </c>
      <c r="F94" s="121">
        <f>Tabla5109[[#This Row],[Original Amount]]*Tabla5109[[#This Row],[ER to EUR]]</f>
        <v>-2</v>
      </c>
      <c r="G94" s="9" t="s">
        <v>2884</v>
      </c>
      <c r="H94" s="73" t="s">
        <v>2885</v>
      </c>
      <c r="I94" s="9" t="s">
        <v>2899</v>
      </c>
      <c r="J94" s="9" t="s">
        <v>2723</v>
      </c>
      <c r="K94" s="205" t="s">
        <v>2792</v>
      </c>
      <c r="L94" s="9" t="s">
        <v>2793</v>
      </c>
      <c r="M94" s="32" t="s">
        <v>125</v>
      </c>
      <c r="N94" s="129" t="s">
        <v>2704</v>
      </c>
      <c r="O94" s="122" t="s">
        <v>2704</v>
      </c>
      <c r="P94" s="123" t="str">
        <f t="shared" si="2"/>
        <v>C1-2025</v>
      </c>
      <c r="Q94" s="123" t="str">
        <f t="shared" si="3"/>
        <v>T1-2025</v>
      </c>
      <c r="R94" s="124" t="s">
        <v>2741</v>
      </c>
      <c r="S94" s="123" t="s">
        <v>2723</v>
      </c>
      <c r="T94" s="123" t="s">
        <v>2707</v>
      </c>
      <c r="U94" s="162" t="s">
        <v>2708</v>
      </c>
      <c r="V94" s="162" t="s">
        <v>54</v>
      </c>
      <c r="W94" s="237" t="s">
        <v>125</v>
      </c>
      <c r="X94" s="173" t="s">
        <v>2709</v>
      </c>
    </row>
    <row r="95" spans="1:24" hidden="1">
      <c r="A95" s="161">
        <v>45697</v>
      </c>
      <c r="B95" s="133" t="s">
        <v>2920</v>
      </c>
      <c r="C95" s="122" t="s">
        <v>2697</v>
      </c>
      <c r="D95" s="210">
        <v>-0.34</v>
      </c>
      <c r="E95" s="120">
        <v>1</v>
      </c>
      <c r="F95" s="121">
        <f>Tabla5109[[#This Row],[Original Amount]]*Tabla5109[[#This Row],[ER to EUR]]</f>
        <v>-0.34</v>
      </c>
      <c r="G95" s="9" t="s">
        <v>2884</v>
      </c>
      <c r="H95" s="73" t="s">
        <v>2885</v>
      </c>
      <c r="I95" s="9" t="s">
        <v>2899</v>
      </c>
      <c r="J95" s="9" t="s">
        <v>2723</v>
      </c>
      <c r="K95" s="205" t="s">
        <v>2792</v>
      </c>
      <c r="L95" s="9" t="s">
        <v>2793</v>
      </c>
      <c r="M95" s="32" t="s">
        <v>125</v>
      </c>
      <c r="N95" s="129" t="s">
        <v>2704</v>
      </c>
      <c r="O95" s="122" t="s">
        <v>2704</v>
      </c>
      <c r="P95" s="123" t="str">
        <f t="shared" si="2"/>
        <v>C1-2025</v>
      </c>
      <c r="Q95" s="123" t="str">
        <f t="shared" si="3"/>
        <v>T1-2025</v>
      </c>
      <c r="R95" s="124" t="s">
        <v>2741</v>
      </c>
      <c r="S95" s="123" t="s">
        <v>2723</v>
      </c>
      <c r="T95" s="123" t="s">
        <v>2707</v>
      </c>
      <c r="U95" s="162" t="s">
        <v>2708</v>
      </c>
      <c r="V95" s="162" t="s">
        <v>54</v>
      </c>
      <c r="W95" s="237" t="s">
        <v>125</v>
      </c>
      <c r="X95" s="173" t="s">
        <v>2709</v>
      </c>
    </row>
    <row r="96" spans="1:24" hidden="1">
      <c r="A96" s="161">
        <v>45697</v>
      </c>
      <c r="B96" s="117" t="s">
        <v>2921</v>
      </c>
      <c r="C96" s="122" t="s">
        <v>2697</v>
      </c>
      <c r="D96" s="210">
        <v>-21.42</v>
      </c>
      <c r="E96" s="120">
        <v>1</v>
      </c>
      <c r="F96" s="121">
        <f>Tabla5109[[#This Row],[Original Amount]]*Tabla5109[[#This Row],[ER to EUR]]</f>
        <v>-21.42</v>
      </c>
      <c r="G96" s="9" t="s">
        <v>2884</v>
      </c>
      <c r="H96" s="73" t="s">
        <v>2885</v>
      </c>
      <c r="I96" s="9" t="s">
        <v>2779</v>
      </c>
      <c r="J96" s="9" t="s">
        <v>2723</v>
      </c>
      <c r="K96" s="205" t="s">
        <v>2792</v>
      </c>
      <c r="L96" s="9" t="s">
        <v>2793</v>
      </c>
      <c r="M96" s="32" t="s">
        <v>125</v>
      </c>
      <c r="N96" s="129" t="s">
        <v>2704</v>
      </c>
      <c r="O96" s="122" t="s">
        <v>2704</v>
      </c>
      <c r="P96" s="123" t="str">
        <f t="shared" si="2"/>
        <v>C1-2025</v>
      </c>
      <c r="Q96" s="123" t="str">
        <f t="shared" si="3"/>
        <v>T1-2025</v>
      </c>
      <c r="R96" s="124" t="s">
        <v>2741</v>
      </c>
      <c r="S96" s="123" t="s">
        <v>2723</v>
      </c>
      <c r="T96" s="123" t="s">
        <v>2707</v>
      </c>
      <c r="U96" s="162" t="s">
        <v>2708</v>
      </c>
      <c r="V96" s="162" t="s">
        <v>54</v>
      </c>
      <c r="W96" s="237" t="s">
        <v>125</v>
      </c>
      <c r="X96" s="173" t="s">
        <v>2709</v>
      </c>
    </row>
    <row r="97" spans="1:24" hidden="1">
      <c r="A97" s="161">
        <v>45697</v>
      </c>
      <c r="B97" s="117" t="s">
        <v>2922</v>
      </c>
      <c r="C97" s="122" t="s">
        <v>2697</v>
      </c>
      <c r="D97" s="210">
        <v>-21.42</v>
      </c>
      <c r="E97" s="120">
        <v>1</v>
      </c>
      <c r="F97" s="121">
        <f>Tabla5109[[#This Row],[Original Amount]]*Tabla5109[[#This Row],[ER to EUR]]</f>
        <v>-21.42</v>
      </c>
      <c r="G97" s="9" t="s">
        <v>2884</v>
      </c>
      <c r="H97" s="73" t="s">
        <v>2885</v>
      </c>
      <c r="I97" s="9" t="s">
        <v>2779</v>
      </c>
      <c r="J97" s="9" t="s">
        <v>2723</v>
      </c>
      <c r="K97" s="205" t="s">
        <v>2792</v>
      </c>
      <c r="L97" s="9" t="s">
        <v>2793</v>
      </c>
      <c r="M97" s="32" t="s">
        <v>125</v>
      </c>
      <c r="N97" s="129" t="s">
        <v>2704</v>
      </c>
      <c r="O97" s="122" t="s">
        <v>2704</v>
      </c>
      <c r="P97" s="123" t="str">
        <f t="shared" si="2"/>
        <v>C1-2025</v>
      </c>
      <c r="Q97" s="123" t="str">
        <f t="shared" si="3"/>
        <v>T1-2025</v>
      </c>
      <c r="R97" s="124" t="s">
        <v>2741</v>
      </c>
      <c r="S97" s="123" t="s">
        <v>2723</v>
      </c>
      <c r="T97" s="123" t="s">
        <v>2707</v>
      </c>
      <c r="U97" s="162" t="s">
        <v>2708</v>
      </c>
      <c r="V97" s="162" t="s">
        <v>54</v>
      </c>
      <c r="W97" s="237" t="s">
        <v>125</v>
      </c>
      <c r="X97" s="173" t="s">
        <v>2709</v>
      </c>
    </row>
    <row r="98" spans="1:24" hidden="1">
      <c r="A98" s="161">
        <v>45697</v>
      </c>
      <c r="B98" s="133" t="s">
        <v>2923</v>
      </c>
      <c r="C98" s="122" t="s">
        <v>2697</v>
      </c>
      <c r="D98" s="210">
        <v>-2</v>
      </c>
      <c r="E98" s="120">
        <v>1</v>
      </c>
      <c r="F98" s="121">
        <f>Tabla5109[[#This Row],[Original Amount]]*Tabla5109[[#This Row],[ER to EUR]]</f>
        <v>-2</v>
      </c>
      <c r="G98" s="9" t="s">
        <v>2884</v>
      </c>
      <c r="H98" s="73" t="s">
        <v>2885</v>
      </c>
      <c r="I98" s="9" t="s">
        <v>2899</v>
      </c>
      <c r="J98" s="9" t="s">
        <v>2723</v>
      </c>
      <c r="K98" s="205" t="s">
        <v>2792</v>
      </c>
      <c r="L98" s="9" t="s">
        <v>2793</v>
      </c>
      <c r="M98" s="32" t="s">
        <v>125</v>
      </c>
      <c r="N98" s="129" t="s">
        <v>2704</v>
      </c>
      <c r="O98" s="122" t="s">
        <v>2704</v>
      </c>
      <c r="P98" s="123" t="str">
        <f t="shared" si="2"/>
        <v>C1-2025</v>
      </c>
      <c r="Q98" s="123" t="str">
        <f t="shared" si="3"/>
        <v>T1-2025</v>
      </c>
      <c r="R98" s="124" t="s">
        <v>2741</v>
      </c>
      <c r="S98" s="123" t="s">
        <v>2723</v>
      </c>
      <c r="T98" s="123" t="s">
        <v>2707</v>
      </c>
      <c r="U98" s="162" t="s">
        <v>2708</v>
      </c>
      <c r="V98" s="162" t="s">
        <v>54</v>
      </c>
      <c r="W98" s="237" t="s">
        <v>125</v>
      </c>
      <c r="X98" s="173" t="s">
        <v>2709</v>
      </c>
    </row>
    <row r="99" spans="1:24" hidden="1">
      <c r="A99" s="161">
        <v>45697</v>
      </c>
      <c r="B99" s="133" t="s">
        <v>2924</v>
      </c>
      <c r="C99" s="122" t="s">
        <v>2697</v>
      </c>
      <c r="D99" s="210">
        <v>-0.32</v>
      </c>
      <c r="E99" s="120">
        <v>1</v>
      </c>
      <c r="F99" s="121">
        <f>Tabla5109[[#This Row],[Original Amount]]*Tabla5109[[#This Row],[ER to EUR]]</f>
        <v>-0.32</v>
      </c>
      <c r="G99" s="9" t="s">
        <v>2884</v>
      </c>
      <c r="H99" s="73" t="s">
        <v>2885</v>
      </c>
      <c r="I99" s="9" t="s">
        <v>2899</v>
      </c>
      <c r="J99" s="9" t="s">
        <v>2723</v>
      </c>
      <c r="K99" s="205" t="s">
        <v>2792</v>
      </c>
      <c r="L99" s="9" t="s">
        <v>2793</v>
      </c>
      <c r="M99" s="32" t="s">
        <v>125</v>
      </c>
      <c r="N99" s="129" t="s">
        <v>2704</v>
      </c>
      <c r="O99" s="122" t="s">
        <v>2704</v>
      </c>
      <c r="P99" s="123" t="str">
        <f t="shared" si="2"/>
        <v>C1-2025</v>
      </c>
      <c r="Q99" s="123" t="str">
        <f t="shared" si="3"/>
        <v>T1-2025</v>
      </c>
      <c r="R99" s="124" t="s">
        <v>2741</v>
      </c>
      <c r="S99" s="123" t="s">
        <v>2723</v>
      </c>
      <c r="T99" s="123" t="s">
        <v>2707</v>
      </c>
      <c r="U99" s="162" t="s">
        <v>2708</v>
      </c>
      <c r="V99" s="162" t="s">
        <v>54</v>
      </c>
      <c r="W99" s="237" t="s">
        <v>125</v>
      </c>
      <c r="X99" s="173" t="s">
        <v>2709</v>
      </c>
    </row>
    <row r="100" spans="1:24" hidden="1">
      <c r="A100" s="161">
        <v>45697</v>
      </c>
      <c r="B100" s="133" t="s">
        <v>2925</v>
      </c>
      <c r="C100" s="122" t="s">
        <v>2697</v>
      </c>
      <c r="D100" s="210">
        <v>-5</v>
      </c>
      <c r="E100" s="120">
        <v>1</v>
      </c>
      <c r="F100" s="121">
        <f>Tabla5109[[#This Row],[Original Amount]]*Tabla5109[[#This Row],[ER to EUR]]</f>
        <v>-5</v>
      </c>
      <c r="G100" s="9" t="s">
        <v>2884</v>
      </c>
      <c r="H100" s="73" t="s">
        <v>2885</v>
      </c>
      <c r="I100" s="9" t="s">
        <v>2899</v>
      </c>
      <c r="J100" s="9" t="s">
        <v>2723</v>
      </c>
      <c r="K100" s="205" t="s">
        <v>2792</v>
      </c>
      <c r="L100" s="9" t="s">
        <v>2793</v>
      </c>
      <c r="M100" s="32" t="s">
        <v>125</v>
      </c>
      <c r="N100" s="129" t="s">
        <v>2704</v>
      </c>
      <c r="O100" s="122" t="s">
        <v>2704</v>
      </c>
      <c r="P100" s="123" t="str">
        <f t="shared" si="2"/>
        <v>C1-2025</v>
      </c>
      <c r="Q100" s="123" t="str">
        <f t="shared" si="3"/>
        <v>T1-2025</v>
      </c>
      <c r="R100" s="124" t="s">
        <v>2741</v>
      </c>
      <c r="S100" s="123" t="s">
        <v>2723</v>
      </c>
      <c r="T100" s="123" t="s">
        <v>2707</v>
      </c>
      <c r="U100" s="162" t="s">
        <v>2708</v>
      </c>
      <c r="V100" s="162" t="s">
        <v>54</v>
      </c>
      <c r="W100" s="237" t="s">
        <v>125</v>
      </c>
      <c r="X100" s="173" t="s">
        <v>2709</v>
      </c>
    </row>
    <row r="101" spans="1:24" hidden="1">
      <c r="A101" s="161">
        <v>45697</v>
      </c>
      <c r="B101" s="133" t="s">
        <v>2926</v>
      </c>
      <c r="C101" s="122" t="s">
        <v>2697</v>
      </c>
      <c r="D101" s="210">
        <v>-5</v>
      </c>
      <c r="E101" s="120">
        <v>1</v>
      </c>
      <c r="F101" s="121">
        <f>Tabla5109[[#This Row],[Original Amount]]*Tabla5109[[#This Row],[ER to EUR]]</f>
        <v>-5</v>
      </c>
      <c r="G101" s="9" t="s">
        <v>2884</v>
      </c>
      <c r="H101" s="73" t="s">
        <v>2885</v>
      </c>
      <c r="I101" s="9" t="s">
        <v>2899</v>
      </c>
      <c r="J101" s="9" t="s">
        <v>2723</v>
      </c>
      <c r="K101" s="205" t="s">
        <v>2792</v>
      </c>
      <c r="L101" s="9" t="s">
        <v>2793</v>
      </c>
      <c r="M101" s="32" t="s">
        <v>125</v>
      </c>
      <c r="N101" s="129" t="s">
        <v>2704</v>
      </c>
      <c r="O101" s="122" t="s">
        <v>2704</v>
      </c>
      <c r="P101" s="123" t="str">
        <f t="shared" si="2"/>
        <v>C1-2025</v>
      </c>
      <c r="Q101" s="123" t="str">
        <f t="shared" si="3"/>
        <v>T1-2025</v>
      </c>
      <c r="R101" s="124" t="s">
        <v>2741</v>
      </c>
      <c r="S101" s="123" t="s">
        <v>2723</v>
      </c>
      <c r="T101" s="123" t="s">
        <v>2707</v>
      </c>
      <c r="U101" s="162" t="s">
        <v>2708</v>
      </c>
      <c r="V101" s="162" t="s">
        <v>54</v>
      </c>
      <c r="W101" s="237" t="s">
        <v>125</v>
      </c>
      <c r="X101" s="173" t="s">
        <v>2709</v>
      </c>
    </row>
    <row r="102" spans="1:24" hidden="1">
      <c r="A102" s="161">
        <v>45698</v>
      </c>
      <c r="B102" s="135" t="s">
        <v>2927</v>
      </c>
      <c r="C102" s="122" t="s">
        <v>2548</v>
      </c>
      <c r="D102" s="136">
        <v>-120</v>
      </c>
      <c r="E102" s="181">
        <v>0.95960000000000001</v>
      </c>
      <c r="F102" s="121">
        <f>Tabla5109[[#This Row],[Original Amount]]*Tabla5109[[#This Row],[ER to EUR]]</f>
        <v>-115.152</v>
      </c>
      <c r="G102" s="9" t="s">
        <v>2786</v>
      </c>
      <c r="H102" s="73" t="s">
        <v>2928</v>
      </c>
      <c r="I102" s="9" t="s">
        <v>2713</v>
      </c>
      <c r="J102" s="9" t="s">
        <v>2701</v>
      </c>
      <c r="K102" s="205" t="s">
        <v>2702</v>
      </c>
      <c r="L102" s="9" t="s">
        <v>2788</v>
      </c>
      <c r="M102" s="32" t="s">
        <v>125</v>
      </c>
      <c r="N102" s="129" t="s">
        <v>2704</v>
      </c>
      <c r="O102" s="122" t="s">
        <v>2704</v>
      </c>
      <c r="P102" s="123" t="str">
        <f t="shared" si="2"/>
        <v>C1-2025</v>
      </c>
      <c r="Q102" s="123" t="str">
        <f t="shared" si="3"/>
        <v>T1-2025</v>
      </c>
      <c r="R102" s="124" t="s">
        <v>2705</v>
      </c>
      <c r="S102" s="124" t="s">
        <v>2706</v>
      </c>
      <c r="T102" s="123" t="s">
        <v>2724</v>
      </c>
      <c r="U102" s="162" t="s">
        <v>2708</v>
      </c>
      <c r="V102" s="162" t="s">
        <v>56</v>
      </c>
      <c r="W102" s="237" t="s">
        <v>125</v>
      </c>
      <c r="X102" s="173" t="s">
        <v>2709</v>
      </c>
    </row>
    <row r="103" spans="1:24" hidden="1">
      <c r="A103" s="161">
        <v>45698</v>
      </c>
      <c r="B103" s="133" t="s">
        <v>2929</v>
      </c>
      <c r="C103" s="122" t="s">
        <v>2697</v>
      </c>
      <c r="D103" s="119">
        <v>-8</v>
      </c>
      <c r="E103" s="120">
        <v>1</v>
      </c>
      <c r="F103" s="121">
        <f>Tabla5109[[#This Row],[Original Amount]]*Tabla5109[[#This Row],[ER to EUR]]</f>
        <v>-8</v>
      </c>
      <c r="G103" s="9" t="s">
        <v>2884</v>
      </c>
      <c r="H103" s="73" t="s">
        <v>2885</v>
      </c>
      <c r="I103" s="9" t="s">
        <v>2899</v>
      </c>
      <c r="J103" s="9" t="s">
        <v>2723</v>
      </c>
      <c r="K103" s="205" t="s">
        <v>2792</v>
      </c>
      <c r="L103" s="9" t="s">
        <v>2793</v>
      </c>
      <c r="M103" s="32" t="s">
        <v>125</v>
      </c>
      <c r="N103" s="129" t="s">
        <v>2704</v>
      </c>
      <c r="O103" s="122" t="s">
        <v>2704</v>
      </c>
      <c r="P103" s="123" t="str">
        <f t="shared" si="2"/>
        <v>C1-2025</v>
      </c>
      <c r="Q103" s="123" t="str">
        <f t="shared" si="3"/>
        <v>T1-2025</v>
      </c>
      <c r="R103" s="124" t="s">
        <v>2741</v>
      </c>
      <c r="S103" s="123" t="s">
        <v>2723</v>
      </c>
      <c r="T103" s="123" t="s">
        <v>2707</v>
      </c>
      <c r="U103" s="162" t="s">
        <v>2708</v>
      </c>
      <c r="V103" s="162" t="s">
        <v>54</v>
      </c>
      <c r="W103" s="237" t="s">
        <v>125</v>
      </c>
      <c r="X103" s="173" t="s">
        <v>2709</v>
      </c>
    </row>
    <row r="104" spans="1:24" hidden="1">
      <c r="A104" s="161">
        <v>45698</v>
      </c>
      <c r="B104" s="133" t="s">
        <v>2930</v>
      </c>
      <c r="C104" s="122" t="s">
        <v>2697</v>
      </c>
      <c r="D104" s="119">
        <v>-8</v>
      </c>
      <c r="E104" s="120">
        <v>1</v>
      </c>
      <c r="F104" s="121">
        <f>Tabla5109[[#This Row],[Original Amount]]*Tabla5109[[#This Row],[ER to EUR]]</f>
        <v>-8</v>
      </c>
      <c r="G104" s="9" t="s">
        <v>2884</v>
      </c>
      <c r="H104" s="73" t="s">
        <v>2885</v>
      </c>
      <c r="I104" s="9" t="s">
        <v>2899</v>
      </c>
      <c r="J104" s="9" t="s">
        <v>2723</v>
      </c>
      <c r="K104" s="205" t="s">
        <v>2792</v>
      </c>
      <c r="L104" s="9" t="s">
        <v>2793</v>
      </c>
      <c r="M104" s="32" t="s">
        <v>125</v>
      </c>
      <c r="N104" s="129" t="s">
        <v>2704</v>
      </c>
      <c r="O104" s="122" t="s">
        <v>2704</v>
      </c>
      <c r="P104" s="123" t="str">
        <f t="shared" si="2"/>
        <v>C1-2025</v>
      </c>
      <c r="Q104" s="123" t="str">
        <f t="shared" si="3"/>
        <v>T1-2025</v>
      </c>
      <c r="R104" s="124" t="s">
        <v>2741</v>
      </c>
      <c r="S104" s="123" t="s">
        <v>2723</v>
      </c>
      <c r="T104" s="123" t="s">
        <v>2707</v>
      </c>
      <c r="U104" s="162" t="s">
        <v>2708</v>
      </c>
      <c r="V104" s="162" t="s">
        <v>54</v>
      </c>
      <c r="W104" s="237" t="s">
        <v>125</v>
      </c>
      <c r="X104" s="173" t="s">
        <v>2709</v>
      </c>
    </row>
    <row r="105" spans="1:24" hidden="1">
      <c r="A105" s="161">
        <v>45698</v>
      </c>
      <c r="B105" s="133" t="s">
        <v>2931</v>
      </c>
      <c r="C105" s="122" t="s">
        <v>2697</v>
      </c>
      <c r="D105" s="119">
        <v>-8</v>
      </c>
      <c r="E105" s="120">
        <v>1</v>
      </c>
      <c r="F105" s="121">
        <f>Tabla5109[[#This Row],[Original Amount]]*Tabla5109[[#This Row],[ER to EUR]]</f>
        <v>-8</v>
      </c>
      <c r="G105" s="9" t="s">
        <v>2884</v>
      </c>
      <c r="H105" s="73" t="s">
        <v>2885</v>
      </c>
      <c r="I105" s="9" t="s">
        <v>2899</v>
      </c>
      <c r="J105" s="9" t="s">
        <v>2723</v>
      </c>
      <c r="K105" s="205" t="s">
        <v>2792</v>
      </c>
      <c r="L105" s="9" t="s">
        <v>2793</v>
      </c>
      <c r="M105" s="32" t="s">
        <v>125</v>
      </c>
      <c r="N105" s="129" t="s">
        <v>2704</v>
      </c>
      <c r="O105" s="122" t="s">
        <v>2704</v>
      </c>
      <c r="P105" s="123" t="str">
        <f t="shared" si="2"/>
        <v>C1-2025</v>
      </c>
      <c r="Q105" s="123" t="str">
        <f t="shared" si="3"/>
        <v>T1-2025</v>
      </c>
      <c r="R105" s="124" t="s">
        <v>2741</v>
      </c>
      <c r="S105" s="123" t="s">
        <v>2723</v>
      </c>
      <c r="T105" s="123" t="s">
        <v>2707</v>
      </c>
      <c r="U105" s="162" t="s">
        <v>2708</v>
      </c>
      <c r="V105" s="162" t="s">
        <v>54</v>
      </c>
      <c r="W105" s="237" t="s">
        <v>125</v>
      </c>
      <c r="X105" s="173" t="s">
        <v>2709</v>
      </c>
    </row>
    <row r="106" spans="1:24" hidden="1">
      <c r="A106" s="161">
        <v>45698</v>
      </c>
      <c r="B106" s="133" t="s">
        <v>2932</v>
      </c>
      <c r="C106" s="122" t="s">
        <v>2697</v>
      </c>
      <c r="D106" s="119">
        <v>-8</v>
      </c>
      <c r="E106" s="120">
        <v>1</v>
      </c>
      <c r="F106" s="121">
        <f>Tabla5109[[#This Row],[Original Amount]]*Tabla5109[[#This Row],[ER to EUR]]</f>
        <v>-8</v>
      </c>
      <c r="G106" s="9" t="s">
        <v>2884</v>
      </c>
      <c r="H106" s="73" t="s">
        <v>2885</v>
      </c>
      <c r="I106" s="9" t="s">
        <v>2899</v>
      </c>
      <c r="J106" s="9" t="s">
        <v>2723</v>
      </c>
      <c r="K106" s="205" t="s">
        <v>2792</v>
      </c>
      <c r="L106" s="9" t="s">
        <v>2793</v>
      </c>
      <c r="M106" s="32" t="s">
        <v>125</v>
      </c>
      <c r="N106" s="129" t="s">
        <v>2704</v>
      </c>
      <c r="O106" s="122" t="s">
        <v>2704</v>
      </c>
      <c r="P106" s="123" t="str">
        <f t="shared" si="2"/>
        <v>C1-2025</v>
      </c>
      <c r="Q106" s="123" t="str">
        <f t="shared" si="3"/>
        <v>T1-2025</v>
      </c>
      <c r="R106" s="124" t="s">
        <v>2741</v>
      </c>
      <c r="S106" s="123" t="s">
        <v>2723</v>
      </c>
      <c r="T106" s="123" t="s">
        <v>2707</v>
      </c>
      <c r="U106" s="162" t="s">
        <v>2708</v>
      </c>
      <c r="V106" s="162" t="s">
        <v>54</v>
      </c>
      <c r="W106" s="237" t="s">
        <v>125</v>
      </c>
      <c r="X106" s="173" t="s">
        <v>2709</v>
      </c>
    </row>
    <row r="107" spans="1:24" hidden="1">
      <c r="A107" s="161">
        <v>45698</v>
      </c>
      <c r="B107" s="178" t="s">
        <v>2933</v>
      </c>
      <c r="C107" s="122" t="s">
        <v>2697</v>
      </c>
      <c r="D107" s="119">
        <v>-0.23</v>
      </c>
      <c r="E107" s="120">
        <v>1</v>
      </c>
      <c r="F107" s="121">
        <f>Tabla5109[[#This Row],[Original Amount]]*Tabla5109[[#This Row],[ER to EUR]]</f>
        <v>-0.23</v>
      </c>
      <c r="G107" s="9" t="s">
        <v>2884</v>
      </c>
      <c r="H107" s="73" t="s">
        <v>2885</v>
      </c>
      <c r="I107" s="9" t="s">
        <v>2899</v>
      </c>
      <c r="J107" s="9" t="s">
        <v>2723</v>
      </c>
      <c r="K107" s="205" t="s">
        <v>2792</v>
      </c>
      <c r="L107" s="9" t="s">
        <v>2793</v>
      </c>
      <c r="M107" s="32" t="s">
        <v>125</v>
      </c>
      <c r="N107" s="129" t="s">
        <v>2704</v>
      </c>
      <c r="O107" s="122" t="s">
        <v>2704</v>
      </c>
      <c r="P107" s="123" t="str">
        <f t="shared" si="2"/>
        <v>C1-2025</v>
      </c>
      <c r="Q107" s="123" t="str">
        <f t="shared" si="3"/>
        <v>T1-2025</v>
      </c>
      <c r="R107" s="124" t="s">
        <v>2741</v>
      </c>
      <c r="S107" s="123" t="s">
        <v>2723</v>
      </c>
      <c r="T107" s="123" t="s">
        <v>2707</v>
      </c>
      <c r="U107" s="162" t="s">
        <v>2708</v>
      </c>
      <c r="V107" s="162" t="s">
        <v>54</v>
      </c>
      <c r="W107" s="237" t="s">
        <v>125</v>
      </c>
      <c r="X107" s="173" t="s">
        <v>2709</v>
      </c>
    </row>
    <row r="108" spans="1:24" hidden="1">
      <c r="A108" s="161">
        <v>45698</v>
      </c>
      <c r="B108" s="133" t="s">
        <v>2934</v>
      </c>
      <c r="C108" s="122" t="s">
        <v>2697</v>
      </c>
      <c r="D108" s="119">
        <v>-9</v>
      </c>
      <c r="E108" s="120">
        <v>1</v>
      </c>
      <c r="F108" s="121">
        <f>Tabla5109[[#This Row],[Original Amount]]*Tabla5109[[#This Row],[ER to EUR]]</f>
        <v>-9</v>
      </c>
      <c r="G108" s="9" t="s">
        <v>2884</v>
      </c>
      <c r="H108" s="73" t="s">
        <v>2885</v>
      </c>
      <c r="I108" s="9" t="s">
        <v>2899</v>
      </c>
      <c r="J108" s="9" t="s">
        <v>2723</v>
      </c>
      <c r="K108" s="205" t="s">
        <v>2792</v>
      </c>
      <c r="L108" s="9" t="s">
        <v>2793</v>
      </c>
      <c r="M108" s="32" t="s">
        <v>125</v>
      </c>
      <c r="N108" s="129" t="s">
        <v>2704</v>
      </c>
      <c r="O108" s="122" t="s">
        <v>2704</v>
      </c>
      <c r="P108" s="123" t="str">
        <f t="shared" si="2"/>
        <v>C1-2025</v>
      </c>
      <c r="Q108" s="123" t="str">
        <f t="shared" si="3"/>
        <v>T1-2025</v>
      </c>
      <c r="R108" s="124" t="s">
        <v>2741</v>
      </c>
      <c r="S108" s="123" t="s">
        <v>2723</v>
      </c>
      <c r="T108" s="123" t="s">
        <v>2707</v>
      </c>
      <c r="U108" s="162" t="s">
        <v>2708</v>
      </c>
      <c r="V108" s="162" t="s">
        <v>54</v>
      </c>
      <c r="W108" s="237" t="s">
        <v>125</v>
      </c>
      <c r="X108" s="173" t="s">
        <v>2709</v>
      </c>
    </row>
    <row r="109" spans="1:24" hidden="1">
      <c r="A109" s="161">
        <v>45698</v>
      </c>
      <c r="B109" s="133" t="s">
        <v>2935</v>
      </c>
      <c r="C109" s="122" t="s">
        <v>2697</v>
      </c>
      <c r="D109" s="119">
        <v>-0.04</v>
      </c>
      <c r="E109" s="120">
        <v>1</v>
      </c>
      <c r="F109" s="121">
        <f>Tabla5109[[#This Row],[Original Amount]]*Tabla5109[[#This Row],[ER to EUR]]</f>
        <v>-0.04</v>
      </c>
      <c r="G109" s="9" t="s">
        <v>2884</v>
      </c>
      <c r="H109" s="73" t="s">
        <v>2885</v>
      </c>
      <c r="I109" s="9" t="s">
        <v>2899</v>
      </c>
      <c r="J109" s="9" t="s">
        <v>2723</v>
      </c>
      <c r="K109" s="205" t="s">
        <v>2792</v>
      </c>
      <c r="L109" s="9" t="s">
        <v>2793</v>
      </c>
      <c r="M109" s="32" t="s">
        <v>125</v>
      </c>
      <c r="N109" s="129" t="s">
        <v>2704</v>
      </c>
      <c r="O109" s="122" t="s">
        <v>2704</v>
      </c>
      <c r="P109" s="123" t="str">
        <f t="shared" si="2"/>
        <v>C1-2025</v>
      </c>
      <c r="Q109" s="123" t="str">
        <f t="shared" si="3"/>
        <v>T1-2025</v>
      </c>
      <c r="R109" s="124" t="s">
        <v>2741</v>
      </c>
      <c r="S109" s="123" t="s">
        <v>2723</v>
      </c>
      <c r="T109" s="123" t="s">
        <v>2707</v>
      </c>
      <c r="U109" s="162" t="s">
        <v>2708</v>
      </c>
      <c r="V109" s="162" t="s">
        <v>54</v>
      </c>
      <c r="W109" s="237" t="s">
        <v>125</v>
      </c>
      <c r="X109" s="173" t="s">
        <v>2709</v>
      </c>
    </row>
    <row r="110" spans="1:24" hidden="1">
      <c r="A110" s="161">
        <v>45698</v>
      </c>
      <c r="B110" s="178" t="s">
        <v>2936</v>
      </c>
      <c r="C110" s="122" t="s">
        <v>2697</v>
      </c>
      <c r="D110" s="119">
        <v>-0.55000000000000004</v>
      </c>
      <c r="E110" s="120">
        <v>1</v>
      </c>
      <c r="F110" s="121">
        <f>Tabla5109[[#This Row],[Original Amount]]*Tabla5109[[#This Row],[ER to EUR]]</f>
        <v>-0.55000000000000004</v>
      </c>
      <c r="G110" s="9" t="s">
        <v>2884</v>
      </c>
      <c r="H110" s="73" t="s">
        <v>2885</v>
      </c>
      <c r="I110" s="9" t="s">
        <v>2899</v>
      </c>
      <c r="J110" s="9" t="s">
        <v>2723</v>
      </c>
      <c r="K110" s="205" t="s">
        <v>2792</v>
      </c>
      <c r="L110" s="9" t="s">
        <v>2793</v>
      </c>
      <c r="M110" s="32" t="s">
        <v>125</v>
      </c>
      <c r="N110" s="129" t="s">
        <v>2704</v>
      </c>
      <c r="O110" s="122" t="s">
        <v>2704</v>
      </c>
      <c r="P110" s="123" t="str">
        <f t="shared" si="2"/>
        <v>C1-2025</v>
      </c>
      <c r="Q110" s="123" t="str">
        <f t="shared" si="3"/>
        <v>T1-2025</v>
      </c>
      <c r="R110" s="124" t="s">
        <v>2741</v>
      </c>
      <c r="S110" s="123" t="s">
        <v>2723</v>
      </c>
      <c r="T110" s="123" t="s">
        <v>2707</v>
      </c>
      <c r="U110" s="162" t="s">
        <v>2708</v>
      </c>
      <c r="V110" s="162" t="s">
        <v>54</v>
      </c>
      <c r="W110" s="237" t="s">
        <v>125</v>
      </c>
      <c r="X110" s="173" t="s">
        <v>2709</v>
      </c>
    </row>
    <row r="111" spans="1:24" hidden="1">
      <c r="A111" s="161">
        <v>45698</v>
      </c>
      <c r="B111" s="133" t="s">
        <v>2937</v>
      </c>
      <c r="C111" s="122" t="s">
        <v>2697</v>
      </c>
      <c r="D111" s="119">
        <v>-8</v>
      </c>
      <c r="E111" s="120">
        <v>1</v>
      </c>
      <c r="F111" s="121">
        <f>Tabla5109[[#This Row],[Original Amount]]*Tabla5109[[#This Row],[ER to EUR]]</f>
        <v>-8</v>
      </c>
      <c r="G111" s="9" t="s">
        <v>2884</v>
      </c>
      <c r="H111" s="73" t="s">
        <v>2885</v>
      </c>
      <c r="I111" s="9" t="s">
        <v>2899</v>
      </c>
      <c r="J111" s="9" t="s">
        <v>2723</v>
      </c>
      <c r="K111" s="205" t="s">
        <v>2792</v>
      </c>
      <c r="L111" s="9" t="s">
        <v>2793</v>
      </c>
      <c r="M111" s="32" t="s">
        <v>125</v>
      </c>
      <c r="N111" s="129" t="s">
        <v>2704</v>
      </c>
      <c r="O111" s="122" t="s">
        <v>2704</v>
      </c>
      <c r="P111" s="123" t="str">
        <f t="shared" si="2"/>
        <v>C1-2025</v>
      </c>
      <c r="Q111" s="123" t="str">
        <f t="shared" si="3"/>
        <v>T1-2025</v>
      </c>
      <c r="R111" s="124" t="s">
        <v>2741</v>
      </c>
      <c r="S111" s="123" t="s">
        <v>2723</v>
      </c>
      <c r="T111" s="123" t="s">
        <v>2707</v>
      </c>
      <c r="U111" s="162" t="s">
        <v>2708</v>
      </c>
      <c r="V111" s="162" t="s">
        <v>54</v>
      </c>
      <c r="W111" s="237" t="s">
        <v>125</v>
      </c>
      <c r="X111" s="173" t="s">
        <v>2709</v>
      </c>
    </row>
    <row r="112" spans="1:24" hidden="1">
      <c r="A112" s="161">
        <v>45698</v>
      </c>
      <c r="B112" s="133" t="s">
        <v>2938</v>
      </c>
      <c r="C112" s="122" t="s">
        <v>2697</v>
      </c>
      <c r="D112" s="119">
        <v>-0.04</v>
      </c>
      <c r="E112" s="120">
        <v>1</v>
      </c>
      <c r="F112" s="121">
        <f>Tabla5109[[#This Row],[Original Amount]]*Tabla5109[[#This Row],[ER to EUR]]</f>
        <v>-0.04</v>
      </c>
      <c r="G112" s="9" t="s">
        <v>2884</v>
      </c>
      <c r="H112" s="73" t="s">
        <v>2885</v>
      </c>
      <c r="I112" s="9" t="s">
        <v>2899</v>
      </c>
      <c r="J112" s="9" t="s">
        <v>2723</v>
      </c>
      <c r="K112" s="205" t="s">
        <v>2792</v>
      </c>
      <c r="L112" s="9" t="s">
        <v>2793</v>
      </c>
      <c r="M112" s="32" t="s">
        <v>125</v>
      </c>
      <c r="N112" s="129" t="s">
        <v>2704</v>
      </c>
      <c r="O112" s="122" t="s">
        <v>2704</v>
      </c>
      <c r="P112" s="123" t="str">
        <f t="shared" si="2"/>
        <v>C1-2025</v>
      </c>
      <c r="Q112" s="123" t="str">
        <f t="shared" si="3"/>
        <v>T1-2025</v>
      </c>
      <c r="R112" s="124" t="s">
        <v>2741</v>
      </c>
      <c r="S112" s="123" t="s">
        <v>2723</v>
      </c>
      <c r="T112" s="123" t="s">
        <v>2707</v>
      </c>
      <c r="U112" s="162" t="s">
        <v>2708</v>
      </c>
      <c r="V112" s="162" t="s">
        <v>54</v>
      </c>
      <c r="W112" s="237" t="s">
        <v>125</v>
      </c>
      <c r="X112" s="173" t="s">
        <v>2709</v>
      </c>
    </row>
    <row r="113" spans="1:24" hidden="1">
      <c r="A113" s="161">
        <v>45698</v>
      </c>
      <c r="B113" s="117" t="s">
        <v>2939</v>
      </c>
      <c r="C113" s="122" t="s">
        <v>2697</v>
      </c>
      <c r="D113" s="119">
        <v>-23.8</v>
      </c>
      <c r="E113" s="120">
        <v>1</v>
      </c>
      <c r="F113" s="121">
        <f>Tabla5109[[#This Row],[Original Amount]]*Tabla5109[[#This Row],[ER to EUR]]</f>
        <v>-23.8</v>
      </c>
      <c r="G113" s="9" t="s">
        <v>2884</v>
      </c>
      <c r="H113" s="73" t="s">
        <v>2885</v>
      </c>
      <c r="I113" s="9" t="s">
        <v>2779</v>
      </c>
      <c r="J113" s="9" t="s">
        <v>2723</v>
      </c>
      <c r="K113" s="205" t="s">
        <v>2792</v>
      </c>
      <c r="L113" s="9" t="s">
        <v>2793</v>
      </c>
      <c r="M113" s="32" t="s">
        <v>125</v>
      </c>
      <c r="N113" s="129" t="s">
        <v>2704</v>
      </c>
      <c r="O113" s="122" t="s">
        <v>2704</v>
      </c>
      <c r="P113" s="123" t="str">
        <f t="shared" si="2"/>
        <v>C1-2025</v>
      </c>
      <c r="Q113" s="123" t="str">
        <f t="shared" si="3"/>
        <v>T1-2025</v>
      </c>
      <c r="R113" s="124" t="s">
        <v>2741</v>
      </c>
      <c r="S113" s="123" t="s">
        <v>2723</v>
      </c>
      <c r="T113" s="123" t="s">
        <v>2707</v>
      </c>
      <c r="U113" s="162" t="s">
        <v>2708</v>
      </c>
      <c r="V113" s="162" t="s">
        <v>54</v>
      </c>
      <c r="W113" s="237" t="s">
        <v>125</v>
      </c>
      <c r="X113" s="173" t="s">
        <v>2709</v>
      </c>
    </row>
    <row r="114" spans="1:24" hidden="1">
      <c r="A114" s="161">
        <v>45698</v>
      </c>
      <c r="B114" s="133" t="s">
        <v>2940</v>
      </c>
      <c r="C114" s="122" t="s">
        <v>2697</v>
      </c>
      <c r="D114" s="119">
        <v>-0.04</v>
      </c>
      <c r="E114" s="120">
        <v>1</v>
      </c>
      <c r="F114" s="121">
        <f>Tabla5109[[#This Row],[Original Amount]]*Tabla5109[[#This Row],[ER to EUR]]</f>
        <v>-0.04</v>
      </c>
      <c r="G114" s="9" t="s">
        <v>2884</v>
      </c>
      <c r="H114" s="73" t="s">
        <v>2885</v>
      </c>
      <c r="I114" s="9" t="s">
        <v>2899</v>
      </c>
      <c r="J114" s="9" t="s">
        <v>2723</v>
      </c>
      <c r="K114" s="205" t="s">
        <v>2792</v>
      </c>
      <c r="L114" s="9" t="s">
        <v>2793</v>
      </c>
      <c r="M114" s="32" t="s">
        <v>125</v>
      </c>
      <c r="N114" s="129" t="s">
        <v>2704</v>
      </c>
      <c r="O114" s="122" t="s">
        <v>2704</v>
      </c>
      <c r="P114" s="123" t="str">
        <f t="shared" si="2"/>
        <v>C1-2025</v>
      </c>
      <c r="Q114" s="123" t="str">
        <f t="shared" si="3"/>
        <v>T1-2025</v>
      </c>
      <c r="R114" s="124" t="s">
        <v>2741</v>
      </c>
      <c r="S114" s="123" t="s">
        <v>2723</v>
      </c>
      <c r="T114" s="123" t="s">
        <v>2707</v>
      </c>
      <c r="U114" s="162" t="s">
        <v>2708</v>
      </c>
      <c r="V114" s="162" t="s">
        <v>54</v>
      </c>
      <c r="W114" s="237" t="s">
        <v>125</v>
      </c>
      <c r="X114" s="173" t="s">
        <v>2709</v>
      </c>
    </row>
    <row r="115" spans="1:24" hidden="1">
      <c r="A115" s="161">
        <v>45698</v>
      </c>
      <c r="B115" s="133" t="s">
        <v>2941</v>
      </c>
      <c r="C115" s="122" t="s">
        <v>2697</v>
      </c>
      <c r="D115" s="119">
        <v>-0.05</v>
      </c>
      <c r="E115" s="120">
        <v>1</v>
      </c>
      <c r="F115" s="121">
        <f>Tabla5109[[#This Row],[Original Amount]]*Tabla5109[[#This Row],[ER to EUR]]</f>
        <v>-0.05</v>
      </c>
      <c r="G115" s="9" t="s">
        <v>2884</v>
      </c>
      <c r="H115" s="73" t="s">
        <v>2885</v>
      </c>
      <c r="I115" t="s">
        <v>2899</v>
      </c>
      <c r="J115" t="s">
        <v>2723</v>
      </c>
      <c r="K115" s="205" t="s">
        <v>2792</v>
      </c>
      <c r="L115" s="9" t="s">
        <v>2793</v>
      </c>
      <c r="M115" s="32" t="s">
        <v>125</v>
      </c>
      <c r="N115" s="129" t="s">
        <v>2704</v>
      </c>
      <c r="O115" s="122" t="s">
        <v>2704</v>
      </c>
      <c r="P115" s="123" t="str">
        <f t="shared" si="2"/>
        <v>C1-2025</v>
      </c>
      <c r="Q115" s="123" t="str">
        <f t="shared" si="3"/>
        <v>T1-2025</v>
      </c>
      <c r="R115" s="124" t="s">
        <v>2741</v>
      </c>
      <c r="S115" s="123" t="s">
        <v>2723</v>
      </c>
      <c r="T115" s="123" t="s">
        <v>2707</v>
      </c>
      <c r="U115" s="162" t="s">
        <v>2708</v>
      </c>
      <c r="V115" s="162" t="s">
        <v>54</v>
      </c>
      <c r="W115" s="237" t="s">
        <v>125</v>
      </c>
      <c r="X115" s="202" t="s">
        <v>2709</v>
      </c>
    </row>
    <row r="116" spans="1:24" hidden="1">
      <c r="A116" s="161">
        <v>45698</v>
      </c>
      <c r="B116" s="133" t="s">
        <v>2942</v>
      </c>
      <c r="C116" s="32" t="s">
        <v>2697</v>
      </c>
      <c r="D116" s="119">
        <v>-1309</v>
      </c>
      <c r="E116" s="120">
        <v>1</v>
      </c>
      <c r="F116" s="121">
        <f>Tabla5109[[#This Row],[Original Amount]]*Tabla5109[[#This Row],[ER to EUR]]</f>
        <v>-1309</v>
      </c>
      <c r="G116" s="9" t="s">
        <v>2943</v>
      </c>
      <c r="H116" s="9" t="s">
        <v>2944</v>
      </c>
      <c r="I116" s="9" t="s">
        <v>2945</v>
      </c>
      <c r="J116" s="9" t="s">
        <v>2770</v>
      </c>
      <c r="K116" s="205" t="s">
        <v>2946</v>
      </c>
      <c r="L116" s="9" t="s">
        <v>2772</v>
      </c>
      <c r="M116" s="32" t="s">
        <v>125</v>
      </c>
      <c r="N116" s="129" t="s">
        <v>2704</v>
      </c>
      <c r="O116" s="122" t="s">
        <v>2704</v>
      </c>
      <c r="P116" s="123" t="str">
        <f t="shared" si="2"/>
        <v>C1-2025</v>
      </c>
      <c r="Q116" s="123" t="str">
        <f t="shared" si="3"/>
        <v>T1-2025</v>
      </c>
      <c r="R116" s="124" t="s">
        <v>2705</v>
      </c>
      <c r="S116" s="124" t="s">
        <v>2706</v>
      </c>
      <c r="T116" s="123" t="s">
        <v>2724</v>
      </c>
      <c r="U116" s="162" t="s">
        <v>2708</v>
      </c>
      <c r="V116" s="162" t="s">
        <v>56</v>
      </c>
      <c r="W116" s="237" t="s">
        <v>125</v>
      </c>
      <c r="X116" s="173" t="s">
        <v>2709</v>
      </c>
    </row>
    <row r="117" spans="1:24" hidden="1">
      <c r="A117" s="161">
        <v>45698</v>
      </c>
      <c r="B117" s="135" t="s">
        <v>2947</v>
      </c>
      <c r="C117" s="122" t="s">
        <v>2697</v>
      </c>
      <c r="D117" s="119">
        <v>-2272.9</v>
      </c>
      <c r="E117" s="120">
        <v>1</v>
      </c>
      <c r="F117" s="121">
        <f>Tabla5109[[#This Row],[Original Amount]]*Tabla5109[[#This Row],[ER to EUR]]</f>
        <v>-2272.9</v>
      </c>
      <c r="G117" s="9" t="s">
        <v>2943</v>
      </c>
      <c r="H117" s="73" t="s">
        <v>2948</v>
      </c>
      <c r="I117" s="9" t="s">
        <v>2945</v>
      </c>
      <c r="J117" s="37" t="s">
        <v>2770</v>
      </c>
      <c r="K117" s="217" t="s">
        <v>2946</v>
      </c>
      <c r="L117" s="37" t="s">
        <v>2772</v>
      </c>
      <c r="M117" s="32" t="s">
        <v>125</v>
      </c>
      <c r="N117" s="156" t="s">
        <v>2704</v>
      </c>
      <c r="O117" s="158" t="s">
        <v>2704</v>
      </c>
      <c r="P117" s="123" t="str">
        <f t="shared" si="2"/>
        <v>C1-2025</v>
      </c>
      <c r="Q117" s="123" t="str">
        <f t="shared" si="3"/>
        <v>T1-2025</v>
      </c>
      <c r="R117" s="124" t="s">
        <v>2705</v>
      </c>
      <c r="S117" s="124" t="s">
        <v>2706</v>
      </c>
      <c r="T117" s="123" t="s">
        <v>2724</v>
      </c>
      <c r="U117" s="162" t="s">
        <v>2708</v>
      </c>
      <c r="V117" s="162" t="s">
        <v>56</v>
      </c>
      <c r="W117" s="237" t="s">
        <v>125</v>
      </c>
      <c r="X117" s="173" t="s">
        <v>2709</v>
      </c>
    </row>
    <row r="118" spans="1:24" hidden="1">
      <c r="A118" s="161">
        <v>45699</v>
      </c>
      <c r="B118" s="133" t="s">
        <v>2949</v>
      </c>
      <c r="C118" s="122" t="s">
        <v>2697</v>
      </c>
      <c r="D118" s="119">
        <v>-3.59</v>
      </c>
      <c r="E118" s="120">
        <v>1</v>
      </c>
      <c r="F118" s="121">
        <f>Tabla5109[[#This Row],[Original Amount]]*Tabla5109[[#This Row],[ER to EUR]]</f>
        <v>-3.59</v>
      </c>
      <c r="G118" s="9" t="s">
        <v>2884</v>
      </c>
      <c r="H118" s="73" t="s">
        <v>2885</v>
      </c>
      <c r="I118" s="9" t="s">
        <v>2899</v>
      </c>
      <c r="J118" s="37" t="s">
        <v>2723</v>
      </c>
      <c r="K118" s="217" t="s">
        <v>2792</v>
      </c>
      <c r="L118" s="37" t="s">
        <v>2793</v>
      </c>
      <c r="M118" s="32" t="s">
        <v>125</v>
      </c>
      <c r="N118" s="156" t="s">
        <v>2704</v>
      </c>
      <c r="O118" s="158" t="s">
        <v>2704</v>
      </c>
      <c r="P118" s="123" t="str">
        <f t="shared" si="2"/>
        <v>C1-2025</v>
      </c>
      <c r="Q118" s="123" t="str">
        <f t="shared" si="3"/>
        <v>T1-2025</v>
      </c>
      <c r="R118" s="124" t="s">
        <v>2741</v>
      </c>
      <c r="S118" s="123" t="s">
        <v>2723</v>
      </c>
      <c r="T118" s="123" t="s">
        <v>2707</v>
      </c>
      <c r="U118" s="162" t="s">
        <v>2708</v>
      </c>
      <c r="V118" s="162" t="s">
        <v>54</v>
      </c>
      <c r="W118" s="237" t="s">
        <v>125</v>
      </c>
      <c r="X118" s="173" t="s">
        <v>2709</v>
      </c>
    </row>
    <row r="119" spans="1:24" hidden="1">
      <c r="A119" s="161">
        <v>45699</v>
      </c>
      <c r="B119" s="117" t="s">
        <v>2950</v>
      </c>
      <c r="C119" s="122" t="s">
        <v>2697</v>
      </c>
      <c r="D119" s="119">
        <v>-26.18</v>
      </c>
      <c r="E119" s="120">
        <v>1</v>
      </c>
      <c r="F119" s="121">
        <f>Tabla5109[[#This Row],[Original Amount]]*Tabla5109[[#This Row],[ER to EUR]]</f>
        <v>-26.18</v>
      </c>
      <c r="G119" s="9" t="s">
        <v>2884</v>
      </c>
      <c r="H119" s="73" t="s">
        <v>2885</v>
      </c>
      <c r="I119" s="9" t="s">
        <v>2779</v>
      </c>
      <c r="J119" s="9" t="s">
        <v>2723</v>
      </c>
      <c r="K119" s="205" t="s">
        <v>2792</v>
      </c>
      <c r="L119" s="9" t="s">
        <v>2793</v>
      </c>
      <c r="M119" s="32" t="s">
        <v>125</v>
      </c>
      <c r="N119" s="129" t="s">
        <v>2704</v>
      </c>
      <c r="O119" s="122" t="s">
        <v>2704</v>
      </c>
      <c r="P119" s="123" t="str">
        <f t="shared" si="2"/>
        <v>C1-2025</v>
      </c>
      <c r="Q119" s="123" t="str">
        <f t="shared" si="3"/>
        <v>T1-2025</v>
      </c>
      <c r="R119" s="124" t="s">
        <v>2741</v>
      </c>
      <c r="S119" s="123" t="s">
        <v>2723</v>
      </c>
      <c r="T119" s="123" t="s">
        <v>2707</v>
      </c>
      <c r="U119" s="162" t="s">
        <v>2708</v>
      </c>
      <c r="V119" s="162" t="s">
        <v>54</v>
      </c>
      <c r="W119" s="237" t="s">
        <v>125</v>
      </c>
      <c r="X119" s="173" t="s">
        <v>2709</v>
      </c>
    </row>
    <row r="120" spans="1:24" hidden="1">
      <c r="A120" s="161">
        <v>45699</v>
      </c>
      <c r="B120" s="117" t="s">
        <v>2951</v>
      </c>
      <c r="C120" s="122" t="s">
        <v>2697</v>
      </c>
      <c r="D120" s="119">
        <v>-29.75</v>
      </c>
      <c r="E120" s="120">
        <v>1</v>
      </c>
      <c r="F120" s="121">
        <f>Tabla5109[[#This Row],[Original Amount]]*Tabla5109[[#This Row],[ER to EUR]]</f>
        <v>-29.75</v>
      </c>
      <c r="G120" s="9" t="s">
        <v>2884</v>
      </c>
      <c r="H120" s="73" t="s">
        <v>2885</v>
      </c>
      <c r="I120" s="9" t="s">
        <v>2779</v>
      </c>
      <c r="J120" s="9" t="s">
        <v>2723</v>
      </c>
      <c r="K120" s="205" t="s">
        <v>2792</v>
      </c>
      <c r="L120" s="9" t="s">
        <v>2793</v>
      </c>
      <c r="M120" s="32" t="s">
        <v>125</v>
      </c>
      <c r="N120" s="129" t="s">
        <v>2704</v>
      </c>
      <c r="O120" s="122" t="s">
        <v>2704</v>
      </c>
      <c r="P120" s="123" t="str">
        <f t="shared" si="2"/>
        <v>C1-2025</v>
      </c>
      <c r="Q120" s="123" t="str">
        <f t="shared" si="3"/>
        <v>T1-2025</v>
      </c>
      <c r="R120" s="124" t="s">
        <v>2741</v>
      </c>
      <c r="S120" s="123" t="s">
        <v>2723</v>
      </c>
      <c r="T120" s="123" t="s">
        <v>2707</v>
      </c>
      <c r="U120" s="162" t="s">
        <v>2708</v>
      </c>
      <c r="V120" s="162" t="s">
        <v>54</v>
      </c>
      <c r="W120" s="237" t="s">
        <v>125</v>
      </c>
      <c r="X120" s="173" t="s">
        <v>2709</v>
      </c>
    </row>
    <row r="121" spans="1:24" hidden="1">
      <c r="A121" s="161">
        <v>45700</v>
      </c>
      <c r="B121" s="133" t="s">
        <v>2952</v>
      </c>
      <c r="C121" s="122" t="s">
        <v>2697</v>
      </c>
      <c r="D121" s="119">
        <v>-0.01</v>
      </c>
      <c r="E121" s="120">
        <v>1</v>
      </c>
      <c r="F121" s="121">
        <f>Tabla5109[[#This Row],[Original Amount]]*Tabla5109[[#This Row],[ER to EUR]]</f>
        <v>-0.01</v>
      </c>
      <c r="G121" s="9" t="s">
        <v>2884</v>
      </c>
      <c r="H121" s="73" t="s">
        <v>2885</v>
      </c>
      <c r="I121" s="9" t="s">
        <v>2899</v>
      </c>
      <c r="J121" s="9" t="s">
        <v>2723</v>
      </c>
      <c r="K121" s="205" t="s">
        <v>2792</v>
      </c>
      <c r="L121" s="9" t="s">
        <v>2793</v>
      </c>
      <c r="M121" s="32" t="s">
        <v>125</v>
      </c>
      <c r="N121" s="129" t="s">
        <v>2704</v>
      </c>
      <c r="O121" s="122" t="s">
        <v>2704</v>
      </c>
      <c r="P121" s="123" t="str">
        <f t="shared" si="2"/>
        <v>C1-2025</v>
      </c>
      <c r="Q121" s="123" t="str">
        <f t="shared" si="3"/>
        <v>T1-2025</v>
      </c>
      <c r="R121" s="124" t="s">
        <v>2741</v>
      </c>
      <c r="S121" s="123" t="s">
        <v>2723</v>
      </c>
      <c r="T121" s="123" t="s">
        <v>2707</v>
      </c>
      <c r="U121" s="162" t="s">
        <v>2708</v>
      </c>
      <c r="V121" s="162" t="s">
        <v>54</v>
      </c>
      <c r="W121" s="237" t="s">
        <v>125</v>
      </c>
      <c r="X121" s="173" t="s">
        <v>2709</v>
      </c>
    </row>
    <row r="122" spans="1:24" hidden="1">
      <c r="A122" s="161">
        <v>45700</v>
      </c>
      <c r="B122" s="117" t="s">
        <v>2953</v>
      </c>
      <c r="C122" s="122" t="s">
        <v>2697</v>
      </c>
      <c r="D122" s="119">
        <v>-33.32</v>
      </c>
      <c r="E122" s="120">
        <v>1</v>
      </c>
      <c r="F122" s="121">
        <f>Tabla5109[[#This Row],[Original Amount]]*Tabla5109[[#This Row],[ER to EUR]]</f>
        <v>-33.32</v>
      </c>
      <c r="G122" s="9" t="s">
        <v>2884</v>
      </c>
      <c r="H122" s="73" t="s">
        <v>2885</v>
      </c>
      <c r="I122" s="9" t="s">
        <v>2779</v>
      </c>
      <c r="J122" s="9" t="s">
        <v>2723</v>
      </c>
      <c r="K122" s="205" t="s">
        <v>2792</v>
      </c>
      <c r="L122" s="9" t="s">
        <v>2793</v>
      </c>
      <c r="M122" s="32" t="s">
        <v>125</v>
      </c>
      <c r="N122" s="129" t="s">
        <v>2704</v>
      </c>
      <c r="O122" s="122" t="s">
        <v>2704</v>
      </c>
      <c r="P122" s="123" t="str">
        <f t="shared" si="2"/>
        <v>C1-2025</v>
      </c>
      <c r="Q122" s="123" t="str">
        <f t="shared" si="3"/>
        <v>T1-2025</v>
      </c>
      <c r="R122" s="124" t="s">
        <v>2741</v>
      </c>
      <c r="S122" s="123" t="s">
        <v>2723</v>
      </c>
      <c r="T122" s="123" t="s">
        <v>2707</v>
      </c>
      <c r="U122" s="162" t="s">
        <v>2708</v>
      </c>
      <c r="V122" s="162" t="s">
        <v>54</v>
      </c>
      <c r="W122" s="237" t="s">
        <v>125</v>
      </c>
      <c r="X122" s="173" t="s">
        <v>2709</v>
      </c>
    </row>
    <row r="123" spans="1:24" hidden="1">
      <c r="A123" s="161">
        <v>45701</v>
      </c>
      <c r="B123" s="117" t="s">
        <v>2954</v>
      </c>
      <c r="C123" s="122" t="s">
        <v>2697</v>
      </c>
      <c r="D123" s="119">
        <v>-36.89</v>
      </c>
      <c r="E123" s="120">
        <v>1</v>
      </c>
      <c r="F123" s="121">
        <f>Tabla5109[[#This Row],[Original Amount]]*Tabla5109[[#This Row],[ER to EUR]]</f>
        <v>-36.89</v>
      </c>
      <c r="G123" s="9" t="s">
        <v>2884</v>
      </c>
      <c r="H123" s="73" t="s">
        <v>2885</v>
      </c>
      <c r="I123" s="9" t="s">
        <v>2779</v>
      </c>
      <c r="J123" s="9" t="s">
        <v>2723</v>
      </c>
      <c r="K123" s="205" t="s">
        <v>2792</v>
      </c>
      <c r="L123" s="9" t="s">
        <v>2793</v>
      </c>
      <c r="M123" s="32" t="s">
        <v>125</v>
      </c>
      <c r="N123" s="129" t="s">
        <v>2704</v>
      </c>
      <c r="O123" s="122" t="s">
        <v>2704</v>
      </c>
      <c r="P123" s="123" t="str">
        <f t="shared" si="2"/>
        <v>C1-2025</v>
      </c>
      <c r="Q123" s="123" t="str">
        <f t="shared" si="3"/>
        <v>T1-2025</v>
      </c>
      <c r="R123" s="124" t="s">
        <v>2741</v>
      </c>
      <c r="S123" s="123" t="s">
        <v>2723</v>
      </c>
      <c r="T123" s="123" t="s">
        <v>2707</v>
      </c>
      <c r="U123" s="162" t="s">
        <v>2708</v>
      </c>
      <c r="V123" s="162" t="s">
        <v>54</v>
      </c>
      <c r="W123" s="237" t="s">
        <v>125</v>
      </c>
      <c r="X123" s="173" t="s">
        <v>2709</v>
      </c>
    </row>
    <row r="124" spans="1:24" hidden="1">
      <c r="A124" s="161">
        <v>45701</v>
      </c>
      <c r="B124" s="128" t="s">
        <v>2955</v>
      </c>
      <c r="C124" s="122" t="s">
        <v>2697</v>
      </c>
      <c r="D124" s="119">
        <v>-271.10000000000002</v>
      </c>
      <c r="E124" s="120">
        <v>1</v>
      </c>
      <c r="F124" s="121">
        <f>Tabla5109[[#This Row],[Original Amount]]*Tabla5109[[#This Row],[ER to EUR]]</f>
        <v>-271.10000000000002</v>
      </c>
      <c r="G124" s="9" t="s">
        <v>2956</v>
      </c>
      <c r="H124" s="73" t="s">
        <v>2957</v>
      </c>
      <c r="I124" s="9" t="s">
        <v>2739</v>
      </c>
      <c r="J124" s="9" t="s">
        <v>2701</v>
      </c>
      <c r="K124" s="205" t="s">
        <v>2702</v>
      </c>
      <c r="L124" s="9" t="s">
        <v>2740</v>
      </c>
      <c r="M124" s="32" t="s">
        <v>125</v>
      </c>
      <c r="N124" s="129" t="s">
        <v>2704</v>
      </c>
      <c r="O124" s="122" t="s">
        <v>2704</v>
      </c>
      <c r="P124" s="123" t="str">
        <f t="shared" si="2"/>
        <v>C1-2025</v>
      </c>
      <c r="Q124" s="123" t="str">
        <f t="shared" si="3"/>
        <v>T1-2025</v>
      </c>
      <c r="R124" s="124" t="s">
        <v>2705</v>
      </c>
      <c r="S124" s="124" t="s">
        <v>2706</v>
      </c>
      <c r="T124" s="123" t="s">
        <v>2717</v>
      </c>
      <c r="U124" s="162" t="s">
        <v>2708</v>
      </c>
      <c r="V124" s="162" t="s">
        <v>54</v>
      </c>
      <c r="W124" s="237" t="s">
        <v>125</v>
      </c>
      <c r="X124" s="173" t="s">
        <v>2709</v>
      </c>
    </row>
    <row r="125" spans="1:24" hidden="1">
      <c r="A125" s="161">
        <v>45701</v>
      </c>
      <c r="B125" s="145" t="s">
        <v>2958</v>
      </c>
      <c r="C125" s="118" t="s">
        <v>2697</v>
      </c>
      <c r="D125" s="119">
        <v>-550</v>
      </c>
      <c r="E125" s="120">
        <v>1</v>
      </c>
      <c r="F125" s="121">
        <f>Tabla5109[[#This Row],[Original Amount]]*Tabla5109[[#This Row],[ER to EUR]]</f>
        <v>-550</v>
      </c>
      <c r="G125" s="9" t="s">
        <v>2959</v>
      </c>
      <c r="H125" s="9" t="s">
        <v>2960</v>
      </c>
      <c r="I125" s="9" t="s">
        <v>2727</v>
      </c>
      <c r="J125" s="9" t="s">
        <v>2868</v>
      </c>
      <c r="K125" s="205" t="s">
        <v>2868</v>
      </c>
      <c r="L125" s="211" t="s">
        <v>2729</v>
      </c>
      <c r="M125" s="32" t="s">
        <v>125</v>
      </c>
      <c r="N125" s="122" t="s">
        <v>2704</v>
      </c>
      <c r="O125" s="129" t="s">
        <v>2704</v>
      </c>
      <c r="P125" s="123" t="str">
        <f t="shared" si="2"/>
        <v>C1-2025</v>
      </c>
      <c r="Q125" s="123" t="str">
        <f t="shared" si="3"/>
        <v>T1-2025</v>
      </c>
      <c r="R125" s="91" t="s">
        <v>2705</v>
      </c>
      <c r="S125" s="123" t="s">
        <v>2735</v>
      </c>
      <c r="T125" s="123" t="s">
        <v>2717</v>
      </c>
      <c r="U125" s="162" t="s">
        <v>2708</v>
      </c>
      <c r="V125" s="162" t="s">
        <v>56</v>
      </c>
      <c r="W125" s="237" t="s">
        <v>125</v>
      </c>
      <c r="X125" s="201" t="s">
        <v>2709</v>
      </c>
    </row>
    <row r="126" spans="1:24" hidden="1">
      <c r="A126" s="161">
        <v>45702</v>
      </c>
      <c r="B126" s="117" t="s">
        <v>2961</v>
      </c>
      <c r="C126" s="122" t="s">
        <v>2697</v>
      </c>
      <c r="D126" s="119">
        <v>-41.65</v>
      </c>
      <c r="E126" s="120">
        <v>1</v>
      </c>
      <c r="F126" s="121">
        <f>Tabla5109[[#This Row],[Original Amount]]*Tabla5109[[#This Row],[ER to EUR]]</f>
        <v>-41.65</v>
      </c>
      <c r="G126" s="9" t="s">
        <v>2884</v>
      </c>
      <c r="H126" s="73" t="s">
        <v>2885</v>
      </c>
      <c r="I126" s="9" t="s">
        <v>2779</v>
      </c>
      <c r="J126" s="37" t="s">
        <v>2723</v>
      </c>
      <c r="K126" s="217" t="s">
        <v>2792</v>
      </c>
      <c r="L126" s="37" t="s">
        <v>2793</v>
      </c>
      <c r="M126" s="32" t="s">
        <v>125</v>
      </c>
      <c r="N126" s="156" t="s">
        <v>2704</v>
      </c>
      <c r="O126" s="158" t="s">
        <v>2704</v>
      </c>
      <c r="P126" s="123" t="str">
        <f t="shared" si="2"/>
        <v>C1-2025</v>
      </c>
      <c r="Q126" s="123" t="str">
        <f t="shared" si="3"/>
        <v>T1-2025</v>
      </c>
      <c r="R126" s="124" t="s">
        <v>2741</v>
      </c>
      <c r="S126" s="123" t="s">
        <v>2723</v>
      </c>
      <c r="T126" s="413" t="s">
        <v>2707</v>
      </c>
      <c r="U126" t="s">
        <v>2708</v>
      </c>
      <c r="V126" t="s">
        <v>54</v>
      </c>
      <c r="W126" s="237" t="s">
        <v>125</v>
      </c>
      <c r="X126" s="173" t="s">
        <v>2709</v>
      </c>
    </row>
    <row r="127" spans="1:24" hidden="1">
      <c r="A127" s="161">
        <v>45702</v>
      </c>
      <c r="B127" s="125">
        <v>1001585763258</v>
      </c>
      <c r="C127" s="122" t="s">
        <v>2697</v>
      </c>
      <c r="D127" s="119">
        <v>-29.75</v>
      </c>
      <c r="E127" s="120">
        <v>1</v>
      </c>
      <c r="F127" s="121">
        <f>Tabla5109[[#This Row],[Original Amount]]*Tabla5109[[#This Row],[ER to EUR]]</f>
        <v>-29.75</v>
      </c>
      <c r="G127" s="9" t="s">
        <v>2806</v>
      </c>
      <c r="H127" s="73" t="s">
        <v>2807</v>
      </c>
      <c r="I127" s="9" t="s">
        <v>2784</v>
      </c>
      <c r="J127" s="9" t="s">
        <v>2701</v>
      </c>
      <c r="K127" s="205" t="s">
        <v>2702</v>
      </c>
      <c r="L127" s="9" t="s">
        <v>2703</v>
      </c>
      <c r="M127" s="32" t="s">
        <v>125</v>
      </c>
      <c r="N127" s="129" t="s">
        <v>2704</v>
      </c>
      <c r="O127" s="122" t="s">
        <v>2704</v>
      </c>
      <c r="P127" s="123" t="str">
        <f t="shared" si="2"/>
        <v>C1-2025</v>
      </c>
      <c r="Q127" s="123" t="str">
        <f t="shared" si="3"/>
        <v>T1-2025</v>
      </c>
      <c r="R127" s="124" t="s">
        <v>2705</v>
      </c>
      <c r="S127" s="123" t="s">
        <v>2735</v>
      </c>
      <c r="T127" s="9" t="s">
        <v>2724</v>
      </c>
      <c r="U127" s="162" t="s">
        <v>2708</v>
      </c>
      <c r="V127" s="162" t="s">
        <v>56</v>
      </c>
      <c r="W127" s="237" t="s">
        <v>125</v>
      </c>
      <c r="X127" s="173" t="s">
        <v>2709</v>
      </c>
    </row>
    <row r="128" spans="1:24" hidden="1">
      <c r="A128" s="161">
        <v>45702</v>
      </c>
      <c r="B128" s="128" t="s">
        <v>2962</v>
      </c>
      <c r="C128" s="122" t="s">
        <v>2697</v>
      </c>
      <c r="D128" s="146">
        <v>-43.98</v>
      </c>
      <c r="E128" s="120">
        <v>1</v>
      </c>
      <c r="F128" s="121">
        <f>Tabla5109[[#This Row],[Original Amount]]*Tabla5109[[#This Row],[ER to EUR]]</f>
        <v>-43.98</v>
      </c>
      <c r="G128" s="9" t="s">
        <v>2733</v>
      </c>
      <c r="H128" s="73" t="s">
        <v>2734</v>
      </c>
      <c r="I128" s="9" t="s">
        <v>2713</v>
      </c>
      <c r="J128" s="9" t="s">
        <v>2701</v>
      </c>
      <c r="K128" s="205" t="s">
        <v>2809</v>
      </c>
      <c r="L128" s="9" t="s">
        <v>2810</v>
      </c>
      <c r="M128" s="32" t="s">
        <v>125</v>
      </c>
      <c r="N128" s="129" t="s">
        <v>2704</v>
      </c>
      <c r="O128" s="122" t="s">
        <v>2704</v>
      </c>
      <c r="P128" s="123" t="str">
        <f t="shared" si="2"/>
        <v>C1-2025</v>
      </c>
      <c r="Q128" s="123" t="str">
        <f t="shared" si="3"/>
        <v>T1-2025</v>
      </c>
      <c r="R128" s="124" t="s">
        <v>2705</v>
      </c>
      <c r="S128" s="123" t="s">
        <v>2735</v>
      </c>
      <c r="T128" s="123" t="s">
        <v>2707</v>
      </c>
      <c r="U128" s="203" t="s">
        <v>2708</v>
      </c>
      <c r="V128" s="203" t="s">
        <v>56</v>
      </c>
      <c r="W128" s="237" t="s">
        <v>125</v>
      </c>
      <c r="X128" s="173" t="s">
        <v>2709</v>
      </c>
    </row>
    <row r="129" spans="1:24" hidden="1">
      <c r="A129" s="161">
        <v>45703</v>
      </c>
      <c r="B129" s="133" t="s">
        <v>2963</v>
      </c>
      <c r="C129" s="32" t="s">
        <v>2697</v>
      </c>
      <c r="D129" s="119">
        <v>-38.979999999999997</v>
      </c>
      <c r="E129" s="120">
        <v>1</v>
      </c>
      <c r="F129" s="121">
        <f>Tabla5109[[#This Row],[Original Amount]]*Tabla5109[[#This Row],[ER to EUR]]</f>
        <v>-38.979999999999997</v>
      </c>
      <c r="G129" s="9" t="s">
        <v>2830</v>
      </c>
      <c r="H129" s="9" t="s">
        <v>2964</v>
      </c>
      <c r="I129" s="9" t="s">
        <v>2739</v>
      </c>
      <c r="J129" s="9" t="s">
        <v>2817</v>
      </c>
      <c r="K129" s="205" t="s">
        <v>2702</v>
      </c>
      <c r="L129" s="9" t="s">
        <v>2818</v>
      </c>
      <c r="M129" s="32" t="s">
        <v>125</v>
      </c>
      <c r="N129" s="122" t="s">
        <v>2704</v>
      </c>
      <c r="O129" s="129" t="s">
        <v>2704</v>
      </c>
      <c r="P129" s="123" t="str">
        <f t="shared" si="2"/>
        <v>C1-2025</v>
      </c>
      <c r="Q129" s="123" t="str">
        <f t="shared" si="3"/>
        <v>T1-2025</v>
      </c>
      <c r="R129" s="124" t="s">
        <v>2722</v>
      </c>
      <c r="S129" s="123" t="s">
        <v>2723</v>
      </c>
      <c r="T129" s="123" t="s">
        <v>2724</v>
      </c>
      <c r="U129" s="162" t="s">
        <v>2708</v>
      </c>
      <c r="V129" s="162" t="s">
        <v>54</v>
      </c>
      <c r="W129" s="237" t="s">
        <v>125</v>
      </c>
      <c r="X129" s="173" t="s">
        <v>2709</v>
      </c>
    </row>
    <row r="130" spans="1:24" hidden="1">
      <c r="A130" s="161">
        <v>45704</v>
      </c>
      <c r="B130" s="133" t="s">
        <v>2965</v>
      </c>
      <c r="C130" s="122" t="s">
        <v>2697</v>
      </c>
      <c r="D130" s="119">
        <v>-12.95</v>
      </c>
      <c r="E130" s="120">
        <v>1</v>
      </c>
      <c r="F130" s="121">
        <f>Tabla5109[[#This Row],[Original Amount]]*Tabla5109[[#This Row],[ER to EUR]]</f>
        <v>-12.95</v>
      </c>
      <c r="G130" s="9" t="s">
        <v>2884</v>
      </c>
      <c r="H130" s="73" t="s">
        <v>2885</v>
      </c>
      <c r="I130" s="9" t="s">
        <v>2899</v>
      </c>
      <c r="J130" s="9" t="s">
        <v>2723</v>
      </c>
      <c r="K130" s="205" t="s">
        <v>2792</v>
      </c>
      <c r="L130" s="9" t="s">
        <v>2793</v>
      </c>
      <c r="M130" s="32" t="s">
        <v>125</v>
      </c>
      <c r="N130" s="129" t="s">
        <v>2704</v>
      </c>
      <c r="O130" s="122" t="s">
        <v>2704</v>
      </c>
      <c r="P130" s="123" t="str">
        <f t="shared" ref="P130:P193" si="4">"C"&amp;INT((MONTH(A130)-1)/4)+1&amp;"-"&amp;YEAR(A130)</f>
        <v>C1-2025</v>
      </c>
      <c r="Q130" s="123" t="str">
        <f t="shared" ref="Q130:Q193" si="5">"T"&amp;INT((MONTH(A130)-1)/3)+1&amp;"-"&amp;YEAR(A130)</f>
        <v>T1-2025</v>
      </c>
      <c r="R130" s="124" t="s">
        <v>2741</v>
      </c>
      <c r="S130" s="123" t="s">
        <v>2723</v>
      </c>
      <c r="T130" s="123" t="s">
        <v>2707</v>
      </c>
      <c r="U130" s="162" t="s">
        <v>2708</v>
      </c>
      <c r="V130" s="162" t="s">
        <v>54</v>
      </c>
      <c r="W130" s="237" t="s">
        <v>125</v>
      </c>
      <c r="X130" s="173" t="s">
        <v>2709</v>
      </c>
    </row>
    <row r="131" spans="1:24" hidden="1">
      <c r="A131" s="161">
        <v>45704</v>
      </c>
      <c r="B131" s="133" t="s">
        <v>2966</v>
      </c>
      <c r="C131" s="122" t="s">
        <v>2697</v>
      </c>
      <c r="D131" s="119">
        <v>-2.38</v>
      </c>
      <c r="E131" s="120">
        <v>1</v>
      </c>
      <c r="F131" s="121">
        <f>Tabla5109[[#This Row],[Original Amount]]*Tabla5109[[#This Row],[ER to EUR]]</f>
        <v>-2.38</v>
      </c>
      <c r="G131" s="9" t="s">
        <v>2884</v>
      </c>
      <c r="H131" s="73" t="s">
        <v>2885</v>
      </c>
      <c r="I131" s="9" t="s">
        <v>2899</v>
      </c>
      <c r="J131" s="9" t="s">
        <v>2723</v>
      </c>
      <c r="K131" s="205" t="s">
        <v>2792</v>
      </c>
      <c r="L131" s="9" t="s">
        <v>2793</v>
      </c>
      <c r="M131" s="32" t="s">
        <v>125</v>
      </c>
      <c r="N131" s="129" t="s">
        <v>2704</v>
      </c>
      <c r="O131" s="122" t="s">
        <v>2704</v>
      </c>
      <c r="P131" s="123" t="str">
        <f t="shared" si="4"/>
        <v>C1-2025</v>
      </c>
      <c r="Q131" s="123" t="str">
        <f t="shared" si="5"/>
        <v>T1-2025</v>
      </c>
      <c r="R131" s="124" t="s">
        <v>2741</v>
      </c>
      <c r="S131" s="123" t="s">
        <v>2723</v>
      </c>
      <c r="T131" s="123" t="s">
        <v>2707</v>
      </c>
      <c r="U131" s="162" t="s">
        <v>2708</v>
      </c>
      <c r="V131" s="162" t="s">
        <v>54</v>
      </c>
      <c r="W131" s="237" t="s">
        <v>125</v>
      </c>
      <c r="X131" s="173" t="s">
        <v>2709</v>
      </c>
    </row>
    <row r="132" spans="1:24" hidden="1">
      <c r="A132" s="161">
        <v>45704</v>
      </c>
      <c r="B132" s="133" t="s">
        <v>2967</v>
      </c>
      <c r="C132" s="122" t="s">
        <v>2697</v>
      </c>
      <c r="D132" s="119">
        <v>-11</v>
      </c>
      <c r="E132" s="120">
        <v>1</v>
      </c>
      <c r="F132" s="121">
        <f>Tabla5109[[#This Row],[Original Amount]]*Tabla5109[[#This Row],[ER to EUR]]</f>
        <v>-11</v>
      </c>
      <c r="G132" s="9" t="s">
        <v>2884</v>
      </c>
      <c r="H132" s="73" t="s">
        <v>2885</v>
      </c>
      <c r="I132" s="9" t="s">
        <v>2899</v>
      </c>
      <c r="J132" s="9" t="s">
        <v>2723</v>
      </c>
      <c r="K132" s="205" t="s">
        <v>2792</v>
      </c>
      <c r="L132" s="9" t="s">
        <v>2793</v>
      </c>
      <c r="M132" s="32" t="s">
        <v>125</v>
      </c>
      <c r="N132" s="129" t="s">
        <v>2704</v>
      </c>
      <c r="O132" s="122" t="s">
        <v>2704</v>
      </c>
      <c r="P132" s="123" t="str">
        <f t="shared" si="4"/>
        <v>C1-2025</v>
      </c>
      <c r="Q132" s="123" t="str">
        <f t="shared" si="5"/>
        <v>T1-2025</v>
      </c>
      <c r="R132" s="124" t="s">
        <v>2741</v>
      </c>
      <c r="S132" s="123" t="s">
        <v>2723</v>
      </c>
      <c r="T132" s="123" t="s">
        <v>2707</v>
      </c>
      <c r="U132" s="162" t="s">
        <v>2708</v>
      </c>
      <c r="V132" s="162" t="s">
        <v>54</v>
      </c>
      <c r="W132" s="237" t="s">
        <v>125</v>
      </c>
      <c r="X132" s="173" t="s">
        <v>2709</v>
      </c>
    </row>
    <row r="133" spans="1:24" hidden="1">
      <c r="A133" s="161">
        <v>45704</v>
      </c>
      <c r="B133" s="133" t="s">
        <v>2968</v>
      </c>
      <c r="C133" s="122" t="s">
        <v>2697</v>
      </c>
      <c r="D133" s="119">
        <v>-0.03</v>
      </c>
      <c r="E133" s="120">
        <v>1</v>
      </c>
      <c r="F133" s="121">
        <f>Tabla5109[[#This Row],[Original Amount]]*Tabla5109[[#This Row],[ER to EUR]]</f>
        <v>-0.03</v>
      </c>
      <c r="G133" s="9" t="s">
        <v>2884</v>
      </c>
      <c r="H133" s="73" t="s">
        <v>2885</v>
      </c>
      <c r="I133" s="9" t="s">
        <v>2899</v>
      </c>
      <c r="J133" s="9" t="s">
        <v>2723</v>
      </c>
      <c r="K133" s="205" t="s">
        <v>2792</v>
      </c>
      <c r="L133" s="9" t="s">
        <v>2793</v>
      </c>
      <c r="M133" s="32" t="s">
        <v>125</v>
      </c>
      <c r="N133" s="129" t="s">
        <v>2704</v>
      </c>
      <c r="O133" s="122" t="s">
        <v>2704</v>
      </c>
      <c r="P133" s="123" t="str">
        <f t="shared" si="4"/>
        <v>C1-2025</v>
      </c>
      <c r="Q133" s="123" t="str">
        <f t="shared" si="5"/>
        <v>T1-2025</v>
      </c>
      <c r="R133" s="124" t="s">
        <v>2741</v>
      </c>
      <c r="S133" s="123" t="s">
        <v>2723</v>
      </c>
      <c r="T133" s="123" t="s">
        <v>2707</v>
      </c>
      <c r="U133" s="162" t="s">
        <v>2708</v>
      </c>
      <c r="V133" s="162" t="s">
        <v>54</v>
      </c>
      <c r="W133" s="237" t="s">
        <v>125</v>
      </c>
      <c r="X133" s="173" t="s">
        <v>2709</v>
      </c>
    </row>
    <row r="134" spans="1:24" hidden="1">
      <c r="A134" s="161">
        <v>45704</v>
      </c>
      <c r="B134" s="117" t="s">
        <v>2969</v>
      </c>
      <c r="C134" s="122" t="s">
        <v>2697</v>
      </c>
      <c r="D134" s="119">
        <v>-46.41</v>
      </c>
      <c r="E134" s="120">
        <v>1</v>
      </c>
      <c r="F134" s="121">
        <f>Tabla5109[[#This Row],[Original Amount]]*Tabla5109[[#This Row],[ER to EUR]]</f>
        <v>-46.41</v>
      </c>
      <c r="G134" s="9" t="s">
        <v>2884</v>
      </c>
      <c r="H134" s="73" t="s">
        <v>2885</v>
      </c>
      <c r="I134" s="9" t="s">
        <v>2779</v>
      </c>
      <c r="J134" s="9" t="s">
        <v>2723</v>
      </c>
      <c r="K134" s="205" t="s">
        <v>2792</v>
      </c>
      <c r="L134" s="9" t="s">
        <v>2793</v>
      </c>
      <c r="M134" s="32" t="s">
        <v>125</v>
      </c>
      <c r="N134" s="129" t="s">
        <v>2704</v>
      </c>
      <c r="O134" s="122" t="s">
        <v>2704</v>
      </c>
      <c r="P134" s="123" t="str">
        <f t="shared" si="4"/>
        <v>C1-2025</v>
      </c>
      <c r="Q134" s="123" t="str">
        <f t="shared" si="5"/>
        <v>T1-2025</v>
      </c>
      <c r="R134" s="124" t="s">
        <v>2741</v>
      </c>
      <c r="S134" s="123" t="s">
        <v>2723</v>
      </c>
      <c r="T134" s="123" t="s">
        <v>2707</v>
      </c>
      <c r="U134" s="162" t="s">
        <v>2708</v>
      </c>
      <c r="V134" s="162" t="s">
        <v>54</v>
      </c>
      <c r="W134" s="237" t="s">
        <v>125</v>
      </c>
      <c r="X134" s="173" t="s">
        <v>2709</v>
      </c>
    </row>
    <row r="135" spans="1:24" hidden="1">
      <c r="A135" s="161">
        <v>45704</v>
      </c>
      <c r="B135" s="133" t="s">
        <v>2970</v>
      </c>
      <c r="C135" s="122" t="s">
        <v>2697</v>
      </c>
      <c r="D135" s="119">
        <v>-10</v>
      </c>
      <c r="E135" s="120">
        <v>1</v>
      </c>
      <c r="F135" s="121">
        <f>Tabla5109[[#This Row],[Original Amount]]*Tabla5109[[#This Row],[ER to EUR]]</f>
        <v>-10</v>
      </c>
      <c r="G135" s="9" t="s">
        <v>2884</v>
      </c>
      <c r="H135" s="73" t="s">
        <v>2885</v>
      </c>
      <c r="I135" s="9" t="s">
        <v>2899</v>
      </c>
      <c r="J135" s="9" t="s">
        <v>2723</v>
      </c>
      <c r="K135" s="205" t="s">
        <v>2792</v>
      </c>
      <c r="L135" s="9" t="s">
        <v>2793</v>
      </c>
      <c r="M135" s="32" t="s">
        <v>125</v>
      </c>
      <c r="N135" s="129" t="s">
        <v>2704</v>
      </c>
      <c r="O135" s="122" t="s">
        <v>2704</v>
      </c>
      <c r="P135" s="123" t="str">
        <f t="shared" si="4"/>
        <v>C1-2025</v>
      </c>
      <c r="Q135" s="123" t="str">
        <f t="shared" si="5"/>
        <v>T1-2025</v>
      </c>
      <c r="R135" s="124" t="s">
        <v>2741</v>
      </c>
      <c r="S135" s="123" t="s">
        <v>2723</v>
      </c>
      <c r="T135" s="123" t="s">
        <v>2707</v>
      </c>
      <c r="U135" s="162" t="s">
        <v>2708</v>
      </c>
      <c r="V135" s="162" t="s">
        <v>54</v>
      </c>
      <c r="W135" s="237" t="s">
        <v>125</v>
      </c>
      <c r="X135" s="173" t="s">
        <v>2709</v>
      </c>
    </row>
    <row r="136" spans="1:24" hidden="1">
      <c r="A136" s="161">
        <v>45705</v>
      </c>
      <c r="B136" s="133" t="s">
        <v>2971</v>
      </c>
      <c r="C136" s="122" t="s">
        <v>2697</v>
      </c>
      <c r="D136" s="119">
        <v>-10.7</v>
      </c>
      <c r="E136" s="120">
        <v>1</v>
      </c>
      <c r="F136" s="121">
        <f>Tabla5109[[#This Row],[Original Amount]]*Tabla5109[[#This Row],[ER to EUR]]</f>
        <v>-10.7</v>
      </c>
      <c r="G136" s="9" t="s">
        <v>2884</v>
      </c>
      <c r="H136" s="73" t="s">
        <v>2885</v>
      </c>
      <c r="I136" s="9" t="s">
        <v>2899</v>
      </c>
      <c r="J136" s="9" t="s">
        <v>2723</v>
      </c>
      <c r="K136" s="205" t="s">
        <v>2792</v>
      </c>
      <c r="L136" s="9" t="s">
        <v>2793</v>
      </c>
      <c r="M136" s="32" t="s">
        <v>125</v>
      </c>
      <c r="N136" s="129" t="s">
        <v>2704</v>
      </c>
      <c r="O136" s="122" t="s">
        <v>2704</v>
      </c>
      <c r="P136" s="123" t="str">
        <f t="shared" si="4"/>
        <v>C1-2025</v>
      </c>
      <c r="Q136" s="123" t="str">
        <f t="shared" si="5"/>
        <v>T1-2025</v>
      </c>
      <c r="R136" s="124" t="s">
        <v>2741</v>
      </c>
      <c r="S136" s="123" t="s">
        <v>2723</v>
      </c>
      <c r="T136" s="123" t="s">
        <v>2707</v>
      </c>
      <c r="U136" s="162" t="s">
        <v>2708</v>
      </c>
      <c r="V136" s="162" t="s">
        <v>54</v>
      </c>
      <c r="W136" s="237" t="s">
        <v>125</v>
      </c>
      <c r="X136" s="173" t="s">
        <v>2709</v>
      </c>
    </row>
    <row r="137" spans="1:24" hidden="1">
      <c r="A137" s="161">
        <v>45705</v>
      </c>
      <c r="B137" s="204" t="s">
        <v>2972</v>
      </c>
      <c r="C137" s="122" t="s">
        <v>2697</v>
      </c>
      <c r="D137" s="119">
        <v>-51.17</v>
      </c>
      <c r="E137" s="120">
        <v>1</v>
      </c>
      <c r="F137" s="121">
        <f>Tabla5109[[#This Row],[Original Amount]]*Tabla5109[[#This Row],[ER to EUR]]</f>
        <v>-51.17</v>
      </c>
      <c r="G137" s="9" t="s">
        <v>2884</v>
      </c>
      <c r="H137" s="73" t="s">
        <v>2885</v>
      </c>
      <c r="I137" s="9" t="s">
        <v>2779</v>
      </c>
      <c r="J137" s="9" t="s">
        <v>2723</v>
      </c>
      <c r="K137" s="205" t="s">
        <v>2792</v>
      </c>
      <c r="L137" s="9" t="s">
        <v>2793</v>
      </c>
      <c r="M137" s="32" t="s">
        <v>125</v>
      </c>
      <c r="N137" s="129" t="s">
        <v>2704</v>
      </c>
      <c r="O137" s="122" t="s">
        <v>2704</v>
      </c>
      <c r="P137" s="123" t="str">
        <f t="shared" si="4"/>
        <v>C1-2025</v>
      </c>
      <c r="Q137" s="123" t="str">
        <f t="shared" si="5"/>
        <v>T1-2025</v>
      </c>
      <c r="R137" s="124" t="s">
        <v>2741</v>
      </c>
      <c r="S137" s="123" t="s">
        <v>2723</v>
      </c>
      <c r="T137" s="123" t="s">
        <v>2707</v>
      </c>
      <c r="U137" s="162" t="s">
        <v>2708</v>
      </c>
      <c r="V137" s="162" t="s">
        <v>54</v>
      </c>
      <c r="W137" s="237" t="s">
        <v>125</v>
      </c>
      <c r="X137" s="173" t="s">
        <v>2709</v>
      </c>
    </row>
    <row r="138" spans="1:24" hidden="1">
      <c r="A138" s="161">
        <v>45705</v>
      </c>
      <c r="B138" s="133" t="s">
        <v>2973</v>
      </c>
      <c r="C138" s="32" t="s">
        <v>2697</v>
      </c>
      <c r="D138" s="119">
        <v>-5.99</v>
      </c>
      <c r="E138" s="120">
        <v>1</v>
      </c>
      <c r="F138" s="121">
        <f>Tabla5109[[#This Row],[Original Amount]]*Tabla5109[[#This Row],[ER to EUR]]</f>
        <v>-5.99</v>
      </c>
      <c r="G138" s="9" t="s">
        <v>2830</v>
      </c>
      <c r="H138" s="9" t="s">
        <v>2974</v>
      </c>
      <c r="I138" s="9" t="s">
        <v>2975</v>
      </c>
      <c r="J138" s="9" t="s">
        <v>2817</v>
      </c>
      <c r="K138" s="205" t="s">
        <v>2702</v>
      </c>
      <c r="L138" s="9" t="s">
        <v>2818</v>
      </c>
      <c r="M138" s="32" t="s">
        <v>125</v>
      </c>
      <c r="N138" s="122" t="s">
        <v>2704</v>
      </c>
      <c r="O138" s="129" t="s">
        <v>2704</v>
      </c>
      <c r="P138" s="123" t="str">
        <f t="shared" si="4"/>
        <v>C1-2025</v>
      </c>
      <c r="Q138" s="123" t="str">
        <f t="shared" si="5"/>
        <v>T1-2025</v>
      </c>
      <c r="R138" s="124" t="s">
        <v>2722</v>
      </c>
      <c r="S138" s="123" t="s">
        <v>2723</v>
      </c>
      <c r="T138" s="123" t="s">
        <v>2724</v>
      </c>
      <c r="U138" s="162" t="s">
        <v>2708</v>
      </c>
      <c r="V138" s="162" t="s">
        <v>54</v>
      </c>
      <c r="W138" s="237" t="s">
        <v>125</v>
      </c>
      <c r="X138" s="173" t="s">
        <v>2709</v>
      </c>
    </row>
    <row r="139" spans="1:24" hidden="1">
      <c r="A139" s="161">
        <v>45705</v>
      </c>
      <c r="B139" s="133" t="s">
        <v>2976</v>
      </c>
      <c r="C139" s="32" t="s">
        <v>2697</v>
      </c>
      <c r="D139" s="119">
        <v>-54</v>
      </c>
      <c r="E139" s="120">
        <v>1</v>
      </c>
      <c r="F139" s="121">
        <f>Tabla5109[[#This Row],[Original Amount]]*Tabla5109[[#This Row],[ER to EUR]]</f>
        <v>-54</v>
      </c>
      <c r="G139" s="9" t="s">
        <v>2833</v>
      </c>
      <c r="H139" s="9" t="s">
        <v>2834</v>
      </c>
      <c r="I139" s="9" t="s">
        <v>2713</v>
      </c>
      <c r="J139" s="9" t="s">
        <v>2701</v>
      </c>
      <c r="K139" s="205" t="s">
        <v>2771</v>
      </c>
      <c r="L139" s="211" t="s">
        <v>2818</v>
      </c>
      <c r="M139" s="32" t="s">
        <v>125</v>
      </c>
      <c r="N139" s="122" t="s">
        <v>2704</v>
      </c>
      <c r="O139" s="129" t="s">
        <v>2704</v>
      </c>
      <c r="P139" s="123" t="str">
        <f t="shared" si="4"/>
        <v>C1-2025</v>
      </c>
      <c r="Q139" s="123" t="str">
        <f t="shared" si="5"/>
        <v>T1-2025</v>
      </c>
      <c r="R139" s="91" t="s">
        <v>2819</v>
      </c>
      <c r="S139" s="123" t="s">
        <v>2817</v>
      </c>
      <c r="T139" s="123" t="s">
        <v>2724</v>
      </c>
      <c r="U139" s="162" t="s">
        <v>2708</v>
      </c>
      <c r="V139" s="162" t="s">
        <v>54</v>
      </c>
      <c r="W139" s="237" t="s">
        <v>125</v>
      </c>
      <c r="X139" s="173" t="s">
        <v>2709</v>
      </c>
    </row>
    <row r="140" spans="1:24" hidden="1">
      <c r="A140" s="161">
        <v>45706</v>
      </c>
      <c r="B140" s="132">
        <v>1871303</v>
      </c>
      <c r="C140" s="118" t="s">
        <v>2697</v>
      </c>
      <c r="D140" s="119">
        <v>-187.25</v>
      </c>
      <c r="E140" s="120">
        <v>1</v>
      </c>
      <c r="F140" s="121">
        <f>Tabla5109[[#This Row],[Original Amount]]*Tabla5109[[#This Row],[ER to EUR]]</f>
        <v>-187.25</v>
      </c>
      <c r="G140" s="9" t="s">
        <v>2815</v>
      </c>
      <c r="H140" s="9" t="s">
        <v>2816</v>
      </c>
      <c r="I140" s="9" t="s">
        <v>2727</v>
      </c>
      <c r="J140" s="9" t="s">
        <v>2817</v>
      </c>
      <c r="K140" s="205" t="s">
        <v>2702</v>
      </c>
      <c r="L140" s="9" t="s">
        <v>2818</v>
      </c>
      <c r="M140" s="32" t="s">
        <v>125</v>
      </c>
      <c r="N140" s="129" t="s">
        <v>2704</v>
      </c>
      <c r="O140" s="122" t="s">
        <v>2704</v>
      </c>
      <c r="P140" s="123" t="str">
        <f t="shared" si="4"/>
        <v>C1-2025</v>
      </c>
      <c r="Q140" s="123" t="str">
        <f t="shared" si="5"/>
        <v>T1-2025</v>
      </c>
      <c r="R140" s="124" t="s">
        <v>2819</v>
      </c>
      <c r="S140" s="123" t="s">
        <v>2723</v>
      </c>
      <c r="T140" s="123" t="s">
        <v>2724</v>
      </c>
      <c r="U140" s="162" t="s">
        <v>2708</v>
      </c>
      <c r="V140" s="162" t="s">
        <v>54</v>
      </c>
      <c r="W140" s="237" t="s">
        <v>125</v>
      </c>
      <c r="X140" s="173" t="s">
        <v>2709</v>
      </c>
    </row>
    <row r="141" spans="1:24" hidden="1">
      <c r="A141" s="161">
        <v>45706</v>
      </c>
      <c r="B141" s="128" t="s">
        <v>2977</v>
      </c>
      <c r="C141" s="122" t="s">
        <v>2697</v>
      </c>
      <c r="D141" s="119">
        <v>-118.99</v>
      </c>
      <c r="E141" s="120">
        <v>1</v>
      </c>
      <c r="F141" s="121">
        <f>Tabla5109[[#This Row],[Original Amount]]*Tabla5109[[#This Row],[ER to EUR]]</f>
        <v>-118.99</v>
      </c>
      <c r="G141" s="9" t="s">
        <v>2812</v>
      </c>
      <c r="H141" s="73" t="s">
        <v>2813</v>
      </c>
      <c r="I141" s="9" t="s">
        <v>2727</v>
      </c>
      <c r="J141" s="9" t="s">
        <v>2714</v>
      </c>
      <c r="K141" s="205" t="s">
        <v>2814</v>
      </c>
      <c r="L141" s="9" t="s">
        <v>2799</v>
      </c>
      <c r="M141" s="32" t="s">
        <v>125</v>
      </c>
      <c r="N141" s="129" t="s">
        <v>2704</v>
      </c>
      <c r="O141" s="122" t="s">
        <v>2704</v>
      </c>
      <c r="P141" s="123" t="str">
        <f t="shared" si="4"/>
        <v>C1-2025</v>
      </c>
      <c r="Q141" s="123" t="str">
        <f t="shared" si="5"/>
        <v>T1-2025</v>
      </c>
      <c r="R141" s="124" t="s">
        <v>2705</v>
      </c>
      <c r="S141" s="124" t="s">
        <v>2706</v>
      </c>
      <c r="T141" s="123" t="s">
        <v>2724</v>
      </c>
      <c r="U141" s="162" t="s">
        <v>2708</v>
      </c>
      <c r="V141" s="162" t="s">
        <v>56</v>
      </c>
      <c r="W141" s="237" t="s">
        <v>125</v>
      </c>
      <c r="X141" s="173" t="s">
        <v>2709</v>
      </c>
    </row>
    <row r="142" spans="1:24" hidden="1">
      <c r="A142" s="161">
        <v>45706</v>
      </c>
      <c r="B142" s="117" t="s">
        <v>2978</v>
      </c>
      <c r="C142" s="122" t="s">
        <v>2697</v>
      </c>
      <c r="D142" s="119">
        <v>-48</v>
      </c>
      <c r="E142" s="120">
        <v>1</v>
      </c>
      <c r="F142" s="121">
        <f>Tabla5109[[#This Row],[Original Amount]]*Tabla5109[[#This Row],[ER to EUR]]</f>
        <v>-48</v>
      </c>
      <c r="G142" s="9" t="s">
        <v>2884</v>
      </c>
      <c r="H142" s="73" t="s">
        <v>2885</v>
      </c>
      <c r="I142" s="9" t="s">
        <v>2779</v>
      </c>
      <c r="J142" s="9" t="s">
        <v>2723</v>
      </c>
      <c r="K142" s="205" t="s">
        <v>2792</v>
      </c>
      <c r="L142" s="9" t="s">
        <v>2793</v>
      </c>
      <c r="M142" s="32" t="s">
        <v>125</v>
      </c>
      <c r="N142" s="129" t="s">
        <v>2704</v>
      </c>
      <c r="O142" s="122" t="s">
        <v>2704</v>
      </c>
      <c r="P142" s="123" t="str">
        <f t="shared" si="4"/>
        <v>C1-2025</v>
      </c>
      <c r="Q142" s="123" t="str">
        <f t="shared" si="5"/>
        <v>T1-2025</v>
      </c>
      <c r="R142" s="124" t="s">
        <v>2741</v>
      </c>
      <c r="S142" s="123" t="s">
        <v>2723</v>
      </c>
      <c r="T142" s="123" t="s">
        <v>2707</v>
      </c>
      <c r="U142" s="162" t="s">
        <v>2708</v>
      </c>
      <c r="V142" s="162" t="s">
        <v>54</v>
      </c>
      <c r="W142" s="237" t="s">
        <v>125</v>
      </c>
      <c r="X142" s="173" t="s">
        <v>2709</v>
      </c>
    </row>
    <row r="143" spans="1:24" hidden="1">
      <c r="A143" s="161">
        <v>45706</v>
      </c>
      <c r="B143" s="133" t="s">
        <v>2979</v>
      </c>
      <c r="C143" s="122" t="s">
        <v>2697</v>
      </c>
      <c r="D143" s="119">
        <v>-1.66</v>
      </c>
      <c r="E143" s="120">
        <v>1</v>
      </c>
      <c r="F143" s="121">
        <f>Tabla5109[[#This Row],[Original Amount]]*Tabla5109[[#This Row],[ER to EUR]]</f>
        <v>-1.66</v>
      </c>
      <c r="G143" s="9" t="s">
        <v>2884</v>
      </c>
      <c r="H143" s="73" t="s">
        <v>2885</v>
      </c>
      <c r="I143" s="9" t="s">
        <v>2899</v>
      </c>
      <c r="J143" s="9" t="s">
        <v>2723</v>
      </c>
      <c r="K143" s="205" t="s">
        <v>2792</v>
      </c>
      <c r="L143" s="9" t="s">
        <v>2793</v>
      </c>
      <c r="M143" s="32" t="s">
        <v>125</v>
      </c>
      <c r="N143" s="129" t="s">
        <v>2704</v>
      </c>
      <c r="O143" s="122" t="s">
        <v>2704</v>
      </c>
      <c r="P143" s="123" t="str">
        <f t="shared" si="4"/>
        <v>C1-2025</v>
      </c>
      <c r="Q143" s="123" t="str">
        <f t="shared" si="5"/>
        <v>T1-2025</v>
      </c>
      <c r="R143" s="124" t="s">
        <v>2741</v>
      </c>
      <c r="S143" s="123" t="s">
        <v>2723</v>
      </c>
      <c r="T143" s="123" t="s">
        <v>2707</v>
      </c>
      <c r="U143" s="162" t="s">
        <v>2708</v>
      </c>
      <c r="V143" s="162" t="s">
        <v>54</v>
      </c>
      <c r="W143" s="237" t="s">
        <v>125</v>
      </c>
      <c r="X143" s="173" t="s">
        <v>2709</v>
      </c>
    </row>
    <row r="144" spans="1:24" hidden="1">
      <c r="A144" s="161">
        <v>45708</v>
      </c>
      <c r="B144" s="132">
        <v>202412017</v>
      </c>
      <c r="C144" s="122" t="s">
        <v>2697</v>
      </c>
      <c r="D144" s="119">
        <v>-983.4</v>
      </c>
      <c r="E144" s="120">
        <v>1</v>
      </c>
      <c r="F144" s="121">
        <f>Tabla5109[[#This Row],[Original Amount]]*Tabla5109[[#This Row],[ER to EUR]]</f>
        <v>-983.4</v>
      </c>
      <c r="G144" s="9" t="s">
        <v>2980</v>
      </c>
      <c r="H144" s="9" t="s">
        <v>2981</v>
      </c>
      <c r="I144" s="9" t="s">
        <v>2727</v>
      </c>
      <c r="J144" s="9" t="s">
        <v>2714</v>
      </c>
      <c r="K144" s="205" t="s">
        <v>2715</v>
      </c>
      <c r="L144" s="9" t="s">
        <v>2716</v>
      </c>
      <c r="M144" s="32" t="s">
        <v>125</v>
      </c>
      <c r="N144" s="129" t="s">
        <v>2704</v>
      </c>
      <c r="O144" s="122" t="s">
        <v>2704</v>
      </c>
      <c r="P144" s="123" t="str">
        <f t="shared" si="4"/>
        <v>C1-2025</v>
      </c>
      <c r="Q144" s="123" t="str">
        <f t="shared" si="5"/>
        <v>T1-2025</v>
      </c>
      <c r="R144" s="124" t="s">
        <v>2705</v>
      </c>
      <c r="S144" s="123" t="s">
        <v>2735</v>
      </c>
      <c r="T144" s="123" t="s">
        <v>2717</v>
      </c>
      <c r="U144" s="162" t="s">
        <v>2708</v>
      </c>
      <c r="V144" s="162" t="s">
        <v>56</v>
      </c>
      <c r="W144" s="237" t="s">
        <v>125</v>
      </c>
      <c r="X144" s="173" t="s">
        <v>2709</v>
      </c>
    </row>
    <row r="145" spans="1:24" hidden="1">
      <c r="A145" s="161">
        <v>45708</v>
      </c>
      <c r="B145" s="130" t="s">
        <v>2982</v>
      </c>
      <c r="C145" s="122" t="s">
        <v>2697</v>
      </c>
      <c r="D145" s="119">
        <v>-39.270000000000003</v>
      </c>
      <c r="E145" s="120">
        <v>1</v>
      </c>
      <c r="F145" s="121">
        <f>Tabla5109[[#This Row],[Original Amount]]*Tabla5109[[#This Row],[ER to EUR]]</f>
        <v>-39.270000000000003</v>
      </c>
      <c r="G145" s="9" t="s">
        <v>2753</v>
      </c>
      <c r="H145" s="73" t="s">
        <v>2983</v>
      </c>
      <c r="I145" s="9" t="s">
        <v>2755</v>
      </c>
      <c r="J145" s="9" t="s">
        <v>2701</v>
      </c>
      <c r="K145" s="205" t="s">
        <v>2702</v>
      </c>
      <c r="L145" s="9" t="s">
        <v>2703</v>
      </c>
      <c r="M145" s="32" t="s">
        <v>125</v>
      </c>
      <c r="N145" s="129" t="s">
        <v>2704</v>
      </c>
      <c r="O145" s="122" t="s">
        <v>2704</v>
      </c>
      <c r="P145" s="123" t="str">
        <f t="shared" si="4"/>
        <v>C1-2025</v>
      </c>
      <c r="Q145" s="123" t="str">
        <f t="shared" si="5"/>
        <v>T1-2025</v>
      </c>
      <c r="R145" s="124" t="s">
        <v>2705</v>
      </c>
      <c r="S145" s="124" t="s">
        <v>2706</v>
      </c>
      <c r="T145" s="123" t="s">
        <v>2707</v>
      </c>
      <c r="U145" s="162" t="s">
        <v>2708</v>
      </c>
      <c r="V145" s="162" t="s">
        <v>56</v>
      </c>
      <c r="W145" s="237" t="s">
        <v>125</v>
      </c>
      <c r="X145" s="173" t="s">
        <v>2709</v>
      </c>
    </row>
    <row r="146" spans="1:24" hidden="1">
      <c r="A146" s="161">
        <v>45708</v>
      </c>
      <c r="B146" s="133" t="s">
        <v>2984</v>
      </c>
      <c r="C146" s="122" t="s">
        <v>2697</v>
      </c>
      <c r="D146" s="119">
        <v>-13</v>
      </c>
      <c r="E146" s="120">
        <v>1</v>
      </c>
      <c r="F146" s="121">
        <f>Tabla5109[[#This Row],[Original Amount]]*Tabla5109[[#This Row],[ER to EUR]]</f>
        <v>-13</v>
      </c>
      <c r="G146" s="9" t="s">
        <v>2884</v>
      </c>
      <c r="H146" s="73" t="s">
        <v>2885</v>
      </c>
      <c r="I146" s="9" t="s">
        <v>2899</v>
      </c>
      <c r="J146" s="9" t="s">
        <v>2723</v>
      </c>
      <c r="K146" s="205" t="s">
        <v>2792</v>
      </c>
      <c r="L146" s="9" t="s">
        <v>2793</v>
      </c>
      <c r="M146" s="32" t="s">
        <v>125</v>
      </c>
      <c r="N146" s="129" t="s">
        <v>2704</v>
      </c>
      <c r="O146" s="122" t="s">
        <v>2704</v>
      </c>
      <c r="P146" s="123" t="str">
        <f t="shared" si="4"/>
        <v>C1-2025</v>
      </c>
      <c r="Q146" s="123" t="str">
        <f t="shared" si="5"/>
        <v>T1-2025</v>
      </c>
      <c r="R146" s="124" t="s">
        <v>2741</v>
      </c>
      <c r="S146" s="123" t="s">
        <v>2723</v>
      </c>
      <c r="T146" s="123" t="s">
        <v>2707</v>
      </c>
      <c r="U146" s="162" t="s">
        <v>2708</v>
      </c>
      <c r="V146" s="162" t="s">
        <v>54</v>
      </c>
      <c r="W146" s="237" t="s">
        <v>125</v>
      </c>
      <c r="X146" s="173" t="s">
        <v>2709</v>
      </c>
    </row>
    <row r="147" spans="1:24" hidden="1">
      <c r="A147" s="161">
        <v>45708</v>
      </c>
      <c r="B147" s="133" t="s">
        <v>2985</v>
      </c>
      <c r="C147" s="122" t="s">
        <v>2697</v>
      </c>
      <c r="D147" s="119">
        <v>-15</v>
      </c>
      <c r="E147" s="120">
        <v>1</v>
      </c>
      <c r="F147" s="121">
        <f>Tabla5109[[#This Row],[Original Amount]]*Tabla5109[[#This Row],[ER to EUR]]</f>
        <v>-15</v>
      </c>
      <c r="G147" s="9" t="s">
        <v>2884</v>
      </c>
      <c r="H147" s="73" t="s">
        <v>2885</v>
      </c>
      <c r="I147" s="9" t="s">
        <v>2899</v>
      </c>
      <c r="J147" s="9" t="s">
        <v>2723</v>
      </c>
      <c r="K147" s="205" t="s">
        <v>2792</v>
      </c>
      <c r="L147" s="9" t="s">
        <v>2793</v>
      </c>
      <c r="M147" s="32" t="s">
        <v>125</v>
      </c>
      <c r="N147" s="129" t="s">
        <v>2704</v>
      </c>
      <c r="O147" s="122" t="s">
        <v>2704</v>
      </c>
      <c r="P147" s="123" t="str">
        <f t="shared" si="4"/>
        <v>C1-2025</v>
      </c>
      <c r="Q147" s="123" t="str">
        <f t="shared" si="5"/>
        <v>T1-2025</v>
      </c>
      <c r="R147" s="124" t="s">
        <v>2741</v>
      </c>
      <c r="S147" s="123" t="s">
        <v>2723</v>
      </c>
      <c r="T147" s="123" t="s">
        <v>2707</v>
      </c>
      <c r="U147" s="162" t="s">
        <v>2708</v>
      </c>
      <c r="V147" s="162" t="s">
        <v>54</v>
      </c>
      <c r="W147" s="237" t="s">
        <v>125</v>
      </c>
      <c r="X147" s="173" t="s">
        <v>2709</v>
      </c>
    </row>
    <row r="148" spans="1:24" hidden="1">
      <c r="A148" s="161">
        <v>45708</v>
      </c>
      <c r="B148" s="133" t="s">
        <v>2986</v>
      </c>
      <c r="C148" s="122" t="s">
        <v>2697</v>
      </c>
      <c r="D148" s="119">
        <v>-0.16</v>
      </c>
      <c r="E148" s="120">
        <v>1</v>
      </c>
      <c r="F148" s="121">
        <f>Tabla5109[[#This Row],[Original Amount]]*Tabla5109[[#This Row],[ER to EUR]]</f>
        <v>-0.16</v>
      </c>
      <c r="G148" s="9" t="s">
        <v>2884</v>
      </c>
      <c r="H148" s="73" t="s">
        <v>2885</v>
      </c>
      <c r="I148" s="9" t="s">
        <v>2899</v>
      </c>
      <c r="J148" s="9" t="s">
        <v>2723</v>
      </c>
      <c r="K148" s="205" t="s">
        <v>2792</v>
      </c>
      <c r="L148" s="9" t="s">
        <v>2793</v>
      </c>
      <c r="M148" s="32" t="s">
        <v>125</v>
      </c>
      <c r="N148" s="129" t="s">
        <v>2704</v>
      </c>
      <c r="O148" s="122" t="s">
        <v>2704</v>
      </c>
      <c r="P148" s="123" t="str">
        <f t="shared" si="4"/>
        <v>C1-2025</v>
      </c>
      <c r="Q148" s="123" t="str">
        <f t="shared" si="5"/>
        <v>T1-2025</v>
      </c>
      <c r="R148" s="124" t="s">
        <v>2741</v>
      </c>
      <c r="S148" s="123" t="s">
        <v>2723</v>
      </c>
      <c r="T148" s="123" t="s">
        <v>2707</v>
      </c>
      <c r="U148" s="162" t="s">
        <v>2708</v>
      </c>
      <c r="V148" s="162" t="s">
        <v>54</v>
      </c>
      <c r="W148" s="237" t="s">
        <v>125</v>
      </c>
      <c r="X148" s="173" t="s">
        <v>2709</v>
      </c>
    </row>
    <row r="149" spans="1:24" hidden="1">
      <c r="A149" s="161">
        <v>45708</v>
      </c>
      <c r="B149" s="133" t="s">
        <v>2987</v>
      </c>
      <c r="C149" s="122" t="s">
        <v>2697</v>
      </c>
      <c r="D149" s="119">
        <v>-17</v>
      </c>
      <c r="E149" s="120">
        <v>1</v>
      </c>
      <c r="F149" s="121">
        <f>Tabla5109[[#This Row],[Original Amount]]*Tabla5109[[#This Row],[ER to EUR]]</f>
        <v>-17</v>
      </c>
      <c r="G149" s="9" t="s">
        <v>2884</v>
      </c>
      <c r="H149" s="73" t="s">
        <v>2885</v>
      </c>
      <c r="I149" s="9" t="s">
        <v>2899</v>
      </c>
      <c r="J149" s="9" t="s">
        <v>2723</v>
      </c>
      <c r="K149" s="205" t="s">
        <v>2792</v>
      </c>
      <c r="L149" s="9" t="s">
        <v>2793</v>
      </c>
      <c r="M149" s="32" t="s">
        <v>125</v>
      </c>
      <c r="N149" s="129" t="s">
        <v>2704</v>
      </c>
      <c r="O149" s="122" t="s">
        <v>2704</v>
      </c>
      <c r="P149" s="123" t="str">
        <f t="shared" si="4"/>
        <v>C1-2025</v>
      </c>
      <c r="Q149" s="123" t="str">
        <f t="shared" si="5"/>
        <v>T1-2025</v>
      </c>
      <c r="R149" s="124" t="s">
        <v>2741</v>
      </c>
      <c r="S149" s="123" t="s">
        <v>2723</v>
      </c>
      <c r="T149" s="123" t="s">
        <v>2707</v>
      </c>
      <c r="U149" s="162" t="s">
        <v>2708</v>
      </c>
      <c r="V149" s="162" t="s">
        <v>54</v>
      </c>
      <c r="W149" s="237" t="s">
        <v>125</v>
      </c>
      <c r="X149" s="173" t="s">
        <v>2709</v>
      </c>
    </row>
    <row r="150" spans="1:24" hidden="1">
      <c r="A150" s="161">
        <v>45708</v>
      </c>
      <c r="B150" s="133" t="s">
        <v>2988</v>
      </c>
      <c r="C150" s="122" t="s">
        <v>2697</v>
      </c>
      <c r="D150" s="119">
        <v>-0.02</v>
      </c>
      <c r="E150" s="120">
        <v>1</v>
      </c>
      <c r="F150" s="121">
        <f>Tabla5109[[#This Row],[Original Amount]]*Tabla5109[[#This Row],[ER to EUR]]</f>
        <v>-0.02</v>
      </c>
      <c r="G150" s="9" t="s">
        <v>2884</v>
      </c>
      <c r="H150" s="73" t="s">
        <v>2885</v>
      </c>
      <c r="I150" s="9" t="s">
        <v>2899</v>
      </c>
      <c r="J150" s="9" t="s">
        <v>2723</v>
      </c>
      <c r="K150" s="205" t="s">
        <v>2792</v>
      </c>
      <c r="L150" s="9" t="s">
        <v>2793</v>
      </c>
      <c r="M150" s="32" t="s">
        <v>125</v>
      </c>
      <c r="N150" s="129" t="s">
        <v>2704</v>
      </c>
      <c r="O150" s="122" t="s">
        <v>2704</v>
      </c>
      <c r="P150" s="123" t="str">
        <f t="shared" si="4"/>
        <v>C1-2025</v>
      </c>
      <c r="Q150" s="123" t="str">
        <f t="shared" si="5"/>
        <v>T1-2025</v>
      </c>
      <c r="R150" s="124" t="s">
        <v>2741</v>
      </c>
      <c r="S150" s="123" t="s">
        <v>2723</v>
      </c>
      <c r="T150" s="123" t="s">
        <v>2707</v>
      </c>
      <c r="U150" s="162" t="s">
        <v>2708</v>
      </c>
      <c r="V150" s="162" t="s">
        <v>54</v>
      </c>
      <c r="W150" s="237" t="s">
        <v>125</v>
      </c>
      <c r="X150" s="173" t="s">
        <v>2709</v>
      </c>
    </row>
    <row r="151" spans="1:24" hidden="1">
      <c r="A151" s="161">
        <v>45708</v>
      </c>
      <c r="B151" s="117" t="s">
        <v>2989</v>
      </c>
      <c r="C151" s="122" t="s">
        <v>2697</v>
      </c>
      <c r="D151" s="119">
        <v>-53</v>
      </c>
      <c r="E151" s="120">
        <v>1</v>
      </c>
      <c r="F151" s="121">
        <f>Tabla5109[[#This Row],[Original Amount]]*Tabla5109[[#This Row],[ER to EUR]]</f>
        <v>-53</v>
      </c>
      <c r="G151" s="9" t="s">
        <v>2884</v>
      </c>
      <c r="H151" s="73" t="s">
        <v>2885</v>
      </c>
      <c r="I151" s="9" t="s">
        <v>2779</v>
      </c>
      <c r="J151" s="9" t="s">
        <v>2723</v>
      </c>
      <c r="K151" s="205" t="s">
        <v>2792</v>
      </c>
      <c r="L151" s="9" t="s">
        <v>2793</v>
      </c>
      <c r="M151" s="32" t="s">
        <v>125</v>
      </c>
      <c r="N151" s="129" t="s">
        <v>2704</v>
      </c>
      <c r="O151" s="122" t="s">
        <v>2704</v>
      </c>
      <c r="P151" s="123" t="str">
        <f t="shared" si="4"/>
        <v>C1-2025</v>
      </c>
      <c r="Q151" s="123" t="str">
        <f t="shared" si="5"/>
        <v>T1-2025</v>
      </c>
      <c r="R151" s="124" t="s">
        <v>2741</v>
      </c>
      <c r="S151" s="123" t="s">
        <v>2723</v>
      </c>
      <c r="T151" s="123" t="s">
        <v>2707</v>
      </c>
      <c r="U151" s="162" t="s">
        <v>2708</v>
      </c>
      <c r="V151" s="162" t="s">
        <v>54</v>
      </c>
      <c r="W151" s="237" t="s">
        <v>125</v>
      </c>
      <c r="X151" s="173" t="s">
        <v>2709</v>
      </c>
    </row>
    <row r="152" spans="1:24" hidden="1">
      <c r="A152" s="161">
        <v>45708</v>
      </c>
      <c r="B152" s="130" t="s">
        <v>2990</v>
      </c>
      <c r="C152" s="122" t="s">
        <v>2697</v>
      </c>
      <c r="D152" s="119">
        <v>-202.3</v>
      </c>
      <c r="E152" s="120">
        <v>1</v>
      </c>
      <c r="F152" s="121">
        <f>Tabla5109[[#This Row],[Original Amount]]*Tabla5109[[#This Row],[ER to EUR]]</f>
        <v>-202.3</v>
      </c>
      <c r="G152" s="9" t="s">
        <v>2943</v>
      </c>
      <c r="H152" s="73" t="s">
        <v>2991</v>
      </c>
      <c r="I152" s="9" t="s">
        <v>2945</v>
      </c>
      <c r="J152" s="9" t="s">
        <v>2770</v>
      </c>
      <c r="K152" s="205" t="s">
        <v>2946</v>
      </c>
      <c r="L152" s="9" t="s">
        <v>2772</v>
      </c>
      <c r="M152" s="32" t="s">
        <v>125</v>
      </c>
      <c r="N152" s="129" t="s">
        <v>2704</v>
      </c>
      <c r="O152" s="122" t="s">
        <v>2704</v>
      </c>
      <c r="P152" s="123" t="str">
        <f t="shared" si="4"/>
        <v>C1-2025</v>
      </c>
      <c r="Q152" s="123" t="str">
        <f t="shared" si="5"/>
        <v>T1-2025</v>
      </c>
      <c r="R152" s="124" t="s">
        <v>2705</v>
      </c>
      <c r="S152" s="124" t="s">
        <v>2706</v>
      </c>
      <c r="T152" s="123" t="s">
        <v>2724</v>
      </c>
      <c r="U152" s="162" t="s">
        <v>2708</v>
      </c>
      <c r="V152" s="162" t="s">
        <v>56</v>
      </c>
      <c r="W152" s="237" t="s">
        <v>125</v>
      </c>
      <c r="X152" s="173" t="s">
        <v>2709</v>
      </c>
    </row>
    <row r="153" spans="1:24" hidden="1">
      <c r="A153" s="161">
        <v>45709</v>
      </c>
      <c r="B153" s="130" t="s">
        <v>2992</v>
      </c>
      <c r="C153" s="122" t="s">
        <v>2697</v>
      </c>
      <c r="D153" s="119">
        <v>-78.66</v>
      </c>
      <c r="E153" s="120">
        <v>1</v>
      </c>
      <c r="F153" s="121">
        <f>Tabla5109[[#This Row],[Original Amount]]*Tabla5109[[#This Row],[ER to EUR]]</f>
        <v>-78.66</v>
      </c>
      <c r="G153" s="9" t="s">
        <v>2993</v>
      </c>
      <c r="H153" s="73" t="s">
        <v>2994</v>
      </c>
      <c r="I153" s="9" t="s">
        <v>2779</v>
      </c>
      <c r="J153" s="9" t="s">
        <v>2701</v>
      </c>
      <c r="K153" s="205" t="s">
        <v>2702</v>
      </c>
      <c r="L153" s="9" t="s">
        <v>2703</v>
      </c>
      <c r="M153" s="32" t="s">
        <v>125</v>
      </c>
      <c r="N153" s="129" t="s">
        <v>2704</v>
      </c>
      <c r="O153" s="122" t="s">
        <v>2704</v>
      </c>
      <c r="P153" s="123" t="str">
        <f t="shared" si="4"/>
        <v>C1-2025</v>
      </c>
      <c r="Q153" s="123" t="str">
        <f t="shared" si="5"/>
        <v>T1-2025</v>
      </c>
      <c r="R153" s="124" t="s">
        <v>2741</v>
      </c>
      <c r="S153" s="123" t="s">
        <v>2723</v>
      </c>
      <c r="T153" s="123" t="s">
        <v>2707</v>
      </c>
      <c r="U153" s="162" t="s">
        <v>2708</v>
      </c>
      <c r="V153" s="162" t="s">
        <v>54</v>
      </c>
      <c r="W153" s="237" t="s">
        <v>125</v>
      </c>
      <c r="X153" s="173" t="s">
        <v>2709</v>
      </c>
    </row>
    <row r="154" spans="1:24" hidden="1">
      <c r="A154" s="161">
        <v>45709</v>
      </c>
      <c r="B154" s="133" t="s">
        <v>2995</v>
      </c>
      <c r="C154" s="122" t="s">
        <v>2697</v>
      </c>
      <c r="D154" s="119">
        <v>-23</v>
      </c>
      <c r="E154" s="120">
        <v>1</v>
      </c>
      <c r="F154" s="121">
        <f>Tabla5109[[#This Row],[Original Amount]]*Tabla5109[[#This Row],[ER to EUR]]</f>
        <v>-23</v>
      </c>
      <c r="G154" s="9" t="s">
        <v>2996</v>
      </c>
      <c r="H154" s="73" t="s">
        <v>2997</v>
      </c>
      <c r="I154" s="9" t="s">
        <v>2727</v>
      </c>
      <c r="J154" s="9" t="s">
        <v>2701</v>
      </c>
      <c r="K154" s="205" t="s">
        <v>2702</v>
      </c>
      <c r="L154" s="9" t="s">
        <v>2703</v>
      </c>
      <c r="M154" s="32" t="s">
        <v>125</v>
      </c>
      <c r="N154" s="129" t="s">
        <v>2704</v>
      </c>
      <c r="O154" s="122" t="s">
        <v>2704</v>
      </c>
      <c r="P154" s="123" t="str">
        <f t="shared" si="4"/>
        <v>C1-2025</v>
      </c>
      <c r="Q154" s="123" t="str">
        <f t="shared" si="5"/>
        <v>T1-2025</v>
      </c>
      <c r="R154" s="124" t="s">
        <v>2705</v>
      </c>
      <c r="S154" s="123" t="s">
        <v>2735</v>
      </c>
      <c r="T154" s="123" t="s">
        <v>2724</v>
      </c>
      <c r="U154" s="162" t="s">
        <v>2708</v>
      </c>
      <c r="V154" s="162" t="s">
        <v>56</v>
      </c>
      <c r="W154" s="237" t="s">
        <v>125</v>
      </c>
      <c r="X154" s="173" t="s">
        <v>2709</v>
      </c>
    </row>
    <row r="155" spans="1:24" hidden="1">
      <c r="A155" s="161">
        <v>45709</v>
      </c>
      <c r="B155" s="131" t="s">
        <v>2998</v>
      </c>
      <c r="C155" s="122" t="s">
        <v>2697</v>
      </c>
      <c r="D155" s="119">
        <v>-19</v>
      </c>
      <c r="E155" s="120">
        <v>1</v>
      </c>
      <c r="F155" s="121">
        <f>Tabla5109[[#This Row],[Original Amount]]*Tabla5109[[#This Row],[ER to EUR]]</f>
        <v>-19</v>
      </c>
      <c r="G155" s="9" t="s">
        <v>2884</v>
      </c>
      <c r="H155" s="73" t="s">
        <v>2885</v>
      </c>
      <c r="I155" s="9" t="s">
        <v>2899</v>
      </c>
      <c r="J155" s="9" t="s">
        <v>2723</v>
      </c>
      <c r="K155" s="205" t="s">
        <v>2792</v>
      </c>
      <c r="L155" s="9" t="s">
        <v>2793</v>
      </c>
      <c r="M155" s="32" t="s">
        <v>125</v>
      </c>
      <c r="N155" s="129" t="s">
        <v>2704</v>
      </c>
      <c r="O155" s="122" t="s">
        <v>2704</v>
      </c>
      <c r="P155" s="123" t="str">
        <f t="shared" si="4"/>
        <v>C1-2025</v>
      </c>
      <c r="Q155" s="123" t="str">
        <f t="shared" si="5"/>
        <v>T1-2025</v>
      </c>
      <c r="R155" s="124" t="s">
        <v>2741</v>
      </c>
      <c r="S155" s="123" t="s">
        <v>2723</v>
      </c>
      <c r="T155" s="123" t="s">
        <v>2707</v>
      </c>
      <c r="U155" s="162" t="s">
        <v>2708</v>
      </c>
      <c r="V155" s="162" t="s">
        <v>54</v>
      </c>
      <c r="W155" s="237" t="s">
        <v>125</v>
      </c>
      <c r="X155" s="173" t="s">
        <v>2709</v>
      </c>
    </row>
    <row r="156" spans="1:24" hidden="1">
      <c r="A156" s="161">
        <v>45709</v>
      </c>
      <c r="B156" s="133" t="s">
        <v>2999</v>
      </c>
      <c r="C156" s="122" t="s">
        <v>2697</v>
      </c>
      <c r="D156" s="119">
        <v>-0.04</v>
      </c>
      <c r="E156" s="120">
        <v>1</v>
      </c>
      <c r="F156" s="121">
        <f>Tabla5109[[#This Row],[Original Amount]]*Tabla5109[[#This Row],[ER to EUR]]</f>
        <v>-0.04</v>
      </c>
      <c r="G156" s="9" t="s">
        <v>2884</v>
      </c>
      <c r="H156" s="73" t="s">
        <v>2885</v>
      </c>
      <c r="I156" s="9" t="s">
        <v>2899</v>
      </c>
      <c r="J156" s="9" t="s">
        <v>2723</v>
      </c>
      <c r="K156" s="205" t="s">
        <v>2792</v>
      </c>
      <c r="L156" s="9" t="s">
        <v>2793</v>
      </c>
      <c r="M156" s="32" t="s">
        <v>125</v>
      </c>
      <c r="N156" s="129" t="s">
        <v>2704</v>
      </c>
      <c r="O156" s="122" t="s">
        <v>2704</v>
      </c>
      <c r="P156" s="123" t="str">
        <f t="shared" si="4"/>
        <v>C1-2025</v>
      </c>
      <c r="Q156" s="123" t="str">
        <f t="shared" si="5"/>
        <v>T1-2025</v>
      </c>
      <c r="R156" s="124" t="s">
        <v>2741</v>
      </c>
      <c r="S156" s="123" t="s">
        <v>2723</v>
      </c>
      <c r="T156" s="123" t="s">
        <v>2707</v>
      </c>
      <c r="U156" s="162" t="s">
        <v>2708</v>
      </c>
      <c r="V156" s="162" t="s">
        <v>54</v>
      </c>
      <c r="W156" s="237" t="s">
        <v>125</v>
      </c>
      <c r="X156" s="173" t="s">
        <v>2709</v>
      </c>
    </row>
    <row r="157" spans="1:24" hidden="1">
      <c r="A157" s="161">
        <v>45709</v>
      </c>
      <c r="B157" s="133" t="s">
        <v>3000</v>
      </c>
      <c r="C157" s="122" t="s">
        <v>2697</v>
      </c>
      <c r="D157" s="119">
        <v>-21</v>
      </c>
      <c r="E157" s="120">
        <v>1</v>
      </c>
      <c r="F157" s="121">
        <f>Tabla5109[[#This Row],[Original Amount]]*Tabla5109[[#This Row],[ER to EUR]]</f>
        <v>-21</v>
      </c>
      <c r="G157" s="9" t="s">
        <v>2884</v>
      </c>
      <c r="H157" s="73" t="s">
        <v>2885</v>
      </c>
      <c r="I157" s="9" t="s">
        <v>2899</v>
      </c>
      <c r="J157" s="9" t="s">
        <v>2723</v>
      </c>
      <c r="K157" s="205" t="s">
        <v>2792</v>
      </c>
      <c r="L157" s="9" t="s">
        <v>2793</v>
      </c>
      <c r="M157" s="32" t="s">
        <v>125</v>
      </c>
      <c r="N157" s="129" t="s">
        <v>2704</v>
      </c>
      <c r="O157" s="122" t="s">
        <v>2704</v>
      </c>
      <c r="P157" s="123" t="str">
        <f t="shared" si="4"/>
        <v>C1-2025</v>
      </c>
      <c r="Q157" s="123" t="str">
        <f t="shared" si="5"/>
        <v>T1-2025</v>
      </c>
      <c r="R157" s="124" t="s">
        <v>2741</v>
      </c>
      <c r="S157" s="123" t="s">
        <v>2723</v>
      </c>
      <c r="T157" s="123" t="s">
        <v>2707</v>
      </c>
      <c r="U157" s="162" t="s">
        <v>2708</v>
      </c>
      <c r="V157" s="162" t="s">
        <v>54</v>
      </c>
      <c r="W157" s="237" t="s">
        <v>125</v>
      </c>
      <c r="X157" s="173" t="s">
        <v>2709</v>
      </c>
    </row>
    <row r="158" spans="1:24" hidden="1">
      <c r="A158" s="161">
        <v>45709</v>
      </c>
      <c r="B158" s="117" t="s">
        <v>3001</v>
      </c>
      <c r="C158" s="122" t="s">
        <v>2697</v>
      </c>
      <c r="D158" s="119">
        <v>-59</v>
      </c>
      <c r="E158" s="120">
        <v>1</v>
      </c>
      <c r="F158" s="121">
        <f>Tabla5109[[#This Row],[Original Amount]]*Tabla5109[[#This Row],[ER to EUR]]</f>
        <v>-59</v>
      </c>
      <c r="G158" s="9" t="s">
        <v>2884</v>
      </c>
      <c r="H158" s="73" t="s">
        <v>2885</v>
      </c>
      <c r="I158" s="9" t="s">
        <v>2779</v>
      </c>
      <c r="J158" s="9" t="s">
        <v>2723</v>
      </c>
      <c r="K158" s="205" t="s">
        <v>2792</v>
      </c>
      <c r="L158" s="9" t="s">
        <v>2793</v>
      </c>
      <c r="M158" s="32" t="s">
        <v>125</v>
      </c>
      <c r="N158" s="129" t="s">
        <v>2704</v>
      </c>
      <c r="O158" s="122" t="s">
        <v>2704</v>
      </c>
      <c r="P158" s="123" t="str">
        <f t="shared" si="4"/>
        <v>C1-2025</v>
      </c>
      <c r="Q158" s="123" t="str">
        <f t="shared" si="5"/>
        <v>T1-2025</v>
      </c>
      <c r="R158" s="124" t="s">
        <v>2741</v>
      </c>
      <c r="S158" s="123" t="s">
        <v>2723</v>
      </c>
      <c r="T158" s="123" t="s">
        <v>2707</v>
      </c>
      <c r="U158" s="162" t="s">
        <v>2708</v>
      </c>
      <c r="V158" s="162" t="s">
        <v>54</v>
      </c>
      <c r="W158" s="237" t="s">
        <v>125</v>
      </c>
      <c r="X158" s="173" t="s">
        <v>2709</v>
      </c>
    </row>
    <row r="159" spans="1:24" hidden="1">
      <c r="A159" s="161">
        <v>45709</v>
      </c>
      <c r="B159" s="133" t="s">
        <v>3002</v>
      </c>
      <c r="C159" s="122" t="s">
        <v>2697</v>
      </c>
      <c r="D159" s="119">
        <v>-0.05</v>
      </c>
      <c r="E159" s="120">
        <v>1</v>
      </c>
      <c r="F159" s="121">
        <f>Tabla5109[[#This Row],[Original Amount]]*Tabla5109[[#This Row],[ER to EUR]]</f>
        <v>-0.05</v>
      </c>
      <c r="G159" s="9" t="s">
        <v>2884</v>
      </c>
      <c r="H159" s="73" t="s">
        <v>2885</v>
      </c>
      <c r="I159" s="9" t="s">
        <v>2899</v>
      </c>
      <c r="J159" s="9" t="s">
        <v>2723</v>
      </c>
      <c r="K159" s="205" t="s">
        <v>2792</v>
      </c>
      <c r="L159" s="9" t="s">
        <v>2793</v>
      </c>
      <c r="M159" s="32" t="s">
        <v>125</v>
      </c>
      <c r="N159" s="129" t="s">
        <v>2704</v>
      </c>
      <c r="O159" s="122" t="s">
        <v>2704</v>
      </c>
      <c r="P159" s="123" t="str">
        <f t="shared" si="4"/>
        <v>C1-2025</v>
      </c>
      <c r="Q159" s="123" t="str">
        <f t="shared" si="5"/>
        <v>T1-2025</v>
      </c>
      <c r="R159" s="124" t="s">
        <v>2741</v>
      </c>
      <c r="S159" s="123" t="s">
        <v>2723</v>
      </c>
      <c r="T159" s="123" t="s">
        <v>2707</v>
      </c>
      <c r="U159" s="162" t="s">
        <v>2708</v>
      </c>
      <c r="V159" s="162" t="s">
        <v>54</v>
      </c>
      <c r="W159" s="237" t="s">
        <v>125</v>
      </c>
      <c r="X159" s="173" t="s">
        <v>2709</v>
      </c>
    </row>
    <row r="160" spans="1:24" hidden="1">
      <c r="A160" s="161">
        <v>45710</v>
      </c>
      <c r="B160" s="133" t="s">
        <v>3003</v>
      </c>
      <c r="C160" s="122" t="s">
        <v>2697</v>
      </c>
      <c r="D160" s="119">
        <v>-0.48</v>
      </c>
      <c r="E160" s="120">
        <v>1</v>
      </c>
      <c r="F160" s="121">
        <f>Tabla5109[[#This Row],[Original Amount]]*Tabla5109[[#This Row],[ER to EUR]]</f>
        <v>-0.48</v>
      </c>
      <c r="G160" s="9" t="s">
        <v>2884</v>
      </c>
      <c r="H160" s="73" t="s">
        <v>2885</v>
      </c>
      <c r="I160" s="9" t="s">
        <v>2899</v>
      </c>
      <c r="J160" s="9" t="s">
        <v>2723</v>
      </c>
      <c r="K160" s="205" t="s">
        <v>2792</v>
      </c>
      <c r="L160" s="9" t="s">
        <v>2793</v>
      </c>
      <c r="M160" s="32" t="s">
        <v>125</v>
      </c>
      <c r="N160" s="129" t="s">
        <v>2704</v>
      </c>
      <c r="O160" s="122" t="s">
        <v>2704</v>
      </c>
      <c r="P160" s="123" t="str">
        <f t="shared" si="4"/>
        <v>C1-2025</v>
      </c>
      <c r="Q160" s="123" t="str">
        <f t="shared" si="5"/>
        <v>T1-2025</v>
      </c>
      <c r="R160" s="124" t="s">
        <v>2741</v>
      </c>
      <c r="S160" s="123" t="s">
        <v>2723</v>
      </c>
      <c r="T160" s="123" t="s">
        <v>2707</v>
      </c>
      <c r="U160" s="162" t="s">
        <v>2708</v>
      </c>
      <c r="V160" s="162" t="s">
        <v>54</v>
      </c>
      <c r="W160" s="237" t="s">
        <v>125</v>
      </c>
      <c r="X160" s="173" t="s">
        <v>2709</v>
      </c>
    </row>
    <row r="161" spans="1:24" hidden="1">
      <c r="A161" s="161">
        <v>45710</v>
      </c>
      <c r="B161" s="133" t="s">
        <v>3004</v>
      </c>
      <c r="C161" s="122" t="s">
        <v>2697</v>
      </c>
      <c r="D161" s="119">
        <v>-0.28000000000000003</v>
      </c>
      <c r="E161" s="120">
        <v>1</v>
      </c>
      <c r="F161" s="121">
        <f>Tabla5109[[#This Row],[Original Amount]]*Tabla5109[[#This Row],[ER to EUR]]</f>
        <v>-0.28000000000000003</v>
      </c>
      <c r="G161" s="9" t="s">
        <v>2884</v>
      </c>
      <c r="H161" s="73" t="s">
        <v>2885</v>
      </c>
      <c r="I161" s="9" t="s">
        <v>2899</v>
      </c>
      <c r="J161" s="9" t="s">
        <v>2723</v>
      </c>
      <c r="K161" s="205" t="s">
        <v>2792</v>
      </c>
      <c r="L161" s="9" t="s">
        <v>2793</v>
      </c>
      <c r="M161" s="32" t="s">
        <v>125</v>
      </c>
      <c r="N161" s="129" t="s">
        <v>2704</v>
      </c>
      <c r="O161" s="122" t="s">
        <v>2704</v>
      </c>
      <c r="P161" s="123" t="str">
        <f t="shared" si="4"/>
        <v>C1-2025</v>
      </c>
      <c r="Q161" s="123" t="str">
        <f t="shared" si="5"/>
        <v>T1-2025</v>
      </c>
      <c r="R161" s="124" t="s">
        <v>2741</v>
      </c>
      <c r="S161" s="123" t="s">
        <v>2723</v>
      </c>
      <c r="T161" s="123" t="s">
        <v>2707</v>
      </c>
      <c r="U161" s="162" t="s">
        <v>2708</v>
      </c>
      <c r="V161" s="162" t="s">
        <v>54</v>
      </c>
      <c r="W161" s="237" t="s">
        <v>125</v>
      </c>
      <c r="X161" s="173" t="s">
        <v>2709</v>
      </c>
    </row>
    <row r="162" spans="1:24" hidden="1">
      <c r="A162" s="161">
        <v>45710</v>
      </c>
      <c r="B162" s="133" t="s">
        <v>3005</v>
      </c>
      <c r="C162" s="122" t="s">
        <v>2697</v>
      </c>
      <c r="D162" s="119">
        <v>-27</v>
      </c>
      <c r="E162" s="120">
        <v>1</v>
      </c>
      <c r="F162" s="121">
        <f>Tabla5109[[#This Row],[Original Amount]]*Tabla5109[[#This Row],[ER to EUR]]</f>
        <v>-27</v>
      </c>
      <c r="G162" s="9" t="s">
        <v>2884</v>
      </c>
      <c r="H162" s="73" t="s">
        <v>2885</v>
      </c>
      <c r="I162" s="9" t="s">
        <v>2899</v>
      </c>
      <c r="J162" s="9" t="s">
        <v>2723</v>
      </c>
      <c r="K162" s="205" t="s">
        <v>2792</v>
      </c>
      <c r="L162" s="9" t="s">
        <v>2793</v>
      </c>
      <c r="M162" s="32" t="s">
        <v>125</v>
      </c>
      <c r="N162" s="129" t="s">
        <v>2704</v>
      </c>
      <c r="O162" s="122" t="s">
        <v>2704</v>
      </c>
      <c r="P162" s="123" t="str">
        <f t="shared" si="4"/>
        <v>C1-2025</v>
      </c>
      <c r="Q162" s="123" t="str">
        <f t="shared" si="5"/>
        <v>T1-2025</v>
      </c>
      <c r="R162" s="124" t="s">
        <v>2741</v>
      </c>
      <c r="S162" s="123" t="s">
        <v>2723</v>
      </c>
      <c r="T162" s="123" t="s">
        <v>2707</v>
      </c>
      <c r="U162" s="162" t="s">
        <v>2708</v>
      </c>
      <c r="V162" s="162" t="s">
        <v>54</v>
      </c>
      <c r="W162" s="237" t="s">
        <v>125</v>
      </c>
      <c r="X162" s="173" t="s">
        <v>2709</v>
      </c>
    </row>
    <row r="163" spans="1:24" hidden="1">
      <c r="A163" s="161">
        <v>45710</v>
      </c>
      <c r="B163" s="133" t="s">
        <v>3006</v>
      </c>
      <c r="C163" s="122" t="s">
        <v>2697</v>
      </c>
      <c r="D163" s="119">
        <v>-24</v>
      </c>
      <c r="E163" s="120">
        <v>1</v>
      </c>
      <c r="F163" s="121">
        <f>Tabla5109[[#This Row],[Original Amount]]*Tabla5109[[#This Row],[ER to EUR]]</f>
        <v>-24</v>
      </c>
      <c r="G163" s="9" t="s">
        <v>2884</v>
      </c>
      <c r="H163" s="73" t="s">
        <v>2885</v>
      </c>
      <c r="I163" s="9" t="s">
        <v>2899</v>
      </c>
      <c r="J163" s="9" t="s">
        <v>2723</v>
      </c>
      <c r="K163" s="205" t="s">
        <v>2792</v>
      </c>
      <c r="L163" s="9" t="s">
        <v>2793</v>
      </c>
      <c r="M163" s="32" t="s">
        <v>125</v>
      </c>
      <c r="N163" s="129" t="s">
        <v>2704</v>
      </c>
      <c r="O163" s="122" t="s">
        <v>2704</v>
      </c>
      <c r="P163" s="123" t="str">
        <f t="shared" si="4"/>
        <v>C1-2025</v>
      </c>
      <c r="Q163" s="123" t="str">
        <f t="shared" si="5"/>
        <v>T1-2025</v>
      </c>
      <c r="R163" s="124" t="s">
        <v>2741</v>
      </c>
      <c r="S163" s="123" t="s">
        <v>2723</v>
      </c>
      <c r="T163" s="123" t="s">
        <v>2707</v>
      </c>
      <c r="U163" s="162" t="s">
        <v>2708</v>
      </c>
      <c r="V163" s="162" t="s">
        <v>54</v>
      </c>
      <c r="W163" s="237" t="s">
        <v>125</v>
      </c>
      <c r="X163" s="173" t="s">
        <v>2709</v>
      </c>
    </row>
    <row r="164" spans="1:24" hidden="1">
      <c r="A164" s="161">
        <v>45710</v>
      </c>
      <c r="B164" s="117" t="s">
        <v>3007</v>
      </c>
      <c r="C164" s="122" t="s">
        <v>2697</v>
      </c>
      <c r="D164" s="119">
        <v>-65</v>
      </c>
      <c r="E164" s="120">
        <v>1</v>
      </c>
      <c r="F164" s="121">
        <f>Tabla5109[[#This Row],[Original Amount]]*Tabla5109[[#This Row],[ER to EUR]]</f>
        <v>-65</v>
      </c>
      <c r="G164" s="9" t="s">
        <v>2884</v>
      </c>
      <c r="H164" s="73" t="s">
        <v>2885</v>
      </c>
      <c r="I164" s="9" t="s">
        <v>2779</v>
      </c>
      <c r="J164" s="9" t="s">
        <v>2723</v>
      </c>
      <c r="K164" s="205" t="s">
        <v>2792</v>
      </c>
      <c r="L164" s="9" t="s">
        <v>2793</v>
      </c>
      <c r="M164" s="32" t="s">
        <v>125</v>
      </c>
      <c r="N164" s="129" t="s">
        <v>2704</v>
      </c>
      <c r="O164" s="122" t="s">
        <v>2704</v>
      </c>
      <c r="P164" s="123" t="str">
        <f t="shared" si="4"/>
        <v>C1-2025</v>
      </c>
      <c r="Q164" s="123" t="str">
        <f t="shared" si="5"/>
        <v>T1-2025</v>
      </c>
      <c r="R164" s="124" t="s">
        <v>2741</v>
      </c>
      <c r="S164" s="123" t="s">
        <v>2723</v>
      </c>
      <c r="T164" s="123" t="s">
        <v>2707</v>
      </c>
      <c r="U164" s="162" t="s">
        <v>2708</v>
      </c>
      <c r="V164" s="162" t="s">
        <v>54</v>
      </c>
      <c r="W164" s="237" t="s">
        <v>125</v>
      </c>
      <c r="X164" s="173" t="s">
        <v>2709</v>
      </c>
    </row>
    <row r="165" spans="1:24" hidden="1">
      <c r="A165" s="161">
        <v>45711</v>
      </c>
      <c r="B165" s="125">
        <v>841264361507</v>
      </c>
      <c r="C165" s="118" t="s">
        <v>2697</v>
      </c>
      <c r="D165" s="119">
        <v>-200</v>
      </c>
      <c r="E165" s="120">
        <v>1</v>
      </c>
      <c r="F165" s="121">
        <f>Tabla5109[[#This Row],[Original Amount]]*Tabla5109[[#This Row],[ER to EUR]]</f>
        <v>-200</v>
      </c>
      <c r="G165" s="9" t="s">
        <v>3008</v>
      </c>
      <c r="H165" s="73" t="s">
        <v>3009</v>
      </c>
      <c r="I165" s="9" t="s">
        <v>2727</v>
      </c>
      <c r="J165" s="9" t="s">
        <v>2770</v>
      </c>
      <c r="K165" s="205" t="s">
        <v>2715</v>
      </c>
      <c r="L165" s="9" t="s">
        <v>2772</v>
      </c>
      <c r="M165" s="32" t="s">
        <v>125</v>
      </c>
      <c r="N165" s="129" t="s">
        <v>2704</v>
      </c>
      <c r="O165" s="122" t="s">
        <v>2704</v>
      </c>
      <c r="P165" s="123" t="str">
        <f t="shared" si="4"/>
        <v>C1-2025</v>
      </c>
      <c r="Q165" s="123" t="str">
        <f t="shared" si="5"/>
        <v>T1-2025</v>
      </c>
      <c r="R165" s="124" t="s">
        <v>2705</v>
      </c>
      <c r="S165" s="124" t="s">
        <v>2706</v>
      </c>
      <c r="T165" s="123" t="s">
        <v>2717</v>
      </c>
      <c r="U165" s="162" t="s">
        <v>2708</v>
      </c>
      <c r="V165" s="162" t="s">
        <v>56</v>
      </c>
      <c r="W165" s="237" t="s">
        <v>125</v>
      </c>
      <c r="X165" s="173" t="s">
        <v>2709</v>
      </c>
    </row>
    <row r="166" spans="1:24" hidden="1">
      <c r="A166" s="161">
        <v>45711</v>
      </c>
      <c r="B166" s="128" t="s">
        <v>3010</v>
      </c>
      <c r="C166" s="122" t="s">
        <v>2697</v>
      </c>
      <c r="D166" s="119">
        <v>-56.83</v>
      </c>
      <c r="E166" s="120">
        <v>1</v>
      </c>
      <c r="F166" s="121">
        <f>Tabla5109[[#This Row],[Original Amount]]*Tabla5109[[#This Row],[ER to EUR]]</f>
        <v>-56.83</v>
      </c>
      <c r="G166" s="9" t="s">
        <v>2851</v>
      </c>
      <c r="H166" s="73" t="s">
        <v>2852</v>
      </c>
      <c r="I166" s="9" t="s">
        <v>2713</v>
      </c>
      <c r="J166" s="9" t="s">
        <v>2701</v>
      </c>
      <c r="K166" s="205" t="s">
        <v>2702</v>
      </c>
      <c r="L166" s="9" t="s">
        <v>2788</v>
      </c>
      <c r="M166" s="32" t="s">
        <v>125</v>
      </c>
      <c r="N166" s="129" t="s">
        <v>2704</v>
      </c>
      <c r="O166" s="122" t="s">
        <v>2704</v>
      </c>
      <c r="P166" s="123" t="str">
        <f t="shared" si="4"/>
        <v>C1-2025</v>
      </c>
      <c r="Q166" s="123" t="str">
        <f t="shared" si="5"/>
        <v>T1-2025</v>
      </c>
      <c r="R166" s="124" t="s">
        <v>2794</v>
      </c>
      <c r="S166" s="123" t="s">
        <v>2731</v>
      </c>
      <c r="T166" s="123" t="s">
        <v>2724</v>
      </c>
      <c r="U166" s="162" t="s">
        <v>2708</v>
      </c>
      <c r="V166" s="162" t="s">
        <v>55</v>
      </c>
      <c r="W166" s="237" t="s">
        <v>125</v>
      </c>
      <c r="X166" s="173" t="s">
        <v>2709</v>
      </c>
    </row>
    <row r="167" spans="1:24" hidden="1">
      <c r="A167" s="161">
        <v>45711</v>
      </c>
      <c r="B167" s="133" t="s">
        <v>3011</v>
      </c>
      <c r="C167" s="122" t="s">
        <v>2697</v>
      </c>
      <c r="D167" s="119">
        <v>-0.88</v>
      </c>
      <c r="E167" s="120">
        <v>1</v>
      </c>
      <c r="F167" s="121">
        <f>Tabla5109[[#This Row],[Original Amount]]*Tabla5109[[#This Row],[ER to EUR]]</f>
        <v>-0.88</v>
      </c>
      <c r="G167" s="9" t="s">
        <v>2884</v>
      </c>
      <c r="H167" s="73" t="s">
        <v>2885</v>
      </c>
      <c r="I167" s="9" t="s">
        <v>2899</v>
      </c>
      <c r="J167" s="9" t="s">
        <v>2723</v>
      </c>
      <c r="K167" s="205" t="s">
        <v>2792</v>
      </c>
      <c r="L167" s="9" t="s">
        <v>2793</v>
      </c>
      <c r="M167" s="32" t="s">
        <v>125</v>
      </c>
      <c r="N167" s="129" t="s">
        <v>2704</v>
      </c>
      <c r="O167" s="122" t="s">
        <v>2704</v>
      </c>
      <c r="P167" s="123" t="str">
        <f t="shared" si="4"/>
        <v>C1-2025</v>
      </c>
      <c r="Q167" s="123" t="str">
        <f t="shared" si="5"/>
        <v>T1-2025</v>
      </c>
      <c r="R167" s="124" t="s">
        <v>2741</v>
      </c>
      <c r="S167" s="123" t="s">
        <v>2723</v>
      </c>
      <c r="T167" s="123" t="s">
        <v>2707</v>
      </c>
      <c r="U167" s="162" t="s">
        <v>2708</v>
      </c>
      <c r="V167" s="162" t="s">
        <v>54</v>
      </c>
      <c r="W167" s="237" t="s">
        <v>125</v>
      </c>
      <c r="X167" s="173" t="s">
        <v>2709</v>
      </c>
    </row>
    <row r="168" spans="1:24" hidden="1">
      <c r="A168" s="161">
        <v>45711</v>
      </c>
      <c r="B168" s="133" t="s">
        <v>3012</v>
      </c>
      <c r="C168" s="122" t="s">
        <v>2697</v>
      </c>
      <c r="D168" s="119">
        <v>-11.17</v>
      </c>
      <c r="E168" s="120">
        <v>1</v>
      </c>
      <c r="F168" s="121">
        <f>Tabla5109[[#This Row],[Original Amount]]*Tabla5109[[#This Row],[ER to EUR]]</f>
        <v>-11.17</v>
      </c>
      <c r="G168" s="9" t="s">
        <v>2884</v>
      </c>
      <c r="H168" s="73" t="s">
        <v>2885</v>
      </c>
      <c r="I168" s="9" t="s">
        <v>2899</v>
      </c>
      <c r="J168" s="9" t="s">
        <v>2723</v>
      </c>
      <c r="K168" s="205" t="s">
        <v>2792</v>
      </c>
      <c r="L168" s="9" t="s">
        <v>2793</v>
      </c>
      <c r="M168" s="32" t="s">
        <v>125</v>
      </c>
      <c r="N168" s="129" t="s">
        <v>2704</v>
      </c>
      <c r="O168" s="122" t="s">
        <v>2704</v>
      </c>
      <c r="P168" s="123" t="str">
        <f t="shared" si="4"/>
        <v>C1-2025</v>
      </c>
      <c r="Q168" s="123" t="str">
        <f t="shared" si="5"/>
        <v>T1-2025</v>
      </c>
      <c r="R168" s="124" t="s">
        <v>2741</v>
      </c>
      <c r="S168" s="123" t="s">
        <v>2723</v>
      </c>
      <c r="T168" s="123" t="s">
        <v>2707</v>
      </c>
      <c r="U168" s="162" t="s">
        <v>2708</v>
      </c>
      <c r="V168" s="162" t="s">
        <v>54</v>
      </c>
      <c r="W168" s="237" t="s">
        <v>125</v>
      </c>
      <c r="X168" s="173" t="s">
        <v>2709</v>
      </c>
    </row>
    <row r="169" spans="1:24" hidden="1">
      <c r="A169" s="161">
        <v>45711</v>
      </c>
      <c r="B169" s="133" t="s">
        <v>3013</v>
      </c>
      <c r="C169" s="122" t="s">
        <v>2697</v>
      </c>
      <c r="D169" s="119">
        <v>-30.85</v>
      </c>
      <c r="E169" s="120">
        <v>1</v>
      </c>
      <c r="F169" s="121">
        <f>Tabla5109[[#This Row],[Original Amount]]*Tabla5109[[#This Row],[ER to EUR]]</f>
        <v>-30.85</v>
      </c>
      <c r="G169" s="9" t="s">
        <v>2884</v>
      </c>
      <c r="H169" s="73" t="s">
        <v>2885</v>
      </c>
      <c r="I169" s="9" t="s">
        <v>2899</v>
      </c>
      <c r="J169" s="9" t="s">
        <v>2723</v>
      </c>
      <c r="K169" s="205" t="s">
        <v>2792</v>
      </c>
      <c r="L169" s="9" t="s">
        <v>2793</v>
      </c>
      <c r="M169" s="32" t="s">
        <v>125</v>
      </c>
      <c r="N169" s="129" t="s">
        <v>2704</v>
      </c>
      <c r="O169" s="122" t="s">
        <v>2704</v>
      </c>
      <c r="P169" s="123" t="str">
        <f t="shared" si="4"/>
        <v>C1-2025</v>
      </c>
      <c r="Q169" s="123" t="str">
        <f t="shared" si="5"/>
        <v>T1-2025</v>
      </c>
      <c r="R169" s="124" t="s">
        <v>2741</v>
      </c>
      <c r="S169" s="123" t="s">
        <v>2723</v>
      </c>
      <c r="T169" s="123" t="s">
        <v>2707</v>
      </c>
      <c r="U169" s="162" t="s">
        <v>2708</v>
      </c>
      <c r="V169" s="162" t="s">
        <v>54</v>
      </c>
      <c r="W169" s="237" t="s">
        <v>125</v>
      </c>
      <c r="X169" s="173" t="s">
        <v>2709</v>
      </c>
    </row>
    <row r="170" spans="1:24" hidden="1">
      <c r="A170" s="161">
        <v>45711</v>
      </c>
      <c r="B170" s="133" t="s">
        <v>3014</v>
      </c>
      <c r="C170" s="122" t="s">
        <v>2697</v>
      </c>
      <c r="D170" s="119">
        <v>-0.27</v>
      </c>
      <c r="E170" s="120">
        <v>1</v>
      </c>
      <c r="F170" s="121">
        <f>Tabla5109[[#This Row],[Original Amount]]*Tabla5109[[#This Row],[ER to EUR]]</f>
        <v>-0.27</v>
      </c>
      <c r="G170" s="9" t="s">
        <v>2884</v>
      </c>
      <c r="H170" s="73" t="s">
        <v>2885</v>
      </c>
      <c r="I170" s="9" t="s">
        <v>2899</v>
      </c>
      <c r="J170" s="9" t="s">
        <v>2723</v>
      </c>
      <c r="K170" s="4" t="s">
        <v>2792</v>
      </c>
      <c r="L170" s="9" t="s">
        <v>2793</v>
      </c>
      <c r="M170" s="32" t="s">
        <v>125</v>
      </c>
      <c r="N170" s="129" t="s">
        <v>2704</v>
      </c>
      <c r="O170" s="122" t="s">
        <v>2704</v>
      </c>
      <c r="P170" s="123" t="str">
        <f t="shared" si="4"/>
        <v>C1-2025</v>
      </c>
      <c r="Q170" s="123" t="str">
        <f t="shared" si="5"/>
        <v>T1-2025</v>
      </c>
      <c r="R170" s="124" t="s">
        <v>2741</v>
      </c>
      <c r="S170" s="123" t="s">
        <v>2723</v>
      </c>
      <c r="T170" s="123" t="s">
        <v>2707</v>
      </c>
      <c r="U170" s="162" t="s">
        <v>2708</v>
      </c>
      <c r="V170" s="162" t="s">
        <v>54</v>
      </c>
      <c r="W170" s="237" t="s">
        <v>125</v>
      </c>
      <c r="X170" s="173" t="s">
        <v>2709</v>
      </c>
    </row>
    <row r="171" spans="1:24" hidden="1">
      <c r="A171" s="161">
        <v>45711</v>
      </c>
      <c r="B171" s="133" t="s">
        <v>3015</v>
      </c>
      <c r="C171" s="122" t="s">
        <v>2697</v>
      </c>
      <c r="D171" s="119">
        <v>-33</v>
      </c>
      <c r="E171" s="120">
        <v>1</v>
      </c>
      <c r="F171" s="121">
        <f>Tabla5109[[#This Row],[Original Amount]]*Tabla5109[[#This Row],[ER to EUR]]</f>
        <v>-33</v>
      </c>
      <c r="G171" s="9" t="s">
        <v>2884</v>
      </c>
      <c r="H171" s="73" t="s">
        <v>2885</v>
      </c>
      <c r="I171" s="9" t="s">
        <v>2899</v>
      </c>
      <c r="J171" s="37" t="s">
        <v>2723</v>
      </c>
      <c r="K171" s="217" t="s">
        <v>2792</v>
      </c>
      <c r="L171" s="37" t="s">
        <v>2793</v>
      </c>
      <c r="M171" s="32" t="s">
        <v>125</v>
      </c>
      <c r="N171" s="156" t="s">
        <v>2704</v>
      </c>
      <c r="O171" s="158" t="s">
        <v>2704</v>
      </c>
      <c r="P171" s="123" t="str">
        <f t="shared" si="4"/>
        <v>C1-2025</v>
      </c>
      <c r="Q171" s="123" t="str">
        <f t="shared" si="5"/>
        <v>T1-2025</v>
      </c>
      <c r="R171" s="124" t="s">
        <v>2741</v>
      </c>
      <c r="S171" s="123" t="s">
        <v>2723</v>
      </c>
      <c r="T171" s="123" t="s">
        <v>2707</v>
      </c>
      <c r="U171" s="162" t="s">
        <v>2708</v>
      </c>
      <c r="V171" s="162" t="s">
        <v>54</v>
      </c>
      <c r="W171" s="237" t="s">
        <v>125</v>
      </c>
      <c r="X171" s="173" t="s">
        <v>2709</v>
      </c>
    </row>
    <row r="172" spans="1:24" hidden="1">
      <c r="A172" s="161">
        <v>45711</v>
      </c>
      <c r="B172" s="133" t="s">
        <v>3016</v>
      </c>
      <c r="C172" s="122" t="s">
        <v>2697</v>
      </c>
      <c r="D172" s="119">
        <v>-30</v>
      </c>
      <c r="E172" s="120">
        <v>1</v>
      </c>
      <c r="F172" s="121">
        <f>Tabla5109[[#This Row],[Original Amount]]*Tabla5109[[#This Row],[ER to EUR]]</f>
        <v>-30</v>
      </c>
      <c r="G172" s="9" t="s">
        <v>2884</v>
      </c>
      <c r="H172" s="73" t="s">
        <v>2885</v>
      </c>
      <c r="I172" s="9" t="s">
        <v>2899</v>
      </c>
      <c r="J172" s="9" t="s">
        <v>2723</v>
      </c>
      <c r="K172" s="205" t="s">
        <v>2792</v>
      </c>
      <c r="L172" s="9" t="s">
        <v>2793</v>
      </c>
      <c r="M172" s="32" t="s">
        <v>125</v>
      </c>
      <c r="N172" s="129" t="s">
        <v>2704</v>
      </c>
      <c r="O172" s="122" t="s">
        <v>2704</v>
      </c>
      <c r="P172" s="123" t="str">
        <f t="shared" si="4"/>
        <v>C1-2025</v>
      </c>
      <c r="Q172" s="123" t="str">
        <f t="shared" si="5"/>
        <v>T1-2025</v>
      </c>
      <c r="R172" s="124" t="s">
        <v>2741</v>
      </c>
      <c r="S172" s="123" t="s">
        <v>2723</v>
      </c>
      <c r="T172" s="123" t="s">
        <v>2707</v>
      </c>
      <c r="U172" s="162" t="s">
        <v>2708</v>
      </c>
      <c r="V172" s="162" t="s">
        <v>54</v>
      </c>
      <c r="W172" s="237" t="s">
        <v>125</v>
      </c>
      <c r="X172" s="173" t="s">
        <v>2709</v>
      </c>
    </row>
    <row r="173" spans="1:24" hidden="1">
      <c r="A173" s="161">
        <v>45712</v>
      </c>
      <c r="B173" s="133" t="s">
        <v>3017</v>
      </c>
      <c r="C173" s="122" t="s">
        <v>2697</v>
      </c>
      <c r="D173" s="119">
        <v>-37</v>
      </c>
      <c r="E173" s="120">
        <v>1</v>
      </c>
      <c r="F173" s="121">
        <f>Tabla5109[[#This Row],[Original Amount]]*Tabla5109[[#This Row],[ER to EUR]]</f>
        <v>-37</v>
      </c>
      <c r="G173" s="9" t="s">
        <v>2884</v>
      </c>
      <c r="H173" s="73" t="s">
        <v>2885</v>
      </c>
      <c r="I173" s="9" t="s">
        <v>2899</v>
      </c>
      <c r="J173" s="37" t="s">
        <v>2723</v>
      </c>
      <c r="K173" s="217" t="s">
        <v>2792</v>
      </c>
      <c r="L173" s="37" t="s">
        <v>2793</v>
      </c>
      <c r="M173" s="32" t="s">
        <v>125</v>
      </c>
      <c r="N173" s="156" t="s">
        <v>2704</v>
      </c>
      <c r="O173" s="158" t="s">
        <v>2704</v>
      </c>
      <c r="P173" s="123" t="str">
        <f t="shared" si="4"/>
        <v>C1-2025</v>
      </c>
      <c r="Q173" s="123" t="str">
        <f t="shared" si="5"/>
        <v>T1-2025</v>
      </c>
      <c r="R173" s="124" t="s">
        <v>2741</v>
      </c>
      <c r="S173" s="123" t="s">
        <v>2723</v>
      </c>
      <c r="T173" s="123" t="s">
        <v>2707</v>
      </c>
      <c r="U173" s="162" t="s">
        <v>2708</v>
      </c>
      <c r="V173" s="162" t="s">
        <v>54</v>
      </c>
      <c r="W173" s="237" t="s">
        <v>125</v>
      </c>
      <c r="X173" s="173" t="s">
        <v>2709</v>
      </c>
    </row>
    <row r="174" spans="1:24" hidden="1">
      <c r="A174" s="161">
        <v>45712</v>
      </c>
      <c r="B174" s="133" t="s">
        <v>3018</v>
      </c>
      <c r="C174" s="122" t="s">
        <v>2697</v>
      </c>
      <c r="D174" s="119">
        <v>-0.13</v>
      </c>
      <c r="E174" s="120">
        <v>1</v>
      </c>
      <c r="F174" s="121">
        <f>Tabla5109[[#This Row],[Original Amount]]*Tabla5109[[#This Row],[ER to EUR]]</f>
        <v>-0.13</v>
      </c>
      <c r="G174" s="9" t="s">
        <v>2884</v>
      </c>
      <c r="H174" s="73" t="s">
        <v>2885</v>
      </c>
      <c r="I174" s="9" t="s">
        <v>2899</v>
      </c>
      <c r="J174" s="9" t="s">
        <v>2723</v>
      </c>
      <c r="K174" s="205" t="s">
        <v>2792</v>
      </c>
      <c r="L174" s="9" t="s">
        <v>2793</v>
      </c>
      <c r="M174" s="32" t="s">
        <v>125</v>
      </c>
      <c r="N174" s="129" t="s">
        <v>2704</v>
      </c>
      <c r="O174" s="122" t="s">
        <v>2704</v>
      </c>
      <c r="P174" s="123" t="str">
        <f t="shared" si="4"/>
        <v>C1-2025</v>
      </c>
      <c r="Q174" s="123" t="str">
        <f t="shared" si="5"/>
        <v>T1-2025</v>
      </c>
      <c r="R174" s="124" t="s">
        <v>2741</v>
      </c>
      <c r="S174" s="123" t="s">
        <v>2723</v>
      </c>
      <c r="T174" s="123" t="s">
        <v>2707</v>
      </c>
      <c r="U174" s="162" t="s">
        <v>2708</v>
      </c>
      <c r="V174" s="162" t="s">
        <v>54</v>
      </c>
      <c r="W174" s="237" t="s">
        <v>125</v>
      </c>
      <c r="X174" s="173" t="s">
        <v>2709</v>
      </c>
    </row>
    <row r="175" spans="1:24" hidden="1">
      <c r="A175" s="161">
        <v>45712</v>
      </c>
      <c r="B175" s="133" t="s">
        <v>3019</v>
      </c>
      <c r="C175" s="122" t="s">
        <v>2697</v>
      </c>
      <c r="D175" s="119">
        <v>-0.02</v>
      </c>
      <c r="E175" s="120">
        <v>1</v>
      </c>
      <c r="F175" s="121">
        <f>Tabla5109[[#This Row],[Original Amount]]*Tabla5109[[#This Row],[ER to EUR]]</f>
        <v>-0.02</v>
      </c>
      <c r="G175" s="9" t="s">
        <v>2884</v>
      </c>
      <c r="H175" s="73" t="s">
        <v>2885</v>
      </c>
      <c r="I175" s="9" t="s">
        <v>2899</v>
      </c>
      <c r="J175" s="9" t="s">
        <v>2723</v>
      </c>
      <c r="K175" s="205" t="s">
        <v>2792</v>
      </c>
      <c r="L175" s="9" t="s">
        <v>2793</v>
      </c>
      <c r="M175" s="32" t="s">
        <v>125</v>
      </c>
      <c r="N175" s="129" t="s">
        <v>2704</v>
      </c>
      <c r="O175" s="122" t="s">
        <v>2704</v>
      </c>
      <c r="P175" s="123" t="str">
        <f t="shared" si="4"/>
        <v>C1-2025</v>
      </c>
      <c r="Q175" s="123" t="str">
        <f t="shared" si="5"/>
        <v>T1-2025</v>
      </c>
      <c r="R175" s="124" t="s">
        <v>2741</v>
      </c>
      <c r="S175" s="123" t="s">
        <v>2723</v>
      </c>
      <c r="T175" s="123" t="s">
        <v>2707</v>
      </c>
      <c r="U175" s="162" t="s">
        <v>2708</v>
      </c>
      <c r="V175" s="162" t="s">
        <v>54</v>
      </c>
      <c r="W175" s="237" t="s">
        <v>125</v>
      </c>
      <c r="X175" s="173" t="s">
        <v>2709</v>
      </c>
    </row>
    <row r="176" spans="1:24" hidden="1">
      <c r="A176" s="161">
        <v>45712</v>
      </c>
      <c r="B176" s="117" t="s">
        <v>3020</v>
      </c>
      <c r="C176" s="122" t="s">
        <v>2697</v>
      </c>
      <c r="D176" s="119">
        <v>-60.98</v>
      </c>
      <c r="E176" s="120">
        <v>1</v>
      </c>
      <c r="F176" s="121">
        <f>Tabla5109[[#This Row],[Original Amount]]*Tabla5109[[#This Row],[ER to EUR]]</f>
        <v>-60.98</v>
      </c>
      <c r="G176" s="9" t="s">
        <v>2884</v>
      </c>
      <c r="H176" s="73" t="s">
        <v>2885</v>
      </c>
      <c r="I176" s="9" t="s">
        <v>2779</v>
      </c>
      <c r="J176" s="9" t="s">
        <v>2723</v>
      </c>
      <c r="K176" s="205" t="s">
        <v>2792</v>
      </c>
      <c r="L176" s="9" t="s">
        <v>2793</v>
      </c>
      <c r="M176" s="32" t="s">
        <v>125</v>
      </c>
      <c r="N176" s="129" t="s">
        <v>2704</v>
      </c>
      <c r="O176" s="122" t="s">
        <v>2704</v>
      </c>
      <c r="P176" s="123" t="str">
        <f t="shared" si="4"/>
        <v>C1-2025</v>
      </c>
      <c r="Q176" s="123" t="str">
        <f t="shared" si="5"/>
        <v>T1-2025</v>
      </c>
      <c r="R176" s="124" t="s">
        <v>2741</v>
      </c>
      <c r="S176" s="123" t="s">
        <v>2723</v>
      </c>
      <c r="T176" s="123" t="s">
        <v>2707</v>
      </c>
      <c r="U176" s="162" t="s">
        <v>2708</v>
      </c>
      <c r="V176" s="162" t="s">
        <v>54</v>
      </c>
      <c r="W176" s="237" t="s">
        <v>125</v>
      </c>
      <c r="X176" s="173" t="s">
        <v>2709</v>
      </c>
    </row>
    <row r="177" spans="1:24" hidden="1">
      <c r="A177" s="161">
        <v>45713</v>
      </c>
      <c r="B177" s="125">
        <v>78175350777</v>
      </c>
      <c r="C177" s="122" t="s">
        <v>2697</v>
      </c>
      <c r="D177" s="119">
        <v>-43.38</v>
      </c>
      <c r="E177" s="120">
        <v>1</v>
      </c>
      <c r="F177" s="121">
        <f>Tabla5109[[#This Row],[Original Amount]]*Tabla5109[[#This Row],[ER to EUR]]</f>
        <v>-43.38</v>
      </c>
      <c r="G177" s="9" t="s">
        <v>2718</v>
      </c>
      <c r="H177" s="73" t="s">
        <v>3021</v>
      </c>
      <c r="I177" s="9" t="s">
        <v>2720</v>
      </c>
      <c r="J177" s="9" t="s">
        <v>2714</v>
      </c>
      <c r="K177" s="205" t="s">
        <v>2721</v>
      </c>
      <c r="L177" s="9" t="s">
        <v>2716</v>
      </c>
      <c r="M177" s="32" t="s">
        <v>125</v>
      </c>
      <c r="N177" s="129" t="s">
        <v>2704</v>
      </c>
      <c r="O177" s="122" t="s">
        <v>2704</v>
      </c>
      <c r="P177" s="123" t="str">
        <f t="shared" si="4"/>
        <v>C1-2025</v>
      </c>
      <c r="Q177" s="123" t="str">
        <f t="shared" si="5"/>
        <v>T1-2025</v>
      </c>
      <c r="R177" s="124" t="s">
        <v>2722</v>
      </c>
      <c r="S177" s="123" t="s">
        <v>2723</v>
      </c>
      <c r="T177" s="123" t="s">
        <v>2724</v>
      </c>
      <c r="U177" s="162" t="s">
        <v>2708</v>
      </c>
      <c r="V177" s="162" t="s">
        <v>54</v>
      </c>
      <c r="W177" s="237" t="s">
        <v>125</v>
      </c>
      <c r="X177" s="173" t="s">
        <v>2709</v>
      </c>
    </row>
    <row r="178" spans="1:24" hidden="1">
      <c r="A178" s="161">
        <v>45713</v>
      </c>
      <c r="B178" s="130" t="s">
        <v>3022</v>
      </c>
      <c r="C178" s="122" t="s">
        <v>2697</v>
      </c>
      <c r="D178" s="119">
        <v>-47.24</v>
      </c>
      <c r="E178" s="120">
        <v>1</v>
      </c>
      <c r="F178" s="121">
        <f>Tabla5109[[#This Row],[Original Amount]]*Tabla5109[[#This Row],[ER to EUR]]</f>
        <v>-47.24</v>
      </c>
      <c r="G178" s="9" t="s">
        <v>2758</v>
      </c>
      <c r="H178" s="73" t="s">
        <v>2759</v>
      </c>
      <c r="I178" s="9" t="s">
        <v>2713</v>
      </c>
      <c r="J178" s="9" t="s">
        <v>2701</v>
      </c>
      <c r="K178" s="205" t="s">
        <v>2702</v>
      </c>
      <c r="L178" s="9" t="s">
        <v>2760</v>
      </c>
      <c r="M178" s="32" t="s">
        <v>125</v>
      </c>
      <c r="N178" s="129" t="s">
        <v>2704</v>
      </c>
      <c r="O178" s="122" t="s">
        <v>2704</v>
      </c>
      <c r="P178" s="123" t="str">
        <f t="shared" si="4"/>
        <v>C1-2025</v>
      </c>
      <c r="Q178" s="123" t="str">
        <f t="shared" si="5"/>
        <v>T1-2025</v>
      </c>
      <c r="R178" s="124" t="s">
        <v>2730</v>
      </c>
      <c r="S178" s="123" t="s">
        <v>2731</v>
      </c>
      <c r="T178" s="123" t="s">
        <v>2707</v>
      </c>
      <c r="U178" s="162" t="s">
        <v>2708</v>
      </c>
      <c r="V178" s="162" t="s">
        <v>55</v>
      </c>
      <c r="W178" s="237" t="s">
        <v>125</v>
      </c>
      <c r="X178" s="173" t="s">
        <v>2709</v>
      </c>
    </row>
    <row r="179" spans="1:24" hidden="1">
      <c r="A179" s="161">
        <v>45713</v>
      </c>
      <c r="B179" s="26" t="s">
        <v>3023</v>
      </c>
      <c r="C179" s="122" t="s">
        <v>2697</v>
      </c>
      <c r="D179" s="119">
        <v>-34.049999999999997</v>
      </c>
      <c r="E179" s="120">
        <v>1</v>
      </c>
      <c r="F179" s="121">
        <f>Tabla5109[[#This Row],[Original Amount]]*Tabla5109[[#This Row],[ER to EUR]]</f>
        <v>-34.049999999999997</v>
      </c>
      <c r="G179" s="9" t="s">
        <v>2758</v>
      </c>
      <c r="H179" s="73" t="s">
        <v>2759</v>
      </c>
      <c r="I179" s="9" t="s">
        <v>2713</v>
      </c>
      <c r="J179" s="9" t="s">
        <v>2701</v>
      </c>
      <c r="K179" s="205" t="s">
        <v>2702</v>
      </c>
      <c r="L179" s="9" t="s">
        <v>2760</v>
      </c>
      <c r="M179" s="32" t="s">
        <v>125</v>
      </c>
      <c r="N179" s="129" t="s">
        <v>2704</v>
      </c>
      <c r="O179" s="122" t="s">
        <v>2704</v>
      </c>
      <c r="P179" s="123" t="str">
        <f t="shared" si="4"/>
        <v>C1-2025</v>
      </c>
      <c r="Q179" s="123" t="str">
        <f t="shared" si="5"/>
        <v>T1-2025</v>
      </c>
      <c r="R179" s="124" t="s">
        <v>2730</v>
      </c>
      <c r="S179" s="123" t="s">
        <v>2731</v>
      </c>
      <c r="T179" s="123" t="s">
        <v>2707</v>
      </c>
      <c r="U179" s="162" t="s">
        <v>2708</v>
      </c>
      <c r="V179" s="162" t="s">
        <v>55</v>
      </c>
      <c r="W179" s="237" t="s">
        <v>125</v>
      </c>
      <c r="X179" s="173" t="s">
        <v>2709</v>
      </c>
    </row>
    <row r="180" spans="1:24" hidden="1">
      <c r="A180" s="161">
        <v>45713</v>
      </c>
      <c r="B180" s="133" t="s">
        <v>3024</v>
      </c>
      <c r="C180" s="122" t="s">
        <v>2697</v>
      </c>
      <c r="D180" s="119">
        <v>-41</v>
      </c>
      <c r="E180" s="120">
        <v>1</v>
      </c>
      <c r="F180" s="121">
        <f>Tabla5109[[#This Row],[Original Amount]]*Tabla5109[[#This Row],[ER to EUR]]</f>
        <v>-41</v>
      </c>
      <c r="G180" s="9" t="s">
        <v>2884</v>
      </c>
      <c r="H180" s="73" t="s">
        <v>2885</v>
      </c>
      <c r="I180" s="9" t="s">
        <v>2899</v>
      </c>
      <c r="J180" s="9" t="s">
        <v>2723</v>
      </c>
      <c r="K180" s="205" t="s">
        <v>2792</v>
      </c>
      <c r="L180" s="9" t="s">
        <v>2793</v>
      </c>
      <c r="M180" s="32" t="s">
        <v>125</v>
      </c>
      <c r="N180" s="129" t="s">
        <v>2704</v>
      </c>
      <c r="O180" s="122" t="s">
        <v>2704</v>
      </c>
      <c r="P180" s="123" t="str">
        <f t="shared" si="4"/>
        <v>C1-2025</v>
      </c>
      <c r="Q180" s="123" t="str">
        <f t="shared" si="5"/>
        <v>T1-2025</v>
      </c>
      <c r="R180" s="124" t="s">
        <v>2741</v>
      </c>
      <c r="S180" s="123" t="s">
        <v>2723</v>
      </c>
      <c r="T180" s="123" t="s">
        <v>2707</v>
      </c>
      <c r="U180" s="162" t="s">
        <v>2708</v>
      </c>
      <c r="V180" s="162" t="s">
        <v>54</v>
      </c>
      <c r="W180" s="237" t="s">
        <v>125</v>
      </c>
      <c r="X180" s="173" t="s">
        <v>2709</v>
      </c>
    </row>
    <row r="181" spans="1:24" hidden="1">
      <c r="A181" s="161">
        <v>45713</v>
      </c>
      <c r="B181" s="133" t="s">
        <v>3025</v>
      </c>
      <c r="C181" s="122" t="s">
        <v>2697</v>
      </c>
      <c r="D181" s="119">
        <v>-0.28999999999999998</v>
      </c>
      <c r="E181" s="120">
        <v>1</v>
      </c>
      <c r="F181" s="121">
        <f>Tabla5109[[#This Row],[Original Amount]]*Tabla5109[[#This Row],[ER to EUR]]</f>
        <v>-0.28999999999999998</v>
      </c>
      <c r="G181" s="9" t="s">
        <v>2884</v>
      </c>
      <c r="H181" s="73" t="s">
        <v>2885</v>
      </c>
      <c r="I181" s="9" t="s">
        <v>2899</v>
      </c>
      <c r="J181" s="9" t="s">
        <v>2723</v>
      </c>
      <c r="K181" s="205" t="s">
        <v>2792</v>
      </c>
      <c r="L181" s="9" t="s">
        <v>2793</v>
      </c>
      <c r="M181" s="32" t="s">
        <v>125</v>
      </c>
      <c r="N181" s="129" t="s">
        <v>2704</v>
      </c>
      <c r="O181" s="122" t="s">
        <v>2704</v>
      </c>
      <c r="P181" s="123" t="str">
        <f t="shared" si="4"/>
        <v>C1-2025</v>
      </c>
      <c r="Q181" s="123" t="str">
        <f t="shared" si="5"/>
        <v>T1-2025</v>
      </c>
      <c r="R181" s="124" t="s">
        <v>2741</v>
      </c>
      <c r="S181" s="123" t="s">
        <v>2723</v>
      </c>
      <c r="T181" s="123" t="s">
        <v>2707</v>
      </c>
      <c r="U181" s="162" t="s">
        <v>2708</v>
      </c>
      <c r="V181" s="162" t="s">
        <v>54</v>
      </c>
      <c r="W181" s="237" t="s">
        <v>125</v>
      </c>
      <c r="X181" s="173" t="s">
        <v>2709</v>
      </c>
    </row>
    <row r="182" spans="1:24" hidden="1">
      <c r="A182" s="161">
        <v>45713</v>
      </c>
      <c r="B182" s="133" t="s">
        <v>3026</v>
      </c>
      <c r="C182" s="122" t="s">
        <v>2697</v>
      </c>
      <c r="D182" s="119">
        <v>-16.29</v>
      </c>
      <c r="E182" s="120">
        <v>1</v>
      </c>
      <c r="F182" s="121">
        <f>Tabla5109[[#This Row],[Original Amount]]*Tabla5109[[#This Row],[ER to EUR]]</f>
        <v>-16.29</v>
      </c>
      <c r="G182" s="9" t="s">
        <v>2884</v>
      </c>
      <c r="H182" s="73" t="s">
        <v>2885</v>
      </c>
      <c r="I182" s="9" t="s">
        <v>2899</v>
      </c>
      <c r="J182" s="9" t="s">
        <v>2723</v>
      </c>
      <c r="K182" s="205" t="s">
        <v>2792</v>
      </c>
      <c r="L182" s="9" t="s">
        <v>2793</v>
      </c>
      <c r="M182" s="32" t="s">
        <v>125</v>
      </c>
      <c r="N182" s="129" t="s">
        <v>2704</v>
      </c>
      <c r="O182" s="122" t="s">
        <v>2704</v>
      </c>
      <c r="P182" s="123" t="str">
        <f t="shared" si="4"/>
        <v>C1-2025</v>
      </c>
      <c r="Q182" s="123" t="str">
        <f t="shared" si="5"/>
        <v>T1-2025</v>
      </c>
      <c r="R182" s="124" t="s">
        <v>2741</v>
      </c>
      <c r="S182" s="123" t="s">
        <v>2723</v>
      </c>
      <c r="T182" s="123" t="s">
        <v>2707</v>
      </c>
      <c r="U182" s="162" t="s">
        <v>2708</v>
      </c>
      <c r="V182" s="162" t="s">
        <v>54</v>
      </c>
      <c r="W182" s="237" t="s">
        <v>125</v>
      </c>
      <c r="X182" s="173" t="s">
        <v>2709</v>
      </c>
    </row>
    <row r="183" spans="1:24" hidden="1">
      <c r="A183" s="161">
        <v>45713</v>
      </c>
      <c r="B183" s="133" t="s">
        <v>3027</v>
      </c>
      <c r="C183" s="32" t="s">
        <v>2697</v>
      </c>
      <c r="D183" s="119">
        <v>-15.46</v>
      </c>
      <c r="E183" s="120">
        <v>1</v>
      </c>
      <c r="F183" s="121">
        <f>Tabla5109[[#This Row],[Original Amount]]*Tabla5109[[#This Row],[ER to EUR]]</f>
        <v>-15.46</v>
      </c>
      <c r="G183" s="9" t="s">
        <v>2830</v>
      </c>
      <c r="H183" s="9" t="s">
        <v>3028</v>
      </c>
      <c r="I183" s="9" t="s">
        <v>2739</v>
      </c>
      <c r="J183" s="9" t="s">
        <v>2817</v>
      </c>
      <c r="K183" s="205" t="s">
        <v>2702</v>
      </c>
      <c r="L183" s="9" t="s">
        <v>2818</v>
      </c>
      <c r="M183" s="32" t="s">
        <v>125</v>
      </c>
      <c r="N183" s="122" t="s">
        <v>2704</v>
      </c>
      <c r="O183" s="129" t="s">
        <v>2704</v>
      </c>
      <c r="P183" s="123" t="str">
        <f t="shared" si="4"/>
        <v>C1-2025</v>
      </c>
      <c r="Q183" s="123" t="str">
        <f t="shared" si="5"/>
        <v>T1-2025</v>
      </c>
      <c r="R183" s="124" t="s">
        <v>2722</v>
      </c>
      <c r="S183" s="123" t="s">
        <v>2723</v>
      </c>
      <c r="T183" s="123" t="s">
        <v>2724</v>
      </c>
      <c r="U183" s="162" t="s">
        <v>2708</v>
      </c>
      <c r="V183" s="162" t="s">
        <v>54</v>
      </c>
      <c r="W183" s="237" t="s">
        <v>125</v>
      </c>
      <c r="X183" s="173" t="s">
        <v>2709</v>
      </c>
    </row>
    <row r="184" spans="1:24" hidden="1">
      <c r="A184" s="161">
        <v>45714</v>
      </c>
      <c r="B184" s="133" t="s">
        <v>3029</v>
      </c>
      <c r="C184" s="122" t="s">
        <v>2697</v>
      </c>
      <c r="D184" s="119">
        <v>-8.9</v>
      </c>
      <c r="E184" s="120">
        <v>1</v>
      </c>
      <c r="F184" s="121">
        <f>Tabla5109[[#This Row],[Original Amount]]*Tabla5109[[#This Row],[ER to EUR]]</f>
        <v>-8.9</v>
      </c>
      <c r="G184" s="9" t="s">
        <v>2884</v>
      </c>
      <c r="H184" s="73" t="s">
        <v>2885</v>
      </c>
      <c r="I184" s="9" t="s">
        <v>2899</v>
      </c>
      <c r="J184" s="9" t="s">
        <v>2723</v>
      </c>
      <c r="K184" s="205" t="s">
        <v>2792</v>
      </c>
      <c r="L184" s="9" t="s">
        <v>2793</v>
      </c>
      <c r="M184" s="32" t="s">
        <v>125</v>
      </c>
      <c r="N184" s="129" t="s">
        <v>2704</v>
      </c>
      <c r="O184" s="122" t="s">
        <v>2704</v>
      </c>
      <c r="P184" s="123" t="str">
        <f t="shared" si="4"/>
        <v>C1-2025</v>
      </c>
      <c r="Q184" s="123" t="str">
        <f t="shared" si="5"/>
        <v>T1-2025</v>
      </c>
      <c r="R184" s="124" t="s">
        <v>2741</v>
      </c>
      <c r="S184" s="123" t="s">
        <v>2723</v>
      </c>
      <c r="T184" s="123" t="s">
        <v>2707</v>
      </c>
      <c r="U184" s="162" t="s">
        <v>2708</v>
      </c>
      <c r="V184" s="162" t="s">
        <v>54</v>
      </c>
      <c r="W184" s="237" t="s">
        <v>125</v>
      </c>
      <c r="X184" s="173" t="s">
        <v>2709</v>
      </c>
    </row>
    <row r="185" spans="1:24" hidden="1">
      <c r="A185" s="161">
        <v>45714</v>
      </c>
      <c r="B185" s="133" t="s">
        <v>3030</v>
      </c>
      <c r="C185" s="32" t="s">
        <v>2697</v>
      </c>
      <c r="D185" s="119">
        <v>-38.979999999999997</v>
      </c>
      <c r="E185" s="120">
        <v>1</v>
      </c>
      <c r="F185" s="121">
        <f>Tabla5109[[#This Row],[Original Amount]]*Tabla5109[[#This Row],[ER to EUR]]</f>
        <v>-38.979999999999997</v>
      </c>
      <c r="G185" s="9" t="s">
        <v>2830</v>
      </c>
      <c r="H185" s="9" t="s">
        <v>3031</v>
      </c>
      <c r="I185" s="9" t="s">
        <v>2739</v>
      </c>
      <c r="J185" s="9" t="s">
        <v>2817</v>
      </c>
      <c r="K185" s="205" t="s">
        <v>2702</v>
      </c>
      <c r="L185" s="9" t="s">
        <v>2818</v>
      </c>
      <c r="M185" s="32" t="s">
        <v>125</v>
      </c>
      <c r="N185" s="122" t="s">
        <v>2704</v>
      </c>
      <c r="O185" s="129" t="s">
        <v>2704</v>
      </c>
      <c r="P185" s="123" t="str">
        <f t="shared" si="4"/>
        <v>C1-2025</v>
      </c>
      <c r="Q185" s="123" t="str">
        <f t="shared" si="5"/>
        <v>T1-2025</v>
      </c>
      <c r="R185" s="124" t="s">
        <v>2722</v>
      </c>
      <c r="S185" s="123" t="s">
        <v>2723</v>
      </c>
      <c r="T185" s="123" t="s">
        <v>2724</v>
      </c>
      <c r="U185" s="162" t="s">
        <v>2708</v>
      </c>
      <c r="V185" s="162" t="s">
        <v>54</v>
      </c>
      <c r="W185" s="237" t="s">
        <v>125</v>
      </c>
      <c r="X185" s="173" t="s">
        <v>2709</v>
      </c>
    </row>
    <row r="186" spans="1:24" hidden="1">
      <c r="A186" s="161">
        <v>45715</v>
      </c>
      <c r="B186" s="219" t="s">
        <v>3032</v>
      </c>
      <c r="C186" s="122" t="s">
        <v>2697</v>
      </c>
      <c r="D186" s="119">
        <v>-72</v>
      </c>
      <c r="E186" s="120">
        <v>1</v>
      </c>
      <c r="F186" s="121">
        <f>Tabla5109[[#This Row],[Original Amount]]*Tabla5109[[#This Row],[ER to EUR]]</f>
        <v>-72</v>
      </c>
      <c r="G186" s="9" t="s">
        <v>2884</v>
      </c>
      <c r="H186" s="73" t="s">
        <v>2885</v>
      </c>
      <c r="I186" s="9" t="s">
        <v>2779</v>
      </c>
      <c r="J186" s="9" t="s">
        <v>2723</v>
      </c>
      <c r="K186" s="205" t="s">
        <v>2792</v>
      </c>
      <c r="L186" s="9" t="s">
        <v>2793</v>
      </c>
      <c r="M186" s="32" t="s">
        <v>125</v>
      </c>
      <c r="N186" s="129" t="s">
        <v>2704</v>
      </c>
      <c r="O186" s="122" t="s">
        <v>2704</v>
      </c>
      <c r="P186" s="123" t="str">
        <f t="shared" si="4"/>
        <v>C1-2025</v>
      </c>
      <c r="Q186" s="123" t="str">
        <f t="shared" si="5"/>
        <v>T1-2025</v>
      </c>
      <c r="R186" s="124" t="s">
        <v>2741</v>
      </c>
      <c r="S186" s="123" t="s">
        <v>2723</v>
      </c>
      <c r="T186" s="123" t="s">
        <v>2707</v>
      </c>
      <c r="U186" s="162" t="s">
        <v>2708</v>
      </c>
      <c r="V186" s="162" t="s">
        <v>54</v>
      </c>
      <c r="W186" s="237" t="s">
        <v>125</v>
      </c>
      <c r="X186" s="173" t="s">
        <v>2709</v>
      </c>
    </row>
    <row r="187" spans="1:24" hidden="1">
      <c r="A187" s="161">
        <v>45715</v>
      </c>
      <c r="B187" s="219" t="s">
        <v>3033</v>
      </c>
      <c r="C187" s="122" t="s">
        <v>2697</v>
      </c>
      <c r="D187" s="146">
        <v>-1172.1500000000001</v>
      </c>
      <c r="E187" s="120">
        <v>1</v>
      </c>
      <c r="F187" s="121">
        <f>Tabla5109[[#This Row],[Original Amount]]*Tabla5109[[#This Row],[ER to EUR]]</f>
        <v>-1172.1500000000001</v>
      </c>
      <c r="G187" s="9" t="s">
        <v>2698</v>
      </c>
      <c r="H187" s="73" t="s">
        <v>3034</v>
      </c>
      <c r="I187" s="9" t="s">
        <v>2784</v>
      </c>
      <c r="J187" s="9" t="s">
        <v>2701</v>
      </c>
      <c r="K187" s="205" t="s">
        <v>2702</v>
      </c>
      <c r="L187" s="9" t="s">
        <v>2703</v>
      </c>
      <c r="M187" s="32" t="s">
        <v>125</v>
      </c>
      <c r="N187" s="129" t="s">
        <v>2704</v>
      </c>
      <c r="O187" s="122" t="s">
        <v>2704</v>
      </c>
      <c r="P187" s="123" t="str">
        <f t="shared" si="4"/>
        <v>C1-2025</v>
      </c>
      <c r="Q187" s="123" t="str">
        <f t="shared" si="5"/>
        <v>T1-2025</v>
      </c>
      <c r="R187" s="124" t="s">
        <v>2705</v>
      </c>
      <c r="S187" s="124" t="s">
        <v>2706</v>
      </c>
      <c r="T187" s="123" t="s">
        <v>2707</v>
      </c>
      <c r="U187" s="162" t="s">
        <v>2708</v>
      </c>
      <c r="V187" s="162" t="s">
        <v>54</v>
      </c>
      <c r="W187" s="237" t="s">
        <v>125</v>
      </c>
      <c r="X187" s="173" t="s">
        <v>2709</v>
      </c>
    </row>
    <row r="188" spans="1:24" hidden="1">
      <c r="A188" s="161">
        <v>45716</v>
      </c>
      <c r="B188" s="132">
        <v>5198802497</v>
      </c>
      <c r="C188" s="122" t="s">
        <v>2697</v>
      </c>
      <c r="D188" s="119">
        <v>-856.47</v>
      </c>
      <c r="E188" s="120">
        <v>1</v>
      </c>
      <c r="F188" s="121">
        <f>Tabla5109[[#This Row],[Original Amount]]*Tabla5109[[#This Row],[ER to EUR]]</f>
        <v>-856.47</v>
      </c>
      <c r="G188" s="9" t="s">
        <v>3035</v>
      </c>
      <c r="H188" s="9" t="s">
        <v>3036</v>
      </c>
      <c r="I188" s="9" t="s">
        <v>2784</v>
      </c>
      <c r="J188" s="9" t="s">
        <v>2723</v>
      </c>
      <c r="K188" s="205" t="s">
        <v>2792</v>
      </c>
      <c r="L188" s="9" t="s">
        <v>2793</v>
      </c>
      <c r="M188" s="32" t="s">
        <v>125</v>
      </c>
      <c r="N188" s="129" t="s">
        <v>2704</v>
      </c>
      <c r="O188" s="122" t="s">
        <v>2704</v>
      </c>
      <c r="P188" s="123" t="str">
        <f t="shared" si="4"/>
        <v>C1-2025</v>
      </c>
      <c r="Q188" s="123" t="str">
        <f t="shared" si="5"/>
        <v>T1-2025</v>
      </c>
      <c r="R188" s="124" t="s">
        <v>2741</v>
      </c>
      <c r="S188" s="123" t="s">
        <v>2723</v>
      </c>
      <c r="T188" s="123" t="s">
        <v>2707</v>
      </c>
      <c r="U188" s="162" t="s">
        <v>2708</v>
      </c>
      <c r="V188" s="162" t="s">
        <v>54</v>
      </c>
      <c r="W188" s="237" t="s">
        <v>125</v>
      </c>
      <c r="X188" s="173" t="s">
        <v>2709</v>
      </c>
    </row>
    <row r="189" spans="1:24" hidden="1">
      <c r="A189" s="161">
        <v>45716</v>
      </c>
      <c r="B189" s="117" t="s">
        <v>3037</v>
      </c>
      <c r="C189" s="122" t="s">
        <v>2697</v>
      </c>
      <c r="D189" s="119">
        <v>-80</v>
      </c>
      <c r="E189" s="120">
        <v>1</v>
      </c>
      <c r="F189" s="121">
        <f>Tabla5109[[#This Row],[Original Amount]]*Tabla5109[[#This Row],[ER to EUR]]</f>
        <v>-80</v>
      </c>
      <c r="G189" s="9" t="s">
        <v>2884</v>
      </c>
      <c r="H189" s="73" t="s">
        <v>2885</v>
      </c>
      <c r="I189" s="9" t="s">
        <v>2779</v>
      </c>
      <c r="J189" s="9" t="s">
        <v>2723</v>
      </c>
      <c r="K189" s="205" t="s">
        <v>2792</v>
      </c>
      <c r="L189" s="9" t="s">
        <v>2793</v>
      </c>
      <c r="M189" s="32" t="s">
        <v>125</v>
      </c>
      <c r="N189" s="129" t="s">
        <v>2704</v>
      </c>
      <c r="O189" s="122" t="s">
        <v>2704</v>
      </c>
      <c r="P189" s="123" t="str">
        <f t="shared" si="4"/>
        <v>C1-2025</v>
      </c>
      <c r="Q189" s="123" t="str">
        <f t="shared" si="5"/>
        <v>T1-2025</v>
      </c>
      <c r="R189" s="124" t="s">
        <v>2741</v>
      </c>
      <c r="S189" s="123" t="s">
        <v>2723</v>
      </c>
      <c r="T189" s="123" t="s">
        <v>2707</v>
      </c>
      <c r="U189" s="162" t="s">
        <v>2708</v>
      </c>
      <c r="V189" s="162" t="s">
        <v>54</v>
      </c>
      <c r="W189" s="237" t="s">
        <v>125</v>
      </c>
      <c r="X189" s="173" t="s">
        <v>2709</v>
      </c>
    </row>
    <row r="190" spans="1:24" hidden="1">
      <c r="A190" s="161">
        <v>45716</v>
      </c>
      <c r="B190" s="130" t="s">
        <v>3038</v>
      </c>
      <c r="C190" s="122" t="s">
        <v>2548</v>
      </c>
      <c r="D190" s="136">
        <v>-1.37</v>
      </c>
      <c r="E190" s="181">
        <v>0.95960080606467713</v>
      </c>
      <c r="F190" s="121">
        <f>Tabla5109[[#This Row],[Original Amount]]*Tabla5109[[#This Row],[ER to EUR]]</f>
        <v>-1.3146531043086078</v>
      </c>
      <c r="G190" s="9" t="s">
        <v>3039</v>
      </c>
      <c r="H190" s="73" t="s">
        <v>3040</v>
      </c>
      <c r="I190" s="9" t="s">
        <v>2713</v>
      </c>
      <c r="J190" s="9" t="s">
        <v>2701</v>
      </c>
      <c r="K190" s="4" t="s">
        <v>2702</v>
      </c>
      <c r="L190" t="s">
        <v>2703</v>
      </c>
      <c r="M190" s="32" t="s">
        <v>125</v>
      </c>
      <c r="N190" s="129" t="s">
        <v>2704</v>
      </c>
      <c r="O190" s="122" t="s">
        <v>2704</v>
      </c>
      <c r="P190" s="123" t="str">
        <f t="shared" si="4"/>
        <v>C1-2025</v>
      </c>
      <c r="Q190" s="123" t="str">
        <f t="shared" si="5"/>
        <v>T1-2025</v>
      </c>
      <c r="R190" s="124" t="s">
        <v>2705</v>
      </c>
      <c r="S190" s="123" t="s">
        <v>3041</v>
      </c>
      <c r="T190" s="123" t="s">
        <v>2724</v>
      </c>
      <c r="U190" s="162" t="s">
        <v>2708</v>
      </c>
      <c r="V190" s="162" t="s">
        <v>57</v>
      </c>
      <c r="W190" s="237" t="s">
        <v>125</v>
      </c>
      <c r="X190" s="173" t="s">
        <v>2709</v>
      </c>
    </row>
    <row r="191" spans="1:24" hidden="1">
      <c r="A191" s="161">
        <v>45716</v>
      </c>
      <c r="B191" s="117" t="s">
        <v>3042</v>
      </c>
      <c r="C191" s="122" t="s">
        <v>2697</v>
      </c>
      <c r="D191" s="230">
        <v>-97</v>
      </c>
      <c r="E191" s="120">
        <v>1</v>
      </c>
      <c r="F191" s="121">
        <f>Tabla5109[[#This Row],[Original Amount]]*Tabla5109[[#This Row],[ER to EUR]]</f>
        <v>-97</v>
      </c>
      <c r="G191" s="9" t="s">
        <v>2884</v>
      </c>
      <c r="H191" s="73" t="s">
        <v>2885</v>
      </c>
      <c r="I191" s="9" t="s">
        <v>2779</v>
      </c>
      <c r="J191" s="9" t="s">
        <v>2723</v>
      </c>
      <c r="K191" s="205" t="s">
        <v>2792</v>
      </c>
      <c r="L191" s="9" t="s">
        <v>2793</v>
      </c>
      <c r="M191" s="32" t="s">
        <v>125</v>
      </c>
      <c r="N191" s="129" t="s">
        <v>2704</v>
      </c>
      <c r="O191" s="122" t="s">
        <v>2704</v>
      </c>
      <c r="P191" s="123" t="str">
        <f t="shared" si="4"/>
        <v>C1-2025</v>
      </c>
      <c r="Q191" s="123" t="str">
        <f t="shared" si="5"/>
        <v>T1-2025</v>
      </c>
      <c r="R191" s="124" t="s">
        <v>2741</v>
      </c>
      <c r="S191" s="123" t="s">
        <v>2723</v>
      </c>
      <c r="T191" s="123" t="s">
        <v>2707</v>
      </c>
      <c r="U191" s="162" t="s">
        <v>2708</v>
      </c>
      <c r="V191" s="162" t="s">
        <v>54</v>
      </c>
      <c r="W191" s="237" t="s">
        <v>125</v>
      </c>
      <c r="X191" s="173" t="s">
        <v>2709</v>
      </c>
    </row>
    <row r="192" spans="1:24" hidden="1">
      <c r="A192" s="161">
        <v>45716</v>
      </c>
      <c r="B192" s="117" t="s">
        <v>3043</v>
      </c>
      <c r="C192" s="122" t="s">
        <v>2697</v>
      </c>
      <c r="D192" s="230">
        <v>-118</v>
      </c>
      <c r="E192" s="120">
        <v>1</v>
      </c>
      <c r="F192" s="121">
        <f>Tabla5109[[#This Row],[Original Amount]]*Tabla5109[[#This Row],[ER to EUR]]</f>
        <v>-118</v>
      </c>
      <c r="G192" s="9" t="s">
        <v>2884</v>
      </c>
      <c r="H192" s="73" t="s">
        <v>2885</v>
      </c>
      <c r="I192" s="9" t="s">
        <v>2779</v>
      </c>
      <c r="J192" s="9" t="s">
        <v>2723</v>
      </c>
      <c r="K192" s="205" t="s">
        <v>2792</v>
      </c>
      <c r="L192" s="9" t="s">
        <v>2793</v>
      </c>
      <c r="M192" s="32" t="s">
        <v>125</v>
      </c>
      <c r="N192" s="129" t="s">
        <v>2704</v>
      </c>
      <c r="O192" s="122" t="s">
        <v>2704</v>
      </c>
      <c r="P192" s="123" t="str">
        <f t="shared" si="4"/>
        <v>C1-2025</v>
      </c>
      <c r="Q192" s="123" t="str">
        <f t="shared" si="5"/>
        <v>T1-2025</v>
      </c>
      <c r="R192" s="124" t="s">
        <v>2741</v>
      </c>
      <c r="S192" s="123" t="s">
        <v>2723</v>
      </c>
      <c r="T192" s="123" t="s">
        <v>2707</v>
      </c>
      <c r="U192" s="162" t="s">
        <v>2708</v>
      </c>
      <c r="V192" s="162" t="s">
        <v>54</v>
      </c>
      <c r="W192" s="237" t="s">
        <v>125</v>
      </c>
      <c r="X192" s="173" t="s">
        <v>2709</v>
      </c>
    </row>
    <row r="193" spans="1:24" hidden="1">
      <c r="A193" s="161">
        <v>45716</v>
      </c>
      <c r="B193" s="117" t="s">
        <v>3044</v>
      </c>
      <c r="C193" s="122" t="s">
        <v>2697</v>
      </c>
      <c r="D193" s="230">
        <v>-130</v>
      </c>
      <c r="E193" s="120">
        <v>1</v>
      </c>
      <c r="F193" s="121">
        <f>Tabla5109[[#This Row],[Original Amount]]*Tabla5109[[#This Row],[ER to EUR]]</f>
        <v>-130</v>
      </c>
      <c r="G193" s="9" t="s">
        <v>2884</v>
      </c>
      <c r="H193" s="73" t="s">
        <v>2885</v>
      </c>
      <c r="I193" s="9" t="s">
        <v>2779</v>
      </c>
      <c r="J193" s="9" t="s">
        <v>2723</v>
      </c>
      <c r="K193" s="205" t="s">
        <v>2792</v>
      </c>
      <c r="L193" s="9" t="s">
        <v>2793</v>
      </c>
      <c r="M193" s="32" t="s">
        <v>125</v>
      </c>
      <c r="N193" s="129" t="s">
        <v>2704</v>
      </c>
      <c r="O193" s="122" t="s">
        <v>2704</v>
      </c>
      <c r="P193" s="123" t="str">
        <f t="shared" si="4"/>
        <v>C1-2025</v>
      </c>
      <c r="Q193" s="123" t="str">
        <f t="shared" si="5"/>
        <v>T1-2025</v>
      </c>
      <c r="R193" s="124" t="s">
        <v>2741</v>
      </c>
      <c r="S193" s="123" t="s">
        <v>2723</v>
      </c>
      <c r="T193" s="123" t="s">
        <v>2707</v>
      </c>
      <c r="U193" s="162" t="s">
        <v>2708</v>
      </c>
      <c r="V193" s="162" t="s">
        <v>54</v>
      </c>
      <c r="W193" s="237" t="s">
        <v>125</v>
      </c>
      <c r="X193" s="173" t="s">
        <v>2709</v>
      </c>
    </row>
    <row r="194" spans="1:24" hidden="1">
      <c r="A194" s="161">
        <v>45716</v>
      </c>
      <c r="B194" s="117" t="s">
        <v>3045</v>
      </c>
      <c r="C194" s="122" t="s">
        <v>2697</v>
      </c>
      <c r="D194" s="230">
        <v>-88</v>
      </c>
      <c r="E194" s="120">
        <v>1</v>
      </c>
      <c r="F194" s="121">
        <f>Tabla5109[[#This Row],[Original Amount]]*Tabla5109[[#This Row],[ER to EUR]]</f>
        <v>-88</v>
      </c>
      <c r="G194" s="9" t="s">
        <v>2884</v>
      </c>
      <c r="H194" s="73" t="s">
        <v>2885</v>
      </c>
      <c r="I194" s="9" t="s">
        <v>2779</v>
      </c>
      <c r="J194" s="9" t="s">
        <v>2723</v>
      </c>
      <c r="K194" s="205" t="s">
        <v>2792</v>
      </c>
      <c r="L194" s="9" t="s">
        <v>2793</v>
      </c>
      <c r="M194" s="32" t="s">
        <v>125</v>
      </c>
      <c r="N194" s="129" t="s">
        <v>2704</v>
      </c>
      <c r="O194" s="122" t="s">
        <v>2704</v>
      </c>
      <c r="P194" s="123" t="str">
        <f t="shared" ref="P194:P257" si="6">"C"&amp;INT((MONTH(A194)-1)/4)+1&amp;"-"&amp;YEAR(A194)</f>
        <v>C1-2025</v>
      </c>
      <c r="Q194" s="123" t="str">
        <f t="shared" ref="Q194:Q257" si="7">"T"&amp;INT((MONTH(A194)-1)/3)+1&amp;"-"&amp;YEAR(A194)</f>
        <v>T1-2025</v>
      </c>
      <c r="R194" s="124" t="s">
        <v>2741</v>
      </c>
      <c r="S194" s="123" t="s">
        <v>2723</v>
      </c>
      <c r="T194" s="123" t="s">
        <v>2707</v>
      </c>
      <c r="U194" s="162" t="s">
        <v>2708</v>
      </c>
      <c r="V194" s="162" t="s">
        <v>54</v>
      </c>
      <c r="W194" s="237" t="s">
        <v>125</v>
      </c>
      <c r="X194" s="173" t="s">
        <v>2709</v>
      </c>
    </row>
    <row r="195" spans="1:24" hidden="1">
      <c r="A195" s="161">
        <v>45716</v>
      </c>
      <c r="B195" s="117" t="s">
        <v>3046</v>
      </c>
      <c r="C195" s="122" t="s">
        <v>2697</v>
      </c>
      <c r="D195" s="230">
        <v>-107</v>
      </c>
      <c r="E195" s="120">
        <v>1</v>
      </c>
      <c r="F195" s="121">
        <f>Tabla5109[[#This Row],[Original Amount]]*Tabla5109[[#This Row],[ER to EUR]]</f>
        <v>-107</v>
      </c>
      <c r="G195" s="9" t="s">
        <v>2884</v>
      </c>
      <c r="H195" s="73" t="s">
        <v>2885</v>
      </c>
      <c r="I195" s="9" t="s">
        <v>2779</v>
      </c>
      <c r="J195" s="9" t="s">
        <v>2723</v>
      </c>
      <c r="K195" s="205" t="s">
        <v>2792</v>
      </c>
      <c r="L195" s="9" t="s">
        <v>2793</v>
      </c>
      <c r="M195" s="32" t="s">
        <v>125</v>
      </c>
      <c r="N195" s="129" t="s">
        <v>2704</v>
      </c>
      <c r="O195" s="122" t="s">
        <v>2704</v>
      </c>
      <c r="P195" s="123" t="str">
        <f t="shared" si="6"/>
        <v>C1-2025</v>
      </c>
      <c r="Q195" s="123" t="str">
        <f t="shared" si="7"/>
        <v>T1-2025</v>
      </c>
      <c r="R195" s="124" t="s">
        <v>2741</v>
      </c>
      <c r="S195" s="123" t="s">
        <v>2723</v>
      </c>
      <c r="T195" s="123" t="s">
        <v>2707</v>
      </c>
      <c r="U195" s="162" t="s">
        <v>2708</v>
      </c>
      <c r="V195" s="162" t="s">
        <v>54</v>
      </c>
      <c r="W195" s="237" t="s">
        <v>125</v>
      </c>
      <c r="X195" s="173" t="s">
        <v>2709</v>
      </c>
    </row>
    <row r="196" spans="1:24" hidden="1">
      <c r="A196" s="161">
        <v>45716</v>
      </c>
      <c r="B196" s="131" t="s">
        <v>3047</v>
      </c>
      <c r="C196" s="122" t="s">
        <v>2548</v>
      </c>
      <c r="D196" s="136">
        <v>-90</v>
      </c>
      <c r="E196" s="221">
        <v>0.92400000000000004</v>
      </c>
      <c r="F196" s="121">
        <f>Tabla5109[[#This Row],[Original Amount]]*Tabla5109[[#This Row],[ER to EUR]]</f>
        <v>-83.160000000000011</v>
      </c>
      <c r="G196" s="9" t="s">
        <v>2766</v>
      </c>
      <c r="H196" s="9" t="s">
        <v>3048</v>
      </c>
      <c r="I196" s="9" t="s">
        <v>2713</v>
      </c>
      <c r="J196" s="9" t="s">
        <v>2701</v>
      </c>
      <c r="K196" s="205" t="s">
        <v>2702</v>
      </c>
      <c r="L196" s="9" t="s">
        <v>2760</v>
      </c>
      <c r="M196" s="32" t="s">
        <v>125</v>
      </c>
      <c r="N196" s="129" t="s">
        <v>2704</v>
      </c>
      <c r="O196" s="122" t="s">
        <v>2704</v>
      </c>
      <c r="P196" s="123" t="str">
        <f t="shared" si="6"/>
        <v>C1-2025</v>
      </c>
      <c r="Q196" s="123" t="str">
        <f t="shared" si="7"/>
        <v>T1-2025</v>
      </c>
      <c r="R196" s="124" t="s">
        <v>2705</v>
      </c>
      <c r="S196" s="124" t="s">
        <v>2706</v>
      </c>
      <c r="T196" s="123" t="s">
        <v>2724</v>
      </c>
      <c r="U196" s="162" t="s">
        <v>2708</v>
      </c>
      <c r="V196" s="162" t="s">
        <v>55</v>
      </c>
      <c r="W196" s="237" t="s">
        <v>125</v>
      </c>
      <c r="X196" s="173" t="s">
        <v>2709</v>
      </c>
    </row>
    <row r="197" spans="1:24" hidden="1">
      <c r="A197" s="161">
        <v>45716</v>
      </c>
      <c r="B197" s="194" t="s">
        <v>2871</v>
      </c>
      <c r="C197" s="32" t="s">
        <v>2543</v>
      </c>
      <c r="D197" s="152">
        <v>-1231111</v>
      </c>
      <c r="E197" s="154">
        <v>1.0039999999999999E-3</v>
      </c>
      <c r="F197" s="121">
        <f>Tabla5109[[#This Row],[Original Amount]]*Tabla5109[[#This Row],[ER to EUR]]</f>
        <v>-1236.0354439999999</v>
      </c>
      <c r="G197" s="9" t="s">
        <v>2872</v>
      </c>
      <c r="H197" s="9" t="s">
        <v>3049</v>
      </c>
      <c r="I197" s="9" t="s">
        <v>2713</v>
      </c>
      <c r="J197" s="9" t="s">
        <v>2770</v>
      </c>
      <c r="K197" s="205" t="s">
        <v>2874</v>
      </c>
      <c r="L197" s="9" t="s">
        <v>2875</v>
      </c>
      <c r="M197" s="227" t="s">
        <v>2704</v>
      </c>
      <c r="N197" s="122" t="s">
        <v>2748</v>
      </c>
      <c r="O197" s="129" t="s">
        <v>2748</v>
      </c>
      <c r="P197" s="123" t="str">
        <f t="shared" si="6"/>
        <v>C1-2025</v>
      </c>
      <c r="Q197" s="123" t="str">
        <f t="shared" si="7"/>
        <v>T1-2025</v>
      </c>
      <c r="R197" s="91" t="s">
        <v>2749</v>
      </c>
      <c r="S197" s="123" t="s">
        <v>2750</v>
      </c>
      <c r="T197" s="123" t="s">
        <v>2724</v>
      </c>
      <c r="U197" s="162" t="s">
        <v>2708</v>
      </c>
      <c r="V197" s="162" t="s">
        <v>54</v>
      </c>
      <c r="W197" s="237" t="s">
        <v>125</v>
      </c>
      <c r="X197" s="173" t="s">
        <v>2751</v>
      </c>
    </row>
    <row r="198" spans="1:24" hidden="1">
      <c r="A198" s="161">
        <v>45716</v>
      </c>
      <c r="B198" s="194" t="s">
        <v>2871</v>
      </c>
      <c r="C198" s="32" t="s">
        <v>2543</v>
      </c>
      <c r="D198" s="152">
        <v>-1725199</v>
      </c>
      <c r="E198" s="154">
        <v>1.0039999999999999E-3</v>
      </c>
      <c r="F198" s="121">
        <f>Tabla5109[[#This Row],[Original Amount]]*Tabla5109[[#This Row],[ER to EUR]]</f>
        <v>-1732.0997959999997</v>
      </c>
      <c r="G198" s="9" t="s">
        <v>2876</v>
      </c>
      <c r="H198" s="9" t="s">
        <v>3049</v>
      </c>
      <c r="I198" s="9" t="s">
        <v>2713</v>
      </c>
      <c r="J198" s="9" t="s">
        <v>2770</v>
      </c>
      <c r="K198" s="205" t="s">
        <v>2874</v>
      </c>
      <c r="L198" s="9" t="s">
        <v>2875</v>
      </c>
      <c r="M198" s="227" t="s">
        <v>2704</v>
      </c>
      <c r="N198" s="122" t="s">
        <v>2748</v>
      </c>
      <c r="O198" s="129" t="s">
        <v>2748</v>
      </c>
      <c r="P198" s="123" t="str">
        <f t="shared" si="6"/>
        <v>C1-2025</v>
      </c>
      <c r="Q198" s="123" t="str">
        <f t="shared" si="7"/>
        <v>T1-2025</v>
      </c>
      <c r="R198" s="91" t="s">
        <v>2749</v>
      </c>
      <c r="S198" s="123" t="s">
        <v>2750</v>
      </c>
      <c r="T198" s="123" t="s">
        <v>2724</v>
      </c>
      <c r="U198" s="162" t="s">
        <v>2708</v>
      </c>
      <c r="V198" s="162" t="s">
        <v>56</v>
      </c>
      <c r="W198" s="237" t="s">
        <v>125</v>
      </c>
      <c r="X198" s="173" t="s">
        <v>2751</v>
      </c>
    </row>
    <row r="199" spans="1:24" hidden="1">
      <c r="A199" s="161">
        <v>45716</v>
      </c>
      <c r="B199" s="194" t="s">
        <v>2871</v>
      </c>
      <c r="C199" s="32" t="s">
        <v>2543</v>
      </c>
      <c r="D199" s="152">
        <v>-3191975</v>
      </c>
      <c r="E199" s="154">
        <v>1.0039999999999999E-3</v>
      </c>
      <c r="F199" s="121">
        <f>Tabla5109[[#This Row],[Original Amount]]*Tabla5109[[#This Row],[ER to EUR]]</f>
        <v>-3204.7428999999997</v>
      </c>
      <c r="G199" s="9" t="s">
        <v>2877</v>
      </c>
      <c r="H199" s="9" t="s">
        <v>3049</v>
      </c>
      <c r="I199" s="9" t="s">
        <v>2713</v>
      </c>
      <c r="J199" s="9" t="s">
        <v>2770</v>
      </c>
      <c r="K199" s="205" t="s">
        <v>2874</v>
      </c>
      <c r="L199" s="9" t="s">
        <v>2875</v>
      </c>
      <c r="M199" s="227" t="s">
        <v>2704</v>
      </c>
      <c r="N199" s="122" t="s">
        <v>2748</v>
      </c>
      <c r="O199" s="129" t="s">
        <v>2748</v>
      </c>
      <c r="P199" s="123" t="str">
        <f t="shared" si="6"/>
        <v>C1-2025</v>
      </c>
      <c r="Q199" s="123" t="str">
        <f t="shared" si="7"/>
        <v>T1-2025</v>
      </c>
      <c r="R199" s="91" t="s">
        <v>2749</v>
      </c>
      <c r="S199" s="123" t="s">
        <v>2750</v>
      </c>
      <c r="T199" s="123" t="s">
        <v>2724</v>
      </c>
      <c r="U199" s="162" t="s">
        <v>2708</v>
      </c>
      <c r="V199" s="162" t="s">
        <v>54</v>
      </c>
      <c r="W199" s="237" t="s">
        <v>125</v>
      </c>
      <c r="X199" s="173" t="s">
        <v>2751</v>
      </c>
    </row>
    <row r="200" spans="1:24" hidden="1">
      <c r="A200" s="161">
        <v>45748</v>
      </c>
      <c r="B200" s="133" t="s">
        <v>6564</v>
      </c>
      <c r="C200" s="32" t="s">
        <v>2697</v>
      </c>
      <c r="D200" s="146">
        <v>-66.069999999999993</v>
      </c>
      <c r="E200" s="120">
        <v>1</v>
      </c>
      <c r="F200" s="121">
        <f>Tabla5109[[#This Row],[Original Amount]]*Tabla5109[[#This Row],[ER to EUR]]</f>
        <v>-66.069999999999993</v>
      </c>
      <c r="G200" s="9" t="s">
        <v>3692</v>
      </c>
      <c r="H200" s="9" t="s">
        <v>6576</v>
      </c>
      <c r="I200" s="9" t="s">
        <v>2713</v>
      </c>
      <c r="J200" s="9" t="s">
        <v>2701</v>
      </c>
      <c r="K200" s="205" t="s">
        <v>2702</v>
      </c>
      <c r="L200" s="9" t="s">
        <v>6577</v>
      </c>
      <c r="M200" s="227" t="s">
        <v>125</v>
      </c>
      <c r="N200" s="122" t="s">
        <v>2748</v>
      </c>
      <c r="O200" s="129" t="s">
        <v>2748</v>
      </c>
      <c r="P200" s="123" t="str">
        <f t="shared" si="6"/>
        <v>C1-2025</v>
      </c>
      <c r="Q200" s="123" t="str">
        <f t="shared" si="7"/>
        <v>T2-2025</v>
      </c>
      <c r="R200" s="91" t="s">
        <v>6009</v>
      </c>
      <c r="S200" s="123" t="s">
        <v>2750</v>
      </c>
      <c r="T200" s="123" t="s">
        <v>2724</v>
      </c>
      <c r="U200" s="162" t="s">
        <v>2708</v>
      </c>
      <c r="V200" s="162" t="s">
        <v>56</v>
      </c>
      <c r="W200" s="237" t="s">
        <v>125</v>
      </c>
      <c r="X200" s="201" t="s">
        <v>2709</v>
      </c>
    </row>
    <row r="201" spans="1:24" hidden="1">
      <c r="A201" s="161">
        <v>45717</v>
      </c>
      <c r="B201" s="134">
        <v>202500000286</v>
      </c>
      <c r="C201" s="122" t="s">
        <v>2697</v>
      </c>
      <c r="D201" s="126">
        <v>-444.11</v>
      </c>
      <c r="E201" s="120">
        <v>1</v>
      </c>
      <c r="F201" s="127">
        <f>Tabla5109[[#This Row],[Original Amount]]*Tabla5109[[#This Row],[ER to EUR]]</f>
        <v>-444.11</v>
      </c>
      <c r="G201" s="9" t="s">
        <v>2796</v>
      </c>
      <c r="H201" s="73" t="s">
        <v>3050</v>
      </c>
      <c r="I201" s="9" t="s">
        <v>2727</v>
      </c>
      <c r="J201" s="9" t="s">
        <v>2714</v>
      </c>
      <c r="K201" s="205" t="s">
        <v>2798</v>
      </c>
      <c r="L201" s="9" t="s">
        <v>2799</v>
      </c>
      <c r="M201" s="32" t="s">
        <v>125</v>
      </c>
      <c r="N201" s="129" t="s">
        <v>2704</v>
      </c>
      <c r="O201" s="122" t="s">
        <v>2704</v>
      </c>
      <c r="P201" s="123" t="str">
        <f t="shared" si="6"/>
        <v>C1-2025</v>
      </c>
      <c r="Q201" s="123" t="str">
        <f t="shared" si="7"/>
        <v>T1-2025</v>
      </c>
      <c r="R201" s="124" t="s">
        <v>2705</v>
      </c>
      <c r="S201" s="124" t="s">
        <v>2706</v>
      </c>
      <c r="T201" s="123" t="s">
        <v>2724</v>
      </c>
      <c r="U201" s="162" t="s">
        <v>2708</v>
      </c>
      <c r="V201" s="162" t="s">
        <v>56</v>
      </c>
      <c r="W201" s="237" t="s">
        <v>125</v>
      </c>
      <c r="X201" s="173" t="s">
        <v>2709</v>
      </c>
    </row>
    <row r="202" spans="1:24" hidden="1">
      <c r="A202" s="161">
        <v>45717</v>
      </c>
      <c r="B202" s="117" t="s">
        <v>3051</v>
      </c>
      <c r="C202" s="122" t="s">
        <v>2697</v>
      </c>
      <c r="D202" s="126">
        <v>-3570</v>
      </c>
      <c r="E202" s="120">
        <v>1</v>
      </c>
      <c r="F202" s="127">
        <f>Tabla5109[[#This Row],[Original Amount]]*Tabla5109[[#This Row],[ER to EUR]]</f>
        <v>-3570</v>
      </c>
      <c r="G202" s="9" t="s">
        <v>2790</v>
      </c>
      <c r="H202" s="73" t="s">
        <v>2791</v>
      </c>
      <c r="I202" s="9" t="s">
        <v>2727</v>
      </c>
      <c r="J202" s="9" t="s">
        <v>2723</v>
      </c>
      <c r="K202" s="205" t="s">
        <v>2792</v>
      </c>
      <c r="L202" s="9" t="s">
        <v>2793</v>
      </c>
      <c r="M202" s="32" t="s">
        <v>125</v>
      </c>
      <c r="N202" s="129" t="s">
        <v>2704</v>
      </c>
      <c r="O202" s="122" t="s">
        <v>2704</v>
      </c>
      <c r="P202" s="123" t="str">
        <f t="shared" si="6"/>
        <v>C1-2025</v>
      </c>
      <c r="Q202" s="123" t="str">
        <f t="shared" si="7"/>
        <v>T1-2025</v>
      </c>
      <c r="R202" s="124" t="s">
        <v>2794</v>
      </c>
      <c r="S202" s="123" t="s">
        <v>2731</v>
      </c>
      <c r="T202" s="123" t="s">
        <v>2724</v>
      </c>
      <c r="U202" s="162" t="s">
        <v>2708</v>
      </c>
      <c r="V202" s="162" t="s">
        <v>57</v>
      </c>
      <c r="W202" s="237" t="s">
        <v>125</v>
      </c>
      <c r="X202" s="173" t="s">
        <v>2709</v>
      </c>
    </row>
    <row r="203" spans="1:24" hidden="1">
      <c r="A203" s="161">
        <v>45718</v>
      </c>
      <c r="B203" s="117" t="s">
        <v>3052</v>
      </c>
      <c r="C203" s="122" t="s">
        <v>2697</v>
      </c>
      <c r="D203" s="126">
        <v>-143</v>
      </c>
      <c r="E203" s="120">
        <v>1</v>
      </c>
      <c r="F203" s="127">
        <f>Tabla5109[[#This Row],[Original Amount]]*Tabla5109[[#This Row],[ER to EUR]]</f>
        <v>-143</v>
      </c>
      <c r="G203" s="9" t="s">
        <v>2884</v>
      </c>
      <c r="H203" s="73" t="s">
        <v>2885</v>
      </c>
      <c r="I203" s="9" t="s">
        <v>2779</v>
      </c>
      <c r="J203" s="9" t="s">
        <v>2723</v>
      </c>
      <c r="K203" s="205" t="s">
        <v>2792</v>
      </c>
      <c r="L203" s="9" t="s">
        <v>2793</v>
      </c>
      <c r="M203" s="32" t="s">
        <v>125</v>
      </c>
      <c r="N203" s="129" t="s">
        <v>2704</v>
      </c>
      <c r="O203" s="122" t="s">
        <v>2704</v>
      </c>
      <c r="P203" s="123" t="str">
        <f t="shared" si="6"/>
        <v>C1-2025</v>
      </c>
      <c r="Q203" s="123" t="str">
        <f t="shared" si="7"/>
        <v>T1-2025</v>
      </c>
      <c r="R203" s="124" t="s">
        <v>2741</v>
      </c>
      <c r="S203" s="123" t="s">
        <v>2723</v>
      </c>
      <c r="T203" s="123" t="s">
        <v>2707</v>
      </c>
      <c r="U203" s="162" t="s">
        <v>2708</v>
      </c>
      <c r="V203" s="162" t="s">
        <v>54</v>
      </c>
      <c r="W203" s="237" t="s">
        <v>125</v>
      </c>
      <c r="X203" s="173" t="s">
        <v>2709</v>
      </c>
    </row>
    <row r="204" spans="1:24" hidden="1">
      <c r="A204" s="161">
        <v>45718</v>
      </c>
      <c r="B204" s="133" t="s">
        <v>3053</v>
      </c>
      <c r="C204" s="32" t="s">
        <v>2697</v>
      </c>
      <c r="D204" s="126">
        <v>-310</v>
      </c>
      <c r="E204" s="120">
        <v>1</v>
      </c>
      <c r="F204" s="127">
        <f>Tabla5109[[#This Row],[Original Amount]]*Tabla5109[[#This Row],[ER to EUR]]</f>
        <v>-310</v>
      </c>
      <c r="G204" s="9" t="s">
        <v>3054</v>
      </c>
      <c r="H204" s="9" t="s">
        <v>3055</v>
      </c>
      <c r="I204" s="9" t="s">
        <v>2739</v>
      </c>
      <c r="J204" s="9" t="s">
        <v>2701</v>
      </c>
      <c r="K204" s="205" t="s">
        <v>2771</v>
      </c>
      <c r="L204" s="211" t="s">
        <v>2703</v>
      </c>
      <c r="M204" s="32" t="s">
        <v>125</v>
      </c>
      <c r="N204" s="122" t="s">
        <v>2704</v>
      </c>
      <c r="O204" s="129" t="s">
        <v>2704</v>
      </c>
      <c r="P204" s="123" t="str">
        <f t="shared" si="6"/>
        <v>C1-2025</v>
      </c>
      <c r="Q204" s="123" t="str">
        <f t="shared" si="7"/>
        <v>T1-2025</v>
      </c>
      <c r="R204" s="91" t="s">
        <v>2705</v>
      </c>
      <c r="S204" s="124" t="s">
        <v>2706</v>
      </c>
      <c r="T204" s="123" t="s">
        <v>2717</v>
      </c>
      <c r="U204" s="162" t="s">
        <v>2708</v>
      </c>
      <c r="V204" s="162" t="s">
        <v>56</v>
      </c>
      <c r="W204" s="237" t="s">
        <v>125</v>
      </c>
      <c r="X204" s="201" t="s">
        <v>2709</v>
      </c>
    </row>
    <row r="205" spans="1:24" hidden="1">
      <c r="A205" s="161">
        <v>45719</v>
      </c>
      <c r="B205" s="133" t="s">
        <v>3056</v>
      </c>
      <c r="C205" s="122" t="s">
        <v>2697</v>
      </c>
      <c r="D205" s="138">
        <v>-174</v>
      </c>
      <c r="E205" s="120">
        <v>1</v>
      </c>
      <c r="F205" s="127">
        <f>Tabla5109[[#This Row],[Original Amount]]*Tabla5109[[#This Row],[ER to EUR]]</f>
        <v>-174</v>
      </c>
      <c r="G205" s="9" t="s">
        <v>2884</v>
      </c>
      <c r="H205" s="73" t="s">
        <v>2885</v>
      </c>
      <c r="I205" s="9" t="s">
        <v>2899</v>
      </c>
      <c r="J205" s="9" t="s">
        <v>2723</v>
      </c>
      <c r="K205" s="205" t="s">
        <v>2792</v>
      </c>
      <c r="L205" s="9" t="s">
        <v>2793</v>
      </c>
      <c r="M205" s="32" t="s">
        <v>125</v>
      </c>
      <c r="N205" s="129" t="s">
        <v>2704</v>
      </c>
      <c r="O205" s="122" t="s">
        <v>2704</v>
      </c>
      <c r="P205" s="123" t="str">
        <f t="shared" si="6"/>
        <v>C1-2025</v>
      </c>
      <c r="Q205" s="123" t="str">
        <f t="shared" si="7"/>
        <v>T1-2025</v>
      </c>
      <c r="R205" s="124" t="s">
        <v>2741</v>
      </c>
      <c r="S205" s="123" t="s">
        <v>2723</v>
      </c>
      <c r="T205" s="123" t="s">
        <v>2707</v>
      </c>
      <c r="U205" s="162" t="s">
        <v>2708</v>
      </c>
      <c r="V205" s="162" t="s">
        <v>54</v>
      </c>
      <c r="W205" s="237" t="s">
        <v>125</v>
      </c>
      <c r="X205" s="173" t="s">
        <v>2709</v>
      </c>
    </row>
    <row r="206" spans="1:24" hidden="1">
      <c r="A206" s="161">
        <v>45719</v>
      </c>
      <c r="B206" s="117" t="s">
        <v>3057</v>
      </c>
      <c r="C206" s="122" t="s">
        <v>2697</v>
      </c>
      <c r="D206" s="138">
        <v>-0.37</v>
      </c>
      <c r="E206" s="120">
        <v>1</v>
      </c>
      <c r="F206" s="127">
        <f>Tabla5109[[#This Row],[Original Amount]]*Tabla5109[[#This Row],[ER to EUR]]</f>
        <v>-0.37</v>
      </c>
      <c r="G206" s="9" t="s">
        <v>2884</v>
      </c>
      <c r="H206" s="73" t="s">
        <v>2885</v>
      </c>
      <c r="I206" s="9" t="s">
        <v>2899</v>
      </c>
      <c r="J206" s="9" t="s">
        <v>2723</v>
      </c>
      <c r="K206" s="205" t="s">
        <v>2792</v>
      </c>
      <c r="L206" s="9" t="s">
        <v>2793</v>
      </c>
      <c r="M206" s="32" t="s">
        <v>125</v>
      </c>
      <c r="N206" s="129" t="s">
        <v>2704</v>
      </c>
      <c r="O206" s="122" t="s">
        <v>2704</v>
      </c>
      <c r="P206" s="123" t="str">
        <f t="shared" si="6"/>
        <v>C1-2025</v>
      </c>
      <c r="Q206" s="123" t="str">
        <f t="shared" si="7"/>
        <v>T1-2025</v>
      </c>
      <c r="R206" s="124" t="s">
        <v>2741</v>
      </c>
      <c r="S206" s="123" t="s">
        <v>2723</v>
      </c>
      <c r="T206" s="123" t="s">
        <v>2707</v>
      </c>
      <c r="U206" s="162" t="s">
        <v>2708</v>
      </c>
      <c r="V206" s="162" t="s">
        <v>54</v>
      </c>
      <c r="W206" s="237" t="s">
        <v>125</v>
      </c>
      <c r="X206" s="173" t="s">
        <v>2709</v>
      </c>
    </row>
    <row r="207" spans="1:24" hidden="1">
      <c r="A207" s="161">
        <v>45719</v>
      </c>
      <c r="B207" s="133" t="s">
        <v>3058</v>
      </c>
      <c r="C207" s="122" t="s">
        <v>2697</v>
      </c>
      <c r="D207" s="138">
        <v>-3.4</v>
      </c>
      <c r="E207" s="120">
        <v>1</v>
      </c>
      <c r="F207" s="127">
        <f>Tabla5109[[#This Row],[Original Amount]]*Tabla5109[[#This Row],[ER to EUR]]</f>
        <v>-3.4</v>
      </c>
      <c r="G207" s="9" t="s">
        <v>2884</v>
      </c>
      <c r="H207" s="73" t="s">
        <v>2885</v>
      </c>
      <c r="I207" s="9" t="s">
        <v>2899</v>
      </c>
      <c r="J207" s="9" t="s">
        <v>2723</v>
      </c>
      <c r="K207" s="205" t="s">
        <v>2792</v>
      </c>
      <c r="L207" s="9" t="s">
        <v>2793</v>
      </c>
      <c r="M207" s="32" t="s">
        <v>125</v>
      </c>
      <c r="N207" s="129" t="s">
        <v>2704</v>
      </c>
      <c r="O207" s="122" t="s">
        <v>2704</v>
      </c>
      <c r="P207" s="123" t="str">
        <f t="shared" si="6"/>
        <v>C1-2025</v>
      </c>
      <c r="Q207" s="123" t="str">
        <f t="shared" si="7"/>
        <v>T1-2025</v>
      </c>
      <c r="R207" s="124" t="s">
        <v>2741</v>
      </c>
      <c r="S207" s="123" t="s">
        <v>2723</v>
      </c>
      <c r="T207" s="123" t="s">
        <v>2707</v>
      </c>
      <c r="U207" s="162" t="s">
        <v>2708</v>
      </c>
      <c r="V207" s="162" t="s">
        <v>54</v>
      </c>
      <c r="W207" s="237" t="s">
        <v>125</v>
      </c>
      <c r="X207" s="173" t="s">
        <v>2709</v>
      </c>
    </row>
    <row r="208" spans="1:24" hidden="1">
      <c r="A208" s="161">
        <v>45720</v>
      </c>
      <c r="B208" s="125">
        <v>132014243749</v>
      </c>
      <c r="C208" s="122" t="s">
        <v>2697</v>
      </c>
      <c r="D208" s="126">
        <v>-13.81</v>
      </c>
      <c r="E208" s="120">
        <v>1</v>
      </c>
      <c r="F208" s="127">
        <f>Tabla5109[[#This Row],[Original Amount]]*Tabla5109[[#This Row],[ER to EUR]]</f>
        <v>-13.81</v>
      </c>
      <c r="G208" s="9" t="s">
        <v>2768</v>
      </c>
      <c r="H208" s="9" t="s">
        <v>3059</v>
      </c>
      <c r="I208" s="9" t="s">
        <v>2763</v>
      </c>
      <c r="J208" s="9" t="s">
        <v>2770</v>
      </c>
      <c r="K208" s="205" t="s">
        <v>2771</v>
      </c>
      <c r="L208" s="9" t="s">
        <v>2772</v>
      </c>
      <c r="M208" s="32" t="s">
        <v>125</v>
      </c>
      <c r="N208" s="129" t="s">
        <v>2704</v>
      </c>
      <c r="O208" s="122" t="s">
        <v>2704</v>
      </c>
      <c r="P208" s="123" t="str">
        <f t="shared" si="6"/>
        <v>C1-2025</v>
      </c>
      <c r="Q208" s="123" t="str">
        <f t="shared" si="7"/>
        <v>T1-2025</v>
      </c>
      <c r="R208" s="124" t="s">
        <v>2705</v>
      </c>
      <c r="S208" s="123" t="s">
        <v>2735</v>
      </c>
      <c r="T208" s="123" t="s">
        <v>2724</v>
      </c>
      <c r="U208" s="162" t="s">
        <v>2708</v>
      </c>
      <c r="V208" s="162" t="s">
        <v>56</v>
      </c>
      <c r="W208" s="237" t="s">
        <v>125</v>
      </c>
      <c r="X208" s="173" t="s">
        <v>2709</v>
      </c>
    </row>
    <row r="209" spans="1:24" hidden="1">
      <c r="A209" s="161">
        <v>45720</v>
      </c>
      <c r="B209" s="117" t="s">
        <v>3060</v>
      </c>
      <c r="C209" s="122" t="s">
        <v>2697</v>
      </c>
      <c r="D209" s="126">
        <v>-174.79</v>
      </c>
      <c r="E209" s="120">
        <v>1</v>
      </c>
      <c r="F209" s="127">
        <f>Tabla5109[[#This Row],[Original Amount]]*Tabla5109[[#This Row],[ER to EUR]]</f>
        <v>-174.79</v>
      </c>
      <c r="G209" s="9" t="s">
        <v>2884</v>
      </c>
      <c r="H209" s="73" t="s">
        <v>2885</v>
      </c>
      <c r="I209" s="9" t="s">
        <v>2700</v>
      </c>
      <c r="J209" s="9" t="s">
        <v>2723</v>
      </c>
      <c r="K209" s="205" t="s">
        <v>2792</v>
      </c>
      <c r="L209" s="9" t="s">
        <v>2793</v>
      </c>
      <c r="M209" s="32" t="s">
        <v>125</v>
      </c>
      <c r="N209" s="129" t="s">
        <v>2704</v>
      </c>
      <c r="O209" s="122" t="s">
        <v>2704</v>
      </c>
      <c r="P209" s="123" t="str">
        <f t="shared" si="6"/>
        <v>C1-2025</v>
      </c>
      <c r="Q209" s="123" t="str">
        <f t="shared" si="7"/>
        <v>T1-2025</v>
      </c>
      <c r="R209" s="124" t="s">
        <v>2741</v>
      </c>
      <c r="S209" s="123" t="s">
        <v>2723</v>
      </c>
      <c r="T209" s="123" t="s">
        <v>2707</v>
      </c>
      <c r="U209" s="162" t="s">
        <v>2708</v>
      </c>
      <c r="V209" s="162" t="s">
        <v>54</v>
      </c>
      <c r="W209" s="237" t="s">
        <v>125</v>
      </c>
      <c r="X209" s="173" t="s">
        <v>2709</v>
      </c>
    </row>
    <row r="210" spans="1:24" hidden="1">
      <c r="A210" s="161">
        <v>45720</v>
      </c>
      <c r="B210" s="117" t="s">
        <v>3061</v>
      </c>
      <c r="C210" s="122" t="s">
        <v>2697</v>
      </c>
      <c r="D210" s="126">
        <v>-400</v>
      </c>
      <c r="E210" s="120">
        <v>1</v>
      </c>
      <c r="F210" s="127">
        <f>Tabla5109[[#This Row],[Original Amount]]*Tabla5109[[#This Row],[ER to EUR]]</f>
        <v>-400</v>
      </c>
      <c r="G210" s="9" t="s">
        <v>2884</v>
      </c>
      <c r="H210" s="73" t="s">
        <v>2885</v>
      </c>
      <c r="I210" s="9" t="s">
        <v>2700</v>
      </c>
      <c r="J210" s="37" t="s">
        <v>2723</v>
      </c>
      <c r="K210" s="217" t="s">
        <v>2792</v>
      </c>
      <c r="L210" s="37" t="s">
        <v>2793</v>
      </c>
      <c r="M210" s="32" t="s">
        <v>125</v>
      </c>
      <c r="N210" s="156" t="s">
        <v>2704</v>
      </c>
      <c r="O210" s="158" t="s">
        <v>2704</v>
      </c>
      <c r="P210" s="123" t="str">
        <f t="shared" si="6"/>
        <v>C1-2025</v>
      </c>
      <c r="Q210" s="123" t="str">
        <f t="shared" si="7"/>
        <v>T1-2025</v>
      </c>
      <c r="R210" s="124" t="s">
        <v>2741</v>
      </c>
      <c r="S210" s="123" t="s">
        <v>2723</v>
      </c>
      <c r="T210" s="123" t="s">
        <v>2707</v>
      </c>
      <c r="U210" s="162" t="s">
        <v>2708</v>
      </c>
      <c r="V210" s="162" t="s">
        <v>54</v>
      </c>
      <c r="W210" s="237" t="s">
        <v>125</v>
      </c>
      <c r="X210" s="173" t="s">
        <v>2709</v>
      </c>
    </row>
    <row r="211" spans="1:24" hidden="1">
      <c r="A211" s="161">
        <v>45720</v>
      </c>
      <c r="B211" s="133" t="s">
        <v>3062</v>
      </c>
      <c r="C211" s="122" t="s">
        <v>2697</v>
      </c>
      <c r="D211" s="138">
        <v>-52.15</v>
      </c>
      <c r="E211" s="120">
        <v>1</v>
      </c>
      <c r="F211" s="127">
        <f>Tabla5109[[#This Row],[Original Amount]]*Tabla5109[[#This Row],[ER to EUR]]</f>
        <v>-52.15</v>
      </c>
      <c r="G211" s="9" t="s">
        <v>2884</v>
      </c>
      <c r="H211" s="73" t="s">
        <v>2885</v>
      </c>
      <c r="I211" s="9" t="s">
        <v>2899</v>
      </c>
      <c r="J211" s="9" t="s">
        <v>2723</v>
      </c>
      <c r="K211" s="205" t="s">
        <v>2792</v>
      </c>
      <c r="L211" s="9" t="s">
        <v>2793</v>
      </c>
      <c r="M211" s="32" t="s">
        <v>125</v>
      </c>
      <c r="N211" s="129" t="s">
        <v>2704</v>
      </c>
      <c r="O211" s="122" t="s">
        <v>2704</v>
      </c>
      <c r="P211" s="123" t="str">
        <f t="shared" si="6"/>
        <v>C1-2025</v>
      </c>
      <c r="Q211" s="123" t="str">
        <f t="shared" si="7"/>
        <v>T1-2025</v>
      </c>
      <c r="R211" s="124" t="s">
        <v>2741</v>
      </c>
      <c r="S211" s="123" t="s">
        <v>2723</v>
      </c>
      <c r="T211" s="123" t="s">
        <v>2707</v>
      </c>
      <c r="U211" s="162" t="s">
        <v>2708</v>
      </c>
      <c r="V211" s="162" t="s">
        <v>54</v>
      </c>
      <c r="W211" s="237" t="s">
        <v>125</v>
      </c>
      <c r="X211" s="173" t="s">
        <v>2709</v>
      </c>
    </row>
    <row r="212" spans="1:24" hidden="1">
      <c r="A212" s="161">
        <v>45720</v>
      </c>
      <c r="B212" s="133" t="s">
        <v>3063</v>
      </c>
      <c r="C212" s="122" t="s">
        <v>2697</v>
      </c>
      <c r="D212" s="138">
        <v>-170.08</v>
      </c>
      <c r="E212" s="120">
        <v>1</v>
      </c>
      <c r="F212" s="127">
        <f>Tabla5109[[#This Row],[Original Amount]]*Tabla5109[[#This Row],[ER to EUR]]</f>
        <v>-170.08</v>
      </c>
      <c r="G212" s="9" t="s">
        <v>2884</v>
      </c>
      <c r="H212" s="73" t="s">
        <v>2885</v>
      </c>
      <c r="I212" s="9" t="s">
        <v>2899</v>
      </c>
      <c r="J212" s="9" t="s">
        <v>2723</v>
      </c>
      <c r="K212" s="205" t="s">
        <v>2792</v>
      </c>
      <c r="L212" s="9" t="s">
        <v>2793</v>
      </c>
      <c r="M212" s="32" t="s">
        <v>125</v>
      </c>
      <c r="N212" s="129" t="s">
        <v>2704</v>
      </c>
      <c r="O212" s="122" t="s">
        <v>2704</v>
      </c>
      <c r="P212" s="123" t="str">
        <f t="shared" si="6"/>
        <v>C1-2025</v>
      </c>
      <c r="Q212" s="123" t="str">
        <f t="shared" si="7"/>
        <v>T1-2025</v>
      </c>
      <c r="R212" s="124" t="s">
        <v>2741</v>
      </c>
      <c r="S212" s="123" t="s">
        <v>2723</v>
      </c>
      <c r="T212" s="123" t="s">
        <v>2707</v>
      </c>
      <c r="U212" s="162" t="s">
        <v>2708</v>
      </c>
      <c r="V212" s="162" t="s">
        <v>54</v>
      </c>
      <c r="W212" s="237" t="s">
        <v>125</v>
      </c>
      <c r="X212" s="173" t="s">
        <v>2709</v>
      </c>
    </row>
    <row r="213" spans="1:24" hidden="1">
      <c r="A213" s="161">
        <v>45720</v>
      </c>
      <c r="B213" s="117" t="s">
        <v>3064</v>
      </c>
      <c r="C213" s="122" t="s">
        <v>2697</v>
      </c>
      <c r="D213" s="126">
        <v>-158</v>
      </c>
      <c r="E213" s="120">
        <v>1</v>
      </c>
      <c r="F213" s="127">
        <f>Tabla5109[[#This Row],[Original Amount]]*Tabla5109[[#This Row],[ER to EUR]]</f>
        <v>-158</v>
      </c>
      <c r="G213" s="9" t="s">
        <v>2884</v>
      </c>
      <c r="H213" s="73" t="s">
        <v>2885</v>
      </c>
      <c r="I213" s="9" t="s">
        <v>3065</v>
      </c>
      <c r="J213" s="9" t="s">
        <v>2723</v>
      </c>
      <c r="K213" s="205" t="s">
        <v>2792</v>
      </c>
      <c r="L213" s="9" t="s">
        <v>2793</v>
      </c>
      <c r="M213" s="32" t="s">
        <v>125</v>
      </c>
      <c r="N213" s="129" t="s">
        <v>2704</v>
      </c>
      <c r="O213" s="122" t="s">
        <v>2704</v>
      </c>
      <c r="P213" s="123" t="str">
        <f t="shared" si="6"/>
        <v>C1-2025</v>
      </c>
      <c r="Q213" s="123" t="str">
        <f t="shared" si="7"/>
        <v>T1-2025</v>
      </c>
      <c r="R213" s="124" t="s">
        <v>2741</v>
      </c>
      <c r="S213" s="123" t="s">
        <v>2723</v>
      </c>
      <c r="T213" s="123" t="s">
        <v>2707</v>
      </c>
      <c r="U213" s="162" t="s">
        <v>2708</v>
      </c>
      <c r="V213" s="162" t="s">
        <v>54</v>
      </c>
      <c r="W213" s="237" t="s">
        <v>125</v>
      </c>
      <c r="X213" s="173" t="s">
        <v>2709</v>
      </c>
    </row>
    <row r="214" spans="1:24" hidden="1">
      <c r="A214" s="161">
        <v>45721</v>
      </c>
      <c r="B214" s="117" t="s">
        <v>3066</v>
      </c>
      <c r="C214" s="122" t="s">
        <v>2697</v>
      </c>
      <c r="D214" s="126">
        <v>-20.11</v>
      </c>
      <c r="E214" s="120">
        <v>1</v>
      </c>
      <c r="F214" s="127">
        <f>Tabla5109[[#This Row],[Original Amount]]*Tabla5109[[#This Row],[ER to EUR]]</f>
        <v>-20.11</v>
      </c>
      <c r="G214" s="9" t="s">
        <v>2737</v>
      </c>
      <c r="H214" s="9" t="s">
        <v>2738</v>
      </c>
      <c r="I214" s="9" t="s">
        <v>2739</v>
      </c>
      <c r="J214" s="9" t="s">
        <v>2701</v>
      </c>
      <c r="K214" s="205" t="s">
        <v>2702</v>
      </c>
      <c r="L214" s="9" t="s">
        <v>2740</v>
      </c>
      <c r="M214" s="32" t="s">
        <v>125</v>
      </c>
      <c r="N214" s="129" t="s">
        <v>2704</v>
      </c>
      <c r="O214" s="122" t="s">
        <v>2704</v>
      </c>
      <c r="P214" s="123" t="str">
        <f t="shared" si="6"/>
        <v>C1-2025</v>
      </c>
      <c r="Q214" s="123" t="str">
        <f t="shared" si="7"/>
        <v>T1-2025</v>
      </c>
      <c r="R214" s="124" t="s">
        <v>2741</v>
      </c>
      <c r="S214" s="123" t="s">
        <v>2723</v>
      </c>
      <c r="T214" s="123" t="s">
        <v>2724</v>
      </c>
      <c r="U214" s="162" t="s">
        <v>2708</v>
      </c>
      <c r="V214" s="162" t="s">
        <v>54</v>
      </c>
      <c r="W214" s="237" t="s">
        <v>125</v>
      </c>
      <c r="X214" s="173" t="s">
        <v>2709</v>
      </c>
    </row>
    <row r="215" spans="1:24" hidden="1">
      <c r="A215" s="161">
        <v>45721</v>
      </c>
      <c r="B215" s="128" t="s">
        <v>3067</v>
      </c>
      <c r="C215" s="122" t="s">
        <v>2548</v>
      </c>
      <c r="D215" s="151">
        <v>-15</v>
      </c>
      <c r="E215" s="181">
        <v>0.92400000000000004</v>
      </c>
      <c r="F215" s="127">
        <f>Tabla5109[[#This Row],[Original Amount]]*Tabla5109[[#This Row],[ER to EUR]]</f>
        <v>-13.860000000000001</v>
      </c>
      <c r="G215" s="9" t="s">
        <v>3068</v>
      </c>
      <c r="H215" s="9" t="s">
        <v>3069</v>
      </c>
      <c r="I215" s="9" t="s">
        <v>2755</v>
      </c>
      <c r="J215" s="9" t="s">
        <v>2701</v>
      </c>
      <c r="K215" s="205" t="s">
        <v>2792</v>
      </c>
      <c r="L215" s="9" t="s">
        <v>2740</v>
      </c>
      <c r="M215" s="32" t="s">
        <v>125</v>
      </c>
      <c r="N215" s="129" t="s">
        <v>2704</v>
      </c>
      <c r="O215" s="122" t="s">
        <v>2704</v>
      </c>
      <c r="P215" s="123" t="str">
        <f t="shared" si="6"/>
        <v>C1-2025</v>
      </c>
      <c r="Q215" s="123" t="str">
        <f t="shared" si="7"/>
        <v>T1-2025</v>
      </c>
      <c r="R215" s="124" t="s">
        <v>2722</v>
      </c>
      <c r="S215" s="123" t="s">
        <v>2723</v>
      </c>
      <c r="T215" s="123" t="s">
        <v>2724</v>
      </c>
      <c r="U215" s="162" t="s">
        <v>2708</v>
      </c>
      <c r="V215" s="162" t="s">
        <v>54</v>
      </c>
      <c r="W215" s="237" t="s">
        <v>125</v>
      </c>
      <c r="X215" s="173" t="s">
        <v>2709</v>
      </c>
    </row>
    <row r="216" spans="1:24" hidden="1">
      <c r="A216" s="161">
        <v>45721</v>
      </c>
      <c r="B216" s="117" t="s">
        <v>3070</v>
      </c>
      <c r="C216" s="122" t="s">
        <v>2697</v>
      </c>
      <c r="D216" s="126">
        <v>-21.92</v>
      </c>
      <c r="E216" s="120">
        <v>1</v>
      </c>
      <c r="F216" s="127">
        <f>Tabla5109[[#This Row],[Original Amount]]*Tabla5109[[#This Row],[ER to EUR]]</f>
        <v>-21.92</v>
      </c>
      <c r="G216" s="9" t="s">
        <v>2884</v>
      </c>
      <c r="H216" s="73" t="s">
        <v>2885</v>
      </c>
      <c r="I216" s="9" t="s">
        <v>2779</v>
      </c>
      <c r="J216" s="9" t="s">
        <v>2723</v>
      </c>
      <c r="K216" s="205" t="s">
        <v>2792</v>
      </c>
      <c r="L216" s="9" t="s">
        <v>2793</v>
      </c>
      <c r="M216" s="32" t="s">
        <v>125</v>
      </c>
      <c r="N216" s="129" t="s">
        <v>2704</v>
      </c>
      <c r="O216" s="122" t="s">
        <v>2704</v>
      </c>
      <c r="P216" s="123" t="str">
        <f t="shared" si="6"/>
        <v>C1-2025</v>
      </c>
      <c r="Q216" s="123" t="str">
        <f t="shared" si="7"/>
        <v>T1-2025</v>
      </c>
      <c r="R216" s="124" t="s">
        <v>2741</v>
      </c>
      <c r="S216" s="123" t="s">
        <v>2723</v>
      </c>
      <c r="T216" s="123" t="s">
        <v>2707</v>
      </c>
      <c r="U216" s="162" t="s">
        <v>2708</v>
      </c>
      <c r="V216" s="162" t="s">
        <v>54</v>
      </c>
      <c r="W216" s="237" t="s">
        <v>125</v>
      </c>
      <c r="X216" s="173" t="s">
        <v>2709</v>
      </c>
    </row>
    <row r="217" spans="1:24" hidden="1">
      <c r="A217" s="161">
        <v>45722</v>
      </c>
      <c r="B217" s="132">
        <v>1372</v>
      </c>
      <c r="C217" s="122" t="s">
        <v>2697</v>
      </c>
      <c r="D217" s="126">
        <v>-46.41</v>
      </c>
      <c r="E217" s="120">
        <v>1</v>
      </c>
      <c r="F217" s="127">
        <f>Tabla5109[[#This Row],[Original Amount]]*Tabla5109[[#This Row],[ER to EUR]]</f>
        <v>-46.41</v>
      </c>
      <c r="G217" s="9" t="s">
        <v>2777</v>
      </c>
      <c r="H217" s="9" t="s">
        <v>2778</v>
      </c>
      <c r="I217" s="9" t="s">
        <v>2779</v>
      </c>
      <c r="J217" s="9" t="s">
        <v>2714</v>
      </c>
      <c r="K217" s="205" t="s">
        <v>2780</v>
      </c>
      <c r="L217" s="9" t="s">
        <v>2716</v>
      </c>
      <c r="M217" s="32" t="s">
        <v>125</v>
      </c>
      <c r="N217" s="129" t="s">
        <v>2704</v>
      </c>
      <c r="O217" s="122" t="s">
        <v>2704</v>
      </c>
      <c r="P217" s="123" t="str">
        <f t="shared" si="6"/>
        <v>C1-2025</v>
      </c>
      <c r="Q217" s="123" t="str">
        <f t="shared" si="7"/>
        <v>T1-2025</v>
      </c>
      <c r="R217" s="124" t="s">
        <v>2705</v>
      </c>
      <c r="S217" s="123" t="s">
        <v>2735</v>
      </c>
      <c r="T217" s="123" t="s">
        <v>2724</v>
      </c>
      <c r="U217" s="162" t="s">
        <v>2708</v>
      </c>
      <c r="V217" s="162" t="s">
        <v>54</v>
      </c>
      <c r="W217" s="237" t="s">
        <v>125</v>
      </c>
      <c r="X217" s="173" t="s">
        <v>2709</v>
      </c>
    </row>
    <row r="218" spans="1:24" hidden="1">
      <c r="A218" s="161">
        <v>45722</v>
      </c>
      <c r="B218" s="117" t="s">
        <v>3071</v>
      </c>
      <c r="C218" s="122" t="s">
        <v>2697</v>
      </c>
      <c r="D218" s="126">
        <v>-6000</v>
      </c>
      <c r="E218" s="120">
        <v>1</v>
      </c>
      <c r="F218" s="127">
        <f>Tabla5109[[#This Row],[Original Amount]]*Tabla5109[[#This Row],[ER to EUR]]</f>
        <v>-6000</v>
      </c>
      <c r="G218" s="9" t="s">
        <v>2725</v>
      </c>
      <c r="H218" s="73" t="s">
        <v>3072</v>
      </c>
      <c r="I218" s="9" t="s">
        <v>2727</v>
      </c>
      <c r="J218" s="9" t="s">
        <v>2701</v>
      </c>
      <c r="K218" s="205" t="s">
        <v>2728</v>
      </c>
      <c r="L218" s="9" t="s">
        <v>2729</v>
      </c>
      <c r="M218" s="32" t="s">
        <v>125</v>
      </c>
      <c r="N218" s="129" t="s">
        <v>2704</v>
      </c>
      <c r="O218" s="122" t="s">
        <v>2704</v>
      </c>
      <c r="P218" s="123" t="str">
        <f t="shared" si="6"/>
        <v>C1-2025</v>
      </c>
      <c r="Q218" s="123" t="str">
        <f t="shared" si="7"/>
        <v>T1-2025</v>
      </c>
      <c r="R218" s="124" t="s">
        <v>2730</v>
      </c>
      <c r="S218" s="123" t="s">
        <v>2731</v>
      </c>
      <c r="T218" s="123" t="s">
        <v>2707</v>
      </c>
      <c r="U218" s="162" t="s">
        <v>51</v>
      </c>
      <c r="V218" s="162" t="s">
        <v>57</v>
      </c>
      <c r="W218" s="237" t="s">
        <v>125</v>
      </c>
      <c r="X218" s="173" t="s">
        <v>2709</v>
      </c>
    </row>
    <row r="219" spans="1:24" hidden="1">
      <c r="A219" s="161">
        <v>45722</v>
      </c>
      <c r="B219" s="219" t="s">
        <v>3073</v>
      </c>
      <c r="C219" s="122" t="s">
        <v>2697</v>
      </c>
      <c r="D219" s="126">
        <v>-13762</v>
      </c>
      <c r="E219" s="120">
        <v>1</v>
      </c>
      <c r="F219" s="127">
        <f>Tabla5109[[#This Row],[Original Amount]]*Tabla5109[[#This Row],[ER to EUR]]</f>
        <v>-13762</v>
      </c>
      <c r="G219" s="9" t="s">
        <v>3074</v>
      </c>
      <c r="H219" s="73" t="s">
        <v>3075</v>
      </c>
      <c r="I219" s="9" t="s">
        <v>2727</v>
      </c>
      <c r="J219" s="9" t="s">
        <v>2701</v>
      </c>
      <c r="K219" s="205" t="s">
        <v>2702</v>
      </c>
      <c r="L219" s="9" t="s">
        <v>2729</v>
      </c>
      <c r="M219" s="32" t="s">
        <v>125</v>
      </c>
      <c r="N219" s="129" t="s">
        <v>2704</v>
      </c>
      <c r="O219" s="122" t="s">
        <v>2704</v>
      </c>
      <c r="P219" s="123" t="str">
        <f t="shared" si="6"/>
        <v>C1-2025</v>
      </c>
      <c r="Q219" s="123" t="str">
        <f t="shared" si="7"/>
        <v>T1-2025</v>
      </c>
      <c r="R219" s="124" t="s">
        <v>2730</v>
      </c>
      <c r="S219" s="123" t="s">
        <v>2731</v>
      </c>
      <c r="T219" s="123" t="s">
        <v>2724</v>
      </c>
      <c r="U219" s="162" t="s">
        <v>51</v>
      </c>
      <c r="V219" s="162" t="s">
        <v>57</v>
      </c>
      <c r="W219" s="237" t="s">
        <v>125</v>
      </c>
      <c r="X219" s="173" t="s">
        <v>2709</v>
      </c>
    </row>
    <row r="220" spans="1:24" hidden="1">
      <c r="A220" s="161">
        <v>45722</v>
      </c>
      <c r="B220" s="117" t="s">
        <v>3076</v>
      </c>
      <c r="C220" s="122" t="s">
        <v>2697</v>
      </c>
      <c r="D220" s="126">
        <v>-212</v>
      </c>
      <c r="E220" s="120">
        <v>1</v>
      </c>
      <c r="F220" s="127">
        <f>Tabla5109[[#This Row],[Original Amount]]*Tabla5109[[#This Row],[ER to EUR]]</f>
        <v>-212</v>
      </c>
      <c r="G220" s="9" t="s">
        <v>2884</v>
      </c>
      <c r="H220" s="73" t="s">
        <v>2885</v>
      </c>
      <c r="I220" s="9" t="s">
        <v>2779</v>
      </c>
      <c r="J220" s="9" t="s">
        <v>2723</v>
      </c>
      <c r="K220" s="205" t="s">
        <v>2792</v>
      </c>
      <c r="L220" s="9" t="s">
        <v>2793</v>
      </c>
      <c r="M220" s="32" t="s">
        <v>125</v>
      </c>
      <c r="N220" s="129" t="s">
        <v>2704</v>
      </c>
      <c r="O220" s="122" t="s">
        <v>2704</v>
      </c>
      <c r="P220" s="123" t="str">
        <f t="shared" si="6"/>
        <v>C1-2025</v>
      </c>
      <c r="Q220" s="123" t="str">
        <f t="shared" si="7"/>
        <v>T1-2025</v>
      </c>
      <c r="R220" s="124" t="s">
        <v>2741</v>
      </c>
      <c r="S220" s="123" t="s">
        <v>2723</v>
      </c>
      <c r="T220" s="123" t="s">
        <v>2707</v>
      </c>
      <c r="U220" s="162" t="s">
        <v>2708</v>
      </c>
      <c r="V220" s="162" t="s">
        <v>54</v>
      </c>
      <c r="W220" s="237" t="s">
        <v>125</v>
      </c>
      <c r="X220" s="173" t="s">
        <v>2709</v>
      </c>
    </row>
    <row r="221" spans="1:24" hidden="1">
      <c r="A221" s="161">
        <v>45723</v>
      </c>
      <c r="B221" s="125">
        <v>78178026919</v>
      </c>
      <c r="C221" s="122" t="s">
        <v>2697</v>
      </c>
      <c r="D221" s="126">
        <v>-82.64</v>
      </c>
      <c r="E221" s="120">
        <v>1</v>
      </c>
      <c r="F221" s="127">
        <f>Tabla5109[[#This Row],[Original Amount]]*Tabla5109[[#This Row],[ER to EUR]]</f>
        <v>-82.64</v>
      </c>
      <c r="G221" s="9" t="s">
        <v>2718</v>
      </c>
      <c r="H221" s="73" t="s">
        <v>3077</v>
      </c>
      <c r="I221" s="9" t="s">
        <v>2779</v>
      </c>
      <c r="J221" s="37" t="s">
        <v>2714</v>
      </c>
      <c r="K221" s="217" t="s">
        <v>2721</v>
      </c>
      <c r="L221" s="37" t="s">
        <v>2716</v>
      </c>
      <c r="M221" s="32" t="s">
        <v>125</v>
      </c>
      <c r="N221" s="156" t="s">
        <v>2704</v>
      </c>
      <c r="O221" s="158" t="s">
        <v>2704</v>
      </c>
      <c r="P221" s="123" t="str">
        <f t="shared" si="6"/>
        <v>C1-2025</v>
      </c>
      <c r="Q221" s="123" t="str">
        <f t="shared" si="7"/>
        <v>T1-2025</v>
      </c>
      <c r="R221" s="124" t="s">
        <v>2722</v>
      </c>
      <c r="S221" s="123" t="s">
        <v>2723</v>
      </c>
      <c r="T221" s="123" t="s">
        <v>2724</v>
      </c>
      <c r="U221" s="162" t="s">
        <v>2708</v>
      </c>
      <c r="V221" s="162" t="s">
        <v>54</v>
      </c>
      <c r="W221" s="237" t="s">
        <v>125</v>
      </c>
      <c r="X221" s="173" t="s">
        <v>2709</v>
      </c>
    </row>
    <row r="222" spans="1:24" hidden="1">
      <c r="A222" s="161">
        <v>45723</v>
      </c>
      <c r="B222" s="117" t="s">
        <v>3078</v>
      </c>
      <c r="C222" s="122" t="s">
        <v>2697</v>
      </c>
      <c r="D222" s="126">
        <v>-412.5</v>
      </c>
      <c r="E222" s="120">
        <v>1</v>
      </c>
      <c r="F222" s="127">
        <f>Tabla5109[[#This Row],[Original Amount]]*Tabla5109[[#This Row],[ER to EUR]]</f>
        <v>-412.5</v>
      </c>
      <c r="G222" s="9" t="s">
        <v>2847</v>
      </c>
      <c r="H222" s="73" t="s">
        <v>2848</v>
      </c>
      <c r="I222" s="9" t="s">
        <v>2727</v>
      </c>
      <c r="J222" s="9" t="s">
        <v>2723</v>
      </c>
      <c r="K222" s="205" t="s">
        <v>2747</v>
      </c>
      <c r="L222" s="9" t="s">
        <v>2793</v>
      </c>
      <c r="M222" s="32" t="s">
        <v>125</v>
      </c>
      <c r="N222" s="129" t="s">
        <v>2704</v>
      </c>
      <c r="O222" s="122" t="s">
        <v>2704</v>
      </c>
      <c r="P222" s="123" t="str">
        <f t="shared" si="6"/>
        <v>C1-2025</v>
      </c>
      <c r="Q222" s="123" t="str">
        <f t="shared" si="7"/>
        <v>T1-2025</v>
      </c>
      <c r="R222" s="124" t="s">
        <v>2705</v>
      </c>
      <c r="S222" s="124" t="s">
        <v>2706</v>
      </c>
      <c r="T222" s="123" t="s">
        <v>2707</v>
      </c>
      <c r="U222" s="162" t="s">
        <v>2708</v>
      </c>
      <c r="V222" s="162" t="s">
        <v>54</v>
      </c>
      <c r="W222" s="237" t="s">
        <v>125</v>
      </c>
      <c r="X222" s="173" t="s">
        <v>2709</v>
      </c>
    </row>
    <row r="223" spans="1:24" hidden="1">
      <c r="A223" s="161">
        <v>45723</v>
      </c>
      <c r="B223" s="117" t="s">
        <v>3079</v>
      </c>
      <c r="C223" s="122" t="s">
        <v>2697</v>
      </c>
      <c r="D223" s="126">
        <v>-136.27000000000001</v>
      </c>
      <c r="E223" s="120">
        <v>1</v>
      </c>
      <c r="F223" s="127">
        <f>Tabla5109[[#This Row],[Original Amount]]*Tabla5109[[#This Row],[ER to EUR]]</f>
        <v>-136.27000000000001</v>
      </c>
      <c r="G223" s="9" t="s">
        <v>2884</v>
      </c>
      <c r="H223" s="73" t="s">
        <v>2885</v>
      </c>
      <c r="I223" s="9" t="s">
        <v>2779</v>
      </c>
      <c r="J223" s="9" t="s">
        <v>2723</v>
      </c>
      <c r="K223" s="205" t="s">
        <v>2792</v>
      </c>
      <c r="L223" s="9" t="s">
        <v>2793</v>
      </c>
      <c r="M223" s="32" t="s">
        <v>125</v>
      </c>
      <c r="N223" s="129" t="s">
        <v>2704</v>
      </c>
      <c r="O223" s="122" t="s">
        <v>2704</v>
      </c>
      <c r="P223" s="123" t="str">
        <f t="shared" si="6"/>
        <v>C1-2025</v>
      </c>
      <c r="Q223" s="123" t="str">
        <f t="shared" si="7"/>
        <v>T1-2025</v>
      </c>
      <c r="R223" s="124" t="s">
        <v>2741</v>
      </c>
      <c r="S223" s="123" t="s">
        <v>2723</v>
      </c>
      <c r="T223" s="123" t="s">
        <v>2707</v>
      </c>
      <c r="U223" s="162" t="s">
        <v>2708</v>
      </c>
      <c r="V223" s="162" t="s">
        <v>54</v>
      </c>
      <c r="W223" s="237" t="s">
        <v>125</v>
      </c>
      <c r="X223" s="173" t="s">
        <v>2709</v>
      </c>
    </row>
    <row r="224" spans="1:24" hidden="1">
      <c r="A224" s="161">
        <v>45724</v>
      </c>
      <c r="B224" s="117" t="s">
        <v>3080</v>
      </c>
      <c r="C224" s="122" t="s">
        <v>2697</v>
      </c>
      <c r="D224" s="126">
        <v>-234</v>
      </c>
      <c r="E224" s="120">
        <v>1</v>
      </c>
      <c r="F224" s="127">
        <f>Tabla5109[[#This Row],[Original Amount]]*Tabla5109[[#This Row],[ER to EUR]]</f>
        <v>-234</v>
      </c>
      <c r="G224" s="9" t="s">
        <v>2884</v>
      </c>
      <c r="H224" s="73" t="s">
        <v>2885</v>
      </c>
      <c r="I224" s="9" t="s">
        <v>2779</v>
      </c>
      <c r="J224" s="37" t="s">
        <v>2723</v>
      </c>
      <c r="K224" s="217" t="s">
        <v>2792</v>
      </c>
      <c r="L224" s="37" t="s">
        <v>2793</v>
      </c>
      <c r="M224" s="32" t="s">
        <v>125</v>
      </c>
      <c r="N224" s="156" t="s">
        <v>2704</v>
      </c>
      <c r="O224" s="158" t="s">
        <v>2704</v>
      </c>
      <c r="P224" s="123" t="str">
        <f t="shared" si="6"/>
        <v>C1-2025</v>
      </c>
      <c r="Q224" s="123" t="str">
        <f t="shared" si="7"/>
        <v>T1-2025</v>
      </c>
      <c r="R224" s="124" t="s">
        <v>2741</v>
      </c>
      <c r="S224" s="123" t="s">
        <v>2723</v>
      </c>
      <c r="T224" s="123" t="s">
        <v>2707</v>
      </c>
      <c r="U224" s="162" t="s">
        <v>2708</v>
      </c>
      <c r="V224" s="162" t="s">
        <v>54</v>
      </c>
      <c r="W224" s="237" t="s">
        <v>125</v>
      </c>
      <c r="X224" s="173" t="s">
        <v>2709</v>
      </c>
    </row>
    <row r="225" spans="1:24" hidden="1">
      <c r="A225" s="161">
        <v>45724</v>
      </c>
      <c r="B225" s="133" t="s">
        <v>3081</v>
      </c>
      <c r="C225" s="32" t="s">
        <v>2697</v>
      </c>
      <c r="D225" s="126">
        <v>-59.49</v>
      </c>
      <c r="E225" s="120">
        <v>1</v>
      </c>
      <c r="F225" s="127">
        <f>Tabla5109[[#This Row],[Original Amount]]*Tabla5109[[#This Row],[ER to EUR]]</f>
        <v>-59.49</v>
      </c>
      <c r="G225" s="9" t="s">
        <v>2830</v>
      </c>
      <c r="H225" s="9" t="s">
        <v>3082</v>
      </c>
      <c r="I225" s="9" t="s">
        <v>2739</v>
      </c>
      <c r="J225" s="9" t="s">
        <v>2817</v>
      </c>
      <c r="K225" s="205" t="s">
        <v>2702</v>
      </c>
      <c r="L225" s="9" t="s">
        <v>2818</v>
      </c>
      <c r="M225" s="32" t="s">
        <v>125</v>
      </c>
      <c r="N225" s="122" t="s">
        <v>2704</v>
      </c>
      <c r="O225" s="129" t="s">
        <v>2704</v>
      </c>
      <c r="P225" s="123" t="str">
        <f t="shared" si="6"/>
        <v>C1-2025</v>
      </c>
      <c r="Q225" s="123" t="str">
        <f t="shared" si="7"/>
        <v>T1-2025</v>
      </c>
      <c r="R225" s="124" t="s">
        <v>2722</v>
      </c>
      <c r="S225" s="123" t="s">
        <v>2723</v>
      </c>
      <c r="T225" s="123" t="s">
        <v>2724</v>
      </c>
      <c r="U225" s="162" t="s">
        <v>2708</v>
      </c>
      <c r="V225" s="162" t="s">
        <v>54</v>
      </c>
      <c r="W225" s="237" t="s">
        <v>125</v>
      </c>
      <c r="X225" s="173" t="s">
        <v>2709</v>
      </c>
    </row>
    <row r="226" spans="1:24" hidden="1">
      <c r="A226" s="161">
        <v>45725</v>
      </c>
      <c r="B226" s="117" t="s">
        <v>3083</v>
      </c>
      <c r="C226" s="122" t="s">
        <v>2697</v>
      </c>
      <c r="D226" s="126">
        <v>-258</v>
      </c>
      <c r="E226" s="120">
        <v>1</v>
      </c>
      <c r="F226" s="127">
        <f>Tabla5109[[#This Row],[Original Amount]]*Tabla5109[[#This Row],[ER to EUR]]</f>
        <v>-258</v>
      </c>
      <c r="G226" s="9" t="s">
        <v>2884</v>
      </c>
      <c r="H226" s="73" t="s">
        <v>2885</v>
      </c>
      <c r="I226" s="9" t="s">
        <v>2779</v>
      </c>
      <c r="J226" s="9" t="s">
        <v>2723</v>
      </c>
      <c r="K226" s="205" t="s">
        <v>2792</v>
      </c>
      <c r="L226" s="9" t="s">
        <v>2793</v>
      </c>
      <c r="M226" s="32" t="s">
        <v>125</v>
      </c>
      <c r="N226" s="129" t="s">
        <v>2704</v>
      </c>
      <c r="O226" s="122" t="s">
        <v>2704</v>
      </c>
      <c r="P226" s="123" t="str">
        <f t="shared" si="6"/>
        <v>C1-2025</v>
      </c>
      <c r="Q226" s="123" t="str">
        <f t="shared" si="7"/>
        <v>T1-2025</v>
      </c>
      <c r="R226" s="124" t="s">
        <v>2741</v>
      </c>
      <c r="S226" s="123" t="s">
        <v>2723</v>
      </c>
      <c r="T226" s="123" t="s">
        <v>2707</v>
      </c>
      <c r="U226" s="162" t="s">
        <v>2708</v>
      </c>
      <c r="V226" s="162" t="s">
        <v>54</v>
      </c>
      <c r="W226" s="237" t="s">
        <v>125</v>
      </c>
      <c r="X226" s="173" t="s">
        <v>2709</v>
      </c>
    </row>
    <row r="227" spans="1:24" hidden="1">
      <c r="A227" s="161">
        <v>45726</v>
      </c>
      <c r="B227" s="130" t="s">
        <v>3084</v>
      </c>
      <c r="C227" s="122" t="s">
        <v>2548</v>
      </c>
      <c r="D227" s="141">
        <v>-120</v>
      </c>
      <c r="E227" s="181">
        <v>0.92400000000000004</v>
      </c>
      <c r="F227" s="127">
        <f>Tabla5109[[#This Row],[Original Amount]]*Tabla5109[[#This Row],[ER to EUR]]</f>
        <v>-110.88000000000001</v>
      </c>
      <c r="G227" s="9" t="s">
        <v>2786</v>
      </c>
      <c r="H227" s="73" t="s">
        <v>2928</v>
      </c>
      <c r="I227" s="9" t="s">
        <v>2713</v>
      </c>
      <c r="J227" s="9" t="s">
        <v>2701</v>
      </c>
      <c r="K227" s="205" t="s">
        <v>2702</v>
      </c>
      <c r="L227" s="9" t="s">
        <v>2788</v>
      </c>
      <c r="M227" s="32" t="s">
        <v>125</v>
      </c>
      <c r="N227" s="129" t="s">
        <v>2704</v>
      </c>
      <c r="O227" s="122" t="s">
        <v>2704</v>
      </c>
      <c r="P227" s="123" t="str">
        <f t="shared" si="6"/>
        <v>C1-2025</v>
      </c>
      <c r="Q227" s="123" t="str">
        <f t="shared" si="7"/>
        <v>T1-2025</v>
      </c>
      <c r="R227" s="124" t="s">
        <v>2705</v>
      </c>
      <c r="S227" s="124" t="s">
        <v>2706</v>
      </c>
      <c r="T227" s="123" t="s">
        <v>2724</v>
      </c>
      <c r="U227" s="162" t="s">
        <v>2708</v>
      </c>
      <c r="V227" s="162" t="s">
        <v>56</v>
      </c>
      <c r="W227" s="237" t="s">
        <v>125</v>
      </c>
      <c r="X227" s="173" t="s">
        <v>2709</v>
      </c>
    </row>
    <row r="228" spans="1:24" hidden="1">
      <c r="A228" s="161">
        <v>45726</v>
      </c>
      <c r="B228" s="117" t="s">
        <v>3085</v>
      </c>
      <c r="C228" s="122" t="s">
        <v>2697</v>
      </c>
      <c r="D228" s="126">
        <v>-284</v>
      </c>
      <c r="E228" s="120">
        <v>1</v>
      </c>
      <c r="F228" s="127">
        <f>Tabla5109[[#This Row],[Original Amount]]*Tabla5109[[#This Row],[ER to EUR]]</f>
        <v>-284</v>
      </c>
      <c r="G228" s="9" t="s">
        <v>2884</v>
      </c>
      <c r="H228" s="73" t="s">
        <v>2885</v>
      </c>
      <c r="I228" s="9" t="s">
        <v>2779</v>
      </c>
      <c r="J228" s="9" t="s">
        <v>2723</v>
      </c>
      <c r="K228" s="205" t="s">
        <v>2792</v>
      </c>
      <c r="L228" s="9" t="s">
        <v>2793</v>
      </c>
      <c r="M228" s="32" t="s">
        <v>125</v>
      </c>
      <c r="N228" s="129" t="s">
        <v>2704</v>
      </c>
      <c r="O228" s="122" t="s">
        <v>2704</v>
      </c>
      <c r="P228" s="123" t="str">
        <f t="shared" si="6"/>
        <v>C1-2025</v>
      </c>
      <c r="Q228" s="123" t="str">
        <f t="shared" si="7"/>
        <v>T1-2025</v>
      </c>
      <c r="R228" s="124" t="s">
        <v>2741</v>
      </c>
      <c r="S228" s="123" t="s">
        <v>2723</v>
      </c>
      <c r="T228" s="123" t="s">
        <v>2707</v>
      </c>
      <c r="U228" s="162" t="s">
        <v>2708</v>
      </c>
      <c r="V228" s="162" t="s">
        <v>54</v>
      </c>
      <c r="W228" s="237" t="s">
        <v>125</v>
      </c>
      <c r="X228" s="173" t="s">
        <v>2709</v>
      </c>
    </row>
    <row r="229" spans="1:24" hidden="1">
      <c r="A229" s="161">
        <v>45727</v>
      </c>
      <c r="B229" s="117" t="s">
        <v>3086</v>
      </c>
      <c r="C229" s="122" t="s">
        <v>2697</v>
      </c>
      <c r="D229" s="126">
        <v>-313</v>
      </c>
      <c r="E229" s="120">
        <v>1</v>
      </c>
      <c r="F229" s="127">
        <f>Tabla5109[[#This Row],[Original Amount]]*Tabla5109[[#This Row],[ER to EUR]]</f>
        <v>-313</v>
      </c>
      <c r="G229" s="9" t="s">
        <v>2884</v>
      </c>
      <c r="H229" s="73" t="s">
        <v>2885</v>
      </c>
      <c r="I229" s="9" t="s">
        <v>2779</v>
      </c>
      <c r="J229" s="9" t="s">
        <v>2723</v>
      </c>
      <c r="K229" s="205" t="s">
        <v>2792</v>
      </c>
      <c r="L229" s="9" t="s">
        <v>2793</v>
      </c>
      <c r="M229" s="32" t="s">
        <v>125</v>
      </c>
      <c r="N229" s="129" t="s">
        <v>2704</v>
      </c>
      <c r="O229" s="122" t="s">
        <v>2704</v>
      </c>
      <c r="P229" s="123" t="str">
        <f t="shared" si="6"/>
        <v>C1-2025</v>
      </c>
      <c r="Q229" s="123" t="str">
        <f t="shared" si="7"/>
        <v>T1-2025</v>
      </c>
      <c r="R229" s="124" t="s">
        <v>2741</v>
      </c>
      <c r="S229" s="123" t="s">
        <v>2723</v>
      </c>
      <c r="T229" s="123" t="s">
        <v>2707</v>
      </c>
      <c r="U229" s="162" t="s">
        <v>2708</v>
      </c>
      <c r="V229" s="162" t="s">
        <v>54</v>
      </c>
      <c r="W229" s="237" t="s">
        <v>125</v>
      </c>
      <c r="X229" s="173" t="s">
        <v>2709</v>
      </c>
    </row>
    <row r="230" spans="1:24" hidden="1">
      <c r="A230" s="161">
        <v>45727</v>
      </c>
      <c r="B230" s="134">
        <v>1629494</v>
      </c>
      <c r="C230" s="32" t="s">
        <v>2543</v>
      </c>
      <c r="D230" s="147">
        <v>-149529</v>
      </c>
      <c r="E230" s="120">
        <v>9.9200000000000004E-4</v>
      </c>
      <c r="F230" s="127">
        <f>Tabla5109[[#This Row],[Original Amount]]*Tabla5109[[#This Row],[ER to EUR]]</f>
        <v>-148.33276800000002</v>
      </c>
      <c r="G230" s="91" t="s">
        <v>3087</v>
      </c>
      <c r="H230" s="9" t="s">
        <v>3088</v>
      </c>
      <c r="I230" s="91" t="s">
        <v>2713</v>
      </c>
      <c r="J230" s="9" t="s">
        <v>2701</v>
      </c>
      <c r="K230" s="205" t="s">
        <v>2771</v>
      </c>
      <c r="L230" s="9" t="s">
        <v>2772</v>
      </c>
      <c r="M230" s="227" t="s">
        <v>2704</v>
      </c>
      <c r="N230" s="129" t="s">
        <v>2748</v>
      </c>
      <c r="O230" s="122" t="s">
        <v>2704</v>
      </c>
      <c r="P230" s="123" t="str">
        <f t="shared" si="6"/>
        <v>C1-2025</v>
      </c>
      <c r="Q230" s="123" t="str">
        <f t="shared" si="7"/>
        <v>T1-2025</v>
      </c>
      <c r="R230" s="91" t="s">
        <v>2749</v>
      </c>
      <c r="S230" s="123" t="s">
        <v>2750</v>
      </c>
      <c r="T230" s="123" t="s">
        <v>2707</v>
      </c>
      <c r="U230" s="162" t="s">
        <v>2708</v>
      </c>
      <c r="V230" s="162" t="s">
        <v>54</v>
      </c>
      <c r="W230" s="237" t="s">
        <v>125</v>
      </c>
      <c r="X230" s="201" t="s">
        <v>2751</v>
      </c>
    </row>
    <row r="231" spans="1:24" hidden="1">
      <c r="A231" s="161">
        <v>45728</v>
      </c>
      <c r="B231" s="117" t="s">
        <v>3089</v>
      </c>
      <c r="C231" s="122" t="s">
        <v>2697</v>
      </c>
      <c r="D231" s="126">
        <v>-345</v>
      </c>
      <c r="E231" s="120">
        <v>1</v>
      </c>
      <c r="F231" s="127">
        <f>Tabla5109[[#This Row],[Original Amount]]*Tabla5109[[#This Row],[ER to EUR]]</f>
        <v>-345</v>
      </c>
      <c r="G231" s="9" t="s">
        <v>2884</v>
      </c>
      <c r="H231" s="73" t="s">
        <v>2885</v>
      </c>
      <c r="I231" s="9" t="s">
        <v>2779</v>
      </c>
      <c r="J231" s="9" t="s">
        <v>2723</v>
      </c>
      <c r="K231" s="205" t="s">
        <v>2792</v>
      </c>
      <c r="L231" s="9" t="s">
        <v>2793</v>
      </c>
      <c r="M231" s="32" t="s">
        <v>125</v>
      </c>
      <c r="N231" s="129" t="s">
        <v>2704</v>
      </c>
      <c r="O231" s="122" t="s">
        <v>2704</v>
      </c>
      <c r="P231" s="123" t="str">
        <f t="shared" si="6"/>
        <v>C1-2025</v>
      </c>
      <c r="Q231" s="123" t="str">
        <f t="shared" si="7"/>
        <v>T1-2025</v>
      </c>
      <c r="R231" s="124" t="s">
        <v>2741</v>
      </c>
      <c r="S231" s="123" t="s">
        <v>2723</v>
      </c>
      <c r="T231" s="123" t="s">
        <v>2707</v>
      </c>
      <c r="U231" s="162" t="s">
        <v>2708</v>
      </c>
      <c r="V231" s="162" t="s">
        <v>54</v>
      </c>
      <c r="W231" s="237" t="s">
        <v>125</v>
      </c>
      <c r="X231" s="173" t="s">
        <v>2709</v>
      </c>
    </row>
    <row r="232" spans="1:24" hidden="1">
      <c r="A232" s="161">
        <v>45729</v>
      </c>
      <c r="B232" s="219">
        <v>5045</v>
      </c>
      <c r="C232" s="122" t="s">
        <v>2697</v>
      </c>
      <c r="D232" s="126">
        <v>-5000</v>
      </c>
      <c r="E232" s="120">
        <v>1</v>
      </c>
      <c r="F232" s="127">
        <f>Tabla5109[[#This Row],[Original Amount]]*Tabla5109[[#This Row],[ER to EUR]]</f>
        <v>-5000</v>
      </c>
      <c r="G232" s="9" t="s">
        <v>3074</v>
      </c>
      <c r="H232" s="73" t="s">
        <v>3075</v>
      </c>
      <c r="I232" s="9" t="s">
        <v>2727</v>
      </c>
      <c r="J232" s="9" t="s">
        <v>2701</v>
      </c>
      <c r="K232" s="205" t="s">
        <v>2702</v>
      </c>
      <c r="L232" s="9" t="s">
        <v>2729</v>
      </c>
      <c r="M232" s="32" t="s">
        <v>125</v>
      </c>
      <c r="N232" s="129" t="s">
        <v>2704</v>
      </c>
      <c r="O232" s="122" t="s">
        <v>2704</v>
      </c>
      <c r="P232" s="123" t="str">
        <f t="shared" si="6"/>
        <v>C1-2025</v>
      </c>
      <c r="Q232" s="123" t="str">
        <f t="shared" si="7"/>
        <v>T1-2025</v>
      </c>
      <c r="R232" s="124" t="s">
        <v>2730</v>
      </c>
      <c r="S232" s="123" t="s">
        <v>2731</v>
      </c>
      <c r="T232" s="123" t="s">
        <v>2724</v>
      </c>
      <c r="U232" s="162" t="s">
        <v>51</v>
      </c>
      <c r="V232" s="162" t="s">
        <v>57</v>
      </c>
      <c r="W232" s="237" t="s">
        <v>125</v>
      </c>
      <c r="X232" s="173" t="s">
        <v>2709</v>
      </c>
    </row>
    <row r="233" spans="1:24" hidden="1">
      <c r="A233" s="161">
        <v>45729</v>
      </c>
      <c r="B233" s="117" t="s">
        <v>3090</v>
      </c>
      <c r="C233" s="122" t="s">
        <v>2697</v>
      </c>
      <c r="D233" s="126">
        <v>-380</v>
      </c>
      <c r="E233" s="120">
        <v>1</v>
      </c>
      <c r="F233" s="127">
        <f>Tabla5109[[#This Row],[Original Amount]]*Tabla5109[[#This Row],[ER to EUR]]</f>
        <v>-380</v>
      </c>
      <c r="G233" s="9" t="s">
        <v>2884</v>
      </c>
      <c r="H233" s="73" t="s">
        <v>2885</v>
      </c>
      <c r="I233" s="9" t="s">
        <v>2779</v>
      </c>
      <c r="J233" s="9" t="s">
        <v>2723</v>
      </c>
      <c r="K233" s="205" t="s">
        <v>2792</v>
      </c>
      <c r="L233" s="9" t="s">
        <v>2793</v>
      </c>
      <c r="M233" s="32" t="s">
        <v>125</v>
      </c>
      <c r="N233" s="129" t="s">
        <v>2704</v>
      </c>
      <c r="O233" s="122" t="s">
        <v>2704</v>
      </c>
      <c r="P233" s="123" t="str">
        <f t="shared" si="6"/>
        <v>C1-2025</v>
      </c>
      <c r="Q233" s="123" t="str">
        <f t="shared" si="7"/>
        <v>T1-2025</v>
      </c>
      <c r="R233" s="124" t="s">
        <v>2741</v>
      </c>
      <c r="S233" s="123" t="s">
        <v>2723</v>
      </c>
      <c r="T233" s="413" t="s">
        <v>2707</v>
      </c>
      <c r="U233" t="s">
        <v>2708</v>
      </c>
      <c r="V233" t="s">
        <v>54</v>
      </c>
      <c r="W233" s="237" t="s">
        <v>125</v>
      </c>
      <c r="X233" s="173" t="s">
        <v>2709</v>
      </c>
    </row>
    <row r="234" spans="1:24" hidden="1">
      <c r="A234" s="161">
        <v>45729</v>
      </c>
      <c r="B234" s="133" t="s">
        <v>3091</v>
      </c>
      <c r="C234" s="122" t="s">
        <v>2697</v>
      </c>
      <c r="D234" s="126">
        <v>-1699</v>
      </c>
      <c r="E234" s="120">
        <v>1</v>
      </c>
      <c r="F234" s="127">
        <f>Tabla5109[[#This Row],[Original Amount]]*Tabla5109[[#This Row],[ER to EUR]]</f>
        <v>-1699</v>
      </c>
      <c r="G234" s="9" t="s">
        <v>3092</v>
      </c>
      <c r="H234" s="9" t="s">
        <v>3093</v>
      </c>
      <c r="I234" s="9" t="s">
        <v>3094</v>
      </c>
      <c r="J234" s="9" t="s">
        <v>3095</v>
      </c>
      <c r="K234" s="205" t="s">
        <v>3096</v>
      </c>
      <c r="L234" s="9" t="s">
        <v>3097</v>
      </c>
      <c r="M234" s="32" t="s">
        <v>125</v>
      </c>
      <c r="N234" s="129" t="s">
        <v>2704</v>
      </c>
      <c r="O234" s="122" t="s">
        <v>2704</v>
      </c>
      <c r="P234" s="123" t="str">
        <f t="shared" si="6"/>
        <v>C1-2025</v>
      </c>
      <c r="Q234" s="123" t="str">
        <f t="shared" si="7"/>
        <v>T1-2025</v>
      </c>
      <c r="R234" s="124" t="s">
        <v>2705</v>
      </c>
      <c r="S234" s="124" t="s">
        <v>2706</v>
      </c>
      <c r="T234" s="123" t="s">
        <v>2717</v>
      </c>
      <c r="U234" s="162" t="s">
        <v>3098</v>
      </c>
      <c r="V234" s="162" t="s">
        <v>56</v>
      </c>
      <c r="W234" s="237" t="s">
        <v>125</v>
      </c>
      <c r="X234" s="173" t="s">
        <v>2709</v>
      </c>
    </row>
    <row r="235" spans="1:24" hidden="1">
      <c r="A235" s="161">
        <v>45730</v>
      </c>
      <c r="B235" s="125">
        <v>1001585764182</v>
      </c>
      <c r="C235" s="122" t="s">
        <v>2697</v>
      </c>
      <c r="D235" s="126">
        <v>-29.75</v>
      </c>
      <c r="E235" s="120">
        <v>1</v>
      </c>
      <c r="F235" s="127">
        <f>Tabla5109[[#This Row],[Original Amount]]*Tabla5109[[#This Row],[ER to EUR]]</f>
        <v>-29.75</v>
      </c>
      <c r="G235" s="9" t="s">
        <v>2806</v>
      </c>
      <c r="H235" s="73" t="s">
        <v>2807</v>
      </c>
      <c r="I235" s="9" t="s">
        <v>2784</v>
      </c>
      <c r="J235" s="9" t="s">
        <v>2701</v>
      </c>
      <c r="K235" s="205" t="s">
        <v>2702</v>
      </c>
      <c r="L235" s="9" t="s">
        <v>2703</v>
      </c>
      <c r="M235" s="32" t="s">
        <v>125</v>
      </c>
      <c r="N235" s="129" t="s">
        <v>2704</v>
      </c>
      <c r="O235" s="122" t="s">
        <v>2704</v>
      </c>
      <c r="P235" s="123" t="str">
        <f t="shared" si="6"/>
        <v>C1-2025</v>
      </c>
      <c r="Q235" s="123" t="str">
        <f t="shared" si="7"/>
        <v>T1-2025</v>
      </c>
      <c r="R235" s="124" t="s">
        <v>2705</v>
      </c>
      <c r="S235" s="123" t="s">
        <v>2735</v>
      </c>
      <c r="T235" s="9" t="s">
        <v>2724</v>
      </c>
      <c r="U235" s="162" t="s">
        <v>2708</v>
      </c>
      <c r="V235" s="162" t="s">
        <v>56</v>
      </c>
      <c r="W235" s="237" t="s">
        <v>125</v>
      </c>
      <c r="X235" s="173" t="s">
        <v>2709</v>
      </c>
    </row>
    <row r="236" spans="1:24" hidden="1">
      <c r="A236" s="161">
        <v>45731</v>
      </c>
      <c r="B236" s="117" t="s">
        <v>3099</v>
      </c>
      <c r="C236" s="122" t="s">
        <v>2697</v>
      </c>
      <c r="D236" s="126">
        <v>-418</v>
      </c>
      <c r="E236" s="120">
        <v>1</v>
      </c>
      <c r="F236" s="127">
        <f>Tabla5109[[#This Row],[Original Amount]]*Tabla5109[[#This Row],[ER to EUR]]</f>
        <v>-418</v>
      </c>
      <c r="G236" s="9" t="s">
        <v>2884</v>
      </c>
      <c r="H236" s="73" t="s">
        <v>2885</v>
      </c>
      <c r="I236" s="9" t="s">
        <v>2779</v>
      </c>
      <c r="J236" s="9" t="s">
        <v>2723</v>
      </c>
      <c r="K236" s="205" t="s">
        <v>2792</v>
      </c>
      <c r="L236" s="9" t="s">
        <v>2793</v>
      </c>
      <c r="M236" s="32" t="s">
        <v>125</v>
      </c>
      <c r="N236" s="129" t="s">
        <v>2704</v>
      </c>
      <c r="O236" s="122" t="s">
        <v>2704</v>
      </c>
      <c r="P236" s="123" t="str">
        <f t="shared" si="6"/>
        <v>C1-2025</v>
      </c>
      <c r="Q236" s="123" t="str">
        <f t="shared" si="7"/>
        <v>T1-2025</v>
      </c>
      <c r="R236" s="124" t="s">
        <v>2741</v>
      </c>
      <c r="S236" s="123" t="s">
        <v>2723</v>
      </c>
      <c r="T236" s="123" t="s">
        <v>2707</v>
      </c>
      <c r="U236" s="162" t="s">
        <v>2708</v>
      </c>
      <c r="V236" s="162" t="s">
        <v>54</v>
      </c>
      <c r="W236" s="237" t="s">
        <v>125</v>
      </c>
      <c r="X236" s="173" t="s">
        <v>2709</v>
      </c>
    </row>
    <row r="237" spans="1:24" hidden="1">
      <c r="A237" s="161">
        <v>45731</v>
      </c>
      <c r="B237" s="133" t="s">
        <v>3100</v>
      </c>
      <c r="C237" s="32" t="s">
        <v>2697</v>
      </c>
      <c r="D237" s="126">
        <v>-38.979999999999997</v>
      </c>
      <c r="E237" s="120">
        <v>1</v>
      </c>
      <c r="F237" s="127">
        <f>Tabla5109[[#This Row],[Original Amount]]*Tabla5109[[#This Row],[ER to EUR]]</f>
        <v>-38.979999999999997</v>
      </c>
      <c r="G237" s="9" t="s">
        <v>2830</v>
      </c>
      <c r="H237" s="9" t="s">
        <v>3101</v>
      </c>
      <c r="I237" s="9" t="s">
        <v>2739</v>
      </c>
      <c r="J237" s="9" t="s">
        <v>2817</v>
      </c>
      <c r="K237" s="205" t="s">
        <v>2702</v>
      </c>
      <c r="L237" s="9" t="s">
        <v>2818</v>
      </c>
      <c r="M237" s="32" t="s">
        <v>125</v>
      </c>
      <c r="N237" s="122" t="s">
        <v>2704</v>
      </c>
      <c r="O237" s="129" t="s">
        <v>2704</v>
      </c>
      <c r="P237" s="123" t="str">
        <f t="shared" si="6"/>
        <v>C1-2025</v>
      </c>
      <c r="Q237" s="123" t="str">
        <f t="shared" si="7"/>
        <v>T1-2025</v>
      </c>
      <c r="R237" s="124" t="s">
        <v>2722</v>
      </c>
      <c r="S237" s="123" t="s">
        <v>2723</v>
      </c>
      <c r="T237" s="123" t="s">
        <v>2724</v>
      </c>
      <c r="U237" s="162" t="s">
        <v>2708</v>
      </c>
      <c r="V237" s="162" t="s">
        <v>54</v>
      </c>
      <c r="W237" s="237" t="s">
        <v>125</v>
      </c>
      <c r="X237" s="173" t="s">
        <v>2709</v>
      </c>
    </row>
    <row r="238" spans="1:24" hidden="1">
      <c r="A238" s="161">
        <v>45732</v>
      </c>
      <c r="B238" s="132" t="s">
        <v>3102</v>
      </c>
      <c r="C238" s="122" t="s">
        <v>2697</v>
      </c>
      <c r="D238" s="126">
        <v>-239.68</v>
      </c>
      <c r="E238" s="120">
        <v>1</v>
      </c>
      <c r="F238" s="127">
        <f>Tabla5109[[#This Row],[Original Amount]]*Tabla5109[[#This Row],[ER to EUR]]</f>
        <v>-239.68</v>
      </c>
      <c r="G238" s="9" t="s">
        <v>2815</v>
      </c>
      <c r="H238" s="9" t="s">
        <v>3103</v>
      </c>
      <c r="I238" s="9" t="s">
        <v>2727</v>
      </c>
      <c r="J238" s="9" t="s">
        <v>2817</v>
      </c>
      <c r="K238" s="205" t="s">
        <v>2702</v>
      </c>
      <c r="L238" s="9" t="s">
        <v>2818</v>
      </c>
      <c r="M238" s="32" t="s">
        <v>125</v>
      </c>
      <c r="N238" s="129" t="s">
        <v>2704</v>
      </c>
      <c r="O238" s="122" t="s">
        <v>2704</v>
      </c>
      <c r="P238" s="123" t="str">
        <f t="shared" si="6"/>
        <v>C1-2025</v>
      </c>
      <c r="Q238" s="123" t="str">
        <f t="shared" si="7"/>
        <v>T1-2025</v>
      </c>
      <c r="R238" s="124" t="s">
        <v>2819</v>
      </c>
      <c r="S238" s="123" t="s">
        <v>2723</v>
      </c>
      <c r="T238" s="123" t="s">
        <v>2724</v>
      </c>
      <c r="U238" s="162" t="s">
        <v>2708</v>
      </c>
      <c r="V238" s="162" t="s">
        <v>54</v>
      </c>
      <c r="W238" s="237" t="s">
        <v>125</v>
      </c>
      <c r="X238" s="173" t="s">
        <v>2709</v>
      </c>
    </row>
    <row r="239" spans="1:24" hidden="1">
      <c r="A239" s="161">
        <v>45732</v>
      </c>
      <c r="B239" s="117" t="s">
        <v>3104</v>
      </c>
      <c r="C239" s="122" t="s">
        <v>2697</v>
      </c>
      <c r="D239" s="126">
        <v>-460</v>
      </c>
      <c r="E239" s="120">
        <v>1</v>
      </c>
      <c r="F239" s="127">
        <f>Tabla5109[[#This Row],[Original Amount]]*Tabla5109[[#This Row],[ER to EUR]]</f>
        <v>-460</v>
      </c>
      <c r="G239" s="9" t="s">
        <v>2884</v>
      </c>
      <c r="H239" s="73" t="s">
        <v>2885</v>
      </c>
      <c r="I239" s="9" t="s">
        <v>2779</v>
      </c>
      <c r="J239" s="9" t="s">
        <v>2723</v>
      </c>
      <c r="K239" s="205" t="s">
        <v>2792</v>
      </c>
      <c r="L239" s="9" t="s">
        <v>2793</v>
      </c>
      <c r="M239" s="32" t="s">
        <v>125</v>
      </c>
      <c r="N239" s="129" t="s">
        <v>2704</v>
      </c>
      <c r="O239" s="122" t="s">
        <v>2704</v>
      </c>
      <c r="P239" s="123" t="str">
        <f t="shared" si="6"/>
        <v>C1-2025</v>
      </c>
      <c r="Q239" s="123" t="str">
        <f t="shared" si="7"/>
        <v>T1-2025</v>
      </c>
      <c r="R239" s="124" t="s">
        <v>2741</v>
      </c>
      <c r="S239" s="123" t="s">
        <v>2723</v>
      </c>
      <c r="T239" s="123" t="s">
        <v>2707</v>
      </c>
      <c r="U239" s="162" t="s">
        <v>2708</v>
      </c>
      <c r="V239" s="162" t="s">
        <v>54</v>
      </c>
      <c r="W239" s="237" t="s">
        <v>125</v>
      </c>
      <c r="X239" s="173" t="s">
        <v>2709</v>
      </c>
    </row>
    <row r="240" spans="1:24" hidden="1">
      <c r="A240" s="161">
        <v>45733</v>
      </c>
      <c r="B240" s="133" t="s">
        <v>3105</v>
      </c>
      <c r="C240" s="32" t="s">
        <v>2697</v>
      </c>
      <c r="D240" s="126">
        <v>-5.99</v>
      </c>
      <c r="E240" s="120">
        <v>1</v>
      </c>
      <c r="F240" s="127">
        <f>Tabla5109[[#This Row],[Original Amount]]*Tabla5109[[#This Row],[ER to EUR]]</f>
        <v>-5.99</v>
      </c>
      <c r="G240" s="9" t="s">
        <v>2830</v>
      </c>
      <c r="H240" s="9" t="s">
        <v>3106</v>
      </c>
      <c r="I240" s="9" t="s">
        <v>2975</v>
      </c>
      <c r="J240" s="9" t="s">
        <v>2817</v>
      </c>
      <c r="K240" s="4" t="s">
        <v>2702</v>
      </c>
      <c r="L240" t="s">
        <v>2818</v>
      </c>
      <c r="M240" s="32" t="s">
        <v>125</v>
      </c>
      <c r="N240" s="122" t="s">
        <v>2704</v>
      </c>
      <c r="O240" s="129" t="s">
        <v>2704</v>
      </c>
      <c r="P240" s="123" t="str">
        <f t="shared" si="6"/>
        <v>C1-2025</v>
      </c>
      <c r="Q240" s="123" t="str">
        <f t="shared" si="7"/>
        <v>T1-2025</v>
      </c>
      <c r="R240" s="124" t="s">
        <v>2722</v>
      </c>
      <c r="S240" s="123" t="s">
        <v>2723</v>
      </c>
      <c r="T240" s="123" t="s">
        <v>2724</v>
      </c>
      <c r="U240" s="162" t="s">
        <v>2708</v>
      </c>
      <c r="V240" s="162" t="s">
        <v>54</v>
      </c>
      <c r="W240" s="237" t="s">
        <v>125</v>
      </c>
      <c r="X240" s="173" t="s">
        <v>2709</v>
      </c>
    </row>
    <row r="241" spans="1:24" hidden="1">
      <c r="A241" s="161">
        <v>45733</v>
      </c>
      <c r="B241" s="133" t="s">
        <v>3107</v>
      </c>
      <c r="C241" s="32" t="s">
        <v>2697</v>
      </c>
      <c r="D241" s="126">
        <v>-54</v>
      </c>
      <c r="E241" s="120">
        <v>1</v>
      </c>
      <c r="F241" s="127">
        <f>Tabla5109[[#This Row],[Original Amount]]*Tabla5109[[#This Row],[ER to EUR]]</f>
        <v>-54</v>
      </c>
      <c r="G241" s="9" t="s">
        <v>2833</v>
      </c>
      <c r="H241" s="9" t="s">
        <v>2834</v>
      </c>
      <c r="I241" s="9" t="s">
        <v>2713</v>
      </c>
      <c r="J241" s="9" t="s">
        <v>2701</v>
      </c>
      <c r="K241" s="205" t="s">
        <v>2771</v>
      </c>
      <c r="L241" s="211" t="s">
        <v>2818</v>
      </c>
      <c r="M241" s="32" t="s">
        <v>125</v>
      </c>
      <c r="N241" s="122" t="s">
        <v>2704</v>
      </c>
      <c r="O241" s="129" t="s">
        <v>2704</v>
      </c>
      <c r="P241" s="123" t="str">
        <f t="shared" si="6"/>
        <v>C1-2025</v>
      </c>
      <c r="Q241" s="123" t="str">
        <f t="shared" si="7"/>
        <v>T1-2025</v>
      </c>
      <c r="R241" s="91" t="s">
        <v>2819</v>
      </c>
      <c r="S241" s="123" t="s">
        <v>2817</v>
      </c>
      <c r="T241" s="123" t="s">
        <v>2724</v>
      </c>
      <c r="U241" s="162" t="s">
        <v>2708</v>
      </c>
      <c r="V241" s="162" t="s">
        <v>54</v>
      </c>
      <c r="W241" s="237" t="s">
        <v>125</v>
      </c>
      <c r="X241" s="173" t="s">
        <v>2709</v>
      </c>
    </row>
    <row r="242" spans="1:24" hidden="1">
      <c r="A242" s="161">
        <v>45734</v>
      </c>
      <c r="B242" s="132">
        <v>1883880</v>
      </c>
      <c r="C242" s="118" t="s">
        <v>2697</v>
      </c>
      <c r="D242" s="126">
        <v>-187.25</v>
      </c>
      <c r="E242" s="120">
        <v>1</v>
      </c>
      <c r="F242" s="127">
        <f>Tabla5109[[#This Row],[Original Amount]]*Tabla5109[[#This Row],[ER to EUR]]</f>
        <v>-187.25</v>
      </c>
      <c r="G242" s="9" t="s">
        <v>2815</v>
      </c>
      <c r="H242" s="9" t="s">
        <v>2816</v>
      </c>
      <c r="I242" s="9" t="s">
        <v>2727</v>
      </c>
      <c r="J242" s="9" t="s">
        <v>2817</v>
      </c>
      <c r="K242" s="205" t="s">
        <v>2702</v>
      </c>
      <c r="L242" s="9" t="s">
        <v>2818</v>
      </c>
      <c r="M242" s="32" t="s">
        <v>125</v>
      </c>
      <c r="N242" s="129" t="s">
        <v>2704</v>
      </c>
      <c r="O242" s="122" t="s">
        <v>2704</v>
      </c>
      <c r="P242" s="123" t="str">
        <f t="shared" si="6"/>
        <v>C1-2025</v>
      </c>
      <c r="Q242" s="123" t="str">
        <f t="shared" si="7"/>
        <v>T1-2025</v>
      </c>
      <c r="R242" s="124" t="s">
        <v>2819</v>
      </c>
      <c r="S242" s="123" t="s">
        <v>2723</v>
      </c>
      <c r="T242" s="123" t="s">
        <v>2724</v>
      </c>
      <c r="U242" s="162" t="s">
        <v>2708</v>
      </c>
      <c r="V242" s="162" t="s">
        <v>54</v>
      </c>
      <c r="W242" s="237" t="s">
        <v>125</v>
      </c>
      <c r="X242" s="173" t="s">
        <v>2709</v>
      </c>
    </row>
    <row r="243" spans="1:24" hidden="1">
      <c r="A243" s="161">
        <v>45734</v>
      </c>
      <c r="B243" s="140" t="s">
        <v>3108</v>
      </c>
      <c r="C243" s="122" t="s">
        <v>2697</v>
      </c>
      <c r="D243" s="126">
        <v>-40</v>
      </c>
      <c r="E243" s="120">
        <v>1</v>
      </c>
      <c r="F243" s="127">
        <f>Tabla5109[[#This Row],[Original Amount]]*Tabla5109[[#This Row],[ER to EUR]]</f>
        <v>-40</v>
      </c>
      <c r="G243" s="9" t="s">
        <v>3109</v>
      </c>
      <c r="H243" s="73" t="s">
        <v>3110</v>
      </c>
      <c r="I243" s="9" t="s">
        <v>2784</v>
      </c>
      <c r="J243" s="9" t="s">
        <v>2701</v>
      </c>
      <c r="K243" s="205" t="s">
        <v>2809</v>
      </c>
      <c r="L243" s="9" t="s">
        <v>2810</v>
      </c>
      <c r="M243" s="32" t="s">
        <v>125</v>
      </c>
      <c r="N243" s="129" t="s">
        <v>2704</v>
      </c>
      <c r="O243" s="122" t="s">
        <v>2704</v>
      </c>
      <c r="P243" s="123" t="str">
        <f t="shared" si="6"/>
        <v>C1-2025</v>
      </c>
      <c r="Q243" s="123" t="str">
        <f t="shared" si="7"/>
        <v>T1-2025</v>
      </c>
      <c r="R243" s="124" t="s">
        <v>2705</v>
      </c>
      <c r="S243" s="124" t="s">
        <v>2706</v>
      </c>
      <c r="T243" s="123" t="s">
        <v>2717</v>
      </c>
      <c r="U243" s="162" t="s">
        <v>2708</v>
      </c>
      <c r="V243" s="162" t="s">
        <v>56</v>
      </c>
      <c r="W243" s="237" t="s">
        <v>125</v>
      </c>
      <c r="X243" s="173" t="s">
        <v>2709</v>
      </c>
    </row>
    <row r="244" spans="1:24" hidden="1">
      <c r="A244" s="161">
        <v>45734</v>
      </c>
      <c r="B244" s="128" t="s">
        <v>3111</v>
      </c>
      <c r="C244" s="122" t="s">
        <v>2697</v>
      </c>
      <c r="D244" s="126">
        <v>-118.99</v>
      </c>
      <c r="E244" s="120">
        <v>1</v>
      </c>
      <c r="F244" s="127">
        <f>Tabla5109[[#This Row],[Original Amount]]*Tabla5109[[#This Row],[ER to EUR]]</f>
        <v>-118.99</v>
      </c>
      <c r="G244" s="9" t="s">
        <v>2812</v>
      </c>
      <c r="H244" s="73" t="s">
        <v>2813</v>
      </c>
      <c r="I244" s="9" t="s">
        <v>2727</v>
      </c>
      <c r="J244" s="9" t="s">
        <v>2714</v>
      </c>
      <c r="K244" s="205" t="s">
        <v>2814</v>
      </c>
      <c r="L244" s="9" t="s">
        <v>2799</v>
      </c>
      <c r="M244" s="32" t="s">
        <v>125</v>
      </c>
      <c r="N244" s="129" t="s">
        <v>2704</v>
      </c>
      <c r="O244" s="122" t="s">
        <v>2704</v>
      </c>
      <c r="P244" s="123" t="str">
        <f t="shared" si="6"/>
        <v>C1-2025</v>
      </c>
      <c r="Q244" s="123" t="str">
        <f t="shared" si="7"/>
        <v>T1-2025</v>
      </c>
      <c r="R244" s="124" t="s">
        <v>2705</v>
      </c>
      <c r="S244" s="124" t="s">
        <v>2706</v>
      </c>
      <c r="T244" s="123" t="s">
        <v>2724</v>
      </c>
      <c r="U244" s="162" t="s">
        <v>2708</v>
      </c>
      <c r="V244" s="162" t="s">
        <v>56</v>
      </c>
      <c r="W244" s="237" t="s">
        <v>125</v>
      </c>
      <c r="X244" s="173" t="s">
        <v>2709</v>
      </c>
    </row>
    <row r="245" spans="1:24" hidden="1">
      <c r="A245" s="161">
        <v>45734</v>
      </c>
      <c r="B245" s="117" t="s">
        <v>3112</v>
      </c>
      <c r="C245" s="122" t="s">
        <v>2697</v>
      </c>
      <c r="D245" s="126">
        <v>-506</v>
      </c>
      <c r="E245" s="120">
        <v>1</v>
      </c>
      <c r="F245" s="127">
        <f>Tabla5109[[#This Row],[Original Amount]]*Tabla5109[[#This Row],[ER to EUR]]</f>
        <v>-506</v>
      </c>
      <c r="G245" s="9" t="s">
        <v>2884</v>
      </c>
      <c r="H245" s="73" t="s">
        <v>2885</v>
      </c>
      <c r="I245" s="9" t="s">
        <v>2779</v>
      </c>
      <c r="J245" s="9" t="s">
        <v>2723</v>
      </c>
      <c r="K245" s="205" t="s">
        <v>2792</v>
      </c>
      <c r="L245" s="9" t="s">
        <v>2793</v>
      </c>
      <c r="M245" s="32" t="s">
        <v>125</v>
      </c>
      <c r="N245" s="129" t="s">
        <v>2704</v>
      </c>
      <c r="O245" s="122" t="s">
        <v>2704</v>
      </c>
      <c r="P245" s="123" t="str">
        <f t="shared" si="6"/>
        <v>C1-2025</v>
      </c>
      <c r="Q245" s="123" t="str">
        <f t="shared" si="7"/>
        <v>T1-2025</v>
      </c>
      <c r="R245" s="124" t="s">
        <v>2741</v>
      </c>
      <c r="S245" s="123" t="s">
        <v>2723</v>
      </c>
      <c r="T245" s="123" t="s">
        <v>2707</v>
      </c>
      <c r="U245" s="162" t="s">
        <v>2708</v>
      </c>
      <c r="V245" s="162" t="s">
        <v>54</v>
      </c>
      <c r="W245" s="237" t="s">
        <v>125</v>
      </c>
      <c r="X245" s="173" t="s">
        <v>2709</v>
      </c>
    </row>
    <row r="246" spans="1:24" hidden="1">
      <c r="A246" s="161">
        <v>45735</v>
      </c>
      <c r="B246" s="117" t="s">
        <v>3113</v>
      </c>
      <c r="C246" s="122" t="s">
        <v>2697</v>
      </c>
      <c r="D246" s="126">
        <v>-557</v>
      </c>
      <c r="E246" s="120">
        <v>1</v>
      </c>
      <c r="F246" s="127">
        <f>Tabla5109[[#This Row],[Original Amount]]*Tabla5109[[#This Row],[ER to EUR]]</f>
        <v>-557</v>
      </c>
      <c r="G246" s="9" t="s">
        <v>2884</v>
      </c>
      <c r="H246" s="73" t="s">
        <v>2885</v>
      </c>
      <c r="I246" s="9" t="s">
        <v>2779</v>
      </c>
      <c r="J246" s="9" t="s">
        <v>2723</v>
      </c>
      <c r="K246" s="205" t="s">
        <v>2792</v>
      </c>
      <c r="L246" s="9" t="s">
        <v>2793</v>
      </c>
      <c r="M246" s="32" t="s">
        <v>125</v>
      </c>
      <c r="N246" s="129" t="s">
        <v>2704</v>
      </c>
      <c r="O246" s="122" t="s">
        <v>2704</v>
      </c>
      <c r="P246" s="123" t="str">
        <f t="shared" si="6"/>
        <v>C1-2025</v>
      </c>
      <c r="Q246" s="123" t="str">
        <f t="shared" si="7"/>
        <v>T1-2025</v>
      </c>
      <c r="R246" s="124" t="s">
        <v>2741</v>
      </c>
      <c r="S246" s="123" t="s">
        <v>2723</v>
      </c>
      <c r="T246" s="123" t="s">
        <v>2707</v>
      </c>
      <c r="U246" s="162" t="s">
        <v>2708</v>
      </c>
      <c r="V246" s="162" t="s">
        <v>54</v>
      </c>
      <c r="W246" s="237" t="s">
        <v>125</v>
      </c>
      <c r="X246" s="173" t="s">
        <v>2709</v>
      </c>
    </row>
    <row r="247" spans="1:24" hidden="1">
      <c r="A247" s="161">
        <v>45735</v>
      </c>
      <c r="B247" s="128" t="s">
        <v>3114</v>
      </c>
      <c r="C247" s="122" t="s">
        <v>2697</v>
      </c>
      <c r="D247" s="126">
        <v>-133.16999999999999</v>
      </c>
      <c r="E247" s="120">
        <v>1</v>
      </c>
      <c r="F247" s="127">
        <f>Tabla5109[[#This Row],[Original Amount]]*Tabla5109[[#This Row],[ER to EUR]]</f>
        <v>-133.16999999999999</v>
      </c>
      <c r="G247" s="9" t="s">
        <v>2839</v>
      </c>
      <c r="H247" s="73" t="s">
        <v>2840</v>
      </c>
      <c r="I247" s="9" t="s">
        <v>2784</v>
      </c>
      <c r="J247" s="9" t="s">
        <v>2701</v>
      </c>
      <c r="K247" s="205" t="s">
        <v>2702</v>
      </c>
      <c r="L247" s="9" t="s">
        <v>2703</v>
      </c>
      <c r="M247" s="32" t="s">
        <v>125</v>
      </c>
      <c r="N247" s="129" t="s">
        <v>2704</v>
      </c>
      <c r="O247" s="122" t="s">
        <v>2704</v>
      </c>
      <c r="P247" s="123" t="str">
        <f t="shared" si="6"/>
        <v>C1-2025</v>
      </c>
      <c r="Q247" s="123" t="str">
        <f t="shared" si="7"/>
        <v>T1-2025</v>
      </c>
      <c r="R247" s="124" t="s">
        <v>2705</v>
      </c>
      <c r="S247" s="124" t="s">
        <v>2706</v>
      </c>
      <c r="T247" s="123" t="s">
        <v>2707</v>
      </c>
      <c r="U247" s="162" t="s">
        <v>2708</v>
      </c>
      <c r="V247" s="162" t="s">
        <v>57</v>
      </c>
      <c r="W247" s="237" t="s">
        <v>125</v>
      </c>
      <c r="X247" s="173" t="s">
        <v>2709</v>
      </c>
    </row>
    <row r="248" spans="1:24" hidden="1">
      <c r="A248" s="161">
        <v>45735</v>
      </c>
      <c r="B248" s="128" t="s">
        <v>3115</v>
      </c>
      <c r="C248" s="122" t="s">
        <v>2697</v>
      </c>
      <c r="D248" s="126">
        <v>-120</v>
      </c>
      <c r="E248" s="120">
        <v>1</v>
      </c>
      <c r="F248" s="127">
        <f>Tabla5109[[#This Row],[Original Amount]]*Tabla5109[[#This Row],[ER to EUR]]</f>
        <v>-120</v>
      </c>
      <c r="G248" s="9" t="s">
        <v>3116</v>
      </c>
      <c r="H248" s="9" t="s">
        <v>3117</v>
      </c>
      <c r="I248" s="9" t="s">
        <v>2713</v>
      </c>
      <c r="J248" s="9" t="s">
        <v>2701</v>
      </c>
      <c r="K248" s="205" t="s">
        <v>2702</v>
      </c>
      <c r="L248" s="9" t="s">
        <v>2703</v>
      </c>
      <c r="M248" s="32" t="s">
        <v>125</v>
      </c>
      <c r="N248" s="129" t="s">
        <v>2704</v>
      </c>
      <c r="O248" s="122" t="s">
        <v>2704</v>
      </c>
      <c r="P248" s="123" t="str">
        <f t="shared" si="6"/>
        <v>C1-2025</v>
      </c>
      <c r="Q248" s="123" t="str">
        <f t="shared" si="7"/>
        <v>T1-2025</v>
      </c>
      <c r="R248" s="124" t="s">
        <v>2794</v>
      </c>
      <c r="S248" s="123" t="s">
        <v>3041</v>
      </c>
      <c r="T248" s="123" t="s">
        <v>2707</v>
      </c>
      <c r="U248" s="162" t="s">
        <v>51</v>
      </c>
      <c r="V248" s="162" t="s">
        <v>57</v>
      </c>
      <c r="W248" s="237" t="s">
        <v>125</v>
      </c>
      <c r="X248" s="173" t="s">
        <v>2709</v>
      </c>
    </row>
    <row r="249" spans="1:24" hidden="1">
      <c r="A249" s="161">
        <v>45735</v>
      </c>
      <c r="B249" s="130" t="s">
        <v>3118</v>
      </c>
      <c r="C249" s="118" t="s">
        <v>2697</v>
      </c>
      <c r="D249" s="126">
        <v>-60</v>
      </c>
      <c r="E249" s="120">
        <v>1</v>
      </c>
      <c r="F249" s="127">
        <f>Tabla5109[[#This Row],[Original Amount]]*Tabla5109[[#This Row],[ER to EUR]]</f>
        <v>-60</v>
      </c>
      <c r="G249" s="9" t="s">
        <v>3119</v>
      </c>
      <c r="H249" s="73" t="s">
        <v>3120</v>
      </c>
      <c r="I249" s="9" t="s">
        <v>2739</v>
      </c>
      <c r="J249" s="9" t="s">
        <v>2770</v>
      </c>
      <c r="K249" s="205" t="s">
        <v>2715</v>
      </c>
      <c r="L249" s="9" t="s">
        <v>2772</v>
      </c>
      <c r="M249" s="32" t="s">
        <v>125</v>
      </c>
      <c r="N249" s="129" t="s">
        <v>2704</v>
      </c>
      <c r="O249" s="122" t="s">
        <v>2704</v>
      </c>
      <c r="P249" s="123" t="str">
        <f t="shared" si="6"/>
        <v>C1-2025</v>
      </c>
      <c r="Q249" s="123" t="str">
        <f t="shared" si="7"/>
        <v>T1-2025</v>
      </c>
      <c r="R249" s="124" t="s">
        <v>2705</v>
      </c>
      <c r="S249" s="124" t="s">
        <v>2706</v>
      </c>
      <c r="T249" s="123" t="s">
        <v>2717</v>
      </c>
      <c r="U249" s="162" t="s">
        <v>2708</v>
      </c>
      <c r="V249" s="162" t="s">
        <v>56</v>
      </c>
      <c r="W249" s="237" t="s">
        <v>125</v>
      </c>
      <c r="X249" s="173" t="s">
        <v>2709</v>
      </c>
    </row>
    <row r="250" spans="1:24" hidden="1">
      <c r="A250" s="161">
        <v>45736</v>
      </c>
      <c r="B250" s="130" t="s">
        <v>3121</v>
      </c>
      <c r="C250" s="122" t="s">
        <v>2697</v>
      </c>
      <c r="D250" s="126">
        <v>-79.94</v>
      </c>
      <c r="E250" s="120">
        <v>1</v>
      </c>
      <c r="F250" s="127">
        <f>Tabla5109[[#This Row],[Original Amount]]*Tabla5109[[#This Row],[ER to EUR]]</f>
        <v>-79.94</v>
      </c>
      <c r="G250" s="9" t="s">
        <v>2753</v>
      </c>
      <c r="H250" s="73" t="s">
        <v>3122</v>
      </c>
      <c r="I250" s="9" t="s">
        <v>2755</v>
      </c>
      <c r="J250" s="9" t="s">
        <v>2701</v>
      </c>
      <c r="K250" s="4" t="s">
        <v>2702</v>
      </c>
      <c r="L250" s="9" t="s">
        <v>2703</v>
      </c>
      <c r="M250" s="32" t="s">
        <v>125</v>
      </c>
      <c r="N250" s="129" t="s">
        <v>2704</v>
      </c>
      <c r="O250" s="122" t="s">
        <v>2704</v>
      </c>
      <c r="P250" s="123" t="str">
        <f t="shared" si="6"/>
        <v>C1-2025</v>
      </c>
      <c r="Q250" s="123" t="str">
        <f t="shared" si="7"/>
        <v>T1-2025</v>
      </c>
      <c r="R250" s="124" t="s">
        <v>2705</v>
      </c>
      <c r="S250" s="124" t="s">
        <v>2706</v>
      </c>
      <c r="T250" s="123" t="s">
        <v>2707</v>
      </c>
      <c r="U250" s="162" t="s">
        <v>2708</v>
      </c>
      <c r="V250" s="162" t="s">
        <v>56</v>
      </c>
      <c r="W250" s="237" t="s">
        <v>125</v>
      </c>
      <c r="X250" s="173" t="s">
        <v>2709</v>
      </c>
    </row>
    <row r="251" spans="1:24" hidden="1">
      <c r="A251" s="161">
        <v>45736</v>
      </c>
      <c r="B251" s="117" t="s">
        <v>3123</v>
      </c>
      <c r="C251" s="122" t="s">
        <v>2697</v>
      </c>
      <c r="D251" s="126">
        <v>-613</v>
      </c>
      <c r="E251" s="120">
        <v>1</v>
      </c>
      <c r="F251" s="127">
        <f>Tabla5109[[#This Row],[Original Amount]]*Tabla5109[[#This Row],[ER to EUR]]</f>
        <v>-613</v>
      </c>
      <c r="G251" s="9" t="s">
        <v>2884</v>
      </c>
      <c r="H251" s="73" t="s">
        <v>2885</v>
      </c>
      <c r="I251" s="9" t="s">
        <v>2779</v>
      </c>
      <c r="J251" s="37" t="s">
        <v>2723</v>
      </c>
      <c r="K251" s="217" t="s">
        <v>2792</v>
      </c>
      <c r="L251" s="37" t="s">
        <v>2793</v>
      </c>
      <c r="M251" s="32" t="s">
        <v>125</v>
      </c>
      <c r="N251" s="156" t="s">
        <v>2704</v>
      </c>
      <c r="O251" s="158" t="s">
        <v>2704</v>
      </c>
      <c r="P251" s="123" t="str">
        <f t="shared" si="6"/>
        <v>C1-2025</v>
      </c>
      <c r="Q251" s="123" t="str">
        <f t="shared" si="7"/>
        <v>T1-2025</v>
      </c>
      <c r="R251" s="124" t="s">
        <v>2741</v>
      </c>
      <c r="S251" s="123" t="s">
        <v>2723</v>
      </c>
      <c r="T251" s="123" t="s">
        <v>2707</v>
      </c>
      <c r="U251" s="162" t="s">
        <v>2708</v>
      </c>
      <c r="V251" s="162" t="s">
        <v>54</v>
      </c>
      <c r="W251" s="237" t="s">
        <v>125</v>
      </c>
      <c r="X251" s="173" t="s">
        <v>2709</v>
      </c>
    </row>
    <row r="252" spans="1:24" hidden="1">
      <c r="A252" s="161">
        <v>45736</v>
      </c>
      <c r="B252" s="117" t="s">
        <v>3124</v>
      </c>
      <c r="C252" s="122" t="s">
        <v>2697</v>
      </c>
      <c r="D252" s="126">
        <v>-159</v>
      </c>
      <c r="E252" s="120">
        <v>1</v>
      </c>
      <c r="F252" s="127">
        <f>Tabla5109[[#This Row],[Original Amount]]*Tabla5109[[#This Row],[ER to EUR]]</f>
        <v>-159</v>
      </c>
      <c r="G252" s="9" t="s">
        <v>3125</v>
      </c>
      <c r="H252" s="73" t="s">
        <v>3126</v>
      </c>
      <c r="I252" s="9" t="s">
        <v>2784</v>
      </c>
      <c r="J252" s="9" t="s">
        <v>2701</v>
      </c>
      <c r="K252" s="205" t="s">
        <v>2702</v>
      </c>
      <c r="L252" s="9" t="s">
        <v>2760</v>
      </c>
      <c r="M252" s="32" t="s">
        <v>125</v>
      </c>
      <c r="N252" s="129" t="s">
        <v>2704</v>
      </c>
      <c r="O252" s="122" t="s">
        <v>2704</v>
      </c>
      <c r="P252" s="123" t="str">
        <f t="shared" si="6"/>
        <v>C1-2025</v>
      </c>
      <c r="Q252" s="123" t="str">
        <f t="shared" si="7"/>
        <v>T1-2025</v>
      </c>
      <c r="R252" s="124" t="s">
        <v>2741</v>
      </c>
      <c r="S252" s="123" t="s">
        <v>2723</v>
      </c>
      <c r="T252" s="123" t="s">
        <v>2724</v>
      </c>
      <c r="U252" s="162" t="s">
        <v>2708</v>
      </c>
      <c r="V252" s="162" t="s">
        <v>54</v>
      </c>
      <c r="W252" s="237" t="s">
        <v>125</v>
      </c>
      <c r="X252" s="173" t="s">
        <v>2709</v>
      </c>
    </row>
    <row r="253" spans="1:24" hidden="1">
      <c r="A253" s="161">
        <v>45737</v>
      </c>
      <c r="B253" s="130" t="s">
        <v>3127</v>
      </c>
      <c r="C253" s="122" t="s">
        <v>2697</v>
      </c>
      <c r="D253" s="126">
        <v>-89.41</v>
      </c>
      <c r="E253" s="120">
        <v>1</v>
      </c>
      <c r="F253" s="127">
        <f>Tabla5109[[#This Row],[Original Amount]]*Tabla5109[[#This Row],[ER to EUR]]</f>
        <v>-89.41</v>
      </c>
      <c r="G253" s="9" t="s">
        <v>3128</v>
      </c>
      <c r="H253" s="73" t="s">
        <v>2994</v>
      </c>
      <c r="I253" s="9" t="s">
        <v>2779</v>
      </c>
      <c r="J253" s="37" t="s">
        <v>2701</v>
      </c>
      <c r="K253" s="217" t="s">
        <v>2702</v>
      </c>
      <c r="L253" s="37" t="s">
        <v>2703</v>
      </c>
      <c r="M253" s="32" t="s">
        <v>125</v>
      </c>
      <c r="N253" s="156" t="s">
        <v>2704</v>
      </c>
      <c r="O253" s="158" t="s">
        <v>2704</v>
      </c>
      <c r="P253" s="123" t="str">
        <f t="shared" si="6"/>
        <v>C1-2025</v>
      </c>
      <c r="Q253" s="123" t="str">
        <f t="shared" si="7"/>
        <v>T1-2025</v>
      </c>
      <c r="R253" s="124" t="s">
        <v>2741</v>
      </c>
      <c r="S253" s="123" t="s">
        <v>2723</v>
      </c>
      <c r="T253" s="123" t="s">
        <v>2707</v>
      </c>
      <c r="U253" s="162" t="s">
        <v>2708</v>
      </c>
      <c r="V253" s="162" t="s">
        <v>54</v>
      </c>
      <c r="W253" s="237" t="s">
        <v>125</v>
      </c>
      <c r="X253" s="173" t="s">
        <v>2709</v>
      </c>
    </row>
    <row r="254" spans="1:24" hidden="1">
      <c r="A254" s="161">
        <v>45737</v>
      </c>
      <c r="B254" s="130" t="s">
        <v>3129</v>
      </c>
      <c r="C254" s="122" t="s">
        <v>2697</v>
      </c>
      <c r="D254" s="126">
        <v>-49.18</v>
      </c>
      <c r="E254" s="120">
        <v>1</v>
      </c>
      <c r="F254" s="127">
        <f>Tabla5109[[#This Row],[Original Amount]]*Tabla5109[[#This Row],[ER to EUR]]</f>
        <v>-49.18</v>
      </c>
      <c r="G254" s="9" t="s">
        <v>2733</v>
      </c>
      <c r="H254" s="73" t="s">
        <v>2734</v>
      </c>
      <c r="I254" s="9" t="s">
        <v>2713</v>
      </c>
      <c r="J254" s="9" t="s">
        <v>2701</v>
      </c>
      <c r="K254" s="205" t="s">
        <v>2809</v>
      </c>
      <c r="L254" s="9" t="s">
        <v>2810</v>
      </c>
      <c r="M254" s="32" t="s">
        <v>125</v>
      </c>
      <c r="N254" s="129" t="s">
        <v>2704</v>
      </c>
      <c r="O254" s="122" t="s">
        <v>2704</v>
      </c>
      <c r="P254" s="123" t="str">
        <f t="shared" si="6"/>
        <v>C1-2025</v>
      </c>
      <c r="Q254" s="123" t="str">
        <f t="shared" si="7"/>
        <v>T1-2025</v>
      </c>
      <c r="R254" s="124" t="s">
        <v>2705</v>
      </c>
      <c r="S254" s="123" t="s">
        <v>2735</v>
      </c>
      <c r="T254" s="123" t="s">
        <v>2707</v>
      </c>
      <c r="U254" s="203" t="s">
        <v>2708</v>
      </c>
      <c r="V254" s="203" t="s">
        <v>56</v>
      </c>
      <c r="W254" s="237" t="s">
        <v>125</v>
      </c>
      <c r="X254" s="173" t="s">
        <v>2709</v>
      </c>
    </row>
    <row r="255" spans="1:24" hidden="1">
      <c r="A255" s="161">
        <v>45737</v>
      </c>
      <c r="B255" s="133" t="s">
        <v>3130</v>
      </c>
      <c r="C255" s="122" t="s">
        <v>2697</v>
      </c>
      <c r="D255" s="126">
        <v>-23</v>
      </c>
      <c r="E255" s="120">
        <v>1</v>
      </c>
      <c r="F255" s="127">
        <f>Tabla5109[[#This Row],[Original Amount]]*Tabla5109[[#This Row],[ER to EUR]]</f>
        <v>-23</v>
      </c>
      <c r="G255" s="9" t="s">
        <v>2996</v>
      </c>
      <c r="H255" s="73" t="s">
        <v>2997</v>
      </c>
      <c r="I255" s="9" t="s">
        <v>2727</v>
      </c>
      <c r="J255" s="9" t="s">
        <v>2701</v>
      </c>
      <c r="K255" s="205" t="s">
        <v>2702</v>
      </c>
      <c r="L255" s="9" t="s">
        <v>2703</v>
      </c>
      <c r="M255" s="32" t="s">
        <v>125</v>
      </c>
      <c r="N255" s="129" t="s">
        <v>2704</v>
      </c>
      <c r="O255" s="122" t="s">
        <v>2704</v>
      </c>
      <c r="P255" s="123" t="str">
        <f t="shared" si="6"/>
        <v>C1-2025</v>
      </c>
      <c r="Q255" s="123" t="str">
        <f t="shared" si="7"/>
        <v>T1-2025</v>
      </c>
      <c r="R255" s="124" t="s">
        <v>2705</v>
      </c>
      <c r="S255" s="123" t="s">
        <v>2735</v>
      </c>
      <c r="T255" s="123" t="s">
        <v>2724</v>
      </c>
      <c r="U255" s="162" t="s">
        <v>2708</v>
      </c>
      <c r="V255" s="162" t="s">
        <v>56</v>
      </c>
      <c r="W255" s="237" t="s">
        <v>125</v>
      </c>
      <c r="X255" s="173" t="s">
        <v>2709</v>
      </c>
    </row>
    <row r="256" spans="1:24" hidden="1">
      <c r="A256" s="161">
        <v>45737</v>
      </c>
      <c r="B256" s="117" t="s">
        <v>3131</v>
      </c>
      <c r="C256" s="122" t="s">
        <v>2697</v>
      </c>
      <c r="D256" s="126">
        <v>-675</v>
      </c>
      <c r="E256" s="120">
        <v>1</v>
      </c>
      <c r="F256" s="127">
        <f>Tabla5109[[#This Row],[Original Amount]]*Tabla5109[[#This Row],[ER to EUR]]</f>
        <v>-675</v>
      </c>
      <c r="G256" s="9" t="s">
        <v>2884</v>
      </c>
      <c r="H256" s="73" t="s">
        <v>2885</v>
      </c>
      <c r="I256" s="9" t="s">
        <v>2779</v>
      </c>
      <c r="J256" s="9" t="s">
        <v>2723</v>
      </c>
      <c r="K256" s="205" t="s">
        <v>2792</v>
      </c>
      <c r="L256" s="9" t="s">
        <v>2793</v>
      </c>
      <c r="M256" s="32" t="s">
        <v>125</v>
      </c>
      <c r="N256" s="129" t="s">
        <v>2704</v>
      </c>
      <c r="O256" s="122" t="s">
        <v>2704</v>
      </c>
      <c r="P256" s="123" t="str">
        <f t="shared" si="6"/>
        <v>C1-2025</v>
      </c>
      <c r="Q256" s="123" t="str">
        <f t="shared" si="7"/>
        <v>T1-2025</v>
      </c>
      <c r="R256" s="124" t="s">
        <v>2741</v>
      </c>
      <c r="S256" s="123" t="s">
        <v>2723</v>
      </c>
      <c r="T256" s="123" t="s">
        <v>2707</v>
      </c>
      <c r="U256" s="162" t="s">
        <v>2708</v>
      </c>
      <c r="V256" s="162" t="s">
        <v>54</v>
      </c>
      <c r="W256" s="237" t="s">
        <v>125</v>
      </c>
      <c r="X256" s="173" t="s">
        <v>2709</v>
      </c>
    </row>
    <row r="257" spans="1:24" hidden="1">
      <c r="A257" s="161">
        <v>45737</v>
      </c>
      <c r="B257" s="128" t="s">
        <v>3132</v>
      </c>
      <c r="C257" s="122" t="s">
        <v>2697</v>
      </c>
      <c r="D257" s="126">
        <v>-29</v>
      </c>
      <c r="E257" s="120">
        <v>1</v>
      </c>
      <c r="F257" s="127">
        <f>Tabla5109[[#This Row],[Original Amount]]*Tabla5109[[#This Row],[ER to EUR]]</f>
        <v>-29</v>
      </c>
      <c r="G257" s="9" t="s">
        <v>3133</v>
      </c>
      <c r="H257" s="9" t="s">
        <v>3134</v>
      </c>
      <c r="I257" s="9" t="s">
        <v>2713</v>
      </c>
      <c r="J257" s="9" t="s">
        <v>2723</v>
      </c>
      <c r="K257" s="205" t="s">
        <v>2771</v>
      </c>
      <c r="L257" s="9" t="s">
        <v>2793</v>
      </c>
      <c r="M257" s="32" t="s">
        <v>125</v>
      </c>
      <c r="N257" s="129" t="s">
        <v>2704</v>
      </c>
      <c r="O257" s="122" t="s">
        <v>2704</v>
      </c>
      <c r="P257" s="123" t="str">
        <f t="shared" si="6"/>
        <v>C1-2025</v>
      </c>
      <c r="Q257" s="123" t="str">
        <f t="shared" si="7"/>
        <v>T1-2025</v>
      </c>
      <c r="R257" s="124" t="s">
        <v>2819</v>
      </c>
      <c r="S257" s="123" t="s">
        <v>2723</v>
      </c>
      <c r="T257" s="123" t="s">
        <v>2724</v>
      </c>
      <c r="U257" s="162" t="s">
        <v>2708</v>
      </c>
      <c r="V257" s="162" t="s">
        <v>54</v>
      </c>
      <c r="W257" s="237" t="s">
        <v>125</v>
      </c>
      <c r="X257" s="173" t="s">
        <v>2709</v>
      </c>
    </row>
    <row r="258" spans="1:24" hidden="1">
      <c r="A258" s="161">
        <v>45739</v>
      </c>
      <c r="B258" s="128" t="s">
        <v>3135</v>
      </c>
      <c r="C258" s="122" t="s">
        <v>2697</v>
      </c>
      <c r="D258" s="126">
        <v>-56.83</v>
      </c>
      <c r="E258" s="120">
        <v>1</v>
      </c>
      <c r="F258" s="127">
        <f>Tabla5109[[#This Row],[Original Amount]]*Tabla5109[[#This Row],[ER to EUR]]</f>
        <v>-56.83</v>
      </c>
      <c r="G258" s="9" t="s">
        <v>2851</v>
      </c>
      <c r="H258" s="73" t="s">
        <v>2852</v>
      </c>
      <c r="I258" s="9" t="s">
        <v>2713</v>
      </c>
      <c r="J258" s="9" t="s">
        <v>2701</v>
      </c>
      <c r="K258" s="205" t="s">
        <v>2702</v>
      </c>
      <c r="L258" s="9" t="s">
        <v>2788</v>
      </c>
      <c r="M258" s="32" t="s">
        <v>125</v>
      </c>
      <c r="N258" s="129" t="s">
        <v>2704</v>
      </c>
      <c r="O258" s="122" t="s">
        <v>2704</v>
      </c>
      <c r="P258" s="123" t="str">
        <f t="shared" ref="P258:P321" si="8">"C"&amp;INT((MONTH(A258)-1)/4)+1&amp;"-"&amp;YEAR(A258)</f>
        <v>C1-2025</v>
      </c>
      <c r="Q258" s="123" t="str">
        <f t="shared" ref="Q258:Q321" si="9">"T"&amp;INT((MONTH(A258)-1)/3)+1&amp;"-"&amp;YEAR(A258)</f>
        <v>T1-2025</v>
      </c>
      <c r="R258" s="124" t="s">
        <v>2794</v>
      </c>
      <c r="S258" s="123" t="s">
        <v>2731</v>
      </c>
      <c r="T258" s="123" t="s">
        <v>2724</v>
      </c>
      <c r="U258" s="162" t="s">
        <v>2708</v>
      </c>
      <c r="V258" s="162" t="s">
        <v>55</v>
      </c>
      <c r="W258" s="237" t="s">
        <v>125</v>
      </c>
      <c r="X258" s="173" t="s">
        <v>2709</v>
      </c>
    </row>
    <row r="259" spans="1:24" hidden="1">
      <c r="A259" s="161">
        <v>45739</v>
      </c>
      <c r="B259" s="117" t="s">
        <v>3136</v>
      </c>
      <c r="C259" s="122" t="s">
        <v>2697</v>
      </c>
      <c r="D259" s="126">
        <v>-63.91</v>
      </c>
      <c r="E259" s="120">
        <v>1</v>
      </c>
      <c r="F259" s="127">
        <f>Tabla5109[[#This Row],[Original Amount]]*Tabla5109[[#This Row],[ER to EUR]]</f>
        <v>-63.91</v>
      </c>
      <c r="G259" s="9" t="s">
        <v>3137</v>
      </c>
      <c r="H259" s="73" t="s">
        <v>3138</v>
      </c>
      <c r="I259" s="9" t="s">
        <v>2727</v>
      </c>
      <c r="J259" s="9" t="s">
        <v>2701</v>
      </c>
      <c r="K259" s="205" t="s">
        <v>2702</v>
      </c>
      <c r="L259" s="9" t="s">
        <v>2760</v>
      </c>
      <c r="M259" s="32" t="s">
        <v>125</v>
      </c>
      <c r="N259" s="129" t="s">
        <v>2704</v>
      </c>
      <c r="O259" s="122" t="s">
        <v>2704</v>
      </c>
      <c r="P259" s="123" t="str">
        <f t="shared" si="8"/>
        <v>C1-2025</v>
      </c>
      <c r="Q259" s="123" t="str">
        <f t="shared" si="9"/>
        <v>T1-2025</v>
      </c>
      <c r="R259" s="124" t="s">
        <v>2819</v>
      </c>
      <c r="S259" s="123" t="s">
        <v>2723</v>
      </c>
      <c r="T259" s="123" t="s">
        <v>2724</v>
      </c>
      <c r="U259" s="162" t="s">
        <v>2708</v>
      </c>
      <c r="V259" s="162" t="s">
        <v>54</v>
      </c>
      <c r="W259" s="237" t="s">
        <v>125</v>
      </c>
      <c r="X259" s="173" t="s">
        <v>2709</v>
      </c>
    </row>
    <row r="260" spans="1:24" hidden="1">
      <c r="A260" s="161">
        <v>45740</v>
      </c>
      <c r="B260" s="128" t="s">
        <v>3139</v>
      </c>
      <c r="C260" s="122" t="s">
        <v>2697</v>
      </c>
      <c r="D260" s="126">
        <v>-148.86000000000001</v>
      </c>
      <c r="E260" s="120">
        <v>1</v>
      </c>
      <c r="F260" s="127">
        <f>Tabla5109[[#This Row],[Original Amount]]*Tabla5109[[#This Row],[ER to EUR]]</f>
        <v>-148.86000000000001</v>
      </c>
      <c r="G260" s="9" t="s">
        <v>3140</v>
      </c>
      <c r="H260" s="9" t="s">
        <v>3141</v>
      </c>
      <c r="I260" s="9" t="s">
        <v>2727</v>
      </c>
      <c r="J260" s="9" t="s">
        <v>2770</v>
      </c>
      <c r="K260" s="205" t="s">
        <v>2702</v>
      </c>
      <c r="L260" s="9" t="s">
        <v>3142</v>
      </c>
      <c r="M260" s="32" t="s">
        <v>125</v>
      </c>
      <c r="N260" s="129" t="s">
        <v>2704</v>
      </c>
      <c r="O260" s="122" t="s">
        <v>2704</v>
      </c>
      <c r="P260" s="123" t="str">
        <f t="shared" si="8"/>
        <v>C1-2025</v>
      </c>
      <c r="Q260" s="123" t="str">
        <f t="shared" si="9"/>
        <v>T1-2025</v>
      </c>
      <c r="R260" s="91" t="s">
        <v>2749</v>
      </c>
      <c r="S260" s="123" t="s">
        <v>2750</v>
      </c>
      <c r="T260" s="123" t="s">
        <v>2724</v>
      </c>
      <c r="U260" s="162" t="s">
        <v>2708</v>
      </c>
      <c r="V260" s="162" t="s">
        <v>54</v>
      </c>
      <c r="W260" s="237" t="s">
        <v>125</v>
      </c>
      <c r="X260" s="173" t="s">
        <v>2709</v>
      </c>
    </row>
    <row r="261" spans="1:24" hidden="1">
      <c r="A261" s="161">
        <v>45740</v>
      </c>
      <c r="B261" s="117" t="s">
        <v>3143</v>
      </c>
      <c r="C261" s="122" t="s">
        <v>2697</v>
      </c>
      <c r="D261" s="126">
        <v>-818</v>
      </c>
      <c r="E261" s="120">
        <v>1</v>
      </c>
      <c r="F261" s="127">
        <f>Tabla5109[[#This Row],[Original Amount]]*Tabla5109[[#This Row],[ER to EUR]]</f>
        <v>-818</v>
      </c>
      <c r="G261" s="9" t="s">
        <v>2884</v>
      </c>
      <c r="H261" s="73" t="s">
        <v>2885</v>
      </c>
      <c r="I261" s="9" t="s">
        <v>2779</v>
      </c>
      <c r="J261" s="9" t="s">
        <v>2723</v>
      </c>
      <c r="K261" s="205" t="s">
        <v>2792</v>
      </c>
      <c r="L261" s="9" t="s">
        <v>2793</v>
      </c>
      <c r="M261" s="32" t="s">
        <v>125</v>
      </c>
      <c r="N261" s="129" t="s">
        <v>2704</v>
      </c>
      <c r="O261" s="122" t="s">
        <v>2704</v>
      </c>
      <c r="P261" s="123" t="str">
        <f t="shared" si="8"/>
        <v>C1-2025</v>
      </c>
      <c r="Q261" s="123" t="str">
        <f t="shared" si="9"/>
        <v>T1-2025</v>
      </c>
      <c r="R261" s="124" t="s">
        <v>2741</v>
      </c>
      <c r="S261" s="123" t="s">
        <v>2723</v>
      </c>
      <c r="T261" s="123" t="s">
        <v>2707</v>
      </c>
      <c r="U261" s="162" t="s">
        <v>2708</v>
      </c>
      <c r="V261" s="162" t="s">
        <v>54</v>
      </c>
      <c r="W261" s="237" t="s">
        <v>125</v>
      </c>
      <c r="X261" s="173" t="s">
        <v>2709</v>
      </c>
    </row>
    <row r="262" spans="1:24" hidden="1">
      <c r="A262" s="161">
        <v>45740</v>
      </c>
      <c r="B262" s="133" t="s">
        <v>3144</v>
      </c>
      <c r="C262" s="32" t="s">
        <v>2543</v>
      </c>
      <c r="D262" s="258">
        <v>-656188</v>
      </c>
      <c r="E262" s="120">
        <v>9.9200000000000004E-4</v>
      </c>
      <c r="F262" s="259">
        <f>Tabla5109[[#This Row],[Original Amount]]*Tabla5109[[#This Row],[ER to EUR]]</f>
        <v>-650.93849599999999</v>
      </c>
      <c r="G262" s="9" t="s">
        <v>2823</v>
      </c>
      <c r="H262" s="9" t="s">
        <v>3145</v>
      </c>
      <c r="I262" s="9" t="s">
        <v>2763</v>
      </c>
      <c r="J262" s="9" t="s">
        <v>2825</v>
      </c>
      <c r="K262" s="205" t="s">
        <v>2826</v>
      </c>
      <c r="L262" s="9" t="s">
        <v>2827</v>
      </c>
      <c r="M262" s="227" t="s">
        <v>2704</v>
      </c>
      <c r="N262" s="129" t="s">
        <v>2748</v>
      </c>
      <c r="O262" s="122" t="s">
        <v>2704</v>
      </c>
      <c r="P262" s="123" t="str">
        <f t="shared" si="8"/>
        <v>C1-2025</v>
      </c>
      <c r="Q262" s="123" t="str">
        <f t="shared" si="9"/>
        <v>T1-2025</v>
      </c>
      <c r="R262" s="124" t="s">
        <v>2828</v>
      </c>
      <c r="S262" s="124" t="s">
        <v>2706</v>
      </c>
      <c r="T262" s="123" t="s">
        <v>2717</v>
      </c>
      <c r="U262" s="162" t="s">
        <v>2708</v>
      </c>
      <c r="V262" s="162" t="s">
        <v>56</v>
      </c>
      <c r="W262" s="237" t="s">
        <v>125</v>
      </c>
      <c r="X262" s="173" t="s">
        <v>2751</v>
      </c>
    </row>
    <row r="263" spans="1:24" hidden="1">
      <c r="A263" s="161">
        <v>45741</v>
      </c>
      <c r="B263" s="125">
        <v>78182719620</v>
      </c>
      <c r="C263" s="122" t="s">
        <v>2697</v>
      </c>
      <c r="D263" s="126">
        <v>-44.14</v>
      </c>
      <c r="E263" s="120">
        <v>1</v>
      </c>
      <c r="F263" s="127">
        <f>Tabla5109[[#This Row],[Original Amount]]*Tabla5109[[#This Row],[ER to EUR]]</f>
        <v>-44.14</v>
      </c>
      <c r="G263" s="9" t="s">
        <v>2718</v>
      </c>
      <c r="H263" s="73" t="s">
        <v>3146</v>
      </c>
      <c r="I263" s="9" t="s">
        <v>2720</v>
      </c>
      <c r="J263" s="9" t="s">
        <v>2714</v>
      </c>
      <c r="K263" s="205" t="s">
        <v>2721</v>
      </c>
      <c r="L263" s="9" t="s">
        <v>2716</v>
      </c>
      <c r="M263" s="32" t="s">
        <v>125</v>
      </c>
      <c r="N263" s="129" t="s">
        <v>2704</v>
      </c>
      <c r="O263" s="122" t="s">
        <v>2704</v>
      </c>
      <c r="P263" s="123" t="str">
        <f t="shared" si="8"/>
        <v>C1-2025</v>
      </c>
      <c r="Q263" s="123" t="str">
        <f t="shared" si="9"/>
        <v>T1-2025</v>
      </c>
      <c r="R263" s="124" t="s">
        <v>2722</v>
      </c>
      <c r="S263" s="123" t="s">
        <v>2723</v>
      </c>
      <c r="T263" s="123" t="s">
        <v>2724</v>
      </c>
      <c r="U263" s="162" t="s">
        <v>2708</v>
      </c>
      <c r="V263" s="162" t="s">
        <v>54</v>
      </c>
      <c r="W263" s="237" t="s">
        <v>125</v>
      </c>
      <c r="X263" s="173" t="s">
        <v>2709</v>
      </c>
    </row>
    <row r="264" spans="1:24" hidden="1">
      <c r="A264" s="161">
        <v>45741</v>
      </c>
      <c r="B264" s="130" t="s">
        <v>3147</v>
      </c>
      <c r="C264" s="122" t="s">
        <v>2697</v>
      </c>
      <c r="D264" s="126">
        <v>-45.71</v>
      </c>
      <c r="E264" s="120">
        <v>1</v>
      </c>
      <c r="F264" s="127">
        <f>Tabla5109[[#This Row],[Original Amount]]*Tabla5109[[#This Row],[ER to EUR]]</f>
        <v>-45.71</v>
      </c>
      <c r="G264" s="9" t="s">
        <v>2758</v>
      </c>
      <c r="H264" s="73" t="s">
        <v>2759</v>
      </c>
      <c r="I264" s="9" t="s">
        <v>2713</v>
      </c>
      <c r="J264" s="9" t="s">
        <v>2701</v>
      </c>
      <c r="K264" s="205" t="s">
        <v>2702</v>
      </c>
      <c r="L264" s="9" t="s">
        <v>2760</v>
      </c>
      <c r="M264" s="32" t="s">
        <v>125</v>
      </c>
      <c r="N264" s="129" t="s">
        <v>2704</v>
      </c>
      <c r="O264" s="122" t="s">
        <v>2704</v>
      </c>
      <c r="P264" s="123" t="str">
        <f t="shared" si="8"/>
        <v>C1-2025</v>
      </c>
      <c r="Q264" s="123" t="str">
        <f t="shared" si="9"/>
        <v>T1-2025</v>
      </c>
      <c r="R264" s="124" t="s">
        <v>2730</v>
      </c>
      <c r="S264" s="123" t="s">
        <v>2731</v>
      </c>
      <c r="T264" s="123" t="s">
        <v>2707</v>
      </c>
      <c r="U264" s="162" t="s">
        <v>2708</v>
      </c>
      <c r="V264" s="162" t="s">
        <v>55</v>
      </c>
      <c r="W264" s="237" t="s">
        <v>125</v>
      </c>
      <c r="X264" s="173" t="s">
        <v>2709</v>
      </c>
    </row>
    <row r="265" spans="1:24" hidden="1">
      <c r="A265" s="161">
        <v>45741</v>
      </c>
      <c r="B265" s="130" t="s">
        <v>3148</v>
      </c>
      <c r="C265" s="122" t="s">
        <v>2697</v>
      </c>
      <c r="D265" s="126">
        <v>-35.82</v>
      </c>
      <c r="E265" s="120">
        <v>1</v>
      </c>
      <c r="F265" s="127">
        <f>Tabla5109[[#This Row],[Original Amount]]*Tabla5109[[#This Row],[ER to EUR]]</f>
        <v>-35.82</v>
      </c>
      <c r="G265" s="9" t="s">
        <v>2758</v>
      </c>
      <c r="H265" s="73" t="s">
        <v>2759</v>
      </c>
      <c r="I265" s="9" t="s">
        <v>2713</v>
      </c>
      <c r="J265" s="9" t="s">
        <v>2701</v>
      </c>
      <c r="K265" s="205" t="s">
        <v>2702</v>
      </c>
      <c r="L265" s="9" t="s">
        <v>2760</v>
      </c>
      <c r="M265" s="32" t="s">
        <v>125</v>
      </c>
      <c r="N265" s="129" t="s">
        <v>2704</v>
      </c>
      <c r="O265" s="122" t="s">
        <v>2704</v>
      </c>
      <c r="P265" s="123" t="str">
        <f t="shared" si="8"/>
        <v>C1-2025</v>
      </c>
      <c r="Q265" s="123" t="str">
        <f t="shared" si="9"/>
        <v>T1-2025</v>
      </c>
      <c r="R265" s="124" t="s">
        <v>2730</v>
      </c>
      <c r="S265" s="123" t="s">
        <v>2731</v>
      </c>
      <c r="T265" s="123" t="s">
        <v>2707</v>
      </c>
      <c r="U265" s="162" t="s">
        <v>2708</v>
      </c>
      <c r="V265" s="162" t="s">
        <v>55</v>
      </c>
      <c r="W265" s="237" t="s">
        <v>125</v>
      </c>
      <c r="X265" s="173" t="s">
        <v>2709</v>
      </c>
    </row>
    <row r="266" spans="1:24" hidden="1">
      <c r="A266" s="161">
        <v>45741</v>
      </c>
      <c r="B266" s="117" t="s">
        <v>3149</v>
      </c>
      <c r="C266" s="122" t="s">
        <v>2697</v>
      </c>
      <c r="D266" s="126">
        <v>-818</v>
      </c>
      <c r="E266" s="120">
        <v>1</v>
      </c>
      <c r="F266" s="127">
        <f>Tabla5109[[#This Row],[Original Amount]]*Tabla5109[[#This Row],[ER to EUR]]</f>
        <v>-818</v>
      </c>
      <c r="G266" s="9" t="s">
        <v>2884</v>
      </c>
      <c r="H266" s="73" t="s">
        <v>2885</v>
      </c>
      <c r="I266" s="9" t="s">
        <v>2779</v>
      </c>
      <c r="J266" s="9" t="s">
        <v>2723</v>
      </c>
      <c r="K266" s="205" t="s">
        <v>2792</v>
      </c>
      <c r="L266" s="9" t="s">
        <v>2793</v>
      </c>
      <c r="M266" s="32" t="s">
        <v>125</v>
      </c>
      <c r="N266" s="129" t="s">
        <v>2704</v>
      </c>
      <c r="O266" s="122" t="s">
        <v>2704</v>
      </c>
      <c r="P266" s="123" t="str">
        <f t="shared" si="8"/>
        <v>C1-2025</v>
      </c>
      <c r="Q266" s="123" t="str">
        <f t="shared" si="9"/>
        <v>T1-2025</v>
      </c>
      <c r="R266" s="124" t="s">
        <v>2741</v>
      </c>
      <c r="S266" s="123" t="s">
        <v>2723</v>
      </c>
      <c r="T266" s="123" t="s">
        <v>2707</v>
      </c>
      <c r="U266" s="162" t="s">
        <v>2708</v>
      </c>
      <c r="V266" s="162" t="s">
        <v>54</v>
      </c>
      <c r="W266" s="237" t="s">
        <v>125</v>
      </c>
      <c r="X266" s="173" t="s">
        <v>2709</v>
      </c>
    </row>
    <row r="267" spans="1:24" hidden="1">
      <c r="A267" s="161">
        <v>45741</v>
      </c>
      <c r="B267" s="117" t="s">
        <v>3150</v>
      </c>
      <c r="C267" s="122" t="s">
        <v>2697</v>
      </c>
      <c r="D267" s="126">
        <v>-743</v>
      </c>
      <c r="E267" s="120">
        <v>1</v>
      </c>
      <c r="F267" s="127">
        <f>Tabla5109[[#This Row],[Original Amount]]*Tabla5109[[#This Row],[ER to EUR]]</f>
        <v>-743</v>
      </c>
      <c r="G267" s="9" t="s">
        <v>2884</v>
      </c>
      <c r="H267" s="73" t="s">
        <v>2885</v>
      </c>
      <c r="I267" s="9" t="s">
        <v>2763</v>
      </c>
      <c r="J267" s="9" t="s">
        <v>2723</v>
      </c>
      <c r="K267" s="205" t="s">
        <v>2792</v>
      </c>
      <c r="L267" s="9" t="s">
        <v>2793</v>
      </c>
      <c r="M267" s="32" t="s">
        <v>125</v>
      </c>
      <c r="N267" s="129" t="s">
        <v>2704</v>
      </c>
      <c r="O267" s="122" t="s">
        <v>2704</v>
      </c>
      <c r="P267" s="123" t="str">
        <f t="shared" si="8"/>
        <v>C1-2025</v>
      </c>
      <c r="Q267" s="123" t="str">
        <f t="shared" si="9"/>
        <v>T1-2025</v>
      </c>
      <c r="R267" s="124" t="s">
        <v>2741</v>
      </c>
      <c r="S267" s="123" t="s">
        <v>2723</v>
      </c>
      <c r="T267" s="123" t="s">
        <v>2707</v>
      </c>
      <c r="U267" s="162" t="s">
        <v>2708</v>
      </c>
      <c r="V267" s="162" t="s">
        <v>54</v>
      </c>
      <c r="W267" s="237" t="s">
        <v>125</v>
      </c>
      <c r="X267" s="173" t="s">
        <v>2709</v>
      </c>
    </row>
    <row r="268" spans="1:24" hidden="1">
      <c r="A268" s="161">
        <v>45741</v>
      </c>
      <c r="B268" s="133" t="s">
        <v>3151</v>
      </c>
      <c r="C268" s="32" t="s">
        <v>2697</v>
      </c>
      <c r="D268" s="126">
        <v>-15.46</v>
      </c>
      <c r="E268" s="120">
        <v>1</v>
      </c>
      <c r="F268" s="127">
        <f>Tabla5109[[#This Row],[Original Amount]]*Tabla5109[[#This Row],[ER to EUR]]</f>
        <v>-15.46</v>
      </c>
      <c r="G268" s="9" t="s">
        <v>2830</v>
      </c>
      <c r="H268" s="9" t="s">
        <v>3152</v>
      </c>
      <c r="I268" s="9" t="s">
        <v>2739</v>
      </c>
      <c r="J268" s="9" t="s">
        <v>2817</v>
      </c>
      <c r="K268" s="205" t="s">
        <v>2702</v>
      </c>
      <c r="L268" s="9" t="s">
        <v>2818</v>
      </c>
      <c r="M268" s="32" t="s">
        <v>125</v>
      </c>
      <c r="N268" s="122" t="s">
        <v>2704</v>
      </c>
      <c r="O268" s="129" t="s">
        <v>2704</v>
      </c>
      <c r="P268" s="123" t="str">
        <f t="shared" si="8"/>
        <v>C1-2025</v>
      </c>
      <c r="Q268" s="123" t="str">
        <f t="shared" si="9"/>
        <v>T1-2025</v>
      </c>
      <c r="R268" s="124" t="s">
        <v>2722</v>
      </c>
      <c r="S268" s="123" t="s">
        <v>2723</v>
      </c>
      <c r="T268" s="123" t="s">
        <v>2724</v>
      </c>
      <c r="U268" s="162" t="s">
        <v>2708</v>
      </c>
      <c r="V268" s="162" t="s">
        <v>54</v>
      </c>
      <c r="W268" s="237" t="s">
        <v>125</v>
      </c>
      <c r="X268" s="173" t="s">
        <v>2709</v>
      </c>
    </row>
    <row r="269" spans="1:24" hidden="1">
      <c r="A269" s="161">
        <v>45742</v>
      </c>
      <c r="B269" s="117" t="s">
        <v>3153</v>
      </c>
      <c r="C269" s="129" t="s">
        <v>2697</v>
      </c>
      <c r="D269" s="126">
        <v>-818</v>
      </c>
      <c r="E269" s="120">
        <v>1</v>
      </c>
      <c r="F269" s="127">
        <f>Tabla5109[[#This Row],[Original Amount]]*Tabla5109[[#This Row],[ER to EUR]]</f>
        <v>-818</v>
      </c>
      <c r="G269" s="9" t="s">
        <v>2884</v>
      </c>
      <c r="H269" s="73" t="s">
        <v>2885</v>
      </c>
      <c r="I269" s="9" t="s">
        <v>2763</v>
      </c>
      <c r="J269" s="9" t="s">
        <v>2723</v>
      </c>
      <c r="K269" s="205" t="s">
        <v>2792</v>
      </c>
      <c r="L269" s="9" t="s">
        <v>2793</v>
      </c>
      <c r="M269" s="32" t="s">
        <v>125</v>
      </c>
      <c r="N269" s="129" t="s">
        <v>2704</v>
      </c>
      <c r="O269" s="122" t="s">
        <v>2704</v>
      </c>
      <c r="P269" s="123" t="str">
        <f t="shared" si="8"/>
        <v>C1-2025</v>
      </c>
      <c r="Q269" s="123" t="str">
        <f t="shared" si="9"/>
        <v>T1-2025</v>
      </c>
      <c r="R269" s="124" t="s">
        <v>2741</v>
      </c>
      <c r="S269" s="123" t="s">
        <v>2723</v>
      </c>
      <c r="T269" s="123" t="s">
        <v>2707</v>
      </c>
      <c r="U269" s="162" t="s">
        <v>2708</v>
      </c>
      <c r="V269" s="162" t="s">
        <v>54</v>
      </c>
      <c r="W269" s="237" t="s">
        <v>125</v>
      </c>
      <c r="X269" s="173" t="s">
        <v>2709</v>
      </c>
    </row>
    <row r="270" spans="1:24" hidden="1">
      <c r="A270" s="161">
        <v>45742</v>
      </c>
      <c r="B270" s="133" t="s">
        <v>3154</v>
      </c>
      <c r="C270" s="32" t="s">
        <v>2697</v>
      </c>
      <c r="D270" s="126">
        <v>-38.979999999999997</v>
      </c>
      <c r="E270" s="120">
        <v>1</v>
      </c>
      <c r="F270" s="127">
        <f>Tabla5109[[#This Row],[Original Amount]]*Tabla5109[[#This Row],[ER to EUR]]</f>
        <v>-38.979999999999997</v>
      </c>
      <c r="G270" s="9" t="s">
        <v>2830</v>
      </c>
      <c r="H270" s="9" t="s">
        <v>3155</v>
      </c>
      <c r="I270" s="9" t="s">
        <v>2739</v>
      </c>
      <c r="J270" s="9" t="s">
        <v>2817</v>
      </c>
      <c r="K270" s="205" t="s">
        <v>2702</v>
      </c>
      <c r="L270" s="9" t="s">
        <v>2818</v>
      </c>
      <c r="M270" s="32" t="s">
        <v>125</v>
      </c>
      <c r="N270" s="122" t="s">
        <v>2704</v>
      </c>
      <c r="O270" s="129" t="s">
        <v>2704</v>
      </c>
      <c r="P270" s="123" t="str">
        <f t="shared" si="8"/>
        <v>C1-2025</v>
      </c>
      <c r="Q270" s="123" t="str">
        <f t="shared" si="9"/>
        <v>T1-2025</v>
      </c>
      <c r="R270" s="124" t="s">
        <v>2722</v>
      </c>
      <c r="S270" s="123" t="s">
        <v>2723</v>
      </c>
      <c r="T270" s="123" t="s">
        <v>2724</v>
      </c>
      <c r="U270" s="162" t="s">
        <v>2708</v>
      </c>
      <c r="V270" s="162" t="s">
        <v>54</v>
      </c>
      <c r="W270" s="237" t="s">
        <v>125</v>
      </c>
      <c r="X270" s="173" t="s">
        <v>2709</v>
      </c>
    </row>
    <row r="271" spans="1:24" hidden="1">
      <c r="A271" s="161">
        <v>45743</v>
      </c>
      <c r="B271" s="117" t="s">
        <v>3156</v>
      </c>
      <c r="C271" s="129" t="s">
        <v>2697</v>
      </c>
      <c r="D271" s="126">
        <v>-542.65</v>
      </c>
      <c r="E271" s="120">
        <v>1</v>
      </c>
      <c r="F271" s="127">
        <f>Tabla5109[[#This Row],[Original Amount]]*Tabla5109[[#This Row],[ER to EUR]]</f>
        <v>-542.65</v>
      </c>
      <c r="G271" s="9" t="s">
        <v>2884</v>
      </c>
      <c r="H271" s="73" t="s">
        <v>2885</v>
      </c>
      <c r="I271" s="9" t="s">
        <v>2763</v>
      </c>
      <c r="J271" s="9" t="s">
        <v>2723</v>
      </c>
      <c r="K271" s="205" t="s">
        <v>2792</v>
      </c>
      <c r="L271" s="9" t="s">
        <v>2793</v>
      </c>
      <c r="M271" s="32" t="s">
        <v>125</v>
      </c>
      <c r="N271" s="129" t="s">
        <v>2704</v>
      </c>
      <c r="O271" s="122" t="s">
        <v>2704</v>
      </c>
      <c r="P271" s="123" t="str">
        <f t="shared" si="8"/>
        <v>C1-2025</v>
      </c>
      <c r="Q271" s="123" t="str">
        <f t="shared" si="9"/>
        <v>T1-2025</v>
      </c>
      <c r="R271" s="124" t="s">
        <v>2741</v>
      </c>
      <c r="S271" s="123" t="s">
        <v>2723</v>
      </c>
      <c r="T271" s="123" t="s">
        <v>2707</v>
      </c>
      <c r="U271" s="162" t="s">
        <v>2708</v>
      </c>
      <c r="V271" s="162" t="s">
        <v>54</v>
      </c>
      <c r="W271" s="237" t="s">
        <v>125</v>
      </c>
      <c r="X271" s="173" t="s">
        <v>2709</v>
      </c>
    </row>
    <row r="272" spans="1:24" hidden="1">
      <c r="A272" s="161">
        <v>45743</v>
      </c>
      <c r="B272" s="117" t="s">
        <v>3157</v>
      </c>
      <c r="C272" s="129" t="s">
        <v>2697</v>
      </c>
      <c r="D272" s="126">
        <v>-818</v>
      </c>
      <c r="E272" s="120">
        <v>1</v>
      </c>
      <c r="F272" s="127">
        <f>Tabla5109[[#This Row],[Original Amount]]*Tabla5109[[#This Row],[ER to EUR]]</f>
        <v>-818</v>
      </c>
      <c r="G272" s="9" t="s">
        <v>2884</v>
      </c>
      <c r="H272" s="73" t="s">
        <v>2885</v>
      </c>
      <c r="I272" s="9" t="s">
        <v>2763</v>
      </c>
      <c r="J272" s="9" t="s">
        <v>2723</v>
      </c>
      <c r="K272" s="205" t="s">
        <v>2792</v>
      </c>
      <c r="L272" s="9" t="s">
        <v>2793</v>
      </c>
      <c r="M272" s="32" t="s">
        <v>125</v>
      </c>
      <c r="N272" s="129" t="s">
        <v>2704</v>
      </c>
      <c r="O272" s="122" t="s">
        <v>2704</v>
      </c>
      <c r="P272" s="123" t="str">
        <f t="shared" si="8"/>
        <v>C1-2025</v>
      </c>
      <c r="Q272" s="123" t="str">
        <f t="shared" si="9"/>
        <v>T1-2025</v>
      </c>
      <c r="R272" s="124" t="s">
        <v>2741</v>
      </c>
      <c r="S272" s="123" t="s">
        <v>2723</v>
      </c>
      <c r="T272" s="123" t="s">
        <v>2707</v>
      </c>
      <c r="U272" s="162" t="s">
        <v>2708</v>
      </c>
      <c r="V272" s="162" t="s">
        <v>54</v>
      </c>
      <c r="W272" s="237" t="s">
        <v>125</v>
      </c>
      <c r="X272" s="173" t="s">
        <v>2709</v>
      </c>
    </row>
    <row r="273" spans="1:24" hidden="1">
      <c r="A273" s="161">
        <v>45744</v>
      </c>
      <c r="B273" s="117" t="s">
        <v>3158</v>
      </c>
      <c r="C273" s="129" t="s">
        <v>2697</v>
      </c>
      <c r="D273" s="126">
        <v>-1172.1500000000001</v>
      </c>
      <c r="E273" s="120">
        <v>1</v>
      </c>
      <c r="F273" s="127">
        <f>Tabla5109[[#This Row],[Original Amount]]*Tabla5109[[#This Row],[ER to EUR]]</f>
        <v>-1172.1500000000001</v>
      </c>
      <c r="G273" s="9" t="s">
        <v>2698</v>
      </c>
      <c r="H273" s="9" t="s">
        <v>3159</v>
      </c>
      <c r="I273" s="9" t="s">
        <v>2784</v>
      </c>
      <c r="J273" s="9" t="s">
        <v>2701</v>
      </c>
      <c r="K273" s="205" t="s">
        <v>2702</v>
      </c>
      <c r="L273" s="9" t="s">
        <v>2703</v>
      </c>
      <c r="M273" s="32" t="s">
        <v>125</v>
      </c>
      <c r="N273" s="129" t="s">
        <v>2704</v>
      </c>
      <c r="O273" s="122" t="s">
        <v>2704</v>
      </c>
      <c r="P273" s="123" t="str">
        <f t="shared" si="8"/>
        <v>C1-2025</v>
      </c>
      <c r="Q273" s="123" t="str">
        <f t="shared" si="9"/>
        <v>T1-2025</v>
      </c>
      <c r="R273" s="124" t="s">
        <v>2705</v>
      </c>
      <c r="S273" s="124" t="s">
        <v>2706</v>
      </c>
      <c r="T273" s="123" t="s">
        <v>2707</v>
      </c>
      <c r="U273" s="162" t="s">
        <v>2708</v>
      </c>
      <c r="V273" s="162" t="s">
        <v>54</v>
      </c>
      <c r="W273" s="237" t="s">
        <v>125</v>
      </c>
      <c r="X273" s="173" t="s">
        <v>2709</v>
      </c>
    </row>
    <row r="274" spans="1:24" hidden="1">
      <c r="A274" s="161">
        <v>45744</v>
      </c>
      <c r="B274" s="117" t="s">
        <v>3160</v>
      </c>
      <c r="C274" s="129" t="s">
        <v>2697</v>
      </c>
      <c r="D274" s="126">
        <v>-818</v>
      </c>
      <c r="E274" s="120">
        <v>1</v>
      </c>
      <c r="F274" s="127">
        <f>Tabla5109[[#This Row],[Original Amount]]*Tabla5109[[#This Row],[ER to EUR]]</f>
        <v>-818</v>
      </c>
      <c r="G274" s="9" t="s">
        <v>2884</v>
      </c>
      <c r="H274" s="73" t="s">
        <v>2885</v>
      </c>
      <c r="I274" s="9" t="s">
        <v>2763</v>
      </c>
      <c r="J274" s="9" t="s">
        <v>2723</v>
      </c>
      <c r="K274" s="205" t="s">
        <v>2792</v>
      </c>
      <c r="L274" s="9" t="s">
        <v>2793</v>
      </c>
      <c r="M274" s="32" t="s">
        <v>125</v>
      </c>
      <c r="N274" s="129" t="s">
        <v>2704</v>
      </c>
      <c r="O274" s="122" t="s">
        <v>2704</v>
      </c>
      <c r="P274" s="123" t="str">
        <f t="shared" si="8"/>
        <v>C1-2025</v>
      </c>
      <c r="Q274" s="123" t="str">
        <f t="shared" si="9"/>
        <v>T1-2025</v>
      </c>
      <c r="R274" s="124" t="s">
        <v>2741</v>
      </c>
      <c r="S274" s="123" t="s">
        <v>2723</v>
      </c>
      <c r="T274" s="123" t="s">
        <v>2707</v>
      </c>
      <c r="U274" s="162" t="s">
        <v>2708</v>
      </c>
      <c r="V274" s="162" t="s">
        <v>54</v>
      </c>
      <c r="W274" s="237" t="s">
        <v>125</v>
      </c>
      <c r="X274" s="173" t="s">
        <v>2709</v>
      </c>
    </row>
    <row r="275" spans="1:24" hidden="1">
      <c r="A275" s="161">
        <v>45745</v>
      </c>
      <c r="B275" s="117" t="s">
        <v>3161</v>
      </c>
      <c r="C275" s="129" t="s">
        <v>2697</v>
      </c>
      <c r="D275" s="126">
        <v>-4.76</v>
      </c>
      <c r="E275" s="120">
        <v>1</v>
      </c>
      <c r="F275" s="127">
        <f>Tabla5109[[#This Row],[Original Amount]]*Tabla5109[[#This Row],[ER to EUR]]</f>
        <v>-4.76</v>
      </c>
      <c r="G275" s="9" t="s">
        <v>2884</v>
      </c>
      <c r="H275" s="73" t="s">
        <v>2885</v>
      </c>
      <c r="I275" s="9" t="s">
        <v>3094</v>
      </c>
      <c r="J275" s="9" t="s">
        <v>2723</v>
      </c>
      <c r="K275" s="205" t="s">
        <v>2792</v>
      </c>
      <c r="L275" s="9" t="s">
        <v>2793</v>
      </c>
      <c r="M275" s="32" t="s">
        <v>125</v>
      </c>
      <c r="N275" s="129" t="s">
        <v>2704</v>
      </c>
      <c r="O275" s="122" t="s">
        <v>2704</v>
      </c>
      <c r="P275" s="123" t="str">
        <f t="shared" si="8"/>
        <v>C1-2025</v>
      </c>
      <c r="Q275" s="123" t="str">
        <f t="shared" si="9"/>
        <v>T1-2025</v>
      </c>
      <c r="R275" s="124" t="s">
        <v>2741</v>
      </c>
      <c r="S275" s="123" t="s">
        <v>2723</v>
      </c>
      <c r="T275" s="123" t="s">
        <v>2707</v>
      </c>
      <c r="U275" s="162" t="s">
        <v>2708</v>
      </c>
      <c r="V275" s="162" t="s">
        <v>54</v>
      </c>
      <c r="W275" s="237" t="s">
        <v>125</v>
      </c>
      <c r="X275" s="173" t="s">
        <v>2709</v>
      </c>
    </row>
    <row r="276" spans="1:24" hidden="1">
      <c r="A276" s="161">
        <v>45745</v>
      </c>
      <c r="B276" s="117" t="s">
        <v>3162</v>
      </c>
      <c r="C276" s="122" t="s">
        <v>2697</v>
      </c>
      <c r="D276" s="126">
        <v>-819.74</v>
      </c>
      <c r="E276" s="120">
        <v>1</v>
      </c>
      <c r="F276" s="127">
        <f>Tabla5109[[#This Row],[Original Amount]]*Tabla5109[[#This Row],[ER to EUR]]</f>
        <v>-819.74</v>
      </c>
      <c r="G276" s="9" t="s">
        <v>2884</v>
      </c>
      <c r="H276" s="73" t="s">
        <v>2885</v>
      </c>
      <c r="I276" s="9" t="s">
        <v>3094</v>
      </c>
      <c r="J276" s="9" t="s">
        <v>2723</v>
      </c>
      <c r="K276" s="205" t="s">
        <v>2792</v>
      </c>
      <c r="L276" s="9" t="s">
        <v>2793</v>
      </c>
      <c r="M276" s="32" t="s">
        <v>125</v>
      </c>
      <c r="N276" s="129" t="s">
        <v>2704</v>
      </c>
      <c r="O276" s="122" t="s">
        <v>2704</v>
      </c>
      <c r="P276" s="123" t="str">
        <f t="shared" si="8"/>
        <v>C1-2025</v>
      </c>
      <c r="Q276" s="123" t="str">
        <f t="shared" si="9"/>
        <v>T1-2025</v>
      </c>
      <c r="R276" s="124" t="s">
        <v>2741</v>
      </c>
      <c r="S276" s="123" t="s">
        <v>2723</v>
      </c>
      <c r="T276" s="123" t="s">
        <v>2707</v>
      </c>
      <c r="U276" s="162" t="s">
        <v>2708</v>
      </c>
      <c r="V276" s="162" t="s">
        <v>54</v>
      </c>
      <c r="W276" s="237" t="s">
        <v>125</v>
      </c>
      <c r="X276" s="173" t="s">
        <v>2709</v>
      </c>
    </row>
    <row r="277" spans="1:24" hidden="1">
      <c r="A277" s="161">
        <v>45746</v>
      </c>
      <c r="B277" s="117" t="s">
        <v>3163</v>
      </c>
      <c r="C277" s="129" t="s">
        <v>2697</v>
      </c>
      <c r="D277" s="126">
        <v>-818</v>
      </c>
      <c r="E277" s="120">
        <v>1</v>
      </c>
      <c r="F277" s="127">
        <f>Tabla5109[[#This Row],[Original Amount]]*Tabla5109[[#This Row],[ER to EUR]]</f>
        <v>-818</v>
      </c>
      <c r="G277" s="9" t="s">
        <v>2884</v>
      </c>
      <c r="H277" s="73" t="s">
        <v>2885</v>
      </c>
      <c r="I277" s="9" t="s">
        <v>3094</v>
      </c>
      <c r="J277" s="9" t="s">
        <v>2723</v>
      </c>
      <c r="K277" s="205" t="s">
        <v>2792</v>
      </c>
      <c r="L277" s="9" t="s">
        <v>2793</v>
      </c>
      <c r="M277" s="32" t="s">
        <v>125</v>
      </c>
      <c r="N277" s="129" t="s">
        <v>2704</v>
      </c>
      <c r="O277" s="122" t="s">
        <v>2704</v>
      </c>
      <c r="P277" s="123" t="str">
        <f t="shared" si="8"/>
        <v>C1-2025</v>
      </c>
      <c r="Q277" s="123" t="str">
        <f t="shared" si="9"/>
        <v>T1-2025</v>
      </c>
      <c r="R277" s="124" t="s">
        <v>2741</v>
      </c>
      <c r="S277" s="123" t="s">
        <v>2723</v>
      </c>
      <c r="T277" s="123" t="s">
        <v>2707</v>
      </c>
      <c r="U277" s="162" t="s">
        <v>2708</v>
      </c>
      <c r="V277" s="162" t="s">
        <v>54</v>
      </c>
      <c r="W277" s="237" t="s">
        <v>125</v>
      </c>
      <c r="X277" s="173" t="s">
        <v>2709</v>
      </c>
    </row>
    <row r="278" spans="1:24" hidden="1">
      <c r="A278" s="161">
        <v>45746</v>
      </c>
      <c r="B278" s="131" t="s">
        <v>3164</v>
      </c>
      <c r="C278" s="129" t="s">
        <v>2548</v>
      </c>
      <c r="D278" s="151">
        <v>-90</v>
      </c>
      <c r="E278" s="221">
        <v>0.92400000000000004</v>
      </c>
      <c r="F278" s="127">
        <f>Tabla5109[[#This Row],[Original Amount]]*Tabla5109[[#This Row],[ER to EUR]]</f>
        <v>-83.160000000000011</v>
      </c>
      <c r="G278" s="9" t="s">
        <v>2766</v>
      </c>
      <c r="H278" s="9" t="s">
        <v>3165</v>
      </c>
      <c r="I278" s="9" t="s">
        <v>2713</v>
      </c>
      <c r="J278" s="9" t="s">
        <v>2701</v>
      </c>
      <c r="K278" s="205" t="s">
        <v>2702</v>
      </c>
      <c r="L278" s="9" t="s">
        <v>2760</v>
      </c>
      <c r="M278" s="32" t="s">
        <v>125</v>
      </c>
      <c r="N278" s="129" t="s">
        <v>2704</v>
      </c>
      <c r="O278" s="122" t="s">
        <v>2704</v>
      </c>
      <c r="P278" s="123" t="str">
        <f t="shared" si="8"/>
        <v>C1-2025</v>
      </c>
      <c r="Q278" s="123" t="str">
        <f t="shared" si="9"/>
        <v>T1-2025</v>
      </c>
      <c r="R278" s="124" t="s">
        <v>2705</v>
      </c>
      <c r="S278" s="124" t="s">
        <v>2706</v>
      </c>
      <c r="T278" s="123" t="s">
        <v>2724</v>
      </c>
      <c r="U278" s="162" t="s">
        <v>2708</v>
      </c>
      <c r="V278" s="162" t="s">
        <v>55</v>
      </c>
      <c r="W278" s="237" t="s">
        <v>125</v>
      </c>
      <c r="X278" s="173" t="s">
        <v>2709</v>
      </c>
    </row>
    <row r="279" spans="1:24" hidden="1">
      <c r="A279" s="161">
        <v>45747</v>
      </c>
      <c r="B279" s="132">
        <v>5219318455</v>
      </c>
      <c r="C279" s="122" t="s">
        <v>2697</v>
      </c>
      <c r="D279" s="126">
        <v>-730.02</v>
      </c>
      <c r="E279" s="120">
        <v>1</v>
      </c>
      <c r="F279" s="127">
        <f>Tabla5109[[#This Row],[Original Amount]]*Tabla5109[[#This Row],[ER to EUR]]</f>
        <v>-730.02</v>
      </c>
      <c r="G279" s="9" t="s">
        <v>3035</v>
      </c>
      <c r="H279" s="9" t="s">
        <v>3166</v>
      </c>
      <c r="I279" s="9" t="s">
        <v>2784</v>
      </c>
      <c r="J279" s="9" t="s">
        <v>2723</v>
      </c>
      <c r="K279" s="205" t="s">
        <v>2792</v>
      </c>
      <c r="L279" s="9" t="s">
        <v>2793</v>
      </c>
      <c r="M279" s="32" t="s">
        <v>125</v>
      </c>
      <c r="N279" s="129" t="s">
        <v>2704</v>
      </c>
      <c r="O279" s="122" t="s">
        <v>2704</v>
      </c>
      <c r="P279" s="123" t="str">
        <f t="shared" si="8"/>
        <v>C1-2025</v>
      </c>
      <c r="Q279" s="123" t="str">
        <f t="shared" si="9"/>
        <v>T1-2025</v>
      </c>
      <c r="R279" s="124" t="s">
        <v>2741</v>
      </c>
      <c r="S279" s="123" t="s">
        <v>2723</v>
      </c>
      <c r="T279" s="123" t="s">
        <v>2707</v>
      </c>
      <c r="U279" s="162" t="s">
        <v>2708</v>
      </c>
      <c r="V279" s="162" t="s">
        <v>54</v>
      </c>
      <c r="W279" s="237" t="s">
        <v>125</v>
      </c>
      <c r="X279" s="173" t="s">
        <v>2709</v>
      </c>
    </row>
    <row r="280" spans="1:24" hidden="1">
      <c r="A280" s="161">
        <v>45747</v>
      </c>
      <c r="B280" s="135" t="s">
        <v>3167</v>
      </c>
      <c r="C280" s="129" t="s">
        <v>2697</v>
      </c>
      <c r="D280" s="126">
        <v>-6.7</v>
      </c>
      <c r="E280" s="120">
        <v>1</v>
      </c>
      <c r="F280" s="127">
        <f>Tabla5109[[#This Row],[Original Amount]]*Tabla5109[[#This Row],[ER to EUR]]</f>
        <v>-6.7</v>
      </c>
      <c r="G280" s="9" t="s">
        <v>2884</v>
      </c>
      <c r="H280" s="73" t="s">
        <v>2885</v>
      </c>
      <c r="I280" s="9" t="s">
        <v>3065</v>
      </c>
      <c r="J280" s="9" t="s">
        <v>2723</v>
      </c>
      <c r="K280" s="205" t="s">
        <v>2792</v>
      </c>
      <c r="L280" s="9" t="s">
        <v>2793</v>
      </c>
      <c r="M280" s="32" t="s">
        <v>125</v>
      </c>
      <c r="N280" s="129" t="s">
        <v>2704</v>
      </c>
      <c r="O280" s="122" t="s">
        <v>2704</v>
      </c>
      <c r="P280" s="123" t="str">
        <f t="shared" si="8"/>
        <v>C1-2025</v>
      </c>
      <c r="Q280" s="123" t="str">
        <f t="shared" si="9"/>
        <v>T1-2025</v>
      </c>
      <c r="R280" s="124" t="s">
        <v>2741</v>
      </c>
      <c r="S280" s="123" t="s">
        <v>2723</v>
      </c>
      <c r="T280" s="123" t="s">
        <v>2707</v>
      </c>
      <c r="U280" s="162" t="s">
        <v>2708</v>
      </c>
      <c r="V280" s="162" t="s">
        <v>54</v>
      </c>
      <c r="W280" s="237" t="s">
        <v>125</v>
      </c>
      <c r="X280" s="173" t="s">
        <v>2709</v>
      </c>
    </row>
    <row r="281" spans="1:24" hidden="1">
      <c r="A281" s="161">
        <v>45747</v>
      </c>
      <c r="B281" s="117" t="s">
        <v>3168</v>
      </c>
      <c r="C281" s="129" t="s">
        <v>2697</v>
      </c>
      <c r="D281" s="126">
        <v>-818</v>
      </c>
      <c r="E281" s="120">
        <v>1</v>
      </c>
      <c r="F281" s="127">
        <f>Tabla5109[[#This Row],[Original Amount]]*Tabla5109[[#This Row],[ER to EUR]]</f>
        <v>-818</v>
      </c>
      <c r="G281" s="9" t="s">
        <v>2884</v>
      </c>
      <c r="H281" s="73" t="s">
        <v>2885</v>
      </c>
      <c r="I281" s="9" t="s">
        <v>3094</v>
      </c>
      <c r="J281" s="37" t="s">
        <v>2723</v>
      </c>
      <c r="K281" s="217" t="s">
        <v>2792</v>
      </c>
      <c r="L281" s="37" t="s">
        <v>2793</v>
      </c>
      <c r="M281" s="32" t="s">
        <v>125</v>
      </c>
      <c r="N281" s="156" t="s">
        <v>2704</v>
      </c>
      <c r="O281" s="158" t="s">
        <v>2704</v>
      </c>
      <c r="P281" s="123" t="str">
        <f t="shared" si="8"/>
        <v>C1-2025</v>
      </c>
      <c r="Q281" s="123" t="str">
        <f t="shared" si="9"/>
        <v>T1-2025</v>
      </c>
      <c r="R281" s="124" t="s">
        <v>2741</v>
      </c>
      <c r="S281" s="123" t="s">
        <v>2723</v>
      </c>
      <c r="T281" s="123" t="s">
        <v>2707</v>
      </c>
      <c r="U281" s="162" t="s">
        <v>2708</v>
      </c>
      <c r="V281" s="162" t="s">
        <v>54</v>
      </c>
      <c r="W281" s="237" t="s">
        <v>125</v>
      </c>
      <c r="X281" s="173" t="s">
        <v>2709</v>
      </c>
    </row>
    <row r="282" spans="1:24" hidden="1">
      <c r="A282" s="161">
        <v>45747</v>
      </c>
      <c r="B282" s="128" t="s">
        <v>3169</v>
      </c>
      <c r="C282" s="129" t="s">
        <v>2697</v>
      </c>
      <c r="D282" s="126">
        <v>-14.99</v>
      </c>
      <c r="E282" s="120">
        <v>1</v>
      </c>
      <c r="F282" s="127">
        <f>Tabla5109[[#This Row],[Original Amount]]*Tabla5109[[#This Row],[ER to EUR]]</f>
        <v>-14.99</v>
      </c>
      <c r="G282" s="9" t="s">
        <v>2956</v>
      </c>
      <c r="H282" s="73" t="s">
        <v>3170</v>
      </c>
      <c r="I282" s="9" t="s">
        <v>2739</v>
      </c>
      <c r="J282" s="9" t="s">
        <v>2701</v>
      </c>
      <c r="K282" s="205" t="s">
        <v>2702</v>
      </c>
      <c r="L282" s="9" t="s">
        <v>2740</v>
      </c>
      <c r="M282" s="32" t="s">
        <v>125</v>
      </c>
      <c r="N282" s="129" t="s">
        <v>2704</v>
      </c>
      <c r="O282" s="122" t="s">
        <v>2704</v>
      </c>
      <c r="P282" s="123" t="str">
        <f t="shared" si="8"/>
        <v>C1-2025</v>
      </c>
      <c r="Q282" s="123" t="str">
        <f t="shared" si="9"/>
        <v>T1-2025</v>
      </c>
      <c r="R282" s="124" t="s">
        <v>2705</v>
      </c>
      <c r="S282" s="124" t="s">
        <v>2706</v>
      </c>
      <c r="T282" s="123" t="s">
        <v>2707</v>
      </c>
      <c r="U282" s="162" t="s">
        <v>2708</v>
      </c>
      <c r="V282" s="162" t="s">
        <v>54</v>
      </c>
      <c r="W282" s="237" t="s">
        <v>125</v>
      </c>
      <c r="X282" s="173" t="s">
        <v>2709</v>
      </c>
    </row>
    <row r="283" spans="1:24" hidden="1">
      <c r="A283" s="161">
        <v>45747</v>
      </c>
      <c r="B283" s="130" t="s">
        <v>3171</v>
      </c>
      <c r="C283" s="122" t="s">
        <v>2548</v>
      </c>
      <c r="D283" s="141">
        <v>-1.37</v>
      </c>
      <c r="E283" s="181">
        <v>0.92395823708768365</v>
      </c>
      <c r="F283" s="127">
        <f>Tabla5109[[#This Row],[Original Amount]]*Tabla5109[[#This Row],[ER to EUR]]</f>
        <v>-1.2658227848101267</v>
      </c>
      <c r="G283" s="9" t="s">
        <v>3039</v>
      </c>
      <c r="H283" s="73" t="s">
        <v>3040</v>
      </c>
      <c r="I283" s="9" t="s">
        <v>2713</v>
      </c>
      <c r="J283" s="9" t="s">
        <v>2701</v>
      </c>
      <c r="K283" s="205" t="s">
        <v>2702</v>
      </c>
      <c r="L283" s="9" t="s">
        <v>2703</v>
      </c>
      <c r="M283" s="32" t="s">
        <v>125</v>
      </c>
      <c r="N283" s="129" t="s">
        <v>2704</v>
      </c>
      <c r="O283" s="122" t="s">
        <v>2704</v>
      </c>
      <c r="P283" s="123" t="str">
        <f t="shared" si="8"/>
        <v>C1-2025</v>
      </c>
      <c r="Q283" s="123" t="str">
        <f t="shared" si="9"/>
        <v>T1-2025</v>
      </c>
      <c r="R283" s="124" t="s">
        <v>2705</v>
      </c>
      <c r="S283" s="123" t="s">
        <v>3041</v>
      </c>
      <c r="T283" s="123" t="s">
        <v>2724</v>
      </c>
      <c r="U283" s="162" t="s">
        <v>2708</v>
      </c>
      <c r="V283" s="162" t="s">
        <v>57</v>
      </c>
      <c r="W283" s="237" t="s">
        <v>125</v>
      </c>
      <c r="X283" s="173" t="s">
        <v>2709</v>
      </c>
    </row>
    <row r="284" spans="1:24" hidden="1">
      <c r="A284" s="161">
        <v>45747</v>
      </c>
      <c r="B284" s="125">
        <v>8856609</v>
      </c>
      <c r="C284" s="32" t="s">
        <v>2543</v>
      </c>
      <c r="D284" s="147">
        <v>-46212</v>
      </c>
      <c r="E284" s="154">
        <v>9.9200000000000004E-4</v>
      </c>
      <c r="F284" s="127">
        <f>Tabla5109[[#This Row],[Original Amount]]*Tabla5109[[#This Row],[ER to EUR]]</f>
        <v>-45.842303999999999</v>
      </c>
      <c r="G284" s="9" t="s">
        <v>3172</v>
      </c>
      <c r="H284" s="9" t="s">
        <v>3173</v>
      </c>
      <c r="I284" s="9" t="s">
        <v>2713</v>
      </c>
      <c r="J284" s="9" t="s">
        <v>2770</v>
      </c>
      <c r="K284" s="205" t="s">
        <v>2814</v>
      </c>
      <c r="L284" s="211" t="s">
        <v>2772</v>
      </c>
      <c r="M284" s="227" t="s">
        <v>2704</v>
      </c>
      <c r="N284" s="129" t="s">
        <v>2748</v>
      </c>
      <c r="O284" s="129" t="s">
        <v>2704</v>
      </c>
      <c r="P284" s="123" t="str">
        <f t="shared" si="8"/>
        <v>C1-2025</v>
      </c>
      <c r="Q284" s="123" t="str">
        <f t="shared" si="9"/>
        <v>T1-2025</v>
      </c>
      <c r="R284" s="91" t="s">
        <v>2749</v>
      </c>
      <c r="S284" s="123" t="s">
        <v>2750</v>
      </c>
      <c r="T284" s="123" t="s">
        <v>2717</v>
      </c>
      <c r="U284" s="162" t="s">
        <v>2708</v>
      </c>
      <c r="V284" s="162" t="s">
        <v>56</v>
      </c>
      <c r="W284" s="237" t="s">
        <v>125</v>
      </c>
      <c r="X284" s="173" t="s">
        <v>2751</v>
      </c>
    </row>
    <row r="285" spans="1:24" hidden="1">
      <c r="A285" s="161">
        <v>45747</v>
      </c>
      <c r="B285" s="194" t="s">
        <v>2871</v>
      </c>
      <c r="C285" s="32" t="s">
        <v>2543</v>
      </c>
      <c r="D285" s="147">
        <v>-1231111</v>
      </c>
      <c r="E285" s="154">
        <v>9.9200000000000004E-4</v>
      </c>
      <c r="F285" s="127">
        <f>Tabla5109[[#This Row],[Original Amount]]*Tabla5109[[#This Row],[ER to EUR]]</f>
        <v>-1221.2621120000001</v>
      </c>
      <c r="G285" s="9" t="s">
        <v>2872</v>
      </c>
      <c r="H285" s="91" t="s">
        <v>3174</v>
      </c>
      <c r="I285" s="9" t="s">
        <v>2713</v>
      </c>
      <c r="J285" s="9" t="s">
        <v>2770</v>
      </c>
      <c r="K285" s="205" t="s">
        <v>2874</v>
      </c>
      <c r="L285" s="9" t="s">
        <v>2875</v>
      </c>
      <c r="M285" s="227" t="s">
        <v>2704</v>
      </c>
      <c r="N285" s="122" t="s">
        <v>2748</v>
      </c>
      <c r="O285" s="129" t="s">
        <v>2748</v>
      </c>
      <c r="P285" s="123" t="str">
        <f t="shared" si="8"/>
        <v>C1-2025</v>
      </c>
      <c r="Q285" s="123" t="str">
        <f t="shared" si="9"/>
        <v>T1-2025</v>
      </c>
      <c r="R285" s="91" t="s">
        <v>2749</v>
      </c>
      <c r="S285" s="123" t="s">
        <v>2750</v>
      </c>
      <c r="T285" s="123" t="s">
        <v>2724</v>
      </c>
      <c r="U285" s="162" t="s">
        <v>2708</v>
      </c>
      <c r="V285" s="162" t="s">
        <v>54</v>
      </c>
      <c r="W285" s="237" t="s">
        <v>125</v>
      </c>
      <c r="X285" s="173" t="s">
        <v>2751</v>
      </c>
    </row>
    <row r="286" spans="1:24" hidden="1">
      <c r="A286" s="161">
        <v>45747</v>
      </c>
      <c r="B286" s="194" t="s">
        <v>2871</v>
      </c>
      <c r="C286" s="32" t="s">
        <v>2543</v>
      </c>
      <c r="D286" s="147">
        <v>-1725199</v>
      </c>
      <c r="E286" s="154">
        <v>9.9200000000000004E-4</v>
      </c>
      <c r="F286" s="235">
        <f>Tabla5109[[#This Row],[Original Amount]]*Tabla5109[[#This Row],[ER to EUR]]</f>
        <v>-1711.397408</v>
      </c>
      <c r="G286" s="9" t="s">
        <v>2876</v>
      </c>
      <c r="H286" s="91" t="s">
        <v>3174</v>
      </c>
      <c r="I286" s="9" t="s">
        <v>2713</v>
      </c>
      <c r="J286" s="9" t="s">
        <v>2770</v>
      </c>
      <c r="K286" s="205" t="s">
        <v>2874</v>
      </c>
      <c r="L286" s="9" t="s">
        <v>2875</v>
      </c>
      <c r="M286" s="227" t="s">
        <v>2704</v>
      </c>
      <c r="N286" s="122" t="s">
        <v>2748</v>
      </c>
      <c r="O286" s="129" t="s">
        <v>2748</v>
      </c>
      <c r="P286" s="123" t="str">
        <f t="shared" si="8"/>
        <v>C1-2025</v>
      </c>
      <c r="Q286" s="123" t="str">
        <f t="shared" si="9"/>
        <v>T1-2025</v>
      </c>
      <c r="R286" s="91" t="s">
        <v>2749</v>
      </c>
      <c r="S286" s="123" t="s">
        <v>2750</v>
      </c>
      <c r="T286" s="123" t="s">
        <v>2724</v>
      </c>
      <c r="U286" s="162" t="s">
        <v>2708</v>
      </c>
      <c r="V286" s="162" t="s">
        <v>56</v>
      </c>
      <c r="W286" s="237" t="s">
        <v>125</v>
      </c>
      <c r="X286" s="173" t="s">
        <v>2751</v>
      </c>
    </row>
    <row r="287" spans="1:24" hidden="1">
      <c r="A287" s="161">
        <v>45747</v>
      </c>
      <c r="B287" s="194" t="s">
        <v>2871</v>
      </c>
      <c r="C287" s="32" t="s">
        <v>2543</v>
      </c>
      <c r="D287" s="147">
        <v>-3191975</v>
      </c>
      <c r="E287" s="154">
        <v>9.9200000000000004E-4</v>
      </c>
      <c r="F287" s="127">
        <f>Tabla5109[[#This Row],[Original Amount]]*Tabla5109[[#This Row],[ER to EUR]]</f>
        <v>-3166.4392000000003</v>
      </c>
      <c r="G287" s="9" t="s">
        <v>2877</v>
      </c>
      <c r="H287" s="91" t="s">
        <v>3174</v>
      </c>
      <c r="I287" s="9" t="s">
        <v>2713</v>
      </c>
      <c r="J287" s="9" t="s">
        <v>2770</v>
      </c>
      <c r="K287" s="205" t="s">
        <v>2874</v>
      </c>
      <c r="L287" s="9" t="s">
        <v>2875</v>
      </c>
      <c r="M287" s="227" t="s">
        <v>2704</v>
      </c>
      <c r="N287" s="122" t="s">
        <v>2748</v>
      </c>
      <c r="O287" s="129" t="s">
        <v>2748</v>
      </c>
      <c r="P287" s="123" t="str">
        <f t="shared" si="8"/>
        <v>C1-2025</v>
      </c>
      <c r="Q287" s="123" t="str">
        <f t="shared" si="9"/>
        <v>T1-2025</v>
      </c>
      <c r="R287" s="91" t="s">
        <v>2749</v>
      </c>
      <c r="S287" s="123" t="s">
        <v>2750</v>
      </c>
      <c r="T287" s="123" t="s">
        <v>2724</v>
      </c>
      <c r="U287" s="162" t="s">
        <v>2708</v>
      </c>
      <c r="V287" s="162" t="s">
        <v>54</v>
      </c>
      <c r="W287" s="237" t="s">
        <v>125</v>
      </c>
      <c r="X287" s="173" t="s">
        <v>2751</v>
      </c>
    </row>
    <row r="288" spans="1:24" hidden="1">
      <c r="A288" s="161">
        <v>45748</v>
      </c>
      <c r="B288" s="134">
        <v>202500000420</v>
      </c>
      <c r="C288" s="129" t="s">
        <v>2697</v>
      </c>
      <c r="D288" s="119">
        <v>-313.20999999999998</v>
      </c>
      <c r="E288" s="120">
        <v>1</v>
      </c>
      <c r="F288" s="121">
        <f>Tabla5109[[#This Row],[Original Amount]]*Tabla5109[[#This Row],[ER to EUR]]</f>
        <v>-313.20999999999998</v>
      </c>
      <c r="G288" s="9" t="s">
        <v>2796</v>
      </c>
      <c r="H288" s="73" t="s">
        <v>2797</v>
      </c>
      <c r="I288" s="9" t="s">
        <v>2727</v>
      </c>
      <c r="J288" s="9" t="s">
        <v>2714</v>
      </c>
      <c r="K288" s="205" t="s">
        <v>2798</v>
      </c>
      <c r="L288" s="9" t="s">
        <v>2799</v>
      </c>
      <c r="M288" s="32" t="s">
        <v>125</v>
      </c>
      <c r="N288" s="129" t="s">
        <v>2704</v>
      </c>
      <c r="O288" s="122" t="s">
        <v>2704</v>
      </c>
      <c r="P288" s="123" t="str">
        <f t="shared" si="8"/>
        <v>C1-2025</v>
      </c>
      <c r="Q288" s="123" t="str">
        <f t="shared" si="9"/>
        <v>T2-2025</v>
      </c>
      <c r="R288" s="124" t="s">
        <v>2705</v>
      </c>
      <c r="S288" s="124" t="s">
        <v>2706</v>
      </c>
      <c r="T288" s="123" t="s">
        <v>2724</v>
      </c>
      <c r="U288" s="162" t="s">
        <v>2708</v>
      </c>
      <c r="V288" s="162" t="s">
        <v>56</v>
      </c>
      <c r="W288" s="237" t="s">
        <v>125</v>
      </c>
      <c r="X288" s="173" t="s">
        <v>2709</v>
      </c>
    </row>
    <row r="289" spans="1:24" hidden="1">
      <c r="A289" s="161">
        <v>45748</v>
      </c>
      <c r="B289" s="117" t="s">
        <v>3175</v>
      </c>
      <c r="C289" s="129" t="s">
        <v>2697</v>
      </c>
      <c r="D289" s="119">
        <v>-818</v>
      </c>
      <c r="E289" s="120">
        <v>1</v>
      </c>
      <c r="F289" s="121">
        <f>Tabla5109[[#This Row],[Original Amount]]*Tabla5109[[#This Row],[ER to EUR]]</f>
        <v>-818</v>
      </c>
      <c r="G289" s="9" t="s">
        <v>2884</v>
      </c>
      <c r="H289" s="73" t="s">
        <v>2885</v>
      </c>
      <c r="I289" s="9" t="s">
        <v>3094</v>
      </c>
      <c r="J289" s="9" t="s">
        <v>2723</v>
      </c>
      <c r="K289" s="205" t="s">
        <v>2792</v>
      </c>
      <c r="L289" s="9" t="s">
        <v>2793</v>
      </c>
      <c r="M289" s="32" t="s">
        <v>125</v>
      </c>
      <c r="N289" s="129" t="s">
        <v>2704</v>
      </c>
      <c r="O289" s="122" t="s">
        <v>2704</v>
      </c>
      <c r="P289" s="123" t="str">
        <f t="shared" si="8"/>
        <v>C1-2025</v>
      </c>
      <c r="Q289" s="123" t="str">
        <f t="shared" si="9"/>
        <v>T2-2025</v>
      </c>
      <c r="R289" s="124" t="s">
        <v>2741</v>
      </c>
      <c r="S289" s="123" t="s">
        <v>2723</v>
      </c>
      <c r="T289" s="123" t="s">
        <v>2707</v>
      </c>
      <c r="U289" s="162" t="s">
        <v>2708</v>
      </c>
      <c r="V289" s="162" t="s">
        <v>54</v>
      </c>
      <c r="W289" s="237" t="s">
        <v>125</v>
      </c>
      <c r="X289" s="173" t="s">
        <v>2709</v>
      </c>
    </row>
    <row r="290" spans="1:24" hidden="1">
      <c r="A290" s="161">
        <v>45748</v>
      </c>
      <c r="B290" s="132">
        <v>14</v>
      </c>
      <c r="C290" s="129" t="s">
        <v>2697</v>
      </c>
      <c r="D290" s="119">
        <v>-4094</v>
      </c>
      <c r="E290" s="120">
        <v>1</v>
      </c>
      <c r="F290" s="121">
        <f>Tabla5109[[#This Row],[Original Amount]]*Tabla5109[[#This Row],[ER to EUR]]</f>
        <v>-4094</v>
      </c>
      <c r="G290" s="9" t="s">
        <v>2790</v>
      </c>
      <c r="H290" s="73" t="s">
        <v>2791</v>
      </c>
      <c r="I290" s="9" t="s">
        <v>2727</v>
      </c>
      <c r="J290" s="9" t="s">
        <v>2723</v>
      </c>
      <c r="K290" s="205" t="s">
        <v>2792</v>
      </c>
      <c r="L290" s="9" t="s">
        <v>2793</v>
      </c>
      <c r="M290" s="32" t="s">
        <v>125</v>
      </c>
      <c r="N290" s="129" t="s">
        <v>2704</v>
      </c>
      <c r="O290" s="122" t="s">
        <v>2704</v>
      </c>
      <c r="P290" s="123" t="str">
        <f t="shared" si="8"/>
        <v>C1-2025</v>
      </c>
      <c r="Q290" s="123" t="str">
        <f t="shared" si="9"/>
        <v>T2-2025</v>
      </c>
      <c r="R290" s="124" t="s">
        <v>2794</v>
      </c>
      <c r="S290" s="123" t="s">
        <v>2731</v>
      </c>
      <c r="T290" s="123" t="s">
        <v>2724</v>
      </c>
      <c r="U290" s="162" t="s">
        <v>2708</v>
      </c>
      <c r="V290" s="162" t="s">
        <v>57</v>
      </c>
      <c r="W290" s="237" t="s">
        <v>125</v>
      </c>
      <c r="X290" s="173" t="s">
        <v>2709</v>
      </c>
    </row>
    <row r="291" spans="1:24" hidden="1">
      <c r="A291" s="161">
        <v>45778</v>
      </c>
      <c r="B291" s="133" t="s">
        <v>6565</v>
      </c>
      <c r="C291" s="32" t="s">
        <v>2697</v>
      </c>
      <c r="D291" s="146">
        <v>-73.459999999999994</v>
      </c>
      <c r="E291" s="120">
        <v>1</v>
      </c>
      <c r="F291" s="121">
        <f>Tabla5109[[#This Row],[Original Amount]]*Tabla5109[[#This Row],[ER to EUR]]</f>
        <v>-73.459999999999994</v>
      </c>
      <c r="G291" s="9" t="s">
        <v>3692</v>
      </c>
      <c r="H291" s="9" t="s">
        <v>6576</v>
      </c>
      <c r="I291" s="9" t="s">
        <v>2713</v>
      </c>
      <c r="J291" s="9" t="s">
        <v>2701</v>
      </c>
      <c r="K291" s="205" t="s">
        <v>2702</v>
      </c>
      <c r="L291" s="9" t="s">
        <v>6577</v>
      </c>
      <c r="M291" s="227" t="s">
        <v>125</v>
      </c>
      <c r="N291" s="122" t="s">
        <v>2748</v>
      </c>
      <c r="O291" s="129" t="s">
        <v>2748</v>
      </c>
      <c r="P291" s="123" t="str">
        <f t="shared" si="8"/>
        <v>C2-2025</v>
      </c>
      <c r="Q291" s="123" t="str">
        <f t="shared" si="9"/>
        <v>T2-2025</v>
      </c>
      <c r="R291" s="91" t="s">
        <v>6009</v>
      </c>
      <c r="S291" s="123" t="s">
        <v>2750</v>
      </c>
      <c r="T291" s="123" t="s">
        <v>2724</v>
      </c>
      <c r="U291" s="162" t="s">
        <v>2708</v>
      </c>
      <c r="V291" s="162" t="s">
        <v>56</v>
      </c>
      <c r="W291" s="237" t="s">
        <v>125</v>
      </c>
      <c r="X291" s="201" t="s">
        <v>2709</v>
      </c>
    </row>
    <row r="292" spans="1:24" hidden="1">
      <c r="A292" s="161">
        <v>45750</v>
      </c>
      <c r="B292" s="117" t="s">
        <v>3176</v>
      </c>
      <c r="C292" s="129" t="s">
        <v>2697</v>
      </c>
      <c r="D292" s="119">
        <v>-818</v>
      </c>
      <c r="E292" s="120">
        <v>1</v>
      </c>
      <c r="F292" s="121">
        <f>Tabla5109[[#This Row],[Original Amount]]*Tabla5109[[#This Row],[ER to EUR]]</f>
        <v>-818</v>
      </c>
      <c r="G292" s="9" t="s">
        <v>2884</v>
      </c>
      <c r="H292" s="73" t="s">
        <v>2885</v>
      </c>
      <c r="I292" s="9" t="s">
        <v>3094</v>
      </c>
      <c r="J292" s="9" t="s">
        <v>2723</v>
      </c>
      <c r="K292" s="205" t="s">
        <v>2792</v>
      </c>
      <c r="L292" s="9" t="s">
        <v>2793</v>
      </c>
      <c r="M292" s="32" t="s">
        <v>125</v>
      </c>
      <c r="N292" s="129" t="s">
        <v>2704</v>
      </c>
      <c r="O292" s="122" t="s">
        <v>2704</v>
      </c>
      <c r="P292" s="123" t="str">
        <f t="shared" si="8"/>
        <v>C1-2025</v>
      </c>
      <c r="Q292" s="123" t="str">
        <f t="shared" si="9"/>
        <v>T2-2025</v>
      </c>
      <c r="R292" s="124" t="s">
        <v>2741</v>
      </c>
      <c r="S292" s="123" t="s">
        <v>2723</v>
      </c>
      <c r="T292" s="123" t="s">
        <v>2707</v>
      </c>
      <c r="U292" s="162" t="s">
        <v>2708</v>
      </c>
      <c r="V292" s="162" t="s">
        <v>54</v>
      </c>
      <c r="W292" s="237" t="s">
        <v>125</v>
      </c>
      <c r="X292" s="173" t="s">
        <v>2709</v>
      </c>
    </row>
    <row r="293" spans="1:24" hidden="1">
      <c r="A293" s="161">
        <v>45751</v>
      </c>
      <c r="B293" s="117" t="s">
        <v>3177</v>
      </c>
      <c r="C293" s="129" t="s">
        <v>2697</v>
      </c>
      <c r="D293" s="119">
        <v>-818</v>
      </c>
      <c r="E293" s="120">
        <v>1</v>
      </c>
      <c r="F293" s="121">
        <f>Tabla5109[[#This Row],[Original Amount]]*Tabla5109[[#This Row],[ER to EUR]]</f>
        <v>-818</v>
      </c>
      <c r="G293" s="9" t="s">
        <v>2884</v>
      </c>
      <c r="H293" s="73" t="s">
        <v>2885</v>
      </c>
      <c r="I293" s="9" t="s">
        <v>3094</v>
      </c>
      <c r="J293" s="37" t="s">
        <v>2723</v>
      </c>
      <c r="K293" s="217" t="s">
        <v>2792</v>
      </c>
      <c r="L293" s="37" t="s">
        <v>2793</v>
      </c>
      <c r="M293" s="32" t="s">
        <v>125</v>
      </c>
      <c r="N293" s="156" t="s">
        <v>2704</v>
      </c>
      <c r="O293" s="158" t="s">
        <v>2704</v>
      </c>
      <c r="P293" s="123" t="str">
        <f t="shared" si="8"/>
        <v>C1-2025</v>
      </c>
      <c r="Q293" s="123" t="str">
        <f t="shared" si="9"/>
        <v>T2-2025</v>
      </c>
      <c r="R293" s="124" t="s">
        <v>2741</v>
      </c>
      <c r="S293" s="123" t="s">
        <v>2723</v>
      </c>
      <c r="T293" s="123" t="s">
        <v>2707</v>
      </c>
      <c r="U293" s="162" t="s">
        <v>2708</v>
      </c>
      <c r="V293" s="162" t="s">
        <v>54</v>
      </c>
      <c r="W293" s="237" t="s">
        <v>125</v>
      </c>
      <c r="X293" s="173" t="s">
        <v>2709</v>
      </c>
    </row>
    <row r="294" spans="1:24" hidden="1">
      <c r="A294" s="161">
        <v>45752</v>
      </c>
      <c r="B294" s="117" t="s">
        <v>3178</v>
      </c>
      <c r="C294" s="129" t="s">
        <v>2697</v>
      </c>
      <c r="D294" s="119">
        <v>-19.329999999999998</v>
      </c>
      <c r="E294" s="120">
        <v>1</v>
      </c>
      <c r="F294" s="121">
        <f>Tabla5109[[#This Row],[Original Amount]]*Tabla5109[[#This Row],[ER to EUR]]</f>
        <v>-19.329999999999998</v>
      </c>
      <c r="G294" s="9" t="s">
        <v>2737</v>
      </c>
      <c r="H294" s="9" t="s">
        <v>2738</v>
      </c>
      <c r="I294" s="9" t="s">
        <v>2739</v>
      </c>
      <c r="J294" s="9" t="s">
        <v>2701</v>
      </c>
      <c r="K294" s="205" t="s">
        <v>2702</v>
      </c>
      <c r="L294" s="9" t="s">
        <v>2740</v>
      </c>
      <c r="M294" s="32" t="s">
        <v>125</v>
      </c>
      <c r="N294" s="129" t="s">
        <v>2704</v>
      </c>
      <c r="O294" s="122" t="s">
        <v>2704</v>
      </c>
      <c r="P294" s="123" t="str">
        <f t="shared" si="8"/>
        <v>C1-2025</v>
      </c>
      <c r="Q294" s="123" t="str">
        <f t="shared" si="9"/>
        <v>T2-2025</v>
      </c>
      <c r="R294" s="124" t="s">
        <v>2741</v>
      </c>
      <c r="S294" s="123" t="s">
        <v>2723</v>
      </c>
      <c r="T294" s="123" t="s">
        <v>2724</v>
      </c>
      <c r="U294" s="162" t="s">
        <v>2708</v>
      </c>
      <c r="V294" s="162" t="s">
        <v>54</v>
      </c>
      <c r="W294" s="237" t="s">
        <v>125</v>
      </c>
      <c r="X294" s="173" t="s">
        <v>2709</v>
      </c>
    </row>
    <row r="295" spans="1:24" hidden="1">
      <c r="A295" s="161">
        <v>45752</v>
      </c>
      <c r="B295" s="128" t="s">
        <v>3179</v>
      </c>
      <c r="C295" s="122" t="s">
        <v>2548</v>
      </c>
      <c r="D295" s="240">
        <v>-15</v>
      </c>
      <c r="E295" s="181">
        <v>0.89086900000000002</v>
      </c>
      <c r="F295" s="121">
        <f>Tabla5109[[#This Row],[Original Amount]]*Tabla5109[[#This Row],[ER to EUR]]</f>
        <v>-13.363035</v>
      </c>
      <c r="G295" s="9" t="s">
        <v>3068</v>
      </c>
      <c r="H295" s="73" t="s">
        <v>3180</v>
      </c>
      <c r="I295" s="9" t="s">
        <v>2755</v>
      </c>
      <c r="J295" s="9" t="s">
        <v>2701</v>
      </c>
      <c r="K295" s="205" t="s">
        <v>2792</v>
      </c>
      <c r="L295" s="9" t="s">
        <v>2740</v>
      </c>
      <c r="M295" s="32" t="s">
        <v>125</v>
      </c>
      <c r="N295" s="129" t="s">
        <v>2704</v>
      </c>
      <c r="O295" s="122" t="s">
        <v>2704</v>
      </c>
      <c r="P295" s="123" t="str">
        <f t="shared" si="8"/>
        <v>C1-2025</v>
      </c>
      <c r="Q295" s="123" t="str">
        <f t="shared" si="9"/>
        <v>T2-2025</v>
      </c>
      <c r="R295" s="124" t="s">
        <v>2722</v>
      </c>
      <c r="S295" s="123" t="s">
        <v>2723</v>
      </c>
      <c r="T295" s="123" t="s">
        <v>2724</v>
      </c>
      <c r="U295" s="162" t="s">
        <v>2708</v>
      </c>
      <c r="V295" s="162" t="s">
        <v>54</v>
      </c>
      <c r="W295" s="237" t="s">
        <v>125</v>
      </c>
      <c r="X295" s="173" t="s">
        <v>2709</v>
      </c>
    </row>
    <row r="296" spans="1:24" hidden="1">
      <c r="A296" s="161">
        <v>45752</v>
      </c>
      <c r="B296" s="117" t="s">
        <v>3181</v>
      </c>
      <c r="C296" s="129" t="s">
        <v>2697</v>
      </c>
      <c r="D296" s="119">
        <v>-818</v>
      </c>
      <c r="E296" s="120">
        <v>1</v>
      </c>
      <c r="F296" s="121">
        <f>Tabla5109[[#This Row],[Original Amount]]*Tabla5109[[#This Row],[ER to EUR]]</f>
        <v>-818</v>
      </c>
      <c r="G296" s="9" t="s">
        <v>2884</v>
      </c>
      <c r="H296" s="73" t="s">
        <v>2885</v>
      </c>
      <c r="I296" s="9" t="s">
        <v>3094</v>
      </c>
      <c r="J296" s="9" t="s">
        <v>2723</v>
      </c>
      <c r="K296" s="205" t="s">
        <v>2792</v>
      </c>
      <c r="L296" s="9" t="s">
        <v>2793</v>
      </c>
      <c r="M296" s="32" t="s">
        <v>125</v>
      </c>
      <c r="N296" s="129" t="s">
        <v>2704</v>
      </c>
      <c r="O296" s="122" t="s">
        <v>2704</v>
      </c>
      <c r="P296" s="123" t="str">
        <f t="shared" si="8"/>
        <v>C1-2025</v>
      </c>
      <c r="Q296" s="123" t="str">
        <f t="shared" si="9"/>
        <v>T2-2025</v>
      </c>
      <c r="R296" s="124" t="s">
        <v>2741</v>
      </c>
      <c r="S296" s="123" t="s">
        <v>2723</v>
      </c>
      <c r="T296" s="123" t="s">
        <v>2707</v>
      </c>
      <c r="U296" s="162" t="s">
        <v>2708</v>
      </c>
      <c r="V296" s="162" t="s">
        <v>54</v>
      </c>
      <c r="W296" s="237" t="s">
        <v>125</v>
      </c>
      <c r="X296" s="173" t="s">
        <v>2709</v>
      </c>
    </row>
    <row r="297" spans="1:24" hidden="1">
      <c r="A297" s="161">
        <v>45753</v>
      </c>
      <c r="B297" s="132">
        <v>1529</v>
      </c>
      <c r="C297" s="129" t="s">
        <v>2697</v>
      </c>
      <c r="D297" s="119">
        <v>-46.41</v>
      </c>
      <c r="E297" s="120">
        <v>1</v>
      </c>
      <c r="F297" s="121">
        <f>Tabla5109[[#This Row],[Original Amount]]*Tabla5109[[#This Row],[ER to EUR]]</f>
        <v>-46.41</v>
      </c>
      <c r="G297" s="9" t="s">
        <v>2777</v>
      </c>
      <c r="H297" s="9" t="s">
        <v>2778</v>
      </c>
      <c r="I297" s="9" t="s">
        <v>2779</v>
      </c>
      <c r="J297" s="9" t="s">
        <v>2714</v>
      </c>
      <c r="K297" s="205" t="s">
        <v>2780</v>
      </c>
      <c r="L297" s="9" t="s">
        <v>2716</v>
      </c>
      <c r="M297" s="32" t="s">
        <v>125</v>
      </c>
      <c r="N297" s="129" t="s">
        <v>2704</v>
      </c>
      <c r="O297" s="122" t="s">
        <v>2704</v>
      </c>
      <c r="P297" s="123" t="str">
        <f t="shared" si="8"/>
        <v>C1-2025</v>
      </c>
      <c r="Q297" s="123" t="str">
        <f t="shared" si="9"/>
        <v>T2-2025</v>
      </c>
      <c r="R297" s="124" t="s">
        <v>2705</v>
      </c>
      <c r="S297" s="123" t="s">
        <v>2735</v>
      </c>
      <c r="T297" s="123" t="s">
        <v>2724</v>
      </c>
      <c r="U297" s="162" t="s">
        <v>2708</v>
      </c>
      <c r="V297" s="162" t="s">
        <v>54</v>
      </c>
      <c r="W297" s="237" t="s">
        <v>125</v>
      </c>
      <c r="X297" s="173" t="s">
        <v>2709</v>
      </c>
    </row>
    <row r="298" spans="1:24" hidden="1">
      <c r="A298" s="161">
        <v>45753</v>
      </c>
      <c r="B298" s="117" t="s">
        <v>3182</v>
      </c>
      <c r="C298" s="129" t="s">
        <v>2697</v>
      </c>
      <c r="D298" s="119">
        <v>-334.73</v>
      </c>
      <c r="E298" s="120">
        <v>1</v>
      </c>
      <c r="F298" s="121">
        <f>Tabla5109[[#This Row],[Original Amount]]*Tabla5109[[#This Row],[ER to EUR]]</f>
        <v>-334.73</v>
      </c>
      <c r="G298" s="9" t="s">
        <v>2884</v>
      </c>
      <c r="H298" s="73" t="s">
        <v>2885</v>
      </c>
      <c r="I298" s="9" t="s">
        <v>3094</v>
      </c>
      <c r="J298" s="9" t="s">
        <v>2723</v>
      </c>
      <c r="K298" s="205" t="s">
        <v>2792</v>
      </c>
      <c r="L298" s="9" t="s">
        <v>2793</v>
      </c>
      <c r="M298" s="32" t="s">
        <v>125</v>
      </c>
      <c r="N298" s="129" t="s">
        <v>2704</v>
      </c>
      <c r="O298" s="122" t="s">
        <v>2704</v>
      </c>
      <c r="P298" s="123" t="str">
        <f t="shared" si="8"/>
        <v>C1-2025</v>
      </c>
      <c r="Q298" s="123" t="str">
        <f t="shared" si="9"/>
        <v>T2-2025</v>
      </c>
      <c r="R298" s="124" t="s">
        <v>2741</v>
      </c>
      <c r="S298" s="123" t="s">
        <v>2723</v>
      </c>
      <c r="T298" s="123" t="s">
        <v>2707</v>
      </c>
      <c r="U298" s="162" t="s">
        <v>2708</v>
      </c>
      <c r="V298" s="162" t="s">
        <v>54</v>
      </c>
      <c r="W298" s="237" t="s">
        <v>125</v>
      </c>
      <c r="X298" s="173" t="s">
        <v>2709</v>
      </c>
    </row>
    <row r="299" spans="1:24" hidden="1">
      <c r="A299" s="161">
        <v>45754</v>
      </c>
      <c r="B299" s="125">
        <v>1763189</v>
      </c>
      <c r="C299" s="32" t="s">
        <v>2543</v>
      </c>
      <c r="D299" s="152">
        <v>-614728</v>
      </c>
      <c r="E299" s="120">
        <v>9.2599999999999996E-4</v>
      </c>
      <c r="F299" s="121">
        <f>Tabla5109[[#This Row],[Original Amount]]*Tabla5109[[#This Row],[ER to EUR]]</f>
        <v>-569.23812799999996</v>
      </c>
      <c r="G299" s="9" t="s">
        <v>3183</v>
      </c>
      <c r="H299" s="9" t="s">
        <v>3184</v>
      </c>
      <c r="I299" s="9" t="s">
        <v>2713</v>
      </c>
      <c r="J299" s="9" t="s">
        <v>2770</v>
      </c>
      <c r="K299" s="205" t="s">
        <v>2814</v>
      </c>
      <c r="L299" s="211" t="s">
        <v>2772</v>
      </c>
      <c r="M299" s="227" t="s">
        <v>2704</v>
      </c>
      <c r="N299" s="129" t="s">
        <v>2748</v>
      </c>
      <c r="O299" s="129" t="s">
        <v>2704</v>
      </c>
      <c r="P299" s="123" t="str">
        <f t="shared" si="8"/>
        <v>C1-2025</v>
      </c>
      <c r="Q299" s="123" t="str">
        <f t="shared" si="9"/>
        <v>T2-2025</v>
      </c>
      <c r="R299" s="91" t="s">
        <v>2749</v>
      </c>
      <c r="S299" s="123" t="s">
        <v>2750</v>
      </c>
      <c r="T299" s="123" t="s">
        <v>2717</v>
      </c>
      <c r="U299" s="162" t="s">
        <v>2708</v>
      </c>
      <c r="V299" s="162" t="s">
        <v>56</v>
      </c>
      <c r="W299" s="237" t="s">
        <v>125</v>
      </c>
      <c r="X299" s="173" t="s">
        <v>2751</v>
      </c>
    </row>
    <row r="300" spans="1:24" hidden="1">
      <c r="A300" s="161">
        <v>45755</v>
      </c>
      <c r="B300" s="117" t="s">
        <v>3185</v>
      </c>
      <c r="C300" s="129" t="s">
        <v>2697</v>
      </c>
      <c r="D300" s="119">
        <v>-487.5</v>
      </c>
      <c r="E300" s="120">
        <v>1</v>
      </c>
      <c r="F300" s="121">
        <f>Tabla5109[[#This Row],[Original Amount]]*Tabla5109[[#This Row],[ER to EUR]]</f>
        <v>-487.5</v>
      </c>
      <c r="G300" s="9" t="s">
        <v>2847</v>
      </c>
      <c r="H300" s="73" t="s">
        <v>2848</v>
      </c>
      <c r="I300" s="9" t="s">
        <v>2727</v>
      </c>
      <c r="J300" s="9" t="s">
        <v>2723</v>
      </c>
      <c r="K300" s="205" t="s">
        <v>2747</v>
      </c>
      <c r="L300" s="9" t="s">
        <v>2793</v>
      </c>
      <c r="M300" s="32" t="s">
        <v>125</v>
      </c>
      <c r="N300" s="129" t="s">
        <v>2704</v>
      </c>
      <c r="O300" s="122" t="s">
        <v>2704</v>
      </c>
      <c r="P300" s="123" t="str">
        <f t="shared" si="8"/>
        <v>C1-2025</v>
      </c>
      <c r="Q300" s="123" t="str">
        <f t="shared" si="9"/>
        <v>T2-2025</v>
      </c>
      <c r="R300" s="124" t="s">
        <v>2705</v>
      </c>
      <c r="S300" s="124" t="s">
        <v>2706</v>
      </c>
      <c r="T300" s="123" t="s">
        <v>2707</v>
      </c>
      <c r="U300" s="162" t="s">
        <v>2708</v>
      </c>
      <c r="V300" s="162" t="s">
        <v>54</v>
      </c>
      <c r="W300" s="237" t="s">
        <v>125</v>
      </c>
      <c r="X300" s="173" t="s">
        <v>2709</v>
      </c>
    </row>
    <row r="301" spans="1:24" hidden="1">
      <c r="A301" s="161">
        <v>45755</v>
      </c>
      <c r="B301" s="133" t="s">
        <v>3186</v>
      </c>
      <c r="C301" s="32" t="s">
        <v>2697</v>
      </c>
      <c r="D301" s="119">
        <v>-59.49</v>
      </c>
      <c r="E301" s="120">
        <v>1</v>
      </c>
      <c r="F301" s="121">
        <f>Tabla5109[[#This Row],[Original Amount]]*Tabla5109[[#This Row],[ER to EUR]]</f>
        <v>-59.49</v>
      </c>
      <c r="G301" s="9" t="s">
        <v>2830</v>
      </c>
      <c r="H301" s="9" t="s">
        <v>3187</v>
      </c>
      <c r="I301" s="9" t="s">
        <v>2739</v>
      </c>
      <c r="J301" s="9" t="s">
        <v>2817</v>
      </c>
      <c r="K301" s="205" t="s">
        <v>2702</v>
      </c>
      <c r="L301" s="9" t="s">
        <v>2818</v>
      </c>
      <c r="M301" s="32" t="s">
        <v>125</v>
      </c>
      <c r="N301" s="122" t="s">
        <v>2704</v>
      </c>
      <c r="O301" s="129" t="s">
        <v>2704</v>
      </c>
      <c r="P301" s="123" t="str">
        <f t="shared" si="8"/>
        <v>C1-2025</v>
      </c>
      <c r="Q301" s="123" t="str">
        <f t="shared" si="9"/>
        <v>T2-2025</v>
      </c>
      <c r="R301" s="124" t="s">
        <v>2722</v>
      </c>
      <c r="S301" s="123" t="s">
        <v>2723</v>
      </c>
      <c r="T301" s="123" t="s">
        <v>2724</v>
      </c>
      <c r="U301" s="162" t="s">
        <v>2708</v>
      </c>
      <c r="V301" s="162" t="s">
        <v>54</v>
      </c>
      <c r="W301" s="237" t="s">
        <v>125</v>
      </c>
      <c r="X301" s="173" t="s">
        <v>2709</v>
      </c>
    </row>
    <row r="302" spans="1:24" hidden="1">
      <c r="A302" s="161">
        <v>45756</v>
      </c>
      <c r="B302" s="117" t="s">
        <v>3188</v>
      </c>
      <c r="C302" s="129" t="s">
        <v>2697</v>
      </c>
      <c r="D302" s="119">
        <v>-818</v>
      </c>
      <c r="E302" s="120">
        <v>1</v>
      </c>
      <c r="F302" s="121">
        <f>Tabla5109[[#This Row],[Original Amount]]*Tabla5109[[#This Row],[ER to EUR]]</f>
        <v>-818</v>
      </c>
      <c r="G302" s="9" t="s">
        <v>2884</v>
      </c>
      <c r="H302" s="73" t="s">
        <v>2885</v>
      </c>
      <c r="I302" s="9" t="s">
        <v>3065</v>
      </c>
      <c r="J302" s="9" t="s">
        <v>2723</v>
      </c>
      <c r="K302" s="205" t="s">
        <v>2792</v>
      </c>
      <c r="L302" s="9" t="s">
        <v>2793</v>
      </c>
      <c r="M302" s="32" t="s">
        <v>125</v>
      </c>
      <c r="N302" s="129" t="s">
        <v>2704</v>
      </c>
      <c r="O302" s="122" t="s">
        <v>2704</v>
      </c>
      <c r="P302" s="123" t="str">
        <f t="shared" si="8"/>
        <v>C1-2025</v>
      </c>
      <c r="Q302" s="123" t="str">
        <f t="shared" si="9"/>
        <v>T2-2025</v>
      </c>
      <c r="R302" s="124" t="s">
        <v>2741</v>
      </c>
      <c r="S302" s="123" t="s">
        <v>2723</v>
      </c>
      <c r="T302" s="123" t="s">
        <v>2707</v>
      </c>
      <c r="U302" s="162" t="s">
        <v>2708</v>
      </c>
      <c r="V302" s="162" t="s">
        <v>54</v>
      </c>
      <c r="W302" s="237" t="s">
        <v>125</v>
      </c>
      <c r="X302" s="173" t="s">
        <v>2709</v>
      </c>
    </row>
    <row r="303" spans="1:24" hidden="1">
      <c r="A303" s="161">
        <v>45757</v>
      </c>
      <c r="B303" s="125">
        <v>78188323397</v>
      </c>
      <c r="C303" s="129" t="s">
        <v>2697</v>
      </c>
      <c r="D303" s="119">
        <v>-82.64</v>
      </c>
      <c r="E303" s="120">
        <v>1</v>
      </c>
      <c r="F303" s="121">
        <f>Tabla5109[[#This Row],[Original Amount]]*Tabla5109[[#This Row],[ER to EUR]]</f>
        <v>-82.64</v>
      </c>
      <c r="G303" s="9" t="s">
        <v>2718</v>
      </c>
      <c r="H303" s="73" t="s">
        <v>3189</v>
      </c>
      <c r="I303" s="9" t="s">
        <v>2720</v>
      </c>
      <c r="J303" s="9" t="s">
        <v>2714</v>
      </c>
      <c r="K303" s="205" t="s">
        <v>2721</v>
      </c>
      <c r="L303" s="9" t="s">
        <v>2716</v>
      </c>
      <c r="M303" s="32" t="s">
        <v>125</v>
      </c>
      <c r="N303" s="129" t="s">
        <v>2704</v>
      </c>
      <c r="O303" s="122" t="s">
        <v>2704</v>
      </c>
      <c r="P303" s="123" t="str">
        <f t="shared" si="8"/>
        <v>C1-2025</v>
      </c>
      <c r="Q303" s="123" t="str">
        <f t="shared" si="9"/>
        <v>T2-2025</v>
      </c>
      <c r="R303" s="124" t="s">
        <v>2722</v>
      </c>
      <c r="S303" s="123" t="s">
        <v>2723</v>
      </c>
      <c r="T303" s="123" t="s">
        <v>2724</v>
      </c>
      <c r="U303" s="162" t="s">
        <v>2708</v>
      </c>
      <c r="V303" s="162" t="s">
        <v>54</v>
      </c>
      <c r="W303" s="237" t="s">
        <v>125</v>
      </c>
      <c r="X303" s="173" t="s">
        <v>2709</v>
      </c>
    </row>
    <row r="304" spans="1:24" hidden="1">
      <c r="A304" s="161">
        <v>45757</v>
      </c>
      <c r="B304" s="117" t="s">
        <v>3190</v>
      </c>
      <c r="C304" s="129" t="s">
        <v>2697</v>
      </c>
      <c r="D304" s="119">
        <v>-150.09</v>
      </c>
      <c r="E304" s="120">
        <v>1</v>
      </c>
      <c r="F304" s="121">
        <f>Tabla5109[[#This Row],[Original Amount]]*Tabla5109[[#This Row],[ER to EUR]]</f>
        <v>-150.09</v>
      </c>
      <c r="G304" s="9" t="s">
        <v>2698</v>
      </c>
      <c r="H304" s="73" t="s">
        <v>3191</v>
      </c>
      <c r="I304" s="9" t="s">
        <v>2784</v>
      </c>
      <c r="J304" s="9" t="s">
        <v>2701</v>
      </c>
      <c r="K304" s="205" t="s">
        <v>2702</v>
      </c>
      <c r="L304" s="9" t="s">
        <v>2703</v>
      </c>
      <c r="M304" s="32" t="s">
        <v>125</v>
      </c>
      <c r="N304" s="129" t="s">
        <v>2704</v>
      </c>
      <c r="O304" s="122" t="s">
        <v>2704</v>
      </c>
      <c r="P304" s="123" t="str">
        <f t="shared" si="8"/>
        <v>C1-2025</v>
      </c>
      <c r="Q304" s="123" t="str">
        <f t="shared" si="9"/>
        <v>T2-2025</v>
      </c>
      <c r="R304" s="124" t="s">
        <v>2705</v>
      </c>
      <c r="S304" s="124" t="s">
        <v>2706</v>
      </c>
      <c r="T304" s="123" t="s">
        <v>2707</v>
      </c>
      <c r="U304" s="162" t="s">
        <v>2708</v>
      </c>
      <c r="V304" s="162" t="s">
        <v>54</v>
      </c>
      <c r="W304" s="237" t="s">
        <v>125</v>
      </c>
      <c r="X304" s="173" t="s">
        <v>2709</v>
      </c>
    </row>
    <row r="305" spans="1:24" hidden="1">
      <c r="A305" s="161">
        <v>45757</v>
      </c>
      <c r="B305" s="117" t="s">
        <v>3192</v>
      </c>
      <c r="C305" s="129" t="s">
        <v>2697</v>
      </c>
      <c r="D305" s="119">
        <v>-818</v>
      </c>
      <c r="E305" s="120">
        <v>1</v>
      </c>
      <c r="F305" s="121">
        <f>Tabla5109[[#This Row],[Original Amount]]*Tabla5109[[#This Row],[ER to EUR]]</f>
        <v>-818</v>
      </c>
      <c r="G305" s="9" t="s">
        <v>2884</v>
      </c>
      <c r="H305" s="73" t="s">
        <v>2885</v>
      </c>
      <c r="I305" s="9" t="s">
        <v>2779</v>
      </c>
      <c r="J305" s="9" t="s">
        <v>2723</v>
      </c>
      <c r="K305" s="205" t="s">
        <v>2792</v>
      </c>
      <c r="L305" s="9" t="s">
        <v>2793</v>
      </c>
      <c r="M305" s="32" t="s">
        <v>125</v>
      </c>
      <c r="N305" s="129" t="s">
        <v>2704</v>
      </c>
      <c r="O305" s="122" t="s">
        <v>2704</v>
      </c>
      <c r="P305" s="123" t="str">
        <f t="shared" si="8"/>
        <v>C1-2025</v>
      </c>
      <c r="Q305" s="123" t="str">
        <f t="shared" si="9"/>
        <v>T2-2025</v>
      </c>
      <c r="R305" s="124" t="s">
        <v>2741</v>
      </c>
      <c r="S305" s="123" t="s">
        <v>2723</v>
      </c>
      <c r="T305" s="123" t="s">
        <v>2707</v>
      </c>
      <c r="U305" s="162" t="s">
        <v>2708</v>
      </c>
      <c r="V305" s="162" t="s">
        <v>54</v>
      </c>
      <c r="W305" s="237" t="s">
        <v>125</v>
      </c>
      <c r="X305" s="173" t="s">
        <v>2709</v>
      </c>
    </row>
    <row r="306" spans="1:24" hidden="1">
      <c r="A306" s="161">
        <v>45758</v>
      </c>
      <c r="B306" s="117">
        <v>5045</v>
      </c>
      <c r="C306" s="129" t="s">
        <v>2697</v>
      </c>
      <c r="D306" s="119">
        <v>-7000</v>
      </c>
      <c r="E306" s="120">
        <v>1</v>
      </c>
      <c r="F306" s="121">
        <f>Tabla5109[[#This Row],[Original Amount]]*Tabla5109[[#This Row],[ER to EUR]]</f>
        <v>-7000</v>
      </c>
      <c r="G306" s="9" t="s">
        <v>3074</v>
      </c>
      <c r="H306" s="73" t="s">
        <v>3075</v>
      </c>
      <c r="I306" s="9" t="s">
        <v>2727</v>
      </c>
      <c r="J306" s="9" t="s">
        <v>2701</v>
      </c>
      <c r="K306" s="205" t="s">
        <v>2702</v>
      </c>
      <c r="L306" s="9" t="s">
        <v>2729</v>
      </c>
      <c r="M306" s="32" t="s">
        <v>125</v>
      </c>
      <c r="N306" s="129" t="s">
        <v>2704</v>
      </c>
      <c r="O306" s="122" t="s">
        <v>2704</v>
      </c>
      <c r="P306" s="123" t="str">
        <f t="shared" si="8"/>
        <v>C1-2025</v>
      </c>
      <c r="Q306" s="123" t="str">
        <f t="shared" si="9"/>
        <v>T2-2025</v>
      </c>
      <c r="R306" s="124" t="s">
        <v>2730</v>
      </c>
      <c r="S306" s="123" t="s">
        <v>2731</v>
      </c>
      <c r="T306" s="123" t="s">
        <v>2724</v>
      </c>
      <c r="U306" s="162" t="s">
        <v>51</v>
      </c>
      <c r="V306" s="162" t="s">
        <v>57</v>
      </c>
      <c r="W306" s="237" t="s">
        <v>125</v>
      </c>
      <c r="X306" s="173" t="s">
        <v>2709</v>
      </c>
    </row>
    <row r="307" spans="1:24" hidden="1">
      <c r="A307" s="161">
        <v>45758</v>
      </c>
      <c r="B307" s="117">
        <v>2871577</v>
      </c>
      <c r="C307" s="122" t="s">
        <v>2548</v>
      </c>
      <c r="D307" s="136">
        <v>-499</v>
      </c>
      <c r="E307" s="120">
        <v>0.89090000000000003</v>
      </c>
      <c r="F307" s="121">
        <f>Tabla5109[[#This Row],[Original Amount]]*Tabla5109[[#This Row],[ER to EUR]]</f>
        <v>-444.5591</v>
      </c>
      <c r="G307" s="9" t="s">
        <v>3193</v>
      </c>
      <c r="H307" s="73" t="s">
        <v>3194</v>
      </c>
      <c r="I307" s="9" t="s">
        <v>2739</v>
      </c>
      <c r="J307" s="9" t="s">
        <v>2701</v>
      </c>
      <c r="K307" s="205" t="s">
        <v>2702</v>
      </c>
      <c r="L307" s="9" t="s">
        <v>2793</v>
      </c>
      <c r="M307" s="32" t="s">
        <v>125</v>
      </c>
      <c r="N307" s="129" t="s">
        <v>2704</v>
      </c>
      <c r="O307" s="122" t="s">
        <v>2704</v>
      </c>
      <c r="P307" s="123" t="str">
        <f t="shared" si="8"/>
        <v>C1-2025</v>
      </c>
      <c r="Q307" s="123" t="str">
        <f t="shared" si="9"/>
        <v>T2-2025</v>
      </c>
      <c r="R307" s="124" t="s">
        <v>2722</v>
      </c>
      <c r="S307" s="123" t="s">
        <v>2723</v>
      </c>
      <c r="T307" s="123" t="s">
        <v>2724</v>
      </c>
      <c r="U307" s="162" t="s">
        <v>2708</v>
      </c>
      <c r="V307" s="162" t="s">
        <v>54</v>
      </c>
      <c r="W307" s="237" t="s">
        <v>125</v>
      </c>
      <c r="X307" s="173" t="s">
        <v>2709</v>
      </c>
    </row>
    <row r="308" spans="1:24" hidden="1">
      <c r="A308" s="161">
        <v>45758</v>
      </c>
      <c r="B308" s="128" t="s">
        <v>3195</v>
      </c>
      <c r="C308" s="129" t="s">
        <v>2697</v>
      </c>
      <c r="D308" s="119">
        <v>-6.12</v>
      </c>
      <c r="E308" s="120">
        <v>1</v>
      </c>
      <c r="F308" s="121">
        <f>Tabla5109[[#This Row],[Original Amount]]*Tabla5109[[#This Row],[ER to EUR]]</f>
        <v>-6.12</v>
      </c>
      <c r="G308" s="9" t="s">
        <v>2839</v>
      </c>
      <c r="H308" s="73" t="s">
        <v>2840</v>
      </c>
      <c r="I308" s="9" t="s">
        <v>2784</v>
      </c>
      <c r="J308" s="9" t="s">
        <v>2701</v>
      </c>
      <c r="K308" s="4" t="s">
        <v>2702</v>
      </c>
      <c r="L308" s="9" t="s">
        <v>2703</v>
      </c>
      <c r="M308" s="32" t="s">
        <v>125</v>
      </c>
      <c r="N308" s="129" t="s">
        <v>2704</v>
      </c>
      <c r="O308" s="122" t="s">
        <v>2704</v>
      </c>
      <c r="P308" s="123" t="str">
        <f t="shared" si="8"/>
        <v>C1-2025</v>
      </c>
      <c r="Q308" s="123" t="str">
        <f t="shared" si="9"/>
        <v>T2-2025</v>
      </c>
      <c r="R308" s="124" t="s">
        <v>2705</v>
      </c>
      <c r="S308" s="124" t="s">
        <v>2706</v>
      </c>
      <c r="T308" s="413" t="s">
        <v>2707</v>
      </c>
      <c r="U308" t="s">
        <v>2708</v>
      </c>
      <c r="V308" t="s">
        <v>56</v>
      </c>
      <c r="W308" s="237" t="s">
        <v>125</v>
      </c>
      <c r="X308" s="173" t="s">
        <v>2709</v>
      </c>
    </row>
    <row r="309" spans="1:24" hidden="1">
      <c r="A309" s="161">
        <v>45759</v>
      </c>
      <c r="B309" s="135" t="s">
        <v>3196</v>
      </c>
      <c r="C309" s="129" t="s">
        <v>2697</v>
      </c>
      <c r="D309" s="119">
        <v>-100.7</v>
      </c>
      <c r="E309" s="120">
        <v>1</v>
      </c>
      <c r="F309" s="121">
        <f>Tabla5109[[#This Row],[Original Amount]]*Tabla5109[[#This Row],[ER to EUR]]</f>
        <v>-100.7</v>
      </c>
      <c r="G309" s="9" t="s">
        <v>3128</v>
      </c>
      <c r="H309" s="73" t="s">
        <v>2994</v>
      </c>
      <c r="I309" s="9" t="s">
        <v>3094</v>
      </c>
      <c r="J309" s="9" t="s">
        <v>2701</v>
      </c>
      <c r="K309" s="205" t="s">
        <v>2702</v>
      </c>
      <c r="L309" s="9" t="s">
        <v>2703</v>
      </c>
      <c r="M309" s="32" t="s">
        <v>125</v>
      </c>
      <c r="N309" s="129" t="s">
        <v>2704</v>
      </c>
      <c r="O309" s="122" t="s">
        <v>2704</v>
      </c>
      <c r="P309" s="123" t="str">
        <f t="shared" si="8"/>
        <v>C1-2025</v>
      </c>
      <c r="Q309" s="123" t="str">
        <f t="shared" si="9"/>
        <v>T2-2025</v>
      </c>
      <c r="R309" s="124" t="s">
        <v>2741</v>
      </c>
      <c r="S309" s="123" t="s">
        <v>2723</v>
      </c>
      <c r="T309" s="123" t="s">
        <v>2707</v>
      </c>
      <c r="U309" s="162" t="s">
        <v>2708</v>
      </c>
      <c r="V309" s="162" t="s">
        <v>54</v>
      </c>
      <c r="W309" s="237" t="s">
        <v>125</v>
      </c>
      <c r="X309" s="173" t="s">
        <v>2709</v>
      </c>
    </row>
    <row r="310" spans="1:24" hidden="1">
      <c r="A310" s="161">
        <v>45759</v>
      </c>
      <c r="B310" s="117" t="s">
        <v>3197</v>
      </c>
      <c r="C310" s="129" t="s">
        <v>2697</v>
      </c>
      <c r="D310" s="119">
        <v>-818</v>
      </c>
      <c r="E310" s="120">
        <v>1</v>
      </c>
      <c r="F310" s="121">
        <f>Tabla5109[[#This Row],[Original Amount]]*Tabla5109[[#This Row],[ER to EUR]]</f>
        <v>-818</v>
      </c>
      <c r="G310" s="9" t="s">
        <v>2884</v>
      </c>
      <c r="H310" s="73" t="s">
        <v>2885</v>
      </c>
      <c r="I310" s="9" t="s">
        <v>2779</v>
      </c>
      <c r="J310" s="9" t="s">
        <v>2723</v>
      </c>
      <c r="K310" s="205" t="s">
        <v>2792</v>
      </c>
      <c r="L310" s="9" t="s">
        <v>2793</v>
      </c>
      <c r="M310" s="32" t="s">
        <v>125</v>
      </c>
      <c r="N310" s="129" t="s">
        <v>2704</v>
      </c>
      <c r="O310" s="122" t="s">
        <v>2704</v>
      </c>
      <c r="P310" s="123" t="str">
        <f t="shared" si="8"/>
        <v>C1-2025</v>
      </c>
      <c r="Q310" s="123" t="str">
        <f t="shared" si="9"/>
        <v>T2-2025</v>
      </c>
      <c r="R310" s="124" t="s">
        <v>2741</v>
      </c>
      <c r="S310" s="123" t="s">
        <v>2723</v>
      </c>
      <c r="T310" s="123" t="s">
        <v>2707</v>
      </c>
      <c r="U310" s="162" t="s">
        <v>2708</v>
      </c>
      <c r="V310" s="162" t="s">
        <v>54</v>
      </c>
      <c r="W310" s="237" t="s">
        <v>125</v>
      </c>
      <c r="X310" s="173" t="s">
        <v>2709</v>
      </c>
    </row>
    <row r="311" spans="1:24" hidden="1">
      <c r="A311" s="161">
        <v>45760</v>
      </c>
      <c r="B311" s="133" t="s">
        <v>3198</v>
      </c>
      <c r="C311" s="32" t="s">
        <v>2548</v>
      </c>
      <c r="D311" s="136">
        <v>-29.75</v>
      </c>
      <c r="E311" s="181">
        <v>0.89086900000000002</v>
      </c>
      <c r="F311" s="121">
        <f>Tabla5109[[#This Row],[Original Amount]]*Tabla5109[[#This Row],[ER to EUR]]</f>
        <v>-26.503352750000001</v>
      </c>
      <c r="G311" s="9" t="s">
        <v>2884</v>
      </c>
      <c r="H311" s="9" t="s">
        <v>3199</v>
      </c>
      <c r="I311" s="9" t="s">
        <v>3200</v>
      </c>
      <c r="J311" s="9" t="s">
        <v>2723</v>
      </c>
      <c r="K311" s="205" t="s">
        <v>2792</v>
      </c>
      <c r="L311" s="9" t="s">
        <v>2793</v>
      </c>
      <c r="M311" s="32" t="s">
        <v>125</v>
      </c>
      <c r="N311" s="129" t="s">
        <v>2704</v>
      </c>
      <c r="O311" s="122" t="s">
        <v>2704</v>
      </c>
      <c r="P311" s="123" t="str">
        <f t="shared" si="8"/>
        <v>C1-2025</v>
      </c>
      <c r="Q311" s="123" t="str">
        <f t="shared" si="9"/>
        <v>T2-2025</v>
      </c>
      <c r="R311" s="124" t="s">
        <v>2741</v>
      </c>
      <c r="S311" s="123" t="s">
        <v>2723</v>
      </c>
      <c r="T311" s="123" t="s">
        <v>2707</v>
      </c>
      <c r="U311" s="162" t="s">
        <v>2708</v>
      </c>
      <c r="V311" s="162" t="s">
        <v>54</v>
      </c>
      <c r="W311" s="237" t="s">
        <v>125</v>
      </c>
      <c r="X311" s="173" t="s">
        <v>2709</v>
      </c>
    </row>
    <row r="312" spans="1:24" hidden="1">
      <c r="A312" s="161">
        <v>45761</v>
      </c>
      <c r="B312" s="117" t="s">
        <v>3201</v>
      </c>
      <c r="C312" s="129" t="s">
        <v>2697</v>
      </c>
      <c r="D312" s="119">
        <v>-818</v>
      </c>
      <c r="E312" s="120">
        <v>1</v>
      </c>
      <c r="F312" s="121">
        <f>Tabla5109[[#This Row],[Original Amount]]*Tabla5109[[#This Row],[ER to EUR]]</f>
        <v>-818</v>
      </c>
      <c r="G312" s="9" t="s">
        <v>2884</v>
      </c>
      <c r="H312" s="73" t="s">
        <v>2885</v>
      </c>
      <c r="I312" s="9" t="s">
        <v>2779</v>
      </c>
      <c r="J312" s="9" t="s">
        <v>2723</v>
      </c>
      <c r="K312" s="205" t="s">
        <v>2792</v>
      </c>
      <c r="L312" s="9" t="s">
        <v>2793</v>
      </c>
      <c r="M312" s="32" t="s">
        <v>125</v>
      </c>
      <c r="N312" s="129" t="s">
        <v>2704</v>
      </c>
      <c r="O312" s="122" t="s">
        <v>2704</v>
      </c>
      <c r="P312" s="123" t="str">
        <f t="shared" si="8"/>
        <v>C1-2025</v>
      </c>
      <c r="Q312" s="123" t="str">
        <f t="shared" si="9"/>
        <v>T2-2025</v>
      </c>
      <c r="R312" s="124" t="s">
        <v>2741</v>
      </c>
      <c r="S312" s="123" t="s">
        <v>2723</v>
      </c>
      <c r="T312" s="123" t="s">
        <v>2707</v>
      </c>
      <c r="U312" s="162" t="s">
        <v>2708</v>
      </c>
      <c r="V312" s="162" t="s">
        <v>54</v>
      </c>
      <c r="W312" s="237" t="s">
        <v>125</v>
      </c>
      <c r="X312" s="173" t="s">
        <v>2709</v>
      </c>
    </row>
    <row r="313" spans="1:24" hidden="1">
      <c r="A313" s="161">
        <v>45761</v>
      </c>
      <c r="B313" s="125">
        <v>1001585765213</v>
      </c>
      <c r="C313" s="129" t="s">
        <v>2697</v>
      </c>
      <c r="D313" s="119">
        <v>-29.75</v>
      </c>
      <c r="E313" s="120">
        <v>1</v>
      </c>
      <c r="F313" s="121">
        <f>Tabla5109[[#This Row],[Original Amount]]*Tabla5109[[#This Row],[ER to EUR]]</f>
        <v>-29.75</v>
      </c>
      <c r="G313" s="9" t="s">
        <v>2806</v>
      </c>
      <c r="H313" s="73" t="s">
        <v>2807</v>
      </c>
      <c r="I313" s="9" t="s">
        <v>2784</v>
      </c>
      <c r="J313" s="9" t="s">
        <v>2701</v>
      </c>
      <c r="K313" s="205" t="s">
        <v>2702</v>
      </c>
      <c r="L313" s="9" t="s">
        <v>2703</v>
      </c>
      <c r="M313" s="32" t="s">
        <v>125</v>
      </c>
      <c r="N313" s="129" t="s">
        <v>2704</v>
      </c>
      <c r="O313" s="122" t="s">
        <v>2704</v>
      </c>
      <c r="P313" s="123" t="str">
        <f t="shared" si="8"/>
        <v>C1-2025</v>
      </c>
      <c r="Q313" s="123" t="str">
        <f t="shared" si="9"/>
        <v>T2-2025</v>
      </c>
      <c r="R313" s="124" t="s">
        <v>2705</v>
      </c>
      <c r="S313" s="123" t="s">
        <v>2735</v>
      </c>
      <c r="T313" s="9" t="s">
        <v>2724</v>
      </c>
      <c r="U313" s="162" t="s">
        <v>2708</v>
      </c>
      <c r="V313" s="162" t="s">
        <v>56</v>
      </c>
      <c r="W313" s="237" t="s">
        <v>125</v>
      </c>
      <c r="X313" s="173" t="s">
        <v>2709</v>
      </c>
    </row>
    <row r="314" spans="1:24" hidden="1">
      <c r="A314" s="161">
        <v>45761</v>
      </c>
      <c r="B314" s="133" t="s">
        <v>3202</v>
      </c>
      <c r="C314" s="32" t="s">
        <v>2548</v>
      </c>
      <c r="D314" s="136">
        <v>-29.75</v>
      </c>
      <c r="E314" s="181">
        <v>0.89086900000000002</v>
      </c>
      <c r="F314" s="121">
        <f>Tabla5109[[#This Row],[Original Amount]]*Tabla5109[[#This Row],[ER to EUR]]</f>
        <v>-26.503352750000001</v>
      </c>
      <c r="G314" s="9" t="s">
        <v>2884</v>
      </c>
      <c r="H314" s="9" t="s">
        <v>3199</v>
      </c>
      <c r="I314" s="9" t="s">
        <v>3200</v>
      </c>
      <c r="J314" s="9" t="s">
        <v>2723</v>
      </c>
      <c r="K314" s="4" t="s">
        <v>2792</v>
      </c>
      <c r="L314" t="s">
        <v>2793</v>
      </c>
      <c r="M314" s="32" t="s">
        <v>125</v>
      </c>
      <c r="N314" s="129" t="s">
        <v>2704</v>
      </c>
      <c r="O314" s="122" t="s">
        <v>2704</v>
      </c>
      <c r="P314" s="123" t="str">
        <f t="shared" si="8"/>
        <v>C1-2025</v>
      </c>
      <c r="Q314" s="123" t="str">
        <f t="shared" si="9"/>
        <v>T2-2025</v>
      </c>
      <c r="R314" s="124" t="s">
        <v>2741</v>
      </c>
      <c r="S314" s="123" t="s">
        <v>2723</v>
      </c>
      <c r="T314" s="123" t="s">
        <v>2707</v>
      </c>
      <c r="U314" s="162" t="s">
        <v>2708</v>
      </c>
      <c r="V314" s="162" t="s">
        <v>54</v>
      </c>
      <c r="W314" s="237" t="s">
        <v>125</v>
      </c>
      <c r="X314" s="173" t="s">
        <v>2709</v>
      </c>
    </row>
    <row r="315" spans="1:24" hidden="1">
      <c r="A315" s="161">
        <v>45762</v>
      </c>
      <c r="B315" s="133" t="s">
        <v>3203</v>
      </c>
      <c r="C315" s="32" t="s">
        <v>2697</v>
      </c>
      <c r="D315" s="119">
        <v>-38.979999999999997</v>
      </c>
      <c r="E315" s="120">
        <v>1</v>
      </c>
      <c r="F315" s="121">
        <f>Tabla5109[[#This Row],[Original Amount]]*Tabla5109[[#This Row],[ER to EUR]]</f>
        <v>-38.979999999999997</v>
      </c>
      <c r="G315" s="9" t="s">
        <v>2830</v>
      </c>
      <c r="H315" s="9" t="s">
        <v>3204</v>
      </c>
      <c r="I315" s="9" t="s">
        <v>2739</v>
      </c>
      <c r="J315" s="9" t="s">
        <v>2817</v>
      </c>
      <c r="K315" s="205" t="s">
        <v>2702</v>
      </c>
      <c r="L315" s="9" t="s">
        <v>2818</v>
      </c>
      <c r="M315" s="32" t="s">
        <v>125</v>
      </c>
      <c r="N315" s="122" t="s">
        <v>2704</v>
      </c>
      <c r="O315" s="129" t="s">
        <v>2704</v>
      </c>
      <c r="P315" s="123" t="str">
        <f t="shared" si="8"/>
        <v>C1-2025</v>
      </c>
      <c r="Q315" s="123" t="str">
        <f t="shared" si="9"/>
        <v>T2-2025</v>
      </c>
      <c r="R315" s="124" t="s">
        <v>2722</v>
      </c>
      <c r="S315" s="123" t="s">
        <v>2723</v>
      </c>
      <c r="T315" s="123" t="s">
        <v>2724</v>
      </c>
      <c r="U315" s="162" t="s">
        <v>2708</v>
      </c>
      <c r="V315" s="162" t="s">
        <v>54</v>
      </c>
      <c r="W315" s="237" t="s">
        <v>125</v>
      </c>
      <c r="X315" s="173" t="s">
        <v>2709</v>
      </c>
    </row>
    <row r="316" spans="1:24" hidden="1">
      <c r="A316" s="161">
        <v>45762</v>
      </c>
      <c r="B316" s="133" t="s">
        <v>3205</v>
      </c>
      <c r="C316" s="32" t="s">
        <v>2548</v>
      </c>
      <c r="D316" s="136">
        <v>-29.75</v>
      </c>
      <c r="E316" s="181">
        <v>0.89086900000000002</v>
      </c>
      <c r="F316" s="121">
        <f>Tabla5109[[#This Row],[Original Amount]]*Tabla5109[[#This Row],[ER to EUR]]</f>
        <v>-26.503352750000001</v>
      </c>
      <c r="G316" s="9" t="s">
        <v>2884</v>
      </c>
      <c r="H316" s="9" t="s">
        <v>3199</v>
      </c>
      <c r="I316" s="9" t="s">
        <v>3200</v>
      </c>
      <c r="J316" s="9" t="s">
        <v>2723</v>
      </c>
      <c r="K316" s="205" t="s">
        <v>2792</v>
      </c>
      <c r="L316" s="9" t="s">
        <v>2793</v>
      </c>
      <c r="M316" s="32" t="s">
        <v>125</v>
      </c>
      <c r="N316" s="129" t="s">
        <v>2704</v>
      </c>
      <c r="O316" s="122" t="s">
        <v>2704</v>
      </c>
      <c r="P316" s="123" t="str">
        <f t="shared" si="8"/>
        <v>C1-2025</v>
      </c>
      <c r="Q316" s="123" t="str">
        <f t="shared" si="9"/>
        <v>T2-2025</v>
      </c>
      <c r="R316" s="124" t="s">
        <v>2741</v>
      </c>
      <c r="S316" s="123" t="s">
        <v>2723</v>
      </c>
      <c r="T316" s="123" t="s">
        <v>2707</v>
      </c>
      <c r="U316" s="162" t="s">
        <v>2708</v>
      </c>
      <c r="V316" s="162" t="s">
        <v>54</v>
      </c>
      <c r="W316" s="237" t="s">
        <v>125</v>
      </c>
      <c r="X316" s="173" t="s">
        <v>2709</v>
      </c>
    </row>
    <row r="317" spans="1:24" hidden="1">
      <c r="A317" s="161">
        <v>45763</v>
      </c>
      <c r="B317" s="117" t="s">
        <v>3206</v>
      </c>
      <c r="C317" s="129" t="s">
        <v>2697</v>
      </c>
      <c r="D317" s="119">
        <v>-1200</v>
      </c>
      <c r="E317" s="120">
        <v>1</v>
      </c>
      <c r="F317" s="121">
        <f>Tabla5109[[#This Row],[Original Amount]]*Tabla5109[[#This Row],[ER to EUR]]</f>
        <v>-1200</v>
      </c>
      <c r="G317" s="9" t="s">
        <v>2725</v>
      </c>
      <c r="H317" s="73" t="s">
        <v>3207</v>
      </c>
      <c r="I317" s="9" t="s">
        <v>2727</v>
      </c>
      <c r="J317" s="9" t="s">
        <v>2701</v>
      </c>
      <c r="K317" s="205" t="s">
        <v>2728</v>
      </c>
      <c r="L317" s="9" t="s">
        <v>2729</v>
      </c>
      <c r="M317" s="32" t="s">
        <v>125</v>
      </c>
      <c r="N317" s="129" t="s">
        <v>2704</v>
      </c>
      <c r="O317" s="122" t="s">
        <v>2704</v>
      </c>
      <c r="P317" s="123" t="str">
        <f t="shared" si="8"/>
        <v>C1-2025</v>
      </c>
      <c r="Q317" s="123" t="str">
        <f t="shared" si="9"/>
        <v>T2-2025</v>
      </c>
      <c r="R317" s="124" t="s">
        <v>2730</v>
      </c>
      <c r="S317" s="123" t="s">
        <v>2731</v>
      </c>
      <c r="T317" s="123" t="s">
        <v>2707</v>
      </c>
      <c r="U317" s="162" t="s">
        <v>51</v>
      </c>
      <c r="V317" s="162" t="s">
        <v>57</v>
      </c>
      <c r="W317" s="237" t="s">
        <v>125</v>
      </c>
      <c r="X317" s="173" t="s">
        <v>2709</v>
      </c>
    </row>
    <row r="318" spans="1:24" hidden="1">
      <c r="A318" s="161">
        <v>45763</v>
      </c>
      <c r="B318" s="117" t="s">
        <v>3208</v>
      </c>
      <c r="C318" s="129" t="s">
        <v>2697</v>
      </c>
      <c r="D318" s="119">
        <v>-239.68</v>
      </c>
      <c r="E318" s="120">
        <v>1</v>
      </c>
      <c r="F318" s="121">
        <f>Tabla5109[[#This Row],[Original Amount]]*Tabla5109[[#This Row],[ER to EUR]]</f>
        <v>-239.68</v>
      </c>
      <c r="G318" s="9" t="s">
        <v>2815</v>
      </c>
      <c r="H318" s="9" t="s">
        <v>3103</v>
      </c>
      <c r="I318" s="9" t="s">
        <v>2727</v>
      </c>
      <c r="J318" s="9" t="s">
        <v>2817</v>
      </c>
      <c r="K318" s="205" t="s">
        <v>2702</v>
      </c>
      <c r="L318" s="9" t="s">
        <v>2818</v>
      </c>
      <c r="M318" s="32" t="s">
        <v>125</v>
      </c>
      <c r="N318" s="129" t="s">
        <v>2704</v>
      </c>
      <c r="O318" s="122" t="s">
        <v>2704</v>
      </c>
      <c r="P318" s="123" t="str">
        <f t="shared" si="8"/>
        <v>C1-2025</v>
      </c>
      <c r="Q318" s="123" t="str">
        <f t="shared" si="9"/>
        <v>T2-2025</v>
      </c>
      <c r="R318" s="124" t="s">
        <v>2819</v>
      </c>
      <c r="S318" s="123" t="s">
        <v>2723</v>
      </c>
      <c r="T318" s="123" t="s">
        <v>2724</v>
      </c>
      <c r="U318" s="162" t="s">
        <v>2708</v>
      </c>
      <c r="V318" s="162" t="s">
        <v>54</v>
      </c>
      <c r="W318" s="237" t="s">
        <v>125</v>
      </c>
      <c r="X318" s="173" t="s">
        <v>2709</v>
      </c>
    </row>
    <row r="319" spans="1:24" hidden="1">
      <c r="A319" s="161">
        <v>45763</v>
      </c>
      <c r="B319" s="128" t="s">
        <v>3209</v>
      </c>
      <c r="C319" s="129" t="s">
        <v>2697</v>
      </c>
      <c r="D319" s="119">
        <v>-118.99</v>
      </c>
      <c r="E319" s="120">
        <v>1</v>
      </c>
      <c r="F319" s="121">
        <f>Tabla5109[[#This Row],[Original Amount]]*Tabla5109[[#This Row],[ER to EUR]]</f>
        <v>-118.99</v>
      </c>
      <c r="G319" s="9" t="s">
        <v>2812</v>
      </c>
      <c r="H319" s="73" t="s">
        <v>2813</v>
      </c>
      <c r="I319" s="9" t="s">
        <v>2727</v>
      </c>
      <c r="J319" s="9" t="s">
        <v>2714</v>
      </c>
      <c r="K319" s="205" t="s">
        <v>2814</v>
      </c>
      <c r="L319" s="9" t="s">
        <v>2799</v>
      </c>
      <c r="M319" s="32" t="s">
        <v>125</v>
      </c>
      <c r="N319" s="129" t="s">
        <v>2704</v>
      </c>
      <c r="O319" s="122" t="s">
        <v>2704</v>
      </c>
      <c r="P319" s="123" t="str">
        <f t="shared" si="8"/>
        <v>C1-2025</v>
      </c>
      <c r="Q319" s="123" t="str">
        <f t="shared" si="9"/>
        <v>T2-2025</v>
      </c>
      <c r="R319" s="124" t="s">
        <v>2705</v>
      </c>
      <c r="S319" s="124" t="s">
        <v>2706</v>
      </c>
      <c r="T319" s="123" t="s">
        <v>2724</v>
      </c>
      <c r="U319" s="162" t="s">
        <v>2708</v>
      </c>
      <c r="V319" s="162" t="s">
        <v>56</v>
      </c>
      <c r="W319" s="237" t="s">
        <v>125</v>
      </c>
      <c r="X319" s="173" t="s">
        <v>2709</v>
      </c>
    </row>
    <row r="320" spans="1:24" hidden="1">
      <c r="A320" s="161">
        <v>45764</v>
      </c>
      <c r="B320" s="117" t="s">
        <v>3210</v>
      </c>
      <c r="C320" s="129" t="s">
        <v>2697</v>
      </c>
      <c r="D320" s="119">
        <v>-818</v>
      </c>
      <c r="E320" s="120">
        <v>1</v>
      </c>
      <c r="F320" s="121">
        <f>Tabla5109[[#This Row],[Original Amount]]*Tabla5109[[#This Row],[ER to EUR]]</f>
        <v>-818</v>
      </c>
      <c r="G320" s="9" t="s">
        <v>2884</v>
      </c>
      <c r="H320" s="73" t="s">
        <v>2885</v>
      </c>
      <c r="I320" s="9" t="s">
        <v>3094</v>
      </c>
      <c r="J320" s="37" t="s">
        <v>2723</v>
      </c>
      <c r="K320" s="217" t="s">
        <v>2792</v>
      </c>
      <c r="L320" s="37" t="s">
        <v>2793</v>
      </c>
      <c r="M320" s="32" t="s">
        <v>125</v>
      </c>
      <c r="N320" s="156" t="s">
        <v>2704</v>
      </c>
      <c r="O320" s="158" t="s">
        <v>2704</v>
      </c>
      <c r="P320" s="123" t="str">
        <f t="shared" si="8"/>
        <v>C1-2025</v>
      </c>
      <c r="Q320" s="123" t="str">
        <f t="shared" si="9"/>
        <v>T2-2025</v>
      </c>
      <c r="R320" s="124" t="s">
        <v>2741</v>
      </c>
      <c r="S320" s="123" t="s">
        <v>2723</v>
      </c>
      <c r="T320" s="123" t="s">
        <v>2707</v>
      </c>
      <c r="U320" s="162" t="s">
        <v>2708</v>
      </c>
      <c r="V320" s="162" t="s">
        <v>54</v>
      </c>
      <c r="W320" s="237" t="s">
        <v>125</v>
      </c>
      <c r="X320" s="173" t="s">
        <v>2709</v>
      </c>
    </row>
    <row r="321" spans="1:24" hidden="1">
      <c r="A321" s="161">
        <v>45764</v>
      </c>
      <c r="B321" s="133" t="s">
        <v>3211</v>
      </c>
      <c r="C321" s="32" t="s">
        <v>2697</v>
      </c>
      <c r="D321" s="119">
        <v>-54</v>
      </c>
      <c r="E321" s="120">
        <v>1</v>
      </c>
      <c r="F321" s="121">
        <f>Tabla5109[[#This Row],[Original Amount]]*Tabla5109[[#This Row],[ER to EUR]]</f>
        <v>-54</v>
      </c>
      <c r="G321" s="9" t="s">
        <v>2833</v>
      </c>
      <c r="H321" s="9" t="s">
        <v>2834</v>
      </c>
      <c r="I321" s="9" t="s">
        <v>2713</v>
      </c>
      <c r="J321" s="37" t="s">
        <v>2701</v>
      </c>
      <c r="K321" s="217" t="s">
        <v>2771</v>
      </c>
      <c r="L321" s="212" t="s">
        <v>2818</v>
      </c>
      <c r="M321" s="32" t="s">
        <v>125</v>
      </c>
      <c r="N321" s="158" t="s">
        <v>2704</v>
      </c>
      <c r="O321" s="156" t="s">
        <v>2704</v>
      </c>
      <c r="P321" s="123" t="str">
        <f t="shared" si="8"/>
        <v>C1-2025</v>
      </c>
      <c r="Q321" s="123" t="str">
        <f t="shared" si="9"/>
        <v>T2-2025</v>
      </c>
      <c r="R321" s="91" t="s">
        <v>2819</v>
      </c>
      <c r="S321" s="123" t="s">
        <v>2817</v>
      </c>
      <c r="T321" s="123" t="s">
        <v>2724</v>
      </c>
      <c r="U321" s="162" t="s">
        <v>2708</v>
      </c>
      <c r="V321" s="162" t="s">
        <v>54</v>
      </c>
      <c r="W321" s="237" t="s">
        <v>125</v>
      </c>
      <c r="X321" s="173" t="s">
        <v>2709</v>
      </c>
    </row>
    <row r="322" spans="1:24" hidden="1">
      <c r="A322" s="161">
        <v>45765</v>
      </c>
      <c r="B322" s="132">
        <v>1898898</v>
      </c>
      <c r="C322" s="118" t="s">
        <v>2697</v>
      </c>
      <c r="D322" s="119">
        <v>-187.25</v>
      </c>
      <c r="E322" s="120">
        <v>1</v>
      </c>
      <c r="F322" s="121">
        <f>Tabla5109[[#This Row],[Original Amount]]*Tabla5109[[#This Row],[ER to EUR]]</f>
        <v>-187.25</v>
      </c>
      <c r="G322" s="9" t="s">
        <v>2815</v>
      </c>
      <c r="H322" s="73" t="s">
        <v>2816</v>
      </c>
      <c r="I322" s="9" t="s">
        <v>2727</v>
      </c>
      <c r="J322" s="9" t="s">
        <v>2817</v>
      </c>
      <c r="K322" s="205" t="s">
        <v>2702</v>
      </c>
      <c r="L322" s="9" t="s">
        <v>2818</v>
      </c>
      <c r="M322" s="32" t="s">
        <v>125</v>
      </c>
      <c r="N322" s="129" t="s">
        <v>2704</v>
      </c>
      <c r="O322" s="122" t="s">
        <v>2704</v>
      </c>
      <c r="P322" s="123" t="str">
        <f t="shared" ref="P322:P385" si="10">"C"&amp;INT((MONTH(A322)-1)/4)+1&amp;"-"&amp;YEAR(A322)</f>
        <v>C1-2025</v>
      </c>
      <c r="Q322" s="123" t="str">
        <f t="shared" ref="Q322:Q385" si="11">"T"&amp;INT((MONTH(A322)-1)/3)+1&amp;"-"&amp;YEAR(A322)</f>
        <v>T2-2025</v>
      </c>
      <c r="R322" s="124" t="s">
        <v>2819</v>
      </c>
      <c r="S322" s="123" t="s">
        <v>2723</v>
      </c>
      <c r="T322" s="123" t="s">
        <v>2724</v>
      </c>
      <c r="U322" s="162" t="s">
        <v>2708</v>
      </c>
      <c r="V322" s="162" t="s">
        <v>54</v>
      </c>
      <c r="W322" s="237" t="s">
        <v>125</v>
      </c>
      <c r="X322" s="173" t="s">
        <v>2709</v>
      </c>
    </row>
    <row r="323" spans="1:24" hidden="1">
      <c r="A323" s="161">
        <v>45766</v>
      </c>
      <c r="B323" s="117" t="s">
        <v>3212</v>
      </c>
      <c r="C323" s="129" t="s">
        <v>2697</v>
      </c>
      <c r="D323" s="119">
        <v>-818</v>
      </c>
      <c r="E323" s="120">
        <v>1</v>
      </c>
      <c r="F323" s="121">
        <f>Tabla5109[[#This Row],[Original Amount]]*Tabla5109[[#This Row],[ER to EUR]]</f>
        <v>-818</v>
      </c>
      <c r="G323" s="9" t="s">
        <v>2884</v>
      </c>
      <c r="H323" s="73" t="s">
        <v>2885</v>
      </c>
      <c r="I323" s="9" t="s">
        <v>3094</v>
      </c>
      <c r="J323" s="9" t="s">
        <v>2723</v>
      </c>
      <c r="K323" s="205" t="s">
        <v>2792</v>
      </c>
      <c r="L323" s="9" t="s">
        <v>2793</v>
      </c>
      <c r="M323" s="32" t="s">
        <v>125</v>
      </c>
      <c r="N323" s="129" t="s">
        <v>2704</v>
      </c>
      <c r="O323" s="122" t="s">
        <v>2704</v>
      </c>
      <c r="P323" s="123" t="str">
        <f t="shared" si="10"/>
        <v>C1-2025</v>
      </c>
      <c r="Q323" s="123" t="str">
        <f t="shared" si="11"/>
        <v>T2-2025</v>
      </c>
      <c r="R323" s="124" t="s">
        <v>2741</v>
      </c>
      <c r="S323" s="123" t="s">
        <v>2723</v>
      </c>
      <c r="T323" s="123" t="s">
        <v>2707</v>
      </c>
      <c r="U323" s="162" t="s">
        <v>2708</v>
      </c>
      <c r="V323" s="162" t="s">
        <v>54</v>
      </c>
      <c r="W323" s="237" t="s">
        <v>125</v>
      </c>
      <c r="X323" s="173" t="s">
        <v>2709</v>
      </c>
    </row>
    <row r="324" spans="1:24" hidden="1">
      <c r="A324" s="161">
        <v>45767</v>
      </c>
      <c r="B324" s="128" t="s">
        <v>3213</v>
      </c>
      <c r="C324" s="129" t="s">
        <v>2697</v>
      </c>
      <c r="D324" s="119">
        <v>-61.49</v>
      </c>
      <c r="E324" s="120">
        <v>1</v>
      </c>
      <c r="F324" s="121">
        <f>Tabla5109[[#This Row],[Original Amount]]*Tabla5109[[#This Row],[ER to EUR]]</f>
        <v>-61.49</v>
      </c>
      <c r="G324" s="9" t="s">
        <v>2956</v>
      </c>
      <c r="H324" s="73" t="s">
        <v>3214</v>
      </c>
      <c r="I324" s="9" t="s">
        <v>2739</v>
      </c>
      <c r="J324" s="9" t="s">
        <v>2701</v>
      </c>
      <c r="K324" s="205" t="s">
        <v>2702</v>
      </c>
      <c r="L324" s="9" t="s">
        <v>2740</v>
      </c>
      <c r="M324" s="32" t="s">
        <v>125</v>
      </c>
      <c r="N324" s="129" t="s">
        <v>2704</v>
      </c>
      <c r="O324" s="122" t="s">
        <v>2704</v>
      </c>
      <c r="P324" s="123" t="str">
        <f t="shared" si="10"/>
        <v>C1-2025</v>
      </c>
      <c r="Q324" s="123" t="str">
        <f t="shared" si="11"/>
        <v>T2-2025</v>
      </c>
      <c r="R324" s="124" t="s">
        <v>2705</v>
      </c>
      <c r="S324" s="124" t="s">
        <v>2706</v>
      </c>
      <c r="T324" s="123" t="s">
        <v>2724</v>
      </c>
      <c r="U324" s="162" t="s">
        <v>2708</v>
      </c>
      <c r="V324" s="162" t="s">
        <v>54</v>
      </c>
      <c r="W324" s="237" t="s">
        <v>125</v>
      </c>
      <c r="X324" s="173" t="s">
        <v>2709</v>
      </c>
    </row>
    <row r="325" spans="1:24" hidden="1">
      <c r="A325" s="161">
        <v>45768</v>
      </c>
      <c r="B325" s="133" t="s">
        <v>3215</v>
      </c>
      <c r="C325" s="129" t="s">
        <v>2697</v>
      </c>
      <c r="D325" s="119">
        <v>-23</v>
      </c>
      <c r="E325" s="120">
        <v>1</v>
      </c>
      <c r="F325" s="121">
        <f>Tabla5109[[#This Row],[Original Amount]]*Tabla5109[[#This Row],[ER to EUR]]</f>
        <v>-23</v>
      </c>
      <c r="G325" s="9" t="s">
        <v>2996</v>
      </c>
      <c r="H325" s="73" t="s">
        <v>2997</v>
      </c>
      <c r="I325" s="9" t="s">
        <v>2727</v>
      </c>
      <c r="J325" s="9" t="s">
        <v>2701</v>
      </c>
      <c r="K325" s="205" t="s">
        <v>2702</v>
      </c>
      <c r="L325" s="9" t="s">
        <v>2703</v>
      </c>
      <c r="M325" s="32" t="s">
        <v>125</v>
      </c>
      <c r="N325" s="129" t="s">
        <v>2704</v>
      </c>
      <c r="O325" s="122" t="s">
        <v>2704</v>
      </c>
      <c r="P325" s="123" t="str">
        <f t="shared" si="10"/>
        <v>C1-2025</v>
      </c>
      <c r="Q325" s="123" t="str">
        <f t="shared" si="11"/>
        <v>T2-2025</v>
      </c>
      <c r="R325" s="124" t="s">
        <v>2705</v>
      </c>
      <c r="S325" s="123" t="s">
        <v>2735</v>
      </c>
      <c r="T325" s="123" t="s">
        <v>2724</v>
      </c>
      <c r="U325" s="162" t="s">
        <v>2708</v>
      </c>
      <c r="V325" s="162" t="s">
        <v>56</v>
      </c>
      <c r="W325" s="237" t="s">
        <v>125</v>
      </c>
      <c r="X325" s="173" t="s">
        <v>2709</v>
      </c>
    </row>
    <row r="326" spans="1:24" hidden="1">
      <c r="A326" s="161">
        <v>45768</v>
      </c>
      <c r="B326" s="117" t="s">
        <v>3216</v>
      </c>
      <c r="C326" s="129" t="s">
        <v>2697</v>
      </c>
      <c r="D326" s="119">
        <v>-818</v>
      </c>
      <c r="E326" s="120">
        <v>1</v>
      </c>
      <c r="F326" s="121">
        <f>Tabla5109[[#This Row],[Original Amount]]*Tabla5109[[#This Row],[ER to EUR]]</f>
        <v>-818</v>
      </c>
      <c r="G326" s="9" t="s">
        <v>2884</v>
      </c>
      <c r="H326" s="73" t="s">
        <v>2885</v>
      </c>
      <c r="I326" s="9" t="s">
        <v>3094</v>
      </c>
      <c r="J326" s="9" t="s">
        <v>2723</v>
      </c>
      <c r="K326" s="205" t="s">
        <v>2792</v>
      </c>
      <c r="L326" s="9" t="s">
        <v>2793</v>
      </c>
      <c r="M326" s="32" t="s">
        <v>125</v>
      </c>
      <c r="N326" s="129" t="s">
        <v>2704</v>
      </c>
      <c r="O326" s="122" t="s">
        <v>2704</v>
      </c>
      <c r="P326" s="123" t="str">
        <f t="shared" si="10"/>
        <v>C1-2025</v>
      </c>
      <c r="Q326" s="123" t="str">
        <f t="shared" si="11"/>
        <v>T2-2025</v>
      </c>
      <c r="R326" s="124" t="s">
        <v>2741</v>
      </c>
      <c r="S326" s="123" t="s">
        <v>2723</v>
      </c>
      <c r="T326" s="123" t="s">
        <v>2707</v>
      </c>
      <c r="U326" s="162" t="s">
        <v>2708</v>
      </c>
      <c r="V326" s="162" t="s">
        <v>54</v>
      </c>
      <c r="W326" s="237" t="s">
        <v>125</v>
      </c>
      <c r="X326" s="173" t="s">
        <v>2709</v>
      </c>
    </row>
    <row r="327" spans="1:24" hidden="1">
      <c r="A327" s="161">
        <v>45768</v>
      </c>
      <c r="B327" s="128" t="s">
        <v>3217</v>
      </c>
      <c r="C327" s="129" t="s">
        <v>2697</v>
      </c>
      <c r="D327" s="119">
        <v>-29</v>
      </c>
      <c r="E327" s="120">
        <v>1</v>
      </c>
      <c r="F327" s="121">
        <f>Tabla5109[[#This Row],[Original Amount]]*Tabla5109[[#This Row],[ER to EUR]]</f>
        <v>-29</v>
      </c>
      <c r="G327" s="9" t="s">
        <v>3133</v>
      </c>
      <c r="H327" s="9" t="s">
        <v>3134</v>
      </c>
      <c r="I327" s="9" t="s">
        <v>2713</v>
      </c>
      <c r="J327" s="9" t="s">
        <v>2723</v>
      </c>
      <c r="K327" s="205" t="s">
        <v>2771</v>
      </c>
      <c r="L327" s="9" t="s">
        <v>2793</v>
      </c>
      <c r="M327" s="32" t="s">
        <v>125</v>
      </c>
      <c r="N327" s="129" t="s">
        <v>2704</v>
      </c>
      <c r="O327" s="122" t="s">
        <v>2704</v>
      </c>
      <c r="P327" s="123" t="str">
        <f t="shared" si="10"/>
        <v>C1-2025</v>
      </c>
      <c r="Q327" s="123" t="str">
        <f t="shared" si="11"/>
        <v>T2-2025</v>
      </c>
      <c r="R327" s="124" t="s">
        <v>2819</v>
      </c>
      <c r="S327" s="123" t="s">
        <v>2723</v>
      </c>
      <c r="T327" s="123" t="s">
        <v>2724</v>
      </c>
      <c r="U327" s="162" t="s">
        <v>2708</v>
      </c>
      <c r="V327" s="162" t="s">
        <v>54</v>
      </c>
      <c r="W327" s="237" t="s">
        <v>125</v>
      </c>
      <c r="X327" s="173" t="s">
        <v>2709</v>
      </c>
    </row>
    <row r="328" spans="1:24" hidden="1">
      <c r="A328" s="161">
        <v>45769</v>
      </c>
      <c r="B328" s="130" t="s">
        <v>3218</v>
      </c>
      <c r="C328" s="122" t="s">
        <v>2548</v>
      </c>
      <c r="D328" s="136">
        <v>-120</v>
      </c>
      <c r="E328" s="120">
        <v>0.89090000000000003</v>
      </c>
      <c r="F328" s="121">
        <f>Tabla5109[[#This Row],[Original Amount]]*Tabla5109[[#This Row],[ER to EUR]]</f>
        <v>-106.908</v>
      </c>
      <c r="G328" s="9" t="s">
        <v>2786</v>
      </c>
      <c r="H328" s="73" t="s">
        <v>2928</v>
      </c>
      <c r="I328" s="9" t="s">
        <v>2713</v>
      </c>
      <c r="J328" s="9" t="s">
        <v>2701</v>
      </c>
      <c r="K328" s="205" t="s">
        <v>2702</v>
      </c>
      <c r="L328" s="9" t="s">
        <v>2788</v>
      </c>
      <c r="M328" s="32" t="s">
        <v>125</v>
      </c>
      <c r="N328" s="129" t="s">
        <v>2704</v>
      </c>
      <c r="O328" s="122" t="s">
        <v>2704</v>
      </c>
      <c r="P328" s="123" t="str">
        <f t="shared" si="10"/>
        <v>C1-2025</v>
      </c>
      <c r="Q328" s="123" t="str">
        <f t="shared" si="11"/>
        <v>T2-2025</v>
      </c>
      <c r="R328" s="124" t="s">
        <v>2705</v>
      </c>
      <c r="S328" s="124" t="s">
        <v>2706</v>
      </c>
      <c r="T328" s="123" t="s">
        <v>2724</v>
      </c>
      <c r="U328" s="162" t="s">
        <v>2708</v>
      </c>
      <c r="V328" s="162" t="s">
        <v>56</v>
      </c>
      <c r="W328" s="237" t="s">
        <v>125</v>
      </c>
      <c r="X328" s="173" t="s">
        <v>2709</v>
      </c>
    </row>
    <row r="329" spans="1:24" hidden="1">
      <c r="A329" s="161">
        <v>45769</v>
      </c>
      <c r="B329" s="128" t="s">
        <v>3219</v>
      </c>
      <c r="C329" s="129" t="s">
        <v>2697</v>
      </c>
      <c r="D329" s="119">
        <v>-9.26</v>
      </c>
      <c r="E329" s="120">
        <v>1</v>
      </c>
      <c r="F329" s="121">
        <f>Tabla5109[[#This Row],[Original Amount]]*Tabla5109[[#This Row],[ER to EUR]]</f>
        <v>-9.26</v>
      </c>
      <c r="G329" s="9" t="s">
        <v>2839</v>
      </c>
      <c r="H329" s="73" t="s">
        <v>2840</v>
      </c>
      <c r="I329" s="9" t="s">
        <v>2784</v>
      </c>
      <c r="J329" s="9" t="s">
        <v>2701</v>
      </c>
      <c r="K329" s="205" t="s">
        <v>2702</v>
      </c>
      <c r="L329" s="9" t="s">
        <v>2703</v>
      </c>
      <c r="M329" s="32" t="s">
        <v>125</v>
      </c>
      <c r="N329" s="129" t="s">
        <v>2704</v>
      </c>
      <c r="O329" s="122" t="s">
        <v>2704</v>
      </c>
      <c r="P329" s="123" t="str">
        <f t="shared" si="10"/>
        <v>C1-2025</v>
      </c>
      <c r="Q329" s="123" t="str">
        <f t="shared" si="11"/>
        <v>T2-2025</v>
      </c>
      <c r="R329" s="124" t="s">
        <v>2705</v>
      </c>
      <c r="S329" s="124" t="s">
        <v>2706</v>
      </c>
      <c r="T329" s="123" t="s">
        <v>2707</v>
      </c>
      <c r="U329" s="162" t="s">
        <v>2708</v>
      </c>
      <c r="V329" s="162" t="s">
        <v>56</v>
      </c>
      <c r="W329" s="237" t="s">
        <v>125</v>
      </c>
      <c r="X329" s="173" t="s">
        <v>2709</v>
      </c>
    </row>
    <row r="330" spans="1:24" hidden="1">
      <c r="A330" s="161">
        <v>45770</v>
      </c>
      <c r="B330" s="142">
        <v>15121</v>
      </c>
      <c r="C330" s="129" t="s">
        <v>2697</v>
      </c>
      <c r="D330" s="119">
        <v>-600</v>
      </c>
      <c r="E330" s="120">
        <v>1</v>
      </c>
      <c r="F330" s="121">
        <f>Tabla5109[[#This Row],[Original Amount]]*Tabla5109[[#This Row],[ER to EUR]]</f>
        <v>-600</v>
      </c>
      <c r="G330" s="9" t="s">
        <v>2725</v>
      </c>
      <c r="H330" s="73" t="s">
        <v>3220</v>
      </c>
      <c r="I330" s="9" t="s">
        <v>2727</v>
      </c>
      <c r="J330" s="9" t="s">
        <v>2701</v>
      </c>
      <c r="K330" s="205" t="s">
        <v>2728</v>
      </c>
      <c r="L330" s="9" t="s">
        <v>2729</v>
      </c>
      <c r="M330" s="32" t="s">
        <v>125</v>
      </c>
      <c r="N330" s="129" t="s">
        <v>2704</v>
      </c>
      <c r="O330" s="122" t="s">
        <v>2704</v>
      </c>
      <c r="P330" s="123" t="str">
        <f t="shared" si="10"/>
        <v>C1-2025</v>
      </c>
      <c r="Q330" s="123" t="str">
        <f t="shared" si="11"/>
        <v>T2-2025</v>
      </c>
      <c r="R330" s="124" t="s">
        <v>2730</v>
      </c>
      <c r="S330" s="123" t="s">
        <v>2731</v>
      </c>
      <c r="T330" s="123" t="s">
        <v>2707</v>
      </c>
      <c r="U330" s="162" t="s">
        <v>51</v>
      </c>
      <c r="V330" s="162" t="s">
        <v>57</v>
      </c>
      <c r="W330" s="237" t="s">
        <v>125</v>
      </c>
      <c r="X330" s="173" t="s">
        <v>2709</v>
      </c>
    </row>
    <row r="331" spans="1:24" hidden="1">
      <c r="A331" s="161">
        <v>45770</v>
      </c>
      <c r="B331" s="125">
        <v>132014633799</v>
      </c>
      <c r="C331" s="129" t="s">
        <v>2697</v>
      </c>
      <c r="D331" s="119">
        <v>-46.01</v>
      </c>
      <c r="E331" s="120">
        <v>1</v>
      </c>
      <c r="F331" s="121">
        <f>Tabla5109[[#This Row],[Original Amount]]*Tabla5109[[#This Row],[ER to EUR]]</f>
        <v>-46.01</v>
      </c>
      <c r="G331" s="9" t="s">
        <v>2768</v>
      </c>
      <c r="H331" s="9" t="s">
        <v>3221</v>
      </c>
      <c r="I331" s="9" t="s">
        <v>2763</v>
      </c>
      <c r="J331" s="9" t="s">
        <v>2770</v>
      </c>
      <c r="K331" s="205" t="s">
        <v>2771</v>
      </c>
      <c r="L331" s="9" t="s">
        <v>2772</v>
      </c>
      <c r="M331" s="32" t="s">
        <v>125</v>
      </c>
      <c r="N331" s="129" t="s">
        <v>2704</v>
      </c>
      <c r="O331" s="122" t="s">
        <v>2704</v>
      </c>
      <c r="P331" s="123" t="str">
        <f t="shared" si="10"/>
        <v>C1-2025</v>
      </c>
      <c r="Q331" s="123" t="str">
        <f t="shared" si="11"/>
        <v>T2-2025</v>
      </c>
      <c r="R331" s="124" t="s">
        <v>2705</v>
      </c>
      <c r="S331" s="123" t="s">
        <v>2735</v>
      </c>
      <c r="T331" s="123" t="s">
        <v>2724</v>
      </c>
      <c r="U331" s="162" t="s">
        <v>2708</v>
      </c>
      <c r="V331" s="162" t="s">
        <v>56</v>
      </c>
      <c r="W331" s="237" t="s">
        <v>125</v>
      </c>
      <c r="X331" s="173" t="s">
        <v>2709</v>
      </c>
    </row>
    <row r="332" spans="1:24" hidden="1">
      <c r="A332" s="161">
        <v>45770</v>
      </c>
      <c r="B332" s="128" t="s">
        <v>3222</v>
      </c>
      <c r="C332" s="129" t="s">
        <v>2697</v>
      </c>
      <c r="D332" s="119">
        <v>-56.83</v>
      </c>
      <c r="E332" s="120">
        <v>1</v>
      </c>
      <c r="F332" s="121">
        <f>Tabla5109[[#This Row],[Original Amount]]*Tabla5109[[#This Row],[ER to EUR]]</f>
        <v>-56.83</v>
      </c>
      <c r="G332" s="9" t="s">
        <v>2851</v>
      </c>
      <c r="H332" s="73" t="s">
        <v>2852</v>
      </c>
      <c r="I332" s="9" t="s">
        <v>2713</v>
      </c>
      <c r="J332" s="9" t="s">
        <v>2701</v>
      </c>
      <c r="K332" s="205" t="s">
        <v>2702</v>
      </c>
      <c r="L332" s="9" t="s">
        <v>2788</v>
      </c>
      <c r="M332" s="32" t="s">
        <v>125</v>
      </c>
      <c r="N332" s="129" t="s">
        <v>2704</v>
      </c>
      <c r="O332" s="122" t="s">
        <v>2704</v>
      </c>
      <c r="P332" s="123" t="str">
        <f t="shared" si="10"/>
        <v>C1-2025</v>
      </c>
      <c r="Q332" s="123" t="str">
        <f t="shared" si="11"/>
        <v>T2-2025</v>
      </c>
      <c r="R332" s="124" t="s">
        <v>2794</v>
      </c>
      <c r="S332" s="123" t="s">
        <v>2731</v>
      </c>
      <c r="T332" s="123" t="s">
        <v>2724</v>
      </c>
      <c r="U332" s="162" t="s">
        <v>2708</v>
      </c>
      <c r="V332" s="162" t="s">
        <v>55</v>
      </c>
      <c r="W332" s="237" t="s">
        <v>125</v>
      </c>
      <c r="X332" s="173" t="s">
        <v>2709</v>
      </c>
    </row>
    <row r="333" spans="1:24" hidden="1">
      <c r="A333" s="161">
        <v>45770</v>
      </c>
      <c r="B333" s="135" t="s">
        <v>3223</v>
      </c>
      <c r="C333" s="129" t="s">
        <v>2697</v>
      </c>
      <c r="D333" s="119">
        <v>-818</v>
      </c>
      <c r="E333" s="120">
        <v>1</v>
      </c>
      <c r="F333" s="121">
        <f>Tabla5109[[#This Row],[Original Amount]]*Tabla5109[[#This Row],[ER to EUR]]</f>
        <v>-818</v>
      </c>
      <c r="G333" s="9" t="s">
        <v>2884</v>
      </c>
      <c r="H333" s="73" t="s">
        <v>2885</v>
      </c>
      <c r="I333" s="9" t="s">
        <v>3065</v>
      </c>
      <c r="J333" s="9" t="s">
        <v>2723</v>
      </c>
      <c r="K333" s="205" t="s">
        <v>2792</v>
      </c>
      <c r="L333" s="9" t="s">
        <v>2793</v>
      </c>
      <c r="M333" s="32" t="s">
        <v>125</v>
      </c>
      <c r="N333" s="129" t="s">
        <v>2704</v>
      </c>
      <c r="O333" s="122" t="s">
        <v>2704</v>
      </c>
      <c r="P333" s="123" t="str">
        <f t="shared" si="10"/>
        <v>C1-2025</v>
      </c>
      <c r="Q333" s="123" t="str">
        <f t="shared" si="11"/>
        <v>T2-2025</v>
      </c>
      <c r="R333" s="124" t="s">
        <v>2741</v>
      </c>
      <c r="S333" s="123" t="s">
        <v>2723</v>
      </c>
      <c r="T333" s="123" t="s">
        <v>2707</v>
      </c>
      <c r="U333" s="162" t="s">
        <v>2708</v>
      </c>
      <c r="V333" s="162" t="s">
        <v>54</v>
      </c>
      <c r="W333" s="237" t="s">
        <v>125</v>
      </c>
      <c r="X333" s="173" t="s">
        <v>2709</v>
      </c>
    </row>
    <row r="334" spans="1:24" hidden="1">
      <c r="A334" s="161">
        <v>45770</v>
      </c>
      <c r="B334" s="128" t="s">
        <v>3224</v>
      </c>
      <c r="C334" s="129" t="s">
        <v>2697</v>
      </c>
      <c r="D334" s="119">
        <v>-182.2</v>
      </c>
      <c r="E334" s="120">
        <v>1</v>
      </c>
      <c r="F334" s="121">
        <f>Tabla5109[[#This Row],[Original Amount]]*Tabla5109[[#This Row],[ER to EUR]]</f>
        <v>-182.2</v>
      </c>
      <c r="G334" s="9" t="s">
        <v>2839</v>
      </c>
      <c r="H334" s="73" t="s">
        <v>2840</v>
      </c>
      <c r="I334" s="9" t="s">
        <v>2784</v>
      </c>
      <c r="J334" s="9" t="s">
        <v>2701</v>
      </c>
      <c r="K334" s="205" t="s">
        <v>2702</v>
      </c>
      <c r="L334" s="9" t="s">
        <v>2703</v>
      </c>
      <c r="M334" s="32" t="s">
        <v>125</v>
      </c>
      <c r="N334" s="129" t="s">
        <v>2704</v>
      </c>
      <c r="O334" s="122" t="s">
        <v>2704</v>
      </c>
      <c r="P334" s="123" t="str">
        <f t="shared" si="10"/>
        <v>C1-2025</v>
      </c>
      <c r="Q334" s="123" t="str">
        <f t="shared" si="11"/>
        <v>T2-2025</v>
      </c>
      <c r="R334" s="124" t="s">
        <v>2705</v>
      </c>
      <c r="S334" s="124" t="s">
        <v>2706</v>
      </c>
      <c r="T334" s="123" t="s">
        <v>2707</v>
      </c>
      <c r="U334" s="162" t="s">
        <v>2708</v>
      </c>
      <c r="V334" s="162" t="s">
        <v>56</v>
      </c>
      <c r="W334" s="237" t="s">
        <v>125</v>
      </c>
      <c r="X334" s="173" t="s">
        <v>2709</v>
      </c>
    </row>
    <row r="335" spans="1:24" hidden="1">
      <c r="A335" s="161">
        <v>45770</v>
      </c>
      <c r="B335" s="117" t="s">
        <v>3225</v>
      </c>
      <c r="C335" s="129" t="s">
        <v>2697</v>
      </c>
      <c r="D335" s="119">
        <v>-159</v>
      </c>
      <c r="E335" s="120">
        <v>1</v>
      </c>
      <c r="F335" s="121">
        <f>Tabla5109[[#This Row],[Original Amount]]*Tabla5109[[#This Row],[ER to EUR]]</f>
        <v>-159</v>
      </c>
      <c r="G335" s="9" t="s">
        <v>3125</v>
      </c>
      <c r="H335" s="73" t="s">
        <v>3126</v>
      </c>
      <c r="I335" s="9" t="s">
        <v>2784</v>
      </c>
      <c r="J335" s="9" t="s">
        <v>2701</v>
      </c>
      <c r="K335" s="205" t="s">
        <v>2702</v>
      </c>
      <c r="L335" s="9" t="s">
        <v>2760</v>
      </c>
      <c r="M335" s="32" t="s">
        <v>125</v>
      </c>
      <c r="N335" s="129" t="s">
        <v>2704</v>
      </c>
      <c r="O335" s="122" t="s">
        <v>2704</v>
      </c>
      <c r="P335" s="123" t="str">
        <f t="shared" si="10"/>
        <v>C1-2025</v>
      </c>
      <c r="Q335" s="123" t="str">
        <f t="shared" si="11"/>
        <v>T2-2025</v>
      </c>
      <c r="R335" s="124" t="s">
        <v>2741</v>
      </c>
      <c r="S335" s="123" t="s">
        <v>2723</v>
      </c>
      <c r="T335" s="123" t="s">
        <v>2724</v>
      </c>
      <c r="U335" s="162" t="s">
        <v>2708</v>
      </c>
      <c r="V335" s="162" t="s">
        <v>54</v>
      </c>
      <c r="W335" s="237" t="s">
        <v>125</v>
      </c>
      <c r="X335" s="173" t="s">
        <v>2709</v>
      </c>
    </row>
    <row r="336" spans="1:24" hidden="1">
      <c r="A336" s="161">
        <v>45771</v>
      </c>
      <c r="B336" s="128" t="s">
        <v>3226</v>
      </c>
      <c r="C336" s="129" t="s">
        <v>2697</v>
      </c>
      <c r="D336" s="119">
        <v>-104.35</v>
      </c>
      <c r="E336" s="120">
        <v>1</v>
      </c>
      <c r="F336" s="121">
        <f>Tabla5109[[#This Row],[Original Amount]]*Tabla5109[[#This Row],[ER to EUR]]</f>
        <v>-104.35</v>
      </c>
      <c r="G336" s="9" t="s">
        <v>2733</v>
      </c>
      <c r="H336" s="73" t="s">
        <v>2734</v>
      </c>
      <c r="I336" s="9" t="s">
        <v>2713</v>
      </c>
      <c r="J336" s="9" t="s">
        <v>2701</v>
      </c>
      <c r="K336" s="205" t="s">
        <v>2809</v>
      </c>
      <c r="L336" s="9" t="s">
        <v>2810</v>
      </c>
      <c r="M336" s="32" t="s">
        <v>125</v>
      </c>
      <c r="N336" s="129" t="s">
        <v>2704</v>
      </c>
      <c r="O336" s="122" t="s">
        <v>2704</v>
      </c>
      <c r="P336" s="123" t="str">
        <f t="shared" si="10"/>
        <v>C1-2025</v>
      </c>
      <c r="Q336" s="123" t="str">
        <f t="shared" si="11"/>
        <v>T2-2025</v>
      </c>
      <c r="R336" s="124" t="s">
        <v>2705</v>
      </c>
      <c r="S336" s="123" t="s">
        <v>2735</v>
      </c>
      <c r="T336" s="123" t="s">
        <v>2707</v>
      </c>
      <c r="U336" s="203" t="s">
        <v>2708</v>
      </c>
      <c r="V336" s="203" t="s">
        <v>56</v>
      </c>
      <c r="W336" s="237" t="s">
        <v>125</v>
      </c>
      <c r="X336" s="173" t="s">
        <v>2709</v>
      </c>
    </row>
    <row r="337" spans="1:24" hidden="1">
      <c r="A337" s="161">
        <v>45771</v>
      </c>
      <c r="B337" s="130" t="s">
        <v>3227</v>
      </c>
      <c r="C337" s="129" t="s">
        <v>2697</v>
      </c>
      <c r="D337" s="119">
        <v>-43.38</v>
      </c>
      <c r="E337" s="120">
        <v>1</v>
      </c>
      <c r="F337" s="121">
        <f>Tabla5109[[#This Row],[Original Amount]]*Tabla5109[[#This Row],[ER to EUR]]</f>
        <v>-43.38</v>
      </c>
      <c r="G337" s="9" t="s">
        <v>2758</v>
      </c>
      <c r="H337" s="73" t="s">
        <v>2759</v>
      </c>
      <c r="I337" s="9" t="s">
        <v>2713</v>
      </c>
      <c r="J337" s="9" t="s">
        <v>2701</v>
      </c>
      <c r="K337" s="205" t="s">
        <v>2702</v>
      </c>
      <c r="L337" s="9" t="s">
        <v>2760</v>
      </c>
      <c r="M337" s="32" t="s">
        <v>125</v>
      </c>
      <c r="N337" s="129" t="s">
        <v>2704</v>
      </c>
      <c r="O337" s="122" t="s">
        <v>2704</v>
      </c>
      <c r="P337" s="123" t="str">
        <f t="shared" si="10"/>
        <v>C1-2025</v>
      </c>
      <c r="Q337" s="123" t="str">
        <f t="shared" si="11"/>
        <v>T2-2025</v>
      </c>
      <c r="R337" s="124" t="s">
        <v>2730</v>
      </c>
      <c r="S337" s="123" t="s">
        <v>2731</v>
      </c>
      <c r="T337" s="123" t="s">
        <v>2707</v>
      </c>
      <c r="U337" s="162" t="s">
        <v>2708</v>
      </c>
      <c r="V337" s="162" t="s">
        <v>55</v>
      </c>
      <c r="W337" s="237" t="s">
        <v>125</v>
      </c>
      <c r="X337" s="173" t="s">
        <v>2709</v>
      </c>
    </row>
    <row r="338" spans="1:24" hidden="1">
      <c r="A338" s="161">
        <v>45771</v>
      </c>
      <c r="B338" s="130" t="s">
        <v>3228</v>
      </c>
      <c r="C338" s="129" t="s">
        <v>2697</v>
      </c>
      <c r="D338" s="119">
        <v>-78.540000000000006</v>
      </c>
      <c r="E338" s="120">
        <v>1</v>
      </c>
      <c r="F338" s="121">
        <f>Tabla5109[[#This Row],[Original Amount]]*Tabla5109[[#This Row],[ER to EUR]]</f>
        <v>-78.540000000000006</v>
      </c>
      <c r="G338" s="9" t="s">
        <v>2753</v>
      </c>
      <c r="H338" s="73" t="s">
        <v>3122</v>
      </c>
      <c r="I338" s="9" t="s">
        <v>2755</v>
      </c>
      <c r="J338" s="9" t="s">
        <v>2701</v>
      </c>
      <c r="K338" s="205" t="s">
        <v>2702</v>
      </c>
      <c r="L338" s="9" t="s">
        <v>2703</v>
      </c>
      <c r="M338" s="32" t="s">
        <v>125</v>
      </c>
      <c r="N338" s="129" t="s">
        <v>2704</v>
      </c>
      <c r="O338" s="122" t="s">
        <v>2704</v>
      </c>
      <c r="P338" s="123" t="str">
        <f t="shared" si="10"/>
        <v>C1-2025</v>
      </c>
      <c r="Q338" s="123" t="str">
        <f t="shared" si="11"/>
        <v>T2-2025</v>
      </c>
      <c r="R338" s="124" t="s">
        <v>2705</v>
      </c>
      <c r="S338" s="124" t="s">
        <v>2706</v>
      </c>
      <c r="T338" s="123" t="s">
        <v>2707</v>
      </c>
      <c r="U338" s="162" t="s">
        <v>2708</v>
      </c>
      <c r="V338" s="162" t="s">
        <v>56</v>
      </c>
      <c r="W338" s="237" t="s">
        <v>125</v>
      </c>
      <c r="X338" s="173" t="s">
        <v>2709</v>
      </c>
    </row>
    <row r="339" spans="1:24" hidden="1">
      <c r="A339" s="161">
        <v>45771</v>
      </c>
      <c r="B339" s="128" t="s">
        <v>3229</v>
      </c>
      <c r="C339" s="129" t="s">
        <v>2697</v>
      </c>
      <c r="D339" s="119">
        <v>-249</v>
      </c>
      <c r="E339" s="120">
        <v>1</v>
      </c>
      <c r="F339" s="121">
        <f>Tabla5109[[#This Row],[Original Amount]]*Tabla5109[[#This Row],[ER to EUR]]</f>
        <v>-249</v>
      </c>
      <c r="G339" s="9" t="s">
        <v>3140</v>
      </c>
      <c r="H339" s="9" t="s">
        <v>3230</v>
      </c>
      <c r="I339" s="9" t="s">
        <v>2727</v>
      </c>
      <c r="J339" s="9" t="s">
        <v>2770</v>
      </c>
      <c r="K339" s="205" t="s">
        <v>2702</v>
      </c>
      <c r="L339" s="9" t="s">
        <v>3142</v>
      </c>
      <c r="M339" s="32" t="s">
        <v>125</v>
      </c>
      <c r="N339" s="129" t="s">
        <v>2704</v>
      </c>
      <c r="O339" s="122" t="s">
        <v>2704</v>
      </c>
      <c r="P339" s="123" t="str">
        <f t="shared" si="10"/>
        <v>C1-2025</v>
      </c>
      <c r="Q339" s="123" t="str">
        <f t="shared" si="11"/>
        <v>T2-2025</v>
      </c>
      <c r="R339" s="91" t="s">
        <v>2749</v>
      </c>
      <c r="S339" s="123" t="s">
        <v>2750</v>
      </c>
      <c r="T339" s="123" t="s">
        <v>2724</v>
      </c>
      <c r="U339" s="162" t="s">
        <v>2708</v>
      </c>
      <c r="V339" s="162" t="s">
        <v>54</v>
      </c>
      <c r="W339" s="237" t="s">
        <v>125</v>
      </c>
      <c r="X339" s="173" t="s">
        <v>2709</v>
      </c>
    </row>
    <row r="340" spans="1:24" hidden="1">
      <c r="A340" s="161">
        <v>45771</v>
      </c>
      <c r="B340" s="117" t="s">
        <v>3231</v>
      </c>
      <c r="C340" s="129" t="s">
        <v>2697</v>
      </c>
      <c r="D340" s="119">
        <v>-61.71</v>
      </c>
      <c r="E340" s="120">
        <v>1</v>
      </c>
      <c r="F340" s="121">
        <f>Tabla5109[[#This Row],[Original Amount]]*Tabla5109[[#This Row],[ER to EUR]]</f>
        <v>-61.71</v>
      </c>
      <c r="G340" s="9" t="s">
        <v>3137</v>
      </c>
      <c r="H340" s="73" t="s">
        <v>3232</v>
      </c>
      <c r="I340" s="9" t="s">
        <v>2727</v>
      </c>
      <c r="J340" s="9" t="s">
        <v>2701</v>
      </c>
      <c r="K340" s="205" t="s">
        <v>2702</v>
      </c>
      <c r="L340" s="9" t="s">
        <v>2760</v>
      </c>
      <c r="M340" s="32" t="s">
        <v>125</v>
      </c>
      <c r="N340" s="129" t="s">
        <v>2704</v>
      </c>
      <c r="O340" s="122" t="s">
        <v>2704</v>
      </c>
      <c r="P340" s="123" t="str">
        <f t="shared" si="10"/>
        <v>C1-2025</v>
      </c>
      <c r="Q340" s="123" t="str">
        <f t="shared" si="11"/>
        <v>T2-2025</v>
      </c>
      <c r="R340" s="124" t="s">
        <v>2819</v>
      </c>
      <c r="S340" s="123" t="s">
        <v>2723</v>
      </c>
      <c r="T340" s="123" t="s">
        <v>2724</v>
      </c>
      <c r="U340" s="162" t="s">
        <v>2708</v>
      </c>
      <c r="V340" s="162" t="s">
        <v>54</v>
      </c>
      <c r="W340" s="237" t="s">
        <v>125</v>
      </c>
      <c r="X340" s="173" t="s">
        <v>2709</v>
      </c>
    </row>
    <row r="341" spans="1:24" hidden="1">
      <c r="A341" s="161">
        <v>45771</v>
      </c>
      <c r="B341" s="128" t="s">
        <v>3233</v>
      </c>
      <c r="C341" s="129" t="s">
        <v>2697</v>
      </c>
      <c r="D341" s="119">
        <v>-7.5</v>
      </c>
      <c r="E341" s="120">
        <v>1</v>
      </c>
      <c r="F341" s="121">
        <f>Tabla5109[[#This Row],[Original Amount]]*Tabla5109[[#This Row],[ER to EUR]]</f>
        <v>-7.5</v>
      </c>
      <c r="G341" s="9" t="s">
        <v>2956</v>
      </c>
      <c r="H341" s="73" t="s">
        <v>3234</v>
      </c>
      <c r="I341" s="9" t="s">
        <v>2739</v>
      </c>
      <c r="J341" s="9" t="s">
        <v>2701</v>
      </c>
      <c r="K341" s="205" t="s">
        <v>2702</v>
      </c>
      <c r="L341" s="9" t="s">
        <v>2740</v>
      </c>
      <c r="M341" s="32" t="s">
        <v>125</v>
      </c>
      <c r="N341" s="129" t="s">
        <v>2704</v>
      </c>
      <c r="O341" s="122" t="s">
        <v>2704</v>
      </c>
      <c r="P341" s="123" t="str">
        <f t="shared" si="10"/>
        <v>C1-2025</v>
      </c>
      <c r="Q341" s="123" t="str">
        <f t="shared" si="11"/>
        <v>T2-2025</v>
      </c>
      <c r="R341" s="124" t="s">
        <v>2705</v>
      </c>
      <c r="S341" s="124" t="s">
        <v>2706</v>
      </c>
      <c r="T341" s="123" t="s">
        <v>2717</v>
      </c>
      <c r="U341" s="162" t="s">
        <v>2708</v>
      </c>
      <c r="V341" s="162" t="s">
        <v>54</v>
      </c>
      <c r="W341" s="237" t="s">
        <v>125</v>
      </c>
      <c r="X341" s="173" t="s">
        <v>2709</v>
      </c>
    </row>
    <row r="342" spans="1:24" hidden="1">
      <c r="A342" s="161">
        <v>45772</v>
      </c>
      <c r="B342" s="117" t="s">
        <v>3235</v>
      </c>
      <c r="C342" s="129" t="s">
        <v>2697</v>
      </c>
      <c r="D342" s="119">
        <v>-1800</v>
      </c>
      <c r="E342" s="120">
        <v>1</v>
      </c>
      <c r="F342" s="121">
        <f>Tabla5109[[#This Row],[Original Amount]]*Tabla5109[[#This Row],[ER to EUR]]</f>
        <v>-1800</v>
      </c>
      <c r="G342" s="9" t="s">
        <v>2725</v>
      </c>
      <c r="H342" s="9" t="s">
        <v>3236</v>
      </c>
      <c r="I342" s="9" t="s">
        <v>2727</v>
      </c>
      <c r="J342" s="9" t="s">
        <v>2701</v>
      </c>
      <c r="K342" s="205" t="s">
        <v>2728</v>
      </c>
      <c r="L342" s="9" t="s">
        <v>2729</v>
      </c>
      <c r="M342" s="32" t="s">
        <v>125</v>
      </c>
      <c r="N342" s="129" t="s">
        <v>2704</v>
      </c>
      <c r="O342" s="122" t="s">
        <v>2704</v>
      </c>
      <c r="P342" s="123" t="str">
        <f t="shared" si="10"/>
        <v>C1-2025</v>
      </c>
      <c r="Q342" s="123" t="str">
        <f t="shared" si="11"/>
        <v>T2-2025</v>
      </c>
      <c r="R342" s="124" t="s">
        <v>2730</v>
      </c>
      <c r="S342" s="123" t="s">
        <v>2731</v>
      </c>
      <c r="T342" s="123" t="s">
        <v>2707</v>
      </c>
      <c r="U342" s="162" t="s">
        <v>51</v>
      </c>
      <c r="V342" s="162" t="s">
        <v>57</v>
      </c>
      <c r="W342" s="237" t="s">
        <v>125</v>
      </c>
      <c r="X342" s="173" t="s">
        <v>2709</v>
      </c>
    </row>
    <row r="343" spans="1:24" hidden="1">
      <c r="A343" s="161">
        <v>45772</v>
      </c>
      <c r="B343" s="130" t="s">
        <v>2553</v>
      </c>
      <c r="C343" s="118" t="s">
        <v>2697</v>
      </c>
      <c r="D343" s="119">
        <v>-2308</v>
      </c>
      <c r="E343" s="120">
        <v>1</v>
      </c>
      <c r="F343" s="121">
        <f>Tabla5109[[#This Row],[Original Amount]]*Tabla5109[[#This Row],[ER to EUR]]</f>
        <v>-2308</v>
      </c>
      <c r="G343" s="9" t="s">
        <v>3237</v>
      </c>
      <c r="H343" s="9" t="s">
        <v>3238</v>
      </c>
      <c r="I343" s="9" t="s">
        <v>2713</v>
      </c>
      <c r="J343" s="9" t="s">
        <v>2770</v>
      </c>
      <c r="K343" s="205" t="s">
        <v>2803</v>
      </c>
      <c r="L343" s="9" t="s">
        <v>57</v>
      </c>
      <c r="M343" s="32" t="s">
        <v>125</v>
      </c>
      <c r="N343" s="129" t="s">
        <v>2704</v>
      </c>
      <c r="O343" s="122" t="s">
        <v>2704</v>
      </c>
      <c r="P343" s="123" t="str">
        <f t="shared" si="10"/>
        <v>C1-2025</v>
      </c>
      <c r="Q343" s="123" t="str">
        <f t="shared" si="11"/>
        <v>T2-2025</v>
      </c>
      <c r="R343" s="91" t="s">
        <v>2749</v>
      </c>
      <c r="S343" s="123" t="s">
        <v>2750</v>
      </c>
      <c r="T343" s="123" t="s">
        <v>2717</v>
      </c>
      <c r="U343" s="162" t="s">
        <v>2708</v>
      </c>
      <c r="V343" s="162" t="s">
        <v>56</v>
      </c>
      <c r="W343" s="237" t="s">
        <v>125</v>
      </c>
      <c r="X343" s="173" t="s">
        <v>2709</v>
      </c>
    </row>
    <row r="344" spans="1:24" hidden="1">
      <c r="A344" s="161">
        <v>45772</v>
      </c>
      <c r="B344" s="117" t="s">
        <v>3239</v>
      </c>
      <c r="C344" s="129" t="s">
        <v>2697</v>
      </c>
      <c r="D344" s="119">
        <v>-818</v>
      </c>
      <c r="E344" s="120">
        <v>1</v>
      </c>
      <c r="F344" s="121">
        <f>Tabla5109[[#This Row],[Original Amount]]*Tabla5109[[#This Row],[ER to EUR]]</f>
        <v>-818</v>
      </c>
      <c r="G344" s="9" t="s">
        <v>2884</v>
      </c>
      <c r="H344" s="73" t="s">
        <v>2885</v>
      </c>
      <c r="I344" s="9" t="s">
        <v>3065</v>
      </c>
      <c r="J344" s="9" t="s">
        <v>2723</v>
      </c>
      <c r="K344" s="205" t="s">
        <v>2792</v>
      </c>
      <c r="L344" s="9" t="s">
        <v>2793</v>
      </c>
      <c r="M344" s="32" t="s">
        <v>125</v>
      </c>
      <c r="N344" s="129" t="s">
        <v>2704</v>
      </c>
      <c r="O344" s="122" t="s">
        <v>2704</v>
      </c>
      <c r="P344" s="123" t="str">
        <f t="shared" si="10"/>
        <v>C1-2025</v>
      </c>
      <c r="Q344" s="123" t="str">
        <f t="shared" si="11"/>
        <v>T2-2025</v>
      </c>
      <c r="R344" s="124" t="s">
        <v>2741</v>
      </c>
      <c r="S344" s="123" t="s">
        <v>2723</v>
      </c>
      <c r="T344" s="123" t="s">
        <v>2707</v>
      </c>
      <c r="U344" s="162" t="s">
        <v>2708</v>
      </c>
      <c r="V344" s="162" t="s">
        <v>54</v>
      </c>
      <c r="W344" s="237" t="s">
        <v>125</v>
      </c>
      <c r="X344" s="173" t="s">
        <v>2709</v>
      </c>
    </row>
    <row r="345" spans="1:24" hidden="1">
      <c r="A345" s="161">
        <v>45772</v>
      </c>
      <c r="B345" s="133" t="s">
        <v>3240</v>
      </c>
      <c r="C345" s="32" t="s">
        <v>2697</v>
      </c>
      <c r="D345" s="119">
        <v>-15.46</v>
      </c>
      <c r="E345" s="120">
        <v>1</v>
      </c>
      <c r="F345" s="121">
        <f>Tabla5109[[#This Row],[Original Amount]]*Tabla5109[[#This Row],[ER to EUR]]</f>
        <v>-15.46</v>
      </c>
      <c r="G345" s="9" t="s">
        <v>2830</v>
      </c>
      <c r="H345" s="9" t="s">
        <v>3241</v>
      </c>
      <c r="I345" s="9" t="s">
        <v>2739</v>
      </c>
      <c r="J345" s="9" t="s">
        <v>2817</v>
      </c>
      <c r="K345" s="205" t="s">
        <v>2702</v>
      </c>
      <c r="L345" s="9" t="s">
        <v>2818</v>
      </c>
      <c r="M345" s="32" t="s">
        <v>125</v>
      </c>
      <c r="N345" s="122" t="s">
        <v>2704</v>
      </c>
      <c r="O345" s="129" t="s">
        <v>2704</v>
      </c>
      <c r="P345" s="123" t="str">
        <f t="shared" si="10"/>
        <v>C1-2025</v>
      </c>
      <c r="Q345" s="123" t="str">
        <f t="shared" si="11"/>
        <v>T2-2025</v>
      </c>
      <c r="R345" s="124" t="s">
        <v>2722</v>
      </c>
      <c r="S345" s="123" t="s">
        <v>2723</v>
      </c>
      <c r="T345" s="123" t="s">
        <v>2724</v>
      </c>
      <c r="U345" s="162" t="s">
        <v>2708</v>
      </c>
      <c r="V345" s="162" t="s">
        <v>54</v>
      </c>
      <c r="W345" s="237" t="s">
        <v>125</v>
      </c>
      <c r="X345" s="173" t="s">
        <v>2709</v>
      </c>
    </row>
    <row r="346" spans="1:24" hidden="1">
      <c r="A346" s="161">
        <v>45773</v>
      </c>
      <c r="B346" s="133" t="s">
        <v>3242</v>
      </c>
      <c r="C346" s="32" t="s">
        <v>2697</v>
      </c>
      <c r="D346" s="119">
        <v>-38.979999999999997</v>
      </c>
      <c r="E346" s="120">
        <v>1</v>
      </c>
      <c r="F346" s="121">
        <f>Tabla5109[[#This Row],[Original Amount]]*Tabla5109[[#This Row],[ER to EUR]]</f>
        <v>-38.979999999999997</v>
      </c>
      <c r="G346" s="9" t="s">
        <v>2830</v>
      </c>
      <c r="H346" s="9" t="s">
        <v>3243</v>
      </c>
      <c r="I346" s="9" t="s">
        <v>2739</v>
      </c>
      <c r="J346" s="37" t="s">
        <v>2817</v>
      </c>
      <c r="K346" s="217" t="s">
        <v>2702</v>
      </c>
      <c r="L346" s="37" t="s">
        <v>2818</v>
      </c>
      <c r="M346" s="32" t="s">
        <v>125</v>
      </c>
      <c r="N346" s="158" t="s">
        <v>2704</v>
      </c>
      <c r="O346" s="156" t="s">
        <v>2704</v>
      </c>
      <c r="P346" s="123" t="str">
        <f t="shared" si="10"/>
        <v>C1-2025</v>
      </c>
      <c r="Q346" s="123" t="str">
        <f t="shared" si="11"/>
        <v>T2-2025</v>
      </c>
      <c r="R346" s="124" t="s">
        <v>2722</v>
      </c>
      <c r="S346" s="123" t="s">
        <v>2723</v>
      </c>
      <c r="T346" s="123" t="s">
        <v>2724</v>
      </c>
      <c r="U346" s="162" t="s">
        <v>2708</v>
      </c>
      <c r="V346" s="162" t="s">
        <v>54</v>
      </c>
      <c r="W346" s="237" t="s">
        <v>125</v>
      </c>
      <c r="X346" s="173" t="s">
        <v>2709</v>
      </c>
    </row>
    <row r="347" spans="1:24" hidden="1">
      <c r="A347" s="161">
        <v>45773</v>
      </c>
      <c r="B347" s="133" t="s">
        <v>3244</v>
      </c>
      <c r="C347" s="32" t="s">
        <v>2548</v>
      </c>
      <c r="D347" s="136">
        <v>-41.65</v>
      </c>
      <c r="E347" s="181">
        <v>0.89086900000000002</v>
      </c>
      <c r="F347" s="121">
        <f>Tabla5109[[#This Row],[Original Amount]]*Tabla5109[[#This Row],[ER to EUR]]</f>
        <v>-37.104693849999997</v>
      </c>
      <c r="G347" s="9" t="s">
        <v>2884</v>
      </c>
      <c r="H347" s="9" t="s">
        <v>3199</v>
      </c>
      <c r="I347" s="9" t="s">
        <v>3200</v>
      </c>
      <c r="J347" s="9" t="s">
        <v>2723</v>
      </c>
      <c r="K347" s="205" t="s">
        <v>2792</v>
      </c>
      <c r="L347" s="9" t="s">
        <v>2793</v>
      </c>
      <c r="M347" s="32" t="s">
        <v>125</v>
      </c>
      <c r="N347" s="129" t="s">
        <v>2704</v>
      </c>
      <c r="O347" s="122" t="s">
        <v>2704</v>
      </c>
      <c r="P347" s="123" t="str">
        <f t="shared" si="10"/>
        <v>C1-2025</v>
      </c>
      <c r="Q347" s="123" t="str">
        <f t="shared" si="11"/>
        <v>T2-2025</v>
      </c>
      <c r="R347" s="124" t="s">
        <v>2741</v>
      </c>
      <c r="S347" s="123" t="s">
        <v>2723</v>
      </c>
      <c r="T347" s="123" t="s">
        <v>2707</v>
      </c>
      <c r="U347" s="162" t="s">
        <v>2708</v>
      </c>
      <c r="V347" s="162" t="s">
        <v>54</v>
      </c>
      <c r="W347" s="237" t="s">
        <v>125</v>
      </c>
      <c r="X347" s="173" t="s">
        <v>2709</v>
      </c>
    </row>
    <row r="348" spans="1:24" hidden="1">
      <c r="A348" s="161">
        <v>45774</v>
      </c>
      <c r="B348" s="132">
        <v>613978968</v>
      </c>
      <c r="C348" s="129" t="s">
        <v>2697</v>
      </c>
      <c r="D348" s="119">
        <v>-1445.83</v>
      </c>
      <c r="E348" s="120">
        <v>1</v>
      </c>
      <c r="F348" s="121">
        <f>Tabla5109[[#This Row],[Original Amount]]*Tabla5109[[#This Row],[ER to EUR]]</f>
        <v>-1445.83</v>
      </c>
      <c r="G348" s="9" t="s">
        <v>2698</v>
      </c>
      <c r="H348" s="73" t="s">
        <v>3245</v>
      </c>
      <c r="I348" s="9" t="s">
        <v>2784</v>
      </c>
      <c r="J348" s="9" t="s">
        <v>2701</v>
      </c>
      <c r="K348" s="205" t="s">
        <v>2702</v>
      </c>
      <c r="L348" s="9" t="s">
        <v>2703</v>
      </c>
      <c r="M348" s="32" t="s">
        <v>125</v>
      </c>
      <c r="N348" s="129" t="s">
        <v>2704</v>
      </c>
      <c r="O348" s="122" t="s">
        <v>2704</v>
      </c>
      <c r="P348" s="123" t="str">
        <f t="shared" si="10"/>
        <v>C1-2025</v>
      </c>
      <c r="Q348" s="123" t="str">
        <f t="shared" si="11"/>
        <v>T2-2025</v>
      </c>
      <c r="R348" s="124" t="s">
        <v>2705</v>
      </c>
      <c r="S348" s="124" t="s">
        <v>2706</v>
      </c>
      <c r="T348" s="123" t="s">
        <v>2707</v>
      </c>
      <c r="U348" s="162" t="s">
        <v>2708</v>
      </c>
      <c r="V348" s="162" t="s">
        <v>54</v>
      </c>
      <c r="W348" s="237" t="s">
        <v>125</v>
      </c>
      <c r="X348" s="173" t="s">
        <v>2709</v>
      </c>
    </row>
    <row r="349" spans="1:24" hidden="1">
      <c r="A349" s="161">
        <v>45775</v>
      </c>
      <c r="B349" s="125">
        <v>78192576222</v>
      </c>
      <c r="C349" s="129" t="s">
        <v>2697</v>
      </c>
      <c r="D349" s="119">
        <v>-43.38</v>
      </c>
      <c r="E349" s="120">
        <v>1</v>
      </c>
      <c r="F349" s="121">
        <f>Tabla5109[[#This Row],[Original Amount]]*Tabla5109[[#This Row],[ER to EUR]]</f>
        <v>-43.38</v>
      </c>
      <c r="G349" s="9" t="s">
        <v>2718</v>
      </c>
      <c r="H349" s="73" t="s">
        <v>3246</v>
      </c>
      <c r="I349" s="91" t="s">
        <v>2720</v>
      </c>
      <c r="J349" s="9" t="s">
        <v>2714</v>
      </c>
      <c r="K349" s="205" t="s">
        <v>2721</v>
      </c>
      <c r="L349" s="9" t="s">
        <v>2716</v>
      </c>
      <c r="M349" s="32" t="s">
        <v>125</v>
      </c>
      <c r="N349" s="129" t="s">
        <v>2704</v>
      </c>
      <c r="O349" s="122" t="s">
        <v>2704</v>
      </c>
      <c r="P349" s="123" t="str">
        <f t="shared" si="10"/>
        <v>C1-2025</v>
      </c>
      <c r="Q349" s="123" t="str">
        <f t="shared" si="11"/>
        <v>T2-2025</v>
      </c>
      <c r="R349" s="124" t="s">
        <v>2722</v>
      </c>
      <c r="S349" s="123" t="s">
        <v>2723</v>
      </c>
      <c r="T349" s="123" t="s">
        <v>2724</v>
      </c>
      <c r="U349" s="162" t="s">
        <v>2708</v>
      </c>
      <c r="V349" s="162" t="s">
        <v>54</v>
      </c>
      <c r="W349" s="237" t="s">
        <v>125</v>
      </c>
      <c r="X349" s="173" t="s">
        <v>2709</v>
      </c>
    </row>
    <row r="350" spans="1:24" hidden="1">
      <c r="A350" s="161">
        <v>45775</v>
      </c>
      <c r="B350" s="117" t="s">
        <v>3247</v>
      </c>
      <c r="C350" s="129" t="s">
        <v>2697</v>
      </c>
      <c r="D350" s="119">
        <v>-87.5</v>
      </c>
      <c r="E350" s="120">
        <v>1</v>
      </c>
      <c r="F350" s="121">
        <f>Tabla5109[[#This Row],[Original Amount]]*Tabla5109[[#This Row],[ER to EUR]]</f>
        <v>-87.5</v>
      </c>
      <c r="G350" s="9" t="s">
        <v>3248</v>
      </c>
      <c r="H350" s="9" t="s">
        <v>3249</v>
      </c>
      <c r="I350" s="9" t="s">
        <v>2713</v>
      </c>
      <c r="J350" s="9" t="s">
        <v>2714</v>
      </c>
      <c r="K350" s="205" t="s">
        <v>2702</v>
      </c>
      <c r="L350" s="9" t="s">
        <v>2799</v>
      </c>
      <c r="M350" s="32" t="s">
        <v>125</v>
      </c>
      <c r="N350" s="129" t="s">
        <v>2704</v>
      </c>
      <c r="O350" s="122" t="s">
        <v>2704</v>
      </c>
      <c r="P350" s="123" t="str">
        <f t="shared" si="10"/>
        <v>C1-2025</v>
      </c>
      <c r="Q350" s="123" t="str">
        <f t="shared" si="11"/>
        <v>T2-2025</v>
      </c>
      <c r="R350" s="124" t="s">
        <v>2730</v>
      </c>
      <c r="S350" s="123" t="s">
        <v>2731</v>
      </c>
      <c r="T350" s="123" t="s">
        <v>2724</v>
      </c>
      <c r="U350" s="162" t="s">
        <v>51</v>
      </c>
      <c r="V350" s="162" t="s">
        <v>57</v>
      </c>
      <c r="W350" s="237" t="s">
        <v>125</v>
      </c>
      <c r="X350" s="173" t="s">
        <v>2709</v>
      </c>
    </row>
    <row r="351" spans="1:24" hidden="1">
      <c r="A351" s="161">
        <v>45775</v>
      </c>
      <c r="B351" s="117" t="s">
        <v>3250</v>
      </c>
      <c r="C351" s="122" t="s">
        <v>2697</v>
      </c>
      <c r="D351" s="119">
        <v>-818.06</v>
      </c>
      <c r="E351" s="120">
        <v>1</v>
      </c>
      <c r="F351" s="121">
        <f>Tabla5109[[#This Row],[Original Amount]]*Tabla5109[[#This Row],[ER to EUR]]</f>
        <v>-818.06</v>
      </c>
      <c r="G351" s="9" t="s">
        <v>2884</v>
      </c>
      <c r="H351" s="73" t="s">
        <v>2885</v>
      </c>
      <c r="I351" s="9" t="s">
        <v>3065</v>
      </c>
      <c r="J351" s="9" t="s">
        <v>2723</v>
      </c>
      <c r="K351" s="205" t="s">
        <v>2792</v>
      </c>
      <c r="L351" s="9" t="s">
        <v>2793</v>
      </c>
      <c r="M351" s="32" t="s">
        <v>125</v>
      </c>
      <c r="N351" s="129" t="s">
        <v>2704</v>
      </c>
      <c r="O351" s="122" t="s">
        <v>2704</v>
      </c>
      <c r="P351" s="123" t="str">
        <f t="shared" si="10"/>
        <v>C1-2025</v>
      </c>
      <c r="Q351" s="123" t="str">
        <f t="shared" si="11"/>
        <v>T2-2025</v>
      </c>
      <c r="R351" s="124" t="s">
        <v>2741</v>
      </c>
      <c r="S351" s="123" t="s">
        <v>2723</v>
      </c>
      <c r="T351" s="123" t="s">
        <v>2707</v>
      </c>
      <c r="U351" s="162" t="s">
        <v>2708</v>
      </c>
      <c r="V351" s="162" t="s">
        <v>54</v>
      </c>
      <c r="W351" s="237" t="s">
        <v>125</v>
      </c>
      <c r="X351" s="173" t="s">
        <v>2709</v>
      </c>
    </row>
    <row r="352" spans="1:24" hidden="1">
      <c r="A352" s="161">
        <v>45775</v>
      </c>
      <c r="B352" s="128" t="s">
        <v>3251</v>
      </c>
      <c r="C352" s="129" t="s">
        <v>2697</v>
      </c>
      <c r="D352" s="119">
        <v>-140.26</v>
      </c>
      <c r="E352" s="120">
        <v>1</v>
      </c>
      <c r="F352" s="121">
        <f>Tabla5109[[#This Row],[Original Amount]]*Tabla5109[[#This Row],[ER to EUR]]</f>
        <v>-140.26</v>
      </c>
      <c r="G352" s="9" t="s">
        <v>3116</v>
      </c>
      <c r="H352" s="9" t="s">
        <v>3252</v>
      </c>
      <c r="I352" s="9" t="s">
        <v>2713</v>
      </c>
      <c r="J352" s="9" t="s">
        <v>2701</v>
      </c>
      <c r="K352" s="205" t="s">
        <v>2702</v>
      </c>
      <c r="L352" s="9" t="s">
        <v>2703</v>
      </c>
      <c r="M352" s="32" t="s">
        <v>125</v>
      </c>
      <c r="N352" s="129" t="s">
        <v>2704</v>
      </c>
      <c r="O352" s="122" t="s">
        <v>2704</v>
      </c>
      <c r="P352" s="123" t="str">
        <f t="shared" si="10"/>
        <v>C1-2025</v>
      </c>
      <c r="Q352" s="123" t="str">
        <f t="shared" si="11"/>
        <v>T2-2025</v>
      </c>
      <c r="R352" s="124" t="s">
        <v>2794</v>
      </c>
      <c r="S352" s="123" t="s">
        <v>3041</v>
      </c>
      <c r="T352" s="123" t="s">
        <v>2707</v>
      </c>
      <c r="U352" s="162" t="s">
        <v>51</v>
      </c>
      <c r="V352" s="162" t="s">
        <v>57</v>
      </c>
      <c r="W352" s="237" t="s">
        <v>125</v>
      </c>
      <c r="X352" s="173" t="s">
        <v>2709</v>
      </c>
    </row>
    <row r="353" spans="1:24" hidden="1">
      <c r="A353" s="161">
        <v>45777</v>
      </c>
      <c r="B353" s="130" t="s">
        <v>3253</v>
      </c>
      <c r="C353" s="122" t="s">
        <v>2548</v>
      </c>
      <c r="D353" s="136">
        <v>-1.44</v>
      </c>
      <c r="E353" s="181">
        <v>0.89086859688195985</v>
      </c>
      <c r="F353" s="121">
        <f>Tabla5109[[#This Row],[Original Amount]]*Tabla5109[[#This Row],[ER to EUR]]</f>
        <v>-1.2828507795100221</v>
      </c>
      <c r="G353" s="9" t="s">
        <v>3039</v>
      </c>
      <c r="H353" s="73" t="s">
        <v>3040</v>
      </c>
      <c r="I353" s="9" t="s">
        <v>2713</v>
      </c>
      <c r="J353" s="9" t="s">
        <v>2701</v>
      </c>
      <c r="K353" s="205" t="s">
        <v>2702</v>
      </c>
      <c r="L353" s="9" t="s">
        <v>2703</v>
      </c>
      <c r="M353" s="32" t="s">
        <v>125</v>
      </c>
      <c r="N353" s="129" t="s">
        <v>2704</v>
      </c>
      <c r="O353" s="122" t="s">
        <v>2704</v>
      </c>
      <c r="P353" s="123" t="str">
        <f t="shared" si="10"/>
        <v>C1-2025</v>
      </c>
      <c r="Q353" s="123" t="str">
        <f t="shared" si="11"/>
        <v>T2-2025</v>
      </c>
      <c r="R353" s="124" t="s">
        <v>2705</v>
      </c>
      <c r="S353" s="123" t="s">
        <v>3041</v>
      </c>
      <c r="T353" s="123" t="s">
        <v>2724</v>
      </c>
      <c r="U353" s="162" t="s">
        <v>2708</v>
      </c>
      <c r="V353" s="162" t="s">
        <v>57</v>
      </c>
      <c r="W353" s="237" t="s">
        <v>125</v>
      </c>
      <c r="X353" s="173" t="s">
        <v>2709</v>
      </c>
    </row>
    <row r="354" spans="1:24" hidden="1">
      <c r="A354" s="161">
        <v>45777</v>
      </c>
      <c r="B354" s="131" t="s">
        <v>3254</v>
      </c>
      <c r="C354" s="129" t="s">
        <v>2548</v>
      </c>
      <c r="D354" s="136">
        <v>-90</v>
      </c>
      <c r="E354" s="154">
        <v>0.88680000000000003</v>
      </c>
      <c r="F354" s="121">
        <f>Tabla5109[[#This Row],[Original Amount]]*Tabla5109[[#This Row],[ER to EUR]]</f>
        <v>-79.811999999999998</v>
      </c>
      <c r="G354" s="9" t="s">
        <v>2766</v>
      </c>
      <c r="H354" s="9" t="s">
        <v>3255</v>
      </c>
      <c r="I354" s="9" t="s">
        <v>2713</v>
      </c>
      <c r="J354" s="9" t="s">
        <v>2701</v>
      </c>
      <c r="K354" s="205" t="s">
        <v>2702</v>
      </c>
      <c r="L354" s="9" t="s">
        <v>2760</v>
      </c>
      <c r="M354" s="32" t="s">
        <v>125</v>
      </c>
      <c r="N354" s="129" t="s">
        <v>2704</v>
      </c>
      <c r="O354" s="122" t="s">
        <v>2704</v>
      </c>
      <c r="P354" s="123" t="str">
        <f t="shared" si="10"/>
        <v>C1-2025</v>
      </c>
      <c r="Q354" s="123" t="str">
        <f t="shared" si="11"/>
        <v>T2-2025</v>
      </c>
      <c r="R354" s="124" t="s">
        <v>2705</v>
      </c>
      <c r="S354" s="124" t="s">
        <v>2706</v>
      </c>
      <c r="T354" s="123" t="s">
        <v>2724</v>
      </c>
      <c r="U354" s="162" t="s">
        <v>2708</v>
      </c>
      <c r="V354" s="162" t="s">
        <v>55</v>
      </c>
      <c r="W354" s="237" t="s">
        <v>125</v>
      </c>
      <c r="X354" s="173" t="s">
        <v>2709</v>
      </c>
    </row>
    <row r="355" spans="1:24" hidden="1">
      <c r="A355" s="161">
        <v>45777</v>
      </c>
      <c r="B355" s="194" t="s">
        <v>2871</v>
      </c>
      <c r="C355" s="32" t="s">
        <v>2543</v>
      </c>
      <c r="D355" s="152">
        <v>-1231111</v>
      </c>
      <c r="E355" s="120">
        <v>9.2599999999999996E-4</v>
      </c>
      <c r="F355" s="121">
        <f>Tabla5109[[#This Row],[Original Amount]]*Tabla5109[[#This Row],[ER to EUR]]</f>
        <v>-1140.0087859999999</v>
      </c>
      <c r="G355" s="9" t="s">
        <v>2872</v>
      </c>
      <c r="H355" s="91" t="s">
        <v>3256</v>
      </c>
      <c r="I355" s="9" t="s">
        <v>2713</v>
      </c>
      <c r="J355" s="9" t="s">
        <v>2770</v>
      </c>
      <c r="K355" s="205" t="s">
        <v>2874</v>
      </c>
      <c r="L355" s="9" t="s">
        <v>2875</v>
      </c>
      <c r="M355" s="227" t="s">
        <v>2704</v>
      </c>
      <c r="N355" s="122" t="s">
        <v>2748</v>
      </c>
      <c r="O355" s="129" t="s">
        <v>2748</v>
      </c>
      <c r="P355" s="123" t="str">
        <f t="shared" si="10"/>
        <v>C1-2025</v>
      </c>
      <c r="Q355" s="123" t="str">
        <f t="shared" si="11"/>
        <v>T2-2025</v>
      </c>
      <c r="R355" s="91" t="s">
        <v>2749</v>
      </c>
      <c r="S355" s="123" t="s">
        <v>2750</v>
      </c>
      <c r="T355" s="123" t="s">
        <v>2724</v>
      </c>
      <c r="U355" s="162" t="s">
        <v>2708</v>
      </c>
      <c r="V355" s="162" t="s">
        <v>54</v>
      </c>
      <c r="W355" s="237" t="s">
        <v>125</v>
      </c>
      <c r="X355" s="173" t="s">
        <v>2751</v>
      </c>
    </row>
    <row r="356" spans="1:24" hidden="1">
      <c r="A356" s="161">
        <v>45777</v>
      </c>
      <c r="B356" s="194" t="s">
        <v>2871</v>
      </c>
      <c r="C356" s="32" t="s">
        <v>2543</v>
      </c>
      <c r="D356" s="152">
        <v>-4788307</v>
      </c>
      <c r="E356" s="120">
        <v>9.2599999999999996E-4</v>
      </c>
      <c r="F356" s="121">
        <f>Tabla5109[[#This Row],[Original Amount]]*Tabla5109[[#This Row],[ER to EUR]]</f>
        <v>-4433.9722819999997</v>
      </c>
      <c r="G356" s="9" t="s">
        <v>2876</v>
      </c>
      <c r="H356" s="91" t="s">
        <v>3256</v>
      </c>
      <c r="I356" s="9" t="s">
        <v>2713</v>
      </c>
      <c r="J356" s="9" t="s">
        <v>2770</v>
      </c>
      <c r="K356" s="205" t="s">
        <v>2874</v>
      </c>
      <c r="L356" s="9" t="s">
        <v>2875</v>
      </c>
      <c r="M356" s="227" t="s">
        <v>2704</v>
      </c>
      <c r="N356" s="122" t="s">
        <v>2748</v>
      </c>
      <c r="O356" s="129" t="s">
        <v>2748</v>
      </c>
      <c r="P356" s="123" t="str">
        <f t="shared" si="10"/>
        <v>C1-2025</v>
      </c>
      <c r="Q356" s="123" t="str">
        <f t="shared" si="11"/>
        <v>T2-2025</v>
      </c>
      <c r="R356" s="91" t="s">
        <v>2749</v>
      </c>
      <c r="S356" s="123" t="s">
        <v>2750</v>
      </c>
      <c r="T356" s="123" t="s">
        <v>2724</v>
      </c>
      <c r="U356" s="162" t="s">
        <v>2708</v>
      </c>
      <c r="V356" s="162" t="s">
        <v>56</v>
      </c>
      <c r="W356" s="237" t="s">
        <v>125</v>
      </c>
      <c r="X356" s="173" t="s">
        <v>2751</v>
      </c>
    </row>
    <row r="357" spans="1:24" hidden="1">
      <c r="A357" s="161">
        <v>45777</v>
      </c>
      <c r="B357" s="194" t="s">
        <v>2871</v>
      </c>
      <c r="C357" s="32" t="s">
        <v>2543</v>
      </c>
      <c r="D357" s="242">
        <v>-2571057</v>
      </c>
      <c r="E357" s="120">
        <v>9.2599999999999996E-4</v>
      </c>
      <c r="F357" s="121">
        <f>Tabla5109[[#This Row],[Original Amount]]*Tabla5109[[#This Row],[ER to EUR]]</f>
        <v>-2380.7987819999998</v>
      </c>
      <c r="G357" s="9" t="s">
        <v>3257</v>
      </c>
      <c r="H357" s="91" t="s">
        <v>3256</v>
      </c>
      <c r="I357" s="9" t="s">
        <v>2713</v>
      </c>
      <c r="J357" s="9" t="s">
        <v>2770</v>
      </c>
      <c r="K357" s="205" t="s">
        <v>2874</v>
      </c>
      <c r="L357" s="9" t="s">
        <v>2875</v>
      </c>
      <c r="M357" s="227" t="s">
        <v>2704</v>
      </c>
      <c r="N357" s="122" t="s">
        <v>2748</v>
      </c>
      <c r="O357" s="129" t="s">
        <v>2748</v>
      </c>
      <c r="P357" s="123" t="str">
        <f t="shared" si="10"/>
        <v>C1-2025</v>
      </c>
      <c r="Q357" s="123" t="str">
        <f t="shared" si="11"/>
        <v>T2-2025</v>
      </c>
      <c r="R357" s="91" t="s">
        <v>2749</v>
      </c>
      <c r="S357" s="123" t="s">
        <v>2750</v>
      </c>
      <c r="T357" s="123" t="s">
        <v>2717</v>
      </c>
      <c r="U357" s="162" t="s">
        <v>2708</v>
      </c>
      <c r="V357" s="162" t="s">
        <v>54</v>
      </c>
      <c r="W357" s="237" t="s">
        <v>125</v>
      </c>
      <c r="X357" s="173" t="s">
        <v>2751</v>
      </c>
    </row>
    <row r="358" spans="1:24" hidden="1">
      <c r="A358" s="161">
        <v>45777</v>
      </c>
      <c r="B358" s="194" t="s">
        <v>2871</v>
      </c>
      <c r="C358" s="32" t="s">
        <v>2543</v>
      </c>
      <c r="D358" s="152">
        <v>-4431161</v>
      </c>
      <c r="E358" s="120">
        <v>9.2599999999999996E-4</v>
      </c>
      <c r="F358" s="121">
        <f>Tabla5109[[#This Row],[Original Amount]]*Tabla5109[[#This Row],[ER to EUR]]</f>
        <v>-4103.2550860000001</v>
      </c>
      <c r="G358" s="9" t="s">
        <v>2877</v>
      </c>
      <c r="H358" s="91" t="s">
        <v>3256</v>
      </c>
      <c r="I358" s="9" t="s">
        <v>2713</v>
      </c>
      <c r="J358" s="9" t="s">
        <v>2770</v>
      </c>
      <c r="K358" s="205" t="s">
        <v>2874</v>
      </c>
      <c r="L358" s="9" t="s">
        <v>2875</v>
      </c>
      <c r="M358" s="227" t="s">
        <v>2704</v>
      </c>
      <c r="N358" s="122" t="s">
        <v>2748</v>
      </c>
      <c r="O358" s="129" t="s">
        <v>2748</v>
      </c>
      <c r="P358" s="123" t="str">
        <f t="shared" si="10"/>
        <v>C1-2025</v>
      </c>
      <c r="Q358" s="123" t="str">
        <f t="shared" si="11"/>
        <v>T2-2025</v>
      </c>
      <c r="R358" s="91" t="s">
        <v>2749</v>
      </c>
      <c r="S358" s="123" t="s">
        <v>2750</v>
      </c>
      <c r="T358" s="123" t="s">
        <v>2724</v>
      </c>
      <c r="U358" s="162" t="s">
        <v>2708</v>
      </c>
      <c r="V358" s="162" t="s">
        <v>54</v>
      </c>
      <c r="W358" s="237" t="s">
        <v>125</v>
      </c>
      <c r="X358" s="173" t="s">
        <v>2751</v>
      </c>
    </row>
    <row r="359" spans="1:24" hidden="1">
      <c r="A359" s="161">
        <v>45778</v>
      </c>
      <c r="B359" s="134">
        <v>202500000554</v>
      </c>
      <c r="C359" s="129" t="s">
        <v>2697</v>
      </c>
      <c r="D359" s="126">
        <v>-313.20999999999998</v>
      </c>
      <c r="E359" s="120">
        <v>1</v>
      </c>
      <c r="F359" s="127">
        <f>Tabla5109[[#This Row],[Original Amount]]*Tabla5109[[#This Row],[ER to EUR]]</f>
        <v>-313.20999999999998</v>
      </c>
      <c r="G359" s="9" t="s">
        <v>2796</v>
      </c>
      <c r="H359" s="73" t="s">
        <v>2797</v>
      </c>
      <c r="I359" s="9" t="s">
        <v>2727</v>
      </c>
      <c r="J359" s="37" t="s">
        <v>2714</v>
      </c>
      <c r="K359" s="217" t="s">
        <v>2798</v>
      </c>
      <c r="L359" s="37" t="s">
        <v>2799</v>
      </c>
      <c r="M359" s="32" t="s">
        <v>125</v>
      </c>
      <c r="N359" s="156" t="s">
        <v>2704</v>
      </c>
      <c r="O359" s="158" t="s">
        <v>2704</v>
      </c>
      <c r="P359" s="123" t="str">
        <f t="shared" si="10"/>
        <v>C2-2025</v>
      </c>
      <c r="Q359" s="123" t="str">
        <f t="shared" si="11"/>
        <v>T2-2025</v>
      </c>
      <c r="R359" s="124" t="s">
        <v>2705</v>
      </c>
      <c r="S359" s="124" t="s">
        <v>2706</v>
      </c>
      <c r="T359" s="123" t="s">
        <v>2724</v>
      </c>
      <c r="U359" s="162" t="s">
        <v>2708</v>
      </c>
      <c r="V359" s="162" t="s">
        <v>56</v>
      </c>
      <c r="W359" s="237" t="s">
        <v>125</v>
      </c>
      <c r="X359" s="173" t="s">
        <v>2709</v>
      </c>
    </row>
    <row r="360" spans="1:24" hidden="1">
      <c r="A360" s="161">
        <v>45778</v>
      </c>
      <c r="B360" s="117" t="s">
        <v>3258</v>
      </c>
      <c r="C360" s="129" t="s">
        <v>2697</v>
      </c>
      <c r="D360" s="126">
        <v>-818</v>
      </c>
      <c r="E360" s="120">
        <v>1</v>
      </c>
      <c r="F360" s="127">
        <f>Tabla5109[[#This Row],[Original Amount]]*Tabla5109[[#This Row],[ER to EUR]]</f>
        <v>-818</v>
      </c>
      <c r="G360" s="9" t="s">
        <v>2884</v>
      </c>
      <c r="H360" s="73" t="s">
        <v>2885</v>
      </c>
      <c r="I360" s="9" t="s">
        <v>3094</v>
      </c>
      <c r="J360" s="9" t="s">
        <v>2723</v>
      </c>
      <c r="K360" s="205" t="s">
        <v>2792</v>
      </c>
      <c r="L360" s="9" t="s">
        <v>2793</v>
      </c>
      <c r="M360" s="32" t="s">
        <v>125</v>
      </c>
      <c r="N360" s="129" t="s">
        <v>2704</v>
      </c>
      <c r="O360" s="122" t="s">
        <v>2704</v>
      </c>
      <c r="P360" s="123" t="str">
        <f t="shared" si="10"/>
        <v>C2-2025</v>
      </c>
      <c r="Q360" s="123" t="str">
        <f t="shared" si="11"/>
        <v>T2-2025</v>
      </c>
      <c r="R360" s="124" t="s">
        <v>2741</v>
      </c>
      <c r="S360" s="123" t="s">
        <v>2723</v>
      </c>
      <c r="T360" s="123" t="s">
        <v>2707</v>
      </c>
      <c r="U360" s="162" t="s">
        <v>2708</v>
      </c>
      <c r="V360" s="162" t="s">
        <v>54</v>
      </c>
      <c r="W360" s="237" t="s">
        <v>125</v>
      </c>
      <c r="X360" s="173" t="s">
        <v>2709</v>
      </c>
    </row>
    <row r="361" spans="1:24" hidden="1">
      <c r="A361" s="161">
        <v>45778</v>
      </c>
      <c r="B361" s="133" t="s">
        <v>3259</v>
      </c>
      <c r="C361" s="32" t="s">
        <v>2548</v>
      </c>
      <c r="D361" s="151">
        <v>-9.25</v>
      </c>
      <c r="E361" s="120">
        <v>0.88680000000000003</v>
      </c>
      <c r="F361" s="127">
        <f>Tabla5109[[#This Row],[Original Amount]]*Tabla5109[[#This Row],[ER to EUR]]</f>
        <v>-8.2028999999999996</v>
      </c>
      <c r="G361" s="9" t="s">
        <v>2884</v>
      </c>
      <c r="H361" s="9" t="s">
        <v>3199</v>
      </c>
      <c r="I361" s="9" t="s">
        <v>3200</v>
      </c>
      <c r="J361" s="9" t="s">
        <v>2723</v>
      </c>
      <c r="K361" s="4" t="s">
        <v>2792</v>
      </c>
      <c r="L361" s="9" t="s">
        <v>2793</v>
      </c>
      <c r="M361" s="32" t="s">
        <v>125</v>
      </c>
      <c r="N361" s="129" t="s">
        <v>2704</v>
      </c>
      <c r="O361" s="122" t="s">
        <v>2704</v>
      </c>
      <c r="P361" s="123" t="str">
        <f t="shared" si="10"/>
        <v>C2-2025</v>
      </c>
      <c r="Q361" s="123" t="str">
        <f t="shared" si="11"/>
        <v>T2-2025</v>
      </c>
      <c r="R361" s="124" t="s">
        <v>2741</v>
      </c>
      <c r="S361" s="123" t="s">
        <v>2723</v>
      </c>
      <c r="T361" s="123" t="s">
        <v>2707</v>
      </c>
      <c r="U361" s="162" t="s">
        <v>2708</v>
      </c>
      <c r="V361" s="162" t="s">
        <v>54</v>
      </c>
      <c r="W361" s="237" t="s">
        <v>125</v>
      </c>
      <c r="X361" s="173" t="s">
        <v>2709</v>
      </c>
    </row>
    <row r="362" spans="1:24" hidden="1">
      <c r="A362" s="161">
        <v>45809</v>
      </c>
      <c r="B362" s="130" t="s">
        <v>6566</v>
      </c>
      <c r="C362" s="32" t="s">
        <v>2697</v>
      </c>
      <c r="D362" s="210">
        <v>-250.22</v>
      </c>
      <c r="E362" s="120">
        <v>1</v>
      </c>
      <c r="F362" s="121">
        <f>Tabla5109[[#This Row],[Original Amount]]*Tabla5109[[#This Row],[ER to EUR]]</f>
        <v>-250.22</v>
      </c>
      <c r="G362" s="9" t="s">
        <v>3692</v>
      </c>
      <c r="H362" s="9" t="s">
        <v>6576</v>
      </c>
      <c r="I362" s="9" t="s">
        <v>2713</v>
      </c>
      <c r="J362" s="9" t="s">
        <v>2701</v>
      </c>
      <c r="K362" s="205" t="s">
        <v>2702</v>
      </c>
      <c r="L362" s="9" t="s">
        <v>6577</v>
      </c>
      <c r="M362" s="227" t="s">
        <v>125</v>
      </c>
      <c r="N362" s="122" t="s">
        <v>2748</v>
      </c>
      <c r="O362" s="129" t="s">
        <v>2748</v>
      </c>
      <c r="P362" s="123" t="str">
        <f t="shared" si="10"/>
        <v>C2-2025</v>
      </c>
      <c r="Q362" s="123" t="str">
        <f t="shared" si="11"/>
        <v>T2-2025</v>
      </c>
      <c r="R362" s="91" t="s">
        <v>6009</v>
      </c>
      <c r="S362" s="123" t="s">
        <v>2750</v>
      </c>
      <c r="T362" s="123" t="s">
        <v>2724</v>
      </c>
      <c r="U362" s="162" t="s">
        <v>2708</v>
      </c>
      <c r="V362" s="162" t="s">
        <v>56</v>
      </c>
      <c r="W362" s="237" t="s">
        <v>125</v>
      </c>
      <c r="X362" s="201" t="s">
        <v>2709</v>
      </c>
    </row>
    <row r="363" spans="1:24" hidden="1">
      <c r="A363" s="161">
        <v>45779</v>
      </c>
      <c r="B363" s="117">
        <v>5045</v>
      </c>
      <c r="C363" s="129" t="s">
        <v>2697</v>
      </c>
      <c r="D363" s="126">
        <v>-10830.5</v>
      </c>
      <c r="E363" s="120">
        <v>1</v>
      </c>
      <c r="F363" s="127">
        <f>Tabla5109[[#This Row],[Original Amount]]*Tabla5109[[#This Row],[ER to EUR]]</f>
        <v>-10830.5</v>
      </c>
      <c r="G363" s="9" t="s">
        <v>3074</v>
      </c>
      <c r="H363" s="73" t="s">
        <v>3075</v>
      </c>
      <c r="I363" s="9" t="s">
        <v>2727</v>
      </c>
      <c r="J363" s="9" t="s">
        <v>2701</v>
      </c>
      <c r="K363" s="205" t="s">
        <v>2702</v>
      </c>
      <c r="L363" s="9" t="s">
        <v>2729</v>
      </c>
      <c r="M363" s="32" t="s">
        <v>125</v>
      </c>
      <c r="N363" s="129" t="s">
        <v>2704</v>
      </c>
      <c r="O363" s="122" t="s">
        <v>2704</v>
      </c>
      <c r="P363" s="123" t="str">
        <f t="shared" si="10"/>
        <v>C2-2025</v>
      </c>
      <c r="Q363" s="123" t="str">
        <f t="shared" si="11"/>
        <v>T2-2025</v>
      </c>
      <c r="R363" s="124" t="s">
        <v>2730</v>
      </c>
      <c r="S363" s="123" t="s">
        <v>2731</v>
      </c>
      <c r="T363" s="123" t="s">
        <v>2724</v>
      </c>
      <c r="U363" s="162" t="s">
        <v>51</v>
      </c>
      <c r="V363" s="162" t="s">
        <v>57</v>
      </c>
      <c r="W363" s="237" t="s">
        <v>125</v>
      </c>
      <c r="X363" s="173" t="s">
        <v>2709</v>
      </c>
    </row>
    <row r="364" spans="1:24" hidden="1">
      <c r="A364" s="161">
        <v>45780</v>
      </c>
      <c r="B364" s="117" t="s">
        <v>3260</v>
      </c>
      <c r="C364" s="129" t="s">
        <v>2697</v>
      </c>
      <c r="D364" s="126">
        <v>-818</v>
      </c>
      <c r="E364" s="120">
        <v>1</v>
      </c>
      <c r="F364" s="127">
        <f>Tabla5109[[#This Row],[Original Amount]]*Tabla5109[[#This Row],[ER to EUR]]</f>
        <v>-818</v>
      </c>
      <c r="G364" s="9" t="s">
        <v>2884</v>
      </c>
      <c r="H364" s="73" t="s">
        <v>2885</v>
      </c>
      <c r="I364" s="9" t="s">
        <v>3094</v>
      </c>
      <c r="J364" s="9" t="s">
        <v>2723</v>
      </c>
      <c r="K364" s="205" t="s">
        <v>2792</v>
      </c>
      <c r="L364" s="9" t="s">
        <v>2793</v>
      </c>
      <c r="M364" s="32" t="s">
        <v>125</v>
      </c>
      <c r="N364" s="129" t="s">
        <v>2704</v>
      </c>
      <c r="O364" s="122" t="s">
        <v>2704</v>
      </c>
      <c r="P364" s="123" t="str">
        <f t="shared" si="10"/>
        <v>C2-2025</v>
      </c>
      <c r="Q364" s="123" t="str">
        <f t="shared" si="11"/>
        <v>T2-2025</v>
      </c>
      <c r="R364" s="124" t="s">
        <v>2741</v>
      </c>
      <c r="S364" s="123" t="s">
        <v>2723</v>
      </c>
      <c r="T364" s="123" t="s">
        <v>2707</v>
      </c>
      <c r="U364" s="162" t="s">
        <v>2708</v>
      </c>
      <c r="V364" s="162" t="s">
        <v>54</v>
      </c>
      <c r="W364" s="237" t="s">
        <v>125</v>
      </c>
      <c r="X364" s="173" t="s">
        <v>2709</v>
      </c>
    </row>
    <row r="365" spans="1:24" hidden="1">
      <c r="A365" s="161">
        <v>45782</v>
      </c>
      <c r="B365" s="125">
        <v>132015042853</v>
      </c>
      <c r="C365" s="129" t="s">
        <v>2697</v>
      </c>
      <c r="D365" s="126">
        <v>-45.22</v>
      </c>
      <c r="E365" s="120">
        <v>1</v>
      </c>
      <c r="F365" s="127">
        <f>Tabla5109[[#This Row],[Original Amount]]*Tabla5109[[#This Row],[ER to EUR]]</f>
        <v>-45.22</v>
      </c>
      <c r="G365" s="9" t="s">
        <v>2768</v>
      </c>
      <c r="H365" s="73" t="s">
        <v>3261</v>
      </c>
      <c r="I365" s="9" t="s">
        <v>2700</v>
      </c>
      <c r="J365" s="9" t="s">
        <v>2770</v>
      </c>
      <c r="K365" s="205" t="s">
        <v>2771</v>
      </c>
      <c r="L365" s="9" t="s">
        <v>2772</v>
      </c>
      <c r="M365" s="32" t="s">
        <v>125</v>
      </c>
      <c r="N365" s="129" t="s">
        <v>2704</v>
      </c>
      <c r="O365" s="122" t="s">
        <v>2704</v>
      </c>
      <c r="P365" s="123" t="str">
        <f t="shared" si="10"/>
        <v>C2-2025</v>
      </c>
      <c r="Q365" s="123" t="str">
        <f t="shared" si="11"/>
        <v>T2-2025</v>
      </c>
      <c r="R365" s="124" t="s">
        <v>2705</v>
      </c>
      <c r="S365" s="123" t="s">
        <v>2735</v>
      </c>
      <c r="T365" s="123" t="s">
        <v>2724</v>
      </c>
      <c r="U365" s="162" t="s">
        <v>2708</v>
      </c>
      <c r="V365" s="162" t="s">
        <v>56</v>
      </c>
      <c r="W365" s="237" t="s">
        <v>125</v>
      </c>
      <c r="X365" s="173" t="s">
        <v>2709</v>
      </c>
    </row>
    <row r="366" spans="1:24" hidden="1">
      <c r="A366" s="161">
        <v>45782</v>
      </c>
      <c r="B366" s="117" t="s">
        <v>3262</v>
      </c>
      <c r="C366" s="129" t="s">
        <v>2697</v>
      </c>
      <c r="D366" s="126">
        <v>-18.48</v>
      </c>
      <c r="E366" s="120">
        <v>1</v>
      </c>
      <c r="F366" s="127">
        <f>Tabla5109[[#This Row],[Original Amount]]*Tabla5109[[#This Row],[ER to EUR]]</f>
        <v>-18.48</v>
      </c>
      <c r="G366" s="9" t="s">
        <v>2737</v>
      </c>
      <c r="H366" s="9" t="s">
        <v>2738</v>
      </c>
      <c r="I366" s="9" t="s">
        <v>2739</v>
      </c>
      <c r="J366" s="9" t="s">
        <v>2701</v>
      </c>
      <c r="K366" s="205" t="s">
        <v>2702</v>
      </c>
      <c r="L366" s="9" t="s">
        <v>2740</v>
      </c>
      <c r="M366" s="32" t="s">
        <v>125</v>
      </c>
      <c r="N366" s="129" t="s">
        <v>2704</v>
      </c>
      <c r="O366" s="122" t="s">
        <v>2704</v>
      </c>
      <c r="P366" s="123" t="str">
        <f t="shared" si="10"/>
        <v>C2-2025</v>
      </c>
      <c r="Q366" s="123" t="str">
        <f t="shared" si="11"/>
        <v>T2-2025</v>
      </c>
      <c r="R366" s="124" t="s">
        <v>2741</v>
      </c>
      <c r="S366" s="123" t="s">
        <v>2723</v>
      </c>
      <c r="T366" s="123" t="s">
        <v>2724</v>
      </c>
      <c r="U366" s="162" t="s">
        <v>2708</v>
      </c>
      <c r="V366" s="162" t="s">
        <v>54</v>
      </c>
      <c r="W366" s="237" t="s">
        <v>125</v>
      </c>
      <c r="X366" s="173" t="s">
        <v>2709</v>
      </c>
    </row>
    <row r="367" spans="1:24" hidden="1">
      <c r="A367" s="161">
        <v>45782</v>
      </c>
      <c r="B367" s="133" t="s">
        <v>3263</v>
      </c>
      <c r="C367" s="129" t="s">
        <v>2697</v>
      </c>
      <c r="D367" s="126">
        <v>-95.32</v>
      </c>
      <c r="E367" s="120">
        <v>1</v>
      </c>
      <c r="F367" s="127">
        <f>Tabla5109[[#This Row],[Original Amount]]*Tabla5109[[#This Row],[ER to EUR]]</f>
        <v>-95.32</v>
      </c>
      <c r="G367" s="9" t="s">
        <v>2839</v>
      </c>
      <c r="H367" s="73" t="s">
        <v>2840</v>
      </c>
      <c r="I367" s="9" t="s">
        <v>2784</v>
      </c>
      <c r="J367" s="9" t="s">
        <v>2701</v>
      </c>
      <c r="K367" s="205" t="s">
        <v>2702</v>
      </c>
      <c r="L367" s="9" t="s">
        <v>2703</v>
      </c>
      <c r="M367" s="32" t="s">
        <v>125</v>
      </c>
      <c r="N367" s="129" t="s">
        <v>2704</v>
      </c>
      <c r="O367" s="122" t="s">
        <v>2704</v>
      </c>
      <c r="P367" s="123" t="str">
        <f t="shared" si="10"/>
        <v>C2-2025</v>
      </c>
      <c r="Q367" s="123" t="str">
        <f t="shared" si="11"/>
        <v>T2-2025</v>
      </c>
      <c r="R367" s="124" t="s">
        <v>2705</v>
      </c>
      <c r="S367" s="124" t="s">
        <v>2706</v>
      </c>
      <c r="T367" s="123" t="s">
        <v>2707</v>
      </c>
      <c r="U367" s="162" t="s">
        <v>2708</v>
      </c>
      <c r="V367" s="162" t="s">
        <v>56</v>
      </c>
      <c r="W367" s="237" t="s">
        <v>125</v>
      </c>
      <c r="X367" s="173" t="s">
        <v>2709</v>
      </c>
    </row>
    <row r="368" spans="1:24" hidden="1">
      <c r="A368" s="161">
        <v>45783</v>
      </c>
      <c r="B368" s="132">
        <v>1713</v>
      </c>
      <c r="C368" s="129" t="s">
        <v>2697</v>
      </c>
      <c r="D368" s="126">
        <v>-46.41</v>
      </c>
      <c r="E368" s="120">
        <v>1</v>
      </c>
      <c r="F368" s="127">
        <f>Tabla5109[[#This Row],[Original Amount]]*Tabla5109[[#This Row],[ER to EUR]]</f>
        <v>-46.41</v>
      </c>
      <c r="G368" s="9" t="s">
        <v>2777</v>
      </c>
      <c r="H368" s="9" t="s">
        <v>2778</v>
      </c>
      <c r="I368" s="9" t="s">
        <v>2755</v>
      </c>
      <c r="J368" s="9" t="s">
        <v>2714</v>
      </c>
      <c r="K368" s="205" t="s">
        <v>2780</v>
      </c>
      <c r="L368" s="9" t="s">
        <v>2716</v>
      </c>
      <c r="M368" s="32" t="s">
        <v>125</v>
      </c>
      <c r="N368" s="129" t="s">
        <v>2704</v>
      </c>
      <c r="O368" s="122" t="s">
        <v>2704</v>
      </c>
      <c r="P368" s="123" t="str">
        <f t="shared" si="10"/>
        <v>C2-2025</v>
      </c>
      <c r="Q368" s="123" t="str">
        <f t="shared" si="11"/>
        <v>T2-2025</v>
      </c>
      <c r="R368" s="124" t="s">
        <v>2705</v>
      </c>
      <c r="S368" s="123" t="s">
        <v>2735</v>
      </c>
      <c r="T368" s="123" t="s">
        <v>2724</v>
      </c>
      <c r="U368" s="162" t="s">
        <v>2708</v>
      </c>
      <c r="V368" s="162" t="s">
        <v>54</v>
      </c>
      <c r="W368" s="237" t="s">
        <v>125</v>
      </c>
      <c r="X368" s="173" t="s">
        <v>2709</v>
      </c>
    </row>
    <row r="369" spans="1:24" hidden="1">
      <c r="A369" s="161">
        <v>45783</v>
      </c>
      <c r="B369" s="125">
        <v>1649343</v>
      </c>
      <c r="C369" s="32" t="s">
        <v>2543</v>
      </c>
      <c r="D369" s="147">
        <v>-180449</v>
      </c>
      <c r="E369" s="120">
        <v>9.41E-4</v>
      </c>
      <c r="F369" s="127">
        <f>Tabla5109[[#This Row],[Original Amount]]*Tabla5109[[#This Row],[ER to EUR]]</f>
        <v>-169.80250899999999</v>
      </c>
      <c r="G369" s="91" t="s">
        <v>3087</v>
      </c>
      <c r="H369" s="9" t="s">
        <v>3088</v>
      </c>
      <c r="I369" s="91" t="s">
        <v>2713</v>
      </c>
      <c r="J369" s="9" t="s">
        <v>2701</v>
      </c>
      <c r="K369" s="205" t="s">
        <v>2771</v>
      </c>
      <c r="L369" s="9" t="s">
        <v>2772</v>
      </c>
      <c r="M369" s="227" t="s">
        <v>2704</v>
      </c>
      <c r="N369" s="129" t="s">
        <v>2748</v>
      </c>
      <c r="O369" s="122" t="s">
        <v>2704</v>
      </c>
      <c r="P369" s="123" t="str">
        <f t="shared" si="10"/>
        <v>C2-2025</v>
      </c>
      <c r="Q369" s="123" t="str">
        <f t="shared" si="11"/>
        <v>T2-2025</v>
      </c>
      <c r="R369" s="91" t="s">
        <v>2749</v>
      </c>
      <c r="S369" s="123" t="s">
        <v>2750</v>
      </c>
      <c r="T369" s="123" t="s">
        <v>2707</v>
      </c>
      <c r="U369" s="162" t="s">
        <v>2708</v>
      </c>
      <c r="V369" s="162" t="s">
        <v>54</v>
      </c>
      <c r="W369" s="237" t="s">
        <v>125</v>
      </c>
      <c r="X369" s="201" t="s">
        <v>2751</v>
      </c>
    </row>
    <row r="370" spans="1:24" hidden="1">
      <c r="A370" s="161">
        <v>45784</v>
      </c>
      <c r="B370" s="128" t="s">
        <v>3264</v>
      </c>
      <c r="C370" s="122" t="s">
        <v>2548</v>
      </c>
      <c r="D370" s="151">
        <v>-15</v>
      </c>
      <c r="E370" s="120">
        <v>0.88680000000000003</v>
      </c>
      <c r="F370" s="127">
        <f>Tabla5109[[#This Row],[Original Amount]]*Tabla5109[[#This Row],[ER to EUR]]</f>
        <v>-13.302</v>
      </c>
      <c r="G370" s="9" t="s">
        <v>3068</v>
      </c>
      <c r="H370" s="9" t="s">
        <v>3265</v>
      </c>
      <c r="I370" s="9" t="s">
        <v>2755</v>
      </c>
      <c r="J370" s="9" t="s">
        <v>2701</v>
      </c>
      <c r="K370" s="205" t="s">
        <v>2792</v>
      </c>
      <c r="L370" s="9" t="s">
        <v>2740</v>
      </c>
      <c r="M370" s="32" t="s">
        <v>125</v>
      </c>
      <c r="N370" s="129" t="s">
        <v>2704</v>
      </c>
      <c r="O370" s="122" t="s">
        <v>2704</v>
      </c>
      <c r="P370" s="123" t="str">
        <f t="shared" si="10"/>
        <v>C2-2025</v>
      </c>
      <c r="Q370" s="123" t="str">
        <f t="shared" si="11"/>
        <v>T2-2025</v>
      </c>
      <c r="R370" s="124" t="s">
        <v>2722</v>
      </c>
      <c r="S370" s="123" t="s">
        <v>2723</v>
      </c>
      <c r="T370" s="123" t="s">
        <v>2724</v>
      </c>
      <c r="U370" s="162" t="s">
        <v>2708</v>
      </c>
      <c r="V370" s="162" t="s">
        <v>54</v>
      </c>
      <c r="W370" s="237" t="s">
        <v>125</v>
      </c>
      <c r="X370" s="173" t="s">
        <v>2709</v>
      </c>
    </row>
    <row r="371" spans="1:24" hidden="1">
      <c r="A371" s="161">
        <v>45784</v>
      </c>
      <c r="B371" s="117" t="s">
        <v>3266</v>
      </c>
      <c r="C371" s="129" t="s">
        <v>2697</v>
      </c>
      <c r="D371" s="126">
        <v>-385.98</v>
      </c>
      <c r="E371" s="120">
        <v>1</v>
      </c>
      <c r="F371" s="127">
        <f>Tabla5109[[#This Row],[Original Amount]]*Tabla5109[[#This Row],[ER to EUR]]</f>
        <v>-385.98</v>
      </c>
      <c r="G371" s="9" t="s">
        <v>2884</v>
      </c>
      <c r="H371" s="73" t="s">
        <v>2885</v>
      </c>
      <c r="I371" s="9" t="s">
        <v>3267</v>
      </c>
      <c r="J371" s="9" t="s">
        <v>2723</v>
      </c>
      <c r="K371" s="205" t="s">
        <v>2792</v>
      </c>
      <c r="L371" s="9" t="s">
        <v>2793</v>
      </c>
      <c r="M371" s="32" t="s">
        <v>125</v>
      </c>
      <c r="N371" s="129" t="s">
        <v>2704</v>
      </c>
      <c r="O371" s="122" t="s">
        <v>2704</v>
      </c>
      <c r="P371" s="123" t="str">
        <f t="shared" si="10"/>
        <v>C2-2025</v>
      </c>
      <c r="Q371" s="123" t="str">
        <f t="shared" si="11"/>
        <v>T2-2025</v>
      </c>
      <c r="R371" s="124" t="s">
        <v>2741</v>
      </c>
      <c r="S371" s="123" t="s">
        <v>2723</v>
      </c>
      <c r="T371" s="123" t="s">
        <v>2707</v>
      </c>
      <c r="U371" s="162" t="s">
        <v>2708</v>
      </c>
      <c r="V371" s="162" t="s">
        <v>54</v>
      </c>
      <c r="W371" s="237" t="s">
        <v>125</v>
      </c>
      <c r="X371" s="173" t="s">
        <v>2709</v>
      </c>
    </row>
    <row r="372" spans="1:24" hidden="1">
      <c r="A372" s="161">
        <v>45784</v>
      </c>
      <c r="B372" s="128" t="s">
        <v>3268</v>
      </c>
      <c r="C372" s="129" t="s">
        <v>2697</v>
      </c>
      <c r="D372" s="126">
        <v>-89</v>
      </c>
      <c r="E372" s="120">
        <v>1</v>
      </c>
      <c r="F372" s="127">
        <f>Tabla5109[[#This Row],[Original Amount]]*Tabla5109[[#This Row],[ER to EUR]]</f>
        <v>-89</v>
      </c>
      <c r="G372" s="9" t="s">
        <v>3269</v>
      </c>
      <c r="H372" s="73" t="s">
        <v>3270</v>
      </c>
      <c r="I372" s="9" t="s">
        <v>2755</v>
      </c>
      <c r="J372" s="9" t="s">
        <v>2701</v>
      </c>
      <c r="K372" s="205" t="s">
        <v>2702</v>
      </c>
      <c r="L372" s="9" t="s">
        <v>2703</v>
      </c>
      <c r="M372" s="32" t="s">
        <v>125</v>
      </c>
      <c r="N372" s="129" t="s">
        <v>2704</v>
      </c>
      <c r="O372" s="122" t="s">
        <v>2704</v>
      </c>
      <c r="P372" s="123" t="str">
        <f t="shared" si="10"/>
        <v>C2-2025</v>
      </c>
      <c r="Q372" s="123" t="str">
        <f t="shared" si="11"/>
        <v>T2-2025</v>
      </c>
      <c r="R372" s="124" t="s">
        <v>2741</v>
      </c>
      <c r="S372" s="123" t="s">
        <v>2723</v>
      </c>
      <c r="T372" s="123" t="s">
        <v>2724</v>
      </c>
      <c r="U372" s="162" t="s">
        <v>2708</v>
      </c>
      <c r="V372" s="162" t="s">
        <v>54</v>
      </c>
      <c r="W372" s="237" t="s">
        <v>125</v>
      </c>
      <c r="X372" s="173" t="s">
        <v>2709</v>
      </c>
    </row>
    <row r="373" spans="1:24" hidden="1">
      <c r="A373" s="161">
        <v>45784</v>
      </c>
      <c r="B373" s="132">
        <v>1837911</v>
      </c>
      <c r="C373" s="32" t="s">
        <v>2543</v>
      </c>
      <c r="D373" s="147">
        <v>-478875</v>
      </c>
      <c r="E373" s="154">
        <v>9.41E-4</v>
      </c>
      <c r="F373" s="127">
        <f>Tabla5109[[#This Row],[Original Amount]]*Tabla5109[[#This Row],[ER to EUR]]</f>
        <v>-450.621375</v>
      </c>
      <c r="G373" s="9" t="s">
        <v>3183</v>
      </c>
      <c r="H373" s="9" t="s">
        <v>3184</v>
      </c>
      <c r="I373" s="9" t="s">
        <v>2713</v>
      </c>
      <c r="J373" s="9" t="s">
        <v>2770</v>
      </c>
      <c r="K373" s="205" t="s">
        <v>2814</v>
      </c>
      <c r="L373" s="211" t="s">
        <v>2772</v>
      </c>
      <c r="M373" s="227" t="s">
        <v>2704</v>
      </c>
      <c r="N373" s="129" t="s">
        <v>2748</v>
      </c>
      <c r="O373" s="129" t="s">
        <v>2704</v>
      </c>
      <c r="P373" s="123" t="str">
        <f t="shared" si="10"/>
        <v>C2-2025</v>
      </c>
      <c r="Q373" s="123" t="str">
        <f t="shared" si="11"/>
        <v>T2-2025</v>
      </c>
      <c r="R373" s="91" t="s">
        <v>2749</v>
      </c>
      <c r="S373" s="123" t="s">
        <v>2750</v>
      </c>
      <c r="T373" s="123" t="s">
        <v>2717</v>
      </c>
      <c r="U373" s="162" t="s">
        <v>2708</v>
      </c>
      <c r="V373" s="162" t="s">
        <v>56</v>
      </c>
      <c r="W373" s="237" t="s">
        <v>125</v>
      </c>
      <c r="X373" s="173" t="s">
        <v>2751</v>
      </c>
    </row>
    <row r="374" spans="1:24" hidden="1">
      <c r="A374" s="161">
        <v>45785</v>
      </c>
      <c r="B374" s="117">
        <v>307</v>
      </c>
      <c r="C374" s="129" t="s">
        <v>2697</v>
      </c>
      <c r="D374" s="126">
        <v>-166.6</v>
      </c>
      <c r="E374" s="120">
        <v>1</v>
      </c>
      <c r="F374" s="127">
        <f>Tabla5109[[#This Row],[Original Amount]]*Tabla5109[[#This Row],[ER to EUR]]</f>
        <v>-166.6</v>
      </c>
      <c r="G374" s="9" t="s">
        <v>3271</v>
      </c>
      <c r="H374" s="73" t="s">
        <v>3272</v>
      </c>
      <c r="I374" s="9" t="s">
        <v>2727</v>
      </c>
      <c r="J374" s="9" t="s">
        <v>2770</v>
      </c>
      <c r="K374" s="4" t="s">
        <v>2747</v>
      </c>
      <c r="L374" t="s">
        <v>2772</v>
      </c>
      <c r="M374" s="32" t="s">
        <v>125</v>
      </c>
      <c r="N374" s="129" t="s">
        <v>2704</v>
      </c>
      <c r="O374" s="122" t="s">
        <v>2704</v>
      </c>
      <c r="P374" s="123" t="str">
        <f t="shared" si="10"/>
        <v>C2-2025</v>
      </c>
      <c r="Q374" s="123" t="str">
        <f t="shared" si="11"/>
        <v>T2-2025</v>
      </c>
      <c r="R374" s="124" t="s">
        <v>2705</v>
      </c>
      <c r="S374" s="124" t="s">
        <v>2706</v>
      </c>
      <c r="T374" s="123" t="s">
        <v>2707</v>
      </c>
      <c r="U374" s="162" t="s">
        <v>2708</v>
      </c>
      <c r="V374" s="162" t="s">
        <v>56</v>
      </c>
      <c r="W374" s="237" t="s">
        <v>125</v>
      </c>
      <c r="X374" s="173" t="s">
        <v>2709</v>
      </c>
    </row>
    <row r="375" spans="1:24" hidden="1">
      <c r="A375" s="161">
        <v>45785</v>
      </c>
      <c r="B375" s="117">
        <v>13793789</v>
      </c>
      <c r="C375" s="129" t="s">
        <v>2697</v>
      </c>
      <c r="D375" s="126">
        <v>-50.42</v>
      </c>
      <c r="E375" s="120">
        <v>1</v>
      </c>
      <c r="F375" s="127">
        <f>Tabla5109[[#This Row],[Original Amount]]*Tabla5109[[#This Row],[ER to EUR]]</f>
        <v>-50.42</v>
      </c>
      <c r="G375" s="9" t="s">
        <v>2737</v>
      </c>
      <c r="H375" s="9" t="s">
        <v>3273</v>
      </c>
      <c r="I375" s="9" t="s">
        <v>2739</v>
      </c>
      <c r="J375" s="9" t="s">
        <v>2701</v>
      </c>
      <c r="K375" s="205" t="s">
        <v>2702</v>
      </c>
      <c r="L375" s="9" t="s">
        <v>2740</v>
      </c>
      <c r="M375" s="32" t="s">
        <v>125</v>
      </c>
      <c r="N375" s="129" t="s">
        <v>2704</v>
      </c>
      <c r="O375" s="122" t="s">
        <v>2704</v>
      </c>
      <c r="P375" s="123" t="str">
        <f t="shared" si="10"/>
        <v>C2-2025</v>
      </c>
      <c r="Q375" s="123" t="str">
        <f t="shared" si="11"/>
        <v>T2-2025</v>
      </c>
      <c r="R375" s="124" t="s">
        <v>2741</v>
      </c>
      <c r="S375" s="123" t="s">
        <v>2723</v>
      </c>
      <c r="T375" s="123" t="s">
        <v>2724</v>
      </c>
      <c r="U375" s="162" t="s">
        <v>2708</v>
      </c>
      <c r="V375" s="162" t="s">
        <v>54</v>
      </c>
      <c r="W375" s="237" t="s">
        <v>125</v>
      </c>
      <c r="X375" s="173" t="s">
        <v>2709</v>
      </c>
    </row>
    <row r="376" spans="1:24" hidden="1">
      <c r="A376" s="161">
        <v>45785</v>
      </c>
      <c r="B376" s="117" t="s">
        <v>3274</v>
      </c>
      <c r="C376" s="129" t="s">
        <v>2697</v>
      </c>
      <c r="D376" s="126">
        <v>-303.97000000000003</v>
      </c>
      <c r="E376" s="120">
        <v>1</v>
      </c>
      <c r="F376" s="127">
        <f>Tabla5109[[#This Row],[Original Amount]]*Tabla5109[[#This Row],[ER to EUR]]</f>
        <v>-303.97000000000003</v>
      </c>
      <c r="G376" s="9" t="s">
        <v>2884</v>
      </c>
      <c r="H376" s="73" t="s">
        <v>2885</v>
      </c>
      <c r="I376" s="9" t="s">
        <v>3267</v>
      </c>
      <c r="J376" s="9" t="s">
        <v>2723</v>
      </c>
      <c r="K376" s="205" t="s">
        <v>2792</v>
      </c>
      <c r="L376" s="9" t="s">
        <v>2793</v>
      </c>
      <c r="M376" s="32" t="s">
        <v>125</v>
      </c>
      <c r="N376" s="129" t="s">
        <v>2704</v>
      </c>
      <c r="O376" s="122" t="s">
        <v>2704</v>
      </c>
      <c r="P376" s="123" t="str">
        <f t="shared" si="10"/>
        <v>C2-2025</v>
      </c>
      <c r="Q376" s="123" t="str">
        <f t="shared" si="11"/>
        <v>T2-2025</v>
      </c>
      <c r="R376" s="124" t="s">
        <v>2741</v>
      </c>
      <c r="S376" s="123" t="s">
        <v>2723</v>
      </c>
      <c r="T376" s="123" t="s">
        <v>2707</v>
      </c>
      <c r="U376" s="162" t="s">
        <v>2708</v>
      </c>
      <c r="V376" s="162" t="s">
        <v>54</v>
      </c>
      <c r="W376" s="237" t="s">
        <v>125</v>
      </c>
      <c r="X376" s="173" t="s">
        <v>2709</v>
      </c>
    </row>
    <row r="377" spans="1:24" hidden="1">
      <c r="A377" s="161">
        <v>45785</v>
      </c>
      <c r="B377" s="133" t="s">
        <v>3275</v>
      </c>
      <c r="C377" s="32" t="s">
        <v>2697</v>
      </c>
      <c r="D377" s="126">
        <v>-59.49</v>
      </c>
      <c r="E377" s="120">
        <v>1</v>
      </c>
      <c r="F377" s="127">
        <f>Tabla5109[[#This Row],[Original Amount]]*Tabla5109[[#This Row],[ER to EUR]]</f>
        <v>-59.49</v>
      </c>
      <c r="G377" s="9" t="s">
        <v>2830</v>
      </c>
      <c r="H377" s="9" t="s">
        <v>3276</v>
      </c>
      <c r="I377" s="9" t="s">
        <v>2739</v>
      </c>
      <c r="J377" s="9" t="s">
        <v>2817</v>
      </c>
      <c r="K377" s="205" t="s">
        <v>2702</v>
      </c>
      <c r="L377" s="9" t="s">
        <v>2818</v>
      </c>
      <c r="M377" s="32" t="s">
        <v>125</v>
      </c>
      <c r="N377" s="122" t="s">
        <v>2704</v>
      </c>
      <c r="O377" s="129" t="s">
        <v>2704</v>
      </c>
      <c r="P377" s="123" t="str">
        <f t="shared" si="10"/>
        <v>C2-2025</v>
      </c>
      <c r="Q377" s="123" t="str">
        <f t="shared" si="11"/>
        <v>T2-2025</v>
      </c>
      <c r="R377" s="124" t="s">
        <v>2722</v>
      </c>
      <c r="S377" s="123" t="s">
        <v>2723</v>
      </c>
      <c r="T377" s="123" t="s">
        <v>2724</v>
      </c>
      <c r="U377" s="162" t="s">
        <v>2708</v>
      </c>
      <c r="V377" s="162" t="s">
        <v>54</v>
      </c>
      <c r="W377" s="237" t="s">
        <v>125</v>
      </c>
      <c r="X377" s="173" t="s">
        <v>2709</v>
      </c>
    </row>
    <row r="378" spans="1:24" hidden="1">
      <c r="A378" s="161">
        <v>45786</v>
      </c>
      <c r="B378" s="143">
        <v>78198713875</v>
      </c>
      <c r="C378" s="129" t="s">
        <v>2697</v>
      </c>
      <c r="D378" s="126">
        <v>-82.64</v>
      </c>
      <c r="E378" s="120">
        <v>1</v>
      </c>
      <c r="F378" s="127">
        <f>Tabla5109[[#This Row],[Original Amount]]*Tabla5109[[#This Row],[ER to EUR]]</f>
        <v>-82.64</v>
      </c>
      <c r="G378" s="9" t="s">
        <v>2718</v>
      </c>
      <c r="H378" s="73" t="s">
        <v>3277</v>
      </c>
      <c r="I378" s="91" t="s">
        <v>2720</v>
      </c>
      <c r="J378" s="9" t="s">
        <v>2714</v>
      </c>
      <c r="K378" s="205" t="s">
        <v>2721</v>
      </c>
      <c r="L378" s="9" t="s">
        <v>2716</v>
      </c>
      <c r="M378" s="32" t="s">
        <v>125</v>
      </c>
      <c r="N378" s="129" t="s">
        <v>2704</v>
      </c>
      <c r="O378" s="122" t="s">
        <v>2704</v>
      </c>
      <c r="P378" s="123" t="str">
        <f t="shared" si="10"/>
        <v>C2-2025</v>
      </c>
      <c r="Q378" s="123" t="str">
        <f t="shared" si="11"/>
        <v>T2-2025</v>
      </c>
      <c r="R378" s="124" t="s">
        <v>2722</v>
      </c>
      <c r="S378" s="123" t="s">
        <v>2723</v>
      </c>
      <c r="T378" s="123" t="s">
        <v>2724</v>
      </c>
      <c r="U378" s="162" t="s">
        <v>2708</v>
      </c>
      <c r="V378" s="162" t="s">
        <v>54</v>
      </c>
      <c r="W378" s="237" t="s">
        <v>125</v>
      </c>
      <c r="X378" s="173" t="s">
        <v>2709</v>
      </c>
    </row>
    <row r="379" spans="1:24" hidden="1">
      <c r="A379" s="161">
        <v>45786</v>
      </c>
      <c r="B379" s="133" t="s">
        <v>3278</v>
      </c>
      <c r="C379" s="129" t="s">
        <v>2697</v>
      </c>
      <c r="D379" s="126">
        <v>-2.06</v>
      </c>
      <c r="E379" s="120">
        <v>1</v>
      </c>
      <c r="F379" s="127">
        <f>Tabla5109[[#This Row],[Original Amount]]*Tabla5109[[#This Row],[ER to EUR]]</f>
        <v>-2.06</v>
      </c>
      <c r="G379" s="9" t="s">
        <v>2884</v>
      </c>
      <c r="H379" s="73" t="s">
        <v>2885</v>
      </c>
      <c r="I379" s="9" t="s">
        <v>3279</v>
      </c>
      <c r="J379" s="9" t="s">
        <v>2723</v>
      </c>
      <c r="K379" s="205" t="s">
        <v>2792</v>
      </c>
      <c r="L379" s="9" t="s">
        <v>2793</v>
      </c>
      <c r="M379" s="32" t="s">
        <v>125</v>
      </c>
      <c r="N379" s="129" t="s">
        <v>2704</v>
      </c>
      <c r="O379" s="122" t="s">
        <v>2704</v>
      </c>
      <c r="P379" s="123" t="str">
        <f t="shared" si="10"/>
        <v>C2-2025</v>
      </c>
      <c r="Q379" s="123" t="str">
        <f t="shared" si="11"/>
        <v>T2-2025</v>
      </c>
      <c r="R379" s="124" t="s">
        <v>2741</v>
      </c>
      <c r="S379" s="123" t="s">
        <v>2723</v>
      </c>
      <c r="T379" s="123" t="s">
        <v>2707</v>
      </c>
      <c r="U379" s="162" t="s">
        <v>2708</v>
      </c>
      <c r="V379" s="162" t="s">
        <v>54</v>
      </c>
      <c r="W379" s="237" t="s">
        <v>125</v>
      </c>
      <c r="X379" s="173" t="s">
        <v>2709</v>
      </c>
    </row>
    <row r="380" spans="1:24" hidden="1">
      <c r="A380" s="161">
        <v>45787</v>
      </c>
      <c r="B380" s="117">
        <v>2885465</v>
      </c>
      <c r="C380" s="122" t="s">
        <v>2548</v>
      </c>
      <c r="D380" s="151">
        <v>-499</v>
      </c>
      <c r="E380" s="120">
        <v>0.88680000000000003</v>
      </c>
      <c r="F380" s="127">
        <f>Tabla5109[[#This Row],[Original Amount]]*Tabla5109[[#This Row],[ER to EUR]]</f>
        <v>-442.51320000000004</v>
      </c>
      <c r="G380" s="9" t="s">
        <v>3193</v>
      </c>
      <c r="H380" s="73" t="s">
        <v>3194</v>
      </c>
      <c r="I380" s="9" t="s">
        <v>2739</v>
      </c>
      <c r="J380" s="37" t="s">
        <v>2701</v>
      </c>
      <c r="K380" s="217" t="s">
        <v>2702</v>
      </c>
      <c r="L380" s="37" t="s">
        <v>2793</v>
      </c>
      <c r="M380" s="32" t="s">
        <v>125</v>
      </c>
      <c r="N380" s="156" t="s">
        <v>2704</v>
      </c>
      <c r="O380" s="158" t="s">
        <v>2704</v>
      </c>
      <c r="P380" s="123" t="str">
        <f t="shared" si="10"/>
        <v>C2-2025</v>
      </c>
      <c r="Q380" s="123" t="str">
        <f t="shared" si="11"/>
        <v>T2-2025</v>
      </c>
      <c r="R380" s="124" t="s">
        <v>2722</v>
      </c>
      <c r="S380" s="123" t="s">
        <v>2723</v>
      </c>
      <c r="T380" s="123" t="s">
        <v>2724</v>
      </c>
      <c r="U380" s="162" t="s">
        <v>2708</v>
      </c>
      <c r="V380" s="162" t="s">
        <v>54</v>
      </c>
      <c r="W380" s="237" t="s">
        <v>125</v>
      </c>
      <c r="X380" s="173" t="s">
        <v>2709</v>
      </c>
    </row>
    <row r="381" spans="1:24" hidden="1">
      <c r="A381" s="161">
        <v>45787</v>
      </c>
      <c r="B381" s="128" t="s">
        <v>3280</v>
      </c>
      <c r="C381" s="129" t="s">
        <v>2697</v>
      </c>
      <c r="D381" s="126">
        <v>-124.99</v>
      </c>
      <c r="E381" s="120">
        <v>1</v>
      </c>
      <c r="F381" s="127">
        <f>Tabla5109[[#This Row],[Original Amount]]*Tabla5109[[#This Row],[ER to EUR]]</f>
        <v>-124.99</v>
      </c>
      <c r="G381" s="9" t="s">
        <v>2839</v>
      </c>
      <c r="H381" s="73" t="s">
        <v>2840</v>
      </c>
      <c r="I381" s="9" t="s">
        <v>2784</v>
      </c>
      <c r="J381" s="9" t="s">
        <v>2701</v>
      </c>
      <c r="K381" s="205" t="s">
        <v>2702</v>
      </c>
      <c r="L381" s="9" t="s">
        <v>2703</v>
      </c>
      <c r="M381" s="32" t="s">
        <v>125</v>
      </c>
      <c r="N381" s="129" t="s">
        <v>2704</v>
      </c>
      <c r="O381" s="122" t="s">
        <v>2704</v>
      </c>
      <c r="P381" s="123" t="str">
        <f t="shared" si="10"/>
        <v>C2-2025</v>
      </c>
      <c r="Q381" s="123" t="str">
        <f t="shared" si="11"/>
        <v>T2-2025</v>
      </c>
      <c r="R381" s="124" t="s">
        <v>2705</v>
      </c>
      <c r="S381" s="124" t="s">
        <v>2706</v>
      </c>
      <c r="T381" s="123" t="s">
        <v>2707</v>
      </c>
      <c r="U381" s="162" t="s">
        <v>2708</v>
      </c>
      <c r="V381" s="162" t="s">
        <v>57</v>
      </c>
      <c r="W381" s="237" t="s">
        <v>125</v>
      </c>
      <c r="X381" s="173" t="s">
        <v>2709</v>
      </c>
    </row>
    <row r="382" spans="1:24" hidden="1">
      <c r="A382" s="161">
        <v>45788</v>
      </c>
      <c r="B382" s="117" t="s">
        <v>3281</v>
      </c>
      <c r="C382" s="129" t="s">
        <v>2697</v>
      </c>
      <c r="D382" s="126">
        <v>-66.08</v>
      </c>
      <c r="E382" s="120">
        <v>1</v>
      </c>
      <c r="F382" s="127">
        <f>Tabla5109[[#This Row],[Original Amount]]*Tabla5109[[#This Row],[ER to EUR]]</f>
        <v>-66.08</v>
      </c>
      <c r="G382" s="9" t="s">
        <v>2698</v>
      </c>
      <c r="H382" s="73" t="s">
        <v>3282</v>
      </c>
      <c r="I382" s="9" t="s">
        <v>2784</v>
      </c>
      <c r="J382" s="37" t="s">
        <v>2701</v>
      </c>
      <c r="K382" s="217" t="s">
        <v>2702</v>
      </c>
      <c r="L382" s="37" t="s">
        <v>2703</v>
      </c>
      <c r="M382" s="32" t="s">
        <v>125</v>
      </c>
      <c r="N382" s="156" t="s">
        <v>2704</v>
      </c>
      <c r="O382" s="158" t="s">
        <v>2704</v>
      </c>
      <c r="P382" s="123" t="str">
        <f t="shared" si="10"/>
        <v>C2-2025</v>
      </c>
      <c r="Q382" s="123" t="str">
        <f t="shared" si="11"/>
        <v>T2-2025</v>
      </c>
      <c r="R382" s="124" t="s">
        <v>2705</v>
      </c>
      <c r="S382" s="124" t="s">
        <v>2706</v>
      </c>
      <c r="T382" s="123" t="s">
        <v>2707</v>
      </c>
      <c r="U382" s="162" t="s">
        <v>2708</v>
      </c>
      <c r="V382" s="162" t="s">
        <v>54</v>
      </c>
      <c r="W382" s="237" t="s">
        <v>125</v>
      </c>
      <c r="X382" s="173" t="s">
        <v>2709</v>
      </c>
    </row>
    <row r="383" spans="1:24" hidden="1">
      <c r="A383" s="161">
        <v>45788</v>
      </c>
      <c r="B383" s="117" t="s">
        <v>3283</v>
      </c>
      <c r="C383" s="129" t="s">
        <v>2697</v>
      </c>
      <c r="D383" s="126">
        <v>-818</v>
      </c>
      <c r="E383" s="120">
        <v>1</v>
      </c>
      <c r="F383" s="127">
        <f>Tabla5109[[#This Row],[Original Amount]]*Tabla5109[[#This Row],[ER to EUR]]</f>
        <v>-818</v>
      </c>
      <c r="G383" s="9" t="s">
        <v>2884</v>
      </c>
      <c r="H383" s="73" t="s">
        <v>2885</v>
      </c>
      <c r="I383" s="9" t="s">
        <v>3267</v>
      </c>
      <c r="J383" s="9" t="s">
        <v>2723</v>
      </c>
      <c r="K383" s="205" t="s">
        <v>2792</v>
      </c>
      <c r="L383" s="9" t="s">
        <v>2793</v>
      </c>
      <c r="M383" s="32" t="s">
        <v>125</v>
      </c>
      <c r="N383" s="129" t="s">
        <v>2704</v>
      </c>
      <c r="O383" s="122" t="s">
        <v>2704</v>
      </c>
      <c r="P383" s="123" t="str">
        <f t="shared" si="10"/>
        <v>C2-2025</v>
      </c>
      <c r="Q383" s="123" t="str">
        <f t="shared" si="11"/>
        <v>T2-2025</v>
      </c>
      <c r="R383" s="124" t="s">
        <v>2741</v>
      </c>
      <c r="S383" s="123" t="s">
        <v>2723</v>
      </c>
      <c r="T383" s="123" t="s">
        <v>2707</v>
      </c>
      <c r="U383" s="162" t="s">
        <v>2708</v>
      </c>
      <c r="V383" s="162" t="s">
        <v>54</v>
      </c>
      <c r="W383" s="237" t="s">
        <v>125</v>
      </c>
      <c r="X383" s="173" t="s">
        <v>2709</v>
      </c>
    </row>
    <row r="384" spans="1:24" hidden="1">
      <c r="A384" s="161">
        <v>45789</v>
      </c>
      <c r="B384" s="399" t="s">
        <v>3284</v>
      </c>
      <c r="C384" s="129" t="s">
        <v>2697</v>
      </c>
      <c r="D384" s="126">
        <v>-187.23</v>
      </c>
      <c r="E384" s="120">
        <v>1</v>
      </c>
      <c r="F384" s="127">
        <f>Tabla5109[[#This Row],[Original Amount]]*Tabla5109[[#This Row],[ER to EUR]]</f>
        <v>-187.23</v>
      </c>
      <c r="G384" s="9" t="s">
        <v>3128</v>
      </c>
      <c r="H384" s="73" t="s">
        <v>2994</v>
      </c>
      <c r="I384" s="9" t="s">
        <v>2755</v>
      </c>
      <c r="J384" s="9" t="s">
        <v>2701</v>
      </c>
      <c r="K384" s="205" t="s">
        <v>2702</v>
      </c>
      <c r="L384" s="9" t="s">
        <v>2703</v>
      </c>
      <c r="M384" s="32" t="s">
        <v>125</v>
      </c>
      <c r="N384" s="129" t="s">
        <v>2704</v>
      </c>
      <c r="O384" s="122" t="s">
        <v>2704</v>
      </c>
      <c r="P384" s="123" t="str">
        <f t="shared" si="10"/>
        <v>C2-2025</v>
      </c>
      <c r="Q384" s="123" t="str">
        <f t="shared" si="11"/>
        <v>T2-2025</v>
      </c>
      <c r="R384" s="124" t="s">
        <v>2741</v>
      </c>
      <c r="S384" s="123" t="s">
        <v>2723</v>
      </c>
      <c r="T384" s="123" t="s">
        <v>2707</v>
      </c>
      <c r="U384" s="162" t="s">
        <v>2708</v>
      </c>
      <c r="V384" s="162" t="s">
        <v>54</v>
      </c>
      <c r="W384" s="237" t="s">
        <v>125</v>
      </c>
      <c r="X384" s="173" t="s">
        <v>2709</v>
      </c>
    </row>
    <row r="385" spans="1:24" hidden="1">
      <c r="A385" s="161">
        <v>45789</v>
      </c>
      <c r="B385" s="133" t="s">
        <v>3285</v>
      </c>
      <c r="C385" s="32" t="s">
        <v>2697</v>
      </c>
      <c r="D385" s="260">
        <v>-1059.44</v>
      </c>
      <c r="E385" s="120">
        <v>1</v>
      </c>
      <c r="F385" s="259">
        <f>Tabla5109[[#This Row],[Original Amount]]*Tabla5109[[#This Row],[ER to EUR]]</f>
        <v>-1059.44</v>
      </c>
      <c r="G385" s="9" t="s">
        <v>3286</v>
      </c>
      <c r="H385" s="9" t="s">
        <v>3287</v>
      </c>
      <c r="I385" s="9" t="s">
        <v>3288</v>
      </c>
      <c r="J385" s="9" t="s">
        <v>2825</v>
      </c>
      <c r="K385" s="205" t="s">
        <v>2826</v>
      </c>
      <c r="L385" s="9" t="s">
        <v>2827</v>
      </c>
      <c r="M385" s="227" t="s">
        <v>2704</v>
      </c>
      <c r="N385" s="129" t="s">
        <v>2704</v>
      </c>
      <c r="O385" s="122" t="s">
        <v>2704</v>
      </c>
      <c r="P385" s="123" t="str">
        <f t="shared" si="10"/>
        <v>C2-2025</v>
      </c>
      <c r="Q385" s="123" t="str">
        <f t="shared" si="11"/>
        <v>T2-2025</v>
      </c>
      <c r="R385" s="124" t="s">
        <v>2705</v>
      </c>
      <c r="S385" s="124" t="s">
        <v>2706</v>
      </c>
      <c r="T385" s="123" t="s">
        <v>2717</v>
      </c>
      <c r="U385" s="162" t="s">
        <v>2708</v>
      </c>
      <c r="V385" s="162" t="s">
        <v>56</v>
      </c>
      <c r="W385" s="237" t="s">
        <v>125</v>
      </c>
      <c r="X385" s="173" t="s">
        <v>2751</v>
      </c>
    </row>
    <row r="386" spans="1:24" hidden="1">
      <c r="A386" s="161">
        <v>45789</v>
      </c>
      <c r="B386" s="133" t="s">
        <v>3289</v>
      </c>
      <c r="C386" s="32" t="s">
        <v>2697</v>
      </c>
      <c r="D386" s="260">
        <v>-1059.44</v>
      </c>
      <c r="E386" s="120">
        <v>1</v>
      </c>
      <c r="F386" s="259">
        <f>Tabla5109[[#This Row],[Original Amount]]*Tabla5109[[#This Row],[ER to EUR]]</f>
        <v>-1059.44</v>
      </c>
      <c r="G386" s="9" t="s">
        <v>3286</v>
      </c>
      <c r="H386" s="9" t="s">
        <v>3290</v>
      </c>
      <c r="I386" s="9" t="s">
        <v>3288</v>
      </c>
      <c r="J386" s="9" t="s">
        <v>2825</v>
      </c>
      <c r="K386" s="205" t="s">
        <v>2826</v>
      </c>
      <c r="L386" s="9" t="s">
        <v>2827</v>
      </c>
      <c r="M386" s="227" t="s">
        <v>2704</v>
      </c>
      <c r="N386" s="129" t="s">
        <v>2704</v>
      </c>
      <c r="O386" s="122" t="s">
        <v>2704</v>
      </c>
      <c r="P386" s="123" t="str">
        <f t="shared" ref="P386:P449" si="12">"C"&amp;INT((MONTH(A386)-1)/4)+1&amp;"-"&amp;YEAR(A386)</f>
        <v>C2-2025</v>
      </c>
      <c r="Q386" s="123" t="str">
        <f t="shared" ref="Q386:Q449" si="13">"T"&amp;INT((MONTH(A386)-1)/3)+1&amp;"-"&amp;YEAR(A386)</f>
        <v>T2-2025</v>
      </c>
      <c r="R386" s="124" t="s">
        <v>2828</v>
      </c>
      <c r="S386" s="124" t="s">
        <v>2706</v>
      </c>
      <c r="T386" s="123" t="s">
        <v>2717</v>
      </c>
      <c r="U386" s="162" t="s">
        <v>2708</v>
      </c>
      <c r="V386" s="162" t="s">
        <v>56</v>
      </c>
      <c r="W386" s="237" t="s">
        <v>125</v>
      </c>
      <c r="X386" s="173" t="s">
        <v>2751</v>
      </c>
    </row>
    <row r="387" spans="1:24" hidden="1">
      <c r="A387" s="161">
        <v>45790</v>
      </c>
      <c r="B387" s="117" t="s">
        <v>3291</v>
      </c>
      <c r="C387" s="129" t="s">
        <v>2697</v>
      </c>
      <c r="D387" s="126">
        <v>-59.5</v>
      </c>
      <c r="E387" s="120">
        <v>1</v>
      </c>
      <c r="F387" s="127">
        <f>Tabla5109[[#This Row],[Original Amount]]*Tabla5109[[#This Row],[ER to EUR]]</f>
        <v>-59.5</v>
      </c>
      <c r="G387" s="9" t="s">
        <v>2698</v>
      </c>
      <c r="H387" s="73" t="s">
        <v>3292</v>
      </c>
      <c r="I387" s="9" t="s">
        <v>2784</v>
      </c>
      <c r="J387" s="9" t="s">
        <v>2701</v>
      </c>
      <c r="K387" s="205" t="s">
        <v>2702</v>
      </c>
      <c r="L387" s="9" t="s">
        <v>2703</v>
      </c>
      <c r="M387" s="32" t="s">
        <v>125</v>
      </c>
      <c r="N387" s="129" t="s">
        <v>2704</v>
      </c>
      <c r="O387" s="122" t="s">
        <v>2704</v>
      </c>
      <c r="P387" s="123" t="str">
        <f t="shared" si="12"/>
        <v>C2-2025</v>
      </c>
      <c r="Q387" s="123" t="str">
        <f t="shared" si="13"/>
        <v>T2-2025</v>
      </c>
      <c r="R387" s="124" t="s">
        <v>2705</v>
      </c>
      <c r="S387" s="124" t="s">
        <v>2706</v>
      </c>
      <c r="T387" s="123" t="s">
        <v>2707</v>
      </c>
      <c r="U387" s="162" t="s">
        <v>2708</v>
      </c>
      <c r="V387" s="162" t="s">
        <v>54</v>
      </c>
      <c r="W387" s="237" t="s">
        <v>125</v>
      </c>
      <c r="X387" s="173" t="s">
        <v>2709</v>
      </c>
    </row>
    <row r="388" spans="1:24" hidden="1">
      <c r="A388" s="161">
        <v>45790</v>
      </c>
      <c r="B388" s="117" t="s">
        <v>3293</v>
      </c>
      <c r="C388" s="129" t="s">
        <v>2697</v>
      </c>
      <c r="D388" s="126">
        <v>-815.94</v>
      </c>
      <c r="E388" s="120">
        <v>1</v>
      </c>
      <c r="F388" s="127">
        <f>Tabla5109[[#This Row],[Original Amount]]*Tabla5109[[#This Row],[ER to EUR]]</f>
        <v>-815.94</v>
      </c>
      <c r="G388" s="9" t="s">
        <v>2884</v>
      </c>
      <c r="H388" s="73" t="s">
        <v>2885</v>
      </c>
      <c r="I388" s="9" t="s">
        <v>3267</v>
      </c>
      <c r="J388" s="9" t="s">
        <v>2723</v>
      </c>
      <c r="K388" s="205" t="s">
        <v>2792</v>
      </c>
      <c r="L388" s="9" t="s">
        <v>2793</v>
      </c>
      <c r="M388" s="32" t="s">
        <v>125</v>
      </c>
      <c r="N388" s="129" t="s">
        <v>2704</v>
      </c>
      <c r="O388" s="122" t="s">
        <v>2704</v>
      </c>
      <c r="P388" s="123" t="str">
        <f t="shared" si="12"/>
        <v>C2-2025</v>
      </c>
      <c r="Q388" s="123" t="str">
        <f t="shared" si="13"/>
        <v>T2-2025</v>
      </c>
      <c r="R388" s="124" t="s">
        <v>2741</v>
      </c>
      <c r="S388" s="123" t="s">
        <v>2723</v>
      </c>
      <c r="T388" s="123" t="s">
        <v>2707</v>
      </c>
      <c r="U388" s="162" t="s">
        <v>2708</v>
      </c>
      <c r="V388" s="162" t="s">
        <v>54</v>
      </c>
      <c r="W388" s="237" t="s">
        <v>125</v>
      </c>
      <c r="X388" s="173" t="s">
        <v>2709</v>
      </c>
    </row>
    <row r="389" spans="1:24" hidden="1">
      <c r="A389" s="161">
        <v>45790</v>
      </c>
      <c r="B389" s="117" t="s">
        <v>3294</v>
      </c>
      <c r="C389" s="129" t="s">
        <v>2697</v>
      </c>
      <c r="D389" s="126">
        <v>-818</v>
      </c>
      <c r="E389" s="120">
        <v>1</v>
      </c>
      <c r="F389" s="127">
        <f>Tabla5109[[#This Row],[Original Amount]]*Tabla5109[[#This Row],[ER to EUR]]</f>
        <v>-818</v>
      </c>
      <c r="G389" s="9" t="s">
        <v>2884</v>
      </c>
      <c r="H389" s="73" t="s">
        <v>2885</v>
      </c>
      <c r="I389" s="9" t="s">
        <v>3267</v>
      </c>
      <c r="J389" s="9" t="s">
        <v>2723</v>
      </c>
      <c r="K389" s="205" t="s">
        <v>2792</v>
      </c>
      <c r="L389" s="9" t="s">
        <v>2793</v>
      </c>
      <c r="M389" s="32" t="s">
        <v>125</v>
      </c>
      <c r="N389" s="129" t="s">
        <v>2704</v>
      </c>
      <c r="O389" s="122" t="s">
        <v>2704</v>
      </c>
      <c r="P389" s="123" t="str">
        <f t="shared" si="12"/>
        <v>C2-2025</v>
      </c>
      <c r="Q389" s="123" t="str">
        <f t="shared" si="13"/>
        <v>T2-2025</v>
      </c>
      <c r="R389" s="124" t="s">
        <v>2741</v>
      </c>
      <c r="S389" s="123" t="s">
        <v>2723</v>
      </c>
      <c r="T389" s="123" t="s">
        <v>2707</v>
      </c>
      <c r="U389" s="162" t="s">
        <v>2708</v>
      </c>
      <c r="V389" s="162" t="s">
        <v>54</v>
      </c>
      <c r="W389" s="237" t="s">
        <v>125</v>
      </c>
      <c r="X389" s="173" t="s">
        <v>2709</v>
      </c>
    </row>
    <row r="390" spans="1:24" hidden="1">
      <c r="A390" s="161">
        <v>45791</v>
      </c>
      <c r="B390" s="117" t="s">
        <v>3295</v>
      </c>
      <c r="C390" s="129" t="s">
        <v>2697</v>
      </c>
      <c r="D390" s="126">
        <v>-818</v>
      </c>
      <c r="E390" s="120">
        <v>1</v>
      </c>
      <c r="F390" s="127">
        <f>Tabla5109[[#This Row],[Original Amount]]*Tabla5109[[#This Row],[ER to EUR]]</f>
        <v>-818</v>
      </c>
      <c r="G390" s="9" t="s">
        <v>2884</v>
      </c>
      <c r="H390" s="73" t="s">
        <v>2885</v>
      </c>
      <c r="I390" s="9" t="s">
        <v>3267</v>
      </c>
      <c r="J390" s="9" t="s">
        <v>2723</v>
      </c>
      <c r="K390" s="205" t="s">
        <v>2792</v>
      </c>
      <c r="L390" s="9" t="s">
        <v>2793</v>
      </c>
      <c r="M390" s="32" t="s">
        <v>125</v>
      </c>
      <c r="N390" s="129" t="s">
        <v>2704</v>
      </c>
      <c r="O390" s="122" t="s">
        <v>2704</v>
      </c>
      <c r="P390" s="123" t="str">
        <f t="shared" si="12"/>
        <v>C2-2025</v>
      </c>
      <c r="Q390" s="123" t="str">
        <f t="shared" si="13"/>
        <v>T2-2025</v>
      </c>
      <c r="R390" s="124" t="s">
        <v>2741</v>
      </c>
      <c r="S390" s="123" t="s">
        <v>2723</v>
      </c>
      <c r="T390" s="123" t="s">
        <v>2707</v>
      </c>
      <c r="U390" s="162" t="s">
        <v>2708</v>
      </c>
      <c r="V390" s="162" t="s">
        <v>54</v>
      </c>
      <c r="W390" s="237" t="s">
        <v>125</v>
      </c>
      <c r="X390" s="173" t="s">
        <v>2709</v>
      </c>
    </row>
    <row r="391" spans="1:24" hidden="1">
      <c r="A391" s="161">
        <v>45792</v>
      </c>
      <c r="B391" s="130" t="s">
        <v>3296</v>
      </c>
      <c r="C391" s="122" t="s">
        <v>2548</v>
      </c>
      <c r="D391" s="141">
        <v>-46.88</v>
      </c>
      <c r="E391" s="120">
        <v>0.88680000000000003</v>
      </c>
      <c r="F391" s="127">
        <f>Tabla5109[[#This Row],[Original Amount]]*Tabla5109[[#This Row],[ER to EUR]]</f>
        <v>-41.573184000000005</v>
      </c>
      <c r="G391" s="9" t="s">
        <v>2786</v>
      </c>
      <c r="H391" s="73" t="s">
        <v>3297</v>
      </c>
      <c r="I391" s="9" t="s">
        <v>2713</v>
      </c>
      <c r="J391" s="9" t="s">
        <v>2701</v>
      </c>
      <c r="K391" s="205" t="s">
        <v>2702</v>
      </c>
      <c r="L391" s="9" t="s">
        <v>2788</v>
      </c>
      <c r="M391" s="32" t="s">
        <v>125</v>
      </c>
      <c r="N391" s="129" t="s">
        <v>2704</v>
      </c>
      <c r="O391" s="122" t="s">
        <v>2704</v>
      </c>
      <c r="P391" s="123" t="str">
        <f t="shared" si="12"/>
        <v>C2-2025</v>
      </c>
      <c r="Q391" s="123" t="str">
        <f t="shared" si="13"/>
        <v>T2-2025</v>
      </c>
      <c r="R391" s="124" t="s">
        <v>2705</v>
      </c>
      <c r="S391" s="124" t="s">
        <v>2706</v>
      </c>
      <c r="T391" s="123" t="s">
        <v>2724</v>
      </c>
      <c r="U391" s="162" t="s">
        <v>2708</v>
      </c>
      <c r="V391" s="162" t="s">
        <v>56</v>
      </c>
      <c r="W391" s="237" t="s">
        <v>125</v>
      </c>
      <c r="X391" s="173" t="s">
        <v>2709</v>
      </c>
    </row>
    <row r="392" spans="1:24" hidden="1">
      <c r="A392" s="161">
        <v>45792</v>
      </c>
      <c r="B392" s="128" t="s">
        <v>3298</v>
      </c>
      <c r="C392" s="129" t="s">
        <v>2697</v>
      </c>
      <c r="D392" s="139">
        <v>-118.99</v>
      </c>
      <c r="E392" s="120">
        <v>1</v>
      </c>
      <c r="F392" s="127">
        <f>Tabla5109[[#This Row],[Original Amount]]*Tabla5109[[#This Row],[ER to EUR]]</f>
        <v>-118.99</v>
      </c>
      <c r="G392" s="9" t="s">
        <v>2812</v>
      </c>
      <c r="H392" s="73" t="s">
        <v>2813</v>
      </c>
      <c r="I392" s="9" t="s">
        <v>2727</v>
      </c>
      <c r="J392" s="9" t="s">
        <v>2714</v>
      </c>
      <c r="K392" s="205" t="s">
        <v>2814</v>
      </c>
      <c r="L392" s="9" t="s">
        <v>2799</v>
      </c>
      <c r="M392" s="32" t="s">
        <v>125</v>
      </c>
      <c r="N392" s="129" t="s">
        <v>2704</v>
      </c>
      <c r="O392" s="122" t="s">
        <v>2704</v>
      </c>
      <c r="P392" s="123" t="str">
        <f t="shared" si="12"/>
        <v>C2-2025</v>
      </c>
      <c r="Q392" s="123" t="str">
        <f t="shared" si="13"/>
        <v>T2-2025</v>
      </c>
      <c r="R392" s="124" t="s">
        <v>2705</v>
      </c>
      <c r="S392" s="124" t="s">
        <v>2706</v>
      </c>
      <c r="T392" s="123" t="s">
        <v>2724</v>
      </c>
      <c r="U392" s="162" t="s">
        <v>2708</v>
      </c>
      <c r="V392" s="162" t="s">
        <v>56</v>
      </c>
      <c r="W392" s="237" t="s">
        <v>125</v>
      </c>
      <c r="X392" s="173" t="s">
        <v>2709</v>
      </c>
    </row>
    <row r="393" spans="1:24" hidden="1">
      <c r="A393" s="161">
        <v>45792</v>
      </c>
      <c r="B393" s="133" t="s">
        <v>3299</v>
      </c>
      <c r="C393" s="32" t="s">
        <v>2697</v>
      </c>
      <c r="D393" s="139">
        <v>-38.979999999999997</v>
      </c>
      <c r="E393" s="120">
        <v>1</v>
      </c>
      <c r="F393" s="127">
        <f>Tabla5109[[#This Row],[Original Amount]]*Tabla5109[[#This Row],[ER to EUR]]</f>
        <v>-38.979999999999997</v>
      </c>
      <c r="G393" s="9" t="s">
        <v>2830</v>
      </c>
      <c r="H393" s="9" t="s">
        <v>3300</v>
      </c>
      <c r="I393" s="9" t="s">
        <v>2739</v>
      </c>
      <c r="J393" s="9" t="s">
        <v>2817</v>
      </c>
      <c r="K393" s="205" t="s">
        <v>2702</v>
      </c>
      <c r="L393" s="9" t="s">
        <v>2818</v>
      </c>
      <c r="M393" s="32" t="s">
        <v>125</v>
      </c>
      <c r="N393" s="122" t="s">
        <v>2704</v>
      </c>
      <c r="O393" s="129" t="s">
        <v>2704</v>
      </c>
      <c r="P393" s="123" t="str">
        <f t="shared" si="12"/>
        <v>C2-2025</v>
      </c>
      <c r="Q393" s="123" t="str">
        <f t="shared" si="13"/>
        <v>T2-2025</v>
      </c>
      <c r="R393" s="124" t="s">
        <v>2722</v>
      </c>
      <c r="S393" s="123" t="s">
        <v>2723</v>
      </c>
      <c r="T393" s="123" t="s">
        <v>2724</v>
      </c>
      <c r="U393" s="162" t="s">
        <v>2708</v>
      </c>
      <c r="V393" s="162" t="s">
        <v>54</v>
      </c>
      <c r="W393" s="237" t="s">
        <v>125</v>
      </c>
      <c r="X393" s="173" t="s">
        <v>2709</v>
      </c>
    </row>
    <row r="394" spans="1:24" hidden="1">
      <c r="A394" s="161">
        <v>45792</v>
      </c>
      <c r="B394" s="134">
        <v>15</v>
      </c>
      <c r="C394" s="32" t="s">
        <v>2697</v>
      </c>
      <c r="D394" s="126">
        <v>-4760</v>
      </c>
      <c r="E394" s="120">
        <v>1</v>
      </c>
      <c r="F394" s="127">
        <f>Tabla5109[[#This Row],[Original Amount]]*Tabla5109[[#This Row],[ER to EUR]]</f>
        <v>-4760</v>
      </c>
      <c r="G394" s="9" t="s">
        <v>2790</v>
      </c>
      <c r="H394" s="91" t="s">
        <v>2791</v>
      </c>
      <c r="I394" s="9" t="s">
        <v>2727</v>
      </c>
      <c r="J394" s="9" t="s">
        <v>2723</v>
      </c>
      <c r="K394" s="205" t="s">
        <v>2792</v>
      </c>
      <c r="L394" s="9" t="s">
        <v>2793</v>
      </c>
      <c r="M394" s="32" t="s">
        <v>125</v>
      </c>
      <c r="N394" s="129" t="s">
        <v>2748</v>
      </c>
      <c r="O394" s="122" t="s">
        <v>2748</v>
      </c>
      <c r="P394" s="123" t="str">
        <f t="shared" si="12"/>
        <v>C2-2025</v>
      </c>
      <c r="Q394" s="123" t="str">
        <f t="shared" si="13"/>
        <v>T2-2025</v>
      </c>
      <c r="R394" s="124" t="s">
        <v>2794</v>
      </c>
      <c r="S394" s="123" t="s">
        <v>2731</v>
      </c>
      <c r="T394" s="123" t="s">
        <v>2724</v>
      </c>
      <c r="U394" s="162" t="s">
        <v>2708</v>
      </c>
      <c r="V394" s="162" t="s">
        <v>57</v>
      </c>
      <c r="W394" s="237" t="s">
        <v>125</v>
      </c>
      <c r="X394" s="173" t="s">
        <v>2709</v>
      </c>
    </row>
    <row r="395" spans="1:24" hidden="1">
      <c r="A395" s="161">
        <v>45793</v>
      </c>
      <c r="B395" s="117" t="s">
        <v>3301</v>
      </c>
      <c r="C395" s="129" t="s">
        <v>2697</v>
      </c>
      <c r="D395" s="139">
        <v>-818</v>
      </c>
      <c r="E395" s="120">
        <v>1</v>
      </c>
      <c r="F395" s="127">
        <f>Tabla5109[[#This Row],[Original Amount]]*Tabla5109[[#This Row],[ER to EUR]]</f>
        <v>-818</v>
      </c>
      <c r="G395" s="9" t="s">
        <v>2884</v>
      </c>
      <c r="H395" s="73" t="s">
        <v>2885</v>
      </c>
      <c r="I395" s="9" t="s">
        <v>3267</v>
      </c>
      <c r="J395" s="9" t="s">
        <v>2723</v>
      </c>
      <c r="K395" s="205" t="s">
        <v>2792</v>
      </c>
      <c r="L395" s="9" t="s">
        <v>2793</v>
      </c>
      <c r="M395" s="32" t="s">
        <v>125</v>
      </c>
      <c r="N395" s="129" t="s">
        <v>2704</v>
      </c>
      <c r="O395" s="122" t="s">
        <v>2704</v>
      </c>
      <c r="P395" s="123" t="str">
        <f t="shared" si="12"/>
        <v>C2-2025</v>
      </c>
      <c r="Q395" s="123" t="str">
        <f t="shared" si="13"/>
        <v>T2-2025</v>
      </c>
      <c r="R395" s="124" t="s">
        <v>2741</v>
      </c>
      <c r="S395" s="123" t="s">
        <v>2723</v>
      </c>
      <c r="T395" s="123" t="s">
        <v>2707</v>
      </c>
      <c r="U395" s="162" t="s">
        <v>2708</v>
      </c>
      <c r="V395" s="162" t="s">
        <v>54</v>
      </c>
      <c r="W395" s="237" t="s">
        <v>125</v>
      </c>
      <c r="X395" s="173" t="s">
        <v>2709</v>
      </c>
    </row>
    <row r="396" spans="1:24" hidden="1">
      <c r="A396" s="161">
        <v>45794</v>
      </c>
      <c r="B396" s="117" t="s">
        <v>3302</v>
      </c>
      <c r="C396" s="129" t="s">
        <v>2697</v>
      </c>
      <c r="D396" s="139">
        <v>-239.68</v>
      </c>
      <c r="E396" s="120">
        <v>1</v>
      </c>
      <c r="F396" s="127">
        <f>Tabla5109[[#This Row],[Original Amount]]*Tabla5109[[#This Row],[ER to EUR]]</f>
        <v>-239.68</v>
      </c>
      <c r="G396" s="9" t="s">
        <v>2815</v>
      </c>
      <c r="H396" s="9" t="s">
        <v>3103</v>
      </c>
      <c r="I396" s="9" t="s">
        <v>2727</v>
      </c>
      <c r="J396" s="9" t="s">
        <v>2817</v>
      </c>
      <c r="K396" s="205" t="s">
        <v>2702</v>
      </c>
      <c r="L396" s="9" t="s">
        <v>2818</v>
      </c>
      <c r="M396" s="32" t="s">
        <v>125</v>
      </c>
      <c r="N396" s="129" t="s">
        <v>2704</v>
      </c>
      <c r="O396" s="122" t="s">
        <v>2704</v>
      </c>
      <c r="P396" s="123" t="str">
        <f t="shared" si="12"/>
        <v>C2-2025</v>
      </c>
      <c r="Q396" s="123" t="str">
        <f t="shared" si="13"/>
        <v>T2-2025</v>
      </c>
      <c r="R396" s="124" t="s">
        <v>2819</v>
      </c>
      <c r="S396" s="123" t="s">
        <v>2723</v>
      </c>
      <c r="T396" s="123" t="s">
        <v>2724</v>
      </c>
      <c r="U396" s="162" t="s">
        <v>2708</v>
      </c>
      <c r="V396" s="162" t="s">
        <v>54</v>
      </c>
      <c r="W396" s="237" t="s">
        <v>125</v>
      </c>
      <c r="X396" s="173" t="s">
        <v>2709</v>
      </c>
    </row>
    <row r="397" spans="1:24" hidden="1">
      <c r="A397" s="161">
        <v>45794</v>
      </c>
      <c r="B397" s="193" t="s">
        <v>3303</v>
      </c>
      <c r="C397" s="129" t="s">
        <v>2697</v>
      </c>
      <c r="D397" s="139">
        <v>-818</v>
      </c>
      <c r="E397" s="120">
        <v>1</v>
      </c>
      <c r="F397" s="127">
        <f>Tabla5109[[#This Row],[Original Amount]]*Tabla5109[[#This Row],[ER to EUR]]</f>
        <v>-818</v>
      </c>
      <c r="G397" s="9" t="s">
        <v>2884</v>
      </c>
      <c r="H397" s="73" t="s">
        <v>2885</v>
      </c>
      <c r="I397" s="9" t="s">
        <v>3267</v>
      </c>
      <c r="J397" s="9" t="s">
        <v>2723</v>
      </c>
      <c r="K397" s="205" t="s">
        <v>2792</v>
      </c>
      <c r="L397" s="9" t="s">
        <v>2793</v>
      </c>
      <c r="M397" s="32" t="s">
        <v>125</v>
      </c>
      <c r="N397" s="129" t="s">
        <v>2704</v>
      </c>
      <c r="O397" s="122" t="s">
        <v>2704</v>
      </c>
      <c r="P397" s="123" t="str">
        <f t="shared" si="12"/>
        <v>C2-2025</v>
      </c>
      <c r="Q397" s="123" t="str">
        <f t="shared" si="13"/>
        <v>T2-2025</v>
      </c>
      <c r="R397" s="124" t="s">
        <v>2741</v>
      </c>
      <c r="S397" s="123" t="s">
        <v>2723</v>
      </c>
      <c r="T397" s="123" t="s">
        <v>2707</v>
      </c>
      <c r="U397" s="162" t="s">
        <v>2708</v>
      </c>
      <c r="V397" s="162" t="s">
        <v>54</v>
      </c>
      <c r="W397" s="237" t="s">
        <v>125</v>
      </c>
      <c r="X397" s="173" t="s">
        <v>2709</v>
      </c>
    </row>
    <row r="398" spans="1:24" hidden="1">
      <c r="A398" s="161">
        <v>45794</v>
      </c>
      <c r="B398" s="133" t="s">
        <v>3304</v>
      </c>
      <c r="C398" s="32" t="s">
        <v>2697</v>
      </c>
      <c r="D398" s="139">
        <v>-54</v>
      </c>
      <c r="E398" s="120">
        <v>1</v>
      </c>
      <c r="F398" s="127">
        <f>Tabla5109[[#This Row],[Original Amount]]*Tabla5109[[#This Row],[ER to EUR]]</f>
        <v>-54</v>
      </c>
      <c r="G398" s="9" t="s">
        <v>2833</v>
      </c>
      <c r="H398" s="9" t="s">
        <v>2834</v>
      </c>
      <c r="I398" s="9" t="s">
        <v>2713</v>
      </c>
      <c r="J398" s="9" t="s">
        <v>2701</v>
      </c>
      <c r="K398" s="205" t="s">
        <v>2771</v>
      </c>
      <c r="L398" s="211" t="s">
        <v>2818</v>
      </c>
      <c r="M398" s="32" t="s">
        <v>125</v>
      </c>
      <c r="N398" s="122" t="s">
        <v>2704</v>
      </c>
      <c r="O398" s="129" t="s">
        <v>2704</v>
      </c>
      <c r="P398" s="123" t="str">
        <f t="shared" si="12"/>
        <v>C2-2025</v>
      </c>
      <c r="Q398" s="123" t="str">
        <f t="shared" si="13"/>
        <v>T2-2025</v>
      </c>
      <c r="R398" s="91" t="s">
        <v>2819</v>
      </c>
      <c r="S398" s="123" t="s">
        <v>2817</v>
      </c>
      <c r="T398" s="123" t="s">
        <v>2724</v>
      </c>
      <c r="U398" s="162" t="s">
        <v>2708</v>
      </c>
      <c r="V398" s="162" t="s">
        <v>54</v>
      </c>
      <c r="W398" s="237" t="s">
        <v>125</v>
      </c>
      <c r="X398" s="173" t="s">
        <v>2709</v>
      </c>
    </row>
    <row r="399" spans="1:24" hidden="1">
      <c r="A399" s="161">
        <v>45795</v>
      </c>
      <c r="B399" s="144">
        <v>1911337</v>
      </c>
      <c r="C399" s="118" t="s">
        <v>2697</v>
      </c>
      <c r="D399" s="139">
        <v>-187.25</v>
      </c>
      <c r="E399" s="120">
        <v>1</v>
      </c>
      <c r="F399" s="127">
        <f>Tabla5109[[#This Row],[Original Amount]]*Tabla5109[[#This Row],[ER to EUR]]</f>
        <v>-187.25</v>
      </c>
      <c r="G399" s="9" t="s">
        <v>2815</v>
      </c>
      <c r="H399" s="73" t="s">
        <v>2816</v>
      </c>
      <c r="I399" s="9" t="s">
        <v>2727</v>
      </c>
      <c r="J399" s="9" t="s">
        <v>2817</v>
      </c>
      <c r="K399" s="205" t="s">
        <v>2702</v>
      </c>
      <c r="L399" s="9" t="s">
        <v>2818</v>
      </c>
      <c r="M399" s="32" t="s">
        <v>125</v>
      </c>
      <c r="N399" s="129" t="s">
        <v>2704</v>
      </c>
      <c r="O399" s="122" t="s">
        <v>2704</v>
      </c>
      <c r="P399" s="123" t="str">
        <f t="shared" si="12"/>
        <v>C2-2025</v>
      </c>
      <c r="Q399" s="123" t="str">
        <f t="shared" si="13"/>
        <v>T2-2025</v>
      </c>
      <c r="R399" s="124" t="s">
        <v>2819</v>
      </c>
      <c r="S399" s="123" t="s">
        <v>2723</v>
      </c>
      <c r="T399" s="123" t="s">
        <v>2724</v>
      </c>
      <c r="U399" s="162" t="s">
        <v>2708</v>
      </c>
      <c r="V399" s="162" t="s">
        <v>54</v>
      </c>
      <c r="W399" s="237" t="s">
        <v>125</v>
      </c>
      <c r="X399" s="173" t="s">
        <v>2709</v>
      </c>
    </row>
    <row r="400" spans="1:24" hidden="1">
      <c r="A400" s="161">
        <v>45795</v>
      </c>
      <c r="B400" s="117" t="s">
        <v>3305</v>
      </c>
      <c r="C400" s="129" t="s">
        <v>2697</v>
      </c>
      <c r="D400" s="139">
        <v>-818</v>
      </c>
      <c r="E400" s="120">
        <v>1</v>
      </c>
      <c r="F400" s="127">
        <f>Tabla5109[[#This Row],[Original Amount]]*Tabla5109[[#This Row],[ER to EUR]]</f>
        <v>-818</v>
      </c>
      <c r="G400" s="9" t="s">
        <v>2884</v>
      </c>
      <c r="H400" s="73" t="s">
        <v>2885</v>
      </c>
      <c r="I400" s="9" t="s">
        <v>3267</v>
      </c>
      <c r="J400" s="9" t="s">
        <v>2723</v>
      </c>
      <c r="K400" s="205" t="s">
        <v>2792</v>
      </c>
      <c r="L400" s="9" t="s">
        <v>2793</v>
      </c>
      <c r="M400" s="32" t="s">
        <v>125</v>
      </c>
      <c r="N400" s="129" t="s">
        <v>2704</v>
      </c>
      <c r="O400" s="122" t="s">
        <v>2704</v>
      </c>
      <c r="P400" s="123" t="str">
        <f t="shared" si="12"/>
        <v>C2-2025</v>
      </c>
      <c r="Q400" s="123" t="str">
        <f t="shared" si="13"/>
        <v>T2-2025</v>
      </c>
      <c r="R400" s="124" t="s">
        <v>2741</v>
      </c>
      <c r="S400" s="123" t="s">
        <v>2723</v>
      </c>
      <c r="T400" s="123" t="s">
        <v>2707</v>
      </c>
      <c r="U400" s="162" t="s">
        <v>2708</v>
      </c>
      <c r="V400" s="162" t="s">
        <v>54</v>
      </c>
      <c r="W400" s="237" t="s">
        <v>125</v>
      </c>
      <c r="X400" s="173" t="s">
        <v>2709</v>
      </c>
    </row>
    <row r="401" spans="1:24" hidden="1">
      <c r="A401" s="161">
        <v>45795</v>
      </c>
      <c r="B401" s="128" t="s">
        <v>3306</v>
      </c>
      <c r="C401" s="129" t="s">
        <v>2697</v>
      </c>
      <c r="D401" s="139">
        <v>-182.2</v>
      </c>
      <c r="E401" s="120">
        <v>1</v>
      </c>
      <c r="F401" s="127">
        <f>Tabla5109[[#This Row],[Original Amount]]*Tabla5109[[#This Row],[ER to EUR]]</f>
        <v>-182.2</v>
      </c>
      <c r="G401" s="9" t="s">
        <v>2839</v>
      </c>
      <c r="H401" s="73" t="s">
        <v>2840</v>
      </c>
      <c r="I401" s="9" t="s">
        <v>2784</v>
      </c>
      <c r="J401" s="9" t="s">
        <v>2701</v>
      </c>
      <c r="K401" s="205" t="s">
        <v>2702</v>
      </c>
      <c r="L401" s="9" t="s">
        <v>2703</v>
      </c>
      <c r="M401" s="32" t="s">
        <v>125</v>
      </c>
      <c r="N401" s="129" t="s">
        <v>2704</v>
      </c>
      <c r="O401" s="122" t="s">
        <v>2704</v>
      </c>
      <c r="P401" s="123" t="str">
        <f t="shared" si="12"/>
        <v>C2-2025</v>
      </c>
      <c r="Q401" s="123" t="str">
        <f t="shared" si="13"/>
        <v>T2-2025</v>
      </c>
      <c r="R401" s="124" t="s">
        <v>2705</v>
      </c>
      <c r="S401" s="124" t="s">
        <v>2706</v>
      </c>
      <c r="T401" s="123" t="s">
        <v>2707</v>
      </c>
      <c r="U401" s="162" t="s">
        <v>2708</v>
      </c>
      <c r="V401" s="162" t="s">
        <v>56</v>
      </c>
      <c r="W401" s="237" t="s">
        <v>125</v>
      </c>
      <c r="X401" s="173" t="s">
        <v>2709</v>
      </c>
    </row>
    <row r="402" spans="1:24" hidden="1">
      <c r="A402" s="161">
        <v>45796</v>
      </c>
      <c r="B402" s="130" t="s">
        <v>3307</v>
      </c>
      <c r="C402" s="129" t="s">
        <v>2697</v>
      </c>
      <c r="D402" s="139">
        <v>-366.52</v>
      </c>
      <c r="E402" s="120">
        <v>1</v>
      </c>
      <c r="F402" s="127">
        <f>Tabla5109[[#This Row],[Original Amount]]*Tabla5109[[#This Row],[ER to EUR]]</f>
        <v>-366.52</v>
      </c>
      <c r="G402" s="9" t="s">
        <v>2753</v>
      </c>
      <c r="H402" s="73" t="s">
        <v>3308</v>
      </c>
      <c r="I402" s="9" t="s">
        <v>2755</v>
      </c>
      <c r="J402" s="9" t="s">
        <v>2701</v>
      </c>
      <c r="K402" s="205" t="s">
        <v>2702</v>
      </c>
      <c r="L402" s="9" t="s">
        <v>2703</v>
      </c>
      <c r="M402" s="32" t="s">
        <v>125</v>
      </c>
      <c r="N402" s="129" t="s">
        <v>2704</v>
      </c>
      <c r="O402" s="122" t="s">
        <v>2704</v>
      </c>
      <c r="P402" s="123" t="str">
        <f t="shared" si="12"/>
        <v>C2-2025</v>
      </c>
      <c r="Q402" s="123" t="str">
        <f t="shared" si="13"/>
        <v>T2-2025</v>
      </c>
      <c r="R402" s="124" t="s">
        <v>2705</v>
      </c>
      <c r="S402" s="124" t="s">
        <v>2706</v>
      </c>
      <c r="T402" s="123" t="s">
        <v>2707</v>
      </c>
      <c r="U402" s="162" t="s">
        <v>2708</v>
      </c>
      <c r="V402" s="162" t="s">
        <v>56</v>
      </c>
      <c r="W402" s="237" t="s">
        <v>125</v>
      </c>
      <c r="X402" s="173" t="s">
        <v>2709</v>
      </c>
    </row>
    <row r="403" spans="1:24" hidden="1">
      <c r="A403" s="161">
        <v>45797</v>
      </c>
      <c r="B403" s="399" t="s">
        <v>3309</v>
      </c>
      <c r="C403" s="129" t="s">
        <v>2697</v>
      </c>
      <c r="D403" s="139">
        <v>-192.44</v>
      </c>
      <c r="E403" s="120">
        <v>1</v>
      </c>
      <c r="F403" s="127">
        <f>Tabla5109[[#This Row],[Original Amount]]*Tabla5109[[#This Row],[ER to EUR]]</f>
        <v>-192.44</v>
      </c>
      <c r="G403" s="9" t="s">
        <v>2766</v>
      </c>
      <c r="H403" s="9" t="s">
        <v>3310</v>
      </c>
      <c r="I403" s="9" t="s">
        <v>2713</v>
      </c>
      <c r="J403" s="9" t="s">
        <v>2701</v>
      </c>
      <c r="K403" s="205" t="s">
        <v>2702</v>
      </c>
      <c r="L403" s="9" t="s">
        <v>2760</v>
      </c>
      <c r="M403" s="32" t="s">
        <v>125</v>
      </c>
      <c r="N403" s="129" t="s">
        <v>2704</v>
      </c>
      <c r="O403" s="122" t="s">
        <v>2704</v>
      </c>
      <c r="P403" s="123" t="str">
        <f t="shared" si="12"/>
        <v>C2-2025</v>
      </c>
      <c r="Q403" s="123" t="str">
        <f t="shared" si="13"/>
        <v>T2-2025</v>
      </c>
      <c r="R403" s="124" t="s">
        <v>2705</v>
      </c>
      <c r="S403" s="123" t="s">
        <v>2735</v>
      </c>
      <c r="T403" s="123" t="s">
        <v>2724</v>
      </c>
      <c r="U403" s="162" t="s">
        <v>2708</v>
      </c>
      <c r="V403" s="162" t="s">
        <v>55</v>
      </c>
      <c r="W403" s="237" t="s">
        <v>125</v>
      </c>
      <c r="X403" s="173" t="s">
        <v>2709</v>
      </c>
    </row>
    <row r="404" spans="1:24" hidden="1">
      <c r="A404" s="161">
        <v>45797</v>
      </c>
      <c r="B404" s="117" t="s">
        <v>3311</v>
      </c>
      <c r="C404" s="129" t="s">
        <v>2697</v>
      </c>
      <c r="D404" s="139">
        <v>-1800</v>
      </c>
      <c r="E404" s="120">
        <v>1</v>
      </c>
      <c r="F404" s="127">
        <f>Tabla5109[[#This Row],[Original Amount]]*Tabla5109[[#This Row],[ER to EUR]]</f>
        <v>-1800</v>
      </c>
      <c r="G404" s="9" t="s">
        <v>2725</v>
      </c>
      <c r="H404" s="9" t="s">
        <v>3236</v>
      </c>
      <c r="I404" s="9" t="s">
        <v>2727</v>
      </c>
      <c r="J404" s="9" t="s">
        <v>2701</v>
      </c>
      <c r="K404" s="205" t="s">
        <v>2728</v>
      </c>
      <c r="L404" s="9" t="s">
        <v>2729</v>
      </c>
      <c r="M404" s="32" t="s">
        <v>125</v>
      </c>
      <c r="N404" s="129" t="s">
        <v>2704</v>
      </c>
      <c r="O404" s="122" t="s">
        <v>2704</v>
      </c>
      <c r="P404" s="123" t="str">
        <f t="shared" si="12"/>
        <v>C2-2025</v>
      </c>
      <c r="Q404" s="123" t="str">
        <f t="shared" si="13"/>
        <v>T2-2025</v>
      </c>
      <c r="R404" s="124" t="s">
        <v>2730</v>
      </c>
      <c r="S404" s="123" t="s">
        <v>2731</v>
      </c>
      <c r="T404" s="123" t="s">
        <v>2707</v>
      </c>
      <c r="U404" s="162" t="s">
        <v>51</v>
      </c>
      <c r="V404" s="162" t="s">
        <v>57</v>
      </c>
      <c r="W404" s="237" t="s">
        <v>125</v>
      </c>
      <c r="X404" s="173" t="s">
        <v>2709</v>
      </c>
    </row>
    <row r="405" spans="1:24" hidden="1">
      <c r="A405" s="161">
        <v>45797</v>
      </c>
      <c r="B405" s="117" t="s">
        <v>3312</v>
      </c>
      <c r="C405" s="129" t="s">
        <v>2697</v>
      </c>
      <c r="D405" s="139">
        <v>-818</v>
      </c>
      <c r="E405" s="120">
        <v>1</v>
      </c>
      <c r="F405" s="127">
        <f>Tabla5109[[#This Row],[Original Amount]]*Tabla5109[[#This Row],[ER to EUR]]</f>
        <v>-818</v>
      </c>
      <c r="G405" s="9" t="s">
        <v>2884</v>
      </c>
      <c r="H405" s="73" t="s">
        <v>2885</v>
      </c>
      <c r="I405" s="9" t="s">
        <v>3267</v>
      </c>
      <c r="J405" s="9" t="s">
        <v>2723</v>
      </c>
      <c r="K405" s="205" t="s">
        <v>2792</v>
      </c>
      <c r="L405" s="9" t="s">
        <v>2793</v>
      </c>
      <c r="M405" s="32" t="s">
        <v>125</v>
      </c>
      <c r="N405" s="129" t="s">
        <v>2704</v>
      </c>
      <c r="O405" s="122" t="s">
        <v>2704</v>
      </c>
      <c r="P405" s="123" t="str">
        <f t="shared" si="12"/>
        <v>C2-2025</v>
      </c>
      <c r="Q405" s="123" t="str">
        <f t="shared" si="13"/>
        <v>T2-2025</v>
      </c>
      <c r="R405" s="124" t="s">
        <v>2741</v>
      </c>
      <c r="S405" s="123" t="s">
        <v>2723</v>
      </c>
      <c r="T405" s="123" t="s">
        <v>2707</v>
      </c>
      <c r="U405" s="162" t="s">
        <v>2708</v>
      </c>
      <c r="V405" s="162" t="s">
        <v>54</v>
      </c>
      <c r="W405" s="237" t="s">
        <v>125</v>
      </c>
      <c r="X405" s="173" t="s">
        <v>2709</v>
      </c>
    </row>
    <row r="406" spans="1:24" hidden="1">
      <c r="A406" s="161">
        <v>45798</v>
      </c>
      <c r="B406" s="133" t="s">
        <v>3313</v>
      </c>
      <c r="C406" s="129" t="s">
        <v>2697</v>
      </c>
      <c r="D406" s="241">
        <v>-23</v>
      </c>
      <c r="E406" s="120">
        <v>1</v>
      </c>
      <c r="F406" s="127">
        <f>Tabla5109[[#This Row],[Original Amount]]*Tabla5109[[#This Row],[ER to EUR]]</f>
        <v>-23</v>
      </c>
      <c r="G406" s="9" t="s">
        <v>2996</v>
      </c>
      <c r="H406" s="73" t="s">
        <v>2997</v>
      </c>
      <c r="I406" s="9" t="s">
        <v>2727</v>
      </c>
      <c r="J406" s="9" t="s">
        <v>2701</v>
      </c>
      <c r="K406" s="205" t="s">
        <v>2702</v>
      </c>
      <c r="L406" s="9" t="s">
        <v>2703</v>
      </c>
      <c r="M406" s="32" t="s">
        <v>125</v>
      </c>
      <c r="N406" s="129" t="s">
        <v>2704</v>
      </c>
      <c r="O406" s="122" t="s">
        <v>2704</v>
      </c>
      <c r="P406" s="123" t="str">
        <f t="shared" si="12"/>
        <v>C2-2025</v>
      </c>
      <c r="Q406" s="123" t="str">
        <f t="shared" si="13"/>
        <v>T2-2025</v>
      </c>
      <c r="R406" s="124" t="s">
        <v>2705</v>
      </c>
      <c r="S406" s="123" t="s">
        <v>2735</v>
      </c>
      <c r="T406" s="123" t="s">
        <v>2724</v>
      </c>
      <c r="U406" s="162" t="s">
        <v>2708</v>
      </c>
      <c r="V406" s="162" t="s">
        <v>56</v>
      </c>
      <c r="W406" s="237" t="s">
        <v>125</v>
      </c>
      <c r="X406" s="173" t="s">
        <v>2709</v>
      </c>
    </row>
    <row r="407" spans="1:24" hidden="1">
      <c r="A407" s="161">
        <v>45799</v>
      </c>
      <c r="B407" s="130" t="s">
        <v>3314</v>
      </c>
      <c r="C407" s="129" t="s">
        <v>2697</v>
      </c>
      <c r="D407" s="139">
        <v>-44.65</v>
      </c>
      <c r="E407" s="120">
        <v>1</v>
      </c>
      <c r="F407" s="127">
        <f>Tabla5109[[#This Row],[Original Amount]]*Tabla5109[[#This Row],[ER to EUR]]</f>
        <v>-44.65</v>
      </c>
      <c r="G407" s="9" t="s">
        <v>2733</v>
      </c>
      <c r="H407" s="73" t="s">
        <v>2734</v>
      </c>
      <c r="I407" s="9" t="s">
        <v>2713</v>
      </c>
      <c r="J407" s="9" t="s">
        <v>2701</v>
      </c>
      <c r="K407" s="205" t="s">
        <v>2809</v>
      </c>
      <c r="L407" s="9" t="s">
        <v>2810</v>
      </c>
      <c r="M407" s="32" t="s">
        <v>125</v>
      </c>
      <c r="N407" s="129" t="s">
        <v>2704</v>
      </c>
      <c r="O407" s="122" t="s">
        <v>2704</v>
      </c>
      <c r="P407" s="123" t="str">
        <f t="shared" si="12"/>
        <v>C2-2025</v>
      </c>
      <c r="Q407" s="123" t="str">
        <f t="shared" si="13"/>
        <v>T2-2025</v>
      </c>
      <c r="R407" s="124" t="s">
        <v>2705</v>
      </c>
      <c r="S407" s="123" t="s">
        <v>2735</v>
      </c>
      <c r="T407" s="123" t="s">
        <v>2707</v>
      </c>
      <c r="U407" s="203" t="s">
        <v>2708</v>
      </c>
      <c r="V407" s="203" t="s">
        <v>56</v>
      </c>
      <c r="W407" s="237" t="s">
        <v>125</v>
      </c>
      <c r="X407" s="173" t="s">
        <v>2709</v>
      </c>
    </row>
    <row r="408" spans="1:24" hidden="1">
      <c r="A408" s="161">
        <v>45799</v>
      </c>
      <c r="B408" s="128" t="s">
        <v>3315</v>
      </c>
      <c r="C408" s="129" t="s">
        <v>2697</v>
      </c>
      <c r="D408" s="139">
        <v>-192.44</v>
      </c>
      <c r="E408" s="120">
        <v>1</v>
      </c>
      <c r="F408" s="127">
        <f>Tabla5109[[#This Row],[Original Amount]]*Tabla5109[[#This Row],[ER to EUR]]</f>
        <v>-192.44</v>
      </c>
      <c r="G408" s="9" t="s">
        <v>2766</v>
      </c>
      <c r="H408" s="9" t="s">
        <v>3310</v>
      </c>
      <c r="I408" s="9" t="s">
        <v>2713</v>
      </c>
      <c r="J408" s="9" t="s">
        <v>2701</v>
      </c>
      <c r="K408" s="205" t="s">
        <v>2702</v>
      </c>
      <c r="L408" s="9" t="s">
        <v>2760</v>
      </c>
      <c r="M408" s="32" t="s">
        <v>125</v>
      </c>
      <c r="N408" s="129" t="s">
        <v>2704</v>
      </c>
      <c r="O408" s="122" t="s">
        <v>2704</v>
      </c>
      <c r="P408" s="123" t="str">
        <f t="shared" si="12"/>
        <v>C2-2025</v>
      </c>
      <c r="Q408" s="123" t="str">
        <f t="shared" si="13"/>
        <v>T2-2025</v>
      </c>
      <c r="R408" s="91" t="s">
        <v>2749</v>
      </c>
      <c r="S408" s="123" t="s">
        <v>2750</v>
      </c>
      <c r="T408" s="123" t="s">
        <v>2724</v>
      </c>
      <c r="U408" s="162" t="s">
        <v>2708</v>
      </c>
      <c r="V408" s="162" t="s">
        <v>55</v>
      </c>
      <c r="W408" s="237" t="s">
        <v>125</v>
      </c>
      <c r="X408" s="173" t="s">
        <v>2709</v>
      </c>
    </row>
    <row r="409" spans="1:24" hidden="1">
      <c r="A409" s="161">
        <v>45799</v>
      </c>
      <c r="B409" s="135" t="s">
        <v>3316</v>
      </c>
      <c r="C409" s="129" t="s">
        <v>2697</v>
      </c>
      <c r="D409" s="139">
        <v>-339.38</v>
      </c>
      <c r="E409" s="120">
        <v>1</v>
      </c>
      <c r="F409" s="127">
        <f>Tabla5109[[#This Row],[Original Amount]]*Tabla5109[[#This Row],[ER to EUR]]</f>
        <v>-339.38</v>
      </c>
      <c r="G409" s="9" t="s">
        <v>3116</v>
      </c>
      <c r="H409" s="9" t="s">
        <v>3317</v>
      </c>
      <c r="I409" s="9" t="s">
        <v>2713</v>
      </c>
      <c r="J409" s="9" t="s">
        <v>2701</v>
      </c>
      <c r="K409" s="205" t="s">
        <v>2702</v>
      </c>
      <c r="L409" s="9" t="s">
        <v>2703</v>
      </c>
      <c r="M409" s="32" t="s">
        <v>125</v>
      </c>
      <c r="N409" s="129" t="s">
        <v>2704</v>
      </c>
      <c r="O409" s="122" t="s">
        <v>2704</v>
      </c>
      <c r="P409" s="123" t="str">
        <f t="shared" si="12"/>
        <v>C2-2025</v>
      </c>
      <c r="Q409" s="123" t="str">
        <f t="shared" si="13"/>
        <v>T2-2025</v>
      </c>
      <c r="R409" s="124" t="s">
        <v>2794</v>
      </c>
      <c r="S409" s="123" t="s">
        <v>3041</v>
      </c>
      <c r="T409" s="123" t="s">
        <v>2707</v>
      </c>
      <c r="U409" s="162" t="s">
        <v>51</v>
      </c>
      <c r="V409" s="162" t="s">
        <v>57</v>
      </c>
      <c r="W409" s="237" t="s">
        <v>125</v>
      </c>
      <c r="X409" s="173" t="s">
        <v>2709</v>
      </c>
    </row>
    <row r="410" spans="1:24" hidden="1">
      <c r="A410" s="161">
        <v>45800</v>
      </c>
      <c r="B410" s="128" t="s">
        <v>3318</v>
      </c>
      <c r="C410" s="129" t="s">
        <v>2697</v>
      </c>
      <c r="D410" s="139">
        <v>-56.83</v>
      </c>
      <c r="E410" s="120">
        <v>1</v>
      </c>
      <c r="F410" s="127">
        <f>Tabla5109[[#This Row],[Original Amount]]*Tabla5109[[#This Row],[ER to EUR]]</f>
        <v>-56.83</v>
      </c>
      <c r="G410" s="9" t="s">
        <v>2851</v>
      </c>
      <c r="H410" s="73" t="s">
        <v>2852</v>
      </c>
      <c r="I410" s="9" t="s">
        <v>2713</v>
      </c>
      <c r="J410" s="9" t="s">
        <v>2701</v>
      </c>
      <c r="K410" s="205" t="s">
        <v>2702</v>
      </c>
      <c r="L410" s="9" t="s">
        <v>2788</v>
      </c>
      <c r="M410" s="32" t="s">
        <v>125</v>
      </c>
      <c r="N410" s="129" t="s">
        <v>2704</v>
      </c>
      <c r="O410" s="122" t="s">
        <v>2704</v>
      </c>
      <c r="P410" s="123" t="str">
        <f t="shared" si="12"/>
        <v>C2-2025</v>
      </c>
      <c r="Q410" s="123" t="str">
        <f t="shared" si="13"/>
        <v>T2-2025</v>
      </c>
      <c r="R410" s="124" t="s">
        <v>2794</v>
      </c>
      <c r="S410" s="123" t="s">
        <v>2731</v>
      </c>
      <c r="T410" s="123" t="s">
        <v>2724</v>
      </c>
      <c r="U410" s="162" t="s">
        <v>2708</v>
      </c>
      <c r="V410" s="162" t="s">
        <v>55</v>
      </c>
      <c r="W410" s="237" t="s">
        <v>125</v>
      </c>
      <c r="X410" s="173" t="s">
        <v>2709</v>
      </c>
    </row>
    <row r="411" spans="1:24" hidden="1">
      <c r="A411" s="161">
        <v>45800</v>
      </c>
      <c r="B411" s="117" t="s">
        <v>3319</v>
      </c>
      <c r="C411" s="129" t="s">
        <v>2697</v>
      </c>
      <c r="D411" s="139">
        <v>-28.59</v>
      </c>
      <c r="E411" s="120">
        <v>1</v>
      </c>
      <c r="F411" s="127">
        <f>Tabla5109[[#This Row],[Original Amount]]*Tabla5109[[#This Row],[ER to EUR]]</f>
        <v>-28.59</v>
      </c>
      <c r="G411" s="9" t="s">
        <v>2698</v>
      </c>
      <c r="H411" s="9" t="s">
        <v>3320</v>
      </c>
      <c r="I411" s="9" t="s">
        <v>2784</v>
      </c>
      <c r="J411" s="9" t="s">
        <v>2701</v>
      </c>
      <c r="K411" s="205" t="s">
        <v>2702</v>
      </c>
      <c r="L411" s="9" t="s">
        <v>2703</v>
      </c>
      <c r="M411" s="32" t="s">
        <v>125</v>
      </c>
      <c r="N411" s="129" t="s">
        <v>2704</v>
      </c>
      <c r="O411" s="122" t="s">
        <v>2704</v>
      </c>
      <c r="P411" s="123" t="str">
        <f t="shared" si="12"/>
        <v>C2-2025</v>
      </c>
      <c r="Q411" s="123" t="str">
        <f t="shared" si="13"/>
        <v>T2-2025</v>
      </c>
      <c r="R411" s="124" t="s">
        <v>2705</v>
      </c>
      <c r="S411" s="124" t="s">
        <v>2706</v>
      </c>
      <c r="T411" s="123" t="s">
        <v>2707</v>
      </c>
      <c r="U411" s="162" t="s">
        <v>2708</v>
      </c>
      <c r="V411" s="162" t="s">
        <v>54</v>
      </c>
      <c r="W411" s="237" t="s">
        <v>125</v>
      </c>
      <c r="X411" s="173" t="s">
        <v>2709</v>
      </c>
    </row>
    <row r="412" spans="1:24" hidden="1">
      <c r="A412" s="161">
        <v>45800</v>
      </c>
      <c r="B412" s="117" t="s">
        <v>3321</v>
      </c>
      <c r="C412" s="129" t="s">
        <v>2697</v>
      </c>
      <c r="D412" s="139">
        <v>-818</v>
      </c>
      <c r="E412" s="120">
        <v>1</v>
      </c>
      <c r="F412" s="127">
        <f>Tabla5109[[#This Row],[Original Amount]]*Tabla5109[[#This Row],[ER to EUR]]</f>
        <v>-818</v>
      </c>
      <c r="G412" s="9" t="s">
        <v>2884</v>
      </c>
      <c r="H412" s="73" t="s">
        <v>2885</v>
      </c>
      <c r="I412" s="9" t="s">
        <v>3267</v>
      </c>
      <c r="J412" s="9" t="s">
        <v>2723</v>
      </c>
      <c r="K412" s="205" t="s">
        <v>2792</v>
      </c>
      <c r="L412" s="9" t="s">
        <v>2793</v>
      </c>
      <c r="M412" s="32" t="s">
        <v>125</v>
      </c>
      <c r="N412" s="129" t="s">
        <v>2704</v>
      </c>
      <c r="O412" s="122" t="s">
        <v>2704</v>
      </c>
      <c r="P412" s="123" t="str">
        <f t="shared" si="12"/>
        <v>C2-2025</v>
      </c>
      <c r="Q412" s="123" t="str">
        <f t="shared" si="13"/>
        <v>T2-2025</v>
      </c>
      <c r="R412" s="124" t="s">
        <v>2741</v>
      </c>
      <c r="S412" s="123" t="s">
        <v>2723</v>
      </c>
      <c r="T412" s="123" t="s">
        <v>2707</v>
      </c>
      <c r="U412" s="162" t="s">
        <v>2708</v>
      </c>
      <c r="V412" s="162" t="s">
        <v>54</v>
      </c>
      <c r="W412" s="237" t="s">
        <v>125</v>
      </c>
      <c r="X412" s="173" t="s">
        <v>2709</v>
      </c>
    </row>
    <row r="413" spans="1:24" hidden="1">
      <c r="A413" s="161">
        <v>45802</v>
      </c>
      <c r="B413" s="128" t="s">
        <v>3322</v>
      </c>
      <c r="C413" s="129" t="s">
        <v>2697</v>
      </c>
      <c r="D413" s="139">
        <v>-249</v>
      </c>
      <c r="E413" s="120">
        <v>1</v>
      </c>
      <c r="F413" s="127">
        <f>Tabla5109[[#This Row],[Original Amount]]*Tabla5109[[#This Row],[ER to EUR]]</f>
        <v>-249</v>
      </c>
      <c r="G413" s="9" t="s">
        <v>3140</v>
      </c>
      <c r="H413" s="9" t="s">
        <v>3323</v>
      </c>
      <c r="I413" s="9" t="s">
        <v>2727</v>
      </c>
      <c r="J413" s="9" t="s">
        <v>2770</v>
      </c>
      <c r="K413" s="205" t="s">
        <v>2702</v>
      </c>
      <c r="L413" s="9" t="s">
        <v>3142</v>
      </c>
      <c r="M413" s="32" t="s">
        <v>125</v>
      </c>
      <c r="N413" s="129" t="s">
        <v>2704</v>
      </c>
      <c r="O413" s="122" t="s">
        <v>2704</v>
      </c>
      <c r="P413" s="123" t="str">
        <f t="shared" si="12"/>
        <v>C2-2025</v>
      </c>
      <c r="Q413" s="123" t="str">
        <f t="shared" si="13"/>
        <v>T2-2025</v>
      </c>
      <c r="R413" s="91" t="s">
        <v>2749</v>
      </c>
      <c r="S413" s="123" t="s">
        <v>2750</v>
      </c>
      <c r="T413" s="123" t="s">
        <v>2724</v>
      </c>
      <c r="U413" s="162" t="s">
        <v>2708</v>
      </c>
      <c r="V413" s="162" t="s">
        <v>54</v>
      </c>
      <c r="W413" s="237" t="s">
        <v>125</v>
      </c>
      <c r="X413" s="173" t="s">
        <v>2709</v>
      </c>
    </row>
    <row r="414" spans="1:24" hidden="1">
      <c r="A414" s="161">
        <v>45802</v>
      </c>
      <c r="B414" s="117" t="s">
        <v>3324</v>
      </c>
      <c r="C414" s="129" t="s">
        <v>2697</v>
      </c>
      <c r="D414" s="139">
        <v>-818</v>
      </c>
      <c r="E414" s="120">
        <v>1</v>
      </c>
      <c r="F414" s="127">
        <f>Tabla5109[[#This Row],[Original Amount]]*Tabla5109[[#This Row],[ER to EUR]]</f>
        <v>-818</v>
      </c>
      <c r="G414" s="9" t="s">
        <v>2884</v>
      </c>
      <c r="H414" s="73" t="s">
        <v>2885</v>
      </c>
      <c r="I414" s="9" t="s">
        <v>3267</v>
      </c>
      <c r="J414" s="9" t="s">
        <v>2723</v>
      </c>
      <c r="K414" s="205" t="s">
        <v>2792</v>
      </c>
      <c r="L414" s="9" t="s">
        <v>2793</v>
      </c>
      <c r="M414" s="32" t="s">
        <v>125</v>
      </c>
      <c r="N414" s="129" t="s">
        <v>2704</v>
      </c>
      <c r="O414" s="122" t="s">
        <v>2704</v>
      </c>
      <c r="P414" s="123" t="str">
        <f t="shared" si="12"/>
        <v>C2-2025</v>
      </c>
      <c r="Q414" s="123" t="str">
        <f t="shared" si="13"/>
        <v>T2-2025</v>
      </c>
      <c r="R414" s="124" t="s">
        <v>2741</v>
      </c>
      <c r="S414" s="123" t="s">
        <v>2723</v>
      </c>
      <c r="T414" s="123" t="s">
        <v>2707</v>
      </c>
      <c r="U414" s="162" t="s">
        <v>2708</v>
      </c>
      <c r="V414" s="162" t="s">
        <v>54</v>
      </c>
      <c r="W414" s="237" t="s">
        <v>125</v>
      </c>
      <c r="X414" s="173" t="s">
        <v>2709</v>
      </c>
    </row>
    <row r="415" spans="1:24" hidden="1">
      <c r="A415" s="161">
        <v>45802</v>
      </c>
      <c r="B415" s="133" t="s">
        <v>3325</v>
      </c>
      <c r="C415" s="32" t="s">
        <v>2697</v>
      </c>
      <c r="D415" s="139">
        <v>-15.46</v>
      </c>
      <c r="E415" s="120">
        <v>1</v>
      </c>
      <c r="F415" s="127">
        <f>Tabla5109[[#This Row],[Original Amount]]*Tabla5109[[#This Row],[ER to EUR]]</f>
        <v>-15.46</v>
      </c>
      <c r="G415" s="9" t="s">
        <v>2830</v>
      </c>
      <c r="H415" s="9" t="s">
        <v>3326</v>
      </c>
      <c r="I415" s="9" t="s">
        <v>2739</v>
      </c>
      <c r="J415" s="9" t="s">
        <v>2817</v>
      </c>
      <c r="K415" s="205" t="s">
        <v>2702</v>
      </c>
      <c r="L415" s="9" t="s">
        <v>2818</v>
      </c>
      <c r="M415" s="32" t="s">
        <v>125</v>
      </c>
      <c r="N415" s="122" t="s">
        <v>2704</v>
      </c>
      <c r="O415" s="129" t="s">
        <v>2704</v>
      </c>
      <c r="P415" s="123" t="str">
        <f t="shared" si="12"/>
        <v>C2-2025</v>
      </c>
      <c r="Q415" s="123" t="str">
        <f t="shared" si="13"/>
        <v>T2-2025</v>
      </c>
      <c r="R415" s="124" t="s">
        <v>2722</v>
      </c>
      <c r="S415" s="123" t="s">
        <v>2723</v>
      </c>
      <c r="T415" s="123" t="s">
        <v>2724</v>
      </c>
      <c r="U415" s="162" t="s">
        <v>2708</v>
      </c>
      <c r="V415" s="162" t="s">
        <v>54</v>
      </c>
      <c r="W415" s="237" t="s">
        <v>125</v>
      </c>
      <c r="X415" s="173" t="s">
        <v>2709</v>
      </c>
    </row>
    <row r="416" spans="1:24" hidden="1">
      <c r="A416" s="161">
        <v>45803</v>
      </c>
      <c r="B416" s="125">
        <v>781103574191</v>
      </c>
      <c r="C416" s="129" t="s">
        <v>2697</v>
      </c>
      <c r="D416" s="139">
        <v>-43.38</v>
      </c>
      <c r="E416" s="120">
        <v>1</v>
      </c>
      <c r="F416" s="127">
        <f>Tabla5109[[#This Row],[Original Amount]]*Tabla5109[[#This Row],[ER to EUR]]</f>
        <v>-43.38</v>
      </c>
      <c r="G416" s="9" t="s">
        <v>2718</v>
      </c>
      <c r="H416" s="73" t="s">
        <v>3327</v>
      </c>
      <c r="I416" s="91" t="s">
        <v>2720</v>
      </c>
      <c r="J416" s="9" t="s">
        <v>2714</v>
      </c>
      <c r="K416" s="205" t="s">
        <v>2721</v>
      </c>
      <c r="L416" s="9" t="s">
        <v>2716</v>
      </c>
      <c r="M416" s="32" t="s">
        <v>125</v>
      </c>
      <c r="N416" s="129" t="s">
        <v>2704</v>
      </c>
      <c r="O416" s="122" t="s">
        <v>2704</v>
      </c>
      <c r="P416" s="123" t="str">
        <f t="shared" si="12"/>
        <v>C2-2025</v>
      </c>
      <c r="Q416" s="123" t="str">
        <f t="shared" si="13"/>
        <v>T2-2025</v>
      </c>
      <c r="R416" s="124" t="s">
        <v>2722</v>
      </c>
      <c r="S416" s="123" t="s">
        <v>2723</v>
      </c>
      <c r="T416" s="123" t="s">
        <v>2724</v>
      </c>
      <c r="U416" s="162" t="s">
        <v>2708</v>
      </c>
      <c r="V416" s="162" t="s">
        <v>54</v>
      </c>
      <c r="W416" s="237" t="s">
        <v>125</v>
      </c>
      <c r="X416" s="173" t="s">
        <v>2709</v>
      </c>
    </row>
    <row r="417" spans="1:24" hidden="1">
      <c r="A417" s="161">
        <v>45803</v>
      </c>
      <c r="B417" s="133" t="s">
        <v>3328</v>
      </c>
      <c r="C417" s="32" t="s">
        <v>2697</v>
      </c>
      <c r="D417" s="139">
        <v>-38.979999999999997</v>
      </c>
      <c r="E417" s="120">
        <v>1</v>
      </c>
      <c r="F417" s="127">
        <f>Tabla5109[[#This Row],[Original Amount]]*Tabla5109[[#This Row],[ER to EUR]]</f>
        <v>-38.979999999999997</v>
      </c>
      <c r="G417" s="9" t="s">
        <v>2830</v>
      </c>
      <c r="H417" s="9" t="s">
        <v>3329</v>
      </c>
      <c r="I417" s="9" t="s">
        <v>2739</v>
      </c>
      <c r="J417" s="9" t="s">
        <v>2817</v>
      </c>
      <c r="K417" s="205" t="s">
        <v>2702</v>
      </c>
      <c r="L417" s="9" t="s">
        <v>2818</v>
      </c>
      <c r="M417" s="32" t="s">
        <v>125</v>
      </c>
      <c r="N417" s="122" t="s">
        <v>2704</v>
      </c>
      <c r="O417" s="129" t="s">
        <v>2704</v>
      </c>
      <c r="P417" s="123" t="str">
        <f t="shared" si="12"/>
        <v>C2-2025</v>
      </c>
      <c r="Q417" s="123" t="str">
        <f t="shared" si="13"/>
        <v>T2-2025</v>
      </c>
      <c r="R417" s="124" t="s">
        <v>2722</v>
      </c>
      <c r="S417" s="123" t="s">
        <v>2723</v>
      </c>
      <c r="T417" s="123" t="s">
        <v>2724</v>
      </c>
      <c r="U417" s="162" t="s">
        <v>2708</v>
      </c>
      <c r="V417" s="162" t="s">
        <v>54</v>
      </c>
      <c r="W417" s="237" t="s">
        <v>125</v>
      </c>
      <c r="X417" s="173" t="s">
        <v>2709</v>
      </c>
    </row>
    <row r="418" spans="1:24" hidden="1">
      <c r="A418" s="161">
        <v>45804</v>
      </c>
      <c r="B418" s="117" t="s">
        <v>3330</v>
      </c>
      <c r="C418" s="129" t="s">
        <v>2697</v>
      </c>
      <c r="D418" s="139">
        <v>-87.8</v>
      </c>
      <c r="E418" s="120">
        <v>1</v>
      </c>
      <c r="F418" s="127">
        <f>Tabla5109[[#This Row],[Original Amount]]*Tabla5109[[#This Row],[ER to EUR]]</f>
        <v>-87.8</v>
      </c>
      <c r="G418" s="9" t="s">
        <v>3248</v>
      </c>
      <c r="H418" s="9" t="s">
        <v>3331</v>
      </c>
      <c r="I418" s="9" t="s">
        <v>2713</v>
      </c>
      <c r="J418" s="9" t="s">
        <v>2714</v>
      </c>
      <c r="K418" s="205" t="s">
        <v>2702</v>
      </c>
      <c r="L418" s="9" t="s">
        <v>2799</v>
      </c>
      <c r="M418" s="32" t="s">
        <v>125</v>
      </c>
      <c r="N418" s="129" t="s">
        <v>2704</v>
      </c>
      <c r="O418" s="122" t="s">
        <v>2704</v>
      </c>
      <c r="P418" s="123" t="str">
        <f t="shared" si="12"/>
        <v>C2-2025</v>
      </c>
      <c r="Q418" s="123" t="str">
        <f t="shared" si="13"/>
        <v>T2-2025</v>
      </c>
      <c r="R418" s="124" t="s">
        <v>2730</v>
      </c>
      <c r="S418" s="123" t="s">
        <v>2731</v>
      </c>
      <c r="T418" s="123" t="s">
        <v>2724</v>
      </c>
      <c r="U418" s="162" t="s">
        <v>51</v>
      </c>
      <c r="V418" s="162" t="s">
        <v>57</v>
      </c>
      <c r="W418" s="237" t="s">
        <v>125</v>
      </c>
      <c r="X418" s="173" t="s">
        <v>2709</v>
      </c>
    </row>
    <row r="419" spans="1:24" hidden="1">
      <c r="A419" s="161">
        <v>45804</v>
      </c>
      <c r="B419" s="117" t="s">
        <v>3332</v>
      </c>
      <c r="C419" s="129" t="s">
        <v>2697</v>
      </c>
      <c r="D419" s="139">
        <v>-818</v>
      </c>
      <c r="E419" s="120">
        <v>1</v>
      </c>
      <c r="F419" s="127">
        <f>Tabla5109[[#This Row],[Original Amount]]*Tabla5109[[#This Row],[ER to EUR]]</f>
        <v>-818</v>
      </c>
      <c r="G419" s="9" t="s">
        <v>2884</v>
      </c>
      <c r="H419" s="73" t="s">
        <v>2885</v>
      </c>
      <c r="I419" s="9" t="s">
        <v>3267</v>
      </c>
      <c r="J419" s="9" t="s">
        <v>2723</v>
      </c>
      <c r="K419" s="205" t="s">
        <v>2792</v>
      </c>
      <c r="L419" s="9" t="s">
        <v>2793</v>
      </c>
      <c r="M419" s="32" t="s">
        <v>125</v>
      </c>
      <c r="N419" s="129" t="s">
        <v>2704</v>
      </c>
      <c r="O419" s="122" t="s">
        <v>2704</v>
      </c>
      <c r="P419" s="123" t="str">
        <f t="shared" si="12"/>
        <v>C2-2025</v>
      </c>
      <c r="Q419" s="123" t="str">
        <f t="shared" si="13"/>
        <v>T2-2025</v>
      </c>
      <c r="R419" s="124" t="s">
        <v>2741</v>
      </c>
      <c r="S419" s="123" t="s">
        <v>2723</v>
      </c>
      <c r="T419" s="123" t="s">
        <v>2707</v>
      </c>
      <c r="U419" s="162" t="s">
        <v>2708</v>
      </c>
      <c r="V419" s="162" t="s">
        <v>54</v>
      </c>
      <c r="W419" s="237" t="s">
        <v>125</v>
      </c>
      <c r="X419" s="173" t="s">
        <v>2709</v>
      </c>
    </row>
    <row r="420" spans="1:24" hidden="1">
      <c r="A420" s="161">
        <v>45805</v>
      </c>
      <c r="B420" s="117" t="s">
        <v>3333</v>
      </c>
      <c r="C420" s="129" t="s">
        <v>2697</v>
      </c>
      <c r="D420" s="139">
        <v>-1852.83</v>
      </c>
      <c r="E420" s="120">
        <v>1</v>
      </c>
      <c r="F420" s="127">
        <f>Tabla5109[[#This Row],[Original Amount]]*Tabla5109[[#This Row],[ER to EUR]]</f>
        <v>-1852.83</v>
      </c>
      <c r="G420" s="9" t="s">
        <v>2698</v>
      </c>
      <c r="H420" s="73" t="s">
        <v>3334</v>
      </c>
      <c r="I420" s="9" t="s">
        <v>2784</v>
      </c>
      <c r="J420" s="9" t="s">
        <v>2701</v>
      </c>
      <c r="K420" s="205" t="s">
        <v>2702</v>
      </c>
      <c r="L420" s="9" t="s">
        <v>2703</v>
      </c>
      <c r="M420" s="32" t="s">
        <v>125</v>
      </c>
      <c r="N420" s="129" t="s">
        <v>2704</v>
      </c>
      <c r="O420" s="122" t="s">
        <v>2704</v>
      </c>
      <c r="P420" s="123" t="str">
        <f t="shared" si="12"/>
        <v>C2-2025</v>
      </c>
      <c r="Q420" s="123" t="str">
        <f t="shared" si="13"/>
        <v>T2-2025</v>
      </c>
      <c r="R420" s="124" t="s">
        <v>2705</v>
      </c>
      <c r="S420" s="124" t="s">
        <v>2706</v>
      </c>
      <c r="T420" s="123" t="s">
        <v>2707</v>
      </c>
      <c r="U420" s="162" t="s">
        <v>2708</v>
      </c>
      <c r="V420" s="162" t="s">
        <v>54</v>
      </c>
      <c r="W420" s="237" t="s">
        <v>125</v>
      </c>
      <c r="X420" s="173" t="s">
        <v>2709</v>
      </c>
    </row>
    <row r="421" spans="1:24" hidden="1">
      <c r="A421" s="161">
        <v>45805</v>
      </c>
      <c r="B421" s="117" t="s">
        <v>3335</v>
      </c>
      <c r="C421" s="129" t="s">
        <v>2697</v>
      </c>
      <c r="D421" s="139">
        <v>-60.8</v>
      </c>
      <c r="E421" s="120">
        <v>1</v>
      </c>
      <c r="F421" s="127">
        <f>Tabla5109[[#This Row],[Original Amount]]*Tabla5109[[#This Row],[ER to EUR]]</f>
        <v>-60.8</v>
      </c>
      <c r="G421" s="9" t="s">
        <v>3137</v>
      </c>
      <c r="H421" s="9" t="s">
        <v>3336</v>
      </c>
      <c r="I421" s="9" t="s">
        <v>2727</v>
      </c>
      <c r="J421" s="9" t="s">
        <v>2701</v>
      </c>
      <c r="K421" s="205" t="s">
        <v>2702</v>
      </c>
      <c r="L421" s="9" t="s">
        <v>2760</v>
      </c>
      <c r="M421" s="32" t="s">
        <v>125</v>
      </c>
      <c r="N421" s="129" t="s">
        <v>2704</v>
      </c>
      <c r="O421" s="122" t="s">
        <v>2704</v>
      </c>
      <c r="P421" s="123" t="str">
        <f t="shared" si="12"/>
        <v>C2-2025</v>
      </c>
      <c r="Q421" s="123" t="str">
        <f t="shared" si="13"/>
        <v>T2-2025</v>
      </c>
      <c r="R421" s="124" t="s">
        <v>2819</v>
      </c>
      <c r="S421" s="123" t="s">
        <v>2723</v>
      </c>
      <c r="T421" s="123" t="s">
        <v>2724</v>
      </c>
      <c r="U421" s="162" t="s">
        <v>2708</v>
      </c>
      <c r="V421" s="162" t="s">
        <v>54</v>
      </c>
      <c r="W421" s="237" t="s">
        <v>125</v>
      </c>
      <c r="X421" s="173" t="s">
        <v>2709</v>
      </c>
    </row>
    <row r="422" spans="1:24" hidden="1">
      <c r="A422" s="161">
        <v>45805</v>
      </c>
      <c r="B422" s="125">
        <v>6564975</v>
      </c>
      <c r="C422" s="32" t="s">
        <v>2543</v>
      </c>
      <c r="D422" s="147">
        <v>-870905</v>
      </c>
      <c r="E422" s="154">
        <v>9.41E-4</v>
      </c>
      <c r="F422" s="127">
        <f>Tabla5109[[#This Row],[Original Amount]]*Tabla5109[[#This Row],[ER to EUR]]</f>
        <v>-819.52160500000002</v>
      </c>
      <c r="G422" s="9" t="s">
        <v>2823</v>
      </c>
      <c r="H422" s="9" t="s">
        <v>3337</v>
      </c>
      <c r="I422" s="9" t="s">
        <v>2727</v>
      </c>
      <c r="J422" s="9" t="s">
        <v>2825</v>
      </c>
      <c r="K422" s="205" t="s">
        <v>2826</v>
      </c>
      <c r="L422" s="9" t="s">
        <v>2827</v>
      </c>
      <c r="M422" s="227" t="s">
        <v>2704</v>
      </c>
      <c r="N422" s="129" t="s">
        <v>2748</v>
      </c>
      <c r="O422" s="122" t="s">
        <v>2704</v>
      </c>
      <c r="P422" s="123" t="str">
        <f t="shared" si="12"/>
        <v>C2-2025</v>
      </c>
      <c r="Q422" s="123" t="str">
        <f t="shared" si="13"/>
        <v>T2-2025</v>
      </c>
      <c r="R422" s="124" t="s">
        <v>2705</v>
      </c>
      <c r="S422" s="124" t="s">
        <v>2706</v>
      </c>
      <c r="T422" s="123" t="s">
        <v>2717</v>
      </c>
      <c r="U422" s="162" t="s">
        <v>2708</v>
      </c>
      <c r="V422" s="162" t="s">
        <v>56</v>
      </c>
      <c r="W422" s="237" t="s">
        <v>125</v>
      </c>
      <c r="X422" s="173" t="s">
        <v>2751</v>
      </c>
    </row>
    <row r="423" spans="1:24" hidden="1">
      <c r="A423" s="161">
        <v>45806</v>
      </c>
      <c r="B423" s="117" t="s">
        <v>3338</v>
      </c>
      <c r="C423" s="129" t="s">
        <v>2697</v>
      </c>
      <c r="D423" s="139">
        <v>-818</v>
      </c>
      <c r="E423" s="120">
        <v>1</v>
      </c>
      <c r="F423" s="127">
        <f>Tabla5109[[#This Row],[Original Amount]]*Tabla5109[[#This Row],[ER to EUR]]</f>
        <v>-818</v>
      </c>
      <c r="G423" s="9" t="s">
        <v>2884</v>
      </c>
      <c r="H423" s="73" t="s">
        <v>2885</v>
      </c>
      <c r="I423" s="9" t="s">
        <v>3267</v>
      </c>
      <c r="J423" s="9" t="s">
        <v>2723</v>
      </c>
      <c r="K423" s="4" t="s">
        <v>2792</v>
      </c>
      <c r="L423" s="9" t="s">
        <v>2793</v>
      </c>
      <c r="M423" s="32" t="s">
        <v>125</v>
      </c>
      <c r="N423" s="129" t="s">
        <v>2704</v>
      </c>
      <c r="O423" s="122" t="s">
        <v>2704</v>
      </c>
      <c r="P423" s="123" t="str">
        <f t="shared" si="12"/>
        <v>C2-2025</v>
      </c>
      <c r="Q423" s="123" t="str">
        <f t="shared" si="13"/>
        <v>T2-2025</v>
      </c>
      <c r="R423" s="124" t="s">
        <v>2741</v>
      </c>
      <c r="S423" s="123" t="s">
        <v>2723</v>
      </c>
      <c r="T423" s="123" t="s">
        <v>2707</v>
      </c>
      <c r="U423" s="162" t="s">
        <v>2708</v>
      </c>
      <c r="V423" s="162" t="s">
        <v>54</v>
      </c>
      <c r="W423" s="237" t="s">
        <v>125</v>
      </c>
      <c r="X423" s="173" t="s">
        <v>2709</v>
      </c>
    </row>
    <row r="424" spans="1:24" hidden="1">
      <c r="A424" s="161">
        <v>45806</v>
      </c>
      <c r="B424" s="117" t="s">
        <v>3339</v>
      </c>
      <c r="C424" s="129" t="s">
        <v>2697</v>
      </c>
      <c r="D424" s="139">
        <v>-61.49</v>
      </c>
      <c r="E424" s="120">
        <v>1</v>
      </c>
      <c r="F424" s="127">
        <f>Tabla5109[[#This Row],[Original Amount]]*Tabla5109[[#This Row],[ER to EUR]]</f>
        <v>-61.49</v>
      </c>
      <c r="G424" s="9" t="s">
        <v>2956</v>
      </c>
      <c r="H424" s="73" t="s">
        <v>3214</v>
      </c>
      <c r="I424" s="9" t="s">
        <v>2739</v>
      </c>
      <c r="J424" s="9" t="s">
        <v>2701</v>
      </c>
      <c r="K424" s="205" t="s">
        <v>2702</v>
      </c>
      <c r="L424" s="9" t="s">
        <v>2740</v>
      </c>
      <c r="M424" s="32" t="s">
        <v>125</v>
      </c>
      <c r="N424" s="129" t="s">
        <v>2704</v>
      </c>
      <c r="O424" s="122" t="s">
        <v>2704</v>
      </c>
      <c r="P424" s="123" t="str">
        <f t="shared" si="12"/>
        <v>C2-2025</v>
      </c>
      <c r="Q424" s="123" t="str">
        <f t="shared" si="13"/>
        <v>T2-2025</v>
      </c>
      <c r="R424" s="124" t="s">
        <v>2705</v>
      </c>
      <c r="S424" s="124" t="s">
        <v>2706</v>
      </c>
      <c r="T424" s="123" t="s">
        <v>2724</v>
      </c>
      <c r="U424" s="162" t="s">
        <v>2708</v>
      </c>
      <c r="V424" s="162" t="s">
        <v>54</v>
      </c>
      <c r="W424" s="237" t="s">
        <v>125</v>
      </c>
      <c r="X424" s="173" t="s">
        <v>2709</v>
      </c>
    </row>
    <row r="425" spans="1:24" hidden="1">
      <c r="A425" s="161">
        <v>45808</v>
      </c>
      <c r="B425" s="117" t="s">
        <v>3340</v>
      </c>
      <c r="C425" s="129" t="s">
        <v>2697</v>
      </c>
      <c r="D425" s="139">
        <v>-818</v>
      </c>
      <c r="E425" s="120">
        <v>1</v>
      </c>
      <c r="F425" s="127">
        <f>Tabla5109[[#This Row],[Original Amount]]*Tabla5109[[#This Row],[ER to EUR]]</f>
        <v>-818</v>
      </c>
      <c r="G425" s="9" t="s">
        <v>2884</v>
      </c>
      <c r="H425" s="73" t="s">
        <v>2885</v>
      </c>
      <c r="I425" s="9" t="s">
        <v>3267</v>
      </c>
      <c r="J425" s="9" t="s">
        <v>2723</v>
      </c>
      <c r="K425" s="205" t="s">
        <v>2792</v>
      </c>
      <c r="L425" s="9" t="s">
        <v>2793</v>
      </c>
      <c r="M425" s="32" t="s">
        <v>125</v>
      </c>
      <c r="N425" s="129" t="s">
        <v>2704</v>
      </c>
      <c r="O425" s="122" t="s">
        <v>2704</v>
      </c>
      <c r="P425" s="123" t="str">
        <f t="shared" si="12"/>
        <v>C2-2025</v>
      </c>
      <c r="Q425" s="123" t="str">
        <f t="shared" si="13"/>
        <v>T2-2025</v>
      </c>
      <c r="R425" s="124" t="s">
        <v>2741</v>
      </c>
      <c r="S425" s="123" t="s">
        <v>2723</v>
      </c>
      <c r="T425" s="123" t="s">
        <v>2707</v>
      </c>
      <c r="U425" s="162" t="s">
        <v>2708</v>
      </c>
      <c r="V425" s="162" t="s">
        <v>54</v>
      </c>
      <c r="W425" s="237" t="s">
        <v>125</v>
      </c>
      <c r="X425" s="173" t="s">
        <v>2709</v>
      </c>
    </row>
    <row r="426" spans="1:24" hidden="1">
      <c r="A426" s="161">
        <v>45808</v>
      </c>
      <c r="B426" s="130" t="s">
        <v>3341</v>
      </c>
      <c r="C426" s="122" t="s">
        <v>2548</v>
      </c>
      <c r="D426" s="141">
        <v>-1.37</v>
      </c>
      <c r="E426" s="222">
        <v>0.88676066329697623</v>
      </c>
      <c r="F426" s="127">
        <f>Tabla5109[[#This Row],[Original Amount]]*Tabla5109[[#This Row],[ER to EUR]]</f>
        <v>-1.2148621087168576</v>
      </c>
      <c r="G426" s="9" t="s">
        <v>3039</v>
      </c>
      <c r="H426" s="73" t="s">
        <v>3040</v>
      </c>
      <c r="I426" s="9" t="s">
        <v>2713</v>
      </c>
      <c r="J426" s="9" t="s">
        <v>2701</v>
      </c>
      <c r="K426" s="205" t="s">
        <v>2702</v>
      </c>
      <c r="L426" s="9" t="s">
        <v>2703</v>
      </c>
      <c r="M426" s="32" t="s">
        <v>125</v>
      </c>
      <c r="N426" s="129" t="s">
        <v>2704</v>
      </c>
      <c r="O426" s="122" t="s">
        <v>2704</v>
      </c>
      <c r="P426" s="123" t="str">
        <f t="shared" si="12"/>
        <v>C2-2025</v>
      </c>
      <c r="Q426" s="123" t="str">
        <f t="shared" si="13"/>
        <v>T2-2025</v>
      </c>
      <c r="R426" s="124" t="s">
        <v>2705</v>
      </c>
      <c r="S426" s="123" t="s">
        <v>3041</v>
      </c>
      <c r="T426" s="123" t="s">
        <v>2724</v>
      </c>
      <c r="U426" s="162" t="s">
        <v>2708</v>
      </c>
      <c r="V426" s="162" t="s">
        <v>57</v>
      </c>
      <c r="W426" s="237" t="s">
        <v>125</v>
      </c>
      <c r="X426" s="173" t="s">
        <v>2709</v>
      </c>
    </row>
    <row r="427" spans="1:24" hidden="1">
      <c r="A427" s="161">
        <v>45808</v>
      </c>
      <c r="B427" s="194" t="s">
        <v>2871</v>
      </c>
      <c r="C427" s="32" t="s">
        <v>2543</v>
      </c>
      <c r="D427" s="147">
        <v>-1231111</v>
      </c>
      <c r="E427" s="154">
        <v>9.41E-4</v>
      </c>
      <c r="F427" s="127">
        <f>Tabla5109[[#This Row],[Original Amount]]*Tabla5109[[#This Row],[ER to EUR]]</f>
        <v>-1158.475451</v>
      </c>
      <c r="G427" s="91" t="s">
        <v>2872</v>
      </c>
      <c r="H427" s="91" t="s">
        <v>3342</v>
      </c>
      <c r="I427" s="9" t="s">
        <v>2713</v>
      </c>
      <c r="J427" s="9" t="s">
        <v>2770</v>
      </c>
      <c r="K427" s="205" t="s">
        <v>2874</v>
      </c>
      <c r="L427" s="9" t="s">
        <v>2875</v>
      </c>
      <c r="M427" s="227" t="s">
        <v>2704</v>
      </c>
      <c r="N427" s="122" t="s">
        <v>2748</v>
      </c>
      <c r="O427" s="129" t="s">
        <v>2748</v>
      </c>
      <c r="P427" s="123" t="str">
        <f t="shared" si="12"/>
        <v>C2-2025</v>
      </c>
      <c r="Q427" s="123" t="str">
        <f t="shared" si="13"/>
        <v>T2-2025</v>
      </c>
      <c r="R427" s="91" t="s">
        <v>2749</v>
      </c>
      <c r="S427" s="123" t="s">
        <v>2750</v>
      </c>
      <c r="T427" s="123" t="s">
        <v>2724</v>
      </c>
      <c r="U427" s="162" t="s">
        <v>2708</v>
      </c>
      <c r="V427" s="162" t="s">
        <v>54</v>
      </c>
      <c r="W427" s="237" t="s">
        <v>125</v>
      </c>
      <c r="X427" s="173" t="s">
        <v>2751</v>
      </c>
    </row>
    <row r="428" spans="1:24" hidden="1">
      <c r="A428" s="161">
        <v>45808</v>
      </c>
      <c r="B428" s="194" t="s">
        <v>2871</v>
      </c>
      <c r="C428" s="32" t="s">
        <v>2543</v>
      </c>
      <c r="D428" s="147">
        <v>-5529223</v>
      </c>
      <c r="E428" s="154">
        <v>9.41E-4</v>
      </c>
      <c r="F428" s="127">
        <f>Tabla5109[[#This Row],[Original Amount]]*Tabla5109[[#This Row],[ER to EUR]]</f>
        <v>-5202.9988430000003</v>
      </c>
      <c r="G428" s="9" t="s">
        <v>2876</v>
      </c>
      <c r="H428" s="91" t="s">
        <v>3342</v>
      </c>
      <c r="I428" s="9" t="s">
        <v>2713</v>
      </c>
      <c r="J428" s="9" t="s">
        <v>2770</v>
      </c>
      <c r="K428" s="205" t="s">
        <v>2874</v>
      </c>
      <c r="L428" s="9" t="s">
        <v>2875</v>
      </c>
      <c r="M428" s="227" t="s">
        <v>2704</v>
      </c>
      <c r="N428" s="122" t="s">
        <v>2748</v>
      </c>
      <c r="O428" s="129" t="s">
        <v>2748</v>
      </c>
      <c r="P428" s="123" t="str">
        <f t="shared" si="12"/>
        <v>C2-2025</v>
      </c>
      <c r="Q428" s="123" t="str">
        <f t="shared" si="13"/>
        <v>T2-2025</v>
      </c>
      <c r="R428" s="91" t="s">
        <v>2749</v>
      </c>
      <c r="S428" s="123" t="s">
        <v>2750</v>
      </c>
      <c r="T428" s="123" t="s">
        <v>2724</v>
      </c>
      <c r="U428" s="162" t="s">
        <v>2708</v>
      </c>
      <c r="V428" s="162" t="s">
        <v>56</v>
      </c>
      <c r="W428" s="237" t="s">
        <v>125</v>
      </c>
      <c r="X428" s="173" t="s">
        <v>2751</v>
      </c>
    </row>
    <row r="429" spans="1:24" hidden="1">
      <c r="A429" s="161">
        <v>45808</v>
      </c>
      <c r="B429" s="194" t="s">
        <v>2871</v>
      </c>
      <c r="C429" s="32" t="s">
        <v>2543</v>
      </c>
      <c r="D429" s="147">
        <v>-3163290</v>
      </c>
      <c r="E429" s="154">
        <v>9.41E-4</v>
      </c>
      <c r="F429" s="127">
        <f>Tabla5109[[#This Row],[Original Amount]]*Tabla5109[[#This Row],[ER to EUR]]</f>
        <v>-2976.65589</v>
      </c>
      <c r="G429" s="9" t="s">
        <v>3257</v>
      </c>
      <c r="H429" s="91" t="s">
        <v>3342</v>
      </c>
      <c r="I429" s="9" t="s">
        <v>2713</v>
      </c>
      <c r="J429" s="9" t="s">
        <v>2770</v>
      </c>
      <c r="K429" s="205" t="s">
        <v>2874</v>
      </c>
      <c r="L429" s="9" t="s">
        <v>2875</v>
      </c>
      <c r="M429" s="227" t="s">
        <v>2704</v>
      </c>
      <c r="N429" s="122" t="s">
        <v>2748</v>
      </c>
      <c r="O429" s="129" t="s">
        <v>2748</v>
      </c>
      <c r="P429" s="123" t="str">
        <f t="shared" si="12"/>
        <v>C2-2025</v>
      </c>
      <c r="Q429" s="123" t="str">
        <f t="shared" si="13"/>
        <v>T2-2025</v>
      </c>
      <c r="R429" s="91" t="s">
        <v>2749</v>
      </c>
      <c r="S429" s="123" t="s">
        <v>2750</v>
      </c>
      <c r="T429" s="123" t="s">
        <v>2717</v>
      </c>
      <c r="U429" s="162" t="s">
        <v>2708</v>
      </c>
      <c r="V429" s="162" t="s">
        <v>54</v>
      </c>
      <c r="W429" s="237" t="s">
        <v>125</v>
      </c>
      <c r="X429" s="173" t="s">
        <v>2751</v>
      </c>
    </row>
    <row r="430" spans="1:24" hidden="1">
      <c r="A430" s="161">
        <v>45808</v>
      </c>
      <c r="B430" s="194" t="s">
        <v>2871</v>
      </c>
      <c r="C430" s="32" t="s">
        <v>2543</v>
      </c>
      <c r="D430" s="147">
        <v>-4431161</v>
      </c>
      <c r="E430" s="154">
        <v>9.41E-4</v>
      </c>
      <c r="F430" s="127">
        <f>Tabla5109[[#This Row],[Original Amount]]*Tabla5109[[#This Row],[ER to EUR]]</f>
        <v>-4169.7225010000002</v>
      </c>
      <c r="G430" s="9" t="s">
        <v>2877</v>
      </c>
      <c r="H430" s="91" t="s">
        <v>3342</v>
      </c>
      <c r="I430" s="9" t="s">
        <v>2713</v>
      </c>
      <c r="J430" s="9" t="s">
        <v>2770</v>
      </c>
      <c r="K430" s="205" t="s">
        <v>2874</v>
      </c>
      <c r="L430" s="9" t="s">
        <v>2875</v>
      </c>
      <c r="M430" s="227" t="s">
        <v>2704</v>
      </c>
      <c r="N430" s="122" t="s">
        <v>2748</v>
      </c>
      <c r="O430" s="129" t="s">
        <v>2748</v>
      </c>
      <c r="P430" s="123" t="str">
        <f t="shared" si="12"/>
        <v>C2-2025</v>
      </c>
      <c r="Q430" s="123" t="str">
        <f t="shared" si="13"/>
        <v>T2-2025</v>
      </c>
      <c r="R430" s="91" t="s">
        <v>2749</v>
      </c>
      <c r="S430" s="123" t="s">
        <v>2750</v>
      </c>
      <c r="T430" s="123" t="s">
        <v>2724</v>
      </c>
      <c r="U430" s="162" t="s">
        <v>2708</v>
      </c>
      <c r="V430" s="162" t="s">
        <v>54</v>
      </c>
      <c r="W430" s="237" t="s">
        <v>125</v>
      </c>
      <c r="X430" s="173" t="s">
        <v>2751</v>
      </c>
    </row>
    <row r="431" spans="1:24" hidden="1">
      <c r="A431" s="161">
        <v>45809</v>
      </c>
      <c r="B431" s="134">
        <v>202500000702</v>
      </c>
      <c r="C431" s="129" t="s">
        <v>2697</v>
      </c>
      <c r="D431" s="210">
        <v>-1193.81</v>
      </c>
      <c r="E431" s="120">
        <v>1</v>
      </c>
      <c r="F431" s="121">
        <f>Tabla5109[[#This Row],[Original Amount]]*Tabla5109[[#This Row],[ER to EUR]]</f>
        <v>-1193.81</v>
      </c>
      <c r="G431" s="9" t="s">
        <v>2796</v>
      </c>
      <c r="H431" s="73" t="s">
        <v>3050</v>
      </c>
      <c r="I431" s="9" t="s">
        <v>2727</v>
      </c>
      <c r="J431" s="9" t="s">
        <v>2714</v>
      </c>
      <c r="K431" s="205" t="s">
        <v>2798</v>
      </c>
      <c r="L431" s="9" t="s">
        <v>2799</v>
      </c>
      <c r="M431" s="32" t="s">
        <v>125</v>
      </c>
      <c r="N431" s="129" t="s">
        <v>2704</v>
      </c>
      <c r="O431" s="122" t="s">
        <v>2704</v>
      </c>
      <c r="P431" s="123" t="str">
        <f t="shared" si="12"/>
        <v>C2-2025</v>
      </c>
      <c r="Q431" s="123" t="str">
        <f t="shared" si="13"/>
        <v>T2-2025</v>
      </c>
      <c r="R431" s="124" t="s">
        <v>2705</v>
      </c>
      <c r="S431" s="124" t="s">
        <v>2706</v>
      </c>
      <c r="T431" s="123" t="s">
        <v>2724</v>
      </c>
      <c r="U431" s="162" t="s">
        <v>2708</v>
      </c>
      <c r="V431" s="162" t="s">
        <v>56</v>
      </c>
      <c r="W431" s="237" t="s">
        <v>125</v>
      </c>
      <c r="X431" s="173" t="s">
        <v>2709</v>
      </c>
    </row>
    <row r="432" spans="1:24" hidden="1">
      <c r="A432" s="161">
        <v>45809</v>
      </c>
      <c r="B432" s="130" t="s">
        <v>3343</v>
      </c>
      <c r="C432" s="122" t="s">
        <v>2548</v>
      </c>
      <c r="D432" s="136">
        <v>-2.74</v>
      </c>
      <c r="E432" s="181">
        <v>0.86707708315269227</v>
      </c>
      <c r="F432" s="121">
        <f>Tabla5109[[#This Row],[Original Amount]]*Tabla5109[[#This Row],[ER to EUR]]</f>
        <v>-2.3757912078383772</v>
      </c>
      <c r="G432" s="9" t="s">
        <v>3039</v>
      </c>
      <c r="H432" s="73" t="s">
        <v>3040</v>
      </c>
      <c r="I432" s="9" t="s">
        <v>2713</v>
      </c>
      <c r="J432" s="9" t="s">
        <v>2701</v>
      </c>
      <c r="K432" s="205" t="s">
        <v>2702</v>
      </c>
      <c r="L432" s="9" t="s">
        <v>2703</v>
      </c>
      <c r="M432" s="32" t="s">
        <v>125</v>
      </c>
      <c r="N432" s="129" t="s">
        <v>2704</v>
      </c>
      <c r="O432" s="122" t="s">
        <v>2704</v>
      </c>
      <c r="P432" s="123" t="str">
        <f t="shared" si="12"/>
        <v>C2-2025</v>
      </c>
      <c r="Q432" s="123" t="str">
        <f t="shared" si="13"/>
        <v>T2-2025</v>
      </c>
      <c r="R432" s="124" t="s">
        <v>2705</v>
      </c>
      <c r="S432" s="123" t="s">
        <v>3041</v>
      </c>
      <c r="T432" s="123" t="s">
        <v>2724</v>
      </c>
      <c r="U432" s="162" t="s">
        <v>2708</v>
      </c>
      <c r="V432" s="162" t="s">
        <v>57</v>
      </c>
      <c r="W432" s="237" t="s">
        <v>125</v>
      </c>
      <c r="X432" s="173" t="s">
        <v>2709</v>
      </c>
    </row>
    <row r="433" spans="1:24" hidden="1">
      <c r="A433" s="161">
        <v>45839</v>
      </c>
      <c r="B433" s="130" t="s">
        <v>6567</v>
      </c>
      <c r="C433" s="32" t="s">
        <v>2697</v>
      </c>
      <c r="D433" s="210">
        <v>-307.64999999999998</v>
      </c>
      <c r="E433" s="120">
        <v>1</v>
      </c>
      <c r="F433" s="121">
        <f>Tabla5109[[#This Row],[Original Amount]]*Tabla5109[[#This Row],[ER to EUR]]</f>
        <v>-307.64999999999998</v>
      </c>
      <c r="G433" s="9" t="s">
        <v>3692</v>
      </c>
      <c r="H433" s="9" t="s">
        <v>6576</v>
      </c>
      <c r="I433" s="9" t="s">
        <v>2713</v>
      </c>
      <c r="J433" s="9" t="s">
        <v>2701</v>
      </c>
      <c r="K433" s="205" t="s">
        <v>2702</v>
      </c>
      <c r="L433" s="9" t="s">
        <v>6577</v>
      </c>
      <c r="M433" s="227" t="s">
        <v>125</v>
      </c>
      <c r="N433" s="122" t="s">
        <v>2748</v>
      </c>
      <c r="O433" s="129" t="s">
        <v>2748</v>
      </c>
      <c r="P433" s="123" t="str">
        <f t="shared" si="12"/>
        <v>C2-2025</v>
      </c>
      <c r="Q433" s="123" t="str">
        <f t="shared" si="13"/>
        <v>T3-2025</v>
      </c>
      <c r="R433" s="91" t="s">
        <v>6009</v>
      </c>
      <c r="S433" s="123" t="s">
        <v>2750</v>
      </c>
      <c r="T433" s="123" t="s">
        <v>2724</v>
      </c>
      <c r="U433" s="162" t="s">
        <v>2708</v>
      </c>
      <c r="V433" s="162" t="s">
        <v>56</v>
      </c>
      <c r="W433" s="237" t="s">
        <v>125</v>
      </c>
      <c r="X433" s="201" t="s">
        <v>2709</v>
      </c>
    </row>
    <row r="434" spans="1:24" hidden="1">
      <c r="A434" s="161">
        <v>45810</v>
      </c>
      <c r="B434" s="125">
        <v>132015454264</v>
      </c>
      <c r="C434" s="129" t="s">
        <v>2697</v>
      </c>
      <c r="D434" s="210">
        <v>-45.22</v>
      </c>
      <c r="E434" s="120">
        <v>1</v>
      </c>
      <c r="F434" s="121">
        <f>Tabla5109[[#This Row],[Original Amount]]*Tabla5109[[#This Row],[ER to EUR]]</f>
        <v>-45.22</v>
      </c>
      <c r="G434" s="9" t="s">
        <v>2768</v>
      </c>
      <c r="H434" s="73" t="s">
        <v>3344</v>
      </c>
      <c r="I434" s="9" t="s">
        <v>2755</v>
      </c>
      <c r="J434" s="9" t="s">
        <v>2770</v>
      </c>
      <c r="K434" s="205" t="s">
        <v>2771</v>
      </c>
      <c r="L434" s="9" t="s">
        <v>2772</v>
      </c>
      <c r="M434" s="32" t="s">
        <v>125</v>
      </c>
      <c r="N434" s="129" t="s">
        <v>2704</v>
      </c>
      <c r="O434" s="122" t="s">
        <v>2704</v>
      </c>
      <c r="P434" s="123" t="str">
        <f t="shared" si="12"/>
        <v>C2-2025</v>
      </c>
      <c r="Q434" s="123" t="str">
        <f t="shared" si="13"/>
        <v>T2-2025</v>
      </c>
      <c r="R434" s="124" t="s">
        <v>2705</v>
      </c>
      <c r="S434" s="123" t="s">
        <v>2735</v>
      </c>
      <c r="T434" s="123" t="s">
        <v>2724</v>
      </c>
      <c r="U434" s="162" t="s">
        <v>2708</v>
      </c>
      <c r="V434" s="162" t="s">
        <v>56</v>
      </c>
      <c r="W434" s="237" t="s">
        <v>125</v>
      </c>
      <c r="X434" s="173" t="s">
        <v>2709</v>
      </c>
    </row>
    <row r="435" spans="1:24" hidden="1">
      <c r="A435" s="161">
        <v>45810</v>
      </c>
      <c r="B435" s="131" t="s">
        <v>3345</v>
      </c>
      <c r="C435" s="129" t="s">
        <v>2548</v>
      </c>
      <c r="D435" s="136">
        <v>-90</v>
      </c>
      <c r="E435" s="221">
        <v>0.86707708315269227</v>
      </c>
      <c r="F435" s="121">
        <f>Tabla5109[[#This Row],[Original Amount]]*Tabla5109[[#This Row],[ER to EUR]]</f>
        <v>-78.036937483742307</v>
      </c>
      <c r="G435" s="9" t="s">
        <v>2766</v>
      </c>
      <c r="H435" s="9" t="s">
        <v>3346</v>
      </c>
      <c r="I435" s="9" t="s">
        <v>2713</v>
      </c>
      <c r="J435" s="9" t="s">
        <v>2701</v>
      </c>
      <c r="K435" s="205" t="s">
        <v>2702</v>
      </c>
      <c r="L435" s="9" t="s">
        <v>2760</v>
      </c>
      <c r="M435" s="32" t="s">
        <v>125</v>
      </c>
      <c r="N435" s="129" t="s">
        <v>2704</v>
      </c>
      <c r="O435" s="122" t="s">
        <v>2704</v>
      </c>
      <c r="P435" s="123" t="str">
        <f t="shared" si="12"/>
        <v>C2-2025</v>
      </c>
      <c r="Q435" s="123" t="str">
        <f t="shared" si="13"/>
        <v>T2-2025</v>
      </c>
      <c r="R435" s="124" t="s">
        <v>2705</v>
      </c>
      <c r="S435" s="124" t="s">
        <v>2706</v>
      </c>
      <c r="T435" s="123" t="s">
        <v>2724</v>
      </c>
      <c r="U435" s="162" t="s">
        <v>2708</v>
      </c>
      <c r="V435" s="162" t="s">
        <v>55</v>
      </c>
      <c r="W435" s="237" t="s">
        <v>125</v>
      </c>
      <c r="X435" s="173" t="s">
        <v>2709</v>
      </c>
    </row>
    <row r="436" spans="1:24" hidden="1">
      <c r="A436" s="161">
        <v>45810</v>
      </c>
      <c r="B436" s="117" t="s">
        <v>3347</v>
      </c>
      <c r="C436" s="129" t="s">
        <v>2697</v>
      </c>
      <c r="D436" s="246">
        <v>-818</v>
      </c>
      <c r="E436" s="120">
        <v>1</v>
      </c>
      <c r="F436" s="121">
        <f>Tabla5109[[#This Row],[Original Amount]]*Tabla5109[[#This Row],[ER to EUR]]</f>
        <v>-818</v>
      </c>
      <c r="G436" s="9" t="s">
        <v>2884</v>
      </c>
      <c r="H436" s="73" t="s">
        <v>2885</v>
      </c>
      <c r="I436" s="9" t="s">
        <v>3267</v>
      </c>
      <c r="J436" s="9" t="s">
        <v>2723</v>
      </c>
      <c r="K436" s="205" t="s">
        <v>2792</v>
      </c>
      <c r="L436" s="9" t="s">
        <v>2793</v>
      </c>
      <c r="M436" s="32" t="s">
        <v>125</v>
      </c>
      <c r="N436" s="129" t="s">
        <v>2704</v>
      </c>
      <c r="O436" s="122" t="s">
        <v>2704</v>
      </c>
      <c r="P436" s="123" t="str">
        <f t="shared" si="12"/>
        <v>C2-2025</v>
      </c>
      <c r="Q436" s="123" t="str">
        <f t="shared" si="13"/>
        <v>T2-2025</v>
      </c>
      <c r="R436" s="124" t="s">
        <v>2741</v>
      </c>
      <c r="S436" s="123" t="s">
        <v>2723</v>
      </c>
      <c r="T436" s="123" t="s">
        <v>2707</v>
      </c>
      <c r="U436" s="162" t="s">
        <v>2708</v>
      </c>
      <c r="V436" s="162" t="s">
        <v>54</v>
      </c>
      <c r="W436" s="237" t="s">
        <v>125</v>
      </c>
      <c r="X436" s="173" t="s">
        <v>2709</v>
      </c>
    </row>
    <row r="437" spans="1:24" hidden="1">
      <c r="A437" s="161">
        <v>45812</v>
      </c>
      <c r="B437" s="133" t="s">
        <v>3348</v>
      </c>
      <c r="C437" s="122" t="s">
        <v>2548</v>
      </c>
      <c r="D437" s="152">
        <v>-199</v>
      </c>
      <c r="E437" s="221">
        <v>0.86707708315269227</v>
      </c>
      <c r="F437" s="121">
        <f>Tabla5109[[#This Row],[Original Amount]]*Tabla5109[[#This Row],[ER to EUR]]</f>
        <v>-172.54833954738575</v>
      </c>
      <c r="G437" s="9" t="s">
        <v>3349</v>
      </c>
      <c r="H437" s="73" t="s">
        <v>3350</v>
      </c>
      <c r="I437" s="9" t="s">
        <v>2784</v>
      </c>
      <c r="J437" s="9" t="s">
        <v>2701</v>
      </c>
      <c r="K437" s="205" t="s">
        <v>2702</v>
      </c>
      <c r="L437" s="9" t="s">
        <v>2760</v>
      </c>
      <c r="M437" s="32" t="s">
        <v>125</v>
      </c>
      <c r="N437" s="129" t="s">
        <v>2704</v>
      </c>
      <c r="O437" s="122" t="s">
        <v>2704</v>
      </c>
      <c r="P437" s="123" t="str">
        <f t="shared" si="12"/>
        <v>C2-2025</v>
      </c>
      <c r="Q437" s="123" t="str">
        <f t="shared" si="13"/>
        <v>T2-2025</v>
      </c>
      <c r="R437" s="124" t="s">
        <v>2705</v>
      </c>
      <c r="S437" s="123" t="s">
        <v>2735</v>
      </c>
      <c r="T437" s="123" t="s">
        <v>2724</v>
      </c>
      <c r="U437" s="162" t="s">
        <v>2708</v>
      </c>
      <c r="V437" s="162" t="s">
        <v>55</v>
      </c>
      <c r="W437" s="237" t="s">
        <v>125</v>
      </c>
      <c r="X437" s="173" t="s">
        <v>2709</v>
      </c>
    </row>
    <row r="438" spans="1:24" hidden="1">
      <c r="A438" s="161">
        <v>45812</v>
      </c>
      <c r="B438" s="117" t="s">
        <v>3351</v>
      </c>
      <c r="C438" s="122" t="s">
        <v>2697</v>
      </c>
      <c r="D438" s="210">
        <v>-818</v>
      </c>
      <c r="E438" s="120">
        <v>1</v>
      </c>
      <c r="F438" s="121">
        <f>Tabla5109[[#This Row],[Original Amount]]*Tabla5109[[#This Row],[ER to EUR]]</f>
        <v>-818</v>
      </c>
      <c r="G438" s="9" t="s">
        <v>2884</v>
      </c>
      <c r="H438" s="73" t="s">
        <v>2885</v>
      </c>
      <c r="I438" s="9" t="s">
        <v>3267</v>
      </c>
      <c r="J438" s="9" t="s">
        <v>2723</v>
      </c>
      <c r="K438" s="205" t="s">
        <v>2792</v>
      </c>
      <c r="L438" s="9" t="s">
        <v>2793</v>
      </c>
      <c r="M438" s="32" t="s">
        <v>125</v>
      </c>
      <c r="N438" s="129" t="s">
        <v>2704</v>
      </c>
      <c r="O438" s="122" t="s">
        <v>2704</v>
      </c>
      <c r="P438" s="123" t="str">
        <f t="shared" si="12"/>
        <v>C2-2025</v>
      </c>
      <c r="Q438" s="123" t="str">
        <f t="shared" si="13"/>
        <v>T2-2025</v>
      </c>
      <c r="R438" s="124" t="s">
        <v>2741</v>
      </c>
      <c r="S438" s="123" t="s">
        <v>2723</v>
      </c>
      <c r="T438" s="123" t="s">
        <v>2707</v>
      </c>
      <c r="U438" s="162" t="s">
        <v>2708</v>
      </c>
      <c r="V438" s="162" t="s">
        <v>54</v>
      </c>
      <c r="W438" s="237" t="s">
        <v>125</v>
      </c>
      <c r="X438" s="173" t="s">
        <v>2709</v>
      </c>
    </row>
    <row r="439" spans="1:24" hidden="1">
      <c r="A439" s="161">
        <v>45812</v>
      </c>
      <c r="B439" s="133" t="s">
        <v>3352</v>
      </c>
      <c r="C439" s="32" t="s">
        <v>2543</v>
      </c>
      <c r="D439" s="258">
        <v>-2980968</v>
      </c>
      <c r="E439" s="137">
        <v>9.3000000000000005E-4</v>
      </c>
      <c r="F439" s="259">
        <f>Tabla5109[[#This Row],[Original Amount]]*Tabla5109[[#This Row],[ER to EUR]]</f>
        <v>-2772.30024</v>
      </c>
      <c r="G439" s="9" t="s">
        <v>2823</v>
      </c>
      <c r="H439" s="9" t="s">
        <v>3353</v>
      </c>
      <c r="I439" s="9" t="s">
        <v>3354</v>
      </c>
      <c r="J439" s="9" t="s">
        <v>2825</v>
      </c>
      <c r="K439" s="205" t="s">
        <v>2826</v>
      </c>
      <c r="L439" s="9" t="s">
        <v>2827</v>
      </c>
      <c r="M439" s="227" t="s">
        <v>2704</v>
      </c>
      <c r="N439" s="129" t="s">
        <v>2748</v>
      </c>
      <c r="O439" s="122" t="s">
        <v>2704</v>
      </c>
      <c r="P439" s="123" t="str">
        <f t="shared" si="12"/>
        <v>C2-2025</v>
      </c>
      <c r="Q439" s="123" t="str">
        <f t="shared" si="13"/>
        <v>T2-2025</v>
      </c>
      <c r="R439" s="124" t="s">
        <v>2705</v>
      </c>
      <c r="S439" s="124" t="s">
        <v>2706</v>
      </c>
      <c r="T439" s="123" t="s">
        <v>2717</v>
      </c>
      <c r="U439" s="162" t="s">
        <v>2708</v>
      </c>
      <c r="V439" s="162" t="s">
        <v>56</v>
      </c>
      <c r="W439" s="237" t="s">
        <v>125</v>
      </c>
      <c r="X439" s="173" t="s">
        <v>2751</v>
      </c>
    </row>
    <row r="440" spans="1:24" hidden="1">
      <c r="A440" s="161">
        <v>45813</v>
      </c>
      <c r="B440" s="117" t="s">
        <v>3355</v>
      </c>
      <c r="C440" s="129" t="s">
        <v>2697</v>
      </c>
      <c r="D440" s="119">
        <v>-500</v>
      </c>
      <c r="E440" s="120">
        <v>1</v>
      </c>
      <c r="F440" s="121">
        <f>Tabla5109[[#This Row],[Original Amount]]*Tabla5109[[#This Row],[ER to EUR]]</f>
        <v>-500</v>
      </c>
      <c r="G440" s="9" t="s">
        <v>2847</v>
      </c>
      <c r="H440" s="73" t="s">
        <v>2848</v>
      </c>
      <c r="I440" s="9" t="s">
        <v>2727</v>
      </c>
      <c r="J440" s="9" t="s">
        <v>2723</v>
      </c>
      <c r="K440" s="205" t="s">
        <v>2747</v>
      </c>
      <c r="L440" s="9" t="s">
        <v>2793</v>
      </c>
      <c r="M440" s="32" t="s">
        <v>125</v>
      </c>
      <c r="N440" s="129" t="s">
        <v>2704</v>
      </c>
      <c r="O440" s="122" t="s">
        <v>2704</v>
      </c>
      <c r="P440" s="123" t="str">
        <f t="shared" si="12"/>
        <v>C2-2025</v>
      </c>
      <c r="Q440" s="123" t="str">
        <f t="shared" si="13"/>
        <v>T2-2025</v>
      </c>
      <c r="R440" s="124" t="s">
        <v>2705</v>
      </c>
      <c r="S440" s="124" t="s">
        <v>2706</v>
      </c>
      <c r="T440" s="123" t="s">
        <v>2707</v>
      </c>
      <c r="U440" s="162" t="s">
        <v>2708</v>
      </c>
      <c r="V440" s="162" t="s">
        <v>54</v>
      </c>
      <c r="W440" s="237" t="s">
        <v>125</v>
      </c>
      <c r="X440" s="173" t="s">
        <v>2709</v>
      </c>
    </row>
    <row r="441" spans="1:24" hidden="1">
      <c r="A441" s="161">
        <v>45813</v>
      </c>
      <c r="B441" s="117" t="s">
        <v>3356</v>
      </c>
      <c r="C441" s="122" t="s">
        <v>2697</v>
      </c>
      <c r="D441" s="146">
        <v>-73.650000000000006</v>
      </c>
      <c r="E441" s="120">
        <v>1</v>
      </c>
      <c r="F441" s="121">
        <f>Tabla5109[[#This Row],[Original Amount]]*Tabla5109[[#This Row],[ER to EUR]]</f>
        <v>-73.650000000000006</v>
      </c>
      <c r="G441" s="9" t="s">
        <v>2737</v>
      </c>
      <c r="H441" s="9" t="s">
        <v>3357</v>
      </c>
      <c r="I441" s="9" t="s">
        <v>2739</v>
      </c>
      <c r="J441" s="9" t="s">
        <v>2701</v>
      </c>
      <c r="K441" s="205" t="s">
        <v>2702</v>
      </c>
      <c r="L441" s="9" t="s">
        <v>2740</v>
      </c>
      <c r="M441" s="32" t="s">
        <v>125</v>
      </c>
      <c r="N441" s="129" t="s">
        <v>2704</v>
      </c>
      <c r="O441" s="122" t="s">
        <v>2704</v>
      </c>
      <c r="P441" s="123" t="str">
        <f t="shared" si="12"/>
        <v>C2-2025</v>
      </c>
      <c r="Q441" s="123" t="str">
        <f t="shared" si="13"/>
        <v>T2-2025</v>
      </c>
      <c r="R441" s="124" t="s">
        <v>2741</v>
      </c>
      <c r="S441" s="123" t="s">
        <v>2723</v>
      </c>
      <c r="T441" s="123" t="s">
        <v>2724</v>
      </c>
      <c r="U441" s="162" t="s">
        <v>2708</v>
      </c>
      <c r="V441" s="162" t="s">
        <v>54</v>
      </c>
      <c r="W441" s="237" t="s">
        <v>125</v>
      </c>
      <c r="X441" s="173" t="s">
        <v>2709</v>
      </c>
    </row>
    <row r="442" spans="1:24" hidden="1">
      <c r="A442" s="161">
        <v>45813</v>
      </c>
      <c r="B442" s="117" t="s">
        <v>3358</v>
      </c>
      <c r="C442" s="129" t="s">
        <v>2697</v>
      </c>
      <c r="D442" s="146">
        <v>-77.08</v>
      </c>
      <c r="E442" s="120">
        <v>1</v>
      </c>
      <c r="F442" s="121">
        <f>Tabla5109[[#This Row],[Original Amount]]*Tabla5109[[#This Row],[ER to EUR]]</f>
        <v>-77.08</v>
      </c>
      <c r="G442" s="9" t="s">
        <v>3140</v>
      </c>
      <c r="H442" s="73" t="s">
        <v>3359</v>
      </c>
      <c r="I442" s="9" t="s">
        <v>2727</v>
      </c>
      <c r="J442" s="9" t="s">
        <v>2770</v>
      </c>
      <c r="K442" s="205" t="s">
        <v>2702</v>
      </c>
      <c r="L442" s="9" t="s">
        <v>3142</v>
      </c>
      <c r="M442" s="32" t="s">
        <v>125</v>
      </c>
      <c r="N442" s="129" t="s">
        <v>2704</v>
      </c>
      <c r="O442" s="122" t="s">
        <v>2704</v>
      </c>
      <c r="P442" s="123" t="str">
        <f t="shared" si="12"/>
        <v>C2-2025</v>
      </c>
      <c r="Q442" s="123" t="str">
        <f t="shared" si="13"/>
        <v>T2-2025</v>
      </c>
      <c r="R442" s="91" t="s">
        <v>2749</v>
      </c>
      <c r="S442" s="123" t="s">
        <v>2750</v>
      </c>
      <c r="T442" s="123" t="s">
        <v>2724</v>
      </c>
      <c r="U442" s="162" t="s">
        <v>2708</v>
      </c>
      <c r="V442" s="162" t="s">
        <v>54</v>
      </c>
      <c r="W442" s="237" t="s">
        <v>125</v>
      </c>
      <c r="X442" s="173" t="s">
        <v>2709</v>
      </c>
    </row>
    <row r="443" spans="1:24" hidden="1">
      <c r="A443" s="161">
        <v>45813</v>
      </c>
      <c r="B443" s="128" t="s">
        <v>3360</v>
      </c>
      <c r="C443" s="129" t="s">
        <v>2697</v>
      </c>
      <c r="D443" s="146">
        <v>-118.99</v>
      </c>
      <c r="E443" s="120">
        <v>1</v>
      </c>
      <c r="F443" s="121">
        <f>Tabla5109[[#This Row],[Original Amount]]*Tabla5109[[#This Row],[ER to EUR]]</f>
        <v>-118.99</v>
      </c>
      <c r="G443" s="9" t="s">
        <v>2812</v>
      </c>
      <c r="H443" s="73" t="s">
        <v>2813</v>
      </c>
      <c r="I443" s="9" t="s">
        <v>2727</v>
      </c>
      <c r="J443" s="9" t="s">
        <v>2714</v>
      </c>
      <c r="K443" s="205" t="s">
        <v>2814</v>
      </c>
      <c r="L443" s="9" t="s">
        <v>2799</v>
      </c>
      <c r="M443" s="32" t="s">
        <v>125</v>
      </c>
      <c r="N443" s="129" t="s">
        <v>2704</v>
      </c>
      <c r="O443" s="122" t="s">
        <v>2704</v>
      </c>
      <c r="P443" s="123" t="str">
        <f t="shared" si="12"/>
        <v>C2-2025</v>
      </c>
      <c r="Q443" s="123" t="str">
        <f t="shared" si="13"/>
        <v>T2-2025</v>
      </c>
      <c r="R443" s="124" t="s">
        <v>2705</v>
      </c>
      <c r="S443" s="124" t="s">
        <v>2706</v>
      </c>
      <c r="T443" s="123" t="s">
        <v>2724</v>
      </c>
      <c r="U443" s="162" t="s">
        <v>2708</v>
      </c>
      <c r="V443" s="162" t="s">
        <v>56</v>
      </c>
      <c r="W443" s="237" t="s">
        <v>125</v>
      </c>
      <c r="X443" s="173" t="s">
        <v>2709</v>
      </c>
    </row>
    <row r="444" spans="1:24" hidden="1">
      <c r="A444" s="161">
        <v>45813</v>
      </c>
      <c r="B444" s="128" t="s">
        <v>3361</v>
      </c>
      <c r="C444" s="122" t="s">
        <v>2697</v>
      </c>
      <c r="D444" s="146">
        <v>-43.64</v>
      </c>
      <c r="E444" s="120">
        <v>1</v>
      </c>
      <c r="F444" s="121">
        <f>Tabla5109[[#This Row],[Original Amount]]*Tabla5109[[#This Row],[ER to EUR]]</f>
        <v>-43.64</v>
      </c>
      <c r="G444" s="9" t="s">
        <v>2839</v>
      </c>
      <c r="H444" s="73" t="s">
        <v>2840</v>
      </c>
      <c r="I444" s="9" t="s">
        <v>2784</v>
      </c>
      <c r="J444" s="9" t="s">
        <v>2701</v>
      </c>
      <c r="K444" s="205" t="s">
        <v>2702</v>
      </c>
      <c r="L444" s="9" t="s">
        <v>2703</v>
      </c>
      <c r="M444" s="32" t="s">
        <v>125</v>
      </c>
      <c r="N444" s="129" t="s">
        <v>2704</v>
      </c>
      <c r="O444" s="122" t="s">
        <v>2704</v>
      </c>
      <c r="P444" s="123" t="str">
        <f t="shared" si="12"/>
        <v>C2-2025</v>
      </c>
      <c r="Q444" s="123" t="str">
        <f t="shared" si="13"/>
        <v>T2-2025</v>
      </c>
      <c r="R444" s="124" t="s">
        <v>2705</v>
      </c>
      <c r="S444" s="124" t="s">
        <v>2706</v>
      </c>
      <c r="T444" s="123" t="s">
        <v>2707</v>
      </c>
      <c r="U444" s="162" t="s">
        <v>2708</v>
      </c>
      <c r="V444" s="162" t="s">
        <v>56</v>
      </c>
      <c r="W444" s="237" t="s">
        <v>125</v>
      </c>
      <c r="X444" s="173" t="s">
        <v>2709</v>
      </c>
    </row>
    <row r="445" spans="1:24" hidden="1">
      <c r="A445" s="161">
        <v>45814</v>
      </c>
      <c r="B445" s="132">
        <v>1922</v>
      </c>
      <c r="C445" s="122" t="s">
        <v>2697</v>
      </c>
      <c r="D445" s="146">
        <v>-46.41</v>
      </c>
      <c r="E445" s="120">
        <v>1</v>
      </c>
      <c r="F445" s="121">
        <f>Tabla5109[[#This Row],[Original Amount]]*Tabla5109[[#This Row],[ER to EUR]]</f>
        <v>-46.41</v>
      </c>
      <c r="G445" s="9" t="s">
        <v>2777</v>
      </c>
      <c r="H445" s="9" t="s">
        <v>2778</v>
      </c>
      <c r="I445" s="9" t="s">
        <v>2755</v>
      </c>
      <c r="J445" s="9" t="s">
        <v>2714</v>
      </c>
      <c r="K445" s="205" t="s">
        <v>2780</v>
      </c>
      <c r="L445" s="9" t="s">
        <v>2716</v>
      </c>
      <c r="M445" s="32" t="s">
        <v>125</v>
      </c>
      <c r="N445" s="129" t="s">
        <v>2704</v>
      </c>
      <c r="O445" s="122" t="s">
        <v>2704</v>
      </c>
      <c r="P445" s="123" t="str">
        <f t="shared" si="12"/>
        <v>C2-2025</v>
      </c>
      <c r="Q445" s="123" t="str">
        <f t="shared" si="13"/>
        <v>T2-2025</v>
      </c>
      <c r="R445" s="124" t="s">
        <v>2705</v>
      </c>
      <c r="S445" s="123" t="s">
        <v>2735</v>
      </c>
      <c r="T445" s="123" t="s">
        <v>2724</v>
      </c>
      <c r="U445" s="162" t="s">
        <v>2708</v>
      </c>
      <c r="V445" s="162" t="s">
        <v>54</v>
      </c>
      <c r="W445" s="237" t="s">
        <v>125</v>
      </c>
      <c r="X445" s="173" t="s">
        <v>2709</v>
      </c>
    </row>
    <row r="446" spans="1:24" hidden="1">
      <c r="A446" s="161">
        <v>45814</v>
      </c>
      <c r="B446" s="128" t="s">
        <v>3362</v>
      </c>
      <c r="C446" s="122" t="s">
        <v>2548</v>
      </c>
      <c r="D446" s="136">
        <v>-15</v>
      </c>
      <c r="E446" s="120">
        <v>0.86709999999999998</v>
      </c>
      <c r="F446" s="121">
        <f>Tabla5109[[#This Row],[Original Amount]]*Tabla5109[[#This Row],[ER to EUR]]</f>
        <v>-13.006499999999999</v>
      </c>
      <c r="G446" s="9" t="s">
        <v>3068</v>
      </c>
      <c r="H446" s="9" t="s">
        <v>3363</v>
      </c>
      <c r="I446" s="9" t="s">
        <v>2755</v>
      </c>
      <c r="J446" s="9" t="s">
        <v>2701</v>
      </c>
      <c r="K446" s="205" t="s">
        <v>2792</v>
      </c>
      <c r="L446" s="9" t="s">
        <v>2740</v>
      </c>
      <c r="M446" s="32" t="s">
        <v>125</v>
      </c>
      <c r="N446" s="129" t="s">
        <v>2704</v>
      </c>
      <c r="O446" s="122" t="s">
        <v>2704</v>
      </c>
      <c r="P446" s="123" t="str">
        <f t="shared" si="12"/>
        <v>C2-2025</v>
      </c>
      <c r="Q446" s="123" t="str">
        <f t="shared" si="13"/>
        <v>T2-2025</v>
      </c>
      <c r="R446" s="124" t="s">
        <v>2722</v>
      </c>
      <c r="S446" s="123" t="s">
        <v>2723</v>
      </c>
      <c r="T446" s="123" t="s">
        <v>2724</v>
      </c>
      <c r="U446" s="162" t="s">
        <v>2708</v>
      </c>
      <c r="V446" s="162" t="s">
        <v>54</v>
      </c>
      <c r="W446" s="237" t="s">
        <v>125</v>
      </c>
      <c r="X446" s="173" t="s">
        <v>2709</v>
      </c>
    </row>
    <row r="447" spans="1:24" hidden="1">
      <c r="A447" s="161">
        <v>45814</v>
      </c>
      <c r="B447" s="117" t="s">
        <v>3364</v>
      </c>
      <c r="C447" s="122" t="s">
        <v>2697</v>
      </c>
      <c r="D447" s="146">
        <v>-79.11</v>
      </c>
      <c r="E447" s="120">
        <v>1</v>
      </c>
      <c r="F447" s="121">
        <f>Tabla5109[[#This Row],[Original Amount]]*Tabla5109[[#This Row],[ER to EUR]]</f>
        <v>-79.11</v>
      </c>
      <c r="G447" s="9" t="s">
        <v>2884</v>
      </c>
      <c r="H447" s="73" t="s">
        <v>2885</v>
      </c>
      <c r="I447" s="9" t="s">
        <v>3267</v>
      </c>
      <c r="J447" s="9" t="s">
        <v>2723</v>
      </c>
      <c r="K447" s="205" t="s">
        <v>2792</v>
      </c>
      <c r="L447" s="9" t="s">
        <v>2793</v>
      </c>
      <c r="M447" s="32" t="s">
        <v>125</v>
      </c>
      <c r="N447" s="129" t="s">
        <v>2704</v>
      </c>
      <c r="O447" s="122" t="s">
        <v>2704</v>
      </c>
      <c r="P447" s="123" t="str">
        <f t="shared" si="12"/>
        <v>C2-2025</v>
      </c>
      <c r="Q447" s="123" t="str">
        <f t="shared" si="13"/>
        <v>T2-2025</v>
      </c>
      <c r="R447" s="124" t="s">
        <v>2741</v>
      </c>
      <c r="S447" s="123" t="s">
        <v>2723</v>
      </c>
      <c r="T447" s="123" t="s">
        <v>2707</v>
      </c>
      <c r="U447" s="162" t="s">
        <v>2708</v>
      </c>
      <c r="V447" s="162" t="s">
        <v>54</v>
      </c>
      <c r="W447" s="237" t="s">
        <v>125</v>
      </c>
      <c r="X447" s="173" t="s">
        <v>2709</v>
      </c>
    </row>
    <row r="448" spans="1:24" hidden="1">
      <c r="A448" s="161">
        <v>45814</v>
      </c>
      <c r="B448" s="117" t="s">
        <v>3365</v>
      </c>
      <c r="C448" s="122" t="s">
        <v>2697</v>
      </c>
      <c r="D448" s="146">
        <v>-329.49</v>
      </c>
      <c r="E448" s="120">
        <v>1</v>
      </c>
      <c r="F448" s="121">
        <f>Tabla5109[[#This Row],[Original Amount]]*Tabla5109[[#This Row],[ER to EUR]]</f>
        <v>-329.49</v>
      </c>
      <c r="G448" s="9" t="s">
        <v>2884</v>
      </c>
      <c r="H448" s="73" t="s">
        <v>2885</v>
      </c>
      <c r="I448" s="9" t="s">
        <v>3267</v>
      </c>
      <c r="J448" s="9" t="s">
        <v>2723</v>
      </c>
      <c r="K448" s="205" t="s">
        <v>2792</v>
      </c>
      <c r="L448" s="9" t="s">
        <v>2793</v>
      </c>
      <c r="M448" s="32" t="s">
        <v>125</v>
      </c>
      <c r="N448" s="129" t="s">
        <v>2704</v>
      </c>
      <c r="O448" s="122" t="s">
        <v>2704</v>
      </c>
      <c r="P448" s="123" t="str">
        <f t="shared" si="12"/>
        <v>C2-2025</v>
      </c>
      <c r="Q448" s="123" t="str">
        <f t="shared" si="13"/>
        <v>T2-2025</v>
      </c>
      <c r="R448" s="124" t="s">
        <v>2741</v>
      </c>
      <c r="S448" s="123" t="s">
        <v>2723</v>
      </c>
      <c r="T448" s="123" t="s">
        <v>2707</v>
      </c>
      <c r="U448" s="162" t="s">
        <v>2708</v>
      </c>
      <c r="V448" s="162" t="s">
        <v>54</v>
      </c>
      <c r="W448" s="237" t="s">
        <v>125</v>
      </c>
      <c r="X448" s="173" t="s">
        <v>2709</v>
      </c>
    </row>
    <row r="449" spans="1:24" hidden="1">
      <c r="A449" s="161">
        <v>45814</v>
      </c>
      <c r="B449" s="117" t="s">
        <v>3366</v>
      </c>
      <c r="C449" s="122" t="s">
        <v>2697</v>
      </c>
      <c r="D449" s="146">
        <v>-89</v>
      </c>
      <c r="E449" s="120">
        <v>1</v>
      </c>
      <c r="F449" s="121">
        <f>Tabla5109[[#This Row],[Original Amount]]*Tabla5109[[#This Row],[ER to EUR]]</f>
        <v>-89</v>
      </c>
      <c r="G449" s="9" t="s">
        <v>3269</v>
      </c>
      <c r="H449" s="73" t="s">
        <v>3270</v>
      </c>
      <c r="I449" s="9" t="s">
        <v>2755</v>
      </c>
      <c r="J449" s="9" t="s">
        <v>2701</v>
      </c>
      <c r="K449" s="4" t="s">
        <v>2702</v>
      </c>
      <c r="L449" t="s">
        <v>2703</v>
      </c>
      <c r="M449" s="32" t="s">
        <v>125</v>
      </c>
      <c r="N449" s="129" t="s">
        <v>2704</v>
      </c>
      <c r="O449" s="122" t="s">
        <v>2704</v>
      </c>
      <c r="P449" s="123" t="str">
        <f t="shared" si="12"/>
        <v>C2-2025</v>
      </c>
      <c r="Q449" s="123" t="str">
        <f t="shared" si="13"/>
        <v>T2-2025</v>
      </c>
      <c r="R449" s="124" t="s">
        <v>2741</v>
      </c>
      <c r="S449" s="123" t="s">
        <v>2723</v>
      </c>
      <c r="T449" s="123" t="s">
        <v>2724</v>
      </c>
      <c r="U449" s="162" t="s">
        <v>2708</v>
      </c>
      <c r="V449" s="162" t="s">
        <v>54</v>
      </c>
      <c r="W449" s="237" t="s">
        <v>125</v>
      </c>
      <c r="X449" s="173" t="s">
        <v>2709</v>
      </c>
    </row>
    <row r="450" spans="1:24" hidden="1">
      <c r="A450" s="161">
        <v>45814</v>
      </c>
      <c r="B450" s="125">
        <v>1662110</v>
      </c>
      <c r="C450" s="32" t="s">
        <v>2543</v>
      </c>
      <c r="D450" s="152">
        <v>-180957</v>
      </c>
      <c r="E450" s="137">
        <v>9.3000000000000005E-4</v>
      </c>
      <c r="F450" s="121">
        <f>Tabla5109[[#This Row],[Original Amount]]*Tabla5109[[#This Row],[ER to EUR]]</f>
        <v>-168.29001000000002</v>
      </c>
      <c r="G450" s="91" t="s">
        <v>3087</v>
      </c>
      <c r="H450" s="9" t="s">
        <v>3088</v>
      </c>
      <c r="I450" s="91" t="s">
        <v>2713</v>
      </c>
      <c r="J450" s="9" t="s">
        <v>2701</v>
      </c>
      <c r="K450" s="205" t="s">
        <v>2771</v>
      </c>
      <c r="L450" s="9" t="s">
        <v>2772</v>
      </c>
      <c r="M450" s="227" t="s">
        <v>2704</v>
      </c>
      <c r="N450" s="129" t="s">
        <v>2748</v>
      </c>
      <c r="O450" s="122" t="s">
        <v>2704</v>
      </c>
      <c r="P450" s="123" t="str">
        <f t="shared" ref="P450:P513" si="14">"C"&amp;INT((MONTH(A450)-1)/4)+1&amp;"-"&amp;YEAR(A450)</f>
        <v>C2-2025</v>
      </c>
      <c r="Q450" s="123" t="str">
        <f t="shared" ref="Q450:Q513" si="15">"T"&amp;INT((MONTH(A450)-1)/3)+1&amp;"-"&amp;YEAR(A450)</f>
        <v>T2-2025</v>
      </c>
      <c r="R450" s="91" t="s">
        <v>2749</v>
      </c>
      <c r="S450" s="123" t="s">
        <v>2750</v>
      </c>
      <c r="T450" s="123" t="s">
        <v>2707</v>
      </c>
      <c r="U450" s="162" t="s">
        <v>2708</v>
      </c>
      <c r="V450" s="162" t="s">
        <v>54</v>
      </c>
      <c r="W450" s="237" t="s">
        <v>125</v>
      </c>
      <c r="X450" s="201" t="s">
        <v>2751</v>
      </c>
    </row>
    <row r="451" spans="1:24" hidden="1">
      <c r="A451" s="161">
        <v>45816</v>
      </c>
      <c r="B451" s="117" t="s">
        <v>3367</v>
      </c>
      <c r="C451" s="122" t="s">
        <v>2697</v>
      </c>
      <c r="D451" s="146">
        <v>-818</v>
      </c>
      <c r="E451" s="120">
        <v>1</v>
      </c>
      <c r="F451" s="121">
        <f>Tabla5109[[#This Row],[Original Amount]]*Tabla5109[[#This Row],[ER to EUR]]</f>
        <v>-818</v>
      </c>
      <c r="G451" s="9" t="s">
        <v>2884</v>
      </c>
      <c r="H451" s="73" t="s">
        <v>2885</v>
      </c>
      <c r="I451" s="9" t="s">
        <v>3267</v>
      </c>
      <c r="J451" s="9" t="s">
        <v>2723</v>
      </c>
      <c r="K451" s="205" t="s">
        <v>2792</v>
      </c>
      <c r="L451" s="9" t="s">
        <v>2793</v>
      </c>
      <c r="M451" s="32" t="s">
        <v>125</v>
      </c>
      <c r="N451" s="129" t="s">
        <v>2704</v>
      </c>
      <c r="O451" s="122" t="s">
        <v>2704</v>
      </c>
      <c r="P451" s="123" t="str">
        <f t="shared" si="14"/>
        <v>C2-2025</v>
      </c>
      <c r="Q451" s="123" t="str">
        <f t="shared" si="15"/>
        <v>T2-2025</v>
      </c>
      <c r="R451" s="124" t="s">
        <v>2741</v>
      </c>
      <c r="S451" s="123" t="s">
        <v>2723</v>
      </c>
      <c r="T451" s="123" t="s">
        <v>2707</v>
      </c>
      <c r="U451" s="162" t="s">
        <v>2708</v>
      </c>
      <c r="V451" s="162" t="s">
        <v>54</v>
      </c>
      <c r="W451" s="237" t="s">
        <v>125</v>
      </c>
      <c r="X451" s="173" t="s">
        <v>2709</v>
      </c>
    </row>
    <row r="452" spans="1:24" hidden="1">
      <c r="A452" s="161">
        <v>45816</v>
      </c>
      <c r="B452" s="130" t="s">
        <v>3368</v>
      </c>
      <c r="C452" s="122" t="s">
        <v>2697</v>
      </c>
      <c r="D452" s="146">
        <v>-59.49</v>
      </c>
      <c r="E452" s="120">
        <v>1</v>
      </c>
      <c r="F452" s="121">
        <f>Tabla5109[[#This Row],[Original Amount]]*Tabla5109[[#This Row],[ER to EUR]]</f>
        <v>-59.49</v>
      </c>
      <c r="G452" s="9" t="s">
        <v>2830</v>
      </c>
      <c r="H452" s="9" t="s">
        <v>3369</v>
      </c>
      <c r="I452" s="9" t="s">
        <v>2739</v>
      </c>
      <c r="J452" s="9" t="s">
        <v>2817</v>
      </c>
      <c r="K452" s="205" t="s">
        <v>2702</v>
      </c>
      <c r="L452" s="9" t="s">
        <v>2818</v>
      </c>
      <c r="M452" s="32" t="s">
        <v>125</v>
      </c>
      <c r="N452" s="129" t="s">
        <v>2704</v>
      </c>
      <c r="O452" s="122" t="s">
        <v>2704</v>
      </c>
      <c r="P452" s="123" t="str">
        <f t="shared" si="14"/>
        <v>C2-2025</v>
      </c>
      <c r="Q452" s="123" t="str">
        <f t="shared" si="15"/>
        <v>T2-2025</v>
      </c>
      <c r="R452" s="124" t="s">
        <v>2722</v>
      </c>
      <c r="S452" s="123" t="s">
        <v>2723</v>
      </c>
      <c r="T452" s="123" t="s">
        <v>2724</v>
      </c>
      <c r="U452" s="162" t="s">
        <v>2708</v>
      </c>
      <c r="V452" s="162" t="s">
        <v>54</v>
      </c>
      <c r="W452" s="237" t="s">
        <v>125</v>
      </c>
      <c r="X452" s="173" t="s">
        <v>2709</v>
      </c>
    </row>
    <row r="453" spans="1:24" hidden="1">
      <c r="A453" s="161">
        <v>45817</v>
      </c>
      <c r="B453" s="125">
        <v>781108444054</v>
      </c>
      <c r="C453" s="122" t="s">
        <v>2697</v>
      </c>
      <c r="D453" s="146">
        <v>-82.64</v>
      </c>
      <c r="E453" s="120">
        <v>1</v>
      </c>
      <c r="F453" s="121">
        <f>Tabla5109[[#This Row],[Original Amount]]*Tabla5109[[#This Row],[ER to EUR]]</f>
        <v>-82.64</v>
      </c>
      <c r="G453" s="9" t="s">
        <v>2718</v>
      </c>
      <c r="H453" s="73" t="s">
        <v>3370</v>
      </c>
      <c r="I453" s="9" t="s">
        <v>2720</v>
      </c>
      <c r="J453" s="9" t="s">
        <v>2714</v>
      </c>
      <c r="K453" s="205" t="s">
        <v>2721</v>
      </c>
      <c r="L453" s="9" t="s">
        <v>2716</v>
      </c>
      <c r="M453" s="32" t="s">
        <v>125</v>
      </c>
      <c r="N453" s="129" t="s">
        <v>2704</v>
      </c>
      <c r="O453" s="122" t="s">
        <v>2704</v>
      </c>
      <c r="P453" s="123" t="str">
        <f t="shared" si="14"/>
        <v>C2-2025</v>
      </c>
      <c r="Q453" s="123" t="str">
        <f t="shared" si="15"/>
        <v>T2-2025</v>
      </c>
      <c r="R453" s="124" t="s">
        <v>2722</v>
      </c>
      <c r="S453" s="123" t="s">
        <v>2723</v>
      </c>
      <c r="T453" s="123" t="s">
        <v>2724</v>
      </c>
      <c r="U453" s="162" t="s">
        <v>2708</v>
      </c>
      <c r="V453" s="162" t="s">
        <v>54</v>
      </c>
      <c r="W453" s="237" t="s">
        <v>125</v>
      </c>
      <c r="X453" s="173" t="s">
        <v>2709</v>
      </c>
    </row>
    <row r="454" spans="1:24" hidden="1">
      <c r="A454" s="161">
        <v>45818</v>
      </c>
      <c r="B454" s="117" t="s">
        <v>3371</v>
      </c>
      <c r="C454" s="122" t="s">
        <v>2548</v>
      </c>
      <c r="D454" s="136">
        <v>-499</v>
      </c>
      <c r="E454" s="221">
        <v>0.86707708315269227</v>
      </c>
      <c r="F454" s="121">
        <f>Tabla5109[[#This Row],[Original Amount]]*Tabla5109[[#This Row],[ER to EUR]]</f>
        <v>-432.67146449319347</v>
      </c>
      <c r="G454" s="9" t="s">
        <v>3193</v>
      </c>
      <c r="H454" s="73" t="s">
        <v>3194</v>
      </c>
      <c r="I454" s="9" t="s">
        <v>2739</v>
      </c>
      <c r="J454" s="9" t="s">
        <v>2701</v>
      </c>
      <c r="K454" s="205" t="s">
        <v>2702</v>
      </c>
      <c r="L454" s="9" t="s">
        <v>2793</v>
      </c>
      <c r="M454" s="32" t="s">
        <v>125</v>
      </c>
      <c r="N454" s="129" t="s">
        <v>2704</v>
      </c>
      <c r="O454" s="122" t="s">
        <v>2704</v>
      </c>
      <c r="P454" s="123" t="str">
        <f t="shared" si="14"/>
        <v>C2-2025</v>
      </c>
      <c r="Q454" s="123" t="str">
        <f t="shared" si="15"/>
        <v>T2-2025</v>
      </c>
      <c r="R454" s="124" t="s">
        <v>2722</v>
      </c>
      <c r="S454" s="123" t="s">
        <v>2723</v>
      </c>
      <c r="T454" s="123" t="s">
        <v>2724</v>
      </c>
      <c r="U454" s="162" t="s">
        <v>2708</v>
      </c>
      <c r="V454" s="162" t="s">
        <v>54</v>
      </c>
      <c r="W454" s="237" t="s">
        <v>125</v>
      </c>
      <c r="X454" s="173" t="s">
        <v>2709</v>
      </c>
    </row>
    <row r="455" spans="1:24" hidden="1">
      <c r="A455" s="161">
        <v>45818</v>
      </c>
      <c r="B455" s="117" t="s">
        <v>3372</v>
      </c>
      <c r="C455" s="122" t="s">
        <v>2697</v>
      </c>
      <c r="D455" s="146">
        <v>-818</v>
      </c>
      <c r="E455" s="120">
        <v>1</v>
      </c>
      <c r="F455" s="121">
        <f>Tabla5109[[#This Row],[Original Amount]]*Tabla5109[[#This Row],[ER to EUR]]</f>
        <v>-818</v>
      </c>
      <c r="G455" s="9" t="s">
        <v>2884</v>
      </c>
      <c r="H455" s="9" t="s">
        <v>2885</v>
      </c>
      <c r="I455" s="9" t="s">
        <v>3065</v>
      </c>
      <c r="J455" s="9" t="s">
        <v>2723</v>
      </c>
      <c r="K455" s="205" t="s">
        <v>2792</v>
      </c>
      <c r="L455" s="9" t="s">
        <v>2793</v>
      </c>
      <c r="M455" s="32" t="s">
        <v>125</v>
      </c>
      <c r="N455" s="129" t="s">
        <v>2704</v>
      </c>
      <c r="O455" s="122" t="s">
        <v>2704</v>
      </c>
      <c r="P455" s="123" t="str">
        <f t="shared" si="14"/>
        <v>C2-2025</v>
      </c>
      <c r="Q455" s="123" t="str">
        <f t="shared" si="15"/>
        <v>T2-2025</v>
      </c>
      <c r="R455" s="124" t="s">
        <v>2741</v>
      </c>
      <c r="S455" s="123" t="s">
        <v>2723</v>
      </c>
      <c r="T455" s="123" t="s">
        <v>2707</v>
      </c>
      <c r="U455" s="162" t="s">
        <v>2708</v>
      </c>
      <c r="V455" s="162" t="s">
        <v>54</v>
      </c>
      <c r="W455" s="237" t="s">
        <v>125</v>
      </c>
      <c r="X455" s="173" t="s">
        <v>2709</v>
      </c>
    </row>
    <row r="456" spans="1:24" hidden="1">
      <c r="A456" s="161">
        <v>45818</v>
      </c>
      <c r="B456" s="128" t="s">
        <v>3373</v>
      </c>
      <c r="C456" s="122" t="s">
        <v>2697</v>
      </c>
      <c r="D456" s="146">
        <v>-263.86</v>
      </c>
      <c r="E456" s="120">
        <v>1</v>
      </c>
      <c r="F456" s="121">
        <f>Tabla5109[[#This Row],[Original Amount]]*Tabla5109[[#This Row],[ER to EUR]]</f>
        <v>-263.86</v>
      </c>
      <c r="G456" s="9" t="s">
        <v>2839</v>
      </c>
      <c r="H456" s="73" t="s">
        <v>2840</v>
      </c>
      <c r="I456" s="9" t="s">
        <v>2784</v>
      </c>
      <c r="J456" s="9" t="s">
        <v>2701</v>
      </c>
      <c r="K456" s="205" t="s">
        <v>2702</v>
      </c>
      <c r="L456" s="9" t="s">
        <v>2703</v>
      </c>
      <c r="M456" s="32" t="s">
        <v>125</v>
      </c>
      <c r="N456" s="129" t="s">
        <v>2704</v>
      </c>
      <c r="O456" s="122" t="s">
        <v>2704</v>
      </c>
      <c r="P456" s="123" t="str">
        <f t="shared" si="14"/>
        <v>C2-2025</v>
      </c>
      <c r="Q456" s="123" t="str">
        <f t="shared" si="15"/>
        <v>T2-2025</v>
      </c>
      <c r="R456" s="124" t="s">
        <v>2705</v>
      </c>
      <c r="S456" s="124" t="s">
        <v>2706</v>
      </c>
      <c r="T456" s="123" t="s">
        <v>2707</v>
      </c>
      <c r="U456" s="162" t="s">
        <v>2708</v>
      </c>
      <c r="V456" s="162" t="s">
        <v>57</v>
      </c>
      <c r="W456" s="237" t="s">
        <v>125</v>
      </c>
      <c r="X456" s="173" t="s">
        <v>2709</v>
      </c>
    </row>
    <row r="457" spans="1:24" hidden="1">
      <c r="A457" s="161">
        <v>45820</v>
      </c>
      <c r="B457" s="117" t="s">
        <v>3374</v>
      </c>
      <c r="C457" s="122" t="s">
        <v>2697</v>
      </c>
      <c r="D457" s="146">
        <v>-818</v>
      </c>
      <c r="E457" s="120">
        <v>1</v>
      </c>
      <c r="F457" s="121">
        <f>Tabla5109[[#This Row],[Original Amount]]*Tabla5109[[#This Row],[ER to EUR]]</f>
        <v>-818</v>
      </c>
      <c r="G457" s="9" t="s">
        <v>2884</v>
      </c>
      <c r="H457" s="73" t="s">
        <v>2885</v>
      </c>
      <c r="I457" s="9" t="s">
        <v>3065</v>
      </c>
      <c r="J457" s="9" t="s">
        <v>2723</v>
      </c>
      <c r="K457" s="205" t="s">
        <v>2792</v>
      </c>
      <c r="L457" s="9" t="s">
        <v>2793</v>
      </c>
      <c r="M457" s="32" t="s">
        <v>125</v>
      </c>
      <c r="N457" s="129" t="s">
        <v>2704</v>
      </c>
      <c r="O457" s="122" t="s">
        <v>2704</v>
      </c>
      <c r="P457" s="123" t="str">
        <f t="shared" si="14"/>
        <v>C2-2025</v>
      </c>
      <c r="Q457" s="123" t="str">
        <f t="shared" si="15"/>
        <v>T2-2025</v>
      </c>
      <c r="R457" s="124" t="s">
        <v>2741</v>
      </c>
      <c r="S457" s="123" t="s">
        <v>2723</v>
      </c>
      <c r="T457" s="123" t="s">
        <v>2707</v>
      </c>
      <c r="U457" s="162" t="s">
        <v>2708</v>
      </c>
      <c r="V457" s="162" t="s">
        <v>54</v>
      </c>
      <c r="W457" s="237" t="s">
        <v>125</v>
      </c>
      <c r="X457" s="173" t="s">
        <v>2709</v>
      </c>
    </row>
    <row r="458" spans="1:24" hidden="1">
      <c r="A458" s="161">
        <v>45821</v>
      </c>
      <c r="B458" s="399" t="s">
        <v>3375</v>
      </c>
      <c r="C458" s="122" t="s">
        <v>2697</v>
      </c>
      <c r="D458" s="146">
        <v>-115.7</v>
      </c>
      <c r="E458" s="120">
        <v>1</v>
      </c>
      <c r="F458" s="121">
        <f>Tabla5109[[#This Row],[Original Amount]]*Tabla5109[[#This Row],[ER to EUR]]</f>
        <v>-115.7</v>
      </c>
      <c r="G458" s="9" t="s">
        <v>3128</v>
      </c>
      <c r="H458" s="73" t="s">
        <v>2994</v>
      </c>
      <c r="I458" s="9" t="s">
        <v>2755</v>
      </c>
      <c r="J458" s="9" t="s">
        <v>2701</v>
      </c>
      <c r="K458" s="205" t="s">
        <v>2702</v>
      </c>
      <c r="L458" s="9" t="s">
        <v>2703</v>
      </c>
      <c r="M458" s="32" t="s">
        <v>125</v>
      </c>
      <c r="N458" s="129" t="s">
        <v>2704</v>
      </c>
      <c r="O458" s="122" t="s">
        <v>2704</v>
      </c>
      <c r="P458" s="123" t="str">
        <f t="shared" si="14"/>
        <v>C2-2025</v>
      </c>
      <c r="Q458" s="123" t="str">
        <f t="shared" si="15"/>
        <v>T2-2025</v>
      </c>
      <c r="R458" s="124" t="s">
        <v>2741</v>
      </c>
      <c r="S458" s="123" t="s">
        <v>2723</v>
      </c>
      <c r="T458" s="123" t="s">
        <v>2707</v>
      </c>
      <c r="U458" s="162" t="s">
        <v>2708</v>
      </c>
      <c r="V458" s="162" t="s">
        <v>54</v>
      </c>
      <c r="W458" s="237" t="s">
        <v>125</v>
      </c>
      <c r="X458" s="173" t="s">
        <v>2709</v>
      </c>
    </row>
    <row r="459" spans="1:24" hidden="1">
      <c r="A459" s="161">
        <v>45821</v>
      </c>
      <c r="B459" s="117" t="s">
        <v>3376</v>
      </c>
      <c r="C459" s="122" t="s">
        <v>2697</v>
      </c>
      <c r="D459" s="119">
        <v>-3600</v>
      </c>
      <c r="E459" s="120">
        <v>1</v>
      </c>
      <c r="F459" s="121">
        <f>Tabla5109[[#This Row],[Original Amount]]*Tabla5109[[#This Row],[ER to EUR]]</f>
        <v>-3600</v>
      </c>
      <c r="G459" s="9" t="s">
        <v>2725</v>
      </c>
      <c r="H459" s="9" t="s">
        <v>3377</v>
      </c>
      <c r="I459" s="9" t="s">
        <v>2727</v>
      </c>
      <c r="J459" s="9" t="s">
        <v>2701</v>
      </c>
      <c r="K459" s="205" t="s">
        <v>2728</v>
      </c>
      <c r="L459" s="9" t="s">
        <v>2729</v>
      </c>
      <c r="M459" s="32" t="s">
        <v>125</v>
      </c>
      <c r="N459" s="129" t="s">
        <v>2704</v>
      </c>
      <c r="O459" s="122" t="s">
        <v>2704</v>
      </c>
      <c r="P459" s="123" t="str">
        <f t="shared" si="14"/>
        <v>C2-2025</v>
      </c>
      <c r="Q459" s="123" t="str">
        <f t="shared" si="15"/>
        <v>T2-2025</v>
      </c>
      <c r="R459" s="124" t="s">
        <v>2730</v>
      </c>
      <c r="S459" s="123" t="s">
        <v>2731</v>
      </c>
      <c r="T459" s="123" t="s">
        <v>2707</v>
      </c>
      <c r="U459" s="162" t="s">
        <v>51</v>
      </c>
      <c r="V459" s="162" t="s">
        <v>57</v>
      </c>
      <c r="W459" s="237" t="s">
        <v>125</v>
      </c>
      <c r="X459" s="173" t="s">
        <v>2709</v>
      </c>
    </row>
    <row r="460" spans="1:24" hidden="1">
      <c r="A460" s="161">
        <v>45822</v>
      </c>
      <c r="B460" s="145" t="s">
        <v>3378</v>
      </c>
      <c r="C460" s="122" t="s">
        <v>2697</v>
      </c>
      <c r="D460" s="119">
        <v>-202.76</v>
      </c>
      <c r="E460" s="120">
        <v>1</v>
      </c>
      <c r="F460" s="121">
        <f>Tabla5109[[#This Row],[Original Amount]]*Tabla5109[[#This Row],[ER to EUR]]</f>
        <v>-202.76</v>
      </c>
      <c r="G460" s="9" t="s">
        <v>2711</v>
      </c>
      <c r="H460" s="73" t="s">
        <v>3379</v>
      </c>
      <c r="I460" s="9" t="s">
        <v>2713</v>
      </c>
      <c r="J460" s="9" t="s">
        <v>2714</v>
      </c>
      <c r="K460" s="205" t="s">
        <v>2715</v>
      </c>
      <c r="L460" s="9" t="s">
        <v>2716</v>
      </c>
      <c r="M460" s="32" t="s">
        <v>125</v>
      </c>
      <c r="N460" s="129" t="s">
        <v>2704</v>
      </c>
      <c r="O460" s="122" t="s">
        <v>2704</v>
      </c>
      <c r="P460" s="123" t="str">
        <f t="shared" si="14"/>
        <v>C2-2025</v>
      </c>
      <c r="Q460" s="123" t="str">
        <f t="shared" si="15"/>
        <v>T2-2025</v>
      </c>
      <c r="R460" s="124" t="s">
        <v>2705</v>
      </c>
      <c r="S460" s="124" t="s">
        <v>2706</v>
      </c>
      <c r="T460" s="123" t="s">
        <v>2717</v>
      </c>
      <c r="U460" s="162" t="s">
        <v>2708</v>
      </c>
      <c r="V460" s="162" t="s">
        <v>56</v>
      </c>
      <c r="W460" s="237" t="s">
        <v>125</v>
      </c>
      <c r="X460" s="173" t="s">
        <v>2709</v>
      </c>
    </row>
    <row r="461" spans="1:24" hidden="1">
      <c r="A461" s="161">
        <v>45822</v>
      </c>
      <c r="B461" s="117" t="s">
        <v>3380</v>
      </c>
      <c r="C461" s="122" t="s">
        <v>2697</v>
      </c>
      <c r="D461" s="119">
        <v>-818</v>
      </c>
      <c r="E461" s="120">
        <v>1</v>
      </c>
      <c r="F461" s="121">
        <f>Tabla5109[[#This Row],[Original Amount]]*Tabla5109[[#This Row],[ER to EUR]]</f>
        <v>-818</v>
      </c>
      <c r="G461" s="9" t="s">
        <v>2884</v>
      </c>
      <c r="H461" s="73" t="s">
        <v>2885</v>
      </c>
      <c r="I461" s="9" t="s">
        <v>3267</v>
      </c>
      <c r="J461" s="9" t="s">
        <v>2723</v>
      </c>
      <c r="K461" s="205" t="s">
        <v>2792</v>
      </c>
      <c r="L461" s="9" t="s">
        <v>2793</v>
      </c>
      <c r="M461" s="32" t="s">
        <v>125</v>
      </c>
      <c r="N461" s="129" t="s">
        <v>2704</v>
      </c>
      <c r="O461" s="122" t="s">
        <v>2704</v>
      </c>
      <c r="P461" s="123" t="str">
        <f t="shared" si="14"/>
        <v>C2-2025</v>
      </c>
      <c r="Q461" s="123" t="str">
        <f t="shared" si="15"/>
        <v>T2-2025</v>
      </c>
      <c r="R461" s="124" t="s">
        <v>2741</v>
      </c>
      <c r="S461" s="123" t="s">
        <v>2723</v>
      </c>
      <c r="T461" s="123" t="s">
        <v>2707</v>
      </c>
      <c r="U461" s="162" t="s">
        <v>2708</v>
      </c>
      <c r="V461" s="162" t="s">
        <v>54</v>
      </c>
      <c r="W461" s="237" t="s">
        <v>125</v>
      </c>
      <c r="X461" s="173" t="s">
        <v>2709</v>
      </c>
    </row>
    <row r="462" spans="1:24" hidden="1">
      <c r="A462" s="161">
        <v>45822</v>
      </c>
      <c r="B462" s="133" t="s">
        <v>3381</v>
      </c>
      <c r="C462" s="122" t="s">
        <v>2697</v>
      </c>
      <c r="D462" s="119">
        <v>-3.75</v>
      </c>
      <c r="E462" s="120">
        <v>1</v>
      </c>
      <c r="F462" s="121">
        <f>Tabla5109[[#This Row],[Original Amount]]*Tabla5109[[#This Row],[ER to EUR]]</f>
        <v>-3.75</v>
      </c>
      <c r="G462" s="9" t="s">
        <v>2884</v>
      </c>
      <c r="H462" s="73" t="s">
        <v>2885</v>
      </c>
      <c r="I462" s="9" t="s">
        <v>3279</v>
      </c>
      <c r="J462" s="9" t="s">
        <v>2723</v>
      </c>
      <c r="K462" s="205" t="s">
        <v>2792</v>
      </c>
      <c r="L462" s="9" t="s">
        <v>2793</v>
      </c>
      <c r="M462" s="32" t="s">
        <v>125</v>
      </c>
      <c r="N462" s="129" t="s">
        <v>2704</v>
      </c>
      <c r="O462" s="122" t="s">
        <v>2704</v>
      </c>
      <c r="P462" s="123" t="str">
        <f t="shared" si="14"/>
        <v>C2-2025</v>
      </c>
      <c r="Q462" s="123" t="str">
        <f t="shared" si="15"/>
        <v>T2-2025</v>
      </c>
      <c r="R462" s="124" t="s">
        <v>2741</v>
      </c>
      <c r="S462" s="123" t="s">
        <v>2723</v>
      </c>
      <c r="T462" s="123" t="s">
        <v>2707</v>
      </c>
      <c r="U462" s="162" t="s">
        <v>2708</v>
      </c>
      <c r="V462" s="162" t="s">
        <v>54</v>
      </c>
      <c r="W462" s="237" t="s">
        <v>125</v>
      </c>
      <c r="X462" s="173" t="s">
        <v>2709</v>
      </c>
    </row>
    <row r="463" spans="1:24" hidden="1">
      <c r="A463" s="161">
        <v>45823</v>
      </c>
      <c r="B463" s="130" t="s">
        <v>3382</v>
      </c>
      <c r="C463" s="122" t="s">
        <v>2548</v>
      </c>
      <c r="D463" s="136">
        <v>-50.97</v>
      </c>
      <c r="E463" s="221">
        <v>0.86707708315269227</v>
      </c>
      <c r="F463" s="121">
        <f>Tabla5109[[#This Row],[Original Amount]]*Tabla5109[[#This Row],[ER to EUR]]</f>
        <v>-44.194918928292722</v>
      </c>
      <c r="G463" s="9" t="s">
        <v>2786</v>
      </c>
      <c r="H463" s="73" t="s">
        <v>3297</v>
      </c>
      <c r="I463" s="9" t="s">
        <v>2713</v>
      </c>
      <c r="J463" s="9" t="s">
        <v>2701</v>
      </c>
      <c r="K463" s="205" t="s">
        <v>2702</v>
      </c>
      <c r="L463" s="9" t="s">
        <v>2788</v>
      </c>
      <c r="M463" s="32" t="s">
        <v>125</v>
      </c>
      <c r="N463" s="129" t="s">
        <v>2704</v>
      </c>
      <c r="O463" s="122" t="s">
        <v>2704</v>
      </c>
      <c r="P463" s="123" t="str">
        <f t="shared" si="14"/>
        <v>C2-2025</v>
      </c>
      <c r="Q463" s="123" t="str">
        <f t="shared" si="15"/>
        <v>T2-2025</v>
      </c>
      <c r="R463" s="124" t="s">
        <v>2705</v>
      </c>
      <c r="S463" s="124" t="s">
        <v>2706</v>
      </c>
      <c r="T463" s="123" t="s">
        <v>2724</v>
      </c>
      <c r="U463" s="162" t="s">
        <v>2708</v>
      </c>
      <c r="V463" s="162" t="s">
        <v>56</v>
      </c>
      <c r="W463" s="237" t="s">
        <v>125</v>
      </c>
      <c r="X463" s="173" t="s">
        <v>2709</v>
      </c>
    </row>
    <row r="464" spans="1:24" hidden="1">
      <c r="A464" s="161">
        <v>45823</v>
      </c>
      <c r="B464" s="132">
        <v>16</v>
      </c>
      <c r="C464" s="122" t="s">
        <v>2697</v>
      </c>
      <c r="D464" s="119">
        <v>-4760</v>
      </c>
      <c r="E464" s="120">
        <v>1</v>
      </c>
      <c r="F464" s="121">
        <f>Tabla5109[[#This Row],[Original Amount]]*Tabla5109[[#This Row],[ER to EUR]]</f>
        <v>-4760</v>
      </c>
      <c r="G464" s="9" t="s">
        <v>2790</v>
      </c>
      <c r="H464" s="73" t="s">
        <v>2791</v>
      </c>
      <c r="I464" s="9" t="s">
        <v>2727</v>
      </c>
      <c r="J464" s="9" t="s">
        <v>2723</v>
      </c>
      <c r="K464" s="205" t="s">
        <v>2792</v>
      </c>
      <c r="L464" s="9" t="s">
        <v>2793</v>
      </c>
      <c r="M464" s="32" t="s">
        <v>125</v>
      </c>
      <c r="N464" s="129" t="s">
        <v>2704</v>
      </c>
      <c r="O464" s="122" t="s">
        <v>2704</v>
      </c>
      <c r="P464" s="123" t="str">
        <f t="shared" si="14"/>
        <v>C2-2025</v>
      </c>
      <c r="Q464" s="123" t="str">
        <f t="shared" si="15"/>
        <v>T2-2025</v>
      </c>
      <c r="R464" s="124" t="s">
        <v>2794</v>
      </c>
      <c r="S464" s="123" t="s">
        <v>2731</v>
      </c>
      <c r="T464" s="123" t="s">
        <v>2724</v>
      </c>
      <c r="U464" s="162" t="s">
        <v>2708</v>
      </c>
      <c r="V464" s="162" t="s">
        <v>57</v>
      </c>
      <c r="W464" s="237" t="s">
        <v>125</v>
      </c>
      <c r="X464" s="173" t="s">
        <v>2709</v>
      </c>
    </row>
    <row r="465" spans="1:24" hidden="1">
      <c r="A465" s="161">
        <v>45824</v>
      </c>
      <c r="B465" s="117" t="s">
        <v>3383</v>
      </c>
      <c r="C465" s="122" t="s">
        <v>2697</v>
      </c>
      <c r="D465" s="146">
        <v>-818</v>
      </c>
      <c r="E465" s="120">
        <v>1</v>
      </c>
      <c r="F465" s="121">
        <f>Tabla5109[[#This Row],[Original Amount]]*Tabla5109[[#This Row],[ER to EUR]]</f>
        <v>-818</v>
      </c>
      <c r="G465" s="9" t="s">
        <v>2884</v>
      </c>
      <c r="H465" s="73" t="s">
        <v>2885</v>
      </c>
      <c r="I465" s="9" t="s">
        <v>3065</v>
      </c>
      <c r="J465" s="9" t="s">
        <v>2723</v>
      </c>
      <c r="K465" s="205" t="s">
        <v>2792</v>
      </c>
      <c r="L465" s="9" t="s">
        <v>2793</v>
      </c>
      <c r="M465" s="32" t="s">
        <v>125</v>
      </c>
      <c r="N465" s="129" t="s">
        <v>2704</v>
      </c>
      <c r="O465" s="122" t="s">
        <v>2704</v>
      </c>
      <c r="P465" s="123" t="str">
        <f t="shared" si="14"/>
        <v>C2-2025</v>
      </c>
      <c r="Q465" s="123" t="str">
        <f t="shared" si="15"/>
        <v>T2-2025</v>
      </c>
      <c r="R465" s="124" t="s">
        <v>2741</v>
      </c>
      <c r="S465" s="123" t="s">
        <v>2723</v>
      </c>
      <c r="T465" s="123" t="s">
        <v>2707</v>
      </c>
      <c r="U465" s="162" t="s">
        <v>2708</v>
      </c>
      <c r="V465" s="162" t="s">
        <v>54</v>
      </c>
      <c r="W465" s="237" t="s">
        <v>125</v>
      </c>
      <c r="X465" s="173" t="s">
        <v>2709</v>
      </c>
    </row>
    <row r="466" spans="1:24" hidden="1">
      <c r="A466" s="161">
        <v>45824</v>
      </c>
      <c r="B466" s="117">
        <v>141999</v>
      </c>
      <c r="C466" s="122" t="s">
        <v>2697</v>
      </c>
      <c r="D466" s="146">
        <v>-159</v>
      </c>
      <c r="E466" s="120">
        <v>1</v>
      </c>
      <c r="F466" s="121">
        <f>Tabla5109[[#This Row],[Original Amount]]*Tabla5109[[#This Row],[ER to EUR]]</f>
        <v>-159</v>
      </c>
      <c r="G466" s="9" t="s">
        <v>3125</v>
      </c>
      <c r="H466" s="73" t="s">
        <v>3126</v>
      </c>
      <c r="I466" s="9" t="s">
        <v>2784</v>
      </c>
      <c r="J466" s="9" t="s">
        <v>2701</v>
      </c>
      <c r="K466" s="205" t="s">
        <v>2702</v>
      </c>
      <c r="L466" s="9" t="s">
        <v>2760</v>
      </c>
      <c r="M466" s="32" t="s">
        <v>125</v>
      </c>
      <c r="N466" s="129" t="s">
        <v>2704</v>
      </c>
      <c r="O466" s="122" t="s">
        <v>2704</v>
      </c>
      <c r="P466" s="123" t="str">
        <f t="shared" si="14"/>
        <v>C2-2025</v>
      </c>
      <c r="Q466" s="123" t="str">
        <f t="shared" si="15"/>
        <v>T2-2025</v>
      </c>
      <c r="R466" s="124" t="s">
        <v>2741</v>
      </c>
      <c r="S466" s="123" t="s">
        <v>2723</v>
      </c>
      <c r="T466" s="123" t="s">
        <v>2724</v>
      </c>
      <c r="U466" s="162" t="s">
        <v>2708</v>
      </c>
      <c r="V466" s="162" t="s">
        <v>54</v>
      </c>
      <c r="W466" s="237" t="s">
        <v>125</v>
      </c>
      <c r="X466" s="173" t="s">
        <v>2709</v>
      </c>
    </row>
    <row r="467" spans="1:24" hidden="1">
      <c r="A467" s="161">
        <v>45825</v>
      </c>
      <c r="B467" s="133" t="s">
        <v>3384</v>
      </c>
      <c r="C467" s="122" t="s">
        <v>2548</v>
      </c>
      <c r="D467" s="136">
        <v>-120</v>
      </c>
      <c r="E467" s="221">
        <v>0.86707708315269227</v>
      </c>
      <c r="F467" s="121">
        <f>Tabla5109[[#This Row],[Original Amount]]*Tabla5109[[#This Row],[ER to EUR]]</f>
        <v>-104.04924997832308</v>
      </c>
      <c r="G467" s="9" t="s">
        <v>2786</v>
      </c>
      <c r="H467" s="73" t="s">
        <v>2928</v>
      </c>
      <c r="I467" s="9" t="s">
        <v>2713</v>
      </c>
      <c r="J467" s="9" t="s">
        <v>2701</v>
      </c>
      <c r="K467" s="205" t="s">
        <v>2702</v>
      </c>
      <c r="L467" s="9" t="s">
        <v>2788</v>
      </c>
      <c r="M467" s="32" t="s">
        <v>125</v>
      </c>
      <c r="N467" s="129" t="s">
        <v>2704</v>
      </c>
      <c r="O467" s="122" t="s">
        <v>2704</v>
      </c>
      <c r="P467" s="123" t="str">
        <f t="shared" si="14"/>
        <v>C2-2025</v>
      </c>
      <c r="Q467" s="123" t="str">
        <f t="shared" si="15"/>
        <v>T2-2025</v>
      </c>
      <c r="R467" s="124" t="s">
        <v>2705</v>
      </c>
      <c r="S467" s="124" t="s">
        <v>2706</v>
      </c>
      <c r="T467" s="123" t="s">
        <v>2724</v>
      </c>
      <c r="U467" s="162" t="s">
        <v>2708</v>
      </c>
      <c r="V467" s="162" t="s">
        <v>56</v>
      </c>
      <c r="W467" s="237" t="s">
        <v>125</v>
      </c>
      <c r="X467" s="173" t="s">
        <v>2709</v>
      </c>
    </row>
    <row r="468" spans="1:24" hidden="1">
      <c r="A468" s="161">
        <v>45825</v>
      </c>
      <c r="B468" s="117" t="s">
        <v>3385</v>
      </c>
      <c r="C468" s="122" t="s">
        <v>2697</v>
      </c>
      <c r="D468" s="119">
        <v>-342.67</v>
      </c>
      <c r="E468" s="120">
        <v>1</v>
      </c>
      <c r="F468" s="121">
        <f>Tabla5109[[#This Row],[Original Amount]]*Tabla5109[[#This Row],[ER to EUR]]</f>
        <v>-342.67</v>
      </c>
      <c r="G468" s="9" t="s">
        <v>3116</v>
      </c>
      <c r="H468" s="9" t="s">
        <v>3386</v>
      </c>
      <c r="I468" s="9" t="s">
        <v>2713</v>
      </c>
      <c r="J468" s="9" t="s">
        <v>2701</v>
      </c>
      <c r="K468" s="205" t="s">
        <v>2702</v>
      </c>
      <c r="L468" s="9" t="s">
        <v>2703</v>
      </c>
      <c r="M468" s="32" t="s">
        <v>125</v>
      </c>
      <c r="N468" s="129" t="s">
        <v>2704</v>
      </c>
      <c r="O468" s="122" t="s">
        <v>2704</v>
      </c>
      <c r="P468" s="123" t="str">
        <f t="shared" si="14"/>
        <v>C2-2025</v>
      </c>
      <c r="Q468" s="123" t="str">
        <f t="shared" si="15"/>
        <v>T2-2025</v>
      </c>
      <c r="R468" s="124" t="s">
        <v>2794</v>
      </c>
      <c r="S468" s="123" t="s">
        <v>3041</v>
      </c>
      <c r="T468" s="123" t="s">
        <v>2707</v>
      </c>
      <c r="U468" s="162" t="s">
        <v>51</v>
      </c>
      <c r="V468" s="162" t="s">
        <v>57</v>
      </c>
      <c r="W468" s="237" t="s">
        <v>125</v>
      </c>
      <c r="X468" s="173" t="s">
        <v>2709</v>
      </c>
    </row>
    <row r="469" spans="1:24" hidden="1">
      <c r="A469" s="161">
        <v>45825</v>
      </c>
      <c r="B469" s="133" t="s">
        <v>3387</v>
      </c>
      <c r="C469" s="32" t="s">
        <v>2697</v>
      </c>
      <c r="D469" s="119">
        <v>-54</v>
      </c>
      <c r="E469" s="120">
        <v>1</v>
      </c>
      <c r="F469" s="121">
        <f>Tabla5109[[#This Row],[Original Amount]]*Tabla5109[[#This Row],[ER to EUR]]</f>
        <v>-54</v>
      </c>
      <c r="G469" s="9" t="s">
        <v>2833</v>
      </c>
      <c r="H469" s="9" t="s">
        <v>2834</v>
      </c>
      <c r="I469" s="9" t="s">
        <v>2713</v>
      </c>
      <c r="J469" s="9" t="s">
        <v>2701</v>
      </c>
      <c r="K469" s="205" t="s">
        <v>2771</v>
      </c>
      <c r="L469" s="211" t="s">
        <v>2818</v>
      </c>
      <c r="M469" s="32" t="s">
        <v>125</v>
      </c>
      <c r="N469" s="122" t="s">
        <v>2704</v>
      </c>
      <c r="O469" s="129" t="s">
        <v>2704</v>
      </c>
      <c r="P469" s="123" t="str">
        <f t="shared" si="14"/>
        <v>C2-2025</v>
      </c>
      <c r="Q469" s="123" t="str">
        <f t="shared" si="15"/>
        <v>T2-2025</v>
      </c>
      <c r="R469" s="91" t="s">
        <v>2819</v>
      </c>
      <c r="S469" s="123" t="s">
        <v>2817</v>
      </c>
      <c r="T469" s="123" t="s">
        <v>2724</v>
      </c>
      <c r="U469" s="162" t="s">
        <v>2708</v>
      </c>
      <c r="V469" s="162" t="s">
        <v>54</v>
      </c>
      <c r="W469" s="237" t="s">
        <v>125</v>
      </c>
      <c r="X469" s="173" t="s">
        <v>2709</v>
      </c>
    </row>
    <row r="470" spans="1:24" hidden="1">
      <c r="A470" s="161">
        <v>45826</v>
      </c>
      <c r="B470" s="117" t="s">
        <v>3388</v>
      </c>
      <c r="C470" s="122" t="s">
        <v>2697</v>
      </c>
      <c r="D470" s="119">
        <v>-3000</v>
      </c>
      <c r="E470" s="120">
        <v>1</v>
      </c>
      <c r="F470" s="121">
        <f>Tabla5109[[#This Row],[Original Amount]]*Tabla5109[[#This Row],[ER to EUR]]</f>
        <v>-3000</v>
      </c>
      <c r="G470" s="37" t="s">
        <v>2725</v>
      </c>
      <c r="H470" s="73" t="s">
        <v>3389</v>
      </c>
      <c r="I470" s="9" t="s">
        <v>2727</v>
      </c>
      <c r="J470" s="9" t="s">
        <v>2701</v>
      </c>
      <c r="K470" s="205" t="s">
        <v>2728</v>
      </c>
      <c r="L470" s="9" t="s">
        <v>2729</v>
      </c>
      <c r="M470" s="32" t="s">
        <v>125</v>
      </c>
      <c r="N470" s="129" t="s">
        <v>2704</v>
      </c>
      <c r="O470" s="122" t="s">
        <v>2704</v>
      </c>
      <c r="P470" s="123" t="str">
        <f t="shared" si="14"/>
        <v>C2-2025</v>
      </c>
      <c r="Q470" s="123" t="str">
        <f t="shared" si="15"/>
        <v>T2-2025</v>
      </c>
      <c r="R470" s="124" t="s">
        <v>2730</v>
      </c>
      <c r="S470" s="123" t="s">
        <v>2731</v>
      </c>
      <c r="T470" s="123" t="s">
        <v>2707</v>
      </c>
      <c r="U470" s="162" t="s">
        <v>51</v>
      </c>
      <c r="V470" s="162" t="s">
        <v>57</v>
      </c>
      <c r="W470" s="237" t="s">
        <v>125</v>
      </c>
      <c r="X470" s="173" t="s">
        <v>2709</v>
      </c>
    </row>
    <row r="471" spans="1:24" hidden="1">
      <c r="A471" s="161">
        <v>45826</v>
      </c>
      <c r="B471" s="117" t="s">
        <v>3390</v>
      </c>
      <c r="C471" s="122" t="s">
        <v>2697</v>
      </c>
      <c r="D471" s="119">
        <v>-239.68</v>
      </c>
      <c r="E471" s="120">
        <v>1</v>
      </c>
      <c r="F471" s="121">
        <f>Tabla5109[[#This Row],[Original Amount]]*Tabla5109[[#This Row],[ER to EUR]]</f>
        <v>-239.68</v>
      </c>
      <c r="G471" s="9" t="s">
        <v>2815</v>
      </c>
      <c r="H471" s="9" t="s">
        <v>3103</v>
      </c>
      <c r="I471" s="9" t="s">
        <v>2727</v>
      </c>
      <c r="J471" s="9" t="s">
        <v>2817</v>
      </c>
      <c r="K471" s="205" t="s">
        <v>2702</v>
      </c>
      <c r="L471" s="9" t="s">
        <v>2818</v>
      </c>
      <c r="M471" s="32" t="s">
        <v>125</v>
      </c>
      <c r="N471" s="129" t="s">
        <v>2704</v>
      </c>
      <c r="O471" s="122" t="s">
        <v>2704</v>
      </c>
      <c r="P471" s="123" t="str">
        <f t="shared" si="14"/>
        <v>C2-2025</v>
      </c>
      <c r="Q471" s="123" t="str">
        <f t="shared" si="15"/>
        <v>T2-2025</v>
      </c>
      <c r="R471" s="124" t="s">
        <v>2819</v>
      </c>
      <c r="S471" s="123" t="s">
        <v>2723</v>
      </c>
      <c r="T471" s="123" t="s">
        <v>2724</v>
      </c>
      <c r="U471" s="162" t="s">
        <v>2708</v>
      </c>
      <c r="V471" s="162" t="s">
        <v>54</v>
      </c>
      <c r="W471" s="237" t="s">
        <v>125</v>
      </c>
      <c r="X471" s="173" t="s">
        <v>2709</v>
      </c>
    </row>
    <row r="472" spans="1:24" hidden="1">
      <c r="A472" s="161">
        <v>45826</v>
      </c>
      <c r="B472" s="130" t="s">
        <v>3391</v>
      </c>
      <c r="C472" s="122" t="s">
        <v>2697</v>
      </c>
      <c r="D472" s="119">
        <v>-235.62</v>
      </c>
      <c r="E472" s="120">
        <v>1</v>
      </c>
      <c r="F472" s="121">
        <f>Tabla5109[[#This Row],[Original Amount]]*Tabla5109[[#This Row],[ER to EUR]]</f>
        <v>-235.62</v>
      </c>
      <c r="G472" s="9" t="s">
        <v>2753</v>
      </c>
      <c r="H472" s="73" t="s">
        <v>3392</v>
      </c>
      <c r="I472" s="9" t="s">
        <v>2755</v>
      </c>
      <c r="J472" s="9" t="s">
        <v>2701</v>
      </c>
      <c r="K472" s="205" t="s">
        <v>2702</v>
      </c>
      <c r="L472" s="9" t="s">
        <v>2703</v>
      </c>
      <c r="M472" s="32" t="s">
        <v>125</v>
      </c>
      <c r="N472" s="129" t="s">
        <v>2704</v>
      </c>
      <c r="O472" s="122" t="s">
        <v>2704</v>
      </c>
      <c r="P472" s="123" t="str">
        <f t="shared" si="14"/>
        <v>C2-2025</v>
      </c>
      <c r="Q472" s="123" t="str">
        <f t="shared" si="15"/>
        <v>T2-2025</v>
      </c>
      <c r="R472" s="124" t="s">
        <v>2705</v>
      </c>
      <c r="S472" s="124" t="s">
        <v>2706</v>
      </c>
      <c r="T472" s="123" t="s">
        <v>2707</v>
      </c>
      <c r="U472" s="162" t="s">
        <v>2708</v>
      </c>
      <c r="V472" s="162" t="s">
        <v>56</v>
      </c>
      <c r="W472" s="237" t="s">
        <v>125</v>
      </c>
      <c r="X472" s="173" t="s">
        <v>2709</v>
      </c>
    </row>
    <row r="473" spans="1:24" hidden="1">
      <c r="A473" s="161">
        <v>45826</v>
      </c>
      <c r="B473" s="219" t="s">
        <v>3393</v>
      </c>
      <c r="C473" s="122" t="s">
        <v>2697</v>
      </c>
      <c r="D473" s="119">
        <v>-818.26</v>
      </c>
      <c r="E473" s="120">
        <v>1</v>
      </c>
      <c r="F473" s="121">
        <f>Tabla5109[[#This Row],[Original Amount]]*Tabla5109[[#This Row],[ER to EUR]]</f>
        <v>-818.26</v>
      </c>
      <c r="G473" s="9" t="s">
        <v>2884</v>
      </c>
      <c r="H473" s="73" t="s">
        <v>2885</v>
      </c>
      <c r="I473" s="9" t="s">
        <v>3065</v>
      </c>
      <c r="J473" s="9" t="s">
        <v>2723</v>
      </c>
      <c r="K473" s="205" t="s">
        <v>2792</v>
      </c>
      <c r="L473" s="9" t="s">
        <v>2793</v>
      </c>
      <c r="M473" s="32" t="s">
        <v>125</v>
      </c>
      <c r="N473" s="129" t="s">
        <v>2704</v>
      </c>
      <c r="O473" s="122" t="s">
        <v>2704</v>
      </c>
      <c r="P473" s="123" t="str">
        <f t="shared" si="14"/>
        <v>C2-2025</v>
      </c>
      <c r="Q473" s="123" t="str">
        <f t="shared" si="15"/>
        <v>T2-2025</v>
      </c>
      <c r="R473" s="124" t="s">
        <v>2741</v>
      </c>
      <c r="S473" s="123" t="s">
        <v>2723</v>
      </c>
      <c r="T473" s="123" t="s">
        <v>2707</v>
      </c>
      <c r="U473" s="162" t="s">
        <v>2708</v>
      </c>
      <c r="V473" s="162" t="s">
        <v>54</v>
      </c>
      <c r="W473" s="237" t="s">
        <v>125</v>
      </c>
      <c r="X473" s="173" t="s">
        <v>2709</v>
      </c>
    </row>
    <row r="474" spans="1:24" hidden="1">
      <c r="A474" s="161">
        <v>45826</v>
      </c>
      <c r="B474" s="128" t="s">
        <v>3394</v>
      </c>
      <c r="C474" s="122" t="s">
        <v>2697</v>
      </c>
      <c r="D474" s="119">
        <v>-206.71</v>
      </c>
      <c r="E474" s="120">
        <v>1</v>
      </c>
      <c r="F474" s="121">
        <f>Tabla5109[[#This Row],[Original Amount]]*Tabla5109[[#This Row],[ER to EUR]]</f>
        <v>-206.71</v>
      </c>
      <c r="G474" s="9" t="s">
        <v>2839</v>
      </c>
      <c r="H474" s="73" t="s">
        <v>2840</v>
      </c>
      <c r="I474" s="9" t="s">
        <v>2784</v>
      </c>
      <c r="J474" s="9" t="s">
        <v>2701</v>
      </c>
      <c r="K474" s="205" t="s">
        <v>2702</v>
      </c>
      <c r="L474" s="9" t="s">
        <v>2703</v>
      </c>
      <c r="M474" s="32" t="s">
        <v>125</v>
      </c>
      <c r="N474" s="129" t="s">
        <v>2704</v>
      </c>
      <c r="O474" s="122" t="s">
        <v>2704</v>
      </c>
      <c r="P474" s="123" t="str">
        <f t="shared" si="14"/>
        <v>C2-2025</v>
      </c>
      <c r="Q474" s="123" t="str">
        <f t="shared" si="15"/>
        <v>T2-2025</v>
      </c>
      <c r="R474" s="124" t="s">
        <v>2705</v>
      </c>
      <c r="S474" s="124" t="s">
        <v>2706</v>
      </c>
      <c r="T474" s="123" t="s">
        <v>2707</v>
      </c>
      <c r="U474" s="162" t="s">
        <v>2708</v>
      </c>
      <c r="V474" s="162" t="s">
        <v>56</v>
      </c>
      <c r="W474" s="237" t="s">
        <v>125</v>
      </c>
      <c r="X474" s="173" t="s">
        <v>2709</v>
      </c>
    </row>
    <row r="475" spans="1:24" hidden="1">
      <c r="A475" s="161">
        <v>45827</v>
      </c>
      <c r="B475" s="132">
        <v>1925137</v>
      </c>
      <c r="C475" s="32" t="s">
        <v>2697</v>
      </c>
      <c r="D475" s="119">
        <v>-187.25</v>
      </c>
      <c r="E475" s="120">
        <v>1</v>
      </c>
      <c r="F475" s="121">
        <f>Tabla5109[[#This Row],[Original Amount]]*Tabla5109[[#This Row],[ER to EUR]]</f>
        <v>-187.25</v>
      </c>
      <c r="G475" s="9" t="s">
        <v>2815</v>
      </c>
      <c r="H475" s="73" t="s">
        <v>2816</v>
      </c>
      <c r="I475" s="9" t="s">
        <v>2727</v>
      </c>
      <c r="J475" s="9" t="s">
        <v>2817</v>
      </c>
      <c r="K475" s="205" t="s">
        <v>2702</v>
      </c>
      <c r="L475" s="9" t="s">
        <v>2818</v>
      </c>
      <c r="M475" s="32" t="s">
        <v>125</v>
      </c>
      <c r="N475" s="129" t="s">
        <v>2704</v>
      </c>
      <c r="O475" s="122" t="s">
        <v>2704</v>
      </c>
      <c r="P475" s="123" t="str">
        <f t="shared" si="14"/>
        <v>C2-2025</v>
      </c>
      <c r="Q475" s="123" t="str">
        <f t="shared" si="15"/>
        <v>T2-2025</v>
      </c>
      <c r="R475" s="124" t="s">
        <v>2819</v>
      </c>
      <c r="S475" s="123" t="s">
        <v>2723</v>
      </c>
      <c r="T475" s="123" t="s">
        <v>2724</v>
      </c>
      <c r="U475" s="162" t="s">
        <v>2708</v>
      </c>
      <c r="V475" s="162" t="s">
        <v>54</v>
      </c>
      <c r="W475" s="237" t="s">
        <v>125</v>
      </c>
      <c r="X475" s="173" t="s">
        <v>2709</v>
      </c>
    </row>
    <row r="476" spans="1:24" hidden="1">
      <c r="A476" s="161">
        <v>45827</v>
      </c>
      <c r="B476" s="117" t="s">
        <v>3395</v>
      </c>
      <c r="C476" s="122" t="s">
        <v>2697</v>
      </c>
      <c r="D476" s="119">
        <v>-9.6999999999999993</v>
      </c>
      <c r="E476" s="120">
        <v>1</v>
      </c>
      <c r="F476" s="121">
        <f>Tabla5109[[#This Row],[Original Amount]]*Tabla5109[[#This Row],[ER to EUR]]</f>
        <v>-9.6999999999999993</v>
      </c>
      <c r="G476" s="9" t="s">
        <v>2737</v>
      </c>
      <c r="H476" s="9" t="s">
        <v>3396</v>
      </c>
      <c r="I476" s="9" t="s">
        <v>2739</v>
      </c>
      <c r="J476" s="9" t="s">
        <v>2701</v>
      </c>
      <c r="K476" s="205" t="s">
        <v>2702</v>
      </c>
      <c r="L476" s="9" t="s">
        <v>2740</v>
      </c>
      <c r="M476" s="32" t="s">
        <v>125</v>
      </c>
      <c r="N476" s="129" t="s">
        <v>2704</v>
      </c>
      <c r="O476" s="122" t="s">
        <v>2704</v>
      </c>
      <c r="P476" s="123" t="str">
        <f t="shared" si="14"/>
        <v>C2-2025</v>
      </c>
      <c r="Q476" s="123" t="str">
        <f t="shared" si="15"/>
        <v>T2-2025</v>
      </c>
      <c r="R476" s="124" t="s">
        <v>2741</v>
      </c>
      <c r="S476" s="123" t="s">
        <v>2723</v>
      </c>
      <c r="T476" s="123" t="s">
        <v>2724</v>
      </c>
      <c r="U476" s="162" t="s">
        <v>2708</v>
      </c>
      <c r="V476" s="162" t="s">
        <v>54</v>
      </c>
      <c r="W476" s="237" t="s">
        <v>125</v>
      </c>
      <c r="X476" s="173" t="s">
        <v>2709</v>
      </c>
    </row>
    <row r="477" spans="1:24" hidden="1">
      <c r="A477" s="161">
        <v>45828</v>
      </c>
      <c r="B477" s="219" t="s">
        <v>3397</v>
      </c>
      <c r="C477" s="122" t="s">
        <v>2697</v>
      </c>
      <c r="D477" s="119">
        <v>-192.44</v>
      </c>
      <c r="E477" s="120">
        <v>1</v>
      </c>
      <c r="F477" s="121">
        <f>Tabla5109[[#This Row],[Original Amount]]*Tabla5109[[#This Row],[ER to EUR]]</f>
        <v>-192.44</v>
      </c>
      <c r="G477" s="9" t="s">
        <v>2766</v>
      </c>
      <c r="H477" s="9" t="s">
        <v>3398</v>
      </c>
      <c r="I477" s="9" t="s">
        <v>2713</v>
      </c>
      <c r="J477" s="9" t="s">
        <v>2701</v>
      </c>
      <c r="K477" s="205" t="s">
        <v>2702</v>
      </c>
      <c r="L477" s="9" t="s">
        <v>2760</v>
      </c>
      <c r="M477" s="32" t="s">
        <v>125</v>
      </c>
      <c r="N477" s="129" t="s">
        <v>2704</v>
      </c>
      <c r="O477" s="122" t="s">
        <v>2704</v>
      </c>
      <c r="P477" s="123" t="str">
        <f t="shared" si="14"/>
        <v>C2-2025</v>
      </c>
      <c r="Q477" s="123" t="str">
        <f t="shared" si="15"/>
        <v>T2-2025</v>
      </c>
      <c r="R477" s="124" t="s">
        <v>2705</v>
      </c>
      <c r="S477" s="123" t="s">
        <v>2735</v>
      </c>
      <c r="T477" s="123" t="s">
        <v>2724</v>
      </c>
      <c r="U477" s="162" t="s">
        <v>2708</v>
      </c>
      <c r="V477" s="162" t="s">
        <v>55</v>
      </c>
      <c r="W477" s="237" t="s">
        <v>125</v>
      </c>
      <c r="X477" s="173" t="s">
        <v>2709</v>
      </c>
    </row>
    <row r="478" spans="1:24" hidden="1">
      <c r="A478" s="161">
        <v>45828</v>
      </c>
      <c r="B478" s="117" t="s">
        <v>3399</v>
      </c>
      <c r="C478" s="122" t="s">
        <v>2697</v>
      </c>
      <c r="D478" s="119">
        <v>-818</v>
      </c>
      <c r="E478" s="120">
        <v>1</v>
      </c>
      <c r="F478" s="121">
        <f>Tabla5109[[#This Row],[Original Amount]]*Tabla5109[[#This Row],[ER to EUR]]</f>
        <v>-818</v>
      </c>
      <c r="G478" s="9" t="s">
        <v>2884</v>
      </c>
      <c r="H478" s="73" t="s">
        <v>2885</v>
      </c>
      <c r="I478" s="9" t="s">
        <v>3267</v>
      </c>
      <c r="J478" s="9" t="s">
        <v>2723</v>
      </c>
      <c r="K478" s="205" t="s">
        <v>2792</v>
      </c>
      <c r="L478" s="9" t="s">
        <v>2793</v>
      </c>
      <c r="M478" s="32" t="s">
        <v>125</v>
      </c>
      <c r="N478" s="129" t="s">
        <v>2704</v>
      </c>
      <c r="O478" s="122" t="s">
        <v>2704</v>
      </c>
      <c r="P478" s="123" t="str">
        <f t="shared" si="14"/>
        <v>C2-2025</v>
      </c>
      <c r="Q478" s="123" t="str">
        <f t="shared" si="15"/>
        <v>T2-2025</v>
      </c>
      <c r="R478" s="124" t="s">
        <v>2741</v>
      </c>
      <c r="S478" s="123" t="s">
        <v>2723</v>
      </c>
      <c r="T478" s="123" t="s">
        <v>2707</v>
      </c>
      <c r="U478" s="162" t="s">
        <v>2708</v>
      </c>
      <c r="V478" s="162" t="s">
        <v>54</v>
      </c>
      <c r="W478" s="237" t="s">
        <v>125</v>
      </c>
      <c r="X478" s="173" t="s">
        <v>2709</v>
      </c>
    </row>
    <row r="479" spans="1:24" hidden="1">
      <c r="A479" s="161">
        <v>45828</v>
      </c>
      <c r="B479" s="117" t="s">
        <v>3400</v>
      </c>
      <c r="C479" s="122" t="s">
        <v>2697</v>
      </c>
      <c r="D479" s="119">
        <v>-2.17</v>
      </c>
      <c r="E479" s="120">
        <v>1</v>
      </c>
      <c r="F479" s="121">
        <f>Tabla5109[[#This Row],[Original Amount]]*Tabla5109[[#This Row],[ER to EUR]]</f>
        <v>-2.17</v>
      </c>
      <c r="G479" s="9" t="s">
        <v>2884</v>
      </c>
      <c r="H479" s="73" t="s">
        <v>2885</v>
      </c>
      <c r="I479" s="9" t="s">
        <v>3065</v>
      </c>
      <c r="J479" s="9" t="s">
        <v>2723</v>
      </c>
      <c r="K479" s="205" t="s">
        <v>2792</v>
      </c>
      <c r="L479" s="9" t="s">
        <v>2793</v>
      </c>
      <c r="M479" s="32" t="s">
        <v>125</v>
      </c>
      <c r="N479" s="129" t="s">
        <v>2704</v>
      </c>
      <c r="O479" s="122" t="s">
        <v>2704</v>
      </c>
      <c r="P479" s="123" t="str">
        <f t="shared" si="14"/>
        <v>C2-2025</v>
      </c>
      <c r="Q479" s="123" t="str">
        <f t="shared" si="15"/>
        <v>T2-2025</v>
      </c>
      <c r="R479" s="124" t="s">
        <v>2741</v>
      </c>
      <c r="S479" s="123" t="s">
        <v>2723</v>
      </c>
      <c r="T479" s="123" t="s">
        <v>2707</v>
      </c>
      <c r="U479" s="162" t="s">
        <v>2708</v>
      </c>
      <c r="V479" s="162" t="s">
        <v>54</v>
      </c>
      <c r="W479" s="237" t="s">
        <v>125</v>
      </c>
      <c r="X479" s="173" t="s">
        <v>2709</v>
      </c>
    </row>
    <row r="480" spans="1:24" hidden="1">
      <c r="A480" s="161">
        <v>45828</v>
      </c>
      <c r="B480" s="130" t="s">
        <v>3401</v>
      </c>
      <c r="C480" s="122" t="s">
        <v>2697</v>
      </c>
      <c r="D480" s="244">
        <v>-1500</v>
      </c>
      <c r="E480" s="120">
        <v>1</v>
      </c>
      <c r="F480" s="121">
        <f>Tabla5109[[#This Row],[Original Amount]]*Tabla5109[[#This Row],[ER to EUR]]</f>
        <v>-1500</v>
      </c>
      <c r="G480" s="9" t="s">
        <v>3402</v>
      </c>
      <c r="H480" s="73" t="s">
        <v>3403</v>
      </c>
      <c r="I480" s="9" t="s">
        <v>2713</v>
      </c>
      <c r="J480" s="9" t="s">
        <v>2723</v>
      </c>
      <c r="K480" s="205" t="s">
        <v>3404</v>
      </c>
      <c r="L480" s="9" t="s">
        <v>2793</v>
      </c>
      <c r="M480" s="32" t="s">
        <v>125</v>
      </c>
      <c r="N480" s="129" t="s">
        <v>2704</v>
      </c>
      <c r="O480" s="122" t="s">
        <v>2704</v>
      </c>
      <c r="P480" s="123" t="str">
        <f t="shared" si="14"/>
        <v>C2-2025</v>
      </c>
      <c r="Q480" s="123" t="str">
        <f t="shared" si="15"/>
        <v>T2-2025</v>
      </c>
      <c r="R480" s="124" t="s">
        <v>2705</v>
      </c>
      <c r="S480" s="124" t="s">
        <v>2706</v>
      </c>
      <c r="T480" s="123" t="s">
        <v>2717</v>
      </c>
      <c r="U480" s="162" t="s">
        <v>2708</v>
      </c>
      <c r="V480" s="162" t="s">
        <v>54</v>
      </c>
      <c r="W480" s="237" t="s">
        <v>125</v>
      </c>
      <c r="X480" s="173" t="s">
        <v>2709</v>
      </c>
    </row>
    <row r="481" spans="1:24" hidden="1">
      <c r="A481" s="161">
        <v>45829</v>
      </c>
      <c r="B481" s="125">
        <v>781113473802</v>
      </c>
      <c r="C481" s="122" t="s">
        <v>2697</v>
      </c>
      <c r="D481" s="119">
        <v>-43.38</v>
      </c>
      <c r="E481" s="120">
        <v>1</v>
      </c>
      <c r="F481" s="121">
        <f>Tabla5109[[#This Row],[Original Amount]]*Tabla5109[[#This Row],[ER to EUR]]</f>
        <v>-43.38</v>
      </c>
      <c r="G481" s="9" t="s">
        <v>2718</v>
      </c>
      <c r="H481" s="73" t="s">
        <v>3405</v>
      </c>
      <c r="I481" s="9" t="s">
        <v>2720</v>
      </c>
      <c r="J481" s="9" t="s">
        <v>2714</v>
      </c>
      <c r="K481" s="205" t="s">
        <v>2721</v>
      </c>
      <c r="L481" s="9" t="s">
        <v>2716</v>
      </c>
      <c r="M481" s="32" t="s">
        <v>125</v>
      </c>
      <c r="N481" s="129" t="s">
        <v>2704</v>
      </c>
      <c r="O481" s="122" t="s">
        <v>2704</v>
      </c>
      <c r="P481" s="123" t="str">
        <f t="shared" si="14"/>
        <v>C2-2025</v>
      </c>
      <c r="Q481" s="123" t="str">
        <f t="shared" si="15"/>
        <v>T2-2025</v>
      </c>
      <c r="R481" s="124" t="s">
        <v>2722</v>
      </c>
      <c r="S481" s="123" t="s">
        <v>2723</v>
      </c>
      <c r="T481" s="123" t="s">
        <v>2724</v>
      </c>
      <c r="U481" s="162" t="s">
        <v>2708</v>
      </c>
      <c r="V481" s="162" t="s">
        <v>54</v>
      </c>
      <c r="W481" s="237" t="s">
        <v>125</v>
      </c>
      <c r="X481" s="173" t="s">
        <v>2709</v>
      </c>
    </row>
    <row r="482" spans="1:24" hidden="1">
      <c r="A482" s="161">
        <v>45829</v>
      </c>
      <c r="B482" s="133" t="s">
        <v>3406</v>
      </c>
      <c r="C482" s="122" t="s">
        <v>2697</v>
      </c>
      <c r="D482" s="119">
        <v>-23</v>
      </c>
      <c r="E482" s="120">
        <v>1</v>
      </c>
      <c r="F482" s="121">
        <f>Tabla5109[[#This Row],[Original Amount]]*Tabla5109[[#This Row],[ER to EUR]]</f>
        <v>-23</v>
      </c>
      <c r="G482" s="9" t="s">
        <v>2996</v>
      </c>
      <c r="H482" s="73" t="s">
        <v>2997</v>
      </c>
      <c r="I482" s="9" t="s">
        <v>2727</v>
      </c>
      <c r="J482" s="9" t="s">
        <v>2701</v>
      </c>
      <c r="K482" s="205" t="s">
        <v>2702</v>
      </c>
      <c r="L482" s="9" t="s">
        <v>2703</v>
      </c>
      <c r="M482" s="32" t="s">
        <v>125</v>
      </c>
      <c r="N482" s="129" t="s">
        <v>2704</v>
      </c>
      <c r="O482" s="122" t="s">
        <v>2704</v>
      </c>
      <c r="P482" s="123" t="str">
        <f t="shared" si="14"/>
        <v>C2-2025</v>
      </c>
      <c r="Q482" s="123" t="str">
        <f t="shared" si="15"/>
        <v>T2-2025</v>
      </c>
      <c r="R482" s="124" t="s">
        <v>2705</v>
      </c>
      <c r="S482" s="123" t="s">
        <v>2735</v>
      </c>
      <c r="T482" s="123" t="s">
        <v>2724</v>
      </c>
      <c r="U482" s="162" t="s">
        <v>2708</v>
      </c>
      <c r="V482" s="162" t="s">
        <v>56</v>
      </c>
      <c r="W482" s="237" t="s">
        <v>125</v>
      </c>
      <c r="X482" s="173" t="s">
        <v>2709</v>
      </c>
    </row>
    <row r="483" spans="1:24" hidden="1">
      <c r="A483" s="161">
        <v>45830</v>
      </c>
      <c r="B483" s="117" t="s">
        <v>3407</v>
      </c>
      <c r="C483" s="122" t="s">
        <v>2697</v>
      </c>
      <c r="D483" s="119">
        <v>-818</v>
      </c>
      <c r="E483" s="120">
        <v>1</v>
      </c>
      <c r="F483" s="121">
        <f>Tabla5109[[#This Row],[Original Amount]]*Tabla5109[[#This Row],[ER to EUR]]</f>
        <v>-818</v>
      </c>
      <c r="G483" s="9" t="s">
        <v>2884</v>
      </c>
      <c r="H483" s="73" t="s">
        <v>2885</v>
      </c>
      <c r="I483" s="9" t="s">
        <v>3065</v>
      </c>
      <c r="J483" s="9" t="s">
        <v>2723</v>
      </c>
      <c r="K483" s="205" t="s">
        <v>2792</v>
      </c>
      <c r="L483" s="9" t="s">
        <v>2793</v>
      </c>
      <c r="M483" s="32" t="s">
        <v>125</v>
      </c>
      <c r="N483" s="129" t="s">
        <v>2704</v>
      </c>
      <c r="O483" s="122" t="s">
        <v>2704</v>
      </c>
      <c r="P483" s="123" t="str">
        <f t="shared" si="14"/>
        <v>C2-2025</v>
      </c>
      <c r="Q483" s="123" t="str">
        <f t="shared" si="15"/>
        <v>T2-2025</v>
      </c>
      <c r="R483" s="124" t="s">
        <v>2741</v>
      </c>
      <c r="S483" s="123" t="s">
        <v>2723</v>
      </c>
      <c r="T483" s="123" t="s">
        <v>2707</v>
      </c>
      <c r="U483" s="162" t="s">
        <v>2708</v>
      </c>
      <c r="V483" s="162" t="s">
        <v>54</v>
      </c>
      <c r="W483" s="237" t="s">
        <v>125</v>
      </c>
      <c r="X483" s="173" t="s">
        <v>2709</v>
      </c>
    </row>
    <row r="484" spans="1:24" hidden="1">
      <c r="A484" s="161">
        <v>45830</v>
      </c>
      <c r="B484" s="117" t="s">
        <v>3408</v>
      </c>
      <c r="C484" s="122" t="s">
        <v>2697</v>
      </c>
      <c r="D484" s="119">
        <v>-192.44</v>
      </c>
      <c r="E484" s="120">
        <v>1</v>
      </c>
      <c r="F484" s="121">
        <f>Tabla5109[[#This Row],[Original Amount]]*Tabla5109[[#This Row],[ER to EUR]]</f>
        <v>-192.44</v>
      </c>
      <c r="G484" s="9" t="s">
        <v>2766</v>
      </c>
      <c r="H484" s="9" t="s">
        <v>3398</v>
      </c>
      <c r="I484" s="9" t="s">
        <v>2713</v>
      </c>
      <c r="J484" s="9" t="s">
        <v>2701</v>
      </c>
      <c r="K484" s="205" t="s">
        <v>2702</v>
      </c>
      <c r="L484" s="9" t="s">
        <v>2760</v>
      </c>
      <c r="M484" s="32" t="s">
        <v>125</v>
      </c>
      <c r="N484" s="129" t="s">
        <v>2704</v>
      </c>
      <c r="O484" s="122" t="s">
        <v>2704</v>
      </c>
      <c r="P484" s="123" t="str">
        <f t="shared" si="14"/>
        <v>C2-2025</v>
      </c>
      <c r="Q484" s="123" t="str">
        <f t="shared" si="15"/>
        <v>T2-2025</v>
      </c>
      <c r="R484" s="91" t="s">
        <v>2749</v>
      </c>
      <c r="S484" s="123" t="s">
        <v>2750</v>
      </c>
      <c r="T484" s="123" t="s">
        <v>2724</v>
      </c>
      <c r="U484" s="162" t="s">
        <v>2708</v>
      </c>
      <c r="V484" s="162" t="s">
        <v>55</v>
      </c>
      <c r="W484" s="237" t="s">
        <v>125</v>
      </c>
      <c r="X484" s="173" t="s">
        <v>2709</v>
      </c>
    </row>
    <row r="485" spans="1:24" hidden="1">
      <c r="A485" s="161">
        <v>45830</v>
      </c>
      <c r="B485" s="117" t="s">
        <v>3409</v>
      </c>
      <c r="C485" s="122" t="s">
        <v>2697</v>
      </c>
      <c r="D485" s="119">
        <v>-59.97</v>
      </c>
      <c r="E485" s="120">
        <v>1</v>
      </c>
      <c r="F485" s="121">
        <f>Tabla5109[[#This Row],[Original Amount]]*Tabla5109[[#This Row],[ER to EUR]]</f>
        <v>-59.97</v>
      </c>
      <c r="G485" s="9" t="s">
        <v>3137</v>
      </c>
      <c r="H485" s="73" t="s">
        <v>3410</v>
      </c>
      <c r="I485" s="9" t="s">
        <v>2727</v>
      </c>
      <c r="J485" s="9" t="s">
        <v>2701</v>
      </c>
      <c r="K485" s="205" t="s">
        <v>2702</v>
      </c>
      <c r="L485" s="9" t="s">
        <v>2760</v>
      </c>
      <c r="M485" s="32" t="s">
        <v>125</v>
      </c>
      <c r="N485" s="129" t="s">
        <v>2704</v>
      </c>
      <c r="O485" s="122" t="s">
        <v>2704</v>
      </c>
      <c r="P485" s="123" t="str">
        <f t="shared" si="14"/>
        <v>C2-2025</v>
      </c>
      <c r="Q485" s="123" t="str">
        <f t="shared" si="15"/>
        <v>T2-2025</v>
      </c>
      <c r="R485" s="124" t="s">
        <v>2819</v>
      </c>
      <c r="S485" s="123" t="s">
        <v>2723</v>
      </c>
      <c r="T485" s="123" t="s">
        <v>2724</v>
      </c>
      <c r="U485" s="162" t="s">
        <v>2708</v>
      </c>
      <c r="V485" s="162" t="s">
        <v>54</v>
      </c>
      <c r="W485" s="237" t="s">
        <v>125</v>
      </c>
      <c r="X485" s="173" t="s">
        <v>2709</v>
      </c>
    </row>
    <row r="486" spans="1:24" hidden="1">
      <c r="A486" s="161">
        <v>45831</v>
      </c>
      <c r="B486" s="117" t="s">
        <v>3411</v>
      </c>
      <c r="C486" s="122" t="s">
        <v>2697</v>
      </c>
      <c r="D486" s="119">
        <v>-379</v>
      </c>
      <c r="E486" s="120">
        <v>1</v>
      </c>
      <c r="F486" s="121">
        <f>Tabla5109[[#This Row],[Original Amount]]*Tabla5109[[#This Row],[ER to EUR]]</f>
        <v>-379</v>
      </c>
      <c r="G486" s="9" t="s">
        <v>3140</v>
      </c>
      <c r="H486" s="9" t="s">
        <v>3412</v>
      </c>
      <c r="I486" s="9" t="s">
        <v>2727</v>
      </c>
      <c r="J486" s="9" t="s">
        <v>2770</v>
      </c>
      <c r="K486" s="205" t="s">
        <v>2702</v>
      </c>
      <c r="L486" s="9" t="s">
        <v>3142</v>
      </c>
      <c r="M486" s="32" t="s">
        <v>125</v>
      </c>
      <c r="N486" s="129" t="s">
        <v>2704</v>
      </c>
      <c r="O486" s="122" t="s">
        <v>2704</v>
      </c>
      <c r="P486" s="123" t="str">
        <f t="shared" si="14"/>
        <v>C2-2025</v>
      </c>
      <c r="Q486" s="123" t="str">
        <f t="shared" si="15"/>
        <v>T2-2025</v>
      </c>
      <c r="R486" s="91" t="s">
        <v>2749</v>
      </c>
      <c r="S486" s="123" t="s">
        <v>2750</v>
      </c>
      <c r="T486" s="123" t="s">
        <v>2724</v>
      </c>
      <c r="U486" s="162" t="s">
        <v>2708</v>
      </c>
      <c r="V486" s="162" t="s">
        <v>54</v>
      </c>
      <c r="W486" s="237" t="s">
        <v>125</v>
      </c>
      <c r="X486" s="173" t="s">
        <v>2709</v>
      </c>
    </row>
    <row r="487" spans="1:24" hidden="1">
      <c r="A487" s="161">
        <v>45831</v>
      </c>
      <c r="B487" s="130" t="s">
        <v>3413</v>
      </c>
      <c r="C487" s="122" t="s">
        <v>2697</v>
      </c>
      <c r="D487" s="119">
        <v>-58.31</v>
      </c>
      <c r="E487" s="120">
        <v>1</v>
      </c>
      <c r="F487" s="121">
        <f>Tabla5109[[#This Row],[Original Amount]]*Tabla5109[[#This Row],[ER to EUR]]</f>
        <v>-58.31</v>
      </c>
      <c r="G487" s="9" t="s">
        <v>3414</v>
      </c>
      <c r="H487" s="73" t="s">
        <v>3415</v>
      </c>
      <c r="I487" s="9" t="s">
        <v>2727</v>
      </c>
      <c r="J487" s="9" t="s">
        <v>2825</v>
      </c>
      <c r="K487" s="205" t="s">
        <v>2826</v>
      </c>
      <c r="L487" s="9" t="s">
        <v>2827</v>
      </c>
      <c r="M487" s="32" t="s">
        <v>125</v>
      </c>
      <c r="N487" s="129" t="s">
        <v>2704</v>
      </c>
      <c r="O487" s="122" t="s">
        <v>2704</v>
      </c>
      <c r="P487" s="123" t="str">
        <f t="shared" si="14"/>
        <v>C2-2025</v>
      </c>
      <c r="Q487" s="123" t="str">
        <f t="shared" si="15"/>
        <v>T2-2025</v>
      </c>
      <c r="R487" s="124" t="s">
        <v>2705</v>
      </c>
      <c r="S487" s="124" t="s">
        <v>2706</v>
      </c>
      <c r="T487" s="123" t="s">
        <v>2707</v>
      </c>
      <c r="U487" s="162" t="s">
        <v>2708</v>
      </c>
      <c r="V487" s="162" t="s">
        <v>56</v>
      </c>
      <c r="W487" s="237" t="s">
        <v>125</v>
      </c>
      <c r="X487" s="173" t="s">
        <v>2709</v>
      </c>
    </row>
    <row r="488" spans="1:24" hidden="1">
      <c r="A488" s="161">
        <v>45832</v>
      </c>
      <c r="B488" s="117" t="s">
        <v>3416</v>
      </c>
      <c r="C488" s="122" t="s">
        <v>2697</v>
      </c>
      <c r="D488" s="119">
        <v>-818</v>
      </c>
      <c r="E488" s="120">
        <v>1</v>
      </c>
      <c r="F488" s="121">
        <f>Tabla5109[[#This Row],[Original Amount]]*Tabla5109[[#This Row],[ER to EUR]]</f>
        <v>-818</v>
      </c>
      <c r="G488" s="9" t="s">
        <v>2884</v>
      </c>
      <c r="H488" s="73" t="s">
        <v>2885</v>
      </c>
      <c r="I488" s="9" t="s">
        <v>3267</v>
      </c>
      <c r="J488" s="9" t="s">
        <v>2723</v>
      </c>
      <c r="K488" s="205" t="s">
        <v>2792</v>
      </c>
      <c r="L488" s="9" t="s">
        <v>2793</v>
      </c>
      <c r="M488" s="32" t="s">
        <v>125</v>
      </c>
      <c r="N488" s="129" t="s">
        <v>2704</v>
      </c>
      <c r="O488" s="122" t="s">
        <v>2704</v>
      </c>
      <c r="P488" s="123" t="str">
        <f t="shared" si="14"/>
        <v>C2-2025</v>
      </c>
      <c r="Q488" s="123" t="str">
        <f t="shared" si="15"/>
        <v>T2-2025</v>
      </c>
      <c r="R488" s="124" t="s">
        <v>2741</v>
      </c>
      <c r="S488" s="123" t="s">
        <v>2723</v>
      </c>
      <c r="T488" s="123" t="s">
        <v>2707</v>
      </c>
      <c r="U488" s="162" t="s">
        <v>2708</v>
      </c>
      <c r="V488" s="162" t="s">
        <v>54</v>
      </c>
      <c r="W488" s="237" t="s">
        <v>125</v>
      </c>
      <c r="X488" s="173" t="s">
        <v>2709</v>
      </c>
    </row>
    <row r="489" spans="1:24" hidden="1">
      <c r="A489" s="161">
        <v>45832</v>
      </c>
      <c r="B489" s="130" t="s">
        <v>3417</v>
      </c>
      <c r="C489" s="122" t="s">
        <v>2697</v>
      </c>
      <c r="D489" s="119">
        <v>-43.98</v>
      </c>
      <c r="E489" s="120">
        <v>1</v>
      </c>
      <c r="F489" s="121">
        <f>Tabla5109[[#This Row],[Original Amount]]*Tabla5109[[#This Row],[ER to EUR]]</f>
        <v>-43.98</v>
      </c>
      <c r="G489" s="9" t="s">
        <v>2733</v>
      </c>
      <c r="H489" s="73" t="s">
        <v>2734</v>
      </c>
      <c r="I489" s="9" t="s">
        <v>2713</v>
      </c>
      <c r="J489" s="9" t="s">
        <v>2701</v>
      </c>
      <c r="K489" s="205" t="s">
        <v>2809</v>
      </c>
      <c r="L489" s="9" t="s">
        <v>2810</v>
      </c>
      <c r="M489" s="32" t="s">
        <v>125</v>
      </c>
      <c r="N489" s="129" t="s">
        <v>2704</v>
      </c>
      <c r="O489" s="122" t="s">
        <v>2704</v>
      </c>
      <c r="P489" s="123" t="str">
        <f t="shared" si="14"/>
        <v>C2-2025</v>
      </c>
      <c r="Q489" s="123" t="str">
        <f t="shared" si="15"/>
        <v>T2-2025</v>
      </c>
      <c r="R489" s="124" t="s">
        <v>2705</v>
      </c>
      <c r="S489" s="123" t="s">
        <v>2735</v>
      </c>
      <c r="T489" s="123" t="s">
        <v>2707</v>
      </c>
      <c r="U489" s="203" t="s">
        <v>2708</v>
      </c>
      <c r="V489" s="203" t="s">
        <v>56</v>
      </c>
      <c r="W489" s="237" t="s">
        <v>125</v>
      </c>
      <c r="X489" s="173" t="s">
        <v>2709</v>
      </c>
    </row>
    <row r="490" spans="1:24" hidden="1">
      <c r="A490" s="161">
        <v>45832</v>
      </c>
      <c r="B490" s="130" t="s">
        <v>3418</v>
      </c>
      <c r="C490" s="122" t="s">
        <v>2697</v>
      </c>
      <c r="D490" s="119">
        <v>-11900</v>
      </c>
      <c r="E490" s="120">
        <v>1</v>
      </c>
      <c r="F490" s="121">
        <f>Tabla5109[[#This Row],[Original Amount]]*Tabla5109[[#This Row],[ER to EUR]]</f>
        <v>-11900</v>
      </c>
      <c r="G490" s="9" t="s">
        <v>3419</v>
      </c>
      <c r="H490" s="73" t="s">
        <v>3420</v>
      </c>
      <c r="I490" s="9" t="s">
        <v>2727</v>
      </c>
      <c r="J490" s="9" t="s">
        <v>2714</v>
      </c>
      <c r="K490" s="205" t="s">
        <v>2747</v>
      </c>
      <c r="L490" s="9" t="s">
        <v>2864</v>
      </c>
      <c r="M490" s="32" t="s">
        <v>125</v>
      </c>
      <c r="N490" s="129" t="s">
        <v>2704</v>
      </c>
      <c r="O490" s="122" t="s">
        <v>2704</v>
      </c>
      <c r="P490" s="123" t="str">
        <f t="shared" si="14"/>
        <v>C2-2025</v>
      </c>
      <c r="Q490" s="123" t="str">
        <f t="shared" si="15"/>
        <v>T2-2025</v>
      </c>
      <c r="R490" s="124" t="s">
        <v>2705</v>
      </c>
      <c r="S490" s="124" t="s">
        <v>2706</v>
      </c>
      <c r="T490" s="123" t="s">
        <v>2717</v>
      </c>
      <c r="U490" s="162" t="s">
        <v>2708</v>
      </c>
      <c r="V490" s="162" t="s">
        <v>56</v>
      </c>
      <c r="W490" s="237" t="s">
        <v>125</v>
      </c>
      <c r="X490" s="173" t="s">
        <v>2709</v>
      </c>
    </row>
    <row r="491" spans="1:24" hidden="1">
      <c r="A491" s="161">
        <v>45832</v>
      </c>
      <c r="B491" s="117" t="s">
        <v>3421</v>
      </c>
      <c r="C491" s="122" t="s">
        <v>2697</v>
      </c>
      <c r="D491" s="119">
        <v>-56.83</v>
      </c>
      <c r="E491" s="120">
        <v>1</v>
      </c>
      <c r="F491" s="121">
        <f>Tabla5109[[#This Row],[Original Amount]]*Tabla5109[[#This Row],[ER to EUR]]</f>
        <v>-56.83</v>
      </c>
      <c r="G491" s="9" t="s">
        <v>2851</v>
      </c>
      <c r="H491" s="73" t="s">
        <v>2852</v>
      </c>
      <c r="I491" s="9" t="s">
        <v>2713</v>
      </c>
      <c r="J491" s="9" t="s">
        <v>2701</v>
      </c>
      <c r="K491" s="205" t="s">
        <v>2702</v>
      </c>
      <c r="L491" s="9" t="s">
        <v>2788</v>
      </c>
      <c r="M491" s="32" t="s">
        <v>125</v>
      </c>
      <c r="N491" s="129" t="s">
        <v>2704</v>
      </c>
      <c r="O491" s="122" t="s">
        <v>2704</v>
      </c>
      <c r="P491" s="123" t="str">
        <f t="shared" si="14"/>
        <v>C2-2025</v>
      </c>
      <c r="Q491" s="123" t="str">
        <f t="shared" si="15"/>
        <v>T2-2025</v>
      </c>
      <c r="R491" s="124" t="s">
        <v>2794</v>
      </c>
      <c r="S491" s="123" t="s">
        <v>2731</v>
      </c>
      <c r="T491" s="123" t="s">
        <v>2724</v>
      </c>
      <c r="U491" s="162" t="s">
        <v>2708</v>
      </c>
      <c r="V491" s="162" t="s">
        <v>55</v>
      </c>
      <c r="W491" s="237" t="s">
        <v>125</v>
      </c>
      <c r="X491" s="173" t="s">
        <v>2709</v>
      </c>
    </row>
    <row r="492" spans="1:24" hidden="1">
      <c r="A492" s="161">
        <v>45832</v>
      </c>
      <c r="B492" s="135" t="s">
        <v>3422</v>
      </c>
      <c r="C492" s="122" t="s">
        <v>2697</v>
      </c>
      <c r="D492" s="119">
        <v>-2526</v>
      </c>
      <c r="E492" s="120">
        <v>1</v>
      </c>
      <c r="F492" s="121">
        <f>Tabla5109[[#This Row],[Original Amount]]*Tabla5109[[#This Row],[ER to EUR]]</f>
        <v>-2526</v>
      </c>
      <c r="G492" s="9" t="s">
        <v>3092</v>
      </c>
      <c r="H492" s="9" t="s">
        <v>3423</v>
      </c>
      <c r="I492" s="9" t="s">
        <v>3424</v>
      </c>
      <c r="J492" s="9" t="s">
        <v>3095</v>
      </c>
      <c r="K492" s="205" t="s">
        <v>3096</v>
      </c>
      <c r="L492" s="9" t="s">
        <v>3097</v>
      </c>
      <c r="M492" s="32" t="s">
        <v>125</v>
      </c>
      <c r="N492" s="129" t="s">
        <v>2704</v>
      </c>
      <c r="O492" s="122" t="s">
        <v>2704</v>
      </c>
      <c r="P492" s="123" t="str">
        <f t="shared" si="14"/>
        <v>C2-2025</v>
      </c>
      <c r="Q492" s="123" t="str">
        <f t="shared" si="15"/>
        <v>T2-2025</v>
      </c>
      <c r="R492" s="124" t="s">
        <v>2705</v>
      </c>
      <c r="S492" s="124" t="s">
        <v>2706</v>
      </c>
      <c r="T492" s="123" t="s">
        <v>2717</v>
      </c>
      <c r="U492" s="162" t="s">
        <v>3098</v>
      </c>
      <c r="V492" s="162" t="s">
        <v>56</v>
      </c>
      <c r="W492" s="237" t="s">
        <v>125</v>
      </c>
      <c r="X492" s="173" t="s">
        <v>2709</v>
      </c>
    </row>
    <row r="493" spans="1:24" hidden="1">
      <c r="A493" s="161">
        <v>45834</v>
      </c>
      <c r="B493" s="117" t="s">
        <v>3425</v>
      </c>
      <c r="C493" s="122" t="s">
        <v>2697</v>
      </c>
      <c r="D493" s="119">
        <v>-818</v>
      </c>
      <c r="E493" s="120">
        <v>1</v>
      </c>
      <c r="F493" s="121">
        <f>Tabla5109[[#This Row],[Original Amount]]*Tabla5109[[#This Row],[ER to EUR]]</f>
        <v>-818</v>
      </c>
      <c r="G493" s="9" t="s">
        <v>2884</v>
      </c>
      <c r="H493" s="73" t="s">
        <v>2885</v>
      </c>
      <c r="I493" s="9" t="s">
        <v>3065</v>
      </c>
      <c r="J493" s="9" t="s">
        <v>2723</v>
      </c>
      <c r="K493" s="205" t="s">
        <v>2792</v>
      </c>
      <c r="L493" s="9" t="s">
        <v>2793</v>
      </c>
      <c r="M493" s="32" t="s">
        <v>125</v>
      </c>
      <c r="N493" s="129" t="s">
        <v>2704</v>
      </c>
      <c r="O493" s="122" t="s">
        <v>2704</v>
      </c>
      <c r="P493" s="123" t="str">
        <f t="shared" si="14"/>
        <v>C2-2025</v>
      </c>
      <c r="Q493" s="123" t="str">
        <f t="shared" si="15"/>
        <v>T2-2025</v>
      </c>
      <c r="R493" s="124" t="s">
        <v>2741</v>
      </c>
      <c r="S493" s="123" t="s">
        <v>2723</v>
      </c>
      <c r="T493" s="123" t="s">
        <v>2707</v>
      </c>
      <c r="U493" s="162" t="s">
        <v>2708</v>
      </c>
      <c r="V493" s="162" t="s">
        <v>54</v>
      </c>
      <c r="W493" s="237" t="s">
        <v>125</v>
      </c>
      <c r="X493" s="173" t="s">
        <v>2709</v>
      </c>
    </row>
    <row r="494" spans="1:24" hidden="1">
      <c r="A494" s="161">
        <v>45834</v>
      </c>
      <c r="B494" s="117" t="s">
        <v>3426</v>
      </c>
      <c r="C494" s="122" t="s">
        <v>2697</v>
      </c>
      <c r="D494" s="119">
        <v>-85.43</v>
      </c>
      <c r="E494" s="120">
        <v>1</v>
      </c>
      <c r="F494" s="121">
        <f>Tabla5109[[#This Row],[Original Amount]]*Tabla5109[[#This Row],[ER to EUR]]</f>
        <v>-85.43</v>
      </c>
      <c r="G494" s="9" t="s">
        <v>3248</v>
      </c>
      <c r="H494" s="9" t="s">
        <v>3427</v>
      </c>
      <c r="I494" s="9" t="s">
        <v>2713</v>
      </c>
      <c r="J494" s="9" t="s">
        <v>2714</v>
      </c>
      <c r="K494" s="205" t="s">
        <v>2702</v>
      </c>
      <c r="L494" s="9" t="s">
        <v>2799</v>
      </c>
      <c r="M494" s="32" t="s">
        <v>125</v>
      </c>
      <c r="N494" s="129" t="s">
        <v>2704</v>
      </c>
      <c r="O494" s="122" t="s">
        <v>2704</v>
      </c>
      <c r="P494" s="123" t="str">
        <f t="shared" si="14"/>
        <v>C2-2025</v>
      </c>
      <c r="Q494" s="123" t="str">
        <f t="shared" si="15"/>
        <v>T2-2025</v>
      </c>
      <c r="R494" s="124" t="s">
        <v>2730</v>
      </c>
      <c r="S494" s="123" t="s">
        <v>2731</v>
      </c>
      <c r="T494" s="123" t="s">
        <v>2724</v>
      </c>
      <c r="U494" s="162" t="s">
        <v>51</v>
      </c>
      <c r="V494" s="162" t="s">
        <v>57</v>
      </c>
      <c r="W494" s="237" t="s">
        <v>125</v>
      </c>
      <c r="X494" s="173" t="s">
        <v>2709</v>
      </c>
    </row>
    <row r="495" spans="1:24" hidden="1">
      <c r="A495" s="161">
        <v>45836</v>
      </c>
      <c r="B495" s="117" t="s">
        <v>3428</v>
      </c>
      <c r="C495" s="122" t="s">
        <v>2697</v>
      </c>
      <c r="D495" s="119">
        <v>-818</v>
      </c>
      <c r="E495" s="120">
        <v>1</v>
      </c>
      <c r="F495" s="121">
        <f>Tabla5109[[#This Row],[Original Amount]]*Tabla5109[[#This Row],[ER to EUR]]</f>
        <v>-818</v>
      </c>
      <c r="G495" s="9" t="s">
        <v>2884</v>
      </c>
      <c r="H495" s="73" t="s">
        <v>2885</v>
      </c>
      <c r="I495" s="91" t="s">
        <v>3065</v>
      </c>
      <c r="J495" s="9" t="s">
        <v>2723</v>
      </c>
      <c r="K495" s="205" t="s">
        <v>2792</v>
      </c>
      <c r="L495" s="9" t="s">
        <v>2793</v>
      </c>
      <c r="M495" s="32" t="s">
        <v>125</v>
      </c>
      <c r="N495" s="129" t="s">
        <v>2704</v>
      </c>
      <c r="O495" s="122" t="s">
        <v>2704</v>
      </c>
      <c r="P495" s="123" t="str">
        <f t="shared" si="14"/>
        <v>C2-2025</v>
      </c>
      <c r="Q495" s="123" t="str">
        <f t="shared" si="15"/>
        <v>T2-2025</v>
      </c>
      <c r="R495" s="124" t="s">
        <v>2741</v>
      </c>
      <c r="S495" s="123" t="s">
        <v>2723</v>
      </c>
      <c r="T495" s="123" t="s">
        <v>2707</v>
      </c>
      <c r="U495" s="162" t="s">
        <v>2708</v>
      </c>
      <c r="V495" s="162" t="s">
        <v>54</v>
      </c>
      <c r="W495" s="237" t="s">
        <v>125</v>
      </c>
      <c r="X495" s="173" t="s">
        <v>2709</v>
      </c>
    </row>
    <row r="496" spans="1:24" hidden="1">
      <c r="A496" s="161">
        <v>45837</v>
      </c>
      <c r="B496" s="117" t="s">
        <v>3429</v>
      </c>
      <c r="C496" s="122" t="s">
        <v>2697</v>
      </c>
      <c r="D496" s="119">
        <v>-1852.83</v>
      </c>
      <c r="E496" s="120">
        <v>1</v>
      </c>
      <c r="F496" s="121">
        <f>Tabla5109[[#This Row],[Original Amount]]*Tabla5109[[#This Row],[ER to EUR]]</f>
        <v>-1852.83</v>
      </c>
      <c r="G496" s="9" t="s">
        <v>2698</v>
      </c>
      <c r="H496" s="73" t="s">
        <v>3430</v>
      </c>
      <c r="I496" s="9" t="s">
        <v>2784</v>
      </c>
      <c r="J496" s="9" t="s">
        <v>2701</v>
      </c>
      <c r="K496" s="205" t="s">
        <v>2702</v>
      </c>
      <c r="L496" s="9" t="s">
        <v>2703</v>
      </c>
      <c r="M496" s="32" t="s">
        <v>125</v>
      </c>
      <c r="N496" s="129" t="s">
        <v>2704</v>
      </c>
      <c r="O496" s="122" t="s">
        <v>2704</v>
      </c>
      <c r="P496" s="123" t="str">
        <f t="shared" si="14"/>
        <v>C2-2025</v>
      </c>
      <c r="Q496" s="123" t="str">
        <f t="shared" si="15"/>
        <v>T2-2025</v>
      </c>
      <c r="R496" s="124" t="s">
        <v>2705</v>
      </c>
      <c r="S496" s="124" t="s">
        <v>2706</v>
      </c>
      <c r="T496" s="123" t="s">
        <v>2707</v>
      </c>
      <c r="U496" s="162" t="s">
        <v>2708</v>
      </c>
      <c r="V496" s="162" t="s">
        <v>54</v>
      </c>
      <c r="W496" s="237" t="s">
        <v>125</v>
      </c>
      <c r="X496" s="173" t="s">
        <v>2709</v>
      </c>
    </row>
    <row r="497" spans="1:24" hidden="1">
      <c r="A497" s="161">
        <v>45837</v>
      </c>
      <c r="B497" s="117" t="s">
        <v>3431</v>
      </c>
      <c r="C497" s="122" t="s">
        <v>2697</v>
      </c>
      <c r="D497" s="146">
        <v>-62.49</v>
      </c>
      <c r="E497" s="120">
        <v>1</v>
      </c>
      <c r="F497" s="121">
        <f>Tabla5109[[#This Row],[Original Amount]]*Tabla5109[[#This Row],[ER to EUR]]</f>
        <v>-62.49</v>
      </c>
      <c r="G497" s="9" t="s">
        <v>2956</v>
      </c>
      <c r="H497" s="73" t="s">
        <v>3214</v>
      </c>
      <c r="I497" s="9" t="s">
        <v>2739</v>
      </c>
      <c r="J497" s="9" t="s">
        <v>2701</v>
      </c>
      <c r="K497" s="205" t="s">
        <v>2702</v>
      </c>
      <c r="L497" s="9" t="s">
        <v>2740</v>
      </c>
      <c r="M497" s="32" t="s">
        <v>125</v>
      </c>
      <c r="N497" s="129" t="s">
        <v>2704</v>
      </c>
      <c r="O497" s="122" t="s">
        <v>2704</v>
      </c>
      <c r="P497" s="123" t="str">
        <f t="shared" si="14"/>
        <v>C2-2025</v>
      </c>
      <c r="Q497" s="123" t="str">
        <f t="shared" si="15"/>
        <v>T2-2025</v>
      </c>
      <c r="R497" s="124" t="s">
        <v>2705</v>
      </c>
      <c r="S497" s="124" t="s">
        <v>2706</v>
      </c>
      <c r="T497" s="123" t="s">
        <v>2724</v>
      </c>
      <c r="U497" s="162" t="s">
        <v>2708</v>
      </c>
      <c r="V497" s="162" t="s">
        <v>54</v>
      </c>
      <c r="W497" s="237" t="s">
        <v>125</v>
      </c>
      <c r="X497" s="173" t="s">
        <v>2709</v>
      </c>
    </row>
    <row r="498" spans="1:24" hidden="1">
      <c r="A498" s="161">
        <v>45837</v>
      </c>
      <c r="B498" s="133" t="s">
        <v>3432</v>
      </c>
      <c r="C498" s="32" t="s">
        <v>2548</v>
      </c>
      <c r="D498" s="136">
        <v>-23.73</v>
      </c>
      <c r="E498" s="120">
        <v>0.86709999999999998</v>
      </c>
      <c r="F498" s="121">
        <f>Tabla5109[[#This Row],[Original Amount]]*Tabla5109[[#This Row],[ER to EUR]]</f>
        <v>-20.576283</v>
      </c>
      <c r="G498" s="9" t="s">
        <v>2884</v>
      </c>
      <c r="H498" s="9" t="s">
        <v>3199</v>
      </c>
      <c r="I498" s="9" t="s">
        <v>3200</v>
      </c>
      <c r="J498" s="9" t="s">
        <v>2723</v>
      </c>
      <c r="K498" s="205" t="s">
        <v>2792</v>
      </c>
      <c r="L498" s="9" t="s">
        <v>2793</v>
      </c>
      <c r="M498" s="32" t="s">
        <v>125</v>
      </c>
      <c r="N498" s="129" t="s">
        <v>2704</v>
      </c>
      <c r="O498" s="122" t="s">
        <v>2704</v>
      </c>
      <c r="P498" s="123" t="str">
        <f t="shared" si="14"/>
        <v>C2-2025</v>
      </c>
      <c r="Q498" s="123" t="str">
        <f t="shared" si="15"/>
        <v>T2-2025</v>
      </c>
      <c r="R498" s="124" t="s">
        <v>2741</v>
      </c>
      <c r="S498" s="123" t="s">
        <v>2723</v>
      </c>
      <c r="T498" s="123" t="s">
        <v>2707</v>
      </c>
      <c r="U498" s="162" t="s">
        <v>2708</v>
      </c>
      <c r="V498" s="162" t="s">
        <v>54</v>
      </c>
      <c r="W498" s="237" t="s">
        <v>125</v>
      </c>
      <c r="X498" s="173" t="s">
        <v>2709</v>
      </c>
    </row>
    <row r="499" spans="1:24" hidden="1">
      <c r="A499" s="161">
        <v>45838</v>
      </c>
      <c r="B499" s="132">
        <v>15455</v>
      </c>
      <c r="C499" s="122" t="s">
        <v>2697</v>
      </c>
      <c r="D499" s="119">
        <v>-1800</v>
      </c>
      <c r="E499" s="120">
        <v>1</v>
      </c>
      <c r="F499" s="121">
        <f>Tabla5109[[#This Row],[Original Amount]]*Tabla5109[[#This Row],[ER to EUR]]</f>
        <v>-1800</v>
      </c>
      <c r="G499" s="9" t="s">
        <v>2725</v>
      </c>
      <c r="H499" s="73" t="s">
        <v>3433</v>
      </c>
      <c r="I499" s="9" t="s">
        <v>2727</v>
      </c>
      <c r="J499" s="9" t="s">
        <v>2701</v>
      </c>
      <c r="K499" s="205" t="s">
        <v>2728</v>
      </c>
      <c r="L499" s="9" t="s">
        <v>2729</v>
      </c>
      <c r="M499" s="32" t="s">
        <v>125</v>
      </c>
      <c r="N499" s="129" t="s">
        <v>2704</v>
      </c>
      <c r="O499" s="122" t="s">
        <v>2704</v>
      </c>
      <c r="P499" s="123" t="str">
        <f t="shared" si="14"/>
        <v>C2-2025</v>
      </c>
      <c r="Q499" s="123" t="str">
        <f t="shared" si="15"/>
        <v>T2-2025</v>
      </c>
      <c r="R499" s="124" t="s">
        <v>2730</v>
      </c>
      <c r="S499" s="123" t="s">
        <v>2731</v>
      </c>
      <c r="T499" s="123" t="s">
        <v>2707</v>
      </c>
      <c r="U499" s="162" t="s">
        <v>51</v>
      </c>
      <c r="V499" s="162" t="s">
        <v>57</v>
      </c>
      <c r="W499" s="237" t="s">
        <v>125</v>
      </c>
      <c r="X499" s="173" t="s">
        <v>2709</v>
      </c>
    </row>
    <row r="500" spans="1:24" hidden="1">
      <c r="A500" s="161">
        <v>45838</v>
      </c>
      <c r="B500" s="117" t="s">
        <v>3434</v>
      </c>
      <c r="C500" s="122" t="s">
        <v>2697</v>
      </c>
      <c r="D500" s="119">
        <v>-1800</v>
      </c>
      <c r="E500" s="120">
        <v>1</v>
      </c>
      <c r="F500" s="121">
        <f>Tabla5109[[#This Row],[Original Amount]]*Tabla5109[[#This Row],[ER to EUR]]</f>
        <v>-1800</v>
      </c>
      <c r="G500" s="9" t="s">
        <v>2725</v>
      </c>
      <c r="H500" s="9" t="s">
        <v>3236</v>
      </c>
      <c r="I500" s="9" t="s">
        <v>2727</v>
      </c>
      <c r="J500" s="9" t="s">
        <v>2701</v>
      </c>
      <c r="K500" s="4" t="s">
        <v>2728</v>
      </c>
      <c r="L500" s="9" t="s">
        <v>2729</v>
      </c>
      <c r="M500" s="32" t="s">
        <v>125</v>
      </c>
      <c r="N500" s="129" t="s">
        <v>2704</v>
      </c>
      <c r="O500" s="122" t="s">
        <v>2704</v>
      </c>
      <c r="P500" s="123" t="str">
        <f t="shared" si="14"/>
        <v>C2-2025</v>
      </c>
      <c r="Q500" s="123" t="str">
        <f t="shared" si="15"/>
        <v>T2-2025</v>
      </c>
      <c r="R500" s="124" t="s">
        <v>2730</v>
      </c>
      <c r="S500" s="123" t="s">
        <v>2731</v>
      </c>
      <c r="T500" s="123" t="s">
        <v>2707</v>
      </c>
      <c r="U500" s="162" t="s">
        <v>51</v>
      </c>
      <c r="V500" s="162" t="s">
        <v>57</v>
      </c>
      <c r="W500" s="237" t="s">
        <v>125</v>
      </c>
      <c r="X500" s="173" t="s">
        <v>2709</v>
      </c>
    </row>
    <row r="501" spans="1:24" hidden="1">
      <c r="A501" s="161">
        <v>45838</v>
      </c>
      <c r="B501" s="117" t="s">
        <v>3435</v>
      </c>
      <c r="C501" s="122" t="s">
        <v>2697</v>
      </c>
      <c r="D501" s="146">
        <v>-818</v>
      </c>
      <c r="E501" s="120">
        <v>1</v>
      </c>
      <c r="F501" s="121">
        <f>Tabla5109[[#This Row],[Original Amount]]*Tabla5109[[#This Row],[ER to EUR]]</f>
        <v>-818</v>
      </c>
      <c r="G501" s="9" t="s">
        <v>2884</v>
      </c>
      <c r="H501" s="73" t="s">
        <v>2885</v>
      </c>
      <c r="I501" s="9" t="s">
        <v>2700</v>
      </c>
      <c r="J501" s="9" t="s">
        <v>2723</v>
      </c>
      <c r="K501" s="205" t="s">
        <v>2792</v>
      </c>
      <c r="L501" s="9" t="s">
        <v>2793</v>
      </c>
      <c r="M501" s="32" t="s">
        <v>125</v>
      </c>
      <c r="N501" s="129" t="s">
        <v>2704</v>
      </c>
      <c r="O501" s="122" t="s">
        <v>2704</v>
      </c>
      <c r="P501" s="123" t="str">
        <f t="shared" si="14"/>
        <v>C2-2025</v>
      </c>
      <c r="Q501" s="123" t="str">
        <f t="shared" si="15"/>
        <v>T2-2025</v>
      </c>
      <c r="R501" s="124" t="s">
        <v>2741</v>
      </c>
      <c r="S501" s="123" t="s">
        <v>2723</v>
      </c>
      <c r="T501" s="123" t="s">
        <v>2707</v>
      </c>
      <c r="U501" s="162" t="s">
        <v>2708</v>
      </c>
      <c r="V501" s="162" t="s">
        <v>54</v>
      </c>
      <c r="W501" s="237" t="s">
        <v>125</v>
      </c>
      <c r="X501" s="173" t="s">
        <v>2709</v>
      </c>
    </row>
    <row r="502" spans="1:24" hidden="1">
      <c r="A502" s="161">
        <v>45838</v>
      </c>
      <c r="B502" s="194" t="s">
        <v>2871</v>
      </c>
      <c r="C502" s="32" t="s">
        <v>2697</v>
      </c>
      <c r="D502" s="210">
        <v>-3965.28</v>
      </c>
      <c r="E502" s="120">
        <v>1</v>
      </c>
      <c r="F502" s="121">
        <f>Tabla5109[[#This Row],[Original Amount]]*Tabla5109[[#This Row],[ER to EUR]]</f>
        <v>-3965.28</v>
      </c>
      <c r="G502" s="9" t="s">
        <v>3436</v>
      </c>
      <c r="H502" s="91" t="s">
        <v>3437</v>
      </c>
      <c r="I502" s="9" t="s">
        <v>2713</v>
      </c>
      <c r="J502" s="9" t="s">
        <v>2770</v>
      </c>
      <c r="K502" s="205" t="s">
        <v>2874</v>
      </c>
      <c r="L502" s="9" t="s">
        <v>2875</v>
      </c>
      <c r="M502" s="32" t="s">
        <v>125</v>
      </c>
      <c r="N502" s="122" t="s">
        <v>2748</v>
      </c>
      <c r="O502" s="129" t="s">
        <v>2748</v>
      </c>
      <c r="P502" s="123" t="str">
        <f t="shared" si="14"/>
        <v>C2-2025</v>
      </c>
      <c r="Q502" s="123" t="str">
        <f t="shared" si="15"/>
        <v>T2-2025</v>
      </c>
      <c r="R502" s="91" t="s">
        <v>2705</v>
      </c>
      <c r="S502" s="124" t="s">
        <v>2706</v>
      </c>
      <c r="T502" s="123" t="s">
        <v>2724</v>
      </c>
      <c r="U502" s="162" t="s">
        <v>2708</v>
      </c>
      <c r="V502" s="162" t="s">
        <v>57</v>
      </c>
      <c r="W502" s="237" t="s">
        <v>125</v>
      </c>
      <c r="X502" s="201" t="s">
        <v>2709</v>
      </c>
    </row>
    <row r="503" spans="1:24" hidden="1">
      <c r="A503" s="161">
        <v>45838</v>
      </c>
      <c r="B503" s="194" t="s">
        <v>2871</v>
      </c>
      <c r="C503" s="32" t="s">
        <v>2543</v>
      </c>
      <c r="D503" s="152">
        <v>-1238380</v>
      </c>
      <c r="E503" s="247">
        <v>9.3000000000000005E-4</v>
      </c>
      <c r="F503" s="121">
        <f>Tabla5109[[#This Row],[Original Amount]]*Tabla5109[[#This Row],[ER to EUR]]</f>
        <v>-1151.6934000000001</v>
      </c>
      <c r="G503" s="91" t="s">
        <v>2872</v>
      </c>
      <c r="H503" s="91" t="s">
        <v>3438</v>
      </c>
      <c r="I503" s="9" t="s">
        <v>2713</v>
      </c>
      <c r="J503" s="9" t="s">
        <v>2770</v>
      </c>
      <c r="K503" s="205" t="s">
        <v>2874</v>
      </c>
      <c r="L503" s="9" t="s">
        <v>2875</v>
      </c>
      <c r="M503" s="227" t="s">
        <v>2704</v>
      </c>
      <c r="N503" s="122" t="s">
        <v>2748</v>
      </c>
      <c r="O503" s="129" t="s">
        <v>2748</v>
      </c>
      <c r="P503" s="123" t="str">
        <f t="shared" si="14"/>
        <v>C2-2025</v>
      </c>
      <c r="Q503" s="123" t="str">
        <f t="shared" si="15"/>
        <v>T2-2025</v>
      </c>
      <c r="R503" s="91" t="s">
        <v>2749</v>
      </c>
      <c r="S503" s="123" t="s">
        <v>2750</v>
      </c>
      <c r="T503" s="123" t="s">
        <v>2724</v>
      </c>
      <c r="U503" s="162" t="s">
        <v>2708</v>
      </c>
      <c r="V503" s="162" t="s">
        <v>54</v>
      </c>
      <c r="W503" s="237" t="s">
        <v>125</v>
      </c>
      <c r="X503" s="173" t="s">
        <v>2751</v>
      </c>
    </row>
    <row r="504" spans="1:24" hidden="1">
      <c r="A504" s="161">
        <v>45838</v>
      </c>
      <c r="B504" s="194" t="s">
        <v>2871</v>
      </c>
      <c r="C504" s="32" t="s">
        <v>2543</v>
      </c>
      <c r="D504" s="152">
        <v>-6831492</v>
      </c>
      <c r="E504" s="247">
        <v>9.3000000000000005E-4</v>
      </c>
      <c r="F504" s="121">
        <f>Tabla5109[[#This Row],[Original Amount]]*Tabla5109[[#This Row],[ER to EUR]]</f>
        <v>-6353.2875600000007</v>
      </c>
      <c r="G504" s="9" t="s">
        <v>2876</v>
      </c>
      <c r="H504" s="91" t="s">
        <v>3438</v>
      </c>
      <c r="I504" s="9" t="s">
        <v>2713</v>
      </c>
      <c r="J504" s="9" t="s">
        <v>2770</v>
      </c>
      <c r="K504" s="205" t="s">
        <v>2874</v>
      </c>
      <c r="L504" s="9" t="s">
        <v>2875</v>
      </c>
      <c r="M504" s="227" t="s">
        <v>2704</v>
      </c>
      <c r="N504" s="122" t="s">
        <v>2748</v>
      </c>
      <c r="O504" s="129" t="s">
        <v>2748</v>
      </c>
      <c r="P504" s="123" t="str">
        <f t="shared" si="14"/>
        <v>C2-2025</v>
      </c>
      <c r="Q504" s="123" t="str">
        <f t="shared" si="15"/>
        <v>T2-2025</v>
      </c>
      <c r="R504" s="91" t="s">
        <v>2749</v>
      </c>
      <c r="S504" s="123" t="s">
        <v>2750</v>
      </c>
      <c r="T504" s="123" t="s">
        <v>2724</v>
      </c>
      <c r="U504" s="162" t="s">
        <v>2708</v>
      </c>
      <c r="V504" s="162" t="s">
        <v>56</v>
      </c>
      <c r="W504" s="237" t="s">
        <v>125</v>
      </c>
      <c r="X504" s="173" t="s">
        <v>2751</v>
      </c>
    </row>
    <row r="505" spans="1:24" hidden="1">
      <c r="A505" s="161">
        <v>45838</v>
      </c>
      <c r="B505" s="194" t="s">
        <v>2871</v>
      </c>
      <c r="C505" s="32" t="s">
        <v>2543</v>
      </c>
      <c r="D505" s="152">
        <v>-3170559</v>
      </c>
      <c r="E505" s="247">
        <v>9.3000000000000005E-4</v>
      </c>
      <c r="F505" s="121">
        <f>Tabla5109[[#This Row],[Original Amount]]*Tabla5109[[#This Row],[ER to EUR]]</f>
        <v>-2948.61987</v>
      </c>
      <c r="G505" s="9" t="s">
        <v>3257</v>
      </c>
      <c r="H505" s="91" t="s">
        <v>3438</v>
      </c>
      <c r="I505" s="9" t="s">
        <v>2713</v>
      </c>
      <c r="J505" s="9" t="s">
        <v>2770</v>
      </c>
      <c r="K505" s="205" t="s">
        <v>2874</v>
      </c>
      <c r="L505" s="9" t="s">
        <v>2875</v>
      </c>
      <c r="M505" s="227" t="s">
        <v>2704</v>
      </c>
      <c r="N505" s="122" t="s">
        <v>2748</v>
      </c>
      <c r="O505" s="129" t="s">
        <v>2748</v>
      </c>
      <c r="P505" s="123" t="str">
        <f t="shared" si="14"/>
        <v>C2-2025</v>
      </c>
      <c r="Q505" s="123" t="str">
        <f t="shared" si="15"/>
        <v>T2-2025</v>
      </c>
      <c r="R505" s="91" t="s">
        <v>2749</v>
      </c>
      <c r="S505" s="123" t="s">
        <v>2750</v>
      </c>
      <c r="T505" s="123" t="s">
        <v>2717</v>
      </c>
      <c r="U505" s="162" t="s">
        <v>2708</v>
      </c>
      <c r="V505" s="162" t="s">
        <v>54</v>
      </c>
      <c r="W505" s="237" t="s">
        <v>125</v>
      </c>
      <c r="X505" s="173" t="s">
        <v>2751</v>
      </c>
    </row>
    <row r="506" spans="1:24" hidden="1">
      <c r="A506" s="161">
        <v>45838</v>
      </c>
      <c r="B506" s="194" t="s">
        <v>2871</v>
      </c>
      <c r="C506" s="32" t="s">
        <v>2543</v>
      </c>
      <c r="D506" s="152">
        <v>-4445699</v>
      </c>
      <c r="E506" s="247">
        <v>9.3000000000000005E-4</v>
      </c>
      <c r="F506" s="121">
        <f>Tabla5109[[#This Row],[Original Amount]]*Tabla5109[[#This Row],[ER to EUR]]</f>
        <v>-4134.5000700000001</v>
      </c>
      <c r="G506" s="9" t="s">
        <v>2877</v>
      </c>
      <c r="H506" s="91" t="s">
        <v>3438</v>
      </c>
      <c r="I506" s="9" t="s">
        <v>2713</v>
      </c>
      <c r="J506" s="9" t="s">
        <v>2770</v>
      </c>
      <c r="K506" s="205" t="s">
        <v>2874</v>
      </c>
      <c r="L506" s="9" t="s">
        <v>2875</v>
      </c>
      <c r="M506" s="227" t="s">
        <v>2704</v>
      </c>
      <c r="N506" s="122" t="s">
        <v>2748</v>
      </c>
      <c r="O506" s="129" t="s">
        <v>2748</v>
      </c>
      <c r="P506" s="123" t="str">
        <f t="shared" si="14"/>
        <v>C2-2025</v>
      </c>
      <c r="Q506" s="123" t="str">
        <f t="shared" si="15"/>
        <v>T2-2025</v>
      </c>
      <c r="R506" s="91" t="s">
        <v>2749</v>
      </c>
      <c r="S506" s="123" t="s">
        <v>2750</v>
      </c>
      <c r="T506" s="123" t="s">
        <v>2724</v>
      </c>
      <c r="U506" s="162" t="s">
        <v>2708</v>
      </c>
      <c r="V506" s="162" t="s">
        <v>54</v>
      </c>
      <c r="W506" s="237" t="s">
        <v>125</v>
      </c>
      <c r="X506" s="173" t="s">
        <v>2751</v>
      </c>
    </row>
    <row r="507" spans="1:24" hidden="1">
      <c r="A507" s="161">
        <v>45839</v>
      </c>
      <c r="B507" s="125">
        <v>73159768554834</v>
      </c>
      <c r="C507" s="122" t="s">
        <v>2697</v>
      </c>
      <c r="D507" s="126">
        <v>-959.15</v>
      </c>
      <c r="E507" s="120">
        <v>1</v>
      </c>
      <c r="F507" s="127">
        <f>Tabla5109[[#This Row],[Original Amount]]*Tabla5109[[#This Row],[ER to EUR]]</f>
        <v>-959.15</v>
      </c>
      <c r="G507" s="9" t="s">
        <v>3439</v>
      </c>
      <c r="H507" s="73" t="s">
        <v>3440</v>
      </c>
      <c r="I507" s="9" t="s">
        <v>3441</v>
      </c>
      <c r="J507" s="9" t="s">
        <v>2825</v>
      </c>
      <c r="K507" s="205" t="s">
        <v>2826</v>
      </c>
      <c r="L507" s="9" t="s">
        <v>2827</v>
      </c>
      <c r="M507" s="32" t="s">
        <v>125</v>
      </c>
      <c r="N507" s="129" t="s">
        <v>2704</v>
      </c>
      <c r="O507" s="122" t="s">
        <v>2704</v>
      </c>
      <c r="P507" s="123" t="str">
        <f t="shared" si="14"/>
        <v>C2-2025</v>
      </c>
      <c r="Q507" s="123" t="str">
        <f t="shared" si="15"/>
        <v>T3-2025</v>
      </c>
      <c r="R507" s="124" t="s">
        <v>2705</v>
      </c>
      <c r="S507" s="124" t="s">
        <v>2706</v>
      </c>
      <c r="T507" s="123" t="s">
        <v>2717</v>
      </c>
      <c r="U507" s="162" t="s">
        <v>2708</v>
      </c>
      <c r="V507" s="162" t="s">
        <v>56</v>
      </c>
      <c r="W507" s="237" t="s">
        <v>125</v>
      </c>
      <c r="X507" s="173" t="s">
        <v>2709</v>
      </c>
    </row>
    <row r="508" spans="1:24" hidden="1">
      <c r="A508" s="161">
        <v>45839</v>
      </c>
      <c r="B508" s="117" t="s">
        <v>3442</v>
      </c>
      <c r="C508" s="122" t="s">
        <v>2697</v>
      </c>
      <c r="D508" s="126">
        <v>-2.2400000000000002</v>
      </c>
      <c r="E508" s="120">
        <v>1</v>
      </c>
      <c r="F508" s="127">
        <f>Tabla5109[[#This Row],[Original Amount]]*Tabla5109[[#This Row],[ER to EUR]]</f>
        <v>-2.2400000000000002</v>
      </c>
      <c r="G508" s="9" t="s">
        <v>2737</v>
      </c>
      <c r="H508" s="9" t="s">
        <v>3396</v>
      </c>
      <c r="I508" s="9" t="s">
        <v>2739</v>
      </c>
      <c r="J508" s="9" t="s">
        <v>2701</v>
      </c>
      <c r="K508" s="205" t="s">
        <v>2702</v>
      </c>
      <c r="L508" s="9" t="s">
        <v>2740</v>
      </c>
      <c r="M508" s="32" t="s">
        <v>125</v>
      </c>
      <c r="N508" s="129" t="s">
        <v>2704</v>
      </c>
      <c r="O508" s="122" t="s">
        <v>2704</v>
      </c>
      <c r="P508" s="123" t="str">
        <f t="shared" si="14"/>
        <v>C2-2025</v>
      </c>
      <c r="Q508" s="123" t="str">
        <f t="shared" si="15"/>
        <v>T3-2025</v>
      </c>
      <c r="R508" s="124" t="s">
        <v>2741</v>
      </c>
      <c r="S508" s="123" t="s">
        <v>2723</v>
      </c>
      <c r="T508" s="123" t="s">
        <v>2724</v>
      </c>
      <c r="U508" s="162" t="s">
        <v>2708</v>
      </c>
      <c r="V508" s="162" t="s">
        <v>54</v>
      </c>
      <c r="W508" s="237" t="s">
        <v>125</v>
      </c>
      <c r="X508" s="173" t="s">
        <v>2709</v>
      </c>
    </row>
    <row r="509" spans="1:24" hidden="1">
      <c r="A509" s="161">
        <v>45839</v>
      </c>
      <c r="B509" s="117" t="s">
        <v>3443</v>
      </c>
      <c r="C509" s="122" t="s">
        <v>2697</v>
      </c>
      <c r="D509" s="126">
        <v>-1800</v>
      </c>
      <c r="E509" s="120">
        <v>1</v>
      </c>
      <c r="F509" s="127">
        <f>Tabla5109[[#This Row],[Original Amount]]*Tabla5109[[#This Row],[ER to EUR]]</f>
        <v>-1800</v>
      </c>
      <c r="G509" s="9" t="s">
        <v>2725</v>
      </c>
      <c r="H509" s="9" t="s">
        <v>3236</v>
      </c>
      <c r="I509" s="9" t="s">
        <v>2727</v>
      </c>
      <c r="J509" s="9" t="s">
        <v>2701</v>
      </c>
      <c r="K509" s="205" t="s">
        <v>2728</v>
      </c>
      <c r="L509" s="9" t="s">
        <v>2729</v>
      </c>
      <c r="M509" s="32" t="s">
        <v>125</v>
      </c>
      <c r="N509" s="129" t="s">
        <v>2704</v>
      </c>
      <c r="O509" s="122" t="s">
        <v>2704</v>
      </c>
      <c r="P509" s="123" t="str">
        <f t="shared" si="14"/>
        <v>C2-2025</v>
      </c>
      <c r="Q509" s="123" t="str">
        <f t="shared" si="15"/>
        <v>T3-2025</v>
      </c>
      <c r="R509" s="124" t="s">
        <v>2730</v>
      </c>
      <c r="S509" s="123" t="s">
        <v>2731</v>
      </c>
      <c r="T509" s="123" t="s">
        <v>2707</v>
      </c>
      <c r="U509" s="162" t="s">
        <v>51</v>
      </c>
      <c r="V509" s="162" t="s">
        <v>57</v>
      </c>
      <c r="W509" s="237" t="s">
        <v>125</v>
      </c>
      <c r="X509" s="173" t="s">
        <v>2709</v>
      </c>
    </row>
    <row r="510" spans="1:24" hidden="1">
      <c r="A510" s="161">
        <v>45839</v>
      </c>
      <c r="B510" s="117" t="s">
        <v>3444</v>
      </c>
      <c r="C510" s="122" t="s">
        <v>2697</v>
      </c>
      <c r="D510" s="126">
        <v>-2400</v>
      </c>
      <c r="E510" s="120">
        <v>1</v>
      </c>
      <c r="F510" s="127">
        <f>Tabla5109[[#This Row],[Original Amount]]*Tabla5109[[#This Row],[ER to EUR]]</f>
        <v>-2400</v>
      </c>
      <c r="G510" s="9" t="s">
        <v>2725</v>
      </c>
      <c r="H510" s="9" t="s">
        <v>3445</v>
      </c>
      <c r="I510" s="9" t="s">
        <v>2727</v>
      </c>
      <c r="J510" s="9" t="s">
        <v>2701</v>
      </c>
      <c r="K510" s="205" t="s">
        <v>2728</v>
      </c>
      <c r="L510" s="9" t="s">
        <v>2729</v>
      </c>
      <c r="M510" s="32" t="s">
        <v>125</v>
      </c>
      <c r="N510" s="129" t="s">
        <v>2704</v>
      </c>
      <c r="O510" s="122" t="s">
        <v>2704</v>
      </c>
      <c r="P510" s="123" t="str">
        <f t="shared" si="14"/>
        <v>C2-2025</v>
      </c>
      <c r="Q510" s="123" t="str">
        <f t="shared" si="15"/>
        <v>T3-2025</v>
      </c>
      <c r="R510" s="124" t="s">
        <v>2730</v>
      </c>
      <c r="S510" s="123" t="s">
        <v>2731</v>
      </c>
      <c r="T510" s="123" t="s">
        <v>2707</v>
      </c>
      <c r="U510" s="162" t="s">
        <v>51</v>
      </c>
      <c r="V510" s="162" t="s">
        <v>57</v>
      </c>
      <c r="W510" s="237" t="s">
        <v>125</v>
      </c>
      <c r="X510" s="173" t="s">
        <v>2709</v>
      </c>
    </row>
    <row r="511" spans="1:24" hidden="1">
      <c r="A511" s="161">
        <v>45839</v>
      </c>
      <c r="B511" s="131" t="s">
        <v>3446</v>
      </c>
      <c r="C511" s="122" t="s">
        <v>2548</v>
      </c>
      <c r="D511" s="151">
        <v>-90</v>
      </c>
      <c r="E511" s="224">
        <v>0.85653100000000004</v>
      </c>
      <c r="F511" s="127">
        <f>Tabla5109[[#This Row],[Original Amount]]*Tabla5109[[#This Row],[ER to EUR]]</f>
        <v>-77.087789999999998</v>
      </c>
      <c r="G511" s="9" t="s">
        <v>2766</v>
      </c>
      <c r="H511" s="9" t="s">
        <v>3447</v>
      </c>
      <c r="I511" s="9" t="s">
        <v>2713</v>
      </c>
      <c r="J511" s="9" t="s">
        <v>2701</v>
      </c>
      <c r="K511" s="205" t="s">
        <v>2702</v>
      </c>
      <c r="L511" s="9" t="s">
        <v>2760</v>
      </c>
      <c r="M511" s="32" t="s">
        <v>125</v>
      </c>
      <c r="N511" s="129" t="s">
        <v>2704</v>
      </c>
      <c r="O511" s="122" t="s">
        <v>2704</v>
      </c>
      <c r="P511" s="123" t="str">
        <f t="shared" si="14"/>
        <v>C2-2025</v>
      </c>
      <c r="Q511" s="123" t="str">
        <f t="shared" si="15"/>
        <v>T3-2025</v>
      </c>
      <c r="R511" s="124" t="s">
        <v>2705</v>
      </c>
      <c r="S511" s="124" t="s">
        <v>2706</v>
      </c>
      <c r="T511" s="123" t="s">
        <v>2724</v>
      </c>
      <c r="U511" s="162" t="s">
        <v>2708</v>
      </c>
      <c r="V511" s="162" t="s">
        <v>55</v>
      </c>
      <c r="W511" s="237" t="s">
        <v>125</v>
      </c>
      <c r="X511" s="173" t="s">
        <v>2709</v>
      </c>
    </row>
    <row r="512" spans="1:24" hidden="1">
      <c r="A512" s="161">
        <v>45839</v>
      </c>
      <c r="B512" s="132">
        <v>23536480048</v>
      </c>
      <c r="C512" s="122" t="s">
        <v>2543</v>
      </c>
      <c r="D512" s="147">
        <v>-801641</v>
      </c>
      <c r="E512" s="247">
        <v>8.995313441696875E-4</v>
      </c>
      <c r="F512" s="127">
        <f>Tabla5109[[#This Row],[Original Amount]]*Tabla5109[[#This Row],[ER to EUR]]</f>
        <v>-721.10120627153242</v>
      </c>
      <c r="G512" s="9" t="s">
        <v>3448</v>
      </c>
      <c r="H512" s="9" t="s">
        <v>3449</v>
      </c>
      <c r="I512" s="9" t="s">
        <v>2784</v>
      </c>
      <c r="J512" s="9" t="s">
        <v>2825</v>
      </c>
      <c r="K512" s="205" t="s">
        <v>2826</v>
      </c>
      <c r="L512" s="9" t="s">
        <v>2827</v>
      </c>
      <c r="M512" s="227" t="s">
        <v>2704</v>
      </c>
      <c r="N512" s="129" t="s">
        <v>2748</v>
      </c>
      <c r="O512" s="122" t="s">
        <v>2704</v>
      </c>
      <c r="P512" s="123" t="str">
        <f t="shared" si="14"/>
        <v>C2-2025</v>
      </c>
      <c r="Q512" s="123" t="str">
        <f t="shared" si="15"/>
        <v>T3-2025</v>
      </c>
      <c r="R512" s="124" t="s">
        <v>2705</v>
      </c>
      <c r="S512" s="124" t="s">
        <v>2706</v>
      </c>
      <c r="T512" s="123" t="s">
        <v>2717</v>
      </c>
      <c r="U512" s="162" t="s">
        <v>2708</v>
      </c>
      <c r="V512" s="162" t="s">
        <v>56</v>
      </c>
      <c r="W512" s="237" t="s">
        <v>125</v>
      </c>
      <c r="X512" s="173" t="s">
        <v>2751</v>
      </c>
    </row>
    <row r="513" spans="1:24" hidden="1">
      <c r="A513" s="161">
        <v>45870</v>
      </c>
      <c r="B513" s="130" t="s">
        <v>6568</v>
      </c>
      <c r="C513" s="32" t="s">
        <v>2697</v>
      </c>
      <c r="D513" s="126">
        <v>-452.47</v>
      </c>
      <c r="E513" s="120">
        <v>1</v>
      </c>
      <c r="F513" s="127">
        <f>Tabla5109[[#This Row],[Original Amount]]*Tabla5109[[#This Row],[ER to EUR]]</f>
        <v>-452.47</v>
      </c>
      <c r="G513" s="9" t="s">
        <v>3692</v>
      </c>
      <c r="H513" s="9" t="s">
        <v>6576</v>
      </c>
      <c r="I513" s="9" t="s">
        <v>2713</v>
      </c>
      <c r="J513" s="9" t="s">
        <v>2701</v>
      </c>
      <c r="K513" s="205" t="s">
        <v>2702</v>
      </c>
      <c r="L513" s="9" t="s">
        <v>6577</v>
      </c>
      <c r="M513" s="227" t="s">
        <v>125</v>
      </c>
      <c r="N513" s="122" t="s">
        <v>2748</v>
      </c>
      <c r="O513" s="129" t="s">
        <v>2748</v>
      </c>
      <c r="P513" s="123" t="str">
        <f t="shared" si="14"/>
        <v>C2-2025</v>
      </c>
      <c r="Q513" s="123" t="str">
        <f t="shared" si="15"/>
        <v>T3-2025</v>
      </c>
      <c r="R513" s="91" t="s">
        <v>6009</v>
      </c>
      <c r="S513" s="123" t="s">
        <v>2750</v>
      </c>
      <c r="T513" s="123" t="s">
        <v>2724</v>
      </c>
      <c r="U513" s="162" t="s">
        <v>2708</v>
      </c>
      <c r="V513" s="162" t="s">
        <v>56</v>
      </c>
      <c r="W513" s="237" t="s">
        <v>125</v>
      </c>
      <c r="X513" s="201" t="s">
        <v>2709</v>
      </c>
    </row>
    <row r="514" spans="1:24" hidden="1">
      <c r="A514" s="161">
        <v>45840</v>
      </c>
      <c r="B514" s="125">
        <v>132015865080</v>
      </c>
      <c r="C514" s="122" t="s">
        <v>2697</v>
      </c>
      <c r="D514" s="126">
        <v>-45.22</v>
      </c>
      <c r="E514" s="120">
        <v>1</v>
      </c>
      <c r="F514" s="127">
        <f>Tabla5109[[#This Row],[Original Amount]]*Tabla5109[[#This Row],[ER to EUR]]</f>
        <v>-45.22</v>
      </c>
      <c r="G514" s="9" t="s">
        <v>2768</v>
      </c>
      <c r="H514" s="9" t="s">
        <v>3450</v>
      </c>
      <c r="I514" s="9" t="s">
        <v>2755</v>
      </c>
      <c r="J514" s="9" t="s">
        <v>2770</v>
      </c>
      <c r="K514" s="205" t="s">
        <v>2771</v>
      </c>
      <c r="L514" s="9" t="s">
        <v>2772</v>
      </c>
      <c r="M514" s="32" t="s">
        <v>125</v>
      </c>
      <c r="N514" s="129" t="s">
        <v>2704</v>
      </c>
      <c r="O514" s="122" t="s">
        <v>2704</v>
      </c>
      <c r="P514" s="123" t="str">
        <f t="shared" ref="P514:P577" si="16">"C"&amp;INT((MONTH(A514)-1)/4)+1&amp;"-"&amp;YEAR(A514)</f>
        <v>C2-2025</v>
      </c>
      <c r="Q514" s="123" t="str">
        <f t="shared" ref="Q514:Q577" si="17">"T"&amp;INT((MONTH(A514)-1)/3)+1&amp;"-"&amp;YEAR(A514)</f>
        <v>T3-2025</v>
      </c>
      <c r="R514" s="124" t="s">
        <v>2705</v>
      </c>
      <c r="S514" s="123" t="s">
        <v>2735</v>
      </c>
      <c r="T514" s="123" t="s">
        <v>2724</v>
      </c>
      <c r="U514" s="162" t="s">
        <v>2708</v>
      </c>
      <c r="V514" s="162" t="s">
        <v>56</v>
      </c>
      <c r="W514" s="237" t="s">
        <v>125</v>
      </c>
      <c r="X514" s="173" t="s">
        <v>2709</v>
      </c>
    </row>
    <row r="515" spans="1:24" hidden="1">
      <c r="A515" s="161">
        <v>45840</v>
      </c>
      <c r="B515" s="117" t="s">
        <v>3451</v>
      </c>
      <c r="C515" s="122" t="s">
        <v>2697</v>
      </c>
      <c r="D515" s="126">
        <v>-818</v>
      </c>
      <c r="E515" s="120">
        <v>1</v>
      </c>
      <c r="F515" s="127">
        <f>Tabla5109[[#This Row],[Original Amount]]*Tabla5109[[#This Row],[ER to EUR]]</f>
        <v>-818</v>
      </c>
      <c r="G515" s="9" t="s">
        <v>2884</v>
      </c>
      <c r="H515" s="73" t="s">
        <v>2885</v>
      </c>
      <c r="I515" s="9" t="s">
        <v>2700</v>
      </c>
      <c r="J515" s="9" t="s">
        <v>2723</v>
      </c>
      <c r="K515" s="205" t="s">
        <v>2792</v>
      </c>
      <c r="L515" s="9" t="s">
        <v>2793</v>
      </c>
      <c r="M515" s="32" t="s">
        <v>125</v>
      </c>
      <c r="N515" s="129" t="s">
        <v>2704</v>
      </c>
      <c r="O515" s="122" t="s">
        <v>2704</v>
      </c>
      <c r="P515" s="123" t="str">
        <f t="shared" si="16"/>
        <v>C2-2025</v>
      </c>
      <c r="Q515" s="123" t="str">
        <f t="shared" si="17"/>
        <v>T3-2025</v>
      </c>
      <c r="R515" s="124" t="s">
        <v>2741</v>
      </c>
      <c r="S515" s="123" t="s">
        <v>2723</v>
      </c>
      <c r="T515" s="123" t="s">
        <v>2707</v>
      </c>
      <c r="U515" s="162" t="s">
        <v>2708</v>
      </c>
      <c r="V515" s="162" t="s">
        <v>54</v>
      </c>
      <c r="W515" s="237" t="s">
        <v>125</v>
      </c>
      <c r="X515" s="173" t="s">
        <v>2709</v>
      </c>
    </row>
    <row r="516" spans="1:24" hidden="1">
      <c r="A516" s="161">
        <v>45840</v>
      </c>
      <c r="B516" s="130" t="s">
        <v>3452</v>
      </c>
      <c r="C516" s="122" t="s">
        <v>2548</v>
      </c>
      <c r="D516" s="151">
        <v>-16</v>
      </c>
      <c r="E516" s="221">
        <v>0.85653100000000004</v>
      </c>
      <c r="F516" s="127">
        <f>Tabla5109[[#This Row],[Original Amount]]*Tabla5109[[#This Row],[ER to EUR]]</f>
        <v>-13.704496000000001</v>
      </c>
      <c r="G516" s="9" t="s">
        <v>2786</v>
      </c>
      <c r="H516" s="73" t="s">
        <v>3453</v>
      </c>
      <c r="I516" s="9" t="s">
        <v>2713</v>
      </c>
      <c r="J516" s="9" t="s">
        <v>2701</v>
      </c>
      <c r="K516" s="205" t="s">
        <v>2702</v>
      </c>
      <c r="L516" s="9" t="s">
        <v>2788</v>
      </c>
      <c r="M516" s="32" t="s">
        <v>125</v>
      </c>
      <c r="N516" s="129" t="s">
        <v>2704</v>
      </c>
      <c r="O516" s="122" t="s">
        <v>2704</v>
      </c>
      <c r="P516" s="123" t="str">
        <f t="shared" si="16"/>
        <v>C2-2025</v>
      </c>
      <c r="Q516" s="123" t="str">
        <f t="shared" si="17"/>
        <v>T3-2025</v>
      </c>
      <c r="R516" s="124" t="s">
        <v>2705</v>
      </c>
      <c r="S516" s="124" t="s">
        <v>2706</v>
      </c>
      <c r="T516" s="123" t="s">
        <v>2724</v>
      </c>
      <c r="U516" s="162" t="s">
        <v>2708</v>
      </c>
      <c r="V516" s="162" t="s">
        <v>56</v>
      </c>
      <c r="W516" s="237" t="s">
        <v>125</v>
      </c>
      <c r="X516" s="173" t="s">
        <v>2709</v>
      </c>
    </row>
    <row r="517" spans="1:24" hidden="1">
      <c r="A517" s="161">
        <v>45842</v>
      </c>
      <c r="B517" s="117" t="s">
        <v>3454</v>
      </c>
      <c r="C517" s="122" t="s">
        <v>2697</v>
      </c>
      <c r="D517" s="126">
        <v>-0.74</v>
      </c>
      <c r="E517" s="120">
        <v>1</v>
      </c>
      <c r="F517" s="127">
        <f>Tabla5109[[#This Row],[Original Amount]]*Tabla5109[[#This Row],[ER to EUR]]</f>
        <v>-0.74</v>
      </c>
      <c r="G517" s="9" t="s">
        <v>2737</v>
      </c>
      <c r="H517" s="9" t="s">
        <v>3396</v>
      </c>
      <c r="I517" s="9" t="s">
        <v>2739</v>
      </c>
      <c r="J517" s="9" t="s">
        <v>2701</v>
      </c>
      <c r="K517" s="205" t="s">
        <v>2702</v>
      </c>
      <c r="L517" s="9" t="s">
        <v>2740</v>
      </c>
      <c r="M517" s="32" t="s">
        <v>125</v>
      </c>
      <c r="N517" s="129" t="s">
        <v>2704</v>
      </c>
      <c r="O517" s="122" t="s">
        <v>2704</v>
      </c>
      <c r="P517" s="123" t="str">
        <f t="shared" si="16"/>
        <v>C2-2025</v>
      </c>
      <c r="Q517" s="123" t="str">
        <f t="shared" si="17"/>
        <v>T3-2025</v>
      </c>
      <c r="R517" s="124" t="s">
        <v>2741</v>
      </c>
      <c r="S517" s="123" t="s">
        <v>2723</v>
      </c>
      <c r="T517" s="123" t="s">
        <v>2724</v>
      </c>
      <c r="U517" s="162" t="s">
        <v>2708</v>
      </c>
      <c r="V517" s="162" t="s">
        <v>54</v>
      </c>
      <c r="W517" s="237" t="s">
        <v>125</v>
      </c>
      <c r="X517" s="173" t="s">
        <v>2709</v>
      </c>
    </row>
    <row r="518" spans="1:24" hidden="1">
      <c r="A518" s="161">
        <v>45842</v>
      </c>
      <c r="B518" s="117" t="s">
        <v>3455</v>
      </c>
      <c r="C518" s="122" t="s">
        <v>2697</v>
      </c>
      <c r="D518" s="126">
        <v>-818</v>
      </c>
      <c r="E518" s="120">
        <v>1</v>
      </c>
      <c r="F518" s="127">
        <f>Tabla5109[[#This Row],[Original Amount]]*Tabla5109[[#This Row],[ER to EUR]]</f>
        <v>-818</v>
      </c>
      <c r="G518" s="9" t="s">
        <v>2884</v>
      </c>
      <c r="H518" s="73" t="s">
        <v>2885</v>
      </c>
      <c r="I518" s="9" t="s">
        <v>2700</v>
      </c>
      <c r="J518" s="9" t="s">
        <v>2723</v>
      </c>
      <c r="K518" s="4" t="s">
        <v>2792</v>
      </c>
      <c r="L518" t="s">
        <v>2793</v>
      </c>
      <c r="M518" s="32" t="s">
        <v>125</v>
      </c>
      <c r="N518" s="129" t="s">
        <v>2704</v>
      </c>
      <c r="O518" s="122" t="s">
        <v>2704</v>
      </c>
      <c r="P518" s="123" t="str">
        <f t="shared" si="16"/>
        <v>C2-2025</v>
      </c>
      <c r="Q518" s="123" t="str">
        <f t="shared" si="17"/>
        <v>T3-2025</v>
      </c>
      <c r="R518" s="124" t="s">
        <v>2741</v>
      </c>
      <c r="S518" s="123" t="s">
        <v>2723</v>
      </c>
      <c r="T518" s="123" t="s">
        <v>2707</v>
      </c>
      <c r="U518" s="162" t="s">
        <v>2708</v>
      </c>
      <c r="V518" s="162" t="s">
        <v>54</v>
      </c>
      <c r="W518" s="237" t="s">
        <v>125</v>
      </c>
      <c r="X518" s="173" t="s">
        <v>2709</v>
      </c>
    </row>
    <row r="519" spans="1:24" hidden="1">
      <c r="A519" s="161">
        <v>45843</v>
      </c>
      <c r="B519" s="133" t="s">
        <v>3456</v>
      </c>
      <c r="C519" s="122" t="s">
        <v>2548</v>
      </c>
      <c r="D519" s="151">
        <v>-199</v>
      </c>
      <c r="E519" s="221">
        <v>0.85653100000000004</v>
      </c>
      <c r="F519" s="127">
        <f>Tabla5109[[#This Row],[Original Amount]]*Tabla5109[[#This Row],[ER to EUR]]</f>
        <v>-170.449669</v>
      </c>
      <c r="G519" s="9" t="s">
        <v>3349</v>
      </c>
      <c r="H519" s="73" t="s">
        <v>3350</v>
      </c>
      <c r="I519" s="9" t="s">
        <v>2784</v>
      </c>
      <c r="J519" s="9" t="s">
        <v>2701</v>
      </c>
      <c r="K519" s="205" t="s">
        <v>2702</v>
      </c>
      <c r="L519" s="9" t="s">
        <v>2760</v>
      </c>
      <c r="M519" s="32" t="s">
        <v>125</v>
      </c>
      <c r="N519" s="129" t="s">
        <v>2704</v>
      </c>
      <c r="O519" s="122" t="s">
        <v>2704</v>
      </c>
      <c r="P519" s="123" t="str">
        <f t="shared" si="16"/>
        <v>C2-2025</v>
      </c>
      <c r="Q519" s="123" t="str">
        <f t="shared" si="17"/>
        <v>T3-2025</v>
      </c>
      <c r="R519" s="124" t="s">
        <v>2705</v>
      </c>
      <c r="S519" s="123" t="s">
        <v>2735</v>
      </c>
      <c r="T519" s="123" t="s">
        <v>2724</v>
      </c>
      <c r="U519" s="162" t="s">
        <v>2708</v>
      </c>
      <c r="V519" s="162" t="s">
        <v>55</v>
      </c>
      <c r="W519" s="237" t="s">
        <v>125</v>
      </c>
      <c r="X519" s="173" t="s">
        <v>2709</v>
      </c>
    </row>
    <row r="520" spans="1:24" hidden="1">
      <c r="A520" s="161">
        <v>45843</v>
      </c>
      <c r="B520" s="117" t="s">
        <v>3457</v>
      </c>
      <c r="C520" s="122" t="s">
        <v>2697</v>
      </c>
      <c r="D520" s="126">
        <v>-73.59</v>
      </c>
      <c r="E520" s="120">
        <v>1</v>
      </c>
      <c r="F520" s="127">
        <f>Tabla5109[[#This Row],[Original Amount]]*Tabla5109[[#This Row],[ER to EUR]]</f>
        <v>-73.59</v>
      </c>
      <c r="G520" s="9" t="s">
        <v>2839</v>
      </c>
      <c r="H520" s="73" t="s">
        <v>2840</v>
      </c>
      <c r="I520" s="9" t="s">
        <v>2784</v>
      </c>
      <c r="J520" s="9" t="s">
        <v>2701</v>
      </c>
      <c r="K520" s="205" t="s">
        <v>2702</v>
      </c>
      <c r="L520" s="9" t="s">
        <v>2703</v>
      </c>
      <c r="M520" s="32" t="s">
        <v>125</v>
      </c>
      <c r="N520" s="129" t="s">
        <v>2704</v>
      </c>
      <c r="O520" s="122" t="s">
        <v>2704</v>
      </c>
      <c r="P520" s="123" t="str">
        <f t="shared" si="16"/>
        <v>C2-2025</v>
      </c>
      <c r="Q520" s="123" t="str">
        <f t="shared" si="17"/>
        <v>T3-2025</v>
      </c>
      <c r="R520" s="124" t="s">
        <v>2705</v>
      </c>
      <c r="S520" s="124" t="s">
        <v>2706</v>
      </c>
      <c r="T520" s="123" t="s">
        <v>2707</v>
      </c>
      <c r="U520" s="162" t="s">
        <v>2708</v>
      </c>
      <c r="V520" s="162" t="s">
        <v>56</v>
      </c>
      <c r="W520" s="237" t="s">
        <v>125</v>
      </c>
      <c r="X520" s="173" t="s">
        <v>2709</v>
      </c>
    </row>
    <row r="521" spans="1:24" hidden="1">
      <c r="A521" s="161">
        <v>45844</v>
      </c>
      <c r="B521" s="132">
        <v>2069</v>
      </c>
      <c r="C521" s="122" t="s">
        <v>2697</v>
      </c>
      <c r="D521" s="126">
        <v>-46.41</v>
      </c>
      <c r="E521" s="120">
        <v>1</v>
      </c>
      <c r="F521" s="127">
        <f>Tabla5109[[#This Row],[Original Amount]]*Tabla5109[[#This Row],[ER to EUR]]</f>
        <v>-46.41</v>
      </c>
      <c r="G521" s="9" t="s">
        <v>2777</v>
      </c>
      <c r="H521" s="9" t="s">
        <v>2778</v>
      </c>
      <c r="I521" s="9" t="s">
        <v>2755</v>
      </c>
      <c r="J521" s="9" t="s">
        <v>2714</v>
      </c>
      <c r="K521" s="205" t="s">
        <v>2780</v>
      </c>
      <c r="L521" s="9" t="s">
        <v>2716</v>
      </c>
      <c r="M521" s="32" t="s">
        <v>125</v>
      </c>
      <c r="N521" s="129" t="s">
        <v>2704</v>
      </c>
      <c r="O521" s="122" t="s">
        <v>2704</v>
      </c>
      <c r="P521" s="123" t="str">
        <f t="shared" si="16"/>
        <v>C2-2025</v>
      </c>
      <c r="Q521" s="123" t="str">
        <f t="shared" si="17"/>
        <v>T3-2025</v>
      </c>
      <c r="R521" s="124" t="s">
        <v>2705</v>
      </c>
      <c r="S521" s="123" t="s">
        <v>2735</v>
      </c>
      <c r="T521" s="123" t="s">
        <v>2724</v>
      </c>
      <c r="U521" s="162" t="s">
        <v>2708</v>
      </c>
      <c r="V521" s="162" t="s">
        <v>54</v>
      </c>
      <c r="W521" s="237" t="s">
        <v>125</v>
      </c>
      <c r="X521" s="173" t="s">
        <v>2709</v>
      </c>
    </row>
    <row r="522" spans="1:24" hidden="1">
      <c r="A522" s="161">
        <v>45844</v>
      </c>
      <c r="B522" s="117" t="s">
        <v>3458</v>
      </c>
      <c r="C522" s="122" t="s">
        <v>2697</v>
      </c>
      <c r="D522" s="126">
        <v>-179.17</v>
      </c>
      <c r="E522" s="120">
        <v>1</v>
      </c>
      <c r="F522" s="127">
        <f>Tabla5109[[#This Row],[Original Amount]]*Tabla5109[[#This Row],[ER to EUR]]</f>
        <v>-179.17</v>
      </c>
      <c r="G522" s="9" t="s">
        <v>2884</v>
      </c>
      <c r="H522" s="73" t="s">
        <v>2885</v>
      </c>
      <c r="I522" s="9" t="s">
        <v>2700</v>
      </c>
      <c r="J522" s="9" t="s">
        <v>2723</v>
      </c>
      <c r="K522" s="205" t="s">
        <v>2792</v>
      </c>
      <c r="L522" s="9" t="s">
        <v>2793</v>
      </c>
      <c r="M522" s="32" t="s">
        <v>125</v>
      </c>
      <c r="N522" s="129" t="s">
        <v>2704</v>
      </c>
      <c r="O522" s="122" t="s">
        <v>2704</v>
      </c>
      <c r="P522" s="123" t="str">
        <f t="shared" si="16"/>
        <v>C2-2025</v>
      </c>
      <c r="Q522" s="123" t="str">
        <f t="shared" si="17"/>
        <v>T3-2025</v>
      </c>
      <c r="R522" s="124" t="s">
        <v>2741</v>
      </c>
      <c r="S522" s="123" t="s">
        <v>2723</v>
      </c>
      <c r="T522" s="123" t="s">
        <v>2707</v>
      </c>
      <c r="U522" s="162" t="s">
        <v>2708</v>
      </c>
      <c r="V522" s="162" t="s">
        <v>54</v>
      </c>
      <c r="W522" s="237" t="s">
        <v>125</v>
      </c>
      <c r="X522" s="173" t="s">
        <v>2709</v>
      </c>
    </row>
    <row r="523" spans="1:24" hidden="1">
      <c r="A523" s="161">
        <v>45844</v>
      </c>
      <c r="B523" s="128" t="s">
        <v>3459</v>
      </c>
      <c r="C523" s="122" t="s">
        <v>2548</v>
      </c>
      <c r="D523" s="151">
        <v>-33.08</v>
      </c>
      <c r="E523" s="120">
        <v>0.85650000000000004</v>
      </c>
      <c r="F523" s="127">
        <f>Tabla5109[[#This Row],[Original Amount]]*Tabla5109[[#This Row],[ER to EUR]]</f>
        <v>-28.333020000000001</v>
      </c>
      <c r="G523" s="9" t="s">
        <v>3068</v>
      </c>
      <c r="H523" s="9" t="s">
        <v>3460</v>
      </c>
      <c r="I523" s="9" t="s">
        <v>2755</v>
      </c>
      <c r="J523" s="9" t="s">
        <v>2701</v>
      </c>
      <c r="K523" s="205" t="s">
        <v>2792</v>
      </c>
      <c r="L523" s="9" t="s">
        <v>2740</v>
      </c>
      <c r="M523" s="32" t="s">
        <v>125</v>
      </c>
      <c r="N523" s="129" t="s">
        <v>2704</v>
      </c>
      <c r="O523" s="122" t="s">
        <v>2704</v>
      </c>
      <c r="P523" s="123" t="str">
        <f t="shared" si="16"/>
        <v>C2-2025</v>
      </c>
      <c r="Q523" s="123" t="str">
        <f t="shared" si="17"/>
        <v>T3-2025</v>
      </c>
      <c r="R523" s="124" t="s">
        <v>2722</v>
      </c>
      <c r="S523" s="123" t="s">
        <v>2723</v>
      </c>
      <c r="T523" s="123" t="s">
        <v>2724</v>
      </c>
      <c r="U523" s="162" t="s">
        <v>2708</v>
      </c>
      <c r="V523" s="162" t="s">
        <v>54</v>
      </c>
      <c r="W523" s="237" t="s">
        <v>125</v>
      </c>
      <c r="X523" s="173" t="s">
        <v>2709</v>
      </c>
    </row>
    <row r="524" spans="1:24" hidden="1">
      <c r="A524" s="161">
        <v>45844</v>
      </c>
      <c r="B524" s="130" t="s">
        <v>3461</v>
      </c>
      <c r="C524" s="122" t="s">
        <v>2697</v>
      </c>
      <c r="D524" s="126">
        <v>-23.99</v>
      </c>
      <c r="E524" s="120">
        <v>1</v>
      </c>
      <c r="F524" s="127">
        <f>Tabla5109[[#This Row],[Original Amount]]*Tabla5109[[#This Row],[ER to EUR]]</f>
        <v>-23.99</v>
      </c>
      <c r="G524" s="9" t="s">
        <v>3462</v>
      </c>
      <c r="H524" s="73" t="s">
        <v>3463</v>
      </c>
      <c r="I524" s="9" t="s">
        <v>2713</v>
      </c>
      <c r="J524" s="9" t="s">
        <v>2701</v>
      </c>
      <c r="K524" s="205" t="s">
        <v>2702</v>
      </c>
      <c r="L524" s="9" t="s">
        <v>2793</v>
      </c>
      <c r="M524" s="32" t="s">
        <v>125</v>
      </c>
      <c r="N524" s="129" t="s">
        <v>2704</v>
      </c>
      <c r="O524" s="122" t="s">
        <v>2704</v>
      </c>
      <c r="P524" s="123" t="str">
        <f t="shared" si="16"/>
        <v>C2-2025</v>
      </c>
      <c r="Q524" s="123" t="str">
        <f t="shared" si="17"/>
        <v>T3-2025</v>
      </c>
      <c r="R524" s="124" t="s">
        <v>2722</v>
      </c>
      <c r="S524" s="123" t="s">
        <v>2723</v>
      </c>
      <c r="T524" s="123" t="s">
        <v>2724</v>
      </c>
      <c r="U524" s="162" t="s">
        <v>2708</v>
      </c>
      <c r="V524" s="162" t="s">
        <v>54</v>
      </c>
      <c r="W524" s="237" t="s">
        <v>125</v>
      </c>
      <c r="X524" s="173" t="s">
        <v>2709</v>
      </c>
    </row>
    <row r="525" spans="1:24" hidden="1">
      <c r="A525" s="161">
        <v>45844</v>
      </c>
      <c r="B525" s="125">
        <v>1679163</v>
      </c>
      <c r="C525" s="32" t="s">
        <v>2543</v>
      </c>
      <c r="D525" s="147">
        <v>-181317</v>
      </c>
      <c r="E525" s="137">
        <v>8.9999999999999998E-4</v>
      </c>
      <c r="F525" s="127">
        <f>Tabla5109[[#This Row],[Original Amount]]*Tabla5109[[#This Row],[ER to EUR]]</f>
        <v>-163.18529999999998</v>
      </c>
      <c r="G525" s="91" t="s">
        <v>3087</v>
      </c>
      <c r="H525" s="9" t="s">
        <v>3088</v>
      </c>
      <c r="I525" s="91" t="s">
        <v>2713</v>
      </c>
      <c r="J525" s="9" t="s">
        <v>2701</v>
      </c>
      <c r="K525" s="205" t="s">
        <v>2771</v>
      </c>
      <c r="L525" s="9" t="s">
        <v>2772</v>
      </c>
      <c r="M525" s="227" t="s">
        <v>2704</v>
      </c>
      <c r="N525" s="129" t="s">
        <v>2748</v>
      </c>
      <c r="O525" s="122" t="s">
        <v>2704</v>
      </c>
      <c r="P525" s="123" t="str">
        <f t="shared" si="16"/>
        <v>C2-2025</v>
      </c>
      <c r="Q525" s="123" t="str">
        <f t="shared" si="17"/>
        <v>T3-2025</v>
      </c>
      <c r="R525" s="91" t="s">
        <v>2749</v>
      </c>
      <c r="S525" s="123" t="s">
        <v>2750</v>
      </c>
      <c r="T525" s="123" t="s">
        <v>2707</v>
      </c>
      <c r="U525" s="162" t="s">
        <v>2708</v>
      </c>
      <c r="V525" s="162" t="s">
        <v>54</v>
      </c>
      <c r="W525" s="237" t="s">
        <v>125</v>
      </c>
      <c r="X525" s="201" t="s">
        <v>2751</v>
      </c>
    </row>
    <row r="526" spans="1:24" hidden="1">
      <c r="A526" s="161">
        <v>45845</v>
      </c>
      <c r="B526" s="117" t="s">
        <v>3464</v>
      </c>
      <c r="C526" s="122" t="s">
        <v>2697</v>
      </c>
      <c r="D526" s="126">
        <v>-75</v>
      </c>
      <c r="E526" s="120">
        <v>1</v>
      </c>
      <c r="F526" s="127">
        <f>Tabla5109[[#This Row],[Original Amount]]*Tabla5109[[#This Row],[ER to EUR]]</f>
        <v>-75</v>
      </c>
      <c r="G526" s="9" t="s">
        <v>2847</v>
      </c>
      <c r="H526" s="73" t="s">
        <v>2848</v>
      </c>
      <c r="I526" s="9" t="s">
        <v>2727</v>
      </c>
      <c r="J526" s="9" t="s">
        <v>2723</v>
      </c>
      <c r="K526" s="205" t="s">
        <v>2747</v>
      </c>
      <c r="L526" s="9" t="s">
        <v>2793</v>
      </c>
      <c r="M526" s="32" t="s">
        <v>125</v>
      </c>
      <c r="N526" s="129" t="s">
        <v>2704</v>
      </c>
      <c r="O526" s="122" t="s">
        <v>2704</v>
      </c>
      <c r="P526" s="123" t="str">
        <f t="shared" si="16"/>
        <v>C2-2025</v>
      </c>
      <c r="Q526" s="123" t="str">
        <f t="shared" si="17"/>
        <v>T3-2025</v>
      </c>
      <c r="R526" s="124" t="s">
        <v>2705</v>
      </c>
      <c r="S526" s="124" t="s">
        <v>2706</v>
      </c>
      <c r="T526" s="123" t="s">
        <v>2707</v>
      </c>
      <c r="U526" s="162" t="s">
        <v>2708</v>
      </c>
      <c r="V526" s="162" t="s">
        <v>54</v>
      </c>
      <c r="W526" s="237" t="s">
        <v>125</v>
      </c>
      <c r="X526" s="173" t="s">
        <v>2709</v>
      </c>
    </row>
    <row r="527" spans="1:24" hidden="1">
      <c r="A527" s="161">
        <v>45845</v>
      </c>
      <c r="B527" s="117" t="s">
        <v>3465</v>
      </c>
      <c r="C527" s="122" t="s">
        <v>2697</v>
      </c>
      <c r="D527" s="126">
        <v>-818</v>
      </c>
      <c r="E527" s="120">
        <v>1</v>
      </c>
      <c r="F527" s="127">
        <f>Tabla5109[[#This Row],[Original Amount]]*Tabla5109[[#This Row],[ER to EUR]]</f>
        <v>-818</v>
      </c>
      <c r="G527" s="9" t="s">
        <v>2884</v>
      </c>
      <c r="H527" s="73" t="s">
        <v>2885</v>
      </c>
      <c r="I527" s="9" t="s">
        <v>2700</v>
      </c>
      <c r="J527" s="9" t="s">
        <v>2723</v>
      </c>
      <c r="K527" s="205" t="s">
        <v>2792</v>
      </c>
      <c r="L527" s="9" t="s">
        <v>2793</v>
      </c>
      <c r="M527" s="32" t="s">
        <v>125</v>
      </c>
      <c r="N527" s="129" t="s">
        <v>2704</v>
      </c>
      <c r="O527" s="122" t="s">
        <v>2704</v>
      </c>
      <c r="P527" s="123" t="str">
        <f t="shared" si="16"/>
        <v>C2-2025</v>
      </c>
      <c r="Q527" s="123" t="str">
        <f t="shared" si="17"/>
        <v>T3-2025</v>
      </c>
      <c r="R527" s="124" t="s">
        <v>2741</v>
      </c>
      <c r="S527" s="123" t="s">
        <v>2723</v>
      </c>
      <c r="T527" s="123" t="s">
        <v>2707</v>
      </c>
      <c r="U527" s="162" t="s">
        <v>2708</v>
      </c>
      <c r="V527" s="162" t="s">
        <v>54</v>
      </c>
      <c r="W527" s="237" t="s">
        <v>125</v>
      </c>
      <c r="X527" s="173" t="s">
        <v>2709</v>
      </c>
    </row>
    <row r="528" spans="1:24" hidden="1">
      <c r="A528" s="161">
        <v>45845</v>
      </c>
      <c r="B528" s="117" t="s">
        <v>3466</v>
      </c>
      <c r="C528" s="122" t="s">
        <v>2697</v>
      </c>
      <c r="D528" s="126">
        <v>-403.09</v>
      </c>
      <c r="E528" s="120">
        <v>1</v>
      </c>
      <c r="F528" s="127">
        <f>Tabla5109[[#This Row],[Original Amount]]*Tabla5109[[#This Row],[ER to EUR]]</f>
        <v>-403.09</v>
      </c>
      <c r="G528" s="9" t="s">
        <v>2884</v>
      </c>
      <c r="H528" s="73" t="s">
        <v>2885</v>
      </c>
      <c r="I528" s="9" t="s">
        <v>2700</v>
      </c>
      <c r="J528" s="9" t="s">
        <v>2723</v>
      </c>
      <c r="K528" s="205" t="s">
        <v>2792</v>
      </c>
      <c r="L528" s="9" t="s">
        <v>2793</v>
      </c>
      <c r="M528" s="32" t="s">
        <v>125</v>
      </c>
      <c r="N528" s="129" t="s">
        <v>2704</v>
      </c>
      <c r="O528" s="122" t="s">
        <v>2704</v>
      </c>
      <c r="P528" s="123" t="str">
        <f t="shared" si="16"/>
        <v>C2-2025</v>
      </c>
      <c r="Q528" s="123" t="str">
        <f t="shared" si="17"/>
        <v>T3-2025</v>
      </c>
      <c r="R528" s="124" t="s">
        <v>2741</v>
      </c>
      <c r="S528" s="123" t="s">
        <v>2723</v>
      </c>
      <c r="T528" s="123" t="s">
        <v>2707</v>
      </c>
      <c r="U528" s="162" t="s">
        <v>2708</v>
      </c>
      <c r="V528" s="162" t="s">
        <v>54</v>
      </c>
      <c r="W528" s="237" t="s">
        <v>125</v>
      </c>
      <c r="X528" s="173" t="s">
        <v>2709</v>
      </c>
    </row>
    <row r="529" spans="1:24" hidden="1">
      <c r="A529" s="161">
        <v>45845</v>
      </c>
      <c r="B529" s="117" t="s">
        <v>3467</v>
      </c>
      <c r="C529" s="122" t="s">
        <v>2697</v>
      </c>
      <c r="D529" s="126">
        <v>-124.15</v>
      </c>
      <c r="E529" s="120">
        <v>1</v>
      </c>
      <c r="F529" s="127">
        <f>Tabla5109[[#This Row],[Original Amount]]*Tabla5109[[#This Row],[ER to EUR]]</f>
        <v>-124.15</v>
      </c>
      <c r="G529" s="9" t="s">
        <v>2737</v>
      </c>
      <c r="H529" s="9" t="s">
        <v>3468</v>
      </c>
      <c r="I529" s="9" t="s">
        <v>2739</v>
      </c>
      <c r="J529" s="9" t="s">
        <v>2701</v>
      </c>
      <c r="K529" s="205" t="s">
        <v>2702</v>
      </c>
      <c r="L529" s="9" t="s">
        <v>2740</v>
      </c>
      <c r="M529" s="32" t="s">
        <v>125</v>
      </c>
      <c r="N529" s="129" t="s">
        <v>2704</v>
      </c>
      <c r="O529" s="122" t="s">
        <v>2704</v>
      </c>
      <c r="P529" s="123" t="str">
        <f t="shared" si="16"/>
        <v>C2-2025</v>
      </c>
      <c r="Q529" s="123" t="str">
        <f t="shared" si="17"/>
        <v>T3-2025</v>
      </c>
      <c r="R529" s="124" t="s">
        <v>2741</v>
      </c>
      <c r="S529" s="123" t="s">
        <v>2723</v>
      </c>
      <c r="T529" s="123" t="s">
        <v>2724</v>
      </c>
      <c r="U529" s="162" t="s">
        <v>2708</v>
      </c>
      <c r="V529" s="162" t="s">
        <v>54</v>
      </c>
      <c r="W529" s="237" t="s">
        <v>125</v>
      </c>
      <c r="X529" s="173" t="s">
        <v>2709</v>
      </c>
    </row>
    <row r="530" spans="1:24" hidden="1">
      <c r="A530" s="161">
        <v>45845</v>
      </c>
      <c r="B530" s="117" t="s">
        <v>3469</v>
      </c>
      <c r="C530" s="122" t="s">
        <v>2697</v>
      </c>
      <c r="D530" s="126">
        <v>-89</v>
      </c>
      <c r="E530" s="120">
        <v>1</v>
      </c>
      <c r="F530" s="127">
        <f>Tabla5109[[#This Row],[Original Amount]]*Tabla5109[[#This Row],[ER to EUR]]</f>
        <v>-89</v>
      </c>
      <c r="G530" s="9" t="s">
        <v>3269</v>
      </c>
      <c r="H530" s="73" t="s">
        <v>3270</v>
      </c>
      <c r="I530" s="9" t="s">
        <v>2755</v>
      </c>
      <c r="J530" s="9" t="s">
        <v>2701</v>
      </c>
      <c r="K530" s="205" t="s">
        <v>2702</v>
      </c>
      <c r="L530" s="9" t="s">
        <v>2703</v>
      </c>
      <c r="M530" s="32" t="s">
        <v>125</v>
      </c>
      <c r="N530" s="129" t="s">
        <v>2704</v>
      </c>
      <c r="O530" s="122" t="s">
        <v>2704</v>
      </c>
      <c r="P530" s="123" t="str">
        <f t="shared" si="16"/>
        <v>C2-2025</v>
      </c>
      <c r="Q530" s="123" t="str">
        <f t="shared" si="17"/>
        <v>T3-2025</v>
      </c>
      <c r="R530" s="124" t="s">
        <v>2741</v>
      </c>
      <c r="S530" s="123" t="s">
        <v>2723</v>
      </c>
      <c r="T530" s="123" t="s">
        <v>2724</v>
      </c>
      <c r="U530" s="162" t="s">
        <v>2708</v>
      </c>
      <c r="V530" s="162" t="s">
        <v>54</v>
      </c>
      <c r="W530" s="237" t="s">
        <v>125</v>
      </c>
      <c r="X530" s="173" t="s">
        <v>2709</v>
      </c>
    </row>
    <row r="531" spans="1:24" hidden="1">
      <c r="A531" s="161">
        <v>45846</v>
      </c>
      <c r="B531" s="125">
        <v>781118428805</v>
      </c>
      <c r="C531" s="122" t="s">
        <v>2697</v>
      </c>
      <c r="D531" s="126">
        <v>-82.64</v>
      </c>
      <c r="E531" s="120">
        <v>1</v>
      </c>
      <c r="F531" s="127">
        <f>Tabla5109[[#This Row],[Original Amount]]*Tabla5109[[#This Row],[ER to EUR]]</f>
        <v>-82.64</v>
      </c>
      <c r="G531" s="9" t="s">
        <v>2718</v>
      </c>
      <c r="H531" s="73" t="s">
        <v>3470</v>
      </c>
      <c r="I531" s="9" t="s">
        <v>2720</v>
      </c>
      <c r="J531" s="9" t="s">
        <v>2714</v>
      </c>
      <c r="K531" s="205" t="s">
        <v>2721</v>
      </c>
      <c r="L531" s="9" t="s">
        <v>2716</v>
      </c>
      <c r="M531" s="32" t="s">
        <v>125</v>
      </c>
      <c r="N531" s="129" t="s">
        <v>2704</v>
      </c>
      <c r="O531" s="122" t="s">
        <v>2704</v>
      </c>
      <c r="P531" s="123" t="str">
        <f t="shared" si="16"/>
        <v>C2-2025</v>
      </c>
      <c r="Q531" s="123" t="str">
        <f t="shared" si="17"/>
        <v>T3-2025</v>
      </c>
      <c r="R531" s="124" t="s">
        <v>2722</v>
      </c>
      <c r="S531" s="123" t="s">
        <v>2723</v>
      </c>
      <c r="T531" s="123" t="s">
        <v>2724</v>
      </c>
      <c r="U531" s="162" t="s">
        <v>2708</v>
      </c>
      <c r="V531" s="162" t="s">
        <v>54</v>
      </c>
      <c r="W531" s="237" t="s">
        <v>125</v>
      </c>
      <c r="X531" s="173" t="s">
        <v>2709</v>
      </c>
    </row>
    <row r="532" spans="1:24" hidden="1">
      <c r="A532" s="161">
        <v>45846</v>
      </c>
      <c r="B532" s="135" t="s">
        <v>3471</v>
      </c>
      <c r="C532" s="122" t="s">
        <v>2697</v>
      </c>
      <c r="D532" s="126">
        <v>-108.21</v>
      </c>
      <c r="E532" s="120">
        <v>1</v>
      </c>
      <c r="F532" s="127">
        <f>Tabla5109[[#This Row],[Original Amount]]*Tabla5109[[#This Row],[ER to EUR]]</f>
        <v>-108.21</v>
      </c>
      <c r="G532" s="9" t="s">
        <v>3128</v>
      </c>
      <c r="H532" s="73" t="s">
        <v>2994</v>
      </c>
      <c r="I532" s="9" t="s">
        <v>2755</v>
      </c>
      <c r="J532" s="9" t="s">
        <v>2701</v>
      </c>
      <c r="K532" s="205" t="s">
        <v>2702</v>
      </c>
      <c r="L532" s="9" t="s">
        <v>2703</v>
      </c>
      <c r="M532" s="32" t="s">
        <v>125</v>
      </c>
      <c r="N532" s="129" t="s">
        <v>2704</v>
      </c>
      <c r="O532" s="122" t="s">
        <v>2704</v>
      </c>
      <c r="P532" s="123" t="str">
        <f t="shared" si="16"/>
        <v>C2-2025</v>
      </c>
      <c r="Q532" s="123" t="str">
        <f t="shared" si="17"/>
        <v>T3-2025</v>
      </c>
      <c r="R532" s="124" t="s">
        <v>2741</v>
      </c>
      <c r="S532" s="123" t="s">
        <v>2723</v>
      </c>
      <c r="T532" s="123" t="s">
        <v>2707</v>
      </c>
      <c r="U532" s="162" t="s">
        <v>2708</v>
      </c>
      <c r="V532" s="162" t="s">
        <v>54</v>
      </c>
      <c r="W532" s="237" t="s">
        <v>125</v>
      </c>
      <c r="X532" s="173" t="s">
        <v>2709</v>
      </c>
    </row>
    <row r="533" spans="1:24" hidden="1">
      <c r="A533" s="161">
        <v>45846</v>
      </c>
      <c r="B533" s="130" t="s">
        <v>3472</v>
      </c>
      <c r="C533" s="122" t="s">
        <v>2697</v>
      </c>
      <c r="D533" s="126">
        <v>-49.99</v>
      </c>
      <c r="E533" s="120">
        <v>1</v>
      </c>
      <c r="F533" s="127">
        <f>Tabla5109[[#This Row],[Original Amount]]*Tabla5109[[#This Row],[ER to EUR]]</f>
        <v>-49.99</v>
      </c>
      <c r="G533" s="9" t="s">
        <v>2830</v>
      </c>
      <c r="H533" s="9" t="s">
        <v>3473</v>
      </c>
      <c r="I533" s="9" t="s">
        <v>2739</v>
      </c>
      <c r="J533" s="9" t="s">
        <v>2817</v>
      </c>
      <c r="K533" s="205" t="s">
        <v>2702</v>
      </c>
      <c r="L533" s="9" t="s">
        <v>2818</v>
      </c>
      <c r="M533" s="32" t="s">
        <v>125</v>
      </c>
      <c r="N533" s="129" t="s">
        <v>2704</v>
      </c>
      <c r="O533" s="122" t="s">
        <v>2704</v>
      </c>
      <c r="P533" s="123" t="str">
        <f t="shared" si="16"/>
        <v>C2-2025</v>
      </c>
      <c r="Q533" s="123" t="str">
        <f t="shared" si="17"/>
        <v>T3-2025</v>
      </c>
      <c r="R533" s="124" t="s">
        <v>2722</v>
      </c>
      <c r="S533" s="123" t="s">
        <v>2723</v>
      </c>
      <c r="T533" s="123" t="s">
        <v>2724</v>
      </c>
      <c r="U533" s="162" t="s">
        <v>2708</v>
      </c>
      <c r="V533" s="162" t="s">
        <v>54</v>
      </c>
      <c r="W533" s="237" t="s">
        <v>125</v>
      </c>
      <c r="X533" s="173" t="s">
        <v>2709</v>
      </c>
    </row>
    <row r="534" spans="1:24" hidden="1">
      <c r="A534" s="161">
        <v>45847</v>
      </c>
      <c r="B534" s="140">
        <v>15514</v>
      </c>
      <c r="C534" s="122" t="s">
        <v>2697</v>
      </c>
      <c r="D534" s="126">
        <v>-1800</v>
      </c>
      <c r="E534" s="120">
        <v>1</v>
      </c>
      <c r="F534" s="127">
        <f>Tabla5109[[#This Row],[Original Amount]]*Tabla5109[[#This Row],[ER to EUR]]</f>
        <v>-1800</v>
      </c>
      <c r="G534" s="9" t="s">
        <v>2725</v>
      </c>
      <c r="H534" s="9" t="s">
        <v>3236</v>
      </c>
      <c r="I534" s="9" t="s">
        <v>2727</v>
      </c>
      <c r="J534" s="9" t="s">
        <v>2701</v>
      </c>
      <c r="K534" s="205" t="s">
        <v>2728</v>
      </c>
      <c r="L534" s="9" t="s">
        <v>2729</v>
      </c>
      <c r="M534" s="32" t="s">
        <v>125</v>
      </c>
      <c r="N534" s="129" t="s">
        <v>2704</v>
      </c>
      <c r="O534" s="122" t="s">
        <v>2704</v>
      </c>
      <c r="P534" s="123" t="str">
        <f t="shared" si="16"/>
        <v>C2-2025</v>
      </c>
      <c r="Q534" s="123" t="str">
        <f t="shared" si="17"/>
        <v>T3-2025</v>
      </c>
      <c r="R534" s="124" t="s">
        <v>2730</v>
      </c>
      <c r="S534" s="123" t="s">
        <v>2731</v>
      </c>
      <c r="T534" s="123" t="s">
        <v>2707</v>
      </c>
      <c r="U534" s="162" t="s">
        <v>51</v>
      </c>
      <c r="V534" s="162" t="s">
        <v>57</v>
      </c>
      <c r="W534" s="237" t="s">
        <v>125</v>
      </c>
      <c r="X534" s="173" t="s">
        <v>2709</v>
      </c>
    </row>
    <row r="535" spans="1:24" hidden="1">
      <c r="A535" s="161">
        <v>45847</v>
      </c>
      <c r="B535" s="219" t="s">
        <v>3474</v>
      </c>
      <c r="C535" s="122" t="s">
        <v>2697</v>
      </c>
      <c r="D535" s="126">
        <v>-3276.31</v>
      </c>
      <c r="E535" s="120">
        <v>1</v>
      </c>
      <c r="F535" s="127">
        <f>Tabla5109[[#This Row],[Original Amount]]*Tabla5109[[#This Row],[ER to EUR]]</f>
        <v>-3276.31</v>
      </c>
      <c r="G535" s="9" t="s">
        <v>2796</v>
      </c>
      <c r="H535" s="73" t="s">
        <v>3050</v>
      </c>
      <c r="I535" s="9" t="s">
        <v>2727</v>
      </c>
      <c r="J535" s="9" t="s">
        <v>2714</v>
      </c>
      <c r="K535" s="205" t="s">
        <v>2798</v>
      </c>
      <c r="L535" s="9" t="s">
        <v>2799</v>
      </c>
      <c r="M535" s="32" t="s">
        <v>125</v>
      </c>
      <c r="N535" s="129" t="s">
        <v>2704</v>
      </c>
      <c r="O535" s="122" t="s">
        <v>2704</v>
      </c>
      <c r="P535" s="123" t="str">
        <f t="shared" si="16"/>
        <v>C2-2025</v>
      </c>
      <c r="Q535" s="123" t="str">
        <f t="shared" si="17"/>
        <v>T3-2025</v>
      </c>
      <c r="R535" s="124" t="s">
        <v>2705</v>
      </c>
      <c r="S535" s="124" t="s">
        <v>2706</v>
      </c>
      <c r="T535" s="123" t="s">
        <v>2724</v>
      </c>
      <c r="U535" s="162" t="s">
        <v>2708</v>
      </c>
      <c r="V535" s="162" t="s">
        <v>56</v>
      </c>
      <c r="W535" s="237" t="s">
        <v>125</v>
      </c>
      <c r="X535" s="173" t="s">
        <v>2709</v>
      </c>
    </row>
    <row r="536" spans="1:24" hidden="1">
      <c r="A536" s="161">
        <v>45847</v>
      </c>
      <c r="B536" s="117" t="s">
        <v>3475</v>
      </c>
      <c r="C536" s="122" t="s">
        <v>2697</v>
      </c>
      <c r="D536" s="126">
        <v>-818</v>
      </c>
      <c r="E536" s="120">
        <v>1</v>
      </c>
      <c r="F536" s="127">
        <f>Tabla5109[[#This Row],[Original Amount]]*Tabla5109[[#This Row],[ER to EUR]]</f>
        <v>-818</v>
      </c>
      <c r="G536" s="9" t="s">
        <v>2884</v>
      </c>
      <c r="H536" s="73" t="s">
        <v>2885</v>
      </c>
      <c r="I536" s="9" t="s">
        <v>2700</v>
      </c>
      <c r="J536" s="9" t="s">
        <v>2723</v>
      </c>
      <c r="K536" s="205" t="s">
        <v>2792</v>
      </c>
      <c r="L536" s="9" t="s">
        <v>2793</v>
      </c>
      <c r="M536" s="32" t="s">
        <v>125</v>
      </c>
      <c r="N536" s="129" t="s">
        <v>2704</v>
      </c>
      <c r="O536" s="122" t="s">
        <v>2704</v>
      </c>
      <c r="P536" s="123" t="str">
        <f t="shared" si="16"/>
        <v>C2-2025</v>
      </c>
      <c r="Q536" s="123" t="str">
        <f t="shared" si="17"/>
        <v>T3-2025</v>
      </c>
      <c r="R536" s="124" t="s">
        <v>2741</v>
      </c>
      <c r="S536" s="123" t="s">
        <v>2723</v>
      </c>
      <c r="T536" s="123" t="s">
        <v>2707</v>
      </c>
      <c r="U536" s="162" t="s">
        <v>2708</v>
      </c>
      <c r="V536" s="162" t="s">
        <v>54</v>
      </c>
      <c r="W536" s="237" t="s">
        <v>125</v>
      </c>
      <c r="X536" s="173" t="s">
        <v>2709</v>
      </c>
    </row>
    <row r="537" spans="1:24" hidden="1">
      <c r="A537" s="161">
        <v>45848</v>
      </c>
      <c r="B537" s="117" t="s">
        <v>3476</v>
      </c>
      <c r="C537" s="122" t="s">
        <v>2697</v>
      </c>
      <c r="D537" s="126">
        <v>-1800</v>
      </c>
      <c r="E537" s="120">
        <v>1</v>
      </c>
      <c r="F537" s="127">
        <f>Tabla5109[[#This Row],[Original Amount]]*Tabla5109[[#This Row],[ER to EUR]]</f>
        <v>-1800</v>
      </c>
      <c r="G537" s="9" t="s">
        <v>2725</v>
      </c>
      <c r="H537" s="9" t="s">
        <v>3236</v>
      </c>
      <c r="I537" s="9" t="s">
        <v>2727</v>
      </c>
      <c r="J537" s="9" t="s">
        <v>2701</v>
      </c>
      <c r="K537" s="205" t="s">
        <v>2728</v>
      </c>
      <c r="L537" s="9" t="s">
        <v>2729</v>
      </c>
      <c r="M537" s="32" t="s">
        <v>125</v>
      </c>
      <c r="N537" s="129" t="s">
        <v>2704</v>
      </c>
      <c r="O537" s="122" t="s">
        <v>2704</v>
      </c>
      <c r="P537" s="123" t="str">
        <f t="shared" si="16"/>
        <v>C2-2025</v>
      </c>
      <c r="Q537" s="123" t="str">
        <f t="shared" si="17"/>
        <v>T3-2025</v>
      </c>
      <c r="R537" s="124" t="s">
        <v>2730</v>
      </c>
      <c r="S537" s="123" t="s">
        <v>2731</v>
      </c>
      <c r="T537" s="123" t="s">
        <v>2707</v>
      </c>
      <c r="U537" s="162" t="s">
        <v>51</v>
      </c>
      <c r="V537" s="162" t="s">
        <v>57</v>
      </c>
      <c r="W537" s="237" t="s">
        <v>125</v>
      </c>
      <c r="X537" s="173" t="s">
        <v>2709</v>
      </c>
    </row>
    <row r="538" spans="1:24" hidden="1">
      <c r="A538" s="161">
        <v>45848</v>
      </c>
      <c r="B538" s="117" t="s">
        <v>3477</v>
      </c>
      <c r="C538" s="122" t="s">
        <v>2548</v>
      </c>
      <c r="D538" s="151">
        <v>-499</v>
      </c>
      <c r="E538" s="221">
        <v>0.85653100000000004</v>
      </c>
      <c r="F538" s="127">
        <f>Tabla5109[[#This Row],[Original Amount]]*Tabla5109[[#This Row],[ER to EUR]]</f>
        <v>-427.40896900000001</v>
      </c>
      <c r="G538" s="9" t="s">
        <v>3193</v>
      </c>
      <c r="H538" s="73" t="s">
        <v>3194</v>
      </c>
      <c r="I538" s="9" t="s">
        <v>2739</v>
      </c>
      <c r="J538" s="9" t="s">
        <v>2701</v>
      </c>
      <c r="K538" s="205" t="s">
        <v>2702</v>
      </c>
      <c r="L538" s="9" t="s">
        <v>2793</v>
      </c>
      <c r="M538" s="32" t="s">
        <v>125</v>
      </c>
      <c r="N538" s="129" t="s">
        <v>2704</v>
      </c>
      <c r="O538" s="122" t="s">
        <v>2704</v>
      </c>
      <c r="P538" s="123" t="str">
        <f t="shared" si="16"/>
        <v>C2-2025</v>
      </c>
      <c r="Q538" s="123" t="str">
        <f t="shared" si="17"/>
        <v>T3-2025</v>
      </c>
      <c r="R538" s="124" t="s">
        <v>2722</v>
      </c>
      <c r="S538" s="123" t="s">
        <v>2723</v>
      </c>
      <c r="T538" s="123" t="s">
        <v>2724</v>
      </c>
      <c r="U538" s="162" t="s">
        <v>2708</v>
      </c>
      <c r="V538" s="162" t="s">
        <v>54</v>
      </c>
      <c r="W538" s="237" t="s">
        <v>125</v>
      </c>
      <c r="X538" s="173" t="s">
        <v>2709</v>
      </c>
    </row>
    <row r="539" spans="1:24" hidden="1">
      <c r="A539" s="161">
        <v>45848</v>
      </c>
      <c r="B539" s="117" t="s">
        <v>3478</v>
      </c>
      <c r="C539" s="122" t="s">
        <v>2697</v>
      </c>
      <c r="D539" s="126">
        <v>-384.22</v>
      </c>
      <c r="E539" s="120">
        <v>1</v>
      </c>
      <c r="F539" s="127">
        <f>Tabla5109[[#This Row],[Original Amount]]*Tabla5109[[#This Row],[ER to EUR]]</f>
        <v>-384.22</v>
      </c>
      <c r="G539" s="9" t="s">
        <v>2839</v>
      </c>
      <c r="H539" s="73" t="s">
        <v>2840</v>
      </c>
      <c r="I539" s="9" t="s">
        <v>2784</v>
      </c>
      <c r="J539" s="9" t="s">
        <v>2701</v>
      </c>
      <c r="K539" s="205" t="s">
        <v>2702</v>
      </c>
      <c r="L539" s="9" t="s">
        <v>2703</v>
      </c>
      <c r="M539" s="32" t="s">
        <v>125</v>
      </c>
      <c r="N539" s="129" t="s">
        <v>2704</v>
      </c>
      <c r="O539" s="122" t="s">
        <v>2704</v>
      </c>
      <c r="P539" s="123" t="str">
        <f t="shared" si="16"/>
        <v>C2-2025</v>
      </c>
      <c r="Q539" s="123" t="str">
        <f t="shared" si="17"/>
        <v>T3-2025</v>
      </c>
      <c r="R539" s="124" t="s">
        <v>2705</v>
      </c>
      <c r="S539" s="124" t="s">
        <v>2706</v>
      </c>
      <c r="T539" s="123" t="s">
        <v>2707</v>
      </c>
      <c r="U539" s="162" t="s">
        <v>2708</v>
      </c>
      <c r="V539" s="162" t="s">
        <v>57</v>
      </c>
      <c r="W539" s="237" t="s">
        <v>125</v>
      </c>
      <c r="X539" s="173" t="s">
        <v>2709</v>
      </c>
    </row>
    <row r="540" spans="1:24" hidden="1">
      <c r="A540" s="161">
        <v>45849</v>
      </c>
      <c r="B540" s="117" t="s">
        <v>3479</v>
      </c>
      <c r="C540" s="122" t="s">
        <v>2697</v>
      </c>
      <c r="D540" s="126">
        <v>-818</v>
      </c>
      <c r="E540" s="120">
        <v>1</v>
      </c>
      <c r="F540" s="127">
        <f>Tabla5109[[#This Row],[Original Amount]]*Tabla5109[[#This Row],[ER to EUR]]</f>
        <v>-818</v>
      </c>
      <c r="G540" s="9" t="s">
        <v>2884</v>
      </c>
      <c r="H540" s="73" t="s">
        <v>2885</v>
      </c>
      <c r="I540" s="9" t="s">
        <v>3480</v>
      </c>
      <c r="J540" s="9" t="s">
        <v>2723</v>
      </c>
      <c r="K540" s="205" t="s">
        <v>2792</v>
      </c>
      <c r="L540" s="9" t="s">
        <v>2793</v>
      </c>
      <c r="M540" s="32" t="s">
        <v>125</v>
      </c>
      <c r="N540" s="129" t="s">
        <v>2704</v>
      </c>
      <c r="O540" s="122" t="s">
        <v>2704</v>
      </c>
      <c r="P540" s="123" t="str">
        <f t="shared" si="16"/>
        <v>C2-2025</v>
      </c>
      <c r="Q540" s="123" t="str">
        <f t="shared" si="17"/>
        <v>T3-2025</v>
      </c>
      <c r="R540" s="124" t="s">
        <v>2741</v>
      </c>
      <c r="S540" s="123" t="s">
        <v>2723</v>
      </c>
      <c r="T540" s="123" t="s">
        <v>2707</v>
      </c>
      <c r="U540" s="162" t="s">
        <v>2708</v>
      </c>
      <c r="V540" s="162" t="s">
        <v>54</v>
      </c>
      <c r="W540" s="237" t="s">
        <v>125</v>
      </c>
      <c r="X540" s="173" t="s">
        <v>2709</v>
      </c>
    </row>
    <row r="541" spans="1:24" hidden="1">
      <c r="A541" s="161">
        <v>45851</v>
      </c>
      <c r="B541" s="117" t="s">
        <v>3481</v>
      </c>
      <c r="C541" s="122" t="s">
        <v>2697</v>
      </c>
      <c r="D541" s="126">
        <v>-818</v>
      </c>
      <c r="E541" s="120">
        <v>1</v>
      </c>
      <c r="F541" s="127">
        <f>Tabla5109[[#This Row],[Original Amount]]*Tabla5109[[#This Row],[ER to EUR]]</f>
        <v>-818</v>
      </c>
      <c r="G541" s="9" t="s">
        <v>2884</v>
      </c>
      <c r="H541" s="73" t="s">
        <v>2885</v>
      </c>
      <c r="I541" s="9" t="s">
        <v>3267</v>
      </c>
      <c r="J541" s="9" t="s">
        <v>2723</v>
      </c>
      <c r="K541" s="205" t="s">
        <v>2792</v>
      </c>
      <c r="L541" s="9" t="s">
        <v>2793</v>
      </c>
      <c r="M541" s="32" t="s">
        <v>125</v>
      </c>
      <c r="N541" s="129" t="s">
        <v>2704</v>
      </c>
      <c r="O541" s="122" t="s">
        <v>2704</v>
      </c>
      <c r="P541" s="123" t="str">
        <f t="shared" si="16"/>
        <v>C2-2025</v>
      </c>
      <c r="Q541" s="123" t="str">
        <f t="shared" si="17"/>
        <v>T3-2025</v>
      </c>
      <c r="R541" s="124" t="s">
        <v>2741</v>
      </c>
      <c r="S541" s="123" t="s">
        <v>2723</v>
      </c>
      <c r="T541" s="123" t="s">
        <v>2707</v>
      </c>
      <c r="U541" s="162" t="s">
        <v>2708</v>
      </c>
      <c r="V541" s="162" t="s">
        <v>54</v>
      </c>
      <c r="W541" s="237" t="s">
        <v>125</v>
      </c>
      <c r="X541" s="173" t="s">
        <v>2709</v>
      </c>
    </row>
    <row r="542" spans="1:24" hidden="1">
      <c r="A542" s="161">
        <v>45852</v>
      </c>
      <c r="B542" s="117" t="s">
        <v>3482</v>
      </c>
      <c r="C542" s="118" t="s">
        <v>2697</v>
      </c>
      <c r="D542" s="126">
        <v>-625.94000000000005</v>
      </c>
      <c r="E542" s="120">
        <v>1</v>
      </c>
      <c r="F542" s="127">
        <f>Tabla5109[[#This Row],[Original Amount]]*Tabla5109[[#This Row],[ER to EUR]]</f>
        <v>-625.94000000000005</v>
      </c>
      <c r="G542" s="9" t="s">
        <v>3271</v>
      </c>
      <c r="H542" s="9" t="s">
        <v>3483</v>
      </c>
      <c r="I542" s="9" t="s">
        <v>2727</v>
      </c>
      <c r="J542" s="9" t="s">
        <v>2770</v>
      </c>
      <c r="K542" s="205" t="s">
        <v>2747</v>
      </c>
      <c r="L542" s="9" t="s">
        <v>2772</v>
      </c>
      <c r="M542" s="32" t="s">
        <v>125</v>
      </c>
      <c r="N542" s="129" t="s">
        <v>2704</v>
      </c>
      <c r="O542" s="122" t="s">
        <v>2704</v>
      </c>
      <c r="P542" s="123" t="str">
        <f t="shared" si="16"/>
        <v>C2-2025</v>
      </c>
      <c r="Q542" s="123" t="str">
        <f t="shared" si="17"/>
        <v>T3-2025</v>
      </c>
      <c r="R542" s="124" t="s">
        <v>2705</v>
      </c>
      <c r="S542" s="124" t="s">
        <v>2706</v>
      </c>
      <c r="T542" s="123" t="s">
        <v>2707</v>
      </c>
      <c r="U542" s="162" t="s">
        <v>2708</v>
      </c>
      <c r="V542" s="162" t="s">
        <v>56</v>
      </c>
      <c r="W542" s="237" t="s">
        <v>125</v>
      </c>
      <c r="X542" s="173" t="s">
        <v>2709</v>
      </c>
    </row>
    <row r="543" spans="1:24" hidden="1">
      <c r="A543" s="161">
        <v>45853</v>
      </c>
      <c r="B543" s="117" t="s">
        <v>3484</v>
      </c>
      <c r="C543" s="122" t="s">
        <v>2697</v>
      </c>
      <c r="D543" s="126">
        <v>-3000</v>
      </c>
      <c r="E543" s="120">
        <v>1</v>
      </c>
      <c r="F543" s="127">
        <f>Tabla5109[[#This Row],[Original Amount]]*Tabla5109[[#This Row],[ER to EUR]]</f>
        <v>-3000</v>
      </c>
      <c r="G543" s="9" t="s">
        <v>2725</v>
      </c>
      <c r="H543" s="73" t="s">
        <v>3389</v>
      </c>
      <c r="I543" s="9" t="s">
        <v>2727</v>
      </c>
      <c r="J543" s="9" t="s">
        <v>2701</v>
      </c>
      <c r="K543" s="205" t="s">
        <v>2728</v>
      </c>
      <c r="L543" s="9" t="s">
        <v>2729</v>
      </c>
      <c r="M543" s="32" t="s">
        <v>125</v>
      </c>
      <c r="N543" s="129" t="s">
        <v>2704</v>
      </c>
      <c r="O543" s="122" t="s">
        <v>2704</v>
      </c>
      <c r="P543" s="123" t="str">
        <f t="shared" si="16"/>
        <v>C2-2025</v>
      </c>
      <c r="Q543" s="123" t="str">
        <f t="shared" si="17"/>
        <v>T3-2025</v>
      </c>
      <c r="R543" s="124" t="s">
        <v>2730</v>
      </c>
      <c r="S543" s="123" t="s">
        <v>2731</v>
      </c>
      <c r="T543" s="123" t="s">
        <v>2707</v>
      </c>
      <c r="U543" s="162" t="s">
        <v>51</v>
      </c>
      <c r="V543" s="162" t="s">
        <v>57</v>
      </c>
      <c r="W543" s="237" t="s">
        <v>125</v>
      </c>
      <c r="X543" s="173" t="s">
        <v>2709</v>
      </c>
    </row>
    <row r="544" spans="1:24" hidden="1">
      <c r="A544" s="161">
        <v>45853</v>
      </c>
      <c r="B544" s="117" t="s">
        <v>3485</v>
      </c>
      <c r="C544" s="122" t="s">
        <v>2697</v>
      </c>
      <c r="D544" s="126">
        <v>-818</v>
      </c>
      <c r="E544" s="120">
        <v>1</v>
      </c>
      <c r="F544" s="127">
        <f>Tabla5109[[#This Row],[Original Amount]]*Tabla5109[[#This Row],[ER to EUR]]</f>
        <v>-818</v>
      </c>
      <c r="G544" s="9" t="s">
        <v>2884</v>
      </c>
      <c r="H544" s="73" t="s">
        <v>2885</v>
      </c>
      <c r="I544" s="9" t="s">
        <v>3480</v>
      </c>
      <c r="J544" s="9" t="s">
        <v>2723</v>
      </c>
      <c r="K544" s="205" t="s">
        <v>2792</v>
      </c>
      <c r="L544" s="9" t="s">
        <v>2793</v>
      </c>
      <c r="M544" s="32" t="s">
        <v>125</v>
      </c>
      <c r="N544" s="129" t="s">
        <v>2704</v>
      </c>
      <c r="O544" s="122" t="s">
        <v>2704</v>
      </c>
      <c r="P544" s="123" t="str">
        <f t="shared" si="16"/>
        <v>C2-2025</v>
      </c>
      <c r="Q544" s="123" t="str">
        <f t="shared" si="17"/>
        <v>T3-2025</v>
      </c>
      <c r="R544" s="124" t="s">
        <v>2741</v>
      </c>
      <c r="S544" s="123" t="s">
        <v>2723</v>
      </c>
      <c r="T544" s="123" t="s">
        <v>2707</v>
      </c>
      <c r="U544" s="162" t="s">
        <v>2708</v>
      </c>
      <c r="V544" s="162" t="s">
        <v>54</v>
      </c>
      <c r="W544" s="237" t="s">
        <v>125</v>
      </c>
      <c r="X544" s="173" t="s">
        <v>2709</v>
      </c>
    </row>
    <row r="545" spans="1:24" hidden="1">
      <c r="A545" s="161">
        <v>45853</v>
      </c>
      <c r="B545" s="133" t="s">
        <v>3486</v>
      </c>
      <c r="C545" s="122" t="s">
        <v>2697</v>
      </c>
      <c r="D545" s="126">
        <v>-118.99</v>
      </c>
      <c r="E545" s="120">
        <v>1</v>
      </c>
      <c r="F545" s="127">
        <f>Tabla5109[[#This Row],[Original Amount]]*Tabla5109[[#This Row],[ER to EUR]]</f>
        <v>-118.99</v>
      </c>
      <c r="G545" s="9" t="s">
        <v>2812</v>
      </c>
      <c r="H545" s="91" t="s">
        <v>2813</v>
      </c>
      <c r="I545" s="9" t="s">
        <v>2727</v>
      </c>
      <c r="J545" s="9" t="s">
        <v>2714</v>
      </c>
      <c r="K545" s="196" t="s">
        <v>2814</v>
      </c>
      <c r="L545" s="9" t="s">
        <v>2799</v>
      </c>
      <c r="M545" s="32" t="s">
        <v>125</v>
      </c>
      <c r="N545" s="129" t="s">
        <v>2704</v>
      </c>
      <c r="O545" s="122" t="s">
        <v>2704</v>
      </c>
      <c r="P545" s="123" t="str">
        <f t="shared" si="16"/>
        <v>C2-2025</v>
      </c>
      <c r="Q545" s="123" t="str">
        <f t="shared" si="17"/>
        <v>T3-2025</v>
      </c>
      <c r="R545" s="124" t="s">
        <v>2705</v>
      </c>
      <c r="S545" s="124" t="s">
        <v>2706</v>
      </c>
      <c r="T545" s="123" t="s">
        <v>2724</v>
      </c>
      <c r="U545" s="162" t="s">
        <v>2708</v>
      </c>
      <c r="V545" s="162" t="s">
        <v>56</v>
      </c>
      <c r="W545" s="237" t="s">
        <v>125</v>
      </c>
      <c r="X545" s="173" t="s">
        <v>2709</v>
      </c>
    </row>
    <row r="546" spans="1:24" hidden="1">
      <c r="A546" s="161">
        <v>45853</v>
      </c>
      <c r="B546" s="193" t="s">
        <v>3487</v>
      </c>
      <c r="C546" s="122" t="s">
        <v>2697</v>
      </c>
      <c r="D546" s="126">
        <v>-5057</v>
      </c>
      <c r="E546" s="120">
        <v>1</v>
      </c>
      <c r="F546" s="127">
        <f>Tabla5109[[#This Row],[Original Amount]]*Tabla5109[[#This Row],[ER to EUR]]</f>
        <v>-5057</v>
      </c>
      <c r="G546" s="9" t="s">
        <v>2790</v>
      </c>
      <c r="H546" s="73" t="s">
        <v>2791</v>
      </c>
      <c r="I546" s="9" t="s">
        <v>2727</v>
      </c>
      <c r="J546" s="9" t="s">
        <v>2723</v>
      </c>
      <c r="K546" s="205" t="s">
        <v>2792</v>
      </c>
      <c r="L546" s="9" t="s">
        <v>2793</v>
      </c>
      <c r="M546" s="32" t="s">
        <v>125</v>
      </c>
      <c r="N546" s="129" t="s">
        <v>2704</v>
      </c>
      <c r="O546" s="122" t="s">
        <v>2704</v>
      </c>
      <c r="P546" s="123" t="str">
        <f t="shared" si="16"/>
        <v>C2-2025</v>
      </c>
      <c r="Q546" s="123" t="str">
        <f t="shared" si="17"/>
        <v>T3-2025</v>
      </c>
      <c r="R546" s="124" t="s">
        <v>2794</v>
      </c>
      <c r="S546" s="123" t="s">
        <v>2731</v>
      </c>
      <c r="T546" s="123" t="s">
        <v>2724</v>
      </c>
      <c r="U546" s="162" t="s">
        <v>2708</v>
      </c>
      <c r="V546" s="162" t="s">
        <v>57</v>
      </c>
      <c r="W546" s="237" t="s">
        <v>125</v>
      </c>
      <c r="X546" s="173" t="s">
        <v>2709</v>
      </c>
    </row>
    <row r="547" spans="1:24" hidden="1">
      <c r="A547" s="161">
        <v>45853</v>
      </c>
      <c r="B547" s="117" t="s">
        <v>3488</v>
      </c>
      <c r="C547" s="122" t="s">
        <v>2697</v>
      </c>
      <c r="D547" s="126">
        <v>-4760</v>
      </c>
      <c r="E547" s="120">
        <v>1</v>
      </c>
      <c r="F547" s="127">
        <f>Tabla5109[[#This Row],[Original Amount]]*Tabla5109[[#This Row],[ER to EUR]]</f>
        <v>-4760</v>
      </c>
      <c r="G547" s="9" t="s">
        <v>2790</v>
      </c>
      <c r="H547" s="73" t="s">
        <v>2791</v>
      </c>
      <c r="I547" s="9" t="s">
        <v>2727</v>
      </c>
      <c r="J547" s="9" t="s">
        <v>2723</v>
      </c>
      <c r="K547" s="205" t="s">
        <v>2792</v>
      </c>
      <c r="L547" s="9" t="s">
        <v>2793</v>
      </c>
      <c r="M547" s="32" t="s">
        <v>125</v>
      </c>
      <c r="N547" s="129" t="s">
        <v>2704</v>
      </c>
      <c r="O547" s="122" t="s">
        <v>2704</v>
      </c>
      <c r="P547" s="123" t="str">
        <f t="shared" si="16"/>
        <v>C2-2025</v>
      </c>
      <c r="Q547" s="123" t="str">
        <f t="shared" si="17"/>
        <v>T3-2025</v>
      </c>
      <c r="R547" s="124" t="s">
        <v>2794</v>
      </c>
      <c r="S547" s="123" t="s">
        <v>2731</v>
      </c>
      <c r="T547" s="123" t="s">
        <v>2724</v>
      </c>
      <c r="U547" s="162" t="s">
        <v>2708</v>
      </c>
      <c r="V547" s="162" t="s">
        <v>57</v>
      </c>
      <c r="W547" s="237" t="s">
        <v>125</v>
      </c>
      <c r="X547" s="173" t="s">
        <v>2709</v>
      </c>
    </row>
    <row r="548" spans="1:24" hidden="1">
      <c r="A548" s="161">
        <v>45854</v>
      </c>
      <c r="B548" s="117" t="s">
        <v>3489</v>
      </c>
      <c r="C548" s="122" t="s">
        <v>2697</v>
      </c>
      <c r="D548" s="139">
        <v>-239.68</v>
      </c>
      <c r="E548" s="120">
        <v>1</v>
      </c>
      <c r="F548" s="127">
        <f>Tabla5109[[#This Row],[Original Amount]]*Tabla5109[[#This Row],[ER to EUR]]</f>
        <v>-239.68</v>
      </c>
      <c r="G548" s="9" t="s">
        <v>2815</v>
      </c>
      <c r="H548" s="9" t="s">
        <v>3103</v>
      </c>
      <c r="I548" s="9" t="s">
        <v>2727</v>
      </c>
      <c r="J548" s="9" t="s">
        <v>2817</v>
      </c>
      <c r="K548" s="205" t="s">
        <v>2702</v>
      </c>
      <c r="L548" s="9" t="s">
        <v>2818</v>
      </c>
      <c r="M548" s="32" t="s">
        <v>125</v>
      </c>
      <c r="N548" s="129" t="s">
        <v>2704</v>
      </c>
      <c r="O548" s="122" t="s">
        <v>2704</v>
      </c>
      <c r="P548" s="123" t="str">
        <f t="shared" si="16"/>
        <v>C2-2025</v>
      </c>
      <c r="Q548" s="123" t="str">
        <f t="shared" si="17"/>
        <v>T3-2025</v>
      </c>
      <c r="R548" s="124" t="s">
        <v>2819</v>
      </c>
      <c r="S548" s="123" t="s">
        <v>2723</v>
      </c>
      <c r="T548" s="123" t="s">
        <v>2724</v>
      </c>
      <c r="U548" s="162" t="s">
        <v>2708</v>
      </c>
      <c r="V548" s="162" t="s">
        <v>54</v>
      </c>
      <c r="W548" s="237" t="s">
        <v>125</v>
      </c>
      <c r="X548" s="173" t="s">
        <v>2709</v>
      </c>
    </row>
    <row r="549" spans="1:24" hidden="1">
      <c r="A549" s="161">
        <v>45854</v>
      </c>
      <c r="B549" s="117" t="s">
        <v>3490</v>
      </c>
      <c r="C549" s="122" t="s">
        <v>2697</v>
      </c>
      <c r="D549" s="126">
        <v>-159</v>
      </c>
      <c r="E549" s="120">
        <v>1</v>
      </c>
      <c r="F549" s="127">
        <f>Tabla5109[[#This Row],[Original Amount]]*Tabla5109[[#This Row],[ER to EUR]]</f>
        <v>-159</v>
      </c>
      <c r="G549" s="9" t="s">
        <v>3125</v>
      </c>
      <c r="H549" s="73" t="s">
        <v>3126</v>
      </c>
      <c r="I549" s="9" t="s">
        <v>2784</v>
      </c>
      <c r="J549" s="9" t="s">
        <v>2701</v>
      </c>
      <c r="K549" s="205" t="s">
        <v>2702</v>
      </c>
      <c r="L549" s="9" t="s">
        <v>2760</v>
      </c>
      <c r="M549" s="32" t="s">
        <v>125</v>
      </c>
      <c r="N549" s="129" t="s">
        <v>2704</v>
      </c>
      <c r="O549" s="122" t="s">
        <v>2704</v>
      </c>
      <c r="P549" s="123" t="str">
        <f t="shared" si="16"/>
        <v>C2-2025</v>
      </c>
      <c r="Q549" s="123" t="str">
        <f t="shared" si="17"/>
        <v>T3-2025</v>
      </c>
      <c r="R549" s="124" t="s">
        <v>2741</v>
      </c>
      <c r="S549" s="123" t="s">
        <v>2723</v>
      </c>
      <c r="T549" s="123" t="s">
        <v>2724</v>
      </c>
      <c r="U549" s="162" t="s">
        <v>2708</v>
      </c>
      <c r="V549" s="162" t="s">
        <v>54</v>
      </c>
      <c r="W549" s="237" t="s">
        <v>125</v>
      </c>
      <c r="X549" s="173" t="s">
        <v>2709</v>
      </c>
    </row>
    <row r="550" spans="1:24" hidden="1">
      <c r="A550" s="161">
        <v>45855</v>
      </c>
      <c r="B550" s="117" t="s">
        <v>3491</v>
      </c>
      <c r="C550" s="122" t="s">
        <v>2697</v>
      </c>
      <c r="D550" s="139">
        <v>-62</v>
      </c>
      <c r="E550" s="120">
        <v>1</v>
      </c>
      <c r="F550" s="127">
        <f>Tabla5109[[#This Row],[Original Amount]]*Tabla5109[[#This Row],[ER to EUR]]</f>
        <v>-62</v>
      </c>
      <c r="G550" s="9" t="s">
        <v>3492</v>
      </c>
      <c r="H550" s="73" t="s">
        <v>3493</v>
      </c>
      <c r="I550" s="9" t="s">
        <v>2784</v>
      </c>
      <c r="J550" s="9" t="s">
        <v>2701</v>
      </c>
      <c r="K550" s="205" t="s">
        <v>2702</v>
      </c>
      <c r="L550" s="9" t="s">
        <v>3494</v>
      </c>
      <c r="M550" s="32" t="s">
        <v>125</v>
      </c>
      <c r="N550" s="129" t="s">
        <v>2704</v>
      </c>
      <c r="O550" s="122" t="s">
        <v>2704</v>
      </c>
      <c r="P550" s="123" t="str">
        <f t="shared" si="16"/>
        <v>C2-2025</v>
      </c>
      <c r="Q550" s="123" t="str">
        <f t="shared" si="17"/>
        <v>T3-2025</v>
      </c>
      <c r="R550" s="124" t="s">
        <v>2705</v>
      </c>
      <c r="S550" s="123" t="s">
        <v>2735</v>
      </c>
      <c r="T550" s="123" t="s">
        <v>2707</v>
      </c>
      <c r="U550" s="162" t="s">
        <v>2708</v>
      </c>
      <c r="V550" s="162" t="s">
        <v>54</v>
      </c>
      <c r="W550" s="237" t="s">
        <v>125</v>
      </c>
      <c r="X550" s="173" t="s">
        <v>2709</v>
      </c>
    </row>
    <row r="551" spans="1:24" hidden="1">
      <c r="A551" s="161">
        <v>45855</v>
      </c>
      <c r="B551" s="133" t="s">
        <v>3495</v>
      </c>
      <c r="C551" s="32" t="s">
        <v>2697</v>
      </c>
      <c r="D551" s="139">
        <v>-54</v>
      </c>
      <c r="E551" s="120">
        <v>1</v>
      </c>
      <c r="F551" s="127">
        <f>Tabla5109[[#This Row],[Original Amount]]*Tabla5109[[#This Row],[ER to EUR]]</f>
        <v>-54</v>
      </c>
      <c r="G551" s="9" t="s">
        <v>2833</v>
      </c>
      <c r="H551" s="9" t="s">
        <v>2834</v>
      </c>
      <c r="I551" s="9" t="s">
        <v>2713</v>
      </c>
      <c r="J551" s="9" t="s">
        <v>2701</v>
      </c>
      <c r="K551" s="205" t="s">
        <v>2771</v>
      </c>
      <c r="L551" s="211" t="s">
        <v>2818</v>
      </c>
      <c r="M551" s="32" t="s">
        <v>125</v>
      </c>
      <c r="N551" s="122" t="s">
        <v>2704</v>
      </c>
      <c r="O551" s="129" t="s">
        <v>2704</v>
      </c>
      <c r="P551" s="123" t="str">
        <f t="shared" si="16"/>
        <v>C2-2025</v>
      </c>
      <c r="Q551" s="123" t="str">
        <f t="shared" si="17"/>
        <v>T3-2025</v>
      </c>
      <c r="R551" s="91" t="s">
        <v>2819</v>
      </c>
      <c r="S551" s="123" t="s">
        <v>2817</v>
      </c>
      <c r="T551" s="123" t="s">
        <v>2724</v>
      </c>
      <c r="U551" s="162" t="s">
        <v>2708</v>
      </c>
      <c r="V551" s="162" t="s">
        <v>54</v>
      </c>
      <c r="W551" s="237" t="s">
        <v>125</v>
      </c>
      <c r="X551" s="173" t="s">
        <v>2709</v>
      </c>
    </row>
    <row r="552" spans="1:24" hidden="1">
      <c r="A552" s="161">
        <v>45856</v>
      </c>
      <c r="B552" s="132">
        <v>1937562</v>
      </c>
      <c r="C552" s="118" t="s">
        <v>2697</v>
      </c>
      <c r="D552" s="139">
        <v>-187.25</v>
      </c>
      <c r="E552" s="120">
        <v>1</v>
      </c>
      <c r="F552" s="127">
        <f>Tabla5109[[#This Row],[Original Amount]]*Tabla5109[[#This Row],[ER to EUR]]</f>
        <v>-187.25</v>
      </c>
      <c r="G552" s="37" t="s">
        <v>2815</v>
      </c>
      <c r="H552" s="73" t="s">
        <v>2816</v>
      </c>
      <c r="I552" s="9" t="s">
        <v>2727</v>
      </c>
      <c r="J552" s="9" t="s">
        <v>2817</v>
      </c>
      <c r="K552" s="205" t="s">
        <v>2702</v>
      </c>
      <c r="L552" s="9" t="s">
        <v>2818</v>
      </c>
      <c r="M552" s="32" t="s">
        <v>125</v>
      </c>
      <c r="N552" s="129" t="s">
        <v>2704</v>
      </c>
      <c r="O552" s="122" t="s">
        <v>2704</v>
      </c>
      <c r="P552" s="123" t="str">
        <f t="shared" si="16"/>
        <v>C2-2025</v>
      </c>
      <c r="Q552" s="123" t="str">
        <f t="shared" si="17"/>
        <v>T3-2025</v>
      </c>
      <c r="R552" s="124" t="s">
        <v>2819</v>
      </c>
      <c r="S552" s="123" t="s">
        <v>2723</v>
      </c>
      <c r="T552" s="123" t="s">
        <v>2724</v>
      </c>
      <c r="U552" s="162" t="s">
        <v>2708</v>
      </c>
      <c r="V552" s="162" t="s">
        <v>54</v>
      </c>
      <c r="W552" s="237" t="s">
        <v>125</v>
      </c>
      <c r="X552" s="173" t="s">
        <v>2709</v>
      </c>
    </row>
    <row r="553" spans="1:24" hidden="1">
      <c r="A553" s="161">
        <v>45856</v>
      </c>
      <c r="B553" s="117" t="s">
        <v>3496</v>
      </c>
      <c r="C553" s="122" t="s">
        <v>2697</v>
      </c>
      <c r="D553" s="126">
        <v>-818</v>
      </c>
      <c r="E553" s="120">
        <v>1</v>
      </c>
      <c r="F553" s="127">
        <f>Tabla5109[[#This Row],[Original Amount]]*Tabla5109[[#This Row],[ER to EUR]]</f>
        <v>-818</v>
      </c>
      <c r="G553" s="9" t="s">
        <v>2884</v>
      </c>
      <c r="H553" s="73" t="s">
        <v>2885</v>
      </c>
      <c r="I553" s="9" t="s">
        <v>3267</v>
      </c>
      <c r="J553" s="9" t="s">
        <v>2723</v>
      </c>
      <c r="K553" s="205" t="s">
        <v>2792</v>
      </c>
      <c r="L553" s="9" t="s">
        <v>2793</v>
      </c>
      <c r="M553" s="32" t="s">
        <v>125</v>
      </c>
      <c r="N553" s="129" t="s">
        <v>2704</v>
      </c>
      <c r="O553" s="122" t="s">
        <v>2704</v>
      </c>
      <c r="P553" s="123" t="str">
        <f t="shared" si="16"/>
        <v>C2-2025</v>
      </c>
      <c r="Q553" s="123" t="str">
        <f t="shared" si="17"/>
        <v>T3-2025</v>
      </c>
      <c r="R553" s="124" t="s">
        <v>2741</v>
      </c>
      <c r="S553" s="123" t="s">
        <v>2723</v>
      </c>
      <c r="T553" s="123" t="s">
        <v>2707</v>
      </c>
      <c r="U553" s="162" t="s">
        <v>2708</v>
      </c>
      <c r="V553" s="162" t="s">
        <v>54</v>
      </c>
      <c r="W553" s="237" t="s">
        <v>125</v>
      </c>
      <c r="X553" s="173" t="s">
        <v>2709</v>
      </c>
    </row>
    <row r="554" spans="1:24" hidden="1">
      <c r="A554" s="161">
        <v>45856</v>
      </c>
      <c r="B554" s="130" t="s">
        <v>3497</v>
      </c>
      <c r="C554" s="122" t="s">
        <v>2548</v>
      </c>
      <c r="D554" s="151">
        <v>-150</v>
      </c>
      <c r="E554" s="181">
        <v>0.85653100000000004</v>
      </c>
      <c r="F554" s="127">
        <f>Tabla5109[[#This Row],[Original Amount]]*Tabla5109[[#This Row],[ER to EUR]]</f>
        <v>-128.47964999999999</v>
      </c>
      <c r="G554" s="9" t="s">
        <v>2786</v>
      </c>
      <c r="H554" s="73" t="s">
        <v>3498</v>
      </c>
      <c r="I554" s="9" t="s">
        <v>2713</v>
      </c>
      <c r="J554" s="9" t="s">
        <v>2701</v>
      </c>
      <c r="K554" s="205" t="s">
        <v>2702</v>
      </c>
      <c r="L554" s="9" t="s">
        <v>2788</v>
      </c>
      <c r="M554" s="32" t="s">
        <v>125</v>
      </c>
      <c r="N554" s="129" t="s">
        <v>2704</v>
      </c>
      <c r="O554" s="122" t="s">
        <v>2704</v>
      </c>
      <c r="P554" s="123" t="str">
        <f t="shared" si="16"/>
        <v>C2-2025</v>
      </c>
      <c r="Q554" s="123" t="str">
        <f t="shared" si="17"/>
        <v>T3-2025</v>
      </c>
      <c r="R554" s="124" t="s">
        <v>2705</v>
      </c>
      <c r="S554" s="124" t="s">
        <v>2706</v>
      </c>
      <c r="T554" s="123" t="s">
        <v>2724</v>
      </c>
      <c r="U554" s="162" t="s">
        <v>2708</v>
      </c>
      <c r="V554" s="162" t="s">
        <v>56</v>
      </c>
      <c r="W554" s="237" t="s">
        <v>125</v>
      </c>
      <c r="X554" s="173" t="s">
        <v>2709</v>
      </c>
    </row>
    <row r="555" spans="1:24" hidden="1">
      <c r="A555" s="161">
        <v>45856</v>
      </c>
      <c r="B555" s="130" t="s">
        <v>3499</v>
      </c>
      <c r="C555" s="122" t="s">
        <v>2697</v>
      </c>
      <c r="D555" s="139">
        <v>-235.62</v>
      </c>
      <c r="E555" s="120">
        <v>1</v>
      </c>
      <c r="F555" s="127">
        <f>Tabla5109[[#This Row],[Original Amount]]*Tabla5109[[#This Row],[ER to EUR]]</f>
        <v>-235.62</v>
      </c>
      <c r="G555" s="9" t="s">
        <v>2753</v>
      </c>
      <c r="H555" s="9" t="s">
        <v>3392</v>
      </c>
      <c r="I555" s="9" t="s">
        <v>2755</v>
      </c>
      <c r="J555" s="9" t="s">
        <v>2701</v>
      </c>
      <c r="K555" s="205" t="s">
        <v>2702</v>
      </c>
      <c r="L555" s="9" t="s">
        <v>2703</v>
      </c>
      <c r="M555" s="32" t="s">
        <v>125</v>
      </c>
      <c r="N555" s="129" t="s">
        <v>2704</v>
      </c>
      <c r="O555" s="122" t="s">
        <v>2704</v>
      </c>
      <c r="P555" s="123" t="str">
        <f t="shared" si="16"/>
        <v>C2-2025</v>
      </c>
      <c r="Q555" s="123" t="str">
        <f t="shared" si="17"/>
        <v>T3-2025</v>
      </c>
      <c r="R555" s="124" t="s">
        <v>2705</v>
      </c>
      <c r="S555" s="124" t="s">
        <v>2706</v>
      </c>
      <c r="T555" s="123" t="s">
        <v>2707</v>
      </c>
      <c r="U555" s="162" t="s">
        <v>2708</v>
      </c>
      <c r="V555" s="162" t="s">
        <v>56</v>
      </c>
      <c r="W555" s="237" t="s">
        <v>125</v>
      </c>
      <c r="X555" s="173" t="s">
        <v>2709</v>
      </c>
    </row>
    <row r="556" spans="1:24" hidden="1">
      <c r="A556" s="161">
        <v>45856</v>
      </c>
      <c r="B556" s="117" t="s">
        <v>3500</v>
      </c>
      <c r="C556" s="122" t="s">
        <v>2697</v>
      </c>
      <c r="D556" s="126">
        <v>-206.71</v>
      </c>
      <c r="E556" s="120">
        <v>1</v>
      </c>
      <c r="F556" s="235">
        <f>Tabla5109[[#This Row],[Original Amount]]*Tabla5109[[#This Row],[ER to EUR]]</f>
        <v>-206.71</v>
      </c>
      <c r="G556" s="9" t="s">
        <v>2839</v>
      </c>
      <c r="H556" s="73" t="s">
        <v>2840</v>
      </c>
      <c r="I556" s="9" t="s">
        <v>2784</v>
      </c>
      <c r="J556" s="9" t="s">
        <v>2701</v>
      </c>
      <c r="K556" s="205" t="s">
        <v>2702</v>
      </c>
      <c r="L556" s="9" t="s">
        <v>2703</v>
      </c>
      <c r="M556" s="32" t="s">
        <v>125</v>
      </c>
      <c r="N556" s="129" t="s">
        <v>2704</v>
      </c>
      <c r="O556" s="122" t="s">
        <v>2704</v>
      </c>
      <c r="P556" s="123" t="str">
        <f t="shared" si="16"/>
        <v>C2-2025</v>
      </c>
      <c r="Q556" s="123" t="str">
        <f t="shared" si="17"/>
        <v>T3-2025</v>
      </c>
      <c r="R556" s="124" t="s">
        <v>2705</v>
      </c>
      <c r="S556" s="124" t="s">
        <v>2706</v>
      </c>
      <c r="T556" s="123" t="s">
        <v>2707</v>
      </c>
      <c r="U556" s="162" t="s">
        <v>2708</v>
      </c>
      <c r="V556" s="162" t="s">
        <v>56</v>
      </c>
      <c r="W556" s="237" t="s">
        <v>125</v>
      </c>
      <c r="X556" s="173" t="s">
        <v>2709</v>
      </c>
    </row>
    <row r="557" spans="1:24" hidden="1">
      <c r="A557" s="161">
        <v>45857</v>
      </c>
      <c r="B557" s="133" t="s">
        <v>3501</v>
      </c>
      <c r="C557" s="122" t="s">
        <v>2697</v>
      </c>
      <c r="D557" s="126">
        <v>-192.44</v>
      </c>
      <c r="E557" s="120">
        <v>1</v>
      </c>
      <c r="F557" s="127">
        <f>Tabla5109[[#This Row],[Original Amount]]*Tabla5109[[#This Row],[ER to EUR]]</f>
        <v>-192.44</v>
      </c>
      <c r="G557" s="9" t="s">
        <v>2766</v>
      </c>
      <c r="H557" s="9" t="s">
        <v>3502</v>
      </c>
      <c r="I557" s="9" t="s">
        <v>2713</v>
      </c>
      <c r="J557" s="9" t="s">
        <v>2701</v>
      </c>
      <c r="K557" s="205" t="s">
        <v>2702</v>
      </c>
      <c r="L557" s="9" t="s">
        <v>2760</v>
      </c>
      <c r="M557" s="32" t="s">
        <v>125</v>
      </c>
      <c r="N557" s="129" t="s">
        <v>2704</v>
      </c>
      <c r="O557" s="122" t="s">
        <v>2704</v>
      </c>
      <c r="P557" s="123" t="str">
        <f t="shared" si="16"/>
        <v>C2-2025</v>
      </c>
      <c r="Q557" s="123" t="str">
        <f t="shared" si="17"/>
        <v>T3-2025</v>
      </c>
      <c r="R557" s="124" t="s">
        <v>2705</v>
      </c>
      <c r="S557" s="123" t="s">
        <v>2735</v>
      </c>
      <c r="T557" s="123" t="s">
        <v>2724</v>
      </c>
      <c r="U557" s="162" t="s">
        <v>2708</v>
      </c>
      <c r="V557" s="162" t="s">
        <v>55</v>
      </c>
      <c r="W557" s="237" t="s">
        <v>125</v>
      </c>
      <c r="X557" s="173" t="s">
        <v>2709</v>
      </c>
    </row>
    <row r="558" spans="1:24" hidden="1">
      <c r="A558" s="161">
        <v>45857</v>
      </c>
      <c r="B558" s="125">
        <v>4726</v>
      </c>
      <c r="C558" s="32" t="s">
        <v>2543</v>
      </c>
      <c r="D558" s="147">
        <v>-82700</v>
      </c>
      <c r="E558" s="137">
        <v>8.9999999999999998E-4</v>
      </c>
      <c r="F558" s="127">
        <f>Tabla5109[[#This Row],[Original Amount]]*Tabla5109[[#This Row],[ER to EUR]]</f>
        <v>-74.429999999999993</v>
      </c>
      <c r="G558" s="9" t="s">
        <v>3503</v>
      </c>
      <c r="H558" s="9" t="s">
        <v>3504</v>
      </c>
      <c r="I558" s="9" t="s">
        <v>2713</v>
      </c>
      <c r="J558" s="9" t="s">
        <v>2825</v>
      </c>
      <c r="K558" s="205" t="s">
        <v>3505</v>
      </c>
      <c r="L558" s="211" t="s">
        <v>3506</v>
      </c>
      <c r="M558" s="227" t="s">
        <v>2704</v>
      </c>
      <c r="N558" s="129" t="s">
        <v>2748</v>
      </c>
      <c r="O558" s="129" t="s">
        <v>2704</v>
      </c>
      <c r="P558" s="123" t="str">
        <f t="shared" si="16"/>
        <v>C2-2025</v>
      </c>
      <c r="Q558" s="123" t="str">
        <f t="shared" si="17"/>
        <v>T3-2025</v>
      </c>
      <c r="R558" s="91" t="s">
        <v>2749</v>
      </c>
      <c r="S558" s="123" t="s">
        <v>2750</v>
      </c>
      <c r="T558" s="123" t="s">
        <v>2717</v>
      </c>
      <c r="U558" s="162" t="s">
        <v>2708</v>
      </c>
      <c r="V558" s="162" t="s">
        <v>56</v>
      </c>
      <c r="W558" s="237" t="s">
        <v>125</v>
      </c>
      <c r="X558" s="173" t="s">
        <v>2751</v>
      </c>
    </row>
    <row r="559" spans="1:24" hidden="1">
      <c r="A559" s="161">
        <v>45858</v>
      </c>
      <c r="B559" s="117" t="s">
        <v>3507</v>
      </c>
      <c r="C559" s="122" t="s">
        <v>2697</v>
      </c>
      <c r="D559" s="126">
        <v>-818</v>
      </c>
      <c r="E559" s="120">
        <v>1</v>
      </c>
      <c r="F559" s="127">
        <f>Tabla5109[[#This Row],[Original Amount]]*Tabla5109[[#This Row],[ER to EUR]]</f>
        <v>-818</v>
      </c>
      <c r="G559" s="9" t="s">
        <v>2884</v>
      </c>
      <c r="H559" s="73" t="s">
        <v>2885</v>
      </c>
      <c r="I559" s="9" t="s">
        <v>3267</v>
      </c>
      <c r="J559" s="9" t="s">
        <v>2723</v>
      </c>
      <c r="K559" s="205" t="s">
        <v>2792</v>
      </c>
      <c r="L559" s="9" t="s">
        <v>2793</v>
      </c>
      <c r="M559" s="32" t="s">
        <v>125</v>
      </c>
      <c r="N559" s="129" t="s">
        <v>2704</v>
      </c>
      <c r="O559" s="122" t="s">
        <v>2704</v>
      </c>
      <c r="P559" s="123" t="str">
        <f t="shared" si="16"/>
        <v>C2-2025</v>
      </c>
      <c r="Q559" s="123" t="str">
        <f t="shared" si="17"/>
        <v>T3-2025</v>
      </c>
      <c r="R559" s="124" t="s">
        <v>2741</v>
      </c>
      <c r="S559" s="123" t="s">
        <v>2723</v>
      </c>
      <c r="T559" s="123" t="s">
        <v>2707</v>
      </c>
      <c r="U559" s="162" t="s">
        <v>2708</v>
      </c>
      <c r="V559" s="162" t="s">
        <v>54</v>
      </c>
      <c r="W559" s="237" t="s">
        <v>125</v>
      </c>
      <c r="X559" s="173" t="s">
        <v>2709</v>
      </c>
    </row>
    <row r="560" spans="1:24" hidden="1">
      <c r="A560" s="161">
        <v>45859</v>
      </c>
      <c r="B560" s="117">
        <v>65991</v>
      </c>
      <c r="C560" s="122" t="s">
        <v>2697</v>
      </c>
      <c r="D560" s="126">
        <v>-50.62</v>
      </c>
      <c r="E560" s="120">
        <v>1</v>
      </c>
      <c r="F560" s="127">
        <f>Tabla5109[[#This Row],[Original Amount]]*Tabla5109[[#This Row],[ER to EUR]]</f>
        <v>-50.62</v>
      </c>
      <c r="G560" s="9" t="s">
        <v>3508</v>
      </c>
      <c r="H560" s="73" t="s">
        <v>3509</v>
      </c>
      <c r="I560" s="9" t="s">
        <v>2784</v>
      </c>
      <c r="J560" s="9" t="s">
        <v>3095</v>
      </c>
      <c r="K560" s="205" t="s">
        <v>3510</v>
      </c>
      <c r="L560" s="9" t="s">
        <v>3511</v>
      </c>
      <c r="M560" s="32" t="s">
        <v>125</v>
      </c>
      <c r="N560" s="129" t="s">
        <v>2704</v>
      </c>
      <c r="O560" s="122" t="s">
        <v>2704</v>
      </c>
      <c r="P560" s="123" t="str">
        <f t="shared" si="16"/>
        <v>C2-2025</v>
      </c>
      <c r="Q560" s="123" t="str">
        <f t="shared" si="17"/>
        <v>T3-2025</v>
      </c>
      <c r="R560" s="124" t="s">
        <v>2705</v>
      </c>
      <c r="S560" s="124" t="s">
        <v>2706</v>
      </c>
      <c r="T560" s="123" t="s">
        <v>2717</v>
      </c>
      <c r="U560" s="162" t="s">
        <v>2708</v>
      </c>
      <c r="V560" s="162" t="s">
        <v>56</v>
      </c>
      <c r="W560" s="237" t="s">
        <v>125</v>
      </c>
      <c r="X560" s="173" t="s">
        <v>2709</v>
      </c>
    </row>
    <row r="561" spans="1:24" hidden="1">
      <c r="A561" s="161">
        <v>45859</v>
      </c>
      <c r="B561" s="133" t="s">
        <v>3512</v>
      </c>
      <c r="C561" s="122" t="s">
        <v>2697</v>
      </c>
      <c r="D561" s="126">
        <v>-23</v>
      </c>
      <c r="E561" s="120">
        <v>1</v>
      </c>
      <c r="F561" s="127">
        <f>Tabla5109[[#This Row],[Original Amount]]*Tabla5109[[#This Row],[ER to EUR]]</f>
        <v>-23</v>
      </c>
      <c r="G561" s="9" t="s">
        <v>2996</v>
      </c>
      <c r="H561" s="73" t="s">
        <v>2997</v>
      </c>
      <c r="I561" s="9" t="s">
        <v>2727</v>
      </c>
      <c r="J561" s="9" t="s">
        <v>2701</v>
      </c>
      <c r="K561" s="205" t="s">
        <v>2702</v>
      </c>
      <c r="L561" s="9" t="s">
        <v>2703</v>
      </c>
      <c r="M561" s="32" t="s">
        <v>125</v>
      </c>
      <c r="N561" s="129" t="s">
        <v>2704</v>
      </c>
      <c r="O561" s="122" t="s">
        <v>2704</v>
      </c>
      <c r="P561" s="123" t="str">
        <f t="shared" si="16"/>
        <v>C2-2025</v>
      </c>
      <c r="Q561" s="123" t="str">
        <f t="shared" si="17"/>
        <v>T3-2025</v>
      </c>
      <c r="R561" s="124" t="s">
        <v>2705</v>
      </c>
      <c r="S561" s="123" t="s">
        <v>2735</v>
      </c>
      <c r="T561" s="123" t="s">
        <v>2724</v>
      </c>
      <c r="U561" s="162" t="s">
        <v>2708</v>
      </c>
      <c r="V561" s="162" t="s">
        <v>56</v>
      </c>
      <c r="W561" s="237" t="s">
        <v>125</v>
      </c>
      <c r="X561" s="173" t="s">
        <v>2709</v>
      </c>
    </row>
    <row r="562" spans="1:24" hidden="1">
      <c r="A562" s="161">
        <v>45859</v>
      </c>
      <c r="B562" s="130" t="s">
        <v>3513</v>
      </c>
      <c r="C562" s="122" t="s">
        <v>2697</v>
      </c>
      <c r="D562" s="126">
        <v>-58</v>
      </c>
      <c r="E562" s="120">
        <v>1</v>
      </c>
      <c r="F562" s="127">
        <f>Tabla5109[[#This Row],[Original Amount]]*Tabla5109[[#This Row],[ER to EUR]]</f>
        <v>-58</v>
      </c>
      <c r="G562" s="9" t="s">
        <v>3492</v>
      </c>
      <c r="H562" s="9" t="s">
        <v>3514</v>
      </c>
      <c r="I562" s="9" t="s">
        <v>2784</v>
      </c>
      <c r="J562" s="9" t="s">
        <v>2701</v>
      </c>
      <c r="K562" s="205" t="s">
        <v>2702</v>
      </c>
      <c r="L562" s="9" t="s">
        <v>3494</v>
      </c>
      <c r="M562" s="32" t="s">
        <v>125</v>
      </c>
      <c r="N562" s="129" t="s">
        <v>2704</v>
      </c>
      <c r="O562" s="122" t="s">
        <v>2704</v>
      </c>
      <c r="P562" s="123" t="str">
        <f t="shared" si="16"/>
        <v>C2-2025</v>
      </c>
      <c r="Q562" s="123" t="str">
        <f t="shared" si="17"/>
        <v>T3-2025</v>
      </c>
      <c r="R562" s="124" t="s">
        <v>2705</v>
      </c>
      <c r="S562" s="123" t="s">
        <v>2735</v>
      </c>
      <c r="T562" s="123" t="s">
        <v>2707</v>
      </c>
      <c r="U562" s="162" t="s">
        <v>2708</v>
      </c>
      <c r="V562" s="162" t="s">
        <v>54</v>
      </c>
      <c r="W562" s="237" t="s">
        <v>125</v>
      </c>
      <c r="X562" s="173" t="s">
        <v>2709</v>
      </c>
    </row>
    <row r="563" spans="1:24" hidden="1">
      <c r="A563" s="161">
        <v>45859</v>
      </c>
      <c r="B563" s="132" t="s">
        <v>3515</v>
      </c>
      <c r="C563" s="122" t="s">
        <v>2697</v>
      </c>
      <c r="D563" s="126">
        <v>-130.99</v>
      </c>
      <c r="E563" s="120">
        <v>1</v>
      </c>
      <c r="F563" s="127">
        <f>Tabla5109[[#This Row],[Original Amount]]*Tabla5109[[#This Row],[ER to EUR]]</f>
        <v>-130.99</v>
      </c>
      <c r="G563" s="9" t="s">
        <v>3516</v>
      </c>
      <c r="H563" s="73" t="s">
        <v>3517</v>
      </c>
      <c r="I563" s="9" t="s">
        <v>3518</v>
      </c>
      <c r="J563" s="9" t="s">
        <v>2825</v>
      </c>
      <c r="K563" s="205" t="s">
        <v>2826</v>
      </c>
      <c r="L563" s="9" t="s">
        <v>2827</v>
      </c>
      <c r="M563" s="32" t="s">
        <v>125</v>
      </c>
      <c r="N563" s="129" t="s">
        <v>2704</v>
      </c>
      <c r="O563" s="122" t="s">
        <v>2704</v>
      </c>
      <c r="P563" s="123" t="str">
        <f t="shared" si="16"/>
        <v>C2-2025</v>
      </c>
      <c r="Q563" s="123" t="str">
        <f t="shared" si="17"/>
        <v>T3-2025</v>
      </c>
      <c r="R563" s="124" t="s">
        <v>2705</v>
      </c>
      <c r="S563" s="124" t="s">
        <v>2706</v>
      </c>
      <c r="T563" s="123" t="s">
        <v>2717</v>
      </c>
      <c r="U563" s="162" t="s">
        <v>2708</v>
      </c>
      <c r="V563" s="162" t="s">
        <v>56</v>
      </c>
      <c r="W563" s="237" t="s">
        <v>125</v>
      </c>
      <c r="X563" s="173" t="s">
        <v>2709</v>
      </c>
    </row>
    <row r="564" spans="1:24" hidden="1">
      <c r="A564" s="161">
        <v>45860</v>
      </c>
      <c r="B564" s="117">
        <v>551</v>
      </c>
      <c r="C564" s="122" t="s">
        <v>2697</v>
      </c>
      <c r="D564" s="126">
        <v>-22.8</v>
      </c>
      <c r="E564" s="120">
        <v>1</v>
      </c>
      <c r="F564" s="127">
        <f>Tabla5109[[#This Row],[Original Amount]]*Tabla5109[[#This Row],[ER to EUR]]</f>
        <v>-22.8</v>
      </c>
      <c r="G564" s="9" t="s">
        <v>3519</v>
      </c>
      <c r="H564" s="73" t="s">
        <v>3520</v>
      </c>
      <c r="I564" s="9" t="s">
        <v>3288</v>
      </c>
      <c r="J564" s="9" t="s">
        <v>2825</v>
      </c>
      <c r="K564" s="205" t="s">
        <v>3505</v>
      </c>
      <c r="L564" s="9" t="s">
        <v>3506</v>
      </c>
      <c r="M564" s="32" t="s">
        <v>125</v>
      </c>
      <c r="N564" s="129" t="s">
        <v>2704</v>
      </c>
      <c r="O564" s="122" t="s">
        <v>2704</v>
      </c>
      <c r="P564" s="123" t="str">
        <f t="shared" si="16"/>
        <v>C2-2025</v>
      </c>
      <c r="Q564" s="123" t="str">
        <f t="shared" si="17"/>
        <v>T3-2025</v>
      </c>
      <c r="R564" s="124" t="s">
        <v>2705</v>
      </c>
      <c r="S564" s="124" t="s">
        <v>2706</v>
      </c>
      <c r="T564" s="123" t="s">
        <v>2717</v>
      </c>
      <c r="U564" s="162" t="s">
        <v>2708</v>
      </c>
      <c r="V564" s="162" t="s">
        <v>56</v>
      </c>
      <c r="W564" s="237" t="s">
        <v>125</v>
      </c>
      <c r="X564" s="173" t="s">
        <v>2709</v>
      </c>
    </row>
    <row r="565" spans="1:24" hidden="1">
      <c r="A565" s="161">
        <v>45860</v>
      </c>
      <c r="B565" s="135" t="s">
        <v>3521</v>
      </c>
      <c r="C565" s="122" t="s">
        <v>2697</v>
      </c>
      <c r="D565" s="126">
        <v>-53.73</v>
      </c>
      <c r="E565" s="120">
        <v>1</v>
      </c>
      <c r="F565" s="127">
        <f>Tabla5109[[#This Row],[Original Amount]]*Tabla5109[[#This Row],[ER to EUR]]</f>
        <v>-53.73</v>
      </c>
      <c r="G565" s="9" t="s">
        <v>2733</v>
      </c>
      <c r="H565" s="73" t="s">
        <v>2734</v>
      </c>
      <c r="I565" s="9" t="s">
        <v>2713</v>
      </c>
      <c r="J565" s="9" t="s">
        <v>2701</v>
      </c>
      <c r="K565" s="205" t="s">
        <v>2809</v>
      </c>
      <c r="L565" s="9" t="s">
        <v>2810</v>
      </c>
      <c r="M565" s="32" t="s">
        <v>125</v>
      </c>
      <c r="N565" s="129" t="s">
        <v>2704</v>
      </c>
      <c r="O565" s="122" t="s">
        <v>2704</v>
      </c>
      <c r="P565" s="123" t="str">
        <f t="shared" si="16"/>
        <v>C2-2025</v>
      </c>
      <c r="Q565" s="123" t="str">
        <f t="shared" si="17"/>
        <v>T3-2025</v>
      </c>
      <c r="R565" s="124" t="s">
        <v>2705</v>
      </c>
      <c r="S565" s="123" t="s">
        <v>2735</v>
      </c>
      <c r="T565" s="123" t="s">
        <v>2707</v>
      </c>
      <c r="U565" s="203" t="s">
        <v>2708</v>
      </c>
      <c r="V565" s="203" t="s">
        <v>56</v>
      </c>
      <c r="W565" s="237" t="s">
        <v>125</v>
      </c>
      <c r="X565" s="173" t="s">
        <v>2709</v>
      </c>
    </row>
    <row r="566" spans="1:24" hidden="1">
      <c r="A566" s="161">
        <v>45860</v>
      </c>
      <c r="B566" s="117" t="s">
        <v>3522</v>
      </c>
      <c r="C566" s="122" t="s">
        <v>2697</v>
      </c>
      <c r="D566" s="126">
        <v>-818</v>
      </c>
      <c r="E566" s="120">
        <v>1</v>
      </c>
      <c r="F566" s="127">
        <f>Tabla5109[[#This Row],[Original Amount]]*Tabla5109[[#This Row],[ER to EUR]]</f>
        <v>-818</v>
      </c>
      <c r="G566" s="9" t="s">
        <v>2884</v>
      </c>
      <c r="H566" s="73" t="s">
        <v>2885</v>
      </c>
      <c r="I566" s="9" t="s">
        <v>3267</v>
      </c>
      <c r="J566" s="9" t="s">
        <v>2723</v>
      </c>
      <c r="K566" s="205" t="s">
        <v>2792</v>
      </c>
      <c r="L566" s="9" t="s">
        <v>2793</v>
      </c>
      <c r="M566" s="32" t="s">
        <v>125</v>
      </c>
      <c r="N566" s="129" t="s">
        <v>2704</v>
      </c>
      <c r="O566" s="122" t="s">
        <v>2704</v>
      </c>
      <c r="P566" s="123" t="str">
        <f t="shared" si="16"/>
        <v>C2-2025</v>
      </c>
      <c r="Q566" s="123" t="str">
        <f t="shared" si="17"/>
        <v>T3-2025</v>
      </c>
      <c r="R566" s="124" t="s">
        <v>2741</v>
      </c>
      <c r="S566" s="123" t="s">
        <v>2723</v>
      </c>
      <c r="T566" s="123" t="s">
        <v>2707</v>
      </c>
      <c r="U566" s="162" t="s">
        <v>2708</v>
      </c>
      <c r="V566" s="162" t="s">
        <v>54</v>
      </c>
      <c r="W566" s="237" t="s">
        <v>125</v>
      </c>
      <c r="X566" s="173" t="s">
        <v>2709</v>
      </c>
    </row>
    <row r="567" spans="1:24" hidden="1">
      <c r="A567" s="161">
        <v>45860</v>
      </c>
      <c r="B567" s="117" t="s">
        <v>3523</v>
      </c>
      <c r="C567" s="122" t="s">
        <v>2697</v>
      </c>
      <c r="D567" s="126">
        <v>-192.44</v>
      </c>
      <c r="E567" s="120">
        <v>1</v>
      </c>
      <c r="F567" s="127">
        <f>Tabla5109[[#This Row],[Original Amount]]*Tabla5109[[#This Row],[ER to EUR]]</f>
        <v>-192.44</v>
      </c>
      <c r="G567" s="9" t="s">
        <v>2766</v>
      </c>
      <c r="H567" s="9" t="s">
        <v>3502</v>
      </c>
      <c r="I567" s="9" t="s">
        <v>2713</v>
      </c>
      <c r="J567" s="9" t="s">
        <v>2701</v>
      </c>
      <c r="K567" s="205" t="s">
        <v>2702</v>
      </c>
      <c r="L567" s="9" t="s">
        <v>2760</v>
      </c>
      <c r="M567" s="32" t="s">
        <v>125</v>
      </c>
      <c r="N567" s="129" t="s">
        <v>2704</v>
      </c>
      <c r="O567" s="122" t="s">
        <v>2704</v>
      </c>
      <c r="P567" s="123" t="str">
        <f t="shared" si="16"/>
        <v>C2-2025</v>
      </c>
      <c r="Q567" s="123" t="str">
        <f t="shared" si="17"/>
        <v>T3-2025</v>
      </c>
      <c r="R567" s="91" t="s">
        <v>2749</v>
      </c>
      <c r="S567" s="123" t="s">
        <v>2750</v>
      </c>
      <c r="T567" s="123" t="s">
        <v>2724</v>
      </c>
      <c r="U567" s="162" t="s">
        <v>2708</v>
      </c>
      <c r="V567" s="162" t="s">
        <v>55</v>
      </c>
      <c r="W567" s="237" t="s">
        <v>125</v>
      </c>
      <c r="X567" s="173" t="s">
        <v>2709</v>
      </c>
    </row>
    <row r="568" spans="1:24" hidden="1">
      <c r="A568" s="161">
        <v>45860</v>
      </c>
      <c r="B568" s="117" t="s">
        <v>3524</v>
      </c>
      <c r="C568" s="122" t="s">
        <v>2697</v>
      </c>
      <c r="D568" s="126">
        <v>-286.99</v>
      </c>
      <c r="E568" s="120">
        <v>1</v>
      </c>
      <c r="F568" s="127">
        <f>Tabla5109[[#This Row],[Original Amount]]*Tabla5109[[#This Row],[ER to EUR]]</f>
        <v>-286.99</v>
      </c>
      <c r="G568" s="9" t="s">
        <v>3116</v>
      </c>
      <c r="H568" s="9" t="s">
        <v>3525</v>
      </c>
      <c r="I568" s="9" t="s">
        <v>2713</v>
      </c>
      <c r="J568" s="9" t="s">
        <v>2701</v>
      </c>
      <c r="K568" s="205" t="s">
        <v>2702</v>
      </c>
      <c r="L568" s="9" t="s">
        <v>2703</v>
      </c>
      <c r="M568" s="32" t="s">
        <v>125</v>
      </c>
      <c r="N568" s="129" t="s">
        <v>2704</v>
      </c>
      <c r="O568" s="122" t="s">
        <v>2704</v>
      </c>
      <c r="P568" s="123" t="str">
        <f t="shared" si="16"/>
        <v>C2-2025</v>
      </c>
      <c r="Q568" s="123" t="str">
        <f t="shared" si="17"/>
        <v>T3-2025</v>
      </c>
      <c r="R568" s="124" t="s">
        <v>2794</v>
      </c>
      <c r="S568" s="123" t="s">
        <v>3041</v>
      </c>
      <c r="T568" s="123" t="s">
        <v>2707</v>
      </c>
      <c r="U568" s="162" t="s">
        <v>51</v>
      </c>
      <c r="V568" s="162" t="s">
        <v>57</v>
      </c>
      <c r="W568" s="237" t="s">
        <v>125</v>
      </c>
      <c r="X568" s="173" t="s">
        <v>2709</v>
      </c>
    </row>
    <row r="569" spans="1:24" hidden="1">
      <c r="A569" s="161">
        <v>45860</v>
      </c>
      <c r="B569" s="133" t="s">
        <v>3526</v>
      </c>
      <c r="C569" s="32" t="s">
        <v>2697</v>
      </c>
      <c r="D569" s="126">
        <v>-2000</v>
      </c>
      <c r="E569" s="120">
        <v>1</v>
      </c>
      <c r="F569" s="127">
        <f>Tabla5109[[#This Row],[Original Amount]]*Tabla5109[[#This Row],[ER to EUR]]</f>
        <v>-2000</v>
      </c>
      <c r="G569" s="9" t="s">
        <v>3527</v>
      </c>
      <c r="H569" s="9" t="s">
        <v>3528</v>
      </c>
      <c r="I569" s="9" t="s">
        <v>2713</v>
      </c>
      <c r="J569" s="9" t="s">
        <v>2714</v>
      </c>
      <c r="K569" s="205" t="s">
        <v>2747</v>
      </c>
      <c r="L569" s="211" t="s">
        <v>2864</v>
      </c>
      <c r="M569" s="32" t="s">
        <v>125</v>
      </c>
      <c r="N569" s="122" t="s">
        <v>2704</v>
      </c>
      <c r="O569" s="129" t="s">
        <v>2704</v>
      </c>
      <c r="P569" s="123" t="str">
        <f t="shared" si="16"/>
        <v>C2-2025</v>
      </c>
      <c r="Q569" s="123" t="str">
        <f t="shared" si="17"/>
        <v>T3-2025</v>
      </c>
      <c r="R569" s="91" t="s">
        <v>2705</v>
      </c>
      <c r="S569" s="123" t="s">
        <v>2735</v>
      </c>
      <c r="T569" s="123" t="s">
        <v>2724</v>
      </c>
      <c r="U569" s="162" t="s">
        <v>2708</v>
      </c>
      <c r="V569" s="162" t="s">
        <v>56</v>
      </c>
      <c r="W569" s="237" t="s">
        <v>125</v>
      </c>
      <c r="X569" s="201" t="s">
        <v>2709</v>
      </c>
    </row>
    <row r="570" spans="1:24" hidden="1">
      <c r="A570" s="161">
        <v>45861</v>
      </c>
      <c r="B570" s="125">
        <v>781123448100</v>
      </c>
      <c r="C570" s="122" t="s">
        <v>2697</v>
      </c>
      <c r="D570" s="126">
        <v>-43.38</v>
      </c>
      <c r="E570" s="120">
        <v>1</v>
      </c>
      <c r="F570" s="127">
        <f>Tabla5109[[#This Row],[Original Amount]]*Tabla5109[[#This Row],[ER to EUR]]</f>
        <v>-43.38</v>
      </c>
      <c r="G570" s="9" t="s">
        <v>2718</v>
      </c>
      <c r="H570" s="73" t="s">
        <v>3529</v>
      </c>
      <c r="I570" s="9" t="s">
        <v>2720</v>
      </c>
      <c r="J570" s="9" t="s">
        <v>2714</v>
      </c>
      <c r="K570" s="205" t="s">
        <v>2721</v>
      </c>
      <c r="L570" s="9" t="s">
        <v>2716</v>
      </c>
      <c r="M570" s="32" t="s">
        <v>125</v>
      </c>
      <c r="N570" s="129" t="s">
        <v>2704</v>
      </c>
      <c r="O570" s="122" t="s">
        <v>2704</v>
      </c>
      <c r="P570" s="123" t="str">
        <f t="shared" si="16"/>
        <v>C2-2025</v>
      </c>
      <c r="Q570" s="123" t="str">
        <f t="shared" si="17"/>
        <v>T3-2025</v>
      </c>
      <c r="R570" s="124" t="s">
        <v>2722</v>
      </c>
      <c r="S570" s="123" t="s">
        <v>2723</v>
      </c>
      <c r="T570" s="123" t="s">
        <v>2724</v>
      </c>
      <c r="U570" s="162" t="s">
        <v>2708</v>
      </c>
      <c r="V570" s="162" t="s">
        <v>54</v>
      </c>
      <c r="W570" s="237" t="s">
        <v>125</v>
      </c>
      <c r="X570" s="173" t="s">
        <v>2709</v>
      </c>
    </row>
    <row r="571" spans="1:24" hidden="1">
      <c r="A571" s="161">
        <v>45861</v>
      </c>
      <c r="B571" s="133" t="s">
        <v>3530</v>
      </c>
      <c r="C571" s="122" t="s">
        <v>2697</v>
      </c>
      <c r="D571" s="138">
        <v>-379</v>
      </c>
      <c r="E571" s="120">
        <v>1</v>
      </c>
      <c r="F571" s="127">
        <f>Tabla5109[[#This Row],[Original Amount]]*Tabla5109[[#This Row],[ER to EUR]]</f>
        <v>-379</v>
      </c>
      <c r="G571" s="9" t="s">
        <v>3140</v>
      </c>
      <c r="H571" s="73" t="s">
        <v>3531</v>
      </c>
      <c r="I571" s="9" t="s">
        <v>2727</v>
      </c>
      <c r="J571" s="9" t="s">
        <v>2770</v>
      </c>
      <c r="K571" s="205" t="s">
        <v>2702</v>
      </c>
      <c r="L571" s="9" t="s">
        <v>3142</v>
      </c>
      <c r="M571" s="32" t="s">
        <v>125</v>
      </c>
      <c r="N571" s="129" t="s">
        <v>2704</v>
      </c>
      <c r="O571" s="122" t="s">
        <v>2704</v>
      </c>
      <c r="P571" s="123" t="str">
        <f t="shared" si="16"/>
        <v>C2-2025</v>
      </c>
      <c r="Q571" s="123" t="str">
        <f t="shared" si="17"/>
        <v>T3-2025</v>
      </c>
      <c r="R571" s="91" t="s">
        <v>2749</v>
      </c>
      <c r="S571" s="123" t="s">
        <v>2750</v>
      </c>
      <c r="T571" s="123" t="s">
        <v>2724</v>
      </c>
      <c r="U571" s="162" t="s">
        <v>2708</v>
      </c>
      <c r="V571" s="162" t="s">
        <v>54</v>
      </c>
      <c r="W571" s="237" t="s">
        <v>125</v>
      </c>
      <c r="X571" s="173" t="s">
        <v>2709</v>
      </c>
    </row>
    <row r="572" spans="1:24" hidden="1">
      <c r="A572" s="161">
        <v>45862</v>
      </c>
      <c r="B572" s="133" t="s">
        <v>3532</v>
      </c>
      <c r="C572" s="122" t="s">
        <v>2697</v>
      </c>
      <c r="D572" s="138">
        <v>-818</v>
      </c>
      <c r="E572" s="120">
        <v>1</v>
      </c>
      <c r="F572" s="127">
        <f>Tabla5109[[#This Row],[Original Amount]]*Tabla5109[[#This Row],[ER to EUR]]</f>
        <v>-818</v>
      </c>
      <c r="G572" s="9" t="s">
        <v>2884</v>
      </c>
      <c r="H572" s="73" t="s">
        <v>2885</v>
      </c>
      <c r="I572" s="9" t="s">
        <v>3267</v>
      </c>
      <c r="J572" s="9" t="s">
        <v>2723</v>
      </c>
      <c r="K572" s="205" t="s">
        <v>2792</v>
      </c>
      <c r="L572" s="9" t="s">
        <v>2793</v>
      </c>
      <c r="M572" s="32" t="s">
        <v>125</v>
      </c>
      <c r="N572" s="129" t="s">
        <v>2704</v>
      </c>
      <c r="O572" s="122" t="s">
        <v>2704</v>
      </c>
      <c r="P572" s="123" t="str">
        <f t="shared" si="16"/>
        <v>C2-2025</v>
      </c>
      <c r="Q572" s="123" t="str">
        <f t="shared" si="17"/>
        <v>T3-2025</v>
      </c>
      <c r="R572" s="124" t="s">
        <v>2741</v>
      </c>
      <c r="S572" s="123" t="s">
        <v>2723</v>
      </c>
      <c r="T572" s="123" t="s">
        <v>2707</v>
      </c>
      <c r="U572" s="162" t="s">
        <v>2708</v>
      </c>
      <c r="V572" s="162" t="s">
        <v>54</v>
      </c>
      <c r="W572" s="237" t="s">
        <v>125</v>
      </c>
      <c r="X572" s="173" t="s">
        <v>2709</v>
      </c>
    </row>
    <row r="573" spans="1:24" hidden="1">
      <c r="A573" s="161">
        <v>45862</v>
      </c>
      <c r="B573" s="130" t="s">
        <v>3533</v>
      </c>
      <c r="C573" s="122" t="s">
        <v>2697</v>
      </c>
      <c r="D573" s="126">
        <v>-71.040000000000006</v>
      </c>
      <c r="E573" s="120">
        <v>1</v>
      </c>
      <c r="F573" s="127">
        <f>Tabla5109[[#This Row],[Original Amount]]*Tabla5109[[#This Row],[ER to EUR]]</f>
        <v>-71.040000000000006</v>
      </c>
      <c r="G573" s="9" t="s">
        <v>3534</v>
      </c>
      <c r="H573" s="73" t="s">
        <v>2852</v>
      </c>
      <c r="I573" s="9" t="s">
        <v>2713</v>
      </c>
      <c r="J573" s="9" t="s">
        <v>2701</v>
      </c>
      <c r="K573" s="205" t="s">
        <v>2702</v>
      </c>
      <c r="L573" s="9" t="s">
        <v>2788</v>
      </c>
      <c r="M573" s="32" t="s">
        <v>125</v>
      </c>
      <c r="N573" s="129" t="s">
        <v>2704</v>
      </c>
      <c r="O573" s="122" t="s">
        <v>2704</v>
      </c>
      <c r="P573" s="123" t="str">
        <f t="shared" si="16"/>
        <v>C2-2025</v>
      </c>
      <c r="Q573" s="123" t="str">
        <f t="shared" si="17"/>
        <v>T3-2025</v>
      </c>
      <c r="R573" s="124" t="s">
        <v>2794</v>
      </c>
      <c r="S573" s="123" t="s">
        <v>2731</v>
      </c>
      <c r="T573" s="123" t="s">
        <v>2724</v>
      </c>
      <c r="U573" s="162" t="s">
        <v>2708</v>
      </c>
      <c r="V573" s="162" t="s">
        <v>55</v>
      </c>
      <c r="W573" s="237" t="s">
        <v>125</v>
      </c>
      <c r="X573" s="173" t="s">
        <v>2709</v>
      </c>
    </row>
    <row r="574" spans="1:24" hidden="1">
      <c r="A574" s="161">
        <v>45862</v>
      </c>
      <c r="B574" s="117" t="s">
        <v>3535</v>
      </c>
      <c r="C574" s="122" t="s">
        <v>2697</v>
      </c>
      <c r="D574" s="126">
        <v>-59.41</v>
      </c>
      <c r="E574" s="120">
        <v>1</v>
      </c>
      <c r="F574" s="127">
        <f>Tabla5109[[#This Row],[Original Amount]]*Tabla5109[[#This Row],[ER to EUR]]</f>
        <v>-59.41</v>
      </c>
      <c r="G574" s="9" t="s">
        <v>3137</v>
      </c>
      <c r="H574" s="73" t="s">
        <v>3536</v>
      </c>
      <c r="I574" s="9" t="s">
        <v>2727</v>
      </c>
      <c r="J574" s="9" t="s">
        <v>2701</v>
      </c>
      <c r="K574" s="205" t="s">
        <v>2702</v>
      </c>
      <c r="L574" s="9" t="s">
        <v>2760</v>
      </c>
      <c r="M574" s="32" t="s">
        <v>125</v>
      </c>
      <c r="N574" s="129" t="s">
        <v>2704</v>
      </c>
      <c r="O574" s="122" t="s">
        <v>2704</v>
      </c>
      <c r="P574" s="123" t="str">
        <f t="shared" si="16"/>
        <v>C2-2025</v>
      </c>
      <c r="Q574" s="123" t="str">
        <f t="shared" si="17"/>
        <v>T3-2025</v>
      </c>
      <c r="R574" s="124" t="s">
        <v>2819</v>
      </c>
      <c r="S574" s="123" t="s">
        <v>2723</v>
      </c>
      <c r="T574" s="123" t="s">
        <v>2724</v>
      </c>
      <c r="U574" s="162" t="s">
        <v>2708</v>
      </c>
      <c r="V574" s="162" t="s">
        <v>54</v>
      </c>
      <c r="W574" s="237" t="s">
        <v>125</v>
      </c>
      <c r="X574" s="173" t="s">
        <v>2709</v>
      </c>
    </row>
    <row r="575" spans="1:24" hidden="1">
      <c r="A575" s="161">
        <v>45864</v>
      </c>
      <c r="B575" s="133" t="s">
        <v>3537</v>
      </c>
      <c r="C575" s="122" t="s">
        <v>2697</v>
      </c>
      <c r="D575" s="138">
        <v>-818</v>
      </c>
      <c r="E575" s="120">
        <v>1</v>
      </c>
      <c r="F575" s="127">
        <f>Tabla5109[[#This Row],[Original Amount]]*Tabla5109[[#This Row],[ER to EUR]]</f>
        <v>-818</v>
      </c>
      <c r="G575" s="9" t="s">
        <v>2884</v>
      </c>
      <c r="H575" s="73" t="s">
        <v>2885</v>
      </c>
      <c r="I575" s="9" t="s">
        <v>3267</v>
      </c>
      <c r="J575" s="9" t="s">
        <v>2723</v>
      </c>
      <c r="K575" s="205" t="s">
        <v>2792</v>
      </c>
      <c r="L575" s="9" t="s">
        <v>2793</v>
      </c>
      <c r="M575" s="32" t="s">
        <v>125</v>
      </c>
      <c r="N575" s="129" t="s">
        <v>2704</v>
      </c>
      <c r="O575" s="122" t="s">
        <v>2704</v>
      </c>
      <c r="P575" s="123" t="str">
        <f t="shared" si="16"/>
        <v>C2-2025</v>
      </c>
      <c r="Q575" s="123" t="str">
        <f t="shared" si="17"/>
        <v>T3-2025</v>
      </c>
      <c r="R575" s="124" t="s">
        <v>2741</v>
      </c>
      <c r="S575" s="123" t="s">
        <v>2723</v>
      </c>
      <c r="T575" s="123" t="s">
        <v>2707</v>
      </c>
      <c r="U575" s="162" t="s">
        <v>2708</v>
      </c>
      <c r="V575" s="162" t="s">
        <v>54</v>
      </c>
      <c r="W575" s="237" t="s">
        <v>125</v>
      </c>
      <c r="X575" s="173" t="s">
        <v>2709</v>
      </c>
    </row>
    <row r="576" spans="1:24" hidden="1">
      <c r="A576" s="161">
        <v>45865</v>
      </c>
      <c r="B576" s="148">
        <v>636893048</v>
      </c>
      <c r="C576" s="122" t="s">
        <v>2697</v>
      </c>
      <c r="D576" s="138">
        <v>-1852.83</v>
      </c>
      <c r="E576" s="120">
        <v>1</v>
      </c>
      <c r="F576" s="127">
        <f>Tabla5109[[#This Row],[Original Amount]]*Tabla5109[[#This Row],[ER to EUR]]</f>
        <v>-1852.83</v>
      </c>
      <c r="G576" s="9" t="s">
        <v>2698</v>
      </c>
      <c r="H576" s="73" t="s">
        <v>3538</v>
      </c>
      <c r="I576" s="9" t="s">
        <v>2784</v>
      </c>
      <c r="J576" s="9" t="s">
        <v>2701</v>
      </c>
      <c r="K576" s="205" t="s">
        <v>2702</v>
      </c>
      <c r="L576" s="9" t="s">
        <v>2703</v>
      </c>
      <c r="M576" s="32" t="s">
        <v>125</v>
      </c>
      <c r="N576" s="129" t="s">
        <v>2704</v>
      </c>
      <c r="O576" s="122" t="s">
        <v>2704</v>
      </c>
      <c r="P576" s="123" t="str">
        <f t="shared" si="16"/>
        <v>C2-2025</v>
      </c>
      <c r="Q576" s="123" t="str">
        <f t="shared" si="17"/>
        <v>T3-2025</v>
      </c>
      <c r="R576" s="124" t="s">
        <v>2705</v>
      </c>
      <c r="S576" s="124" t="s">
        <v>2706</v>
      </c>
      <c r="T576" s="123" t="s">
        <v>2707</v>
      </c>
      <c r="U576" s="162" t="s">
        <v>2708</v>
      </c>
      <c r="V576" s="162" t="s">
        <v>54</v>
      </c>
      <c r="W576" s="237" t="s">
        <v>125</v>
      </c>
      <c r="X576" s="173" t="s">
        <v>2709</v>
      </c>
    </row>
    <row r="577" spans="1:24" hidden="1">
      <c r="A577" s="161">
        <v>45865</v>
      </c>
      <c r="B577" s="133" t="s">
        <v>3539</v>
      </c>
      <c r="C577" s="32" t="s">
        <v>2548</v>
      </c>
      <c r="D577" s="151">
        <v>-1.29</v>
      </c>
      <c r="E577" s="120">
        <v>0.85650000000000004</v>
      </c>
      <c r="F577" s="127">
        <f>Tabla5109[[#This Row],[Original Amount]]*Tabla5109[[#This Row],[ER to EUR]]</f>
        <v>-1.1048850000000001</v>
      </c>
      <c r="G577" s="9" t="s">
        <v>2884</v>
      </c>
      <c r="H577" s="9" t="s">
        <v>3199</v>
      </c>
      <c r="I577" s="9" t="s">
        <v>3480</v>
      </c>
      <c r="J577" s="9" t="s">
        <v>2723</v>
      </c>
      <c r="K577" s="205" t="s">
        <v>2792</v>
      </c>
      <c r="L577" s="9" t="s">
        <v>2793</v>
      </c>
      <c r="M577" s="32" t="s">
        <v>125</v>
      </c>
      <c r="N577" s="129" t="s">
        <v>2704</v>
      </c>
      <c r="O577" s="122" t="s">
        <v>2704</v>
      </c>
      <c r="P577" s="123" t="str">
        <f t="shared" si="16"/>
        <v>C2-2025</v>
      </c>
      <c r="Q577" s="123" t="str">
        <f t="shared" si="17"/>
        <v>T3-2025</v>
      </c>
      <c r="R577" s="124" t="s">
        <v>2741</v>
      </c>
      <c r="S577" s="123" t="s">
        <v>2723</v>
      </c>
      <c r="T577" s="123" t="s">
        <v>2707</v>
      </c>
      <c r="U577" s="162" t="s">
        <v>2708</v>
      </c>
      <c r="V577" s="162" t="s">
        <v>54</v>
      </c>
      <c r="W577" s="237" t="s">
        <v>125</v>
      </c>
      <c r="X577" s="173" t="s">
        <v>2709</v>
      </c>
    </row>
    <row r="578" spans="1:24" hidden="1">
      <c r="A578" s="161">
        <v>45866</v>
      </c>
      <c r="B578" s="117" t="s">
        <v>3540</v>
      </c>
      <c r="C578" s="122" t="s">
        <v>2697</v>
      </c>
      <c r="D578" s="126">
        <v>-1800</v>
      </c>
      <c r="E578" s="120">
        <v>1</v>
      </c>
      <c r="F578" s="127">
        <f>Tabla5109[[#This Row],[Original Amount]]*Tabla5109[[#This Row],[ER to EUR]]</f>
        <v>-1800</v>
      </c>
      <c r="G578" s="9" t="s">
        <v>2725</v>
      </c>
      <c r="H578" s="9" t="s">
        <v>3236</v>
      </c>
      <c r="I578" s="9" t="s">
        <v>2727</v>
      </c>
      <c r="J578" s="9" t="s">
        <v>2701</v>
      </c>
      <c r="K578" s="205" t="s">
        <v>2728</v>
      </c>
      <c r="L578" s="9" t="s">
        <v>2729</v>
      </c>
      <c r="M578" s="32" t="s">
        <v>125</v>
      </c>
      <c r="N578" s="129" t="s">
        <v>2704</v>
      </c>
      <c r="O578" s="122" t="s">
        <v>2704</v>
      </c>
      <c r="P578" s="123" t="str">
        <f t="shared" ref="P578:P641" si="18">"C"&amp;INT((MONTH(A578)-1)/4)+1&amp;"-"&amp;YEAR(A578)</f>
        <v>C2-2025</v>
      </c>
      <c r="Q578" s="123" t="str">
        <f t="shared" ref="Q578:Q641" si="19">"T"&amp;INT((MONTH(A578)-1)/3)+1&amp;"-"&amp;YEAR(A578)</f>
        <v>T3-2025</v>
      </c>
      <c r="R578" s="124" t="s">
        <v>2730</v>
      </c>
      <c r="S578" s="123" t="s">
        <v>2731</v>
      </c>
      <c r="T578" s="123" t="s">
        <v>2707</v>
      </c>
      <c r="U578" s="162" t="s">
        <v>51</v>
      </c>
      <c r="V578" s="162" t="s">
        <v>57</v>
      </c>
      <c r="W578" s="237" t="s">
        <v>125</v>
      </c>
      <c r="X578" s="173" t="s">
        <v>2709</v>
      </c>
    </row>
    <row r="579" spans="1:24" hidden="1">
      <c r="A579" s="161">
        <v>45866</v>
      </c>
      <c r="B579" s="133" t="s">
        <v>3541</v>
      </c>
      <c r="C579" s="122" t="s">
        <v>2697</v>
      </c>
      <c r="D579" s="138">
        <v>-818</v>
      </c>
      <c r="E579" s="120">
        <v>1</v>
      </c>
      <c r="F579" s="127">
        <f>Tabla5109[[#This Row],[Original Amount]]*Tabla5109[[#This Row],[ER to EUR]]</f>
        <v>-818</v>
      </c>
      <c r="G579" s="9" t="s">
        <v>2884</v>
      </c>
      <c r="H579" s="73" t="s">
        <v>2885</v>
      </c>
      <c r="I579" s="9" t="s">
        <v>3267</v>
      </c>
      <c r="J579" s="9" t="s">
        <v>2723</v>
      </c>
      <c r="K579" s="205" t="s">
        <v>2792</v>
      </c>
      <c r="L579" s="9" t="s">
        <v>2793</v>
      </c>
      <c r="M579" s="32" t="s">
        <v>125</v>
      </c>
      <c r="N579" s="129" t="s">
        <v>2704</v>
      </c>
      <c r="O579" s="122" t="s">
        <v>2704</v>
      </c>
      <c r="P579" s="123" t="str">
        <f t="shared" si="18"/>
        <v>C2-2025</v>
      </c>
      <c r="Q579" s="123" t="str">
        <f t="shared" si="19"/>
        <v>T3-2025</v>
      </c>
      <c r="R579" s="124" t="s">
        <v>2741</v>
      </c>
      <c r="S579" s="123" t="s">
        <v>2723</v>
      </c>
      <c r="T579" s="123" t="s">
        <v>2707</v>
      </c>
      <c r="U579" s="162" t="s">
        <v>2708</v>
      </c>
      <c r="V579" s="162" t="s">
        <v>54</v>
      </c>
      <c r="W579" s="237" t="s">
        <v>125</v>
      </c>
      <c r="X579" s="173" t="s">
        <v>2709</v>
      </c>
    </row>
    <row r="580" spans="1:24" hidden="1">
      <c r="A580" s="161">
        <v>45866</v>
      </c>
      <c r="B580" s="130" t="s">
        <v>3542</v>
      </c>
      <c r="C580" s="122" t="s">
        <v>2697</v>
      </c>
      <c r="D580" s="126">
        <v>-4165</v>
      </c>
      <c r="E580" s="120">
        <v>1</v>
      </c>
      <c r="F580" s="127">
        <f>Tabla5109[[#This Row],[Original Amount]]*Tabla5109[[#This Row],[ER to EUR]]</f>
        <v>-4165</v>
      </c>
      <c r="G580" s="9" t="s">
        <v>3419</v>
      </c>
      <c r="H580" s="73" t="s">
        <v>3543</v>
      </c>
      <c r="I580" s="9" t="s">
        <v>2727</v>
      </c>
      <c r="J580" s="9" t="s">
        <v>2714</v>
      </c>
      <c r="K580" s="205" t="s">
        <v>2747</v>
      </c>
      <c r="L580" s="9" t="s">
        <v>2864</v>
      </c>
      <c r="M580" s="32" t="s">
        <v>125</v>
      </c>
      <c r="N580" s="129" t="s">
        <v>2704</v>
      </c>
      <c r="O580" s="122" t="s">
        <v>2704</v>
      </c>
      <c r="P580" s="123" t="str">
        <f t="shared" si="18"/>
        <v>C2-2025</v>
      </c>
      <c r="Q580" s="123" t="str">
        <f t="shared" si="19"/>
        <v>T3-2025</v>
      </c>
      <c r="R580" s="124" t="s">
        <v>2705</v>
      </c>
      <c r="S580" s="124" t="s">
        <v>2706</v>
      </c>
      <c r="T580" s="123" t="s">
        <v>2717</v>
      </c>
      <c r="U580" s="162" t="s">
        <v>2708</v>
      </c>
      <c r="V580" s="162" t="s">
        <v>56</v>
      </c>
      <c r="W580" s="237" t="s">
        <v>125</v>
      </c>
      <c r="X580" s="173" t="s">
        <v>2709</v>
      </c>
    </row>
    <row r="581" spans="1:24" hidden="1">
      <c r="A581" s="161">
        <v>45867</v>
      </c>
      <c r="B581" s="117">
        <v>251942</v>
      </c>
      <c r="C581" s="122" t="s">
        <v>2697</v>
      </c>
      <c r="D581" s="126">
        <v>-1737.4</v>
      </c>
      <c r="E581" s="120">
        <v>1</v>
      </c>
      <c r="F581" s="127">
        <f>Tabla5109[[#This Row],[Original Amount]]*Tabla5109[[#This Row],[ER to EUR]]</f>
        <v>-1737.4</v>
      </c>
      <c r="G581" s="9" t="s">
        <v>3544</v>
      </c>
      <c r="H581" s="73" t="s">
        <v>3545</v>
      </c>
      <c r="I581" s="9" t="s">
        <v>2945</v>
      </c>
      <c r="J581" s="9" t="s">
        <v>2714</v>
      </c>
      <c r="K581" s="205" t="s">
        <v>3546</v>
      </c>
      <c r="L581" s="9" t="s">
        <v>3547</v>
      </c>
      <c r="M581" s="32" t="s">
        <v>125</v>
      </c>
      <c r="N581" s="129" t="s">
        <v>2704</v>
      </c>
      <c r="O581" s="122" t="s">
        <v>2704</v>
      </c>
      <c r="P581" s="123" t="str">
        <f t="shared" si="18"/>
        <v>C2-2025</v>
      </c>
      <c r="Q581" s="123" t="str">
        <f t="shared" si="19"/>
        <v>T3-2025</v>
      </c>
      <c r="R581" s="124" t="s">
        <v>2705</v>
      </c>
      <c r="S581" s="124" t="s">
        <v>2706</v>
      </c>
      <c r="T581" s="123" t="s">
        <v>2717</v>
      </c>
      <c r="U581" s="162" t="s">
        <v>2708</v>
      </c>
      <c r="V581" s="162" t="s">
        <v>56</v>
      </c>
      <c r="W581" s="237" t="s">
        <v>125</v>
      </c>
      <c r="X581" s="173" t="s">
        <v>2709</v>
      </c>
    </row>
    <row r="582" spans="1:24" hidden="1">
      <c r="A582" s="161">
        <v>45867</v>
      </c>
      <c r="B582" s="117" t="s">
        <v>3548</v>
      </c>
      <c r="C582" s="122" t="s">
        <v>2697</v>
      </c>
      <c r="D582" s="126">
        <v>-184.44</v>
      </c>
      <c r="E582" s="120">
        <v>1</v>
      </c>
      <c r="F582" s="127">
        <f>Tabla5109[[#This Row],[Original Amount]]*Tabla5109[[#This Row],[ER to EUR]]</f>
        <v>-184.44</v>
      </c>
      <c r="G582" s="9" t="s">
        <v>3248</v>
      </c>
      <c r="H582" s="9" t="s">
        <v>3549</v>
      </c>
      <c r="I582" s="9" t="s">
        <v>2713</v>
      </c>
      <c r="J582" s="9" t="s">
        <v>2714</v>
      </c>
      <c r="K582" s="205" t="s">
        <v>2702</v>
      </c>
      <c r="L582" s="9" t="s">
        <v>2799</v>
      </c>
      <c r="M582" s="32" t="s">
        <v>125</v>
      </c>
      <c r="N582" s="129" t="s">
        <v>2704</v>
      </c>
      <c r="O582" s="122" t="s">
        <v>2704</v>
      </c>
      <c r="P582" s="123" t="str">
        <f t="shared" si="18"/>
        <v>C2-2025</v>
      </c>
      <c r="Q582" s="123" t="str">
        <f t="shared" si="19"/>
        <v>T3-2025</v>
      </c>
      <c r="R582" s="124" t="s">
        <v>2730</v>
      </c>
      <c r="S582" s="123" t="s">
        <v>2731</v>
      </c>
      <c r="T582" s="123" t="s">
        <v>2724</v>
      </c>
      <c r="U582" s="162" t="s">
        <v>51</v>
      </c>
      <c r="V582" s="162" t="s">
        <v>57</v>
      </c>
      <c r="W582" s="237" t="s">
        <v>125</v>
      </c>
      <c r="X582" s="173" t="s">
        <v>2709</v>
      </c>
    </row>
    <row r="583" spans="1:24" hidden="1">
      <c r="A583" s="161">
        <v>45867</v>
      </c>
      <c r="B583" s="133" t="s">
        <v>3550</v>
      </c>
      <c r="C583" s="122" t="s">
        <v>2697</v>
      </c>
      <c r="D583" s="138">
        <v>-62.49</v>
      </c>
      <c r="E583" s="120">
        <v>1</v>
      </c>
      <c r="F583" s="127">
        <f>Tabla5109[[#This Row],[Original Amount]]*Tabla5109[[#This Row],[ER to EUR]]</f>
        <v>-62.49</v>
      </c>
      <c r="G583" s="9" t="s">
        <v>2956</v>
      </c>
      <c r="H583" s="73" t="s">
        <v>3214</v>
      </c>
      <c r="I583" s="9" t="s">
        <v>2739</v>
      </c>
      <c r="J583" s="9" t="s">
        <v>2701</v>
      </c>
      <c r="K583" s="205" t="s">
        <v>2702</v>
      </c>
      <c r="L583" s="9" t="s">
        <v>2740</v>
      </c>
      <c r="M583" s="32" t="s">
        <v>125</v>
      </c>
      <c r="N583" s="129" t="s">
        <v>2704</v>
      </c>
      <c r="O583" s="122" t="s">
        <v>2704</v>
      </c>
      <c r="P583" s="123" t="str">
        <f t="shared" si="18"/>
        <v>C2-2025</v>
      </c>
      <c r="Q583" s="123" t="str">
        <f t="shared" si="19"/>
        <v>T3-2025</v>
      </c>
      <c r="R583" s="124" t="s">
        <v>2705</v>
      </c>
      <c r="S583" s="124" t="s">
        <v>2706</v>
      </c>
      <c r="T583" s="123" t="s">
        <v>2724</v>
      </c>
      <c r="U583" s="162" t="s">
        <v>2708</v>
      </c>
      <c r="V583" s="162" t="s">
        <v>54</v>
      </c>
      <c r="W583" s="237" t="s">
        <v>125</v>
      </c>
      <c r="X583" s="173" t="s">
        <v>2709</v>
      </c>
    </row>
    <row r="584" spans="1:24" hidden="1">
      <c r="A584" s="161">
        <v>45868</v>
      </c>
      <c r="B584" s="132">
        <v>15634</v>
      </c>
      <c r="C584" s="122" t="s">
        <v>2697</v>
      </c>
      <c r="D584" s="138">
        <v>-1800</v>
      </c>
      <c r="E584" s="120">
        <v>1</v>
      </c>
      <c r="F584" s="127">
        <f>Tabla5109[[#This Row],[Original Amount]]*Tabla5109[[#This Row],[ER to EUR]]</f>
        <v>-1800</v>
      </c>
      <c r="G584" s="9" t="s">
        <v>2725</v>
      </c>
      <c r="H584" s="9" t="s">
        <v>3236</v>
      </c>
      <c r="I584" s="9" t="s">
        <v>2727</v>
      </c>
      <c r="J584" s="9" t="s">
        <v>2701</v>
      </c>
      <c r="K584" s="205" t="s">
        <v>2728</v>
      </c>
      <c r="L584" s="9" t="s">
        <v>2729</v>
      </c>
      <c r="M584" s="32" t="s">
        <v>125</v>
      </c>
      <c r="N584" s="129" t="s">
        <v>2704</v>
      </c>
      <c r="O584" s="122" t="s">
        <v>2704</v>
      </c>
      <c r="P584" s="123" t="str">
        <f t="shared" si="18"/>
        <v>C2-2025</v>
      </c>
      <c r="Q584" s="123" t="str">
        <f t="shared" si="19"/>
        <v>T3-2025</v>
      </c>
      <c r="R584" s="124" t="s">
        <v>2730</v>
      </c>
      <c r="S584" s="123" t="s">
        <v>2731</v>
      </c>
      <c r="T584" s="123" t="s">
        <v>2707</v>
      </c>
      <c r="U584" s="162" t="s">
        <v>51</v>
      </c>
      <c r="V584" s="162" t="s">
        <v>57</v>
      </c>
      <c r="W584" s="237" t="s">
        <v>125</v>
      </c>
      <c r="X584" s="173" t="s">
        <v>2709</v>
      </c>
    </row>
    <row r="585" spans="1:24" hidden="1">
      <c r="A585" s="161">
        <v>45868</v>
      </c>
      <c r="B585" s="131" t="s">
        <v>3551</v>
      </c>
      <c r="C585" s="122" t="s">
        <v>2548</v>
      </c>
      <c r="D585" s="141">
        <v>-90</v>
      </c>
      <c r="E585" s="221">
        <v>0.85653100000000004</v>
      </c>
      <c r="F585" s="127">
        <f>Tabla5109[[#This Row],[Original Amount]]*Tabla5109[[#This Row],[ER to EUR]]</f>
        <v>-77.087789999999998</v>
      </c>
      <c r="G585" s="9" t="s">
        <v>2766</v>
      </c>
      <c r="H585" s="9" t="s">
        <v>4877</v>
      </c>
      <c r="I585" s="9" t="s">
        <v>2713</v>
      </c>
      <c r="J585" s="9" t="s">
        <v>2701</v>
      </c>
      <c r="K585" s="205" t="s">
        <v>2702</v>
      </c>
      <c r="L585" s="9" t="s">
        <v>2760</v>
      </c>
      <c r="M585" s="32" t="s">
        <v>125</v>
      </c>
      <c r="N585" s="129" t="s">
        <v>2704</v>
      </c>
      <c r="O585" s="122" t="s">
        <v>2704</v>
      </c>
      <c r="P585" s="123" t="str">
        <f t="shared" si="18"/>
        <v>C2-2025</v>
      </c>
      <c r="Q585" s="123" t="str">
        <f t="shared" si="19"/>
        <v>T3-2025</v>
      </c>
      <c r="R585" s="124" t="s">
        <v>2705</v>
      </c>
      <c r="S585" s="124" t="s">
        <v>2706</v>
      </c>
      <c r="T585" s="123" t="s">
        <v>2724</v>
      </c>
      <c r="U585" s="162" t="s">
        <v>2708</v>
      </c>
      <c r="V585" s="162" t="s">
        <v>55</v>
      </c>
      <c r="W585" s="237" t="s">
        <v>125</v>
      </c>
      <c r="X585" s="173" t="s">
        <v>2709</v>
      </c>
    </row>
    <row r="586" spans="1:24" hidden="1">
      <c r="A586" s="161">
        <v>45868</v>
      </c>
      <c r="B586" s="135" t="s">
        <v>3552</v>
      </c>
      <c r="C586" s="122" t="s">
        <v>2697</v>
      </c>
      <c r="D586" s="126">
        <v>-558</v>
      </c>
      <c r="E586" s="120">
        <v>1</v>
      </c>
      <c r="F586" s="127">
        <f>Tabla5109[[#This Row],[Original Amount]]*Tabla5109[[#This Row],[ER to EUR]]</f>
        <v>-558</v>
      </c>
      <c r="G586" s="9" t="s">
        <v>3092</v>
      </c>
      <c r="H586" s="73" t="s">
        <v>3553</v>
      </c>
      <c r="I586" s="9" t="s">
        <v>3554</v>
      </c>
      <c r="J586" s="9" t="s">
        <v>3095</v>
      </c>
      <c r="K586" s="205" t="s">
        <v>3096</v>
      </c>
      <c r="L586" s="9" t="s">
        <v>3097</v>
      </c>
      <c r="M586" s="32" t="s">
        <v>125</v>
      </c>
      <c r="N586" s="129" t="s">
        <v>2704</v>
      </c>
      <c r="O586" s="122" t="s">
        <v>2704</v>
      </c>
      <c r="P586" s="123" t="str">
        <f t="shared" si="18"/>
        <v>C2-2025</v>
      </c>
      <c r="Q586" s="123" t="str">
        <f t="shared" si="19"/>
        <v>T3-2025</v>
      </c>
      <c r="R586" s="124" t="s">
        <v>2705</v>
      </c>
      <c r="S586" s="124" t="s">
        <v>2706</v>
      </c>
      <c r="T586" s="123" t="s">
        <v>2717</v>
      </c>
      <c r="U586" s="162" t="s">
        <v>3098</v>
      </c>
      <c r="V586" s="162" t="s">
        <v>56</v>
      </c>
      <c r="W586" s="237" t="s">
        <v>125</v>
      </c>
      <c r="X586" s="173" t="s">
        <v>2709</v>
      </c>
    </row>
    <row r="587" spans="1:24" hidden="1">
      <c r="A587" s="161">
        <v>45869</v>
      </c>
      <c r="B587" s="131" t="s">
        <v>3555</v>
      </c>
      <c r="C587" s="122" t="s">
        <v>2697</v>
      </c>
      <c r="D587" s="138">
        <v>-818</v>
      </c>
      <c r="E587" s="120">
        <v>1</v>
      </c>
      <c r="F587" s="127">
        <f>Tabla5109[[#This Row],[Original Amount]]*Tabla5109[[#This Row],[ER to EUR]]</f>
        <v>-818</v>
      </c>
      <c r="G587" s="9" t="s">
        <v>2884</v>
      </c>
      <c r="H587" s="73" t="s">
        <v>2885</v>
      </c>
      <c r="I587" s="9" t="s">
        <v>3480</v>
      </c>
      <c r="J587" s="9" t="s">
        <v>2723</v>
      </c>
      <c r="K587" s="205" t="s">
        <v>2792</v>
      </c>
      <c r="L587" s="9" t="s">
        <v>2793</v>
      </c>
      <c r="M587" s="32" t="s">
        <v>125</v>
      </c>
      <c r="N587" s="129" t="s">
        <v>2704</v>
      </c>
      <c r="O587" s="122" t="s">
        <v>2704</v>
      </c>
      <c r="P587" s="123" t="str">
        <f t="shared" si="18"/>
        <v>C2-2025</v>
      </c>
      <c r="Q587" s="123" t="str">
        <f t="shared" si="19"/>
        <v>T3-2025</v>
      </c>
      <c r="R587" s="124" t="s">
        <v>2741</v>
      </c>
      <c r="S587" s="123" t="s">
        <v>2723</v>
      </c>
      <c r="T587" s="123" t="s">
        <v>2707</v>
      </c>
      <c r="U587" s="162" t="s">
        <v>2708</v>
      </c>
      <c r="V587" s="162" t="s">
        <v>54</v>
      </c>
      <c r="W587" s="237" t="s">
        <v>125</v>
      </c>
      <c r="X587" s="173" t="s">
        <v>2709</v>
      </c>
    </row>
    <row r="588" spans="1:24" hidden="1">
      <c r="A588" s="161">
        <v>45869</v>
      </c>
      <c r="B588" s="130" t="s">
        <v>3556</v>
      </c>
      <c r="C588" s="122" t="s">
        <v>2697</v>
      </c>
      <c r="D588" s="138">
        <v>-5331.2</v>
      </c>
      <c r="E588" s="120">
        <v>1</v>
      </c>
      <c r="F588" s="127">
        <f>Tabla5109[[#This Row],[Original Amount]]*Tabla5109[[#This Row],[ER to EUR]]</f>
        <v>-5331.2</v>
      </c>
      <c r="G588" s="9" t="s">
        <v>3557</v>
      </c>
      <c r="H588" s="73" t="s">
        <v>3558</v>
      </c>
      <c r="I588" s="9" t="s">
        <v>2727</v>
      </c>
      <c r="J588" s="9" t="s">
        <v>2714</v>
      </c>
      <c r="K588" s="205" t="s">
        <v>2747</v>
      </c>
      <c r="L588" s="9" t="s">
        <v>2716</v>
      </c>
      <c r="M588" s="32" t="s">
        <v>125</v>
      </c>
      <c r="N588" s="129" t="s">
        <v>2704</v>
      </c>
      <c r="O588" s="122" t="s">
        <v>2704</v>
      </c>
      <c r="P588" s="123" t="str">
        <f t="shared" si="18"/>
        <v>C2-2025</v>
      </c>
      <c r="Q588" s="123" t="str">
        <f t="shared" si="19"/>
        <v>T3-2025</v>
      </c>
      <c r="R588" s="124" t="s">
        <v>2794</v>
      </c>
      <c r="S588" s="123" t="s">
        <v>2731</v>
      </c>
      <c r="T588" s="123" t="s">
        <v>2707</v>
      </c>
      <c r="U588" s="162" t="s">
        <v>51</v>
      </c>
      <c r="V588" s="162" t="s">
        <v>57</v>
      </c>
      <c r="W588" s="237" t="s">
        <v>125</v>
      </c>
      <c r="X588" s="173" t="s">
        <v>2709</v>
      </c>
    </row>
    <row r="589" spans="1:24" hidden="1">
      <c r="A589" s="161">
        <v>45869</v>
      </c>
      <c r="B589" s="130" t="s">
        <v>3559</v>
      </c>
      <c r="C589" s="122" t="s">
        <v>2548</v>
      </c>
      <c r="D589" s="141">
        <v>-2.74</v>
      </c>
      <c r="E589" s="221">
        <v>0.85653100000000004</v>
      </c>
      <c r="F589" s="127">
        <f>Tabla5109[[#This Row],[Original Amount]]*Tabla5109[[#This Row],[ER to EUR]]</f>
        <v>-2.3468949400000003</v>
      </c>
      <c r="G589" s="9" t="s">
        <v>3039</v>
      </c>
      <c r="H589" s="73" t="s">
        <v>3040</v>
      </c>
      <c r="I589" s="9" t="s">
        <v>2713</v>
      </c>
      <c r="J589" s="9" t="s">
        <v>2701</v>
      </c>
      <c r="K589" s="205" t="s">
        <v>2702</v>
      </c>
      <c r="L589" s="9" t="s">
        <v>2703</v>
      </c>
      <c r="M589" s="32" t="s">
        <v>125</v>
      </c>
      <c r="N589" s="129" t="s">
        <v>2704</v>
      </c>
      <c r="O589" s="122" t="s">
        <v>2704</v>
      </c>
      <c r="P589" s="123" t="str">
        <f t="shared" si="18"/>
        <v>C2-2025</v>
      </c>
      <c r="Q589" s="123" t="str">
        <f t="shared" si="19"/>
        <v>T3-2025</v>
      </c>
      <c r="R589" s="124" t="s">
        <v>2705</v>
      </c>
      <c r="S589" s="123" t="s">
        <v>3041</v>
      </c>
      <c r="T589" s="123" t="s">
        <v>2724</v>
      </c>
      <c r="U589" s="162" t="s">
        <v>2708</v>
      </c>
      <c r="V589" s="162" t="s">
        <v>57</v>
      </c>
      <c r="W589" s="237" t="s">
        <v>125</v>
      </c>
      <c r="X589" s="173" t="s">
        <v>2709</v>
      </c>
    </row>
    <row r="590" spans="1:24" hidden="1">
      <c r="A590" s="161">
        <v>45869</v>
      </c>
      <c r="B590" s="194" t="s">
        <v>2871</v>
      </c>
      <c r="C590" s="32" t="s">
        <v>2697</v>
      </c>
      <c r="D590" s="138">
        <v>-3965.28</v>
      </c>
      <c r="E590" s="120">
        <v>1</v>
      </c>
      <c r="F590" s="127">
        <f>Tabla5109[[#This Row],[Original Amount]]*Tabla5109[[#This Row],[ER to EUR]]</f>
        <v>-3965.28</v>
      </c>
      <c r="G590" s="9" t="s">
        <v>3436</v>
      </c>
      <c r="H590" s="91" t="s">
        <v>3560</v>
      </c>
      <c r="I590" s="9" t="s">
        <v>2713</v>
      </c>
      <c r="J590" s="9" t="s">
        <v>2770</v>
      </c>
      <c r="K590" s="205" t="s">
        <v>2874</v>
      </c>
      <c r="L590" s="9" t="s">
        <v>2875</v>
      </c>
      <c r="M590" s="32" t="s">
        <v>125</v>
      </c>
      <c r="N590" s="122" t="s">
        <v>2748</v>
      </c>
      <c r="O590" s="129" t="s">
        <v>2748</v>
      </c>
      <c r="P590" s="123" t="str">
        <f t="shared" si="18"/>
        <v>C2-2025</v>
      </c>
      <c r="Q590" s="123" t="str">
        <f t="shared" si="19"/>
        <v>T3-2025</v>
      </c>
      <c r="R590" s="91" t="s">
        <v>2705</v>
      </c>
      <c r="S590" s="124" t="s">
        <v>2706</v>
      </c>
      <c r="T590" s="123" t="s">
        <v>2724</v>
      </c>
      <c r="U590" s="162" t="s">
        <v>2708</v>
      </c>
      <c r="V590" s="162" t="s">
        <v>57</v>
      </c>
      <c r="W590" s="237" t="s">
        <v>125</v>
      </c>
      <c r="X590" s="201" t="s">
        <v>2709</v>
      </c>
    </row>
    <row r="591" spans="1:24" hidden="1">
      <c r="A591" s="161">
        <v>45869</v>
      </c>
      <c r="B591" s="194" t="s">
        <v>2871</v>
      </c>
      <c r="C591" s="32" t="s">
        <v>2543</v>
      </c>
      <c r="D591" s="147">
        <v>-1238380</v>
      </c>
      <c r="E591" s="247">
        <v>8.9999999999999998E-4</v>
      </c>
      <c r="F591" s="127">
        <f>Tabla5109[[#This Row],[Original Amount]]*Tabla5109[[#This Row],[ER to EUR]]</f>
        <v>-1114.5419999999999</v>
      </c>
      <c r="G591" s="91" t="s">
        <v>2872</v>
      </c>
      <c r="H591" s="91" t="s">
        <v>3561</v>
      </c>
      <c r="I591" s="9" t="s">
        <v>2713</v>
      </c>
      <c r="J591" s="9" t="s">
        <v>2770</v>
      </c>
      <c r="K591" s="205" t="s">
        <v>2874</v>
      </c>
      <c r="L591" s="9" t="s">
        <v>2875</v>
      </c>
      <c r="M591" s="227" t="s">
        <v>2704</v>
      </c>
      <c r="N591" s="122" t="s">
        <v>2748</v>
      </c>
      <c r="O591" s="129" t="s">
        <v>2748</v>
      </c>
      <c r="P591" s="123" t="str">
        <f t="shared" si="18"/>
        <v>C2-2025</v>
      </c>
      <c r="Q591" s="123" t="str">
        <f t="shared" si="19"/>
        <v>T3-2025</v>
      </c>
      <c r="R591" s="91" t="s">
        <v>2749</v>
      </c>
      <c r="S591" s="123" t="s">
        <v>2750</v>
      </c>
      <c r="T591" s="123" t="s">
        <v>2724</v>
      </c>
      <c r="U591" s="162" t="s">
        <v>2708</v>
      </c>
      <c r="V591" s="162" t="s">
        <v>54</v>
      </c>
      <c r="W591" s="237" t="s">
        <v>125</v>
      </c>
      <c r="X591" s="173" t="s">
        <v>2751</v>
      </c>
    </row>
    <row r="592" spans="1:24" hidden="1">
      <c r="A592" s="161">
        <v>45869</v>
      </c>
      <c r="B592" s="194" t="s">
        <v>2871</v>
      </c>
      <c r="C592" s="32" t="s">
        <v>2543</v>
      </c>
      <c r="D592" s="147">
        <v>-7148721</v>
      </c>
      <c r="E592" s="247">
        <v>8.9999999999999998E-4</v>
      </c>
      <c r="F592" s="127">
        <f>Tabla5109[[#This Row],[Original Amount]]*Tabla5109[[#This Row],[ER to EUR]]</f>
        <v>-6433.8489</v>
      </c>
      <c r="G592" s="9" t="s">
        <v>2876</v>
      </c>
      <c r="H592" s="91" t="s">
        <v>3561</v>
      </c>
      <c r="I592" s="9" t="s">
        <v>2713</v>
      </c>
      <c r="J592" s="9" t="s">
        <v>2770</v>
      </c>
      <c r="K592" s="205" t="s">
        <v>2874</v>
      </c>
      <c r="L592" s="9" t="s">
        <v>2875</v>
      </c>
      <c r="M592" s="227" t="s">
        <v>2704</v>
      </c>
      <c r="N592" s="122" t="s">
        <v>2748</v>
      </c>
      <c r="O592" s="129" t="s">
        <v>2748</v>
      </c>
      <c r="P592" s="123" t="str">
        <f t="shared" si="18"/>
        <v>C2-2025</v>
      </c>
      <c r="Q592" s="123" t="str">
        <f t="shared" si="19"/>
        <v>T3-2025</v>
      </c>
      <c r="R592" s="91" t="s">
        <v>2749</v>
      </c>
      <c r="S592" s="123" t="s">
        <v>2750</v>
      </c>
      <c r="T592" s="157" t="s">
        <v>2724</v>
      </c>
      <c r="U592" s="165" t="s">
        <v>2708</v>
      </c>
      <c r="V592" s="165" t="s">
        <v>56</v>
      </c>
      <c r="W592" s="237" t="s">
        <v>125</v>
      </c>
      <c r="X592" s="173" t="s">
        <v>2751</v>
      </c>
    </row>
    <row r="593" spans="1:24" hidden="1">
      <c r="A593" s="161">
        <v>45869</v>
      </c>
      <c r="B593" s="194" t="s">
        <v>2871</v>
      </c>
      <c r="C593" s="32" t="s">
        <v>2543</v>
      </c>
      <c r="D593" s="147">
        <v>-5046151</v>
      </c>
      <c r="E593" s="247">
        <v>8.9999999999999998E-4</v>
      </c>
      <c r="F593" s="127">
        <f>Tabla5109[[#This Row],[Original Amount]]*Tabla5109[[#This Row],[ER to EUR]]</f>
        <v>-4541.5358999999999</v>
      </c>
      <c r="G593" s="9" t="s">
        <v>3257</v>
      </c>
      <c r="H593" s="91" t="s">
        <v>3561</v>
      </c>
      <c r="I593" s="9" t="s">
        <v>2713</v>
      </c>
      <c r="J593" s="9" t="s">
        <v>2770</v>
      </c>
      <c r="K593" s="205" t="s">
        <v>2874</v>
      </c>
      <c r="L593" s="9" t="s">
        <v>2875</v>
      </c>
      <c r="M593" s="227" t="s">
        <v>2704</v>
      </c>
      <c r="N593" s="122" t="s">
        <v>2748</v>
      </c>
      <c r="O593" s="129" t="s">
        <v>2748</v>
      </c>
      <c r="P593" s="123" t="str">
        <f t="shared" si="18"/>
        <v>C2-2025</v>
      </c>
      <c r="Q593" s="123" t="str">
        <f t="shared" si="19"/>
        <v>T3-2025</v>
      </c>
      <c r="R593" s="91" t="s">
        <v>2749</v>
      </c>
      <c r="S593" s="123" t="s">
        <v>2750</v>
      </c>
      <c r="T593" s="123" t="s">
        <v>2717</v>
      </c>
      <c r="U593" s="162" t="s">
        <v>2708</v>
      </c>
      <c r="V593" s="162" t="s">
        <v>54</v>
      </c>
      <c r="W593" s="237" t="s">
        <v>125</v>
      </c>
      <c r="X593" s="173" t="s">
        <v>2751</v>
      </c>
    </row>
    <row r="594" spans="1:24" hidden="1">
      <c r="A594" s="161">
        <v>45869</v>
      </c>
      <c r="B594" s="194" t="s">
        <v>2871</v>
      </c>
      <c r="C594" s="32" t="s">
        <v>2543</v>
      </c>
      <c r="D594" s="147">
        <v>-4445699</v>
      </c>
      <c r="E594" s="247">
        <v>8.9999999999999998E-4</v>
      </c>
      <c r="F594" s="127">
        <f>Tabla5109[[#This Row],[Original Amount]]*Tabla5109[[#This Row],[ER to EUR]]</f>
        <v>-4001.1291000000001</v>
      </c>
      <c r="G594" s="9" t="s">
        <v>2877</v>
      </c>
      <c r="H594" s="91" t="s">
        <v>3561</v>
      </c>
      <c r="I594" s="9" t="s">
        <v>2713</v>
      </c>
      <c r="J594" s="9" t="s">
        <v>2770</v>
      </c>
      <c r="K594" s="205" t="s">
        <v>2874</v>
      </c>
      <c r="L594" s="9" t="s">
        <v>2875</v>
      </c>
      <c r="M594" s="227" t="s">
        <v>2704</v>
      </c>
      <c r="N594" s="122" t="s">
        <v>2748</v>
      </c>
      <c r="O594" s="129" t="s">
        <v>2748</v>
      </c>
      <c r="P594" s="123" t="str">
        <f t="shared" si="18"/>
        <v>C2-2025</v>
      </c>
      <c r="Q594" s="123" t="str">
        <f t="shared" si="19"/>
        <v>T3-2025</v>
      </c>
      <c r="R594" s="91" t="s">
        <v>2749</v>
      </c>
      <c r="S594" s="123" t="s">
        <v>2750</v>
      </c>
      <c r="T594" s="123" t="s">
        <v>2724</v>
      </c>
      <c r="U594" s="162" t="s">
        <v>2708</v>
      </c>
      <c r="V594" s="162" t="s">
        <v>54</v>
      </c>
      <c r="W594" s="237" t="s">
        <v>125</v>
      </c>
      <c r="X594" s="173" t="s">
        <v>2751</v>
      </c>
    </row>
    <row r="595" spans="1:24" hidden="1">
      <c r="A595" s="161">
        <v>45870</v>
      </c>
      <c r="B595" s="132">
        <v>804458140</v>
      </c>
      <c r="C595" s="122" t="s">
        <v>2697</v>
      </c>
      <c r="D595" s="119">
        <v>-3016.77</v>
      </c>
      <c r="E595" s="120">
        <v>1</v>
      </c>
      <c r="F595" s="121">
        <f>Tabla5109[[#This Row],[Original Amount]]*Tabla5109[[#This Row],[ER to EUR]]</f>
        <v>-3016.77</v>
      </c>
      <c r="G595" s="9" t="s">
        <v>3562</v>
      </c>
      <c r="H595" s="73" t="s">
        <v>3563</v>
      </c>
      <c r="I595" s="9" t="s">
        <v>2784</v>
      </c>
      <c r="J595" s="9" t="s">
        <v>3095</v>
      </c>
      <c r="K595" s="205" t="s">
        <v>3510</v>
      </c>
      <c r="L595" s="9" t="s">
        <v>3097</v>
      </c>
      <c r="M595" s="32" t="s">
        <v>125</v>
      </c>
      <c r="N595" s="129" t="s">
        <v>2704</v>
      </c>
      <c r="O595" s="122" t="s">
        <v>2704</v>
      </c>
      <c r="P595" s="123" t="str">
        <f t="shared" si="18"/>
        <v>C2-2025</v>
      </c>
      <c r="Q595" s="123" t="str">
        <f t="shared" si="19"/>
        <v>T3-2025</v>
      </c>
      <c r="R595" s="124" t="s">
        <v>2705</v>
      </c>
      <c r="S595" s="124" t="s">
        <v>2706</v>
      </c>
      <c r="T595" s="123" t="s">
        <v>2717</v>
      </c>
      <c r="U595" s="162" t="s">
        <v>3098</v>
      </c>
      <c r="V595" s="162" t="s">
        <v>56</v>
      </c>
      <c r="W595" s="237" t="s">
        <v>125</v>
      </c>
      <c r="X595" s="173" t="s">
        <v>2709</v>
      </c>
    </row>
    <row r="596" spans="1:24" hidden="1">
      <c r="A596" s="161">
        <v>45870</v>
      </c>
      <c r="B596" s="133" t="s">
        <v>3564</v>
      </c>
      <c r="C596" s="122" t="s">
        <v>2697</v>
      </c>
      <c r="D596" s="119">
        <v>-192.44</v>
      </c>
      <c r="E596" s="120">
        <v>1</v>
      </c>
      <c r="F596" s="121">
        <f>Tabla5109[[#This Row],[Original Amount]]*Tabla5109[[#This Row],[ER to EUR]]</f>
        <v>-192.44</v>
      </c>
      <c r="G596" s="9" t="s">
        <v>2766</v>
      </c>
      <c r="H596" s="9" t="s">
        <v>3565</v>
      </c>
      <c r="I596" s="9" t="s">
        <v>2713</v>
      </c>
      <c r="J596" s="9" t="s">
        <v>2701</v>
      </c>
      <c r="K596" s="205" t="s">
        <v>2702</v>
      </c>
      <c r="L596" s="9" t="s">
        <v>2760</v>
      </c>
      <c r="M596" s="32" t="s">
        <v>125</v>
      </c>
      <c r="N596" s="129" t="s">
        <v>2704</v>
      </c>
      <c r="O596" s="122" t="s">
        <v>2704</v>
      </c>
      <c r="P596" s="123" t="str">
        <f t="shared" si="18"/>
        <v>C2-2025</v>
      </c>
      <c r="Q596" s="123" t="str">
        <f t="shared" si="19"/>
        <v>T3-2025</v>
      </c>
      <c r="R596" s="124" t="s">
        <v>2741</v>
      </c>
      <c r="S596" s="123" t="s">
        <v>2723</v>
      </c>
      <c r="T596" s="123" t="s">
        <v>2724</v>
      </c>
      <c r="U596" s="162" t="s">
        <v>2708</v>
      </c>
      <c r="V596" s="162" t="s">
        <v>55</v>
      </c>
      <c r="W596" s="237" t="s">
        <v>125</v>
      </c>
      <c r="X596" s="173" t="s">
        <v>2709</v>
      </c>
    </row>
    <row r="597" spans="1:24" hidden="1">
      <c r="A597" s="161">
        <v>45870</v>
      </c>
      <c r="B597" s="125">
        <v>202500001038</v>
      </c>
      <c r="C597" s="122" t="s">
        <v>2697</v>
      </c>
      <c r="D597" s="146">
        <v>-4835.21</v>
      </c>
      <c r="E597" s="120">
        <v>1</v>
      </c>
      <c r="F597" s="121">
        <f>Tabla5109[[#This Row],[Original Amount]]*Tabla5109[[#This Row],[ER to EUR]]</f>
        <v>-4835.21</v>
      </c>
      <c r="G597" s="9" t="s">
        <v>2796</v>
      </c>
      <c r="H597" s="73" t="s">
        <v>3050</v>
      </c>
      <c r="I597" s="9" t="s">
        <v>2727</v>
      </c>
      <c r="J597" s="9" t="s">
        <v>2714</v>
      </c>
      <c r="K597" s="205" t="s">
        <v>2798</v>
      </c>
      <c r="L597" s="9" t="s">
        <v>2799</v>
      </c>
      <c r="M597" s="32" t="s">
        <v>125</v>
      </c>
      <c r="N597" s="122" t="s">
        <v>2704</v>
      </c>
      <c r="O597" s="129" t="s">
        <v>2704</v>
      </c>
      <c r="P597" s="123" t="str">
        <f t="shared" si="18"/>
        <v>C2-2025</v>
      </c>
      <c r="Q597" s="123" t="str">
        <f t="shared" si="19"/>
        <v>T3-2025</v>
      </c>
      <c r="R597" s="124" t="s">
        <v>2705</v>
      </c>
      <c r="S597" s="124" t="s">
        <v>2706</v>
      </c>
      <c r="T597" s="123" t="s">
        <v>2724</v>
      </c>
      <c r="U597" s="162" t="s">
        <v>2708</v>
      </c>
      <c r="V597" s="162" t="s">
        <v>56</v>
      </c>
      <c r="W597" s="237" t="s">
        <v>125</v>
      </c>
      <c r="X597" s="173" t="s">
        <v>2709</v>
      </c>
    </row>
    <row r="598" spans="1:24" hidden="1">
      <c r="A598" s="161">
        <v>45870</v>
      </c>
      <c r="B598" s="132">
        <v>6</v>
      </c>
      <c r="C598" s="122" t="s">
        <v>2543</v>
      </c>
      <c r="D598" s="152">
        <v>-543296</v>
      </c>
      <c r="E598" s="137">
        <v>8.8900000000000003E-4</v>
      </c>
      <c r="F598" s="121">
        <f>Tabla5109[[#This Row],[Original Amount]]*Tabla5109[[#This Row],[ER to EUR]]</f>
        <v>-482.99014400000004</v>
      </c>
      <c r="G598" s="9" t="s">
        <v>3566</v>
      </c>
      <c r="H598" s="9" t="s">
        <v>3567</v>
      </c>
      <c r="I598" s="9" t="s">
        <v>2713</v>
      </c>
      <c r="J598" s="9" t="s">
        <v>2714</v>
      </c>
      <c r="K598" s="205" t="s">
        <v>2747</v>
      </c>
      <c r="L598" s="9" t="s">
        <v>2864</v>
      </c>
      <c r="M598" s="226" t="s">
        <v>2748</v>
      </c>
      <c r="N598" s="129" t="s">
        <v>2704</v>
      </c>
      <c r="O598" s="122" t="s">
        <v>2704</v>
      </c>
      <c r="P598" s="123" t="str">
        <f t="shared" si="18"/>
        <v>C2-2025</v>
      </c>
      <c r="Q598" s="123" t="str">
        <f t="shared" si="19"/>
        <v>T3-2025</v>
      </c>
      <c r="R598" s="124" t="s">
        <v>2705</v>
      </c>
      <c r="S598" s="124" t="s">
        <v>2706</v>
      </c>
      <c r="T598" s="123" t="s">
        <v>2724</v>
      </c>
      <c r="U598" s="162" t="s">
        <v>2708</v>
      </c>
      <c r="V598" s="162" t="s">
        <v>56</v>
      </c>
      <c r="W598" s="237" t="s">
        <v>125</v>
      </c>
      <c r="X598" s="173" t="s">
        <v>2709</v>
      </c>
    </row>
    <row r="599" spans="1:24" hidden="1">
      <c r="A599" s="161">
        <v>45901</v>
      </c>
      <c r="B599" s="130" t="s">
        <v>6569</v>
      </c>
      <c r="C599" s="32" t="s">
        <v>2697</v>
      </c>
      <c r="D599" s="146">
        <v>-845.81</v>
      </c>
      <c r="E599" s="120">
        <v>1</v>
      </c>
      <c r="F599" s="121">
        <f>Tabla5109[[#This Row],[Original Amount]]*Tabla5109[[#This Row],[ER to EUR]]</f>
        <v>-845.81</v>
      </c>
      <c r="G599" s="9" t="s">
        <v>3692</v>
      </c>
      <c r="H599" s="9" t="s">
        <v>6576</v>
      </c>
      <c r="I599" s="9" t="s">
        <v>2713</v>
      </c>
      <c r="J599" s="9" t="s">
        <v>2701</v>
      </c>
      <c r="K599" s="205" t="s">
        <v>2702</v>
      </c>
      <c r="L599" s="9" t="s">
        <v>6577</v>
      </c>
      <c r="M599" s="227" t="s">
        <v>125</v>
      </c>
      <c r="N599" s="122" t="s">
        <v>2748</v>
      </c>
      <c r="O599" s="129" t="s">
        <v>2748</v>
      </c>
      <c r="P599" s="123" t="str">
        <f t="shared" si="18"/>
        <v>C3-2025</v>
      </c>
      <c r="Q599" s="123" t="str">
        <f t="shared" si="19"/>
        <v>T3-2025</v>
      </c>
      <c r="R599" s="91" t="s">
        <v>6009</v>
      </c>
      <c r="S599" s="123" t="s">
        <v>2750</v>
      </c>
      <c r="T599" s="123" t="s">
        <v>2724</v>
      </c>
      <c r="U599" s="162" t="s">
        <v>2708</v>
      </c>
      <c r="V599" s="162" t="s">
        <v>56</v>
      </c>
      <c r="W599" s="237" t="s">
        <v>125</v>
      </c>
      <c r="X599" s="201" t="s">
        <v>2709</v>
      </c>
    </row>
    <row r="600" spans="1:24" hidden="1">
      <c r="A600" s="161">
        <v>45871</v>
      </c>
      <c r="B600" s="125">
        <v>132016288660</v>
      </c>
      <c r="C600" s="122" t="s">
        <v>2697</v>
      </c>
      <c r="D600" s="119">
        <v>-45.22</v>
      </c>
      <c r="E600" s="120">
        <v>1</v>
      </c>
      <c r="F600" s="121">
        <f>Tabla5109[[#This Row],[Original Amount]]*Tabla5109[[#This Row],[ER to EUR]]</f>
        <v>-45.22</v>
      </c>
      <c r="G600" s="9" t="s">
        <v>2768</v>
      </c>
      <c r="H600" s="9" t="s">
        <v>3568</v>
      </c>
      <c r="I600" s="9" t="s">
        <v>3480</v>
      </c>
      <c r="J600" s="9" t="s">
        <v>2770</v>
      </c>
      <c r="K600" s="205" t="s">
        <v>2771</v>
      </c>
      <c r="L600" s="9" t="s">
        <v>2772</v>
      </c>
      <c r="M600" s="32" t="s">
        <v>125</v>
      </c>
      <c r="N600" s="129" t="s">
        <v>2704</v>
      </c>
      <c r="O600" s="122" t="s">
        <v>2704</v>
      </c>
      <c r="P600" s="123" t="str">
        <f t="shared" si="18"/>
        <v>C2-2025</v>
      </c>
      <c r="Q600" s="123" t="str">
        <f t="shared" si="19"/>
        <v>T3-2025</v>
      </c>
      <c r="R600" s="124" t="s">
        <v>2705</v>
      </c>
      <c r="S600" s="123" t="s">
        <v>2735</v>
      </c>
      <c r="T600" s="123" t="s">
        <v>2724</v>
      </c>
      <c r="U600" s="162" t="s">
        <v>2708</v>
      </c>
      <c r="V600" s="162" t="s">
        <v>56</v>
      </c>
      <c r="W600" s="237" t="s">
        <v>125</v>
      </c>
      <c r="X600" s="173" t="s">
        <v>2709</v>
      </c>
    </row>
    <row r="601" spans="1:24" hidden="1">
      <c r="A601" s="161">
        <v>45871</v>
      </c>
      <c r="B601" s="705" t="s">
        <v>3569</v>
      </c>
      <c r="C601" s="122" t="s">
        <v>2697</v>
      </c>
      <c r="D601" s="119">
        <v>-818</v>
      </c>
      <c r="E601" s="120">
        <v>1</v>
      </c>
      <c r="F601" s="236">
        <f>Tabla5109[[#This Row],[Original Amount]]*Tabla5109[[#This Row],[ER to EUR]]</f>
        <v>-818</v>
      </c>
      <c r="G601" s="9" t="s">
        <v>2884</v>
      </c>
      <c r="H601" s="73" t="s">
        <v>2885</v>
      </c>
      <c r="I601" s="9" t="s">
        <v>3267</v>
      </c>
      <c r="J601" s="9" t="s">
        <v>2723</v>
      </c>
      <c r="K601" s="205" t="s">
        <v>2792</v>
      </c>
      <c r="L601" s="9" t="s">
        <v>2793</v>
      </c>
      <c r="M601" s="32" t="s">
        <v>125</v>
      </c>
      <c r="N601" s="129" t="s">
        <v>2704</v>
      </c>
      <c r="O601" s="122" t="s">
        <v>2704</v>
      </c>
      <c r="P601" s="123" t="str">
        <f t="shared" si="18"/>
        <v>C2-2025</v>
      </c>
      <c r="Q601" s="123" t="str">
        <f t="shared" si="19"/>
        <v>T3-2025</v>
      </c>
      <c r="R601" s="124" t="s">
        <v>2741</v>
      </c>
      <c r="S601" s="123" t="s">
        <v>2723</v>
      </c>
      <c r="T601" s="123" t="s">
        <v>2707</v>
      </c>
      <c r="U601" s="162" t="s">
        <v>2708</v>
      </c>
      <c r="V601" s="162" t="s">
        <v>54</v>
      </c>
      <c r="W601" s="237" t="s">
        <v>125</v>
      </c>
      <c r="X601" s="173" t="s">
        <v>2709</v>
      </c>
    </row>
    <row r="602" spans="1:24" hidden="1">
      <c r="A602" s="161">
        <v>45871</v>
      </c>
      <c r="B602" s="133" t="s">
        <v>3570</v>
      </c>
      <c r="C602" s="122" t="s">
        <v>2548</v>
      </c>
      <c r="D602" s="149">
        <v>-108.39</v>
      </c>
      <c r="E602" s="222">
        <v>0.85836909871244638</v>
      </c>
      <c r="F602" s="236">
        <f>Tabla5109[[#This Row],[Original Amount]]*Tabla5109[[#This Row],[ER to EUR]]</f>
        <v>-93.038626609442062</v>
      </c>
      <c r="G602" s="9" t="s">
        <v>2786</v>
      </c>
      <c r="H602" s="73" t="s">
        <v>3571</v>
      </c>
      <c r="I602" s="9" t="s">
        <v>2713</v>
      </c>
      <c r="J602" s="9" t="s">
        <v>2701</v>
      </c>
      <c r="K602" s="205" t="s">
        <v>2702</v>
      </c>
      <c r="L602" s="9" t="s">
        <v>2788</v>
      </c>
      <c r="M602" s="32" t="s">
        <v>125</v>
      </c>
      <c r="N602" s="129" t="s">
        <v>2704</v>
      </c>
      <c r="O602" s="122" t="s">
        <v>2704</v>
      </c>
      <c r="P602" s="123" t="str">
        <f t="shared" si="18"/>
        <v>C2-2025</v>
      </c>
      <c r="Q602" s="123" t="str">
        <f t="shared" si="19"/>
        <v>T3-2025</v>
      </c>
      <c r="R602" s="124" t="s">
        <v>2705</v>
      </c>
      <c r="S602" s="124" t="s">
        <v>2706</v>
      </c>
      <c r="T602" s="123" t="s">
        <v>2724</v>
      </c>
      <c r="U602" s="162" t="s">
        <v>2708</v>
      </c>
      <c r="V602" s="162" t="s">
        <v>56</v>
      </c>
      <c r="W602" s="237" t="s">
        <v>125</v>
      </c>
      <c r="X602" s="173" t="s">
        <v>2709</v>
      </c>
    </row>
    <row r="603" spans="1:24" hidden="1">
      <c r="A603" s="161">
        <v>45872</v>
      </c>
      <c r="B603" s="117">
        <v>15651</v>
      </c>
      <c r="C603" s="122" t="s">
        <v>2697</v>
      </c>
      <c r="D603" s="119">
        <v>-3600</v>
      </c>
      <c r="E603" s="120">
        <v>1</v>
      </c>
      <c r="F603" s="236">
        <f>Tabla5109[[#This Row],[Original Amount]]*Tabla5109[[#This Row],[ER to EUR]]</f>
        <v>-3600</v>
      </c>
      <c r="G603" s="9" t="s">
        <v>2725</v>
      </c>
      <c r="H603" s="9" t="s">
        <v>3377</v>
      </c>
      <c r="I603" s="9" t="s">
        <v>2727</v>
      </c>
      <c r="J603" s="9" t="s">
        <v>2701</v>
      </c>
      <c r="K603" s="205" t="s">
        <v>2728</v>
      </c>
      <c r="L603" s="9" t="s">
        <v>2729</v>
      </c>
      <c r="M603" s="32" t="s">
        <v>125</v>
      </c>
      <c r="N603" s="129" t="s">
        <v>2704</v>
      </c>
      <c r="O603" s="122" t="s">
        <v>2704</v>
      </c>
      <c r="P603" s="123" t="str">
        <f t="shared" si="18"/>
        <v>C2-2025</v>
      </c>
      <c r="Q603" s="123" t="str">
        <f t="shared" si="19"/>
        <v>T3-2025</v>
      </c>
      <c r="R603" s="124" t="s">
        <v>2730</v>
      </c>
      <c r="S603" s="123" t="s">
        <v>2731</v>
      </c>
      <c r="T603" s="123" t="s">
        <v>2707</v>
      </c>
      <c r="U603" s="162" t="s">
        <v>51</v>
      </c>
      <c r="V603" s="162" t="s">
        <v>57</v>
      </c>
      <c r="W603" s="237" t="s">
        <v>125</v>
      </c>
      <c r="X603" s="173" t="s">
        <v>2709</v>
      </c>
    </row>
    <row r="604" spans="1:24" hidden="1">
      <c r="A604" s="161">
        <v>45872</v>
      </c>
      <c r="B604" s="148">
        <v>14896460</v>
      </c>
      <c r="C604" s="122" t="s">
        <v>2548</v>
      </c>
      <c r="D604" s="149">
        <v>-140</v>
      </c>
      <c r="E604" s="222">
        <v>0.85836909871244638</v>
      </c>
      <c r="F604" s="236">
        <f>Tabla5109[[#This Row],[Original Amount]]*Tabla5109[[#This Row],[ER to EUR]]</f>
        <v>-120.17167381974249</v>
      </c>
      <c r="G604" s="9" t="s">
        <v>2737</v>
      </c>
      <c r="H604" s="9" t="s">
        <v>3468</v>
      </c>
      <c r="I604" s="9" t="s">
        <v>2739</v>
      </c>
      <c r="J604" s="9" t="s">
        <v>2701</v>
      </c>
      <c r="K604" s="205" t="s">
        <v>2702</v>
      </c>
      <c r="L604" s="9" t="s">
        <v>2740</v>
      </c>
      <c r="M604" s="32" t="s">
        <v>125</v>
      </c>
      <c r="N604" s="129" t="s">
        <v>2704</v>
      </c>
      <c r="O604" s="122" t="s">
        <v>2704</v>
      </c>
      <c r="P604" s="123" t="str">
        <f t="shared" si="18"/>
        <v>C2-2025</v>
      </c>
      <c r="Q604" s="123" t="str">
        <f t="shared" si="19"/>
        <v>T3-2025</v>
      </c>
      <c r="R604" s="124" t="s">
        <v>2741</v>
      </c>
      <c r="S604" s="123" t="s">
        <v>2723</v>
      </c>
      <c r="T604" s="123" t="s">
        <v>2724</v>
      </c>
      <c r="U604" s="162" t="s">
        <v>2708</v>
      </c>
      <c r="V604" s="162" t="s">
        <v>54</v>
      </c>
      <c r="W604" s="237" t="s">
        <v>125</v>
      </c>
      <c r="X604" s="173" t="s">
        <v>2709</v>
      </c>
    </row>
    <row r="605" spans="1:24" hidden="1">
      <c r="A605" s="161">
        <v>45872</v>
      </c>
      <c r="B605" s="130" t="s">
        <v>2580</v>
      </c>
      <c r="C605" s="122" t="s">
        <v>2697</v>
      </c>
      <c r="D605" s="146">
        <v>-250</v>
      </c>
      <c r="E605" s="120">
        <v>1</v>
      </c>
      <c r="F605" s="236">
        <f>Tabla5109[[#This Row],[Original Amount]]*Tabla5109[[#This Row],[ER to EUR]]</f>
        <v>-250</v>
      </c>
      <c r="G605" s="9" t="s">
        <v>3237</v>
      </c>
      <c r="H605" s="73" t="s">
        <v>3572</v>
      </c>
      <c r="I605" s="9" t="s">
        <v>2713</v>
      </c>
      <c r="J605" s="9" t="s">
        <v>2770</v>
      </c>
      <c r="K605" s="205" t="s">
        <v>2803</v>
      </c>
      <c r="L605" s="9" t="s">
        <v>57</v>
      </c>
      <c r="M605" s="32" t="s">
        <v>125</v>
      </c>
      <c r="N605" s="129" t="s">
        <v>2704</v>
      </c>
      <c r="O605" s="122" t="s">
        <v>2704</v>
      </c>
      <c r="P605" s="123" t="str">
        <f t="shared" si="18"/>
        <v>C2-2025</v>
      </c>
      <c r="Q605" s="123" t="str">
        <f t="shared" si="19"/>
        <v>T3-2025</v>
      </c>
      <c r="R605" s="91" t="s">
        <v>2749</v>
      </c>
      <c r="S605" s="123" t="s">
        <v>2750</v>
      </c>
      <c r="T605" s="123" t="s">
        <v>2717</v>
      </c>
      <c r="U605" s="162" t="s">
        <v>2708</v>
      </c>
      <c r="V605" s="162" t="s">
        <v>56</v>
      </c>
      <c r="W605" s="237" t="s">
        <v>125</v>
      </c>
      <c r="X605" s="173" t="s">
        <v>2709</v>
      </c>
    </row>
    <row r="606" spans="1:24" hidden="1">
      <c r="A606" s="161">
        <v>45872</v>
      </c>
      <c r="B606" s="130" t="s">
        <v>3573</v>
      </c>
      <c r="C606" s="122" t="s">
        <v>2697</v>
      </c>
      <c r="D606" s="119">
        <v>-23.99</v>
      </c>
      <c r="E606" s="120">
        <v>1</v>
      </c>
      <c r="F606" s="236">
        <f>Tabla5109[[#This Row],[Original Amount]]*Tabla5109[[#This Row],[ER to EUR]]</f>
        <v>-23.99</v>
      </c>
      <c r="G606" s="9" t="s">
        <v>3462</v>
      </c>
      <c r="H606" s="9" t="s">
        <v>3463</v>
      </c>
      <c r="I606" s="9" t="s">
        <v>2713</v>
      </c>
      <c r="J606" s="9" t="s">
        <v>2701</v>
      </c>
      <c r="K606" s="205" t="s">
        <v>2702</v>
      </c>
      <c r="L606" s="9" t="s">
        <v>2793</v>
      </c>
      <c r="M606" s="32" t="s">
        <v>125</v>
      </c>
      <c r="N606" s="129" t="s">
        <v>2704</v>
      </c>
      <c r="O606" s="122" t="s">
        <v>2704</v>
      </c>
      <c r="P606" s="123" t="str">
        <f t="shared" si="18"/>
        <v>C2-2025</v>
      </c>
      <c r="Q606" s="123" t="str">
        <f t="shared" si="19"/>
        <v>T3-2025</v>
      </c>
      <c r="R606" s="124" t="s">
        <v>2722</v>
      </c>
      <c r="S606" s="123" t="s">
        <v>2723</v>
      </c>
      <c r="T606" s="123" t="s">
        <v>2724</v>
      </c>
      <c r="U606" s="162" t="s">
        <v>2708</v>
      </c>
      <c r="V606" s="162" t="s">
        <v>54</v>
      </c>
      <c r="W606" s="237" t="s">
        <v>125</v>
      </c>
      <c r="X606" s="173" t="s">
        <v>2709</v>
      </c>
    </row>
    <row r="607" spans="1:24" hidden="1">
      <c r="A607" s="161">
        <v>45872</v>
      </c>
      <c r="B607" s="130" t="s">
        <v>3574</v>
      </c>
      <c r="C607" s="122" t="s">
        <v>2543</v>
      </c>
      <c r="D607" s="152">
        <v>-1797862</v>
      </c>
      <c r="E607" s="137">
        <v>8.8900000000000003E-4</v>
      </c>
      <c r="F607" s="236">
        <f>Tabla5109[[#This Row],[Original Amount]]*Tabla5109[[#This Row],[ER to EUR]]</f>
        <v>-1598.2993180000001</v>
      </c>
      <c r="G607" s="9" t="s">
        <v>3575</v>
      </c>
      <c r="H607" s="9" t="s">
        <v>3576</v>
      </c>
      <c r="I607" s="9" t="s">
        <v>2700</v>
      </c>
      <c r="J607" s="9" t="s">
        <v>2825</v>
      </c>
      <c r="K607" s="205" t="s">
        <v>2826</v>
      </c>
      <c r="L607" s="9" t="s">
        <v>2827</v>
      </c>
      <c r="M607" s="227" t="s">
        <v>2704</v>
      </c>
      <c r="N607" s="129" t="s">
        <v>2748</v>
      </c>
      <c r="O607" s="122" t="s">
        <v>2704</v>
      </c>
      <c r="P607" s="123" t="str">
        <f t="shared" si="18"/>
        <v>C2-2025</v>
      </c>
      <c r="Q607" s="123" t="str">
        <f t="shared" si="19"/>
        <v>T3-2025</v>
      </c>
      <c r="R607" s="124" t="s">
        <v>2705</v>
      </c>
      <c r="S607" s="124" t="s">
        <v>2706</v>
      </c>
      <c r="T607" s="123" t="s">
        <v>2717</v>
      </c>
      <c r="U607" s="162" t="s">
        <v>2708</v>
      </c>
      <c r="V607" s="162" t="s">
        <v>56</v>
      </c>
      <c r="W607" s="237" t="s">
        <v>125</v>
      </c>
      <c r="X607" s="173" t="s">
        <v>2751</v>
      </c>
    </row>
    <row r="608" spans="1:24" hidden="1">
      <c r="A608" s="161">
        <v>45873</v>
      </c>
      <c r="B608" s="133" t="s">
        <v>3577</v>
      </c>
      <c r="C608" s="122" t="s">
        <v>2548</v>
      </c>
      <c r="D608" s="149">
        <v>-199</v>
      </c>
      <c r="E608" s="222">
        <v>0.85836909871244638</v>
      </c>
      <c r="F608" s="236">
        <f>Tabla5109[[#This Row],[Original Amount]]*Tabla5109[[#This Row],[ER to EUR]]</f>
        <v>-170.81545064377684</v>
      </c>
      <c r="G608" s="9" t="s">
        <v>3349</v>
      </c>
      <c r="H608" s="73" t="s">
        <v>3350</v>
      </c>
      <c r="I608" s="9" t="s">
        <v>2784</v>
      </c>
      <c r="J608" s="9" t="s">
        <v>2701</v>
      </c>
      <c r="K608" s="205" t="s">
        <v>2702</v>
      </c>
      <c r="L608" s="9" t="s">
        <v>2760</v>
      </c>
      <c r="M608" s="32" t="s">
        <v>125</v>
      </c>
      <c r="N608" s="129" t="s">
        <v>2704</v>
      </c>
      <c r="O608" s="122" t="s">
        <v>2704</v>
      </c>
      <c r="P608" s="123" t="str">
        <f t="shared" si="18"/>
        <v>C2-2025</v>
      </c>
      <c r="Q608" s="123" t="str">
        <f t="shared" si="19"/>
        <v>T3-2025</v>
      </c>
      <c r="R608" s="124" t="s">
        <v>2705</v>
      </c>
      <c r="S608" s="123" t="s">
        <v>2735</v>
      </c>
      <c r="T608" s="123" t="s">
        <v>2724</v>
      </c>
      <c r="U608" s="162" t="s">
        <v>2708</v>
      </c>
      <c r="V608" s="162" t="s">
        <v>55</v>
      </c>
      <c r="W608" s="237" t="s">
        <v>125</v>
      </c>
      <c r="X608" s="173" t="s">
        <v>2709</v>
      </c>
    </row>
    <row r="609" spans="1:24" hidden="1">
      <c r="A609" s="161">
        <v>45873</v>
      </c>
      <c r="B609" s="133" t="s">
        <v>3578</v>
      </c>
      <c r="C609" s="122" t="s">
        <v>2697</v>
      </c>
      <c r="D609" s="119">
        <v>-818</v>
      </c>
      <c r="E609" s="120">
        <v>1</v>
      </c>
      <c r="F609" s="236">
        <f>Tabla5109[[#This Row],[Original Amount]]*Tabla5109[[#This Row],[ER to EUR]]</f>
        <v>-818</v>
      </c>
      <c r="G609" s="9" t="s">
        <v>2884</v>
      </c>
      <c r="H609" s="73" t="s">
        <v>2885</v>
      </c>
      <c r="I609" s="9" t="s">
        <v>3267</v>
      </c>
      <c r="J609" s="9" t="s">
        <v>2723</v>
      </c>
      <c r="K609" s="205" t="s">
        <v>2792</v>
      </c>
      <c r="L609" s="9" t="s">
        <v>2793</v>
      </c>
      <c r="M609" s="32" t="s">
        <v>125</v>
      </c>
      <c r="N609" s="129" t="s">
        <v>2704</v>
      </c>
      <c r="O609" s="122" t="s">
        <v>2704</v>
      </c>
      <c r="P609" s="123" t="str">
        <f t="shared" si="18"/>
        <v>C2-2025</v>
      </c>
      <c r="Q609" s="123" t="str">
        <f t="shared" si="19"/>
        <v>T3-2025</v>
      </c>
      <c r="R609" s="124" t="s">
        <v>2741</v>
      </c>
      <c r="S609" s="123" t="s">
        <v>2723</v>
      </c>
      <c r="T609" s="123" t="s">
        <v>2707</v>
      </c>
      <c r="U609" s="162" t="s">
        <v>2708</v>
      </c>
      <c r="V609" s="162" t="s">
        <v>54</v>
      </c>
      <c r="W609" s="237" t="s">
        <v>125</v>
      </c>
      <c r="X609" s="173" t="s">
        <v>2709</v>
      </c>
    </row>
    <row r="610" spans="1:24" hidden="1">
      <c r="A610" s="161">
        <v>45873</v>
      </c>
      <c r="B610" s="134">
        <v>944144</v>
      </c>
      <c r="C610" s="32" t="s">
        <v>2697</v>
      </c>
      <c r="D610" s="119">
        <v>-17.5</v>
      </c>
      <c r="E610" s="120">
        <v>1</v>
      </c>
      <c r="F610" s="236">
        <f>Tabla5109[[#This Row],[Original Amount]]*Tabla5109[[#This Row],[ER to EUR]]</f>
        <v>-17.5</v>
      </c>
      <c r="G610" s="9" t="s">
        <v>3579</v>
      </c>
      <c r="H610" s="9" t="s">
        <v>3580</v>
      </c>
      <c r="I610" s="9" t="s">
        <v>3288</v>
      </c>
      <c r="J610" s="9" t="s">
        <v>2825</v>
      </c>
      <c r="K610" s="205" t="s">
        <v>2826</v>
      </c>
      <c r="L610" s="9" t="s">
        <v>2827</v>
      </c>
      <c r="M610" s="32" t="s">
        <v>125</v>
      </c>
      <c r="N610" s="129" t="s">
        <v>2748</v>
      </c>
      <c r="O610" s="122" t="s">
        <v>2748</v>
      </c>
      <c r="P610" s="123" t="str">
        <f t="shared" si="18"/>
        <v>C2-2025</v>
      </c>
      <c r="Q610" s="123" t="str">
        <f t="shared" si="19"/>
        <v>T3-2025</v>
      </c>
      <c r="R610" s="124" t="s">
        <v>2705</v>
      </c>
      <c r="S610" s="124" t="s">
        <v>2706</v>
      </c>
      <c r="T610" s="123" t="s">
        <v>2717</v>
      </c>
      <c r="U610" s="162" t="s">
        <v>2708</v>
      </c>
      <c r="V610" s="162" t="s">
        <v>56</v>
      </c>
      <c r="W610" s="237" t="s">
        <v>125</v>
      </c>
      <c r="X610" s="173" t="s">
        <v>2709</v>
      </c>
    </row>
    <row r="611" spans="1:24" hidden="1">
      <c r="A611" s="161">
        <v>45874</v>
      </c>
      <c r="B611" s="133" t="s">
        <v>3581</v>
      </c>
      <c r="C611" s="122" t="s">
        <v>2697</v>
      </c>
      <c r="D611" s="119">
        <v>-818</v>
      </c>
      <c r="E611" s="120">
        <v>1</v>
      </c>
      <c r="F611" s="236">
        <f>Tabla5109[[#This Row],[Original Amount]]*Tabla5109[[#This Row],[ER to EUR]]</f>
        <v>-818</v>
      </c>
      <c r="G611" s="9" t="s">
        <v>2884</v>
      </c>
      <c r="H611" s="73" t="s">
        <v>2885</v>
      </c>
      <c r="I611" s="9" t="s">
        <v>3267</v>
      </c>
      <c r="J611" s="9" t="s">
        <v>2723</v>
      </c>
      <c r="K611" s="205" t="s">
        <v>2792</v>
      </c>
      <c r="L611" s="9" t="s">
        <v>2793</v>
      </c>
      <c r="M611" s="32" t="s">
        <v>125</v>
      </c>
      <c r="N611" s="129" t="s">
        <v>2704</v>
      </c>
      <c r="O611" s="122" t="s">
        <v>2704</v>
      </c>
      <c r="P611" s="123" t="str">
        <f t="shared" si="18"/>
        <v>C2-2025</v>
      </c>
      <c r="Q611" s="123" t="str">
        <f t="shared" si="19"/>
        <v>T3-2025</v>
      </c>
      <c r="R611" s="124" t="s">
        <v>2741</v>
      </c>
      <c r="S611" s="123" t="s">
        <v>2723</v>
      </c>
      <c r="T611" s="123" t="s">
        <v>2707</v>
      </c>
      <c r="U611" s="162" t="s">
        <v>2708</v>
      </c>
      <c r="V611" s="162" t="s">
        <v>54</v>
      </c>
      <c r="W611" s="237" t="s">
        <v>125</v>
      </c>
      <c r="X611" s="173" t="s">
        <v>2709</v>
      </c>
    </row>
    <row r="612" spans="1:24" hidden="1">
      <c r="A612" s="161">
        <v>45874</v>
      </c>
      <c r="B612" s="133" t="s">
        <v>3582</v>
      </c>
      <c r="C612" s="122" t="s">
        <v>2548</v>
      </c>
      <c r="D612" s="149">
        <v>-25</v>
      </c>
      <c r="E612" s="222">
        <v>0.85836909871244638</v>
      </c>
      <c r="F612" s="236">
        <f>Tabla5109[[#This Row],[Original Amount]]*Tabla5109[[#This Row],[ER to EUR]]</f>
        <v>-21.459227467811161</v>
      </c>
      <c r="G612" s="9" t="s">
        <v>3068</v>
      </c>
      <c r="H612" s="73" t="s">
        <v>3583</v>
      </c>
      <c r="I612" s="9" t="s">
        <v>2755</v>
      </c>
      <c r="J612" s="9" t="s">
        <v>2701</v>
      </c>
      <c r="K612" s="205" t="s">
        <v>2792</v>
      </c>
      <c r="L612" s="9" t="s">
        <v>2740</v>
      </c>
      <c r="M612" s="32" t="s">
        <v>125</v>
      </c>
      <c r="N612" s="129" t="s">
        <v>2704</v>
      </c>
      <c r="O612" s="122" t="s">
        <v>2704</v>
      </c>
      <c r="P612" s="123" t="str">
        <f t="shared" si="18"/>
        <v>C2-2025</v>
      </c>
      <c r="Q612" s="123" t="str">
        <f t="shared" si="19"/>
        <v>T3-2025</v>
      </c>
      <c r="R612" s="124" t="s">
        <v>2722</v>
      </c>
      <c r="S612" s="123" t="s">
        <v>2723</v>
      </c>
      <c r="T612" s="123" t="s">
        <v>2724</v>
      </c>
      <c r="U612" s="162" t="s">
        <v>2708</v>
      </c>
      <c r="V612" s="162" t="s">
        <v>54</v>
      </c>
      <c r="W612" s="237" t="s">
        <v>125</v>
      </c>
      <c r="X612" s="173" t="s">
        <v>2709</v>
      </c>
    </row>
    <row r="613" spans="1:24" hidden="1">
      <c r="A613" s="161">
        <v>45874</v>
      </c>
      <c r="B613" s="133" t="s">
        <v>3584</v>
      </c>
      <c r="C613" s="122" t="s">
        <v>2697</v>
      </c>
      <c r="D613" s="119">
        <v>-52.5</v>
      </c>
      <c r="E613" s="120">
        <v>1</v>
      </c>
      <c r="F613" s="236">
        <f>Tabla5109[[#This Row],[Original Amount]]*Tabla5109[[#This Row],[ER to EUR]]</f>
        <v>-52.5</v>
      </c>
      <c r="G613" s="9" t="s">
        <v>2839</v>
      </c>
      <c r="H613" s="73" t="s">
        <v>2840</v>
      </c>
      <c r="I613" s="9" t="s">
        <v>2784</v>
      </c>
      <c r="J613" s="9" t="s">
        <v>2701</v>
      </c>
      <c r="K613" s="205" t="s">
        <v>2702</v>
      </c>
      <c r="L613" s="9" t="s">
        <v>2703</v>
      </c>
      <c r="M613" s="32" t="s">
        <v>125</v>
      </c>
      <c r="N613" s="129" t="s">
        <v>2704</v>
      </c>
      <c r="O613" s="122" t="s">
        <v>2704</v>
      </c>
      <c r="P613" s="123" t="str">
        <f t="shared" si="18"/>
        <v>C2-2025</v>
      </c>
      <c r="Q613" s="123" t="str">
        <f t="shared" si="19"/>
        <v>T3-2025</v>
      </c>
      <c r="R613" s="124" t="s">
        <v>2705</v>
      </c>
      <c r="S613" s="124" t="s">
        <v>2706</v>
      </c>
      <c r="T613" s="123" t="s">
        <v>2707</v>
      </c>
      <c r="U613" s="162" t="s">
        <v>2708</v>
      </c>
      <c r="V613" s="162" t="s">
        <v>56</v>
      </c>
      <c r="W613" s="237" t="s">
        <v>125</v>
      </c>
      <c r="X613" s="173" t="s">
        <v>2709</v>
      </c>
    </row>
    <row r="614" spans="1:24" hidden="1">
      <c r="A614" s="161">
        <v>45875</v>
      </c>
      <c r="B614" s="143">
        <v>2205</v>
      </c>
      <c r="C614" s="122" t="s">
        <v>2697</v>
      </c>
      <c r="D614" s="150">
        <v>-46.41</v>
      </c>
      <c r="E614" s="120">
        <v>1</v>
      </c>
      <c r="F614" s="236">
        <f>Tabla5109[[#This Row],[Original Amount]]*Tabla5109[[#This Row],[ER to EUR]]</f>
        <v>-46.41</v>
      </c>
      <c r="G614" s="9" t="s">
        <v>2777</v>
      </c>
      <c r="H614" s="9" t="s">
        <v>2778</v>
      </c>
      <c r="I614" s="9" t="s">
        <v>2755</v>
      </c>
      <c r="J614" s="9" t="s">
        <v>2714</v>
      </c>
      <c r="K614" s="205" t="s">
        <v>2780</v>
      </c>
      <c r="L614" s="9" t="s">
        <v>2716</v>
      </c>
      <c r="M614" s="32" t="s">
        <v>125</v>
      </c>
      <c r="N614" s="129" t="s">
        <v>2704</v>
      </c>
      <c r="O614" s="122" t="s">
        <v>2704</v>
      </c>
      <c r="P614" s="123" t="str">
        <f t="shared" si="18"/>
        <v>C2-2025</v>
      </c>
      <c r="Q614" s="123" t="str">
        <f t="shared" si="19"/>
        <v>T3-2025</v>
      </c>
      <c r="R614" s="124" t="s">
        <v>2705</v>
      </c>
      <c r="S614" s="123" t="s">
        <v>2735</v>
      </c>
      <c r="T614" s="123" t="s">
        <v>2724</v>
      </c>
      <c r="U614" s="162" t="s">
        <v>2708</v>
      </c>
      <c r="V614" s="162" t="s">
        <v>54</v>
      </c>
      <c r="W614" s="237" t="s">
        <v>125</v>
      </c>
      <c r="X614" s="173" t="s">
        <v>2709</v>
      </c>
    </row>
    <row r="615" spans="1:24" hidden="1">
      <c r="A615" s="161">
        <v>45875</v>
      </c>
      <c r="B615" s="125">
        <v>781128704599</v>
      </c>
      <c r="C615" s="122" t="s">
        <v>2697</v>
      </c>
      <c r="D615" s="150">
        <v>-82.64</v>
      </c>
      <c r="E615" s="120">
        <v>1</v>
      </c>
      <c r="F615" s="236">
        <f>Tabla5109[[#This Row],[Original Amount]]*Tabla5109[[#This Row],[ER to EUR]]</f>
        <v>-82.64</v>
      </c>
      <c r="G615" s="9" t="s">
        <v>2718</v>
      </c>
      <c r="H615" s="73" t="s">
        <v>3585</v>
      </c>
      <c r="I615" s="9" t="s">
        <v>2720</v>
      </c>
      <c r="J615" s="9" t="s">
        <v>2714</v>
      </c>
      <c r="K615" s="205" t="s">
        <v>2721</v>
      </c>
      <c r="L615" s="9" t="s">
        <v>2716</v>
      </c>
      <c r="M615" s="32" t="s">
        <v>125</v>
      </c>
      <c r="N615" s="129" t="s">
        <v>2704</v>
      </c>
      <c r="O615" s="122" t="s">
        <v>2704</v>
      </c>
      <c r="P615" s="123" t="str">
        <f t="shared" si="18"/>
        <v>C2-2025</v>
      </c>
      <c r="Q615" s="123" t="str">
        <f t="shared" si="19"/>
        <v>T3-2025</v>
      </c>
      <c r="R615" s="124" t="s">
        <v>2722</v>
      </c>
      <c r="S615" s="123" t="s">
        <v>2723</v>
      </c>
      <c r="T615" s="123" t="s">
        <v>2724</v>
      </c>
      <c r="U615" s="162" t="s">
        <v>2708</v>
      </c>
      <c r="V615" s="162" t="s">
        <v>54</v>
      </c>
      <c r="W615" s="237" t="s">
        <v>125</v>
      </c>
      <c r="X615" s="173" t="s">
        <v>2709</v>
      </c>
    </row>
    <row r="616" spans="1:24" hidden="1">
      <c r="A616" s="161">
        <v>45875</v>
      </c>
      <c r="B616" s="715" t="s">
        <v>3586</v>
      </c>
      <c r="C616" s="122" t="s">
        <v>2697</v>
      </c>
      <c r="D616" s="119">
        <v>-3600</v>
      </c>
      <c r="E616" s="120">
        <v>1</v>
      </c>
      <c r="F616" s="236">
        <f>Tabla5109[[#This Row],[Original Amount]]*Tabla5109[[#This Row],[ER to EUR]]</f>
        <v>-3600</v>
      </c>
      <c r="G616" s="9" t="s">
        <v>2725</v>
      </c>
      <c r="H616" s="9" t="s">
        <v>3377</v>
      </c>
      <c r="I616" s="9" t="s">
        <v>2727</v>
      </c>
      <c r="J616" s="9" t="s">
        <v>2701</v>
      </c>
      <c r="K616" s="205" t="s">
        <v>2728</v>
      </c>
      <c r="L616" s="9" t="s">
        <v>2729</v>
      </c>
      <c r="M616" s="32" t="s">
        <v>125</v>
      </c>
      <c r="N616" s="129" t="s">
        <v>2704</v>
      </c>
      <c r="O616" s="122" t="s">
        <v>2704</v>
      </c>
      <c r="P616" s="123" t="str">
        <f t="shared" si="18"/>
        <v>C2-2025</v>
      </c>
      <c r="Q616" s="123" t="str">
        <f t="shared" si="19"/>
        <v>T3-2025</v>
      </c>
      <c r="R616" s="124" t="s">
        <v>2730</v>
      </c>
      <c r="S616" s="123" t="s">
        <v>2731</v>
      </c>
      <c r="T616" s="123" t="s">
        <v>2707</v>
      </c>
      <c r="U616" s="162" t="s">
        <v>51</v>
      </c>
      <c r="V616" s="162" t="s">
        <v>57</v>
      </c>
      <c r="W616" s="237" t="s">
        <v>125</v>
      </c>
      <c r="X616" s="173" t="s">
        <v>2709</v>
      </c>
    </row>
    <row r="617" spans="1:24" hidden="1">
      <c r="A617" s="161">
        <v>45875</v>
      </c>
      <c r="B617" s="705" t="s">
        <v>3587</v>
      </c>
      <c r="C617" s="122" t="s">
        <v>2697</v>
      </c>
      <c r="D617" s="119">
        <v>-818</v>
      </c>
      <c r="E617" s="120">
        <v>1</v>
      </c>
      <c r="F617" s="236">
        <f>Tabla5109[[#This Row],[Original Amount]]*Tabla5109[[#This Row],[ER to EUR]]</f>
        <v>-818</v>
      </c>
      <c r="G617" s="9" t="s">
        <v>2884</v>
      </c>
      <c r="H617" s="73" t="s">
        <v>2885</v>
      </c>
      <c r="I617" s="9" t="s">
        <v>3267</v>
      </c>
      <c r="J617" s="9" t="s">
        <v>2723</v>
      </c>
      <c r="K617" s="205" t="s">
        <v>2792</v>
      </c>
      <c r="L617" s="9" t="s">
        <v>2793</v>
      </c>
      <c r="M617" s="32" t="s">
        <v>125</v>
      </c>
      <c r="N617" s="129" t="s">
        <v>2704</v>
      </c>
      <c r="O617" s="122" t="s">
        <v>2704</v>
      </c>
      <c r="P617" s="123" t="str">
        <f t="shared" si="18"/>
        <v>C2-2025</v>
      </c>
      <c r="Q617" s="123" t="str">
        <f t="shared" si="19"/>
        <v>T3-2025</v>
      </c>
      <c r="R617" s="124" t="s">
        <v>2741</v>
      </c>
      <c r="S617" s="123" t="s">
        <v>2723</v>
      </c>
      <c r="T617" s="123" t="s">
        <v>2707</v>
      </c>
      <c r="U617" s="162" t="s">
        <v>2708</v>
      </c>
      <c r="V617" s="162" t="s">
        <v>54</v>
      </c>
      <c r="W617" s="237" t="s">
        <v>125</v>
      </c>
      <c r="X617" s="173" t="s">
        <v>2709</v>
      </c>
    </row>
    <row r="618" spans="1:24" hidden="1">
      <c r="A618" s="161">
        <v>45875</v>
      </c>
      <c r="B618" s="133" t="s">
        <v>3588</v>
      </c>
      <c r="C618" s="122" t="s">
        <v>2697</v>
      </c>
      <c r="D618" s="119">
        <v>-0.89</v>
      </c>
      <c r="E618" s="159">
        <v>1</v>
      </c>
      <c r="F618" s="236">
        <f>Tabla5109[[#This Row],[Original Amount]]*Tabla5109[[#This Row],[ER to EUR]]</f>
        <v>-0.89</v>
      </c>
      <c r="G618" s="9" t="s">
        <v>2884</v>
      </c>
      <c r="H618" s="73" t="s">
        <v>2885</v>
      </c>
      <c r="I618" s="9" t="s">
        <v>3480</v>
      </c>
      <c r="J618" s="9" t="s">
        <v>2723</v>
      </c>
      <c r="K618" s="205" t="s">
        <v>2792</v>
      </c>
      <c r="L618" s="9" t="s">
        <v>2793</v>
      </c>
      <c r="M618" s="32" t="s">
        <v>125</v>
      </c>
      <c r="N618" s="129" t="s">
        <v>2704</v>
      </c>
      <c r="O618" s="122" t="s">
        <v>2704</v>
      </c>
      <c r="P618" s="123" t="str">
        <f t="shared" si="18"/>
        <v>C2-2025</v>
      </c>
      <c r="Q618" s="123" t="str">
        <f t="shared" si="19"/>
        <v>T3-2025</v>
      </c>
      <c r="R618" s="124" t="s">
        <v>2741</v>
      </c>
      <c r="S618" s="123" t="s">
        <v>2723</v>
      </c>
      <c r="T618" s="123" t="s">
        <v>2707</v>
      </c>
      <c r="U618" s="162" t="s">
        <v>2708</v>
      </c>
      <c r="V618" s="162" t="s">
        <v>54</v>
      </c>
      <c r="W618" s="237" t="s">
        <v>125</v>
      </c>
      <c r="X618" s="173" t="s">
        <v>2709</v>
      </c>
    </row>
    <row r="619" spans="1:24" hidden="1">
      <c r="A619" s="161">
        <v>45875</v>
      </c>
      <c r="B619" s="133" t="s">
        <v>3589</v>
      </c>
      <c r="C619" s="122" t="s">
        <v>2697</v>
      </c>
      <c r="D619" s="119">
        <v>-1.1200000000000001</v>
      </c>
      <c r="E619" s="120">
        <v>1</v>
      </c>
      <c r="F619" s="236">
        <f>Tabla5109[[#This Row],[Original Amount]]*Tabla5109[[#This Row],[ER to EUR]]</f>
        <v>-1.1200000000000001</v>
      </c>
      <c r="G619" s="9" t="s">
        <v>2884</v>
      </c>
      <c r="H619" s="73" t="s">
        <v>2885</v>
      </c>
      <c r="I619" s="9" t="s">
        <v>3480</v>
      </c>
      <c r="J619" s="9" t="s">
        <v>2723</v>
      </c>
      <c r="K619" s="205" t="s">
        <v>2792</v>
      </c>
      <c r="L619" s="9" t="s">
        <v>2793</v>
      </c>
      <c r="M619" s="32" t="s">
        <v>125</v>
      </c>
      <c r="N619" s="129" t="s">
        <v>2704</v>
      </c>
      <c r="O619" s="122" t="s">
        <v>2704</v>
      </c>
      <c r="P619" s="123" t="str">
        <f t="shared" si="18"/>
        <v>C2-2025</v>
      </c>
      <c r="Q619" s="123" t="str">
        <f t="shared" si="19"/>
        <v>T3-2025</v>
      </c>
      <c r="R619" s="124" t="s">
        <v>2741</v>
      </c>
      <c r="S619" s="123" t="s">
        <v>2723</v>
      </c>
      <c r="T619" s="123" t="s">
        <v>2707</v>
      </c>
      <c r="U619" s="162" t="s">
        <v>2708</v>
      </c>
      <c r="V619" s="162" t="s">
        <v>54</v>
      </c>
      <c r="W619" s="237" t="s">
        <v>125</v>
      </c>
      <c r="X619" s="173" t="s">
        <v>2709</v>
      </c>
    </row>
    <row r="620" spans="1:24" hidden="1">
      <c r="A620" s="161">
        <v>45875</v>
      </c>
      <c r="B620" s="133" t="s">
        <v>3590</v>
      </c>
      <c r="C620" s="122" t="s">
        <v>2697</v>
      </c>
      <c r="D620" s="119">
        <v>-20.92</v>
      </c>
      <c r="E620" s="120">
        <v>1</v>
      </c>
      <c r="F620" s="236">
        <f>Tabla5109[[#This Row],[Original Amount]]*Tabla5109[[#This Row],[ER to EUR]]</f>
        <v>-20.92</v>
      </c>
      <c r="G620" s="9" t="s">
        <v>2884</v>
      </c>
      <c r="H620" s="73" t="s">
        <v>2885</v>
      </c>
      <c r="I620" s="9" t="s">
        <v>3480</v>
      </c>
      <c r="J620" s="9" t="s">
        <v>2723</v>
      </c>
      <c r="K620" s="205" t="s">
        <v>2792</v>
      </c>
      <c r="L620" s="9" t="s">
        <v>2793</v>
      </c>
      <c r="M620" s="32" t="s">
        <v>125</v>
      </c>
      <c r="N620" s="129" t="s">
        <v>2704</v>
      </c>
      <c r="O620" s="122" t="s">
        <v>2704</v>
      </c>
      <c r="P620" s="123" t="str">
        <f t="shared" si="18"/>
        <v>C2-2025</v>
      </c>
      <c r="Q620" s="123" t="str">
        <f t="shared" si="19"/>
        <v>T3-2025</v>
      </c>
      <c r="R620" s="124" t="s">
        <v>2741</v>
      </c>
      <c r="S620" s="123" t="s">
        <v>2723</v>
      </c>
      <c r="T620" s="157" t="s">
        <v>2707</v>
      </c>
      <c r="U620" s="165" t="s">
        <v>2708</v>
      </c>
      <c r="V620" s="165" t="s">
        <v>54</v>
      </c>
      <c r="W620" s="237" t="s">
        <v>125</v>
      </c>
      <c r="X620" s="173" t="s">
        <v>2709</v>
      </c>
    </row>
    <row r="621" spans="1:24" hidden="1">
      <c r="A621" s="161">
        <v>45875</v>
      </c>
      <c r="B621" s="130" t="s">
        <v>3591</v>
      </c>
      <c r="C621" s="122" t="s">
        <v>2697</v>
      </c>
      <c r="D621" s="119">
        <v>-118.5</v>
      </c>
      <c r="E621" s="120">
        <v>1</v>
      </c>
      <c r="F621" s="236">
        <f>Tabla5109[[#This Row],[Original Amount]]*Tabla5109[[#This Row],[ER to EUR]]</f>
        <v>-118.5</v>
      </c>
      <c r="G621" s="9" t="s">
        <v>2839</v>
      </c>
      <c r="H621" s="73" t="s">
        <v>2840</v>
      </c>
      <c r="I621" s="9" t="s">
        <v>2784</v>
      </c>
      <c r="J621" s="9" t="s">
        <v>2701</v>
      </c>
      <c r="K621" s="205" t="s">
        <v>2702</v>
      </c>
      <c r="L621" s="9" t="s">
        <v>2703</v>
      </c>
      <c r="M621" s="32" t="s">
        <v>125</v>
      </c>
      <c r="N621" s="129" t="s">
        <v>2704</v>
      </c>
      <c r="O621" s="122" t="s">
        <v>2704</v>
      </c>
      <c r="P621" s="123" t="str">
        <f t="shared" si="18"/>
        <v>C2-2025</v>
      </c>
      <c r="Q621" s="123" t="str">
        <f t="shared" si="19"/>
        <v>T3-2025</v>
      </c>
      <c r="R621" s="124" t="s">
        <v>2705</v>
      </c>
      <c r="S621" s="124" t="s">
        <v>2706</v>
      </c>
      <c r="T621" s="123" t="s">
        <v>2707</v>
      </c>
      <c r="U621" s="162" t="s">
        <v>2708</v>
      </c>
      <c r="V621" s="162" t="s">
        <v>56</v>
      </c>
      <c r="W621" s="237" t="s">
        <v>125</v>
      </c>
      <c r="X621" s="173" t="s">
        <v>2709</v>
      </c>
    </row>
    <row r="622" spans="1:24" hidden="1">
      <c r="A622" s="161">
        <v>45875</v>
      </c>
      <c r="B622" s="117" t="s">
        <v>3592</v>
      </c>
      <c r="C622" s="122" t="s">
        <v>2697</v>
      </c>
      <c r="D622" s="150">
        <v>-89</v>
      </c>
      <c r="E622" s="120">
        <v>1</v>
      </c>
      <c r="F622" s="236">
        <f>Tabla5109[[#This Row],[Original Amount]]*Tabla5109[[#This Row],[ER to EUR]]</f>
        <v>-89</v>
      </c>
      <c r="G622" s="9" t="s">
        <v>3269</v>
      </c>
      <c r="H622" s="73" t="s">
        <v>3270</v>
      </c>
      <c r="I622" s="9" t="s">
        <v>2755</v>
      </c>
      <c r="J622" s="9" t="s">
        <v>2701</v>
      </c>
      <c r="K622" s="205" t="s">
        <v>2702</v>
      </c>
      <c r="L622" s="9" t="s">
        <v>2703</v>
      </c>
      <c r="M622" s="32" t="s">
        <v>125</v>
      </c>
      <c r="N622" s="129" t="s">
        <v>2704</v>
      </c>
      <c r="O622" s="122" t="s">
        <v>2704</v>
      </c>
      <c r="P622" s="123" t="str">
        <f t="shared" si="18"/>
        <v>C2-2025</v>
      </c>
      <c r="Q622" s="123" t="str">
        <f t="shared" si="19"/>
        <v>T3-2025</v>
      </c>
      <c r="R622" s="124" t="s">
        <v>2741</v>
      </c>
      <c r="S622" s="123" t="s">
        <v>2723</v>
      </c>
      <c r="T622" s="123" t="s">
        <v>2724</v>
      </c>
      <c r="U622" s="162" t="s">
        <v>2708</v>
      </c>
      <c r="V622" s="162" t="s">
        <v>54</v>
      </c>
      <c r="W622" s="237" t="s">
        <v>125</v>
      </c>
      <c r="X622" s="173" t="s">
        <v>2709</v>
      </c>
    </row>
    <row r="623" spans="1:24" hidden="1">
      <c r="A623" s="161">
        <v>45875</v>
      </c>
      <c r="B623" s="135" t="s">
        <v>3593</v>
      </c>
      <c r="C623" s="122" t="s">
        <v>2697</v>
      </c>
      <c r="D623" s="119">
        <v>-1602.91</v>
      </c>
      <c r="E623" s="120">
        <v>1</v>
      </c>
      <c r="F623" s="236">
        <f>Tabla5109[[#This Row],[Original Amount]]*Tabla5109[[#This Row],[ER to EUR]]</f>
        <v>-1602.91</v>
      </c>
      <c r="G623" s="9" t="s">
        <v>3575</v>
      </c>
      <c r="H623" s="9" t="s">
        <v>3594</v>
      </c>
      <c r="I623" s="9" t="s">
        <v>2755</v>
      </c>
      <c r="J623" s="9" t="s">
        <v>2825</v>
      </c>
      <c r="K623" s="205" t="s">
        <v>2826</v>
      </c>
      <c r="L623" s="9" t="s">
        <v>2827</v>
      </c>
      <c r="M623" s="32" t="s">
        <v>125</v>
      </c>
      <c r="N623" s="129" t="s">
        <v>2704</v>
      </c>
      <c r="O623" s="122" t="s">
        <v>2704</v>
      </c>
      <c r="P623" s="123" t="str">
        <f t="shared" si="18"/>
        <v>C2-2025</v>
      </c>
      <c r="Q623" s="123" t="str">
        <f t="shared" si="19"/>
        <v>T3-2025</v>
      </c>
      <c r="R623" s="124" t="s">
        <v>2705</v>
      </c>
      <c r="S623" s="124" t="s">
        <v>2706</v>
      </c>
      <c r="T623" s="123" t="s">
        <v>2717</v>
      </c>
      <c r="U623" s="162" t="s">
        <v>2708</v>
      </c>
      <c r="V623" s="162" t="s">
        <v>56</v>
      </c>
      <c r="W623" s="237" t="s">
        <v>125</v>
      </c>
      <c r="X623" s="173" t="s">
        <v>2709</v>
      </c>
    </row>
    <row r="624" spans="1:24" hidden="1">
      <c r="A624" s="161">
        <v>45875</v>
      </c>
      <c r="B624" s="125">
        <v>1693954</v>
      </c>
      <c r="C624" s="32" t="s">
        <v>2543</v>
      </c>
      <c r="D624" s="152">
        <v>-180874</v>
      </c>
      <c r="E624" s="137">
        <v>8.8900000000000003E-4</v>
      </c>
      <c r="F624" s="121">
        <f>Tabla5109[[#This Row],[Original Amount]]*Tabla5109[[#This Row],[ER to EUR]]</f>
        <v>-160.796986</v>
      </c>
      <c r="G624" s="91" t="s">
        <v>3087</v>
      </c>
      <c r="H624" s="9" t="s">
        <v>3088</v>
      </c>
      <c r="I624" s="91" t="s">
        <v>2713</v>
      </c>
      <c r="J624" s="9" t="s">
        <v>2701</v>
      </c>
      <c r="K624" s="4" t="s">
        <v>2771</v>
      </c>
      <c r="L624" t="s">
        <v>2772</v>
      </c>
      <c r="M624" s="227" t="s">
        <v>2704</v>
      </c>
      <c r="N624" s="129" t="s">
        <v>2748</v>
      </c>
      <c r="O624" s="122" t="s">
        <v>2704</v>
      </c>
      <c r="P624" s="123" t="str">
        <f t="shared" si="18"/>
        <v>C2-2025</v>
      </c>
      <c r="Q624" s="123" t="str">
        <f t="shared" si="19"/>
        <v>T3-2025</v>
      </c>
      <c r="R624" s="91" t="s">
        <v>2749</v>
      </c>
      <c r="S624" s="123" t="s">
        <v>2750</v>
      </c>
      <c r="T624" s="123" t="s">
        <v>2707</v>
      </c>
      <c r="U624" s="162" t="s">
        <v>2708</v>
      </c>
      <c r="V624" s="162" t="s">
        <v>54</v>
      </c>
      <c r="W624" s="237" t="s">
        <v>125</v>
      </c>
      <c r="X624" s="201" t="s">
        <v>2751</v>
      </c>
    </row>
    <row r="625" spans="1:24" hidden="1">
      <c r="A625" s="161">
        <v>45876</v>
      </c>
      <c r="B625" s="148">
        <v>14944414</v>
      </c>
      <c r="C625" s="122" t="s">
        <v>2548</v>
      </c>
      <c r="D625" s="149">
        <v>-17.600000000000001</v>
      </c>
      <c r="E625" s="222">
        <v>0.85836909871244638</v>
      </c>
      <c r="F625" s="236">
        <f>Tabla5109[[#This Row],[Original Amount]]*Tabla5109[[#This Row],[ER to EUR]]</f>
        <v>-15.107296137339057</v>
      </c>
      <c r="G625" s="9" t="s">
        <v>2737</v>
      </c>
      <c r="H625" s="73" t="s">
        <v>3595</v>
      </c>
      <c r="I625" s="9" t="s">
        <v>2739</v>
      </c>
      <c r="J625" s="9" t="s">
        <v>2701</v>
      </c>
      <c r="K625" s="205" t="s">
        <v>2702</v>
      </c>
      <c r="L625" s="9" t="s">
        <v>2740</v>
      </c>
      <c r="M625" s="32" t="s">
        <v>125</v>
      </c>
      <c r="N625" s="129" t="s">
        <v>2704</v>
      </c>
      <c r="O625" s="122" t="s">
        <v>2704</v>
      </c>
      <c r="P625" s="123" t="str">
        <f t="shared" si="18"/>
        <v>C2-2025</v>
      </c>
      <c r="Q625" s="123" t="str">
        <f t="shared" si="19"/>
        <v>T3-2025</v>
      </c>
      <c r="R625" s="124" t="s">
        <v>2741</v>
      </c>
      <c r="S625" s="123" t="s">
        <v>2723</v>
      </c>
      <c r="T625" s="123" t="s">
        <v>2724</v>
      </c>
      <c r="U625" s="162" t="s">
        <v>2708</v>
      </c>
      <c r="V625" s="162" t="s">
        <v>54</v>
      </c>
      <c r="W625" s="237" t="s">
        <v>125</v>
      </c>
      <c r="X625" s="173" t="s">
        <v>2709</v>
      </c>
    </row>
    <row r="626" spans="1:24" hidden="1">
      <c r="A626" s="161">
        <v>45876</v>
      </c>
      <c r="B626" s="117" t="s">
        <v>3596</v>
      </c>
      <c r="C626" s="122" t="s">
        <v>2697</v>
      </c>
      <c r="D626" s="150">
        <v>-109.28</v>
      </c>
      <c r="E626" s="120">
        <v>1</v>
      </c>
      <c r="F626" s="121">
        <f>Tabla5109[[#This Row],[Original Amount]]*Tabla5109[[#This Row],[ER to EUR]]</f>
        <v>-109.28</v>
      </c>
      <c r="G626" s="9" t="s">
        <v>3128</v>
      </c>
      <c r="H626" s="73" t="s">
        <v>2994</v>
      </c>
      <c r="I626" s="9" t="s">
        <v>2755</v>
      </c>
      <c r="J626" s="9" t="s">
        <v>2701</v>
      </c>
      <c r="K626" s="205" t="s">
        <v>2702</v>
      </c>
      <c r="L626" s="9" t="s">
        <v>2703</v>
      </c>
      <c r="M626" s="32" t="s">
        <v>125</v>
      </c>
      <c r="N626" s="129" t="s">
        <v>2704</v>
      </c>
      <c r="O626" s="122" t="s">
        <v>2704</v>
      </c>
      <c r="P626" s="123" t="str">
        <f t="shared" si="18"/>
        <v>C2-2025</v>
      </c>
      <c r="Q626" s="123" t="str">
        <f t="shared" si="19"/>
        <v>T3-2025</v>
      </c>
      <c r="R626" s="124" t="s">
        <v>2741</v>
      </c>
      <c r="S626" s="123" t="s">
        <v>2723</v>
      </c>
      <c r="T626" s="123" t="s">
        <v>2707</v>
      </c>
      <c r="U626" s="162" t="s">
        <v>2708</v>
      </c>
      <c r="V626" s="162" t="s">
        <v>54</v>
      </c>
      <c r="W626" s="237" t="s">
        <v>125</v>
      </c>
      <c r="X626" s="173" t="s">
        <v>2709</v>
      </c>
    </row>
    <row r="627" spans="1:24" hidden="1">
      <c r="A627" s="161">
        <v>45876</v>
      </c>
      <c r="B627" s="133" t="s">
        <v>3597</v>
      </c>
      <c r="C627" s="122" t="s">
        <v>2697</v>
      </c>
      <c r="D627" s="119">
        <v>-818</v>
      </c>
      <c r="E627" s="120">
        <v>1</v>
      </c>
      <c r="F627" s="121">
        <f>Tabla5109[[#This Row],[Original Amount]]*Tabla5109[[#This Row],[ER to EUR]]</f>
        <v>-818</v>
      </c>
      <c r="G627" s="9" t="s">
        <v>2884</v>
      </c>
      <c r="H627" s="73" t="s">
        <v>2885</v>
      </c>
      <c r="I627" s="9" t="s">
        <v>3267</v>
      </c>
      <c r="J627" s="9" t="s">
        <v>2723</v>
      </c>
      <c r="K627" s="205" t="s">
        <v>2792</v>
      </c>
      <c r="L627" s="9" t="s">
        <v>2793</v>
      </c>
      <c r="M627" s="32" t="s">
        <v>125</v>
      </c>
      <c r="N627" s="129" t="s">
        <v>2704</v>
      </c>
      <c r="O627" s="122" t="s">
        <v>2704</v>
      </c>
      <c r="P627" s="123" t="str">
        <f t="shared" si="18"/>
        <v>C2-2025</v>
      </c>
      <c r="Q627" s="123" t="str">
        <f t="shared" si="19"/>
        <v>T3-2025</v>
      </c>
      <c r="R627" s="124" t="s">
        <v>2741</v>
      </c>
      <c r="S627" s="123" t="s">
        <v>2723</v>
      </c>
      <c r="T627" s="123" t="s">
        <v>2707</v>
      </c>
      <c r="U627" s="162" t="s">
        <v>2708</v>
      </c>
      <c r="V627" s="162" t="s">
        <v>54</v>
      </c>
      <c r="W627" s="237" t="s">
        <v>125</v>
      </c>
      <c r="X627" s="173" t="s">
        <v>2709</v>
      </c>
    </row>
    <row r="628" spans="1:24" hidden="1">
      <c r="A628" s="161">
        <v>45876</v>
      </c>
      <c r="B628" s="131" t="s">
        <v>3598</v>
      </c>
      <c r="C628" s="32" t="s">
        <v>2697</v>
      </c>
      <c r="D628" s="146">
        <v>-71</v>
      </c>
      <c r="E628" s="120">
        <v>1</v>
      </c>
      <c r="F628" s="121">
        <f>Tabla5109[[#This Row],[Original Amount]]*Tabla5109[[#This Row],[ER to EUR]]</f>
        <v>-71</v>
      </c>
      <c r="G628" s="9" t="s">
        <v>3599</v>
      </c>
      <c r="H628" s="9" t="s">
        <v>3600</v>
      </c>
      <c r="I628" s="9" t="s">
        <v>2727</v>
      </c>
      <c r="J628" s="9" t="s">
        <v>2714</v>
      </c>
      <c r="K628" s="205" t="s">
        <v>2715</v>
      </c>
      <c r="L628" s="211" t="s">
        <v>2716</v>
      </c>
      <c r="M628" s="32" t="s">
        <v>125</v>
      </c>
      <c r="N628" s="122" t="s">
        <v>2704</v>
      </c>
      <c r="O628" s="129" t="s">
        <v>2704</v>
      </c>
      <c r="P628" s="123" t="str">
        <f t="shared" si="18"/>
        <v>C2-2025</v>
      </c>
      <c r="Q628" s="123" t="str">
        <f t="shared" si="19"/>
        <v>T3-2025</v>
      </c>
      <c r="R628" s="91" t="s">
        <v>2794</v>
      </c>
      <c r="S628" s="123" t="s">
        <v>2731</v>
      </c>
      <c r="T628" s="123" t="s">
        <v>2717</v>
      </c>
      <c r="U628" s="162" t="s">
        <v>2708</v>
      </c>
      <c r="V628" s="162" t="s">
        <v>56</v>
      </c>
      <c r="W628" s="237" t="s">
        <v>125</v>
      </c>
      <c r="X628" s="201" t="s">
        <v>2709</v>
      </c>
    </row>
    <row r="629" spans="1:24" hidden="1">
      <c r="A629" s="161">
        <v>45877</v>
      </c>
      <c r="B629" s="133" t="s">
        <v>3601</v>
      </c>
      <c r="C629" s="122" t="s">
        <v>2697</v>
      </c>
      <c r="D629" s="119">
        <v>-818</v>
      </c>
      <c r="E629" s="120">
        <v>1</v>
      </c>
      <c r="F629" s="121">
        <f>Tabla5109[[#This Row],[Original Amount]]*Tabla5109[[#This Row],[ER to EUR]]</f>
        <v>-818</v>
      </c>
      <c r="G629" s="9" t="s">
        <v>2884</v>
      </c>
      <c r="H629" s="73" t="s">
        <v>2885</v>
      </c>
      <c r="I629" s="9" t="s">
        <v>3267</v>
      </c>
      <c r="J629" s="9" t="s">
        <v>2723</v>
      </c>
      <c r="K629" s="205" t="s">
        <v>2792</v>
      </c>
      <c r="L629" s="9" t="s">
        <v>2793</v>
      </c>
      <c r="M629" s="32" t="s">
        <v>125</v>
      </c>
      <c r="N629" s="129" t="s">
        <v>2704</v>
      </c>
      <c r="O629" s="122" t="s">
        <v>2704</v>
      </c>
      <c r="P629" s="123" t="str">
        <f t="shared" si="18"/>
        <v>C2-2025</v>
      </c>
      <c r="Q629" s="123" t="str">
        <f t="shared" si="19"/>
        <v>T3-2025</v>
      </c>
      <c r="R629" s="124" t="s">
        <v>2741</v>
      </c>
      <c r="S629" s="123" t="s">
        <v>2723</v>
      </c>
      <c r="T629" s="123" t="s">
        <v>2707</v>
      </c>
      <c r="U629" s="162" t="s">
        <v>2708</v>
      </c>
      <c r="V629" s="162" t="s">
        <v>54</v>
      </c>
      <c r="W629" s="237" t="s">
        <v>125</v>
      </c>
      <c r="X629" s="173" t="s">
        <v>2709</v>
      </c>
    </row>
    <row r="630" spans="1:24" hidden="1">
      <c r="A630" s="161">
        <v>45877</v>
      </c>
      <c r="B630" s="130" t="s">
        <v>3602</v>
      </c>
      <c r="C630" s="122" t="s">
        <v>2697</v>
      </c>
      <c r="D630" s="119">
        <v>-49.99</v>
      </c>
      <c r="E630" s="120">
        <v>1</v>
      </c>
      <c r="F630" s="121">
        <f>Tabla5109[[#This Row],[Original Amount]]*Tabla5109[[#This Row],[ER to EUR]]</f>
        <v>-49.99</v>
      </c>
      <c r="G630" s="9" t="s">
        <v>2830</v>
      </c>
      <c r="H630" s="9" t="s">
        <v>3603</v>
      </c>
      <c r="I630" s="9" t="s">
        <v>2739</v>
      </c>
      <c r="J630" s="9" t="s">
        <v>2817</v>
      </c>
      <c r="K630" s="205" t="s">
        <v>2702</v>
      </c>
      <c r="L630" s="9" t="s">
        <v>2818</v>
      </c>
      <c r="M630" s="32" t="s">
        <v>125</v>
      </c>
      <c r="N630" s="129" t="s">
        <v>2704</v>
      </c>
      <c r="O630" s="122" t="s">
        <v>2704</v>
      </c>
      <c r="P630" s="123" t="str">
        <f t="shared" si="18"/>
        <v>C2-2025</v>
      </c>
      <c r="Q630" s="123" t="str">
        <f t="shared" si="19"/>
        <v>T3-2025</v>
      </c>
      <c r="R630" s="124" t="s">
        <v>2722</v>
      </c>
      <c r="S630" s="123" t="s">
        <v>2723</v>
      </c>
      <c r="T630" s="123" t="s">
        <v>2724</v>
      </c>
      <c r="U630" s="162" t="s">
        <v>2708</v>
      </c>
      <c r="V630" s="162" t="s">
        <v>54</v>
      </c>
      <c r="W630" s="237" t="s">
        <v>125</v>
      </c>
      <c r="X630" s="173" t="s">
        <v>2709</v>
      </c>
    </row>
    <row r="631" spans="1:24" hidden="1">
      <c r="A631" s="161">
        <v>45877</v>
      </c>
      <c r="B631" s="131" t="s">
        <v>3604</v>
      </c>
      <c r="C631" s="32" t="s">
        <v>2543</v>
      </c>
      <c r="D631" s="152">
        <v>-4071283</v>
      </c>
      <c r="E631" s="137">
        <v>8.8900000000000003E-4</v>
      </c>
      <c r="F631" s="121">
        <f>Tabla5109[[#This Row],[Original Amount]]*Tabla5109[[#This Row],[ER to EUR]]</f>
        <v>-3619.3705870000003</v>
      </c>
      <c r="G631" s="9" t="s">
        <v>3605</v>
      </c>
      <c r="H631" s="9" t="s">
        <v>3606</v>
      </c>
      <c r="I631" s="9" t="s">
        <v>2713</v>
      </c>
      <c r="J631" s="9" t="s">
        <v>2770</v>
      </c>
      <c r="K631" s="205" t="s">
        <v>2874</v>
      </c>
      <c r="L631" s="211" t="s">
        <v>2875</v>
      </c>
      <c r="M631" s="227" t="s">
        <v>2704</v>
      </c>
      <c r="N631" s="129" t="s">
        <v>2748</v>
      </c>
      <c r="O631" s="129" t="s">
        <v>2704</v>
      </c>
      <c r="P631" s="123" t="str">
        <f t="shared" si="18"/>
        <v>C2-2025</v>
      </c>
      <c r="Q631" s="123" t="str">
        <f t="shared" si="19"/>
        <v>T3-2025</v>
      </c>
      <c r="R631" s="91" t="s">
        <v>2749</v>
      </c>
      <c r="S631" s="123" t="s">
        <v>2750</v>
      </c>
      <c r="T631" s="123" t="s">
        <v>2717</v>
      </c>
      <c r="U631" s="162" t="s">
        <v>2708</v>
      </c>
      <c r="V631" s="162" t="s">
        <v>56</v>
      </c>
      <c r="W631" s="237" t="s">
        <v>125</v>
      </c>
      <c r="X631" s="173" t="s">
        <v>2751</v>
      </c>
    </row>
    <row r="632" spans="1:24" hidden="1">
      <c r="A632" s="161">
        <v>45878</v>
      </c>
      <c r="B632" s="133" t="s">
        <v>3607</v>
      </c>
      <c r="C632" s="122" t="s">
        <v>2697</v>
      </c>
      <c r="D632" s="119">
        <v>-818</v>
      </c>
      <c r="E632" s="120">
        <v>1</v>
      </c>
      <c r="F632" s="121">
        <f>Tabla5109[[#This Row],[Original Amount]]*Tabla5109[[#This Row],[ER to EUR]]</f>
        <v>-818</v>
      </c>
      <c r="G632" s="9" t="s">
        <v>2884</v>
      </c>
      <c r="H632" s="73" t="s">
        <v>2885</v>
      </c>
      <c r="I632" s="9" t="s">
        <v>3267</v>
      </c>
      <c r="J632" s="9" t="s">
        <v>2723</v>
      </c>
      <c r="K632" s="205" t="s">
        <v>2792</v>
      </c>
      <c r="L632" s="9" t="s">
        <v>2793</v>
      </c>
      <c r="M632" s="32" t="s">
        <v>125</v>
      </c>
      <c r="N632" s="129" t="s">
        <v>2704</v>
      </c>
      <c r="O632" s="122" t="s">
        <v>2704</v>
      </c>
      <c r="P632" s="123" t="str">
        <f t="shared" si="18"/>
        <v>C2-2025</v>
      </c>
      <c r="Q632" s="123" t="str">
        <f t="shared" si="19"/>
        <v>T3-2025</v>
      </c>
      <c r="R632" s="124" t="s">
        <v>2741</v>
      </c>
      <c r="S632" s="123" t="s">
        <v>2723</v>
      </c>
      <c r="T632" s="123" t="s">
        <v>2707</v>
      </c>
      <c r="U632" s="162" t="s">
        <v>2708</v>
      </c>
      <c r="V632" s="162" t="s">
        <v>54</v>
      </c>
      <c r="W632" s="237" t="s">
        <v>125</v>
      </c>
      <c r="X632" s="173" t="s">
        <v>2709</v>
      </c>
    </row>
    <row r="633" spans="1:24" hidden="1">
      <c r="A633" s="161">
        <v>45878</v>
      </c>
      <c r="B633" s="130" t="s">
        <v>3608</v>
      </c>
      <c r="C633" s="122" t="s">
        <v>2697</v>
      </c>
      <c r="D633" s="150">
        <v>-786.8</v>
      </c>
      <c r="E633" s="120">
        <v>1</v>
      </c>
      <c r="F633" s="121">
        <f>Tabla5109[[#This Row],[Original Amount]]*Tabla5109[[#This Row],[ER to EUR]]</f>
        <v>-786.8</v>
      </c>
      <c r="G633" s="9" t="s">
        <v>3609</v>
      </c>
      <c r="H633" s="73" t="s">
        <v>3610</v>
      </c>
      <c r="I633" s="9" t="s">
        <v>3288</v>
      </c>
      <c r="J633" s="9" t="s">
        <v>2723</v>
      </c>
      <c r="K633" s="205" t="s">
        <v>3096</v>
      </c>
      <c r="L633" s="9" t="s">
        <v>2793</v>
      </c>
      <c r="M633" s="32" t="s">
        <v>125</v>
      </c>
      <c r="N633" s="129" t="s">
        <v>2704</v>
      </c>
      <c r="O633" s="122" t="s">
        <v>2704</v>
      </c>
      <c r="P633" s="123" t="str">
        <f t="shared" si="18"/>
        <v>C2-2025</v>
      </c>
      <c r="Q633" s="123" t="str">
        <f t="shared" si="19"/>
        <v>T3-2025</v>
      </c>
      <c r="R633" s="124" t="s">
        <v>2705</v>
      </c>
      <c r="S633" s="124" t="s">
        <v>2706</v>
      </c>
      <c r="T633" s="123" t="s">
        <v>2717</v>
      </c>
      <c r="U633" s="162" t="s">
        <v>2708</v>
      </c>
      <c r="V633" s="162" t="s">
        <v>56</v>
      </c>
      <c r="W633" s="237" t="s">
        <v>125</v>
      </c>
      <c r="X633" s="173" t="s">
        <v>2709</v>
      </c>
    </row>
    <row r="634" spans="1:24" hidden="1">
      <c r="A634" s="161">
        <v>45878</v>
      </c>
      <c r="B634" s="135" t="s">
        <v>3611</v>
      </c>
      <c r="C634" s="122" t="s">
        <v>2697</v>
      </c>
      <c r="D634" s="150">
        <v>-1668</v>
      </c>
      <c r="E634" s="120">
        <v>1</v>
      </c>
      <c r="F634" s="121">
        <f>Tabla5109[[#This Row],[Original Amount]]*Tabla5109[[#This Row],[ER to EUR]]</f>
        <v>-1668</v>
      </c>
      <c r="G634" s="9" t="s">
        <v>3092</v>
      </c>
      <c r="H634" s="73" t="s">
        <v>3612</v>
      </c>
      <c r="I634" s="9" t="s">
        <v>2713</v>
      </c>
      <c r="J634" s="9" t="s">
        <v>3095</v>
      </c>
      <c r="K634" s="205" t="s">
        <v>3096</v>
      </c>
      <c r="L634" s="9" t="s">
        <v>3097</v>
      </c>
      <c r="M634" s="32" t="s">
        <v>125</v>
      </c>
      <c r="N634" s="129" t="s">
        <v>2704</v>
      </c>
      <c r="O634" s="122" t="s">
        <v>2704</v>
      </c>
      <c r="P634" s="123" t="str">
        <f t="shared" si="18"/>
        <v>C2-2025</v>
      </c>
      <c r="Q634" s="123" t="str">
        <f t="shared" si="19"/>
        <v>T3-2025</v>
      </c>
      <c r="R634" s="124" t="s">
        <v>2705</v>
      </c>
      <c r="S634" s="124" t="s">
        <v>2706</v>
      </c>
      <c r="T634" s="123" t="s">
        <v>2717</v>
      </c>
      <c r="U634" s="162" t="s">
        <v>3098</v>
      </c>
      <c r="V634" s="162" t="s">
        <v>56</v>
      </c>
      <c r="W634" s="237" t="s">
        <v>125</v>
      </c>
      <c r="X634" s="173" t="s">
        <v>2709</v>
      </c>
    </row>
    <row r="635" spans="1:24" hidden="1">
      <c r="A635" s="161">
        <v>45879</v>
      </c>
      <c r="B635" s="133" t="s">
        <v>3613</v>
      </c>
      <c r="C635" s="122" t="s">
        <v>2697</v>
      </c>
      <c r="D635" s="119">
        <v>-818</v>
      </c>
      <c r="E635" s="120">
        <v>1</v>
      </c>
      <c r="F635" s="121">
        <f>Tabla5109[[#This Row],[Original Amount]]*Tabla5109[[#This Row],[ER to EUR]]</f>
        <v>-818</v>
      </c>
      <c r="G635" s="9" t="s">
        <v>2884</v>
      </c>
      <c r="H635" s="73" t="s">
        <v>2885</v>
      </c>
      <c r="I635" s="9" t="s">
        <v>3267</v>
      </c>
      <c r="J635" s="9" t="s">
        <v>2723</v>
      </c>
      <c r="K635" s="205" t="s">
        <v>2792</v>
      </c>
      <c r="L635" s="9" t="s">
        <v>2793</v>
      </c>
      <c r="M635" s="32" t="s">
        <v>125</v>
      </c>
      <c r="N635" s="129" t="s">
        <v>2704</v>
      </c>
      <c r="O635" s="122" t="s">
        <v>2704</v>
      </c>
      <c r="P635" s="123" t="str">
        <f t="shared" si="18"/>
        <v>C2-2025</v>
      </c>
      <c r="Q635" s="123" t="str">
        <f t="shared" si="19"/>
        <v>T3-2025</v>
      </c>
      <c r="R635" s="124" t="s">
        <v>2741</v>
      </c>
      <c r="S635" s="123" t="s">
        <v>2723</v>
      </c>
      <c r="T635" s="123" t="s">
        <v>2707</v>
      </c>
      <c r="U635" s="162" t="s">
        <v>2708</v>
      </c>
      <c r="V635" s="162" t="s">
        <v>54</v>
      </c>
      <c r="W635" s="237" t="s">
        <v>125</v>
      </c>
      <c r="X635" s="173" t="s">
        <v>2709</v>
      </c>
    </row>
    <row r="636" spans="1:24" hidden="1">
      <c r="A636" s="161">
        <v>45879</v>
      </c>
      <c r="B636" s="133" t="s">
        <v>3614</v>
      </c>
      <c r="C636" s="122" t="s">
        <v>2548</v>
      </c>
      <c r="D636" s="149">
        <v>-499</v>
      </c>
      <c r="E636" s="222">
        <v>0.85836909871244638</v>
      </c>
      <c r="F636" s="121">
        <f>Tabla5109[[#This Row],[Original Amount]]*Tabla5109[[#This Row],[ER to EUR]]</f>
        <v>-428.32618025751071</v>
      </c>
      <c r="G636" s="9" t="s">
        <v>3193</v>
      </c>
      <c r="H636" s="73" t="s">
        <v>3194</v>
      </c>
      <c r="I636" s="9" t="s">
        <v>2739</v>
      </c>
      <c r="J636" s="9" t="s">
        <v>2701</v>
      </c>
      <c r="K636" s="205" t="s">
        <v>2702</v>
      </c>
      <c r="L636" s="9" t="s">
        <v>2793</v>
      </c>
      <c r="M636" s="32" t="s">
        <v>125</v>
      </c>
      <c r="N636" s="129" t="s">
        <v>2704</v>
      </c>
      <c r="O636" s="122" t="s">
        <v>2704</v>
      </c>
      <c r="P636" s="123" t="str">
        <f t="shared" si="18"/>
        <v>C2-2025</v>
      </c>
      <c r="Q636" s="123" t="str">
        <f t="shared" si="19"/>
        <v>T3-2025</v>
      </c>
      <c r="R636" s="124" t="s">
        <v>2722</v>
      </c>
      <c r="S636" s="123" t="s">
        <v>2723</v>
      </c>
      <c r="T636" s="123" t="s">
        <v>2724</v>
      </c>
      <c r="U636" s="162" t="s">
        <v>2708</v>
      </c>
      <c r="V636" s="162" t="s">
        <v>54</v>
      </c>
      <c r="W636" s="237" t="s">
        <v>125</v>
      </c>
      <c r="X636" s="173" t="s">
        <v>2709</v>
      </c>
    </row>
    <row r="637" spans="1:24" hidden="1">
      <c r="A637" s="161">
        <v>45879</v>
      </c>
      <c r="B637" s="133" t="s">
        <v>3615</v>
      </c>
      <c r="C637" s="122" t="s">
        <v>2697</v>
      </c>
      <c r="D637" s="119">
        <v>-499.94</v>
      </c>
      <c r="E637" s="120">
        <v>1</v>
      </c>
      <c r="F637" s="121">
        <f>Tabla5109[[#This Row],[Original Amount]]*Tabla5109[[#This Row],[ER to EUR]]</f>
        <v>-499.94</v>
      </c>
      <c r="G637" s="9" t="s">
        <v>2839</v>
      </c>
      <c r="H637" s="73" t="s">
        <v>2840</v>
      </c>
      <c r="I637" s="9" t="s">
        <v>2784</v>
      </c>
      <c r="J637" s="9" t="s">
        <v>2701</v>
      </c>
      <c r="K637" s="205" t="s">
        <v>2702</v>
      </c>
      <c r="L637" s="9" t="s">
        <v>2703</v>
      </c>
      <c r="M637" s="32" t="s">
        <v>125</v>
      </c>
      <c r="N637" s="129" t="s">
        <v>2704</v>
      </c>
      <c r="O637" s="122" t="s">
        <v>2704</v>
      </c>
      <c r="P637" s="123" t="str">
        <f t="shared" si="18"/>
        <v>C2-2025</v>
      </c>
      <c r="Q637" s="123" t="str">
        <f t="shared" si="19"/>
        <v>T3-2025</v>
      </c>
      <c r="R637" s="124" t="s">
        <v>2705</v>
      </c>
      <c r="S637" s="124" t="s">
        <v>2706</v>
      </c>
      <c r="T637" s="123" t="s">
        <v>2707</v>
      </c>
      <c r="U637" s="162" t="s">
        <v>2708</v>
      </c>
      <c r="V637" s="162" t="s">
        <v>57</v>
      </c>
      <c r="W637" s="237" t="s">
        <v>125</v>
      </c>
      <c r="X637" s="173" t="s">
        <v>2709</v>
      </c>
    </row>
    <row r="638" spans="1:24" hidden="1">
      <c r="A638" s="161">
        <v>45879</v>
      </c>
      <c r="B638" s="144">
        <v>1027</v>
      </c>
      <c r="C638" s="122" t="s">
        <v>2697</v>
      </c>
      <c r="D638" s="119">
        <v>-115</v>
      </c>
      <c r="E638" s="120">
        <v>1</v>
      </c>
      <c r="F638" s="121">
        <f>Tabla5109[[#This Row],[Original Amount]]*Tabla5109[[#This Row],[ER to EUR]]</f>
        <v>-115</v>
      </c>
      <c r="G638" s="9" t="s">
        <v>3579</v>
      </c>
      <c r="H638" s="73" t="s">
        <v>3616</v>
      </c>
      <c r="I638" s="9" t="s">
        <v>2713</v>
      </c>
      <c r="J638" s="9" t="s">
        <v>2825</v>
      </c>
      <c r="K638" s="205" t="s">
        <v>2826</v>
      </c>
      <c r="L638" s="9" t="s">
        <v>2827</v>
      </c>
      <c r="M638" s="32" t="s">
        <v>125</v>
      </c>
      <c r="N638" s="129" t="s">
        <v>2704</v>
      </c>
      <c r="O638" s="122" t="s">
        <v>2704</v>
      </c>
      <c r="P638" s="123" t="str">
        <f t="shared" si="18"/>
        <v>C2-2025</v>
      </c>
      <c r="Q638" s="123" t="str">
        <f t="shared" si="19"/>
        <v>T3-2025</v>
      </c>
      <c r="R638" s="124" t="s">
        <v>2705</v>
      </c>
      <c r="S638" s="124" t="s">
        <v>2706</v>
      </c>
      <c r="T638" s="123" t="s">
        <v>2717</v>
      </c>
      <c r="U638" s="162" t="s">
        <v>2708</v>
      </c>
      <c r="V638" s="162" t="s">
        <v>56</v>
      </c>
      <c r="W638" s="237" t="s">
        <v>125</v>
      </c>
      <c r="X638" s="173" t="s">
        <v>2709</v>
      </c>
    </row>
    <row r="639" spans="1:24" hidden="1">
      <c r="A639" s="161">
        <v>45879</v>
      </c>
      <c r="B639" s="133" t="s">
        <v>3617</v>
      </c>
      <c r="C639" s="32" t="s">
        <v>2548</v>
      </c>
      <c r="D639" s="136">
        <v>-15.07</v>
      </c>
      <c r="E639" s="181">
        <v>0.85836900000000005</v>
      </c>
      <c r="F639" s="121">
        <f>Tabla5109[[#This Row],[Original Amount]]*Tabla5109[[#This Row],[ER to EUR]]</f>
        <v>-12.935620830000001</v>
      </c>
      <c r="G639" s="9" t="s">
        <v>2884</v>
      </c>
      <c r="H639" s="9" t="s">
        <v>3199</v>
      </c>
      <c r="I639" s="9" t="s">
        <v>3480</v>
      </c>
      <c r="J639" s="9" t="s">
        <v>2723</v>
      </c>
      <c r="K639" s="205" t="s">
        <v>2792</v>
      </c>
      <c r="L639" s="9" t="s">
        <v>2793</v>
      </c>
      <c r="M639" s="32" t="s">
        <v>125</v>
      </c>
      <c r="N639" s="129" t="s">
        <v>2704</v>
      </c>
      <c r="O639" s="122" t="s">
        <v>2704</v>
      </c>
      <c r="P639" s="123" t="str">
        <f t="shared" si="18"/>
        <v>C2-2025</v>
      </c>
      <c r="Q639" s="123" t="str">
        <f t="shared" si="19"/>
        <v>T3-2025</v>
      </c>
      <c r="R639" s="124" t="s">
        <v>2741</v>
      </c>
      <c r="S639" s="123" t="s">
        <v>2723</v>
      </c>
      <c r="T639" s="123" t="s">
        <v>2707</v>
      </c>
      <c r="U639" s="162" t="s">
        <v>2708</v>
      </c>
      <c r="V639" s="162" t="s">
        <v>54</v>
      </c>
      <c r="W639" s="237" t="s">
        <v>125</v>
      </c>
      <c r="X639" s="173" t="s">
        <v>2709</v>
      </c>
    </row>
    <row r="640" spans="1:24" hidden="1">
      <c r="A640" s="161">
        <v>45880</v>
      </c>
      <c r="B640" s="133" t="s">
        <v>3618</v>
      </c>
      <c r="C640" s="122" t="s">
        <v>2697</v>
      </c>
      <c r="D640" s="119">
        <v>-818</v>
      </c>
      <c r="E640" s="120">
        <v>1</v>
      </c>
      <c r="F640" s="121">
        <f>Tabla5109[[#This Row],[Original Amount]]*Tabla5109[[#This Row],[ER to EUR]]</f>
        <v>-818</v>
      </c>
      <c r="G640" s="9" t="s">
        <v>2884</v>
      </c>
      <c r="H640" s="73" t="s">
        <v>2885</v>
      </c>
      <c r="I640" s="9" t="s">
        <v>3267</v>
      </c>
      <c r="J640" s="9" t="s">
        <v>2723</v>
      </c>
      <c r="K640" s="205" t="s">
        <v>2792</v>
      </c>
      <c r="L640" s="9" t="s">
        <v>2793</v>
      </c>
      <c r="M640" s="32" t="s">
        <v>125</v>
      </c>
      <c r="N640" s="129" t="s">
        <v>2704</v>
      </c>
      <c r="O640" s="122" t="s">
        <v>2704</v>
      </c>
      <c r="P640" s="123" t="str">
        <f t="shared" si="18"/>
        <v>C2-2025</v>
      </c>
      <c r="Q640" s="123" t="str">
        <f t="shared" si="19"/>
        <v>T3-2025</v>
      </c>
      <c r="R640" s="124" t="s">
        <v>2741</v>
      </c>
      <c r="S640" s="123" t="s">
        <v>2723</v>
      </c>
      <c r="T640" s="123" t="s">
        <v>2707</v>
      </c>
      <c r="U640" s="162" t="s">
        <v>2708</v>
      </c>
      <c r="V640" s="162" t="s">
        <v>54</v>
      </c>
      <c r="W640" s="237" t="s">
        <v>125</v>
      </c>
      <c r="X640" s="173" t="s">
        <v>2709</v>
      </c>
    </row>
    <row r="641" spans="1:24" hidden="1">
      <c r="A641" s="161">
        <v>45880</v>
      </c>
      <c r="B641" s="130" t="s">
        <v>3619</v>
      </c>
      <c r="C641" s="122" t="s">
        <v>2697</v>
      </c>
      <c r="D641" s="119">
        <v>-487.28</v>
      </c>
      <c r="E641" s="120">
        <v>1</v>
      </c>
      <c r="F641" s="121">
        <f>Tabla5109[[#This Row],[Original Amount]]*Tabla5109[[#This Row],[ER to EUR]]</f>
        <v>-487.28</v>
      </c>
      <c r="G641" s="9" t="s">
        <v>3620</v>
      </c>
      <c r="H641" s="73" t="s">
        <v>3621</v>
      </c>
      <c r="I641" s="9" t="s">
        <v>2727</v>
      </c>
      <c r="J641" s="9" t="s">
        <v>3095</v>
      </c>
      <c r="K641" s="205" t="s">
        <v>2798</v>
      </c>
      <c r="L641" s="9" t="s">
        <v>3097</v>
      </c>
      <c r="M641" s="32" t="s">
        <v>125</v>
      </c>
      <c r="N641" s="129" t="s">
        <v>2704</v>
      </c>
      <c r="O641" s="122" t="s">
        <v>2704</v>
      </c>
      <c r="P641" s="123" t="str">
        <f t="shared" si="18"/>
        <v>C2-2025</v>
      </c>
      <c r="Q641" s="123" t="str">
        <f t="shared" si="19"/>
        <v>T3-2025</v>
      </c>
      <c r="R641" s="124" t="s">
        <v>2705</v>
      </c>
      <c r="S641" s="124" t="s">
        <v>2706</v>
      </c>
      <c r="T641" s="123" t="s">
        <v>2717</v>
      </c>
      <c r="U641" s="162" t="s">
        <v>2708</v>
      </c>
      <c r="V641" s="162" t="s">
        <v>56</v>
      </c>
      <c r="W641" s="237" t="s">
        <v>125</v>
      </c>
      <c r="X641" s="173" t="s">
        <v>2709</v>
      </c>
    </row>
    <row r="642" spans="1:24" hidden="1">
      <c r="A642" s="161">
        <v>45880</v>
      </c>
      <c r="B642" s="133" t="s">
        <v>3606</v>
      </c>
      <c r="C642" s="122" t="s">
        <v>2543</v>
      </c>
      <c r="D642" s="152">
        <v>-600000</v>
      </c>
      <c r="E642" s="137">
        <v>8.8900000000000003E-4</v>
      </c>
      <c r="F642" s="121">
        <f>Tabla5109[[#This Row],[Original Amount]]*Tabla5109[[#This Row],[ER to EUR]]</f>
        <v>-533.4</v>
      </c>
      <c r="G642" s="9" t="s">
        <v>2745</v>
      </c>
      <c r="H642" s="9" t="s">
        <v>3622</v>
      </c>
      <c r="I642" s="9" t="s">
        <v>2727</v>
      </c>
      <c r="J642" s="9" t="s">
        <v>2714</v>
      </c>
      <c r="K642" s="205" t="s">
        <v>2747</v>
      </c>
      <c r="L642" t="s">
        <v>2716</v>
      </c>
      <c r="M642" s="227" t="s">
        <v>2704</v>
      </c>
      <c r="N642" s="129" t="s">
        <v>2748</v>
      </c>
      <c r="O642" s="122" t="s">
        <v>2704</v>
      </c>
      <c r="P642" s="123" t="str">
        <f t="shared" ref="P642:P705" si="20">"C"&amp;INT((MONTH(A642)-1)/4)+1&amp;"-"&amp;YEAR(A642)</f>
        <v>C2-2025</v>
      </c>
      <c r="Q642" s="123" t="str">
        <f t="shared" ref="Q642:Q705" si="21">"T"&amp;INT((MONTH(A642)-1)/3)+1&amp;"-"&amp;YEAR(A642)</f>
        <v>T3-2025</v>
      </c>
      <c r="R642" s="124" t="s">
        <v>2705</v>
      </c>
      <c r="S642" s="124" t="s">
        <v>2706</v>
      </c>
      <c r="T642" s="123" t="s">
        <v>2707</v>
      </c>
      <c r="U642" s="162" t="s">
        <v>2708</v>
      </c>
      <c r="V642" s="162" t="s">
        <v>54</v>
      </c>
      <c r="W642" s="237" t="s">
        <v>125</v>
      </c>
      <c r="X642" s="124" t="s">
        <v>2751</v>
      </c>
    </row>
    <row r="643" spans="1:24" hidden="1">
      <c r="A643" s="161">
        <v>45881</v>
      </c>
      <c r="B643" s="133" t="s">
        <v>3623</v>
      </c>
      <c r="C643" s="122" t="s">
        <v>2697</v>
      </c>
      <c r="D643" s="119">
        <v>-818</v>
      </c>
      <c r="E643" s="120">
        <v>1</v>
      </c>
      <c r="F643" s="121">
        <f>Tabla5109[[#This Row],[Original Amount]]*Tabla5109[[#This Row],[ER to EUR]]</f>
        <v>-818</v>
      </c>
      <c r="G643" s="9" t="s">
        <v>2884</v>
      </c>
      <c r="H643" s="73" t="s">
        <v>2885</v>
      </c>
      <c r="I643" s="9" t="s">
        <v>3267</v>
      </c>
      <c r="J643" s="9" t="s">
        <v>2723</v>
      </c>
      <c r="K643" s="205" t="s">
        <v>2792</v>
      </c>
      <c r="L643" s="9" t="s">
        <v>2793</v>
      </c>
      <c r="M643" s="32" t="s">
        <v>125</v>
      </c>
      <c r="N643" s="129" t="s">
        <v>2704</v>
      </c>
      <c r="O643" s="122" t="s">
        <v>2704</v>
      </c>
      <c r="P643" s="123" t="str">
        <f t="shared" si="20"/>
        <v>C2-2025</v>
      </c>
      <c r="Q643" s="123" t="str">
        <f t="shared" si="21"/>
        <v>T3-2025</v>
      </c>
      <c r="R643" s="124" t="s">
        <v>2741</v>
      </c>
      <c r="S643" s="123" t="s">
        <v>2723</v>
      </c>
      <c r="T643" s="123" t="s">
        <v>2707</v>
      </c>
      <c r="U643" s="162" t="s">
        <v>2708</v>
      </c>
      <c r="V643" s="162" t="s">
        <v>54</v>
      </c>
      <c r="W643" s="237" t="s">
        <v>125</v>
      </c>
      <c r="X643" s="173" t="s">
        <v>2709</v>
      </c>
    </row>
    <row r="644" spans="1:24" hidden="1">
      <c r="A644" s="161">
        <v>45881</v>
      </c>
      <c r="B644" s="133" t="s">
        <v>3606</v>
      </c>
      <c r="C644" s="122" t="s">
        <v>2543</v>
      </c>
      <c r="D644" s="152">
        <v>-5000000</v>
      </c>
      <c r="E644" s="137">
        <v>8.8900000000000003E-4</v>
      </c>
      <c r="F644" s="121">
        <f>Tabla5109[[#This Row],[Original Amount]]*Tabla5109[[#This Row],[ER to EUR]]</f>
        <v>-4445</v>
      </c>
      <c r="G644" s="9" t="s">
        <v>2745</v>
      </c>
      <c r="H644" s="9" t="s">
        <v>3622</v>
      </c>
      <c r="I644" s="9" t="s">
        <v>2727</v>
      </c>
      <c r="J644" s="9" t="s">
        <v>2714</v>
      </c>
      <c r="K644" s="205" t="s">
        <v>2747</v>
      </c>
      <c r="L644" s="9" t="s">
        <v>2716</v>
      </c>
      <c r="M644" s="227" t="s">
        <v>2704</v>
      </c>
      <c r="N644" s="129" t="s">
        <v>2748</v>
      </c>
      <c r="O644" s="122" t="s">
        <v>2704</v>
      </c>
      <c r="P644" s="123" t="str">
        <f t="shared" si="20"/>
        <v>C2-2025</v>
      </c>
      <c r="Q644" s="123" t="str">
        <f t="shared" si="21"/>
        <v>T3-2025</v>
      </c>
      <c r="R644" s="124" t="s">
        <v>2705</v>
      </c>
      <c r="S644" s="124" t="s">
        <v>2706</v>
      </c>
      <c r="T644" s="123" t="s">
        <v>2707</v>
      </c>
      <c r="U644" s="162" t="s">
        <v>2708</v>
      </c>
      <c r="V644" s="162" t="s">
        <v>54</v>
      </c>
      <c r="W644" s="237" t="s">
        <v>125</v>
      </c>
      <c r="X644" s="173" t="s">
        <v>2751</v>
      </c>
    </row>
    <row r="645" spans="1:24" hidden="1">
      <c r="A645" s="161">
        <v>45882</v>
      </c>
      <c r="B645" s="133" t="s">
        <v>3624</v>
      </c>
      <c r="C645" s="122" t="s">
        <v>2697</v>
      </c>
      <c r="D645" s="119">
        <v>-818</v>
      </c>
      <c r="E645" s="120">
        <v>1</v>
      </c>
      <c r="F645" s="121">
        <f>Tabla5109[[#This Row],[Original Amount]]*Tabla5109[[#This Row],[ER to EUR]]</f>
        <v>-818</v>
      </c>
      <c r="G645" s="9" t="s">
        <v>2884</v>
      </c>
      <c r="H645" s="73" t="s">
        <v>2885</v>
      </c>
      <c r="I645" s="9" t="s">
        <v>3267</v>
      </c>
      <c r="J645" s="9" t="s">
        <v>2723</v>
      </c>
      <c r="K645" s="205" t="s">
        <v>2792</v>
      </c>
      <c r="L645" s="9" t="s">
        <v>2793</v>
      </c>
      <c r="M645" s="32" t="s">
        <v>125</v>
      </c>
      <c r="N645" s="129" t="s">
        <v>2704</v>
      </c>
      <c r="O645" s="122" t="s">
        <v>2704</v>
      </c>
      <c r="P645" s="123" t="str">
        <f t="shared" si="20"/>
        <v>C2-2025</v>
      </c>
      <c r="Q645" s="123" t="str">
        <f t="shared" si="21"/>
        <v>T3-2025</v>
      </c>
      <c r="R645" s="124" t="s">
        <v>2741</v>
      </c>
      <c r="S645" s="123" t="s">
        <v>2723</v>
      </c>
      <c r="T645" s="123" t="s">
        <v>2707</v>
      </c>
      <c r="U645" s="162" t="s">
        <v>2708</v>
      </c>
      <c r="V645" s="162" t="s">
        <v>54</v>
      </c>
      <c r="W645" s="237" t="s">
        <v>125</v>
      </c>
      <c r="X645" s="173" t="s">
        <v>2709</v>
      </c>
    </row>
    <row r="646" spans="1:24" hidden="1">
      <c r="A646" s="161">
        <v>45883</v>
      </c>
      <c r="B646" s="132">
        <v>22075</v>
      </c>
      <c r="C646" s="122" t="s">
        <v>2697</v>
      </c>
      <c r="D646" s="119">
        <v>-1349.46</v>
      </c>
      <c r="E646" s="120">
        <v>1</v>
      </c>
      <c r="F646" s="121">
        <f>Tabla5109[[#This Row],[Original Amount]]*Tabla5109[[#This Row],[ER to EUR]]</f>
        <v>-1349.46</v>
      </c>
      <c r="G646" s="9" t="s">
        <v>3625</v>
      </c>
      <c r="H646" s="73" t="s">
        <v>3626</v>
      </c>
      <c r="I646" s="9" t="s">
        <v>2727</v>
      </c>
      <c r="J646" s="9" t="s">
        <v>3095</v>
      </c>
      <c r="K646" s="205" t="s">
        <v>3627</v>
      </c>
      <c r="L646" s="9" t="s">
        <v>3511</v>
      </c>
      <c r="M646" s="32" t="s">
        <v>125</v>
      </c>
      <c r="N646" s="129" t="s">
        <v>2704</v>
      </c>
      <c r="O646" s="122" t="s">
        <v>2704</v>
      </c>
      <c r="P646" s="123" t="str">
        <f t="shared" si="20"/>
        <v>C2-2025</v>
      </c>
      <c r="Q646" s="123" t="str">
        <f t="shared" si="21"/>
        <v>T3-2025</v>
      </c>
      <c r="R646" s="124" t="s">
        <v>2705</v>
      </c>
      <c r="S646" s="124" t="s">
        <v>2706</v>
      </c>
      <c r="T646" s="123" t="s">
        <v>2717</v>
      </c>
      <c r="U646" s="162" t="s">
        <v>2708</v>
      </c>
      <c r="V646" s="162" t="s">
        <v>56</v>
      </c>
      <c r="W646" s="237" t="s">
        <v>125</v>
      </c>
      <c r="X646" s="173" t="s">
        <v>2709</v>
      </c>
    </row>
    <row r="647" spans="1:24" hidden="1">
      <c r="A647" s="161">
        <v>45883</v>
      </c>
      <c r="B647" s="132">
        <v>2025080687</v>
      </c>
      <c r="C647" s="122" t="s">
        <v>2697</v>
      </c>
      <c r="D647" s="119">
        <v>-759.05</v>
      </c>
      <c r="E647" s="120">
        <v>1</v>
      </c>
      <c r="F647" s="121">
        <f>Tabla5109[[#This Row],[Original Amount]]*Tabla5109[[#This Row],[ER to EUR]]</f>
        <v>-759.05</v>
      </c>
      <c r="G647" s="9" t="s">
        <v>3628</v>
      </c>
      <c r="H647" s="73" t="s">
        <v>3629</v>
      </c>
      <c r="I647" s="9" t="s">
        <v>2700</v>
      </c>
      <c r="J647" s="9" t="s">
        <v>2825</v>
      </c>
      <c r="K647" s="205" t="s">
        <v>2826</v>
      </c>
      <c r="L647" s="9" t="s">
        <v>2827</v>
      </c>
      <c r="M647" s="32" t="s">
        <v>125</v>
      </c>
      <c r="N647" s="129" t="s">
        <v>2704</v>
      </c>
      <c r="O647" s="122" t="s">
        <v>2704</v>
      </c>
      <c r="P647" s="123" t="str">
        <f t="shared" si="20"/>
        <v>C2-2025</v>
      </c>
      <c r="Q647" s="123" t="str">
        <f t="shared" si="21"/>
        <v>T3-2025</v>
      </c>
      <c r="R647" s="124" t="s">
        <v>2705</v>
      </c>
      <c r="S647" s="124" t="s">
        <v>2706</v>
      </c>
      <c r="T647" s="123" t="s">
        <v>2717</v>
      </c>
      <c r="U647" s="162" t="s">
        <v>2708</v>
      </c>
      <c r="V647" s="162" t="s">
        <v>56</v>
      </c>
      <c r="W647" s="237" t="s">
        <v>125</v>
      </c>
      <c r="X647" s="173" t="s">
        <v>2709</v>
      </c>
    </row>
    <row r="648" spans="1:24" hidden="1">
      <c r="A648" s="161">
        <v>45883</v>
      </c>
      <c r="B648" s="133" t="s">
        <v>3630</v>
      </c>
      <c r="C648" s="122" t="s">
        <v>2697</v>
      </c>
      <c r="D648" s="119">
        <v>-818</v>
      </c>
      <c r="E648" s="120">
        <v>1</v>
      </c>
      <c r="F648" s="121">
        <f>Tabla5109[[#This Row],[Original Amount]]*Tabla5109[[#This Row],[ER to EUR]]</f>
        <v>-818</v>
      </c>
      <c r="G648" s="9" t="s">
        <v>2884</v>
      </c>
      <c r="H648" s="73" t="s">
        <v>2885</v>
      </c>
      <c r="I648" s="9" t="s">
        <v>3267</v>
      </c>
      <c r="J648" s="9" t="s">
        <v>2723</v>
      </c>
      <c r="K648" s="205" t="s">
        <v>2792</v>
      </c>
      <c r="L648" s="9" t="s">
        <v>2793</v>
      </c>
      <c r="M648" s="32" t="s">
        <v>125</v>
      </c>
      <c r="N648" s="129" t="s">
        <v>2704</v>
      </c>
      <c r="O648" s="122" t="s">
        <v>2704</v>
      </c>
      <c r="P648" s="123" t="str">
        <f t="shared" si="20"/>
        <v>C2-2025</v>
      </c>
      <c r="Q648" s="123" t="str">
        <f t="shared" si="21"/>
        <v>T3-2025</v>
      </c>
      <c r="R648" s="124" t="s">
        <v>2741</v>
      </c>
      <c r="S648" s="123" t="s">
        <v>2723</v>
      </c>
      <c r="T648" s="123" t="s">
        <v>2707</v>
      </c>
      <c r="U648" s="162" t="s">
        <v>2708</v>
      </c>
      <c r="V648" s="162" t="s">
        <v>54</v>
      </c>
      <c r="W648" s="237" t="s">
        <v>125</v>
      </c>
      <c r="X648" s="173" t="s">
        <v>2709</v>
      </c>
    </row>
    <row r="649" spans="1:24" hidden="1">
      <c r="A649" s="161">
        <v>45883</v>
      </c>
      <c r="B649" s="133" t="s">
        <v>3631</v>
      </c>
      <c r="C649" s="122" t="s">
        <v>2697</v>
      </c>
      <c r="D649" s="119">
        <v>-118.99</v>
      </c>
      <c r="E649" s="120">
        <v>1</v>
      </c>
      <c r="F649" s="121">
        <f>Tabla5109[[#This Row],[Original Amount]]*Tabla5109[[#This Row],[ER to EUR]]</f>
        <v>-118.99</v>
      </c>
      <c r="G649" s="9" t="s">
        <v>2812</v>
      </c>
      <c r="H649" s="91" t="s">
        <v>2813</v>
      </c>
      <c r="I649" s="9" t="s">
        <v>2727</v>
      </c>
      <c r="J649" s="9" t="s">
        <v>2714</v>
      </c>
      <c r="K649" s="196" t="s">
        <v>2814</v>
      </c>
      <c r="L649" s="9" t="s">
        <v>2799</v>
      </c>
      <c r="M649" s="32" t="s">
        <v>125</v>
      </c>
      <c r="N649" s="129" t="s">
        <v>2704</v>
      </c>
      <c r="O649" s="122" t="s">
        <v>2704</v>
      </c>
      <c r="P649" s="123" t="str">
        <f t="shared" si="20"/>
        <v>C2-2025</v>
      </c>
      <c r="Q649" s="123" t="str">
        <f t="shared" si="21"/>
        <v>T3-2025</v>
      </c>
      <c r="R649" s="124" t="s">
        <v>2705</v>
      </c>
      <c r="S649" s="124" t="s">
        <v>2706</v>
      </c>
      <c r="T649" s="123" t="s">
        <v>2724</v>
      </c>
      <c r="U649" s="162" t="s">
        <v>2708</v>
      </c>
      <c r="V649" s="162" t="s">
        <v>56</v>
      </c>
      <c r="W649" s="237" t="s">
        <v>125</v>
      </c>
      <c r="X649" s="173" t="s">
        <v>2709</v>
      </c>
    </row>
    <row r="650" spans="1:24" hidden="1">
      <c r="A650" s="161">
        <v>45883</v>
      </c>
      <c r="B650" s="117" t="s">
        <v>3632</v>
      </c>
      <c r="C650" s="122" t="s">
        <v>2697</v>
      </c>
      <c r="D650" s="119">
        <v>-65.540000000000006</v>
      </c>
      <c r="E650" s="120">
        <v>1</v>
      </c>
      <c r="F650" s="121">
        <f>Tabla5109[[#This Row],[Original Amount]]*Tabla5109[[#This Row],[ER to EUR]]</f>
        <v>-65.540000000000006</v>
      </c>
      <c r="G650" s="9" t="s">
        <v>2830</v>
      </c>
      <c r="H650" s="9" t="s">
        <v>3633</v>
      </c>
      <c r="I650" s="9" t="s">
        <v>2784</v>
      </c>
      <c r="J650" s="9" t="s">
        <v>2817</v>
      </c>
      <c r="K650" s="205" t="s">
        <v>2702</v>
      </c>
      <c r="L650" s="9" t="s">
        <v>2818</v>
      </c>
      <c r="M650" s="32" t="s">
        <v>125</v>
      </c>
      <c r="N650" s="129" t="s">
        <v>2704</v>
      </c>
      <c r="O650" s="122" t="s">
        <v>2704</v>
      </c>
      <c r="P650" s="123" t="str">
        <f t="shared" si="20"/>
        <v>C2-2025</v>
      </c>
      <c r="Q650" s="123" t="str">
        <f t="shared" si="21"/>
        <v>T3-2025</v>
      </c>
      <c r="R650" s="124" t="s">
        <v>2722</v>
      </c>
      <c r="S650" s="123" t="s">
        <v>2723</v>
      </c>
      <c r="T650" s="123" t="s">
        <v>2724</v>
      </c>
      <c r="U650" s="162" t="s">
        <v>2708</v>
      </c>
      <c r="V650" s="162" t="s">
        <v>54</v>
      </c>
      <c r="W650" s="237" t="s">
        <v>125</v>
      </c>
      <c r="X650" s="173" t="s">
        <v>2709</v>
      </c>
    </row>
    <row r="651" spans="1:24" hidden="1">
      <c r="A651" s="161">
        <v>45884</v>
      </c>
      <c r="B651" s="148">
        <v>1948996</v>
      </c>
      <c r="C651" s="122" t="s">
        <v>2697</v>
      </c>
      <c r="D651" s="119">
        <v>-239.68</v>
      </c>
      <c r="E651" s="120">
        <v>1</v>
      </c>
      <c r="F651" s="121">
        <f>Tabla5109[[#This Row],[Original Amount]]*Tabla5109[[#This Row],[ER to EUR]]</f>
        <v>-239.68</v>
      </c>
      <c r="G651" s="9" t="s">
        <v>2815</v>
      </c>
      <c r="H651" s="9" t="s">
        <v>3103</v>
      </c>
      <c r="I651" s="9" t="s">
        <v>2727</v>
      </c>
      <c r="J651" s="9" t="s">
        <v>2817</v>
      </c>
      <c r="K651" s="205" t="s">
        <v>2702</v>
      </c>
      <c r="L651" s="9" t="s">
        <v>2818</v>
      </c>
      <c r="M651" s="32" t="s">
        <v>125</v>
      </c>
      <c r="N651" s="129" t="s">
        <v>2704</v>
      </c>
      <c r="O651" s="122" t="s">
        <v>2704</v>
      </c>
      <c r="P651" s="123" t="str">
        <f t="shared" si="20"/>
        <v>C2-2025</v>
      </c>
      <c r="Q651" s="123" t="str">
        <f t="shared" si="21"/>
        <v>T3-2025</v>
      </c>
      <c r="R651" s="124" t="s">
        <v>2819</v>
      </c>
      <c r="S651" s="123" t="s">
        <v>2723</v>
      </c>
      <c r="T651" s="123" t="s">
        <v>2724</v>
      </c>
      <c r="U651" s="162" t="s">
        <v>2708</v>
      </c>
      <c r="V651" s="162" t="s">
        <v>54</v>
      </c>
      <c r="W651" s="237" t="s">
        <v>125</v>
      </c>
      <c r="X651" s="173" t="s">
        <v>2709</v>
      </c>
    </row>
    <row r="652" spans="1:24" hidden="1">
      <c r="A652" s="161">
        <v>45884</v>
      </c>
      <c r="B652" s="133" t="s">
        <v>3634</v>
      </c>
      <c r="C652" s="122" t="s">
        <v>2697</v>
      </c>
      <c r="D652" s="119">
        <v>-818</v>
      </c>
      <c r="E652" s="120">
        <v>1</v>
      </c>
      <c r="F652" s="121">
        <f>Tabla5109[[#This Row],[Original Amount]]*Tabla5109[[#This Row],[ER to EUR]]</f>
        <v>-818</v>
      </c>
      <c r="G652" s="9" t="s">
        <v>2884</v>
      </c>
      <c r="H652" s="73" t="s">
        <v>2885</v>
      </c>
      <c r="I652" s="9" t="s">
        <v>3267</v>
      </c>
      <c r="J652" s="9" t="s">
        <v>2723</v>
      </c>
      <c r="K652" s="205" t="s">
        <v>2792</v>
      </c>
      <c r="L652" s="9" t="s">
        <v>2793</v>
      </c>
      <c r="M652" s="32" t="s">
        <v>125</v>
      </c>
      <c r="N652" s="129" t="s">
        <v>2704</v>
      </c>
      <c r="O652" s="122" t="s">
        <v>2704</v>
      </c>
      <c r="P652" s="123" t="str">
        <f t="shared" si="20"/>
        <v>C2-2025</v>
      </c>
      <c r="Q652" s="123" t="str">
        <f t="shared" si="21"/>
        <v>T3-2025</v>
      </c>
      <c r="R652" s="124" t="s">
        <v>2741</v>
      </c>
      <c r="S652" s="123" t="s">
        <v>2723</v>
      </c>
      <c r="T652" s="123" t="s">
        <v>2707</v>
      </c>
      <c r="U652" s="162" t="s">
        <v>2708</v>
      </c>
      <c r="V652" s="162" t="s">
        <v>54</v>
      </c>
      <c r="W652" s="237" t="s">
        <v>125</v>
      </c>
      <c r="X652" s="173" t="s">
        <v>2709</v>
      </c>
    </row>
    <row r="653" spans="1:24" hidden="1">
      <c r="A653" s="161">
        <v>45884</v>
      </c>
      <c r="B653" s="705" t="s">
        <v>3635</v>
      </c>
      <c r="C653" s="122" t="s">
        <v>2697</v>
      </c>
      <c r="D653" s="119">
        <v>-124</v>
      </c>
      <c r="E653" s="120">
        <v>1</v>
      </c>
      <c r="F653" s="121">
        <f>Tabla5109[[#This Row],[Original Amount]]*Tabla5109[[#This Row],[ER to EUR]]</f>
        <v>-124</v>
      </c>
      <c r="G653" s="9" t="s">
        <v>3492</v>
      </c>
      <c r="H653" s="9" t="s">
        <v>3636</v>
      </c>
      <c r="I653" s="9" t="s">
        <v>2784</v>
      </c>
      <c r="J653" s="9" t="s">
        <v>2701</v>
      </c>
      <c r="K653" s="205" t="s">
        <v>2702</v>
      </c>
      <c r="L653" s="9" t="s">
        <v>3494</v>
      </c>
      <c r="M653" s="32" t="s">
        <v>125</v>
      </c>
      <c r="N653" s="129" t="s">
        <v>2704</v>
      </c>
      <c r="O653" s="122" t="s">
        <v>2704</v>
      </c>
      <c r="P653" s="123" t="str">
        <f t="shared" si="20"/>
        <v>C2-2025</v>
      </c>
      <c r="Q653" s="123" t="str">
        <f t="shared" si="21"/>
        <v>T3-2025</v>
      </c>
      <c r="R653" s="124" t="s">
        <v>2705</v>
      </c>
      <c r="S653" s="123" t="s">
        <v>2735</v>
      </c>
      <c r="T653" s="123" t="s">
        <v>2707</v>
      </c>
      <c r="U653" s="162" t="s">
        <v>2708</v>
      </c>
      <c r="V653" s="162" t="s">
        <v>54</v>
      </c>
      <c r="W653" s="237" t="s">
        <v>125</v>
      </c>
      <c r="X653" s="173" t="s">
        <v>2709</v>
      </c>
    </row>
    <row r="654" spans="1:24" hidden="1">
      <c r="A654" s="161">
        <v>45884</v>
      </c>
      <c r="B654" s="117" t="s">
        <v>3637</v>
      </c>
      <c r="C654" s="122" t="s">
        <v>2697</v>
      </c>
      <c r="D654" s="119">
        <v>-80.97</v>
      </c>
      <c r="E654" s="120">
        <v>1</v>
      </c>
      <c r="F654" s="121">
        <f>Tabla5109[[#This Row],[Original Amount]]*Tabla5109[[#This Row],[ER to EUR]]</f>
        <v>-80.97</v>
      </c>
      <c r="G654" s="9" t="s">
        <v>3638</v>
      </c>
      <c r="H654" s="73" t="s">
        <v>3639</v>
      </c>
      <c r="I654" s="9" t="s">
        <v>2713</v>
      </c>
      <c r="J654" s="9" t="s">
        <v>3095</v>
      </c>
      <c r="K654" s="205" t="s">
        <v>3640</v>
      </c>
      <c r="L654" s="9" t="s">
        <v>3511</v>
      </c>
      <c r="M654" s="32" t="s">
        <v>125</v>
      </c>
      <c r="N654" s="129" t="s">
        <v>2704</v>
      </c>
      <c r="O654" s="122" t="s">
        <v>2704</v>
      </c>
      <c r="P654" s="123" t="str">
        <f t="shared" si="20"/>
        <v>C2-2025</v>
      </c>
      <c r="Q654" s="123" t="str">
        <f t="shared" si="21"/>
        <v>T3-2025</v>
      </c>
      <c r="R654" s="124" t="s">
        <v>2819</v>
      </c>
      <c r="S654" s="123" t="s">
        <v>2723</v>
      </c>
      <c r="T654" s="123" t="s">
        <v>2717</v>
      </c>
      <c r="U654" s="162" t="s">
        <v>2708</v>
      </c>
      <c r="V654" s="162" t="s">
        <v>54</v>
      </c>
      <c r="W654" s="237" t="s">
        <v>125</v>
      </c>
      <c r="X654" s="173" t="s">
        <v>2709</v>
      </c>
    </row>
    <row r="655" spans="1:24" hidden="1">
      <c r="A655" s="161">
        <v>45884</v>
      </c>
      <c r="B655" s="117" t="s">
        <v>3641</v>
      </c>
      <c r="C655" s="122" t="s">
        <v>2697</v>
      </c>
      <c r="D655" s="150">
        <v>-4760</v>
      </c>
      <c r="E655" s="120">
        <v>1</v>
      </c>
      <c r="F655" s="121">
        <f>Tabla5109[[#This Row],[Original Amount]]*Tabla5109[[#This Row],[ER to EUR]]</f>
        <v>-4760</v>
      </c>
      <c r="G655" s="9" t="s">
        <v>2790</v>
      </c>
      <c r="H655" s="73" t="s">
        <v>2791</v>
      </c>
      <c r="I655" s="9" t="s">
        <v>2727</v>
      </c>
      <c r="J655" s="9" t="s">
        <v>2723</v>
      </c>
      <c r="K655" s="205" t="s">
        <v>2792</v>
      </c>
      <c r="L655" s="9" t="s">
        <v>2793</v>
      </c>
      <c r="M655" s="32" t="s">
        <v>125</v>
      </c>
      <c r="N655" s="129" t="s">
        <v>2704</v>
      </c>
      <c r="O655" s="122" t="s">
        <v>2704</v>
      </c>
      <c r="P655" s="123" t="str">
        <f t="shared" si="20"/>
        <v>C2-2025</v>
      </c>
      <c r="Q655" s="123" t="str">
        <f t="shared" si="21"/>
        <v>T3-2025</v>
      </c>
      <c r="R655" s="124" t="s">
        <v>2794</v>
      </c>
      <c r="S655" s="123" t="s">
        <v>2731</v>
      </c>
      <c r="T655" s="123" t="s">
        <v>2724</v>
      </c>
      <c r="U655" s="162" t="s">
        <v>2708</v>
      </c>
      <c r="V655" s="162" t="s">
        <v>57</v>
      </c>
      <c r="W655" s="237" t="s">
        <v>125</v>
      </c>
      <c r="X655" s="173" t="s">
        <v>2709</v>
      </c>
    </row>
    <row r="656" spans="1:24" hidden="1">
      <c r="A656" s="161">
        <v>45884</v>
      </c>
      <c r="B656" s="117" t="s">
        <v>3642</v>
      </c>
      <c r="C656" s="122" t="s">
        <v>2697</v>
      </c>
      <c r="D656" s="150">
        <v>-4462.5</v>
      </c>
      <c r="E656" s="120">
        <v>1</v>
      </c>
      <c r="F656" s="121">
        <f>Tabla5109[[#This Row],[Original Amount]]*Tabla5109[[#This Row],[ER to EUR]]</f>
        <v>-4462.5</v>
      </c>
      <c r="G656" s="9" t="s">
        <v>2790</v>
      </c>
      <c r="H656" s="73" t="s">
        <v>2791</v>
      </c>
      <c r="I656" s="9" t="s">
        <v>2727</v>
      </c>
      <c r="J656" s="9" t="s">
        <v>2723</v>
      </c>
      <c r="K656" s="205" t="s">
        <v>2792</v>
      </c>
      <c r="L656" s="9" t="s">
        <v>2793</v>
      </c>
      <c r="M656" s="32" t="s">
        <v>125</v>
      </c>
      <c r="N656" s="129" t="s">
        <v>2704</v>
      </c>
      <c r="O656" s="122" t="s">
        <v>2704</v>
      </c>
      <c r="P656" s="123" t="str">
        <f t="shared" si="20"/>
        <v>C2-2025</v>
      </c>
      <c r="Q656" s="123" t="str">
        <f t="shared" si="21"/>
        <v>T3-2025</v>
      </c>
      <c r="R656" s="124" t="s">
        <v>2794</v>
      </c>
      <c r="S656" s="123" t="s">
        <v>2731</v>
      </c>
      <c r="T656" s="123" t="s">
        <v>2724</v>
      </c>
      <c r="U656" s="162" t="s">
        <v>2708</v>
      </c>
      <c r="V656" s="162" t="s">
        <v>57</v>
      </c>
      <c r="W656" s="237" t="s">
        <v>125</v>
      </c>
      <c r="X656" s="173" t="s">
        <v>2709</v>
      </c>
    </row>
    <row r="657" spans="1:24" hidden="1">
      <c r="A657" s="161">
        <v>45885</v>
      </c>
      <c r="B657" s="133" t="s">
        <v>3643</v>
      </c>
      <c r="C657" s="122" t="s">
        <v>2697</v>
      </c>
      <c r="D657" s="146">
        <v>-818</v>
      </c>
      <c r="E657" s="120">
        <v>1</v>
      </c>
      <c r="F657" s="121">
        <f>Tabla5109[[#This Row],[Original Amount]]*Tabla5109[[#This Row],[ER to EUR]]</f>
        <v>-818</v>
      </c>
      <c r="G657" s="9" t="s">
        <v>2884</v>
      </c>
      <c r="H657" s="73" t="s">
        <v>2885</v>
      </c>
      <c r="I657" s="9" t="s">
        <v>3267</v>
      </c>
      <c r="J657" s="9" t="s">
        <v>2723</v>
      </c>
      <c r="K657" s="205" t="s">
        <v>2792</v>
      </c>
      <c r="L657" s="9" t="s">
        <v>2793</v>
      </c>
      <c r="M657" s="32" t="s">
        <v>125</v>
      </c>
      <c r="N657" s="129" t="s">
        <v>2704</v>
      </c>
      <c r="O657" s="122" t="s">
        <v>2704</v>
      </c>
      <c r="P657" s="123" t="str">
        <f t="shared" si="20"/>
        <v>C2-2025</v>
      </c>
      <c r="Q657" s="123" t="str">
        <f t="shared" si="21"/>
        <v>T3-2025</v>
      </c>
      <c r="R657" s="124" t="s">
        <v>2741</v>
      </c>
      <c r="S657" s="123" t="s">
        <v>2723</v>
      </c>
      <c r="T657" s="123" t="s">
        <v>2707</v>
      </c>
      <c r="U657" s="162" t="s">
        <v>2708</v>
      </c>
      <c r="V657" s="162" t="s">
        <v>54</v>
      </c>
      <c r="W657" s="237" t="s">
        <v>125</v>
      </c>
      <c r="X657" s="173" t="s">
        <v>2709</v>
      </c>
    </row>
    <row r="658" spans="1:24" hidden="1">
      <c r="A658" s="161">
        <v>45885</v>
      </c>
      <c r="B658" s="133" t="s">
        <v>2615</v>
      </c>
      <c r="C658" s="122" t="s">
        <v>2697</v>
      </c>
      <c r="D658" s="146">
        <v>-125</v>
      </c>
      <c r="E658" s="120">
        <v>1</v>
      </c>
      <c r="F658" s="121">
        <f>Tabla5109[[#This Row],[Original Amount]]*Tabla5109[[#This Row],[ER to EUR]]</f>
        <v>-125</v>
      </c>
      <c r="G658" s="9" t="s">
        <v>3237</v>
      </c>
      <c r="H658" s="73" t="s">
        <v>3644</v>
      </c>
      <c r="I658" s="9" t="s">
        <v>2713</v>
      </c>
      <c r="J658" s="9" t="s">
        <v>2770</v>
      </c>
      <c r="K658" s="205" t="s">
        <v>2803</v>
      </c>
      <c r="L658" s="9" t="s">
        <v>57</v>
      </c>
      <c r="M658" s="32" t="s">
        <v>125</v>
      </c>
      <c r="N658" s="129" t="s">
        <v>2704</v>
      </c>
      <c r="O658" s="122" t="s">
        <v>2704</v>
      </c>
      <c r="P658" s="123" t="str">
        <f t="shared" si="20"/>
        <v>C2-2025</v>
      </c>
      <c r="Q658" s="123" t="str">
        <f t="shared" si="21"/>
        <v>T3-2025</v>
      </c>
      <c r="R658" s="91" t="s">
        <v>2749</v>
      </c>
      <c r="S658" s="123" t="s">
        <v>2750</v>
      </c>
      <c r="T658" s="123" t="s">
        <v>2717</v>
      </c>
      <c r="U658" s="162" t="s">
        <v>2708</v>
      </c>
      <c r="V658" s="162" t="s">
        <v>56</v>
      </c>
      <c r="W658" s="237" t="s">
        <v>125</v>
      </c>
      <c r="X658" s="173" t="s">
        <v>2709</v>
      </c>
    </row>
    <row r="659" spans="1:24" hidden="1">
      <c r="A659" s="161">
        <v>45885</v>
      </c>
      <c r="B659" s="715">
        <v>161334</v>
      </c>
      <c r="C659" s="122" t="s">
        <v>2697</v>
      </c>
      <c r="D659" s="119">
        <v>-159</v>
      </c>
      <c r="E659" s="120">
        <v>1</v>
      </c>
      <c r="F659" s="121">
        <f>Tabla5109[[#This Row],[Original Amount]]*Tabla5109[[#This Row],[ER to EUR]]</f>
        <v>-159</v>
      </c>
      <c r="G659" s="9" t="s">
        <v>3125</v>
      </c>
      <c r="H659" s="73" t="s">
        <v>3126</v>
      </c>
      <c r="I659" s="9" t="s">
        <v>2784</v>
      </c>
      <c r="J659" s="9" t="s">
        <v>2701</v>
      </c>
      <c r="K659" s="205" t="s">
        <v>2702</v>
      </c>
      <c r="L659" s="9" t="s">
        <v>2760</v>
      </c>
      <c r="M659" s="32" t="s">
        <v>125</v>
      </c>
      <c r="N659" s="129" t="s">
        <v>2704</v>
      </c>
      <c r="O659" s="122" t="s">
        <v>2704</v>
      </c>
      <c r="P659" s="123" t="str">
        <f t="shared" si="20"/>
        <v>C2-2025</v>
      </c>
      <c r="Q659" s="123" t="str">
        <f t="shared" si="21"/>
        <v>T3-2025</v>
      </c>
      <c r="R659" s="124" t="s">
        <v>2741</v>
      </c>
      <c r="S659" s="123" t="s">
        <v>2723</v>
      </c>
      <c r="T659" s="123" t="s">
        <v>2724</v>
      </c>
      <c r="U659" s="162" t="s">
        <v>2708</v>
      </c>
      <c r="V659" s="162" t="s">
        <v>54</v>
      </c>
      <c r="W659" s="237" t="s">
        <v>125</v>
      </c>
      <c r="X659" s="173" t="s">
        <v>2709</v>
      </c>
    </row>
    <row r="660" spans="1:24" hidden="1">
      <c r="A660" s="161">
        <v>45886</v>
      </c>
      <c r="B660" s="133" t="s">
        <v>3645</v>
      </c>
      <c r="C660" s="122" t="s">
        <v>2548</v>
      </c>
      <c r="D660" s="149">
        <v>-360</v>
      </c>
      <c r="E660" s="222">
        <v>0.85836909871244638</v>
      </c>
      <c r="F660" s="121">
        <f>Tabla5109[[#This Row],[Original Amount]]*Tabla5109[[#This Row],[ER to EUR]]</f>
        <v>-309.01287553648069</v>
      </c>
      <c r="G660" s="9" t="s">
        <v>2786</v>
      </c>
      <c r="H660" s="9" t="s">
        <v>3646</v>
      </c>
      <c r="I660" s="9" t="s">
        <v>2713</v>
      </c>
      <c r="J660" s="9" t="s">
        <v>2701</v>
      </c>
      <c r="K660" s="205" t="s">
        <v>2702</v>
      </c>
      <c r="L660" s="9" t="s">
        <v>2788</v>
      </c>
      <c r="M660" s="32" t="s">
        <v>125</v>
      </c>
      <c r="N660" s="129" t="s">
        <v>2704</v>
      </c>
      <c r="O660" s="122" t="s">
        <v>2704</v>
      </c>
      <c r="P660" s="123" t="str">
        <f t="shared" si="20"/>
        <v>C2-2025</v>
      </c>
      <c r="Q660" s="123" t="str">
        <f t="shared" si="21"/>
        <v>T3-2025</v>
      </c>
      <c r="R660" s="124" t="s">
        <v>2705</v>
      </c>
      <c r="S660" s="124" t="s">
        <v>2706</v>
      </c>
      <c r="T660" s="123" t="s">
        <v>2724</v>
      </c>
      <c r="U660" s="162" t="s">
        <v>2708</v>
      </c>
      <c r="V660" s="162" t="s">
        <v>56</v>
      </c>
      <c r="W660" s="237" t="s">
        <v>125</v>
      </c>
      <c r="X660" s="173" t="s">
        <v>2709</v>
      </c>
    </row>
    <row r="661" spans="1:24" hidden="1">
      <c r="A661" s="161">
        <v>45886</v>
      </c>
      <c r="B661" s="133" t="s">
        <v>3647</v>
      </c>
      <c r="C661" s="32" t="s">
        <v>2697</v>
      </c>
      <c r="D661" s="146">
        <v>-63</v>
      </c>
      <c r="E661" s="120">
        <v>1</v>
      </c>
      <c r="F661" s="121">
        <f>Tabla5109[[#This Row],[Original Amount]]*Tabla5109[[#This Row],[ER to EUR]]</f>
        <v>-63</v>
      </c>
      <c r="G661" s="9" t="s">
        <v>2833</v>
      </c>
      <c r="H661" s="9" t="s">
        <v>2834</v>
      </c>
      <c r="I661" s="9" t="s">
        <v>2713</v>
      </c>
      <c r="J661" s="9" t="s">
        <v>2701</v>
      </c>
      <c r="K661" s="205" t="s">
        <v>2771</v>
      </c>
      <c r="L661" s="211" t="s">
        <v>2818</v>
      </c>
      <c r="M661" s="32" t="s">
        <v>125</v>
      </c>
      <c r="N661" s="122" t="s">
        <v>2704</v>
      </c>
      <c r="O661" s="129" t="s">
        <v>2704</v>
      </c>
      <c r="P661" s="123" t="str">
        <f t="shared" si="20"/>
        <v>C2-2025</v>
      </c>
      <c r="Q661" s="123" t="str">
        <f t="shared" si="21"/>
        <v>T3-2025</v>
      </c>
      <c r="R661" s="91" t="s">
        <v>2819</v>
      </c>
      <c r="S661" s="123" t="s">
        <v>2817</v>
      </c>
      <c r="T661" s="123" t="s">
        <v>2724</v>
      </c>
      <c r="U661" s="162" t="s">
        <v>2708</v>
      </c>
      <c r="V661" s="162" t="s">
        <v>54</v>
      </c>
      <c r="W661" s="237" t="s">
        <v>125</v>
      </c>
      <c r="X661" s="173" t="s">
        <v>2709</v>
      </c>
    </row>
    <row r="662" spans="1:24" hidden="1">
      <c r="A662" s="161">
        <v>45887</v>
      </c>
      <c r="B662" s="167" t="s">
        <v>3648</v>
      </c>
      <c r="C662" s="122" t="s">
        <v>2697</v>
      </c>
      <c r="D662" s="146">
        <v>-818</v>
      </c>
      <c r="E662" s="120">
        <v>1</v>
      </c>
      <c r="F662" s="121">
        <f>Tabla5109[[#This Row],[Original Amount]]*Tabla5109[[#This Row],[ER to EUR]]</f>
        <v>-818</v>
      </c>
      <c r="G662" s="9" t="s">
        <v>2884</v>
      </c>
      <c r="H662" s="73" t="s">
        <v>2885</v>
      </c>
      <c r="I662" s="9" t="s">
        <v>3267</v>
      </c>
      <c r="J662" s="9" t="s">
        <v>2723</v>
      </c>
      <c r="K662" s="205" t="s">
        <v>2792</v>
      </c>
      <c r="L662" s="9" t="s">
        <v>2793</v>
      </c>
      <c r="M662" s="32" t="s">
        <v>125</v>
      </c>
      <c r="N662" s="129" t="s">
        <v>2704</v>
      </c>
      <c r="O662" s="122" t="s">
        <v>2704</v>
      </c>
      <c r="P662" s="123" t="str">
        <f t="shared" si="20"/>
        <v>C2-2025</v>
      </c>
      <c r="Q662" s="123" t="str">
        <f t="shared" si="21"/>
        <v>T3-2025</v>
      </c>
      <c r="R662" s="124" t="s">
        <v>2741</v>
      </c>
      <c r="S662" s="123" t="s">
        <v>2723</v>
      </c>
      <c r="T662" s="123" t="s">
        <v>2707</v>
      </c>
      <c r="U662" s="162" t="s">
        <v>2708</v>
      </c>
      <c r="V662" s="162" t="s">
        <v>54</v>
      </c>
      <c r="W662" s="237" t="s">
        <v>125</v>
      </c>
      <c r="X662" s="173" t="s">
        <v>2709</v>
      </c>
    </row>
    <row r="663" spans="1:24" hidden="1">
      <c r="A663" s="161">
        <v>45887</v>
      </c>
      <c r="B663" s="130" t="s">
        <v>3649</v>
      </c>
      <c r="C663" s="122" t="s">
        <v>2697</v>
      </c>
      <c r="D663" s="146">
        <v>-235.4</v>
      </c>
      <c r="E663" s="120">
        <v>1</v>
      </c>
      <c r="F663" s="121">
        <f>Tabla5109[[#This Row],[Original Amount]]*Tabla5109[[#This Row],[ER to EUR]]</f>
        <v>-235.4</v>
      </c>
      <c r="G663" s="9" t="s">
        <v>2753</v>
      </c>
      <c r="H663" s="73" t="s">
        <v>3392</v>
      </c>
      <c r="I663" s="9" t="s">
        <v>2755</v>
      </c>
      <c r="J663" s="9" t="s">
        <v>2701</v>
      </c>
      <c r="K663" s="205" t="s">
        <v>2702</v>
      </c>
      <c r="L663" s="9" t="s">
        <v>2703</v>
      </c>
      <c r="M663" s="32" t="s">
        <v>125</v>
      </c>
      <c r="N663" s="129" t="s">
        <v>2704</v>
      </c>
      <c r="O663" s="122" t="s">
        <v>2704</v>
      </c>
      <c r="P663" s="123" t="str">
        <f t="shared" si="20"/>
        <v>C2-2025</v>
      </c>
      <c r="Q663" s="123" t="str">
        <f t="shared" si="21"/>
        <v>T3-2025</v>
      </c>
      <c r="R663" s="124" t="s">
        <v>2705</v>
      </c>
      <c r="S663" s="124" t="s">
        <v>2706</v>
      </c>
      <c r="T663" s="123" t="s">
        <v>2707</v>
      </c>
      <c r="U663" s="162" t="s">
        <v>2708</v>
      </c>
      <c r="V663" s="162" t="s">
        <v>56</v>
      </c>
      <c r="W663" s="237" t="s">
        <v>125</v>
      </c>
      <c r="X663" s="173" t="s">
        <v>2709</v>
      </c>
    </row>
    <row r="664" spans="1:24" hidden="1">
      <c r="A664" s="161">
        <v>45887</v>
      </c>
      <c r="B664" s="133" t="s">
        <v>3650</v>
      </c>
      <c r="C664" s="122" t="s">
        <v>2697</v>
      </c>
      <c r="D664" s="146">
        <v>-206.71</v>
      </c>
      <c r="E664" s="120">
        <v>1</v>
      </c>
      <c r="F664" s="121">
        <f>Tabla5109[[#This Row],[Original Amount]]*Tabla5109[[#This Row],[ER to EUR]]</f>
        <v>-206.71</v>
      </c>
      <c r="G664" s="9" t="s">
        <v>2839</v>
      </c>
      <c r="H664" s="73" t="s">
        <v>2840</v>
      </c>
      <c r="I664" s="9" t="s">
        <v>2784</v>
      </c>
      <c r="J664" s="9" t="s">
        <v>2701</v>
      </c>
      <c r="K664" s="205" t="s">
        <v>2702</v>
      </c>
      <c r="L664" s="9" t="s">
        <v>2703</v>
      </c>
      <c r="M664" s="32" t="s">
        <v>125</v>
      </c>
      <c r="N664" s="129" t="s">
        <v>2704</v>
      </c>
      <c r="O664" s="122" t="s">
        <v>2704</v>
      </c>
      <c r="P664" s="123" t="str">
        <f t="shared" si="20"/>
        <v>C2-2025</v>
      </c>
      <c r="Q664" s="123" t="str">
        <f t="shared" si="21"/>
        <v>T3-2025</v>
      </c>
      <c r="R664" s="124" t="s">
        <v>2705</v>
      </c>
      <c r="S664" s="124" t="s">
        <v>2706</v>
      </c>
      <c r="T664" s="123" t="s">
        <v>2707</v>
      </c>
      <c r="U664" s="162" t="s">
        <v>2708</v>
      </c>
      <c r="V664" s="162" t="s">
        <v>56</v>
      </c>
      <c r="W664" s="237" t="s">
        <v>125</v>
      </c>
      <c r="X664" s="173" t="s">
        <v>2709</v>
      </c>
    </row>
    <row r="665" spans="1:24" hidden="1">
      <c r="A665" s="161">
        <v>45887</v>
      </c>
      <c r="B665" s="117" t="s">
        <v>3651</v>
      </c>
      <c r="C665" s="122" t="s">
        <v>2697</v>
      </c>
      <c r="D665" s="146">
        <v>-248.75</v>
      </c>
      <c r="E665" s="120">
        <v>1</v>
      </c>
      <c r="F665" s="121">
        <f>Tabla5109[[#This Row],[Original Amount]]*Tabla5109[[#This Row],[ER to EUR]]</f>
        <v>-248.75</v>
      </c>
      <c r="G665" s="9" t="s">
        <v>3116</v>
      </c>
      <c r="H665" s="9" t="s">
        <v>3652</v>
      </c>
      <c r="I665" s="9" t="s">
        <v>2713</v>
      </c>
      <c r="J665" s="9" t="s">
        <v>2701</v>
      </c>
      <c r="K665" s="205" t="s">
        <v>2702</v>
      </c>
      <c r="L665" s="9" t="s">
        <v>2703</v>
      </c>
      <c r="M665" s="32" t="s">
        <v>125</v>
      </c>
      <c r="N665" s="129" t="s">
        <v>2704</v>
      </c>
      <c r="O665" s="122" t="s">
        <v>2704</v>
      </c>
      <c r="P665" s="123" t="str">
        <f t="shared" si="20"/>
        <v>C2-2025</v>
      </c>
      <c r="Q665" s="123" t="str">
        <f t="shared" si="21"/>
        <v>T3-2025</v>
      </c>
      <c r="R665" s="124" t="s">
        <v>2794</v>
      </c>
      <c r="S665" s="123" t="s">
        <v>3041</v>
      </c>
      <c r="T665" s="123" t="s">
        <v>2707</v>
      </c>
      <c r="U665" s="162" t="s">
        <v>51</v>
      </c>
      <c r="V665" s="162" t="s">
        <v>57</v>
      </c>
      <c r="W665" s="237" t="s">
        <v>125</v>
      </c>
      <c r="X665" s="173" t="s">
        <v>2709</v>
      </c>
    </row>
    <row r="666" spans="1:24" hidden="1">
      <c r="A666" s="161">
        <v>45887</v>
      </c>
      <c r="B666" s="135" t="s">
        <v>3653</v>
      </c>
      <c r="C666" s="122" t="s">
        <v>2697</v>
      </c>
      <c r="D666" s="146">
        <v>-3399</v>
      </c>
      <c r="E666" s="120">
        <v>1</v>
      </c>
      <c r="F666" s="121">
        <f>Tabla5109[[#This Row],[Original Amount]]*Tabla5109[[#This Row],[ER to EUR]]</f>
        <v>-3399</v>
      </c>
      <c r="G666" s="9" t="s">
        <v>3092</v>
      </c>
      <c r="H666" s="73" t="s">
        <v>3654</v>
      </c>
      <c r="I666" s="9" t="s">
        <v>3554</v>
      </c>
      <c r="J666" s="9" t="s">
        <v>3095</v>
      </c>
      <c r="K666" s="205" t="s">
        <v>3096</v>
      </c>
      <c r="L666" s="9" t="s">
        <v>3097</v>
      </c>
      <c r="M666" s="32" t="s">
        <v>125</v>
      </c>
      <c r="N666" s="129" t="s">
        <v>2704</v>
      </c>
      <c r="O666" s="122" t="s">
        <v>2704</v>
      </c>
      <c r="P666" s="123" t="str">
        <f t="shared" si="20"/>
        <v>C2-2025</v>
      </c>
      <c r="Q666" s="123" t="str">
        <f t="shared" si="21"/>
        <v>T3-2025</v>
      </c>
      <c r="R666" s="124" t="s">
        <v>2705</v>
      </c>
      <c r="S666" s="124" t="s">
        <v>2706</v>
      </c>
      <c r="T666" s="123" t="s">
        <v>2717</v>
      </c>
      <c r="U666" s="162" t="s">
        <v>3098</v>
      </c>
      <c r="V666" s="162" t="s">
        <v>56</v>
      </c>
      <c r="W666" s="237" t="s">
        <v>125</v>
      </c>
      <c r="X666" s="173" t="s">
        <v>2709</v>
      </c>
    </row>
    <row r="667" spans="1:24" hidden="1">
      <c r="A667" s="161">
        <v>45888</v>
      </c>
      <c r="B667" s="133" t="s">
        <v>3655</v>
      </c>
      <c r="C667" s="122" t="s">
        <v>2697</v>
      </c>
      <c r="D667" s="146">
        <v>-192.44</v>
      </c>
      <c r="E667" s="120">
        <v>1</v>
      </c>
      <c r="F667" s="121">
        <f>Tabla5109[[#This Row],[Original Amount]]*Tabla5109[[#This Row],[ER to EUR]]</f>
        <v>-192.44</v>
      </c>
      <c r="G667" s="9" t="s">
        <v>2766</v>
      </c>
      <c r="H667" s="9" t="s">
        <v>3565</v>
      </c>
      <c r="I667" s="9" t="s">
        <v>2713</v>
      </c>
      <c r="J667" s="9" t="s">
        <v>2701</v>
      </c>
      <c r="K667" s="205" t="s">
        <v>2702</v>
      </c>
      <c r="L667" s="9" t="s">
        <v>2760</v>
      </c>
      <c r="M667" s="32" t="s">
        <v>125</v>
      </c>
      <c r="N667" s="129" t="s">
        <v>2704</v>
      </c>
      <c r="O667" s="122" t="s">
        <v>2704</v>
      </c>
      <c r="P667" s="123" t="str">
        <f t="shared" si="20"/>
        <v>C2-2025</v>
      </c>
      <c r="Q667" s="123" t="str">
        <f t="shared" si="21"/>
        <v>T3-2025</v>
      </c>
      <c r="R667" s="124" t="s">
        <v>2705</v>
      </c>
      <c r="S667" s="123" t="s">
        <v>2735</v>
      </c>
      <c r="T667" s="123" t="s">
        <v>2724</v>
      </c>
      <c r="U667" s="162" t="s">
        <v>2708</v>
      </c>
      <c r="V667" s="162" t="s">
        <v>55</v>
      </c>
      <c r="W667" s="237" t="s">
        <v>125</v>
      </c>
      <c r="X667" s="173" t="s">
        <v>2709</v>
      </c>
    </row>
    <row r="668" spans="1:24" hidden="1">
      <c r="A668" s="161">
        <v>45888</v>
      </c>
      <c r="B668" s="133" t="s">
        <v>3656</v>
      </c>
      <c r="C668" s="122" t="s">
        <v>2697</v>
      </c>
      <c r="D668" s="119">
        <v>-4.2699999999999996</v>
      </c>
      <c r="E668" s="120">
        <v>1</v>
      </c>
      <c r="F668" s="121">
        <f>Tabla5109[[#This Row],[Original Amount]]*Tabla5109[[#This Row],[ER to EUR]]</f>
        <v>-4.2699999999999996</v>
      </c>
      <c r="G668" s="9" t="s">
        <v>2884</v>
      </c>
      <c r="H668" s="73" t="s">
        <v>2885</v>
      </c>
      <c r="I668" s="9" t="s">
        <v>3480</v>
      </c>
      <c r="J668" s="9" t="s">
        <v>2723</v>
      </c>
      <c r="K668" s="205" t="s">
        <v>2792</v>
      </c>
      <c r="L668" s="9" t="s">
        <v>2793</v>
      </c>
      <c r="M668" s="32" t="s">
        <v>125</v>
      </c>
      <c r="N668" s="129" t="s">
        <v>2704</v>
      </c>
      <c r="O668" s="122" t="s">
        <v>2704</v>
      </c>
      <c r="P668" s="123" t="str">
        <f t="shared" si="20"/>
        <v>C2-2025</v>
      </c>
      <c r="Q668" s="123" t="str">
        <f t="shared" si="21"/>
        <v>T3-2025</v>
      </c>
      <c r="R668" s="124" t="s">
        <v>2741</v>
      </c>
      <c r="S668" s="123" t="s">
        <v>2723</v>
      </c>
      <c r="T668" s="123" t="s">
        <v>2707</v>
      </c>
      <c r="U668" s="162" t="s">
        <v>2708</v>
      </c>
      <c r="V668" s="162" t="s">
        <v>54</v>
      </c>
      <c r="W668" s="237" t="s">
        <v>125</v>
      </c>
      <c r="X668" s="173" t="s">
        <v>2709</v>
      </c>
    </row>
    <row r="669" spans="1:24" hidden="1">
      <c r="A669" s="161">
        <v>45888</v>
      </c>
      <c r="B669" s="133" t="s">
        <v>3657</v>
      </c>
      <c r="C669" s="122" t="s">
        <v>2697</v>
      </c>
      <c r="D669" s="119">
        <v>-0.9</v>
      </c>
      <c r="E669" s="120">
        <v>1</v>
      </c>
      <c r="F669" s="121">
        <f>Tabla5109[[#This Row],[Original Amount]]*Tabla5109[[#This Row],[ER to EUR]]</f>
        <v>-0.9</v>
      </c>
      <c r="G669" s="9" t="s">
        <v>2884</v>
      </c>
      <c r="H669" s="73" t="s">
        <v>2885</v>
      </c>
      <c r="I669" s="9" t="s">
        <v>3267</v>
      </c>
      <c r="J669" s="9" t="s">
        <v>2723</v>
      </c>
      <c r="K669" s="205" t="s">
        <v>2792</v>
      </c>
      <c r="L669" s="9" t="s">
        <v>2793</v>
      </c>
      <c r="M669" s="32" t="s">
        <v>125</v>
      </c>
      <c r="N669" s="129" t="s">
        <v>2704</v>
      </c>
      <c r="O669" s="122" t="s">
        <v>2704</v>
      </c>
      <c r="P669" s="123" t="str">
        <f t="shared" si="20"/>
        <v>C2-2025</v>
      </c>
      <c r="Q669" s="123" t="str">
        <f t="shared" si="21"/>
        <v>T3-2025</v>
      </c>
      <c r="R669" s="124" t="s">
        <v>2741</v>
      </c>
      <c r="S669" s="123" t="s">
        <v>2723</v>
      </c>
      <c r="T669" s="123" t="s">
        <v>2707</v>
      </c>
      <c r="U669" s="162" t="s">
        <v>2708</v>
      </c>
      <c r="V669" s="162" t="s">
        <v>54</v>
      </c>
      <c r="W669" s="237" t="s">
        <v>125</v>
      </c>
      <c r="X669" s="173" t="s">
        <v>2709</v>
      </c>
    </row>
    <row r="670" spans="1:24" hidden="1">
      <c r="A670" s="161">
        <v>45888</v>
      </c>
      <c r="B670" s="133" t="s">
        <v>3658</v>
      </c>
      <c r="C670" s="122" t="s">
        <v>2697</v>
      </c>
      <c r="D670" s="119">
        <v>-5.3</v>
      </c>
      <c r="E670" s="120">
        <v>1</v>
      </c>
      <c r="F670" s="121">
        <f>Tabla5109[[#This Row],[Original Amount]]*Tabla5109[[#This Row],[ER to EUR]]</f>
        <v>-5.3</v>
      </c>
      <c r="G670" s="9" t="s">
        <v>2884</v>
      </c>
      <c r="H670" s="73" t="s">
        <v>2885</v>
      </c>
      <c r="I670" s="9" t="s">
        <v>3480</v>
      </c>
      <c r="J670" s="9" t="s">
        <v>2723</v>
      </c>
      <c r="K670" s="4" t="s">
        <v>2792</v>
      </c>
      <c r="L670" s="9" t="s">
        <v>2793</v>
      </c>
      <c r="M670" s="32" t="s">
        <v>125</v>
      </c>
      <c r="N670" s="129" t="s">
        <v>2704</v>
      </c>
      <c r="O670" s="122" t="s">
        <v>2704</v>
      </c>
      <c r="P670" s="123" t="str">
        <f t="shared" si="20"/>
        <v>C2-2025</v>
      </c>
      <c r="Q670" s="123" t="str">
        <f t="shared" si="21"/>
        <v>T3-2025</v>
      </c>
      <c r="R670" s="124" t="s">
        <v>2741</v>
      </c>
      <c r="S670" s="123" t="s">
        <v>2723</v>
      </c>
      <c r="T670" s="123" t="s">
        <v>2707</v>
      </c>
      <c r="U670" s="162" t="s">
        <v>2708</v>
      </c>
      <c r="V670" s="162" t="s">
        <v>54</v>
      </c>
      <c r="W670" s="237" t="s">
        <v>125</v>
      </c>
      <c r="X670" s="173" t="s">
        <v>2709</v>
      </c>
    </row>
    <row r="671" spans="1:24" hidden="1">
      <c r="A671" s="161">
        <v>45888</v>
      </c>
      <c r="B671" s="133" t="s">
        <v>3659</v>
      </c>
      <c r="C671" s="122" t="s">
        <v>2697</v>
      </c>
      <c r="D671" s="119">
        <v>-3.52</v>
      </c>
      <c r="E671" s="120">
        <v>1</v>
      </c>
      <c r="F671" s="121">
        <f>Tabla5109[[#This Row],[Original Amount]]*Tabla5109[[#This Row],[ER to EUR]]</f>
        <v>-3.52</v>
      </c>
      <c r="G671" s="9" t="s">
        <v>2884</v>
      </c>
      <c r="H671" s="73" t="s">
        <v>2885</v>
      </c>
      <c r="I671" s="9" t="s">
        <v>3267</v>
      </c>
      <c r="J671" s="9" t="s">
        <v>2723</v>
      </c>
      <c r="K671" s="205" t="s">
        <v>2792</v>
      </c>
      <c r="L671" s="9" t="s">
        <v>2793</v>
      </c>
      <c r="M671" s="32" t="s">
        <v>125</v>
      </c>
      <c r="N671" s="129" t="s">
        <v>2704</v>
      </c>
      <c r="O671" s="122" t="s">
        <v>2704</v>
      </c>
      <c r="P671" s="123" t="str">
        <f t="shared" si="20"/>
        <v>C2-2025</v>
      </c>
      <c r="Q671" s="123" t="str">
        <f t="shared" si="21"/>
        <v>T3-2025</v>
      </c>
      <c r="R671" s="124" t="s">
        <v>2741</v>
      </c>
      <c r="S671" s="123" t="s">
        <v>2723</v>
      </c>
      <c r="T671" s="123" t="s">
        <v>2707</v>
      </c>
      <c r="U671" s="162" t="s">
        <v>2708</v>
      </c>
      <c r="V671" s="162" t="s">
        <v>54</v>
      </c>
      <c r="W671" s="237" t="s">
        <v>125</v>
      </c>
      <c r="X671" s="173" t="s">
        <v>2709</v>
      </c>
    </row>
    <row r="672" spans="1:24" hidden="1">
      <c r="A672" s="161">
        <v>45888</v>
      </c>
      <c r="B672" s="178" t="s">
        <v>3660</v>
      </c>
      <c r="C672" s="122" t="s">
        <v>2697</v>
      </c>
      <c r="D672" s="119">
        <v>-784.51</v>
      </c>
      <c r="E672" s="120">
        <v>1</v>
      </c>
      <c r="F672" s="121">
        <f>Tabla5109[[#This Row],[Original Amount]]*Tabla5109[[#This Row],[ER to EUR]]</f>
        <v>-784.51</v>
      </c>
      <c r="G672" s="9" t="s">
        <v>2884</v>
      </c>
      <c r="H672" s="73" t="s">
        <v>2885</v>
      </c>
      <c r="I672" s="9" t="s">
        <v>3267</v>
      </c>
      <c r="J672" s="9" t="s">
        <v>2723</v>
      </c>
      <c r="K672" s="205" t="s">
        <v>2792</v>
      </c>
      <c r="L672" s="9" t="s">
        <v>2793</v>
      </c>
      <c r="M672" s="32" t="s">
        <v>125</v>
      </c>
      <c r="N672" s="129" t="s">
        <v>2704</v>
      </c>
      <c r="O672" s="122" t="s">
        <v>2704</v>
      </c>
      <c r="P672" s="123" t="str">
        <f t="shared" si="20"/>
        <v>C2-2025</v>
      </c>
      <c r="Q672" s="123" t="str">
        <f t="shared" si="21"/>
        <v>T3-2025</v>
      </c>
      <c r="R672" s="124" t="s">
        <v>2741</v>
      </c>
      <c r="S672" s="123" t="s">
        <v>2723</v>
      </c>
      <c r="T672" s="123" t="s">
        <v>2707</v>
      </c>
      <c r="U672" s="162" t="s">
        <v>2708</v>
      </c>
      <c r="V672" s="162" t="s">
        <v>54</v>
      </c>
      <c r="W672" s="237" t="s">
        <v>125</v>
      </c>
      <c r="X672" s="173" t="s">
        <v>2709</v>
      </c>
    </row>
    <row r="673" spans="1:24" hidden="1">
      <c r="A673" s="161">
        <v>45888</v>
      </c>
      <c r="B673" s="178" t="s">
        <v>3661</v>
      </c>
      <c r="C673" s="122" t="s">
        <v>2697</v>
      </c>
      <c r="D673" s="119">
        <v>-1.04</v>
      </c>
      <c r="E673" s="120">
        <v>1</v>
      </c>
      <c r="F673" s="121">
        <f>Tabla5109[[#This Row],[Original Amount]]*Tabla5109[[#This Row],[ER to EUR]]</f>
        <v>-1.04</v>
      </c>
      <c r="G673" s="9" t="s">
        <v>2884</v>
      </c>
      <c r="H673" s="73" t="s">
        <v>2885</v>
      </c>
      <c r="I673" s="9" t="s">
        <v>3480</v>
      </c>
      <c r="J673" s="9" t="s">
        <v>2723</v>
      </c>
      <c r="K673" s="205" t="s">
        <v>2792</v>
      </c>
      <c r="L673" s="9" t="s">
        <v>2793</v>
      </c>
      <c r="M673" s="32" t="s">
        <v>125</v>
      </c>
      <c r="N673" s="129" t="s">
        <v>2704</v>
      </c>
      <c r="O673" s="122" t="s">
        <v>2704</v>
      </c>
      <c r="P673" s="123" t="str">
        <f t="shared" si="20"/>
        <v>C2-2025</v>
      </c>
      <c r="Q673" s="123" t="str">
        <f t="shared" si="21"/>
        <v>T3-2025</v>
      </c>
      <c r="R673" s="124" t="s">
        <v>2741</v>
      </c>
      <c r="S673" s="123" t="s">
        <v>2723</v>
      </c>
      <c r="T673" s="123" t="s">
        <v>2707</v>
      </c>
      <c r="U673" s="162" t="s">
        <v>2708</v>
      </c>
      <c r="V673" s="162" t="s">
        <v>54</v>
      </c>
      <c r="W673" s="237" t="s">
        <v>125</v>
      </c>
      <c r="X673" s="173" t="s">
        <v>2709</v>
      </c>
    </row>
    <row r="674" spans="1:24" hidden="1">
      <c r="A674" s="161">
        <v>45888</v>
      </c>
      <c r="B674" s="133" t="s">
        <v>3662</v>
      </c>
      <c r="C674" s="122" t="s">
        <v>2697</v>
      </c>
      <c r="D674" s="119">
        <v>-0.9</v>
      </c>
      <c r="E674" s="120">
        <v>1</v>
      </c>
      <c r="F674" s="121">
        <f>Tabla5109[[#This Row],[Original Amount]]*Tabla5109[[#This Row],[ER to EUR]]</f>
        <v>-0.9</v>
      </c>
      <c r="G674" s="9" t="s">
        <v>2884</v>
      </c>
      <c r="H674" s="73" t="s">
        <v>2885</v>
      </c>
      <c r="I674" s="9" t="s">
        <v>3480</v>
      </c>
      <c r="J674" s="9" t="s">
        <v>2723</v>
      </c>
      <c r="K674" s="205" t="s">
        <v>2792</v>
      </c>
      <c r="L674" s="9" t="s">
        <v>2793</v>
      </c>
      <c r="M674" s="32" t="s">
        <v>125</v>
      </c>
      <c r="N674" s="129" t="s">
        <v>2704</v>
      </c>
      <c r="O674" s="122" t="s">
        <v>2704</v>
      </c>
      <c r="P674" s="123" t="str">
        <f t="shared" si="20"/>
        <v>C2-2025</v>
      </c>
      <c r="Q674" s="123" t="str">
        <f t="shared" si="21"/>
        <v>T3-2025</v>
      </c>
      <c r="R674" s="124" t="s">
        <v>2741</v>
      </c>
      <c r="S674" s="123" t="s">
        <v>2723</v>
      </c>
      <c r="T674" s="123" t="s">
        <v>2707</v>
      </c>
      <c r="U674" s="162" t="s">
        <v>2708</v>
      </c>
      <c r="V674" s="162" t="s">
        <v>54</v>
      </c>
      <c r="W674" s="237" t="s">
        <v>125</v>
      </c>
      <c r="X674" s="173" t="s">
        <v>2709</v>
      </c>
    </row>
    <row r="675" spans="1:24" hidden="1">
      <c r="A675" s="161">
        <v>45888</v>
      </c>
      <c r="B675" s="133" t="s">
        <v>3663</v>
      </c>
      <c r="C675" s="122" t="s">
        <v>2697</v>
      </c>
      <c r="D675" s="119">
        <v>-163.9</v>
      </c>
      <c r="E675" s="120">
        <v>1</v>
      </c>
      <c r="F675" s="121">
        <f>Tabla5109[[#This Row],[Original Amount]]*Tabla5109[[#This Row],[ER to EUR]]</f>
        <v>-163.9</v>
      </c>
      <c r="G675" s="9" t="s">
        <v>2884</v>
      </c>
      <c r="H675" s="73" t="s">
        <v>2885</v>
      </c>
      <c r="I675" s="9" t="s">
        <v>3267</v>
      </c>
      <c r="J675" s="9" t="s">
        <v>2723</v>
      </c>
      <c r="K675" s="205" t="s">
        <v>2792</v>
      </c>
      <c r="L675" s="9" t="s">
        <v>2793</v>
      </c>
      <c r="M675" s="32" t="s">
        <v>125</v>
      </c>
      <c r="N675" s="129" t="s">
        <v>2704</v>
      </c>
      <c r="O675" s="122" t="s">
        <v>2704</v>
      </c>
      <c r="P675" s="123" t="str">
        <f t="shared" si="20"/>
        <v>C2-2025</v>
      </c>
      <c r="Q675" s="123" t="str">
        <f t="shared" si="21"/>
        <v>T3-2025</v>
      </c>
      <c r="R675" s="124" t="s">
        <v>2741</v>
      </c>
      <c r="S675" s="123" t="s">
        <v>2723</v>
      </c>
      <c r="T675" s="123" t="s">
        <v>2707</v>
      </c>
      <c r="U675" s="162" t="s">
        <v>2708</v>
      </c>
      <c r="V675" s="162" t="s">
        <v>54</v>
      </c>
      <c r="W675" s="237" t="s">
        <v>125</v>
      </c>
      <c r="X675" s="173" t="s">
        <v>2709</v>
      </c>
    </row>
    <row r="676" spans="1:24" hidden="1">
      <c r="A676" s="161">
        <v>45888</v>
      </c>
      <c r="B676" s="133" t="s">
        <v>3664</v>
      </c>
      <c r="C676" s="122" t="s">
        <v>2697</v>
      </c>
      <c r="D676" s="119">
        <v>-33.840000000000003</v>
      </c>
      <c r="E676" s="120">
        <v>1</v>
      </c>
      <c r="F676" s="121">
        <f>Tabla5109[[#This Row],[Original Amount]]*Tabla5109[[#This Row],[ER to EUR]]</f>
        <v>-33.840000000000003</v>
      </c>
      <c r="G676" s="9" t="s">
        <v>2884</v>
      </c>
      <c r="H676" s="73" t="s">
        <v>2885</v>
      </c>
      <c r="I676" s="9" t="s">
        <v>3480</v>
      </c>
      <c r="J676" s="9" t="s">
        <v>2723</v>
      </c>
      <c r="K676" s="205" t="s">
        <v>2792</v>
      </c>
      <c r="L676" s="9" t="s">
        <v>2793</v>
      </c>
      <c r="M676" s="32" t="s">
        <v>125</v>
      </c>
      <c r="N676" s="129" t="s">
        <v>2704</v>
      </c>
      <c r="O676" s="122" t="s">
        <v>2704</v>
      </c>
      <c r="P676" s="123" t="str">
        <f t="shared" si="20"/>
        <v>C2-2025</v>
      </c>
      <c r="Q676" s="123" t="str">
        <f t="shared" si="21"/>
        <v>T3-2025</v>
      </c>
      <c r="R676" s="124" t="s">
        <v>2741</v>
      </c>
      <c r="S676" s="123" t="s">
        <v>2723</v>
      </c>
      <c r="T676" s="123" t="s">
        <v>2707</v>
      </c>
      <c r="U676" s="162" t="s">
        <v>2708</v>
      </c>
      <c r="V676" s="162" t="s">
        <v>54</v>
      </c>
      <c r="W676" s="237" t="s">
        <v>125</v>
      </c>
      <c r="X676" s="173" t="s">
        <v>2709</v>
      </c>
    </row>
    <row r="677" spans="1:24" hidden="1">
      <c r="A677" s="161">
        <v>45889</v>
      </c>
      <c r="B677" s="199">
        <v>3200639627</v>
      </c>
      <c r="C677" s="122" t="s">
        <v>2697</v>
      </c>
      <c r="D677" s="119">
        <v>-12.51</v>
      </c>
      <c r="E677" s="120">
        <v>1</v>
      </c>
      <c r="F677" s="121">
        <f>Tabla5109[[#This Row],[Original Amount]]*Tabla5109[[#This Row],[ER to EUR]]</f>
        <v>-12.51</v>
      </c>
      <c r="G677" s="9" t="s">
        <v>3665</v>
      </c>
      <c r="H677" s="73" t="s">
        <v>3666</v>
      </c>
      <c r="I677" s="9" t="s">
        <v>2727</v>
      </c>
      <c r="J677" s="9" t="s">
        <v>3095</v>
      </c>
      <c r="K677" s="205" t="s">
        <v>3510</v>
      </c>
      <c r="L677" s="9" t="s">
        <v>3511</v>
      </c>
      <c r="M677" s="32" t="s">
        <v>125</v>
      </c>
      <c r="N677" s="129" t="s">
        <v>2704</v>
      </c>
      <c r="O677" s="122" t="s">
        <v>2704</v>
      </c>
      <c r="P677" s="123" t="str">
        <f t="shared" si="20"/>
        <v>C2-2025</v>
      </c>
      <c r="Q677" s="123" t="str">
        <f t="shared" si="21"/>
        <v>T3-2025</v>
      </c>
      <c r="R677" s="124" t="s">
        <v>2819</v>
      </c>
      <c r="S677" s="123" t="s">
        <v>2723</v>
      </c>
      <c r="T677" s="123" t="s">
        <v>2717</v>
      </c>
      <c r="U677" s="162" t="s">
        <v>2708</v>
      </c>
      <c r="V677" s="162" t="s">
        <v>54</v>
      </c>
      <c r="W677" s="237" t="s">
        <v>125</v>
      </c>
      <c r="X677" s="173" t="s">
        <v>2709</v>
      </c>
    </row>
    <row r="678" spans="1:24" hidden="1">
      <c r="A678" s="161">
        <v>45890</v>
      </c>
      <c r="B678" s="191">
        <v>781133936089</v>
      </c>
      <c r="C678" s="122" t="s">
        <v>2697</v>
      </c>
      <c r="D678" s="150">
        <v>-43.38</v>
      </c>
      <c r="E678" s="120">
        <v>1</v>
      </c>
      <c r="F678" s="121">
        <f>Tabla5109[[#This Row],[Original Amount]]*Tabla5109[[#This Row],[ER to EUR]]</f>
        <v>-43.38</v>
      </c>
      <c r="G678" s="9" t="s">
        <v>2718</v>
      </c>
      <c r="H678" s="73" t="s">
        <v>3667</v>
      </c>
      <c r="I678" s="9" t="s">
        <v>2720</v>
      </c>
      <c r="J678" s="9" t="s">
        <v>2714</v>
      </c>
      <c r="K678" s="205" t="s">
        <v>2721</v>
      </c>
      <c r="L678" s="9" t="s">
        <v>2716</v>
      </c>
      <c r="M678" s="32" t="s">
        <v>125</v>
      </c>
      <c r="N678" s="129" t="s">
        <v>2704</v>
      </c>
      <c r="O678" s="122" t="s">
        <v>2704</v>
      </c>
      <c r="P678" s="123" t="str">
        <f t="shared" si="20"/>
        <v>C2-2025</v>
      </c>
      <c r="Q678" s="123" t="str">
        <f t="shared" si="21"/>
        <v>T3-2025</v>
      </c>
      <c r="R678" s="124" t="s">
        <v>2722</v>
      </c>
      <c r="S678" s="123" t="s">
        <v>2723</v>
      </c>
      <c r="T678" s="123" t="s">
        <v>2724</v>
      </c>
      <c r="U678" s="162" t="s">
        <v>2708</v>
      </c>
      <c r="V678" s="162" t="s">
        <v>54</v>
      </c>
      <c r="W678" s="237" t="s">
        <v>125</v>
      </c>
      <c r="X678" s="173" t="s">
        <v>2709</v>
      </c>
    </row>
    <row r="679" spans="1:24" hidden="1">
      <c r="A679" s="161">
        <v>45890</v>
      </c>
      <c r="B679" s="133" t="s">
        <v>3668</v>
      </c>
      <c r="C679" s="122" t="s">
        <v>2697</v>
      </c>
      <c r="D679" s="150">
        <v>-23</v>
      </c>
      <c r="E679" s="120">
        <v>1</v>
      </c>
      <c r="F679" s="121">
        <f>Tabla5109[[#This Row],[Original Amount]]*Tabla5109[[#This Row],[ER to EUR]]</f>
        <v>-23</v>
      </c>
      <c r="G679" s="9" t="s">
        <v>2996</v>
      </c>
      <c r="H679" s="73" t="s">
        <v>2997</v>
      </c>
      <c r="I679" s="9" t="s">
        <v>2727</v>
      </c>
      <c r="J679" s="9" t="s">
        <v>2701</v>
      </c>
      <c r="K679" s="205" t="s">
        <v>2702</v>
      </c>
      <c r="L679" s="9" t="s">
        <v>2703</v>
      </c>
      <c r="M679" s="32" t="s">
        <v>125</v>
      </c>
      <c r="N679" s="129" t="s">
        <v>2704</v>
      </c>
      <c r="O679" s="122" t="s">
        <v>2704</v>
      </c>
      <c r="P679" s="123" t="str">
        <f t="shared" si="20"/>
        <v>C2-2025</v>
      </c>
      <c r="Q679" s="123" t="str">
        <f t="shared" si="21"/>
        <v>T3-2025</v>
      </c>
      <c r="R679" s="124" t="s">
        <v>2705</v>
      </c>
      <c r="S679" s="123" t="s">
        <v>2735</v>
      </c>
      <c r="T679" s="123" t="s">
        <v>2724</v>
      </c>
      <c r="U679" s="162" t="s">
        <v>2708</v>
      </c>
      <c r="V679" s="162" t="s">
        <v>56</v>
      </c>
      <c r="W679" s="237" t="s">
        <v>125</v>
      </c>
      <c r="X679" s="124" t="s">
        <v>2709</v>
      </c>
    </row>
    <row r="680" spans="1:24" hidden="1">
      <c r="A680" s="161">
        <v>45891</v>
      </c>
      <c r="B680" s="130" t="s">
        <v>3669</v>
      </c>
      <c r="C680" s="122" t="s">
        <v>2697</v>
      </c>
      <c r="D680" s="150">
        <v>-45.1</v>
      </c>
      <c r="E680" s="120">
        <v>1</v>
      </c>
      <c r="F680" s="121">
        <f>Tabla5109[[#This Row],[Original Amount]]*Tabla5109[[#This Row],[ER to EUR]]</f>
        <v>-45.1</v>
      </c>
      <c r="G680" s="9" t="s">
        <v>2733</v>
      </c>
      <c r="H680" s="73" t="s">
        <v>2734</v>
      </c>
      <c r="I680" s="9" t="s">
        <v>2713</v>
      </c>
      <c r="J680" s="9" t="s">
        <v>2701</v>
      </c>
      <c r="K680" s="205" t="s">
        <v>2809</v>
      </c>
      <c r="L680" s="9" t="s">
        <v>2810</v>
      </c>
      <c r="M680" s="32" t="s">
        <v>125</v>
      </c>
      <c r="N680" s="129" t="s">
        <v>2704</v>
      </c>
      <c r="O680" s="122" t="s">
        <v>2704</v>
      </c>
      <c r="P680" s="123" t="str">
        <f t="shared" si="20"/>
        <v>C2-2025</v>
      </c>
      <c r="Q680" s="123" t="str">
        <f t="shared" si="21"/>
        <v>T3-2025</v>
      </c>
      <c r="R680" s="124" t="s">
        <v>2705</v>
      </c>
      <c r="S680" s="123" t="s">
        <v>2735</v>
      </c>
      <c r="T680" s="123" t="s">
        <v>2707</v>
      </c>
      <c r="U680" s="203" t="s">
        <v>2708</v>
      </c>
      <c r="V680" s="203" t="s">
        <v>56</v>
      </c>
      <c r="W680" s="237" t="s">
        <v>125</v>
      </c>
      <c r="X680" s="173" t="s">
        <v>2709</v>
      </c>
    </row>
    <row r="681" spans="1:24" hidden="1">
      <c r="A681" s="161">
        <v>45891</v>
      </c>
      <c r="B681" s="133" t="s">
        <v>3670</v>
      </c>
      <c r="C681" s="122" t="s">
        <v>2697</v>
      </c>
      <c r="D681" s="119">
        <v>-192.44</v>
      </c>
      <c r="E681" s="120">
        <v>1</v>
      </c>
      <c r="F681" s="121">
        <f>Tabla5109[[#This Row],[Original Amount]]*Tabla5109[[#This Row],[ER to EUR]]</f>
        <v>-192.44</v>
      </c>
      <c r="G681" s="9" t="s">
        <v>2766</v>
      </c>
      <c r="H681" s="9" t="s">
        <v>3565</v>
      </c>
      <c r="I681" s="9" t="s">
        <v>2713</v>
      </c>
      <c r="J681" s="37" t="s">
        <v>2701</v>
      </c>
      <c r="K681" s="217" t="s">
        <v>2702</v>
      </c>
      <c r="L681" s="37" t="s">
        <v>2760</v>
      </c>
      <c r="M681" s="32" t="s">
        <v>125</v>
      </c>
      <c r="N681" s="156" t="s">
        <v>2704</v>
      </c>
      <c r="O681" s="158" t="s">
        <v>2704</v>
      </c>
      <c r="P681" s="123" t="str">
        <f t="shared" si="20"/>
        <v>C2-2025</v>
      </c>
      <c r="Q681" s="123" t="str">
        <f t="shared" si="21"/>
        <v>T3-2025</v>
      </c>
      <c r="R681" s="91" t="s">
        <v>2749</v>
      </c>
      <c r="S681" s="123" t="s">
        <v>2750</v>
      </c>
      <c r="T681" s="123" t="s">
        <v>2724</v>
      </c>
      <c r="U681" s="162" t="s">
        <v>2708</v>
      </c>
      <c r="V681" s="162" t="s">
        <v>55</v>
      </c>
      <c r="W681" s="237" t="s">
        <v>125</v>
      </c>
      <c r="X681" s="173" t="s">
        <v>2709</v>
      </c>
    </row>
    <row r="682" spans="1:24" hidden="1">
      <c r="A682" s="161">
        <v>45891</v>
      </c>
      <c r="B682" s="130" t="s">
        <v>3671</v>
      </c>
      <c r="C682" s="122" t="s">
        <v>2697</v>
      </c>
      <c r="D682" s="119">
        <v>-71.040000000000006</v>
      </c>
      <c r="E682" s="120">
        <v>1</v>
      </c>
      <c r="F682" s="121">
        <f>Tabla5109[[#This Row],[Original Amount]]*Tabla5109[[#This Row],[ER to EUR]]</f>
        <v>-71.040000000000006</v>
      </c>
      <c r="G682" s="9" t="s">
        <v>3534</v>
      </c>
      <c r="H682" s="73" t="s">
        <v>2852</v>
      </c>
      <c r="I682" s="9" t="s">
        <v>2713</v>
      </c>
      <c r="J682" s="9" t="s">
        <v>2701</v>
      </c>
      <c r="K682" s="205" t="s">
        <v>2702</v>
      </c>
      <c r="L682" s="9" t="s">
        <v>2788</v>
      </c>
      <c r="M682" s="32" t="s">
        <v>125</v>
      </c>
      <c r="N682" s="129" t="s">
        <v>2704</v>
      </c>
      <c r="O682" s="122" t="s">
        <v>2704</v>
      </c>
      <c r="P682" s="123" t="str">
        <f t="shared" si="20"/>
        <v>C2-2025</v>
      </c>
      <c r="Q682" s="123" t="str">
        <f t="shared" si="21"/>
        <v>T3-2025</v>
      </c>
      <c r="R682" s="124" t="s">
        <v>2794</v>
      </c>
      <c r="S682" s="123" t="s">
        <v>2731</v>
      </c>
      <c r="T682" s="123" t="s">
        <v>2724</v>
      </c>
      <c r="U682" s="162" t="s">
        <v>2708</v>
      </c>
      <c r="V682" s="162" t="s">
        <v>55</v>
      </c>
      <c r="W682" s="237" t="s">
        <v>125</v>
      </c>
      <c r="X682" s="173" t="s">
        <v>2709</v>
      </c>
    </row>
    <row r="683" spans="1:24" hidden="1">
      <c r="A683" s="161">
        <v>45891</v>
      </c>
      <c r="B683" s="178" t="s">
        <v>3672</v>
      </c>
      <c r="C683" s="122" t="s">
        <v>2548</v>
      </c>
      <c r="D683" s="149">
        <v>-69</v>
      </c>
      <c r="E683" s="222">
        <v>0.85836909871244638</v>
      </c>
      <c r="F683" s="121">
        <f>Tabla5109[[#This Row],[Original Amount]]*Tabla5109[[#This Row],[ER to EUR]]</f>
        <v>-59.227467811158803</v>
      </c>
      <c r="G683" s="9" t="s">
        <v>3137</v>
      </c>
      <c r="H683" s="73" t="s">
        <v>3673</v>
      </c>
      <c r="I683" s="9" t="s">
        <v>2727</v>
      </c>
      <c r="J683" s="9" t="s">
        <v>2701</v>
      </c>
      <c r="K683" s="205" t="s">
        <v>2702</v>
      </c>
      <c r="L683" s="9" t="s">
        <v>2760</v>
      </c>
      <c r="M683" s="32" t="s">
        <v>125</v>
      </c>
      <c r="N683" s="129" t="s">
        <v>2704</v>
      </c>
      <c r="O683" s="122" t="s">
        <v>2704</v>
      </c>
      <c r="P683" s="123" t="str">
        <f t="shared" si="20"/>
        <v>C2-2025</v>
      </c>
      <c r="Q683" s="123" t="str">
        <f t="shared" si="21"/>
        <v>T3-2025</v>
      </c>
      <c r="R683" s="124" t="s">
        <v>2819</v>
      </c>
      <c r="S683" s="123" t="s">
        <v>2723</v>
      </c>
      <c r="T683" s="123" t="s">
        <v>2724</v>
      </c>
      <c r="U683" s="162" t="s">
        <v>2708</v>
      </c>
      <c r="V683" s="162" t="s">
        <v>54</v>
      </c>
      <c r="W683" s="237" t="s">
        <v>125</v>
      </c>
      <c r="X683" s="173" t="s">
        <v>2709</v>
      </c>
    </row>
    <row r="684" spans="1:24" hidden="1">
      <c r="A684" s="161">
        <v>45892</v>
      </c>
      <c r="B684" s="191">
        <v>1952245</v>
      </c>
      <c r="C684" s="122" t="s">
        <v>2697</v>
      </c>
      <c r="D684" s="119">
        <v>-187.25</v>
      </c>
      <c r="E684" s="120">
        <v>1</v>
      </c>
      <c r="F684" s="121">
        <f>Tabla5109[[#This Row],[Original Amount]]*Tabla5109[[#This Row],[ER to EUR]]</f>
        <v>-187.25</v>
      </c>
      <c r="G684" s="9" t="s">
        <v>2815</v>
      </c>
      <c r="H684" s="73" t="s">
        <v>2816</v>
      </c>
      <c r="I684" s="9" t="s">
        <v>2727</v>
      </c>
      <c r="J684" s="9" t="s">
        <v>2817</v>
      </c>
      <c r="K684" s="205" t="s">
        <v>2702</v>
      </c>
      <c r="L684" s="9" t="s">
        <v>2818</v>
      </c>
      <c r="M684" s="32" t="s">
        <v>125</v>
      </c>
      <c r="N684" s="129" t="s">
        <v>2704</v>
      </c>
      <c r="O684" s="122" t="s">
        <v>2704</v>
      </c>
      <c r="P684" s="123" t="str">
        <f t="shared" si="20"/>
        <v>C2-2025</v>
      </c>
      <c r="Q684" s="123" t="str">
        <f t="shared" si="21"/>
        <v>T3-2025</v>
      </c>
      <c r="R684" s="124" t="s">
        <v>2819</v>
      </c>
      <c r="S684" s="123" t="s">
        <v>2723</v>
      </c>
      <c r="T684" s="123" t="s">
        <v>2724</v>
      </c>
      <c r="U684" s="162" t="s">
        <v>2708</v>
      </c>
      <c r="V684" s="162" t="s">
        <v>54</v>
      </c>
      <c r="W684" s="237" t="s">
        <v>125</v>
      </c>
      <c r="X684" s="173" t="s">
        <v>2709</v>
      </c>
    </row>
    <row r="685" spans="1:24" hidden="1">
      <c r="A685" s="161">
        <v>45892</v>
      </c>
      <c r="B685" s="204" t="s">
        <v>3674</v>
      </c>
      <c r="C685" s="122" t="s">
        <v>2697</v>
      </c>
      <c r="D685" s="119">
        <v>-379</v>
      </c>
      <c r="E685" s="120">
        <v>1</v>
      </c>
      <c r="F685" s="121">
        <f>Tabla5109[[#This Row],[Original Amount]]*Tabla5109[[#This Row],[ER to EUR]]</f>
        <v>-379</v>
      </c>
      <c r="G685" s="9" t="s">
        <v>3140</v>
      </c>
      <c r="H685" s="73" t="s">
        <v>3675</v>
      </c>
      <c r="I685" s="9" t="s">
        <v>2727</v>
      </c>
      <c r="J685" s="9" t="s">
        <v>2770</v>
      </c>
      <c r="K685" s="205" t="s">
        <v>2702</v>
      </c>
      <c r="L685" s="9" t="s">
        <v>3142</v>
      </c>
      <c r="M685" s="32" t="s">
        <v>125</v>
      </c>
      <c r="N685" s="129" t="s">
        <v>2704</v>
      </c>
      <c r="O685" s="122" t="s">
        <v>2704</v>
      </c>
      <c r="P685" s="123" t="str">
        <f t="shared" si="20"/>
        <v>C2-2025</v>
      </c>
      <c r="Q685" s="123" t="str">
        <f t="shared" si="21"/>
        <v>T3-2025</v>
      </c>
      <c r="R685" s="91" t="s">
        <v>2749</v>
      </c>
      <c r="S685" s="123" t="s">
        <v>2750</v>
      </c>
      <c r="T685" s="123" t="s">
        <v>2724</v>
      </c>
      <c r="U685" s="162" t="s">
        <v>2708</v>
      </c>
      <c r="V685" s="162" t="s">
        <v>54</v>
      </c>
      <c r="W685" s="237" t="s">
        <v>125</v>
      </c>
      <c r="X685" s="173" t="s">
        <v>2709</v>
      </c>
    </row>
    <row r="686" spans="1:24" hidden="1">
      <c r="A686" s="161">
        <v>45892</v>
      </c>
      <c r="B686" s="26" t="s">
        <v>3676</v>
      </c>
      <c r="C686" s="32" t="s">
        <v>2697</v>
      </c>
      <c r="D686" s="146">
        <v>-2000</v>
      </c>
      <c r="E686" s="120">
        <v>1</v>
      </c>
      <c r="F686" s="121">
        <f>Tabla5109[[#This Row],[Original Amount]]*Tabla5109[[#This Row],[ER to EUR]]</f>
        <v>-2000</v>
      </c>
      <c r="G686" s="9" t="s">
        <v>3527</v>
      </c>
      <c r="H686" s="9" t="s">
        <v>3677</v>
      </c>
      <c r="I686" s="9" t="s">
        <v>2713</v>
      </c>
      <c r="J686" s="9" t="s">
        <v>2714</v>
      </c>
      <c r="K686" s="205" t="s">
        <v>2747</v>
      </c>
      <c r="L686" s="211" t="s">
        <v>2864</v>
      </c>
      <c r="M686" s="32" t="s">
        <v>125</v>
      </c>
      <c r="N686" s="122" t="s">
        <v>2704</v>
      </c>
      <c r="O686" s="129" t="s">
        <v>2704</v>
      </c>
      <c r="P686" s="123" t="str">
        <f t="shared" si="20"/>
        <v>C2-2025</v>
      </c>
      <c r="Q686" s="123" t="str">
        <f t="shared" si="21"/>
        <v>T3-2025</v>
      </c>
      <c r="R686" s="91" t="s">
        <v>2705</v>
      </c>
      <c r="S686" s="123" t="s">
        <v>2735</v>
      </c>
      <c r="T686" s="123" t="s">
        <v>2724</v>
      </c>
      <c r="U686" s="162" t="s">
        <v>2708</v>
      </c>
      <c r="V686" s="162" t="s">
        <v>56</v>
      </c>
      <c r="W686" s="237" t="s">
        <v>125</v>
      </c>
      <c r="X686" s="201" t="s">
        <v>2709</v>
      </c>
    </row>
    <row r="687" spans="1:24" hidden="1">
      <c r="A687" s="161">
        <v>45893</v>
      </c>
      <c r="B687" s="709">
        <v>23154311</v>
      </c>
      <c r="C687" s="122" t="s">
        <v>2697</v>
      </c>
      <c r="D687" s="119">
        <v>-299</v>
      </c>
      <c r="E687" s="120">
        <v>1</v>
      </c>
      <c r="F687" s="121">
        <f>Tabla5109[[#This Row],[Original Amount]]*Tabla5109[[#This Row],[ER to EUR]]</f>
        <v>-299</v>
      </c>
      <c r="G687" s="322" t="s">
        <v>3678</v>
      </c>
      <c r="H687" s="73" t="s">
        <v>3679</v>
      </c>
      <c r="I687" s="9" t="s">
        <v>2755</v>
      </c>
      <c r="J687" s="9" t="s">
        <v>2817</v>
      </c>
      <c r="K687" s="205" t="s">
        <v>2771</v>
      </c>
      <c r="L687" s="9" t="s">
        <v>2818</v>
      </c>
      <c r="M687" s="32" t="s">
        <v>125</v>
      </c>
      <c r="N687" s="129" t="s">
        <v>2704</v>
      </c>
      <c r="O687" s="122" t="s">
        <v>2704</v>
      </c>
      <c r="P687" s="123" t="str">
        <f t="shared" si="20"/>
        <v>C2-2025</v>
      </c>
      <c r="Q687" s="123" t="str">
        <f t="shared" si="21"/>
        <v>T3-2025</v>
      </c>
      <c r="R687" s="124" t="s">
        <v>2722</v>
      </c>
      <c r="S687" s="123" t="s">
        <v>2723</v>
      </c>
      <c r="T687" s="123" t="s">
        <v>2724</v>
      </c>
      <c r="U687" s="162" t="s">
        <v>2708</v>
      </c>
      <c r="V687" s="162" t="s">
        <v>54</v>
      </c>
      <c r="W687" s="237" t="s">
        <v>125</v>
      </c>
      <c r="X687" s="173" t="s">
        <v>2709</v>
      </c>
    </row>
    <row r="688" spans="1:24" hidden="1">
      <c r="A688" s="161">
        <v>45894</v>
      </c>
      <c r="B688" s="132">
        <v>22118372</v>
      </c>
      <c r="C688" s="122" t="s">
        <v>2548</v>
      </c>
      <c r="D688" s="136">
        <v>-65</v>
      </c>
      <c r="E688" s="222">
        <v>0.85836909871244638</v>
      </c>
      <c r="F688" s="121">
        <f>Tabla5109[[#This Row],[Original Amount]]*Tabla5109[[#This Row],[ER to EUR]]</f>
        <v>-55.793991416309012</v>
      </c>
      <c r="G688" s="9" t="s">
        <v>3680</v>
      </c>
      <c r="H688" s="9" t="s">
        <v>3681</v>
      </c>
      <c r="I688" s="9" t="s">
        <v>3682</v>
      </c>
      <c r="J688" s="9" t="s">
        <v>2770</v>
      </c>
      <c r="K688" s="205" t="s">
        <v>2771</v>
      </c>
      <c r="L688" s="9" t="s">
        <v>3494</v>
      </c>
      <c r="M688" s="32" t="s">
        <v>125</v>
      </c>
      <c r="N688" s="129" t="s">
        <v>2704</v>
      </c>
      <c r="O688" s="122" t="s">
        <v>2704</v>
      </c>
      <c r="P688" s="123" t="str">
        <f t="shared" si="20"/>
        <v>C2-2025</v>
      </c>
      <c r="Q688" s="123" t="str">
        <f t="shared" si="21"/>
        <v>T3-2025</v>
      </c>
      <c r="R688" s="91" t="s">
        <v>2749</v>
      </c>
      <c r="S688" s="123" t="s">
        <v>2750</v>
      </c>
      <c r="T688" s="123" t="s">
        <v>2724</v>
      </c>
      <c r="U688" s="162" t="s">
        <v>2708</v>
      </c>
      <c r="V688" s="162" t="s">
        <v>54</v>
      </c>
      <c r="W688" s="237" t="s">
        <v>125</v>
      </c>
      <c r="X688" s="173" t="s">
        <v>2709</v>
      </c>
    </row>
    <row r="689" spans="1:24" hidden="1">
      <c r="A689" s="161">
        <v>45894</v>
      </c>
      <c r="B689" s="132">
        <v>202507644</v>
      </c>
      <c r="C689" s="122" t="s">
        <v>2697</v>
      </c>
      <c r="D689" s="119">
        <v>-5176.5</v>
      </c>
      <c r="E689" s="120">
        <v>1</v>
      </c>
      <c r="F689" s="121">
        <f>Tabla5109[[#This Row],[Original Amount]]*Tabla5109[[#This Row],[ER to EUR]]</f>
        <v>-5176.5</v>
      </c>
      <c r="G689" s="9" t="s">
        <v>3683</v>
      </c>
      <c r="H689" s="73" t="s">
        <v>3684</v>
      </c>
      <c r="I689" s="9" t="s">
        <v>2727</v>
      </c>
      <c r="J689" s="9" t="s">
        <v>2714</v>
      </c>
      <c r="K689" s="205" t="s">
        <v>3510</v>
      </c>
      <c r="L689" s="9" t="s">
        <v>2799</v>
      </c>
      <c r="M689" s="32" t="s">
        <v>125</v>
      </c>
      <c r="N689" s="129" t="s">
        <v>2704</v>
      </c>
      <c r="O689" s="122" t="s">
        <v>2704</v>
      </c>
      <c r="P689" s="123" t="str">
        <f t="shared" si="20"/>
        <v>C2-2025</v>
      </c>
      <c r="Q689" s="123" t="str">
        <f t="shared" si="21"/>
        <v>T3-2025</v>
      </c>
      <c r="R689" s="124" t="s">
        <v>2705</v>
      </c>
      <c r="S689" s="124" t="s">
        <v>2706</v>
      </c>
      <c r="T689" s="123" t="s">
        <v>2724</v>
      </c>
      <c r="U689" s="162" t="s">
        <v>2708</v>
      </c>
      <c r="V689" s="162" t="s">
        <v>56</v>
      </c>
      <c r="W689" s="237" t="s">
        <v>125</v>
      </c>
      <c r="X689" s="173" t="s">
        <v>2709</v>
      </c>
    </row>
    <row r="690" spans="1:24" hidden="1">
      <c r="A690" s="161">
        <v>45894</v>
      </c>
      <c r="B690" s="117" t="s">
        <v>3685</v>
      </c>
      <c r="C690" s="122" t="s">
        <v>2548</v>
      </c>
      <c r="D690" s="149">
        <v>-252.61</v>
      </c>
      <c r="E690" s="222">
        <v>0.85836909871244638</v>
      </c>
      <c r="F690" s="236">
        <f>Tabla5109[[#This Row],[Original Amount]]*Tabla5109[[#This Row],[ER to EUR]]</f>
        <v>-216.83261802575109</v>
      </c>
      <c r="G690" s="9" t="s">
        <v>3248</v>
      </c>
      <c r="H690" s="9" t="s">
        <v>3686</v>
      </c>
      <c r="I690" s="9" t="s">
        <v>2713</v>
      </c>
      <c r="J690" s="9" t="s">
        <v>2714</v>
      </c>
      <c r="K690" s="205" t="s">
        <v>2702</v>
      </c>
      <c r="L690" s="9" t="s">
        <v>2799</v>
      </c>
      <c r="M690" s="32" t="s">
        <v>125</v>
      </c>
      <c r="N690" s="129" t="s">
        <v>2704</v>
      </c>
      <c r="O690" s="122" t="s">
        <v>2704</v>
      </c>
      <c r="P690" s="123" t="str">
        <f t="shared" si="20"/>
        <v>C2-2025</v>
      </c>
      <c r="Q690" s="123" t="str">
        <f t="shared" si="21"/>
        <v>T3-2025</v>
      </c>
      <c r="R690" s="124" t="s">
        <v>2730</v>
      </c>
      <c r="S690" s="123" t="s">
        <v>2731</v>
      </c>
      <c r="T690" s="123" t="s">
        <v>2724</v>
      </c>
      <c r="U690" s="162" t="s">
        <v>51</v>
      </c>
      <c r="V690" s="162" t="s">
        <v>57</v>
      </c>
      <c r="W690" s="237" t="s">
        <v>125</v>
      </c>
      <c r="X690" s="173" t="s">
        <v>2709</v>
      </c>
    </row>
    <row r="691" spans="1:24" hidden="1">
      <c r="A691" s="161">
        <v>45894</v>
      </c>
      <c r="B691" s="133" t="s">
        <v>3687</v>
      </c>
      <c r="C691" s="32" t="s">
        <v>2697</v>
      </c>
      <c r="D691" s="146">
        <v>-839.96</v>
      </c>
      <c r="E691" s="120">
        <v>1</v>
      </c>
      <c r="F691" s="236">
        <f>Tabla5109[[#This Row],[Original Amount]]*Tabla5109[[#This Row],[ER to EUR]]</f>
        <v>-839.96</v>
      </c>
      <c r="G691" s="9" t="s">
        <v>3688</v>
      </c>
      <c r="H691" s="9" t="s">
        <v>3689</v>
      </c>
      <c r="I691" s="9" t="s">
        <v>2755</v>
      </c>
      <c r="J691" s="9" t="s">
        <v>2825</v>
      </c>
      <c r="K691" s="205" t="s">
        <v>2826</v>
      </c>
      <c r="L691" s="9" t="s">
        <v>2827</v>
      </c>
      <c r="M691" s="32" t="s">
        <v>125</v>
      </c>
      <c r="N691" s="122" t="s">
        <v>2704</v>
      </c>
      <c r="O691" s="129" t="s">
        <v>2704</v>
      </c>
      <c r="P691" s="123" t="str">
        <f t="shared" si="20"/>
        <v>C2-2025</v>
      </c>
      <c r="Q691" s="123" t="str">
        <f t="shared" si="21"/>
        <v>T3-2025</v>
      </c>
      <c r="R691" s="124" t="s">
        <v>2705</v>
      </c>
      <c r="S691" s="124" t="s">
        <v>2706</v>
      </c>
      <c r="T691" s="123" t="s">
        <v>2717</v>
      </c>
      <c r="U691" s="203" t="s">
        <v>2708</v>
      </c>
      <c r="V691" s="203" t="s">
        <v>56</v>
      </c>
      <c r="W691" s="237" t="s">
        <v>125</v>
      </c>
      <c r="X691" s="173" t="s">
        <v>2709</v>
      </c>
    </row>
    <row r="692" spans="1:24" hidden="1">
      <c r="A692" s="161">
        <v>45895</v>
      </c>
      <c r="B692" s="199">
        <v>319636</v>
      </c>
      <c r="C692" s="122" t="s">
        <v>2697</v>
      </c>
      <c r="D692" s="119">
        <v>-20.100000000000001</v>
      </c>
      <c r="E692" s="120">
        <v>1</v>
      </c>
      <c r="F692" s="236">
        <f>Tabla5109[[#This Row],[Original Amount]]*Tabla5109[[#This Row],[ER to EUR]]</f>
        <v>-20.100000000000001</v>
      </c>
      <c r="G692" s="9" t="s">
        <v>3690</v>
      </c>
      <c r="H692" s="73" t="s">
        <v>3691</v>
      </c>
      <c r="I692" s="9" t="s">
        <v>3692</v>
      </c>
      <c r="J692" s="9" t="s">
        <v>2701</v>
      </c>
      <c r="K692" s="205" t="s">
        <v>2702</v>
      </c>
      <c r="L692" s="9" t="s">
        <v>3693</v>
      </c>
      <c r="M692" s="32" t="s">
        <v>125</v>
      </c>
      <c r="N692" s="129" t="s">
        <v>2704</v>
      </c>
      <c r="O692" s="122" t="s">
        <v>2704</v>
      </c>
      <c r="P692" s="123" t="str">
        <f t="shared" si="20"/>
        <v>C2-2025</v>
      </c>
      <c r="Q692" s="123" t="str">
        <f t="shared" si="21"/>
        <v>T3-2025</v>
      </c>
      <c r="R692" s="124" t="s">
        <v>2705</v>
      </c>
      <c r="S692" s="123" t="s">
        <v>2735</v>
      </c>
      <c r="T692" s="123" t="s">
        <v>2724</v>
      </c>
      <c r="U692" s="162" t="s">
        <v>2708</v>
      </c>
      <c r="V692" s="162" t="s">
        <v>54</v>
      </c>
      <c r="W692" s="237" t="s">
        <v>125</v>
      </c>
      <c r="X692" s="173" t="s">
        <v>2709</v>
      </c>
    </row>
    <row r="693" spans="1:24" hidden="1">
      <c r="A693" s="161">
        <v>45895</v>
      </c>
      <c r="B693" s="199">
        <v>292025</v>
      </c>
      <c r="C693" s="122" t="s">
        <v>2697</v>
      </c>
      <c r="D693" s="119">
        <v>-2000</v>
      </c>
      <c r="E693" s="120">
        <v>1</v>
      </c>
      <c r="F693" s="121">
        <f>Tabla5109[[#This Row],[Original Amount]]*Tabla5109[[#This Row],[ER to EUR]]</f>
        <v>-2000</v>
      </c>
      <c r="G693" s="9" t="s">
        <v>3694</v>
      </c>
      <c r="H693" s="9" t="s">
        <v>3695</v>
      </c>
      <c r="I693" s="9" t="s">
        <v>2727</v>
      </c>
      <c r="J693" s="9" t="s">
        <v>2714</v>
      </c>
      <c r="K693" s="205" t="s">
        <v>2747</v>
      </c>
      <c r="L693" s="9" t="s">
        <v>2716</v>
      </c>
      <c r="M693" s="32" t="s">
        <v>125</v>
      </c>
      <c r="N693" s="129" t="s">
        <v>2704</v>
      </c>
      <c r="O693" s="122" t="s">
        <v>2704</v>
      </c>
      <c r="P693" s="123" t="str">
        <f t="shared" si="20"/>
        <v>C2-2025</v>
      </c>
      <c r="Q693" s="123" t="str">
        <f t="shared" si="21"/>
        <v>T3-2025</v>
      </c>
      <c r="R693" s="124" t="s">
        <v>2705</v>
      </c>
      <c r="S693" s="124" t="s">
        <v>2706</v>
      </c>
      <c r="T693" s="123" t="s">
        <v>2724</v>
      </c>
      <c r="U693" s="162" t="s">
        <v>51</v>
      </c>
      <c r="V693" s="162" t="s">
        <v>57</v>
      </c>
      <c r="W693" s="237" t="s">
        <v>125</v>
      </c>
      <c r="X693" s="173" t="s">
        <v>2709</v>
      </c>
    </row>
    <row r="694" spans="1:24" hidden="1">
      <c r="A694" s="161">
        <v>45895</v>
      </c>
      <c r="B694" s="132">
        <v>3200681919</v>
      </c>
      <c r="C694" s="122" t="s">
        <v>2697</v>
      </c>
      <c r="D694" s="119">
        <v>-498.35</v>
      </c>
      <c r="E694" s="120">
        <v>1</v>
      </c>
      <c r="F694" s="121">
        <f>Tabla5109[[#This Row],[Original Amount]]*Tabla5109[[#This Row],[ER to EUR]]</f>
        <v>-498.35</v>
      </c>
      <c r="G694" s="9" t="s">
        <v>3665</v>
      </c>
      <c r="H694" s="73" t="s">
        <v>3696</v>
      </c>
      <c r="I694" s="9" t="s">
        <v>2727</v>
      </c>
      <c r="J694" s="9" t="s">
        <v>3095</v>
      </c>
      <c r="K694" s="205" t="s">
        <v>3510</v>
      </c>
      <c r="L694" s="9" t="s">
        <v>3511</v>
      </c>
      <c r="M694" s="32" t="s">
        <v>125</v>
      </c>
      <c r="N694" s="129" t="s">
        <v>2704</v>
      </c>
      <c r="O694" s="122" t="s">
        <v>2704</v>
      </c>
      <c r="P694" s="123" t="str">
        <f t="shared" si="20"/>
        <v>C2-2025</v>
      </c>
      <c r="Q694" s="123" t="str">
        <f t="shared" si="21"/>
        <v>T3-2025</v>
      </c>
      <c r="R694" s="124" t="s">
        <v>2819</v>
      </c>
      <c r="S694" s="123" t="s">
        <v>2723</v>
      </c>
      <c r="T694" s="123" t="s">
        <v>2717</v>
      </c>
      <c r="U694" s="162" t="s">
        <v>2708</v>
      </c>
      <c r="V694" s="162" t="s">
        <v>54</v>
      </c>
      <c r="W694" s="237" t="s">
        <v>125</v>
      </c>
      <c r="X694" s="173" t="s">
        <v>2709</v>
      </c>
    </row>
    <row r="695" spans="1:24" hidden="1">
      <c r="A695" s="161">
        <v>45896</v>
      </c>
      <c r="B695" s="117">
        <v>699</v>
      </c>
      <c r="C695" s="122" t="s">
        <v>2697</v>
      </c>
      <c r="D695" s="119">
        <v>-95.2</v>
      </c>
      <c r="E695" s="120">
        <v>1</v>
      </c>
      <c r="F695" s="121">
        <f>Tabla5109[[#This Row],[Original Amount]]*Tabla5109[[#This Row],[ER to EUR]]</f>
        <v>-95.2</v>
      </c>
      <c r="G695" s="9" t="s">
        <v>3271</v>
      </c>
      <c r="H695" s="9" t="s">
        <v>3697</v>
      </c>
      <c r="I695" s="9" t="s">
        <v>2727</v>
      </c>
      <c r="J695" s="9" t="s">
        <v>2770</v>
      </c>
      <c r="K695" s="205" t="s">
        <v>2747</v>
      </c>
      <c r="L695" s="9" t="s">
        <v>2772</v>
      </c>
      <c r="M695" s="32" t="s">
        <v>125</v>
      </c>
      <c r="N695" s="129" t="s">
        <v>2704</v>
      </c>
      <c r="O695" s="122" t="s">
        <v>2704</v>
      </c>
      <c r="P695" s="123" t="str">
        <f t="shared" si="20"/>
        <v>C2-2025</v>
      </c>
      <c r="Q695" s="123" t="str">
        <f t="shared" si="21"/>
        <v>T3-2025</v>
      </c>
      <c r="R695" s="124" t="s">
        <v>2705</v>
      </c>
      <c r="S695" s="124" t="s">
        <v>2706</v>
      </c>
      <c r="T695" s="123" t="s">
        <v>2707</v>
      </c>
      <c r="U695" s="162" t="s">
        <v>2708</v>
      </c>
      <c r="V695" s="162" t="s">
        <v>56</v>
      </c>
      <c r="W695" s="237" t="s">
        <v>125</v>
      </c>
      <c r="X695" s="173" t="s">
        <v>2709</v>
      </c>
    </row>
    <row r="696" spans="1:24" hidden="1">
      <c r="A696" s="161">
        <v>45896</v>
      </c>
      <c r="B696" s="117">
        <v>648691861</v>
      </c>
      <c r="C696" s="122" t="s">
        <v>2697</v>
      </c>
      <c r="D696" s="119">
        <v>-1852.83</v>
      </c>
      <c r="E696" s="120">
        <v>1</v>
      </c>
      <c r="F696" s="121">
        <f>Tabla5109[[#This Row],[Original Amount]]*Tabla5109[[#This Row],[ER to EUR]]</f>
        <v>-1852.83</v>
      </c>
      <c r="G696" s="9" t="s">
        <v>2698</v>
      </c>
      <c r="H696" s="73" t="s">
        <v>3698</v>
      </c>
      <c r="I696" s="9" t="s">
        <v>2784</v>
      </c>
      <c r="J696" s="9" t="s">
        <v>2701</v>
      </c>
      <c r="K696" s="205" t="s">
        <v>2702</v>
      </c>
      <c r="L696" s="9" t="s">
        <v>2703</v>
      </c>
      <c r="M696" s="32" t="s">
        <v>125</v>
      </c>
      <c r="N696" s="129" t="s">
        <v>2704</v>
      </c>
      <c r="O696" s="122" t="s">
        <v>2704</v>
      </c>
      <c r="P696" s="123" t="str">
        <f t="shared" si="20"/>
        <v>C2-2025</v>
      </c>
      <c r="Q696" s="123" t="str">
        <f t="shared" si="21"/>
        <v>T3-2025</v>
      </c>
      <c r="R696" s="124" t="s">
        <v>2705</v>
      </c>
      <c r="S696" s="124" t="s">
        <v>2706</v>
      </c>
      <c r="T696" s="123" t="s">
        <v>2707</v>
      </c>
      <c r="U696" s="162" t="s">
        <v>2708</v>
      </c>
      <c r="V696" s="162" t="s">
        <v>54</v>
      </c>
      <c r="W696" s="237" t="s">
        <v>125</v>
      </c>
      <c r="X696" s="173" t="s">
        <v>2709</v>
      </c>
    </row>
    <row r="697" spans="1:24" hidden="1">
      <c r="A697" s="161">
        <v>45896</v>
      </c>
      <c r="B697" s="125">
        <v>3200696594</v>
      </c>
      <c r="C697" s="122" t="s">
        <v>2697</v>
      </c>
      <c r="D697" s="119">
        <v>-36.520000000000003</v>
      </c>
      <c r="E697" s="120">
        <v>1</v>
      </c>
      <c r="F697" s="121">
        <f>Tabla5109[[#This Row],[Original Amount]]*Tabla5109[[#This Row],[ER to EUR]]</f>
        <v>-36.520000000000003</v>
      </c>
      <c r="G697" s="9" t="s">
        <v>3665</v>
      </c>
      <c r="H697" s="73" t="s">
        <v>3699</v>
      </c>
      <c r="I697" s="9" t="s">
        <v>2727</v>
      </c>
      <c r="J697" s="9" t="s">
        <v>3095</v>
      </c>
      <c r="K697" s="205" t="s">
        <v>3510</v>
      </c>
      <c r="L697" s="9" t="s">
        <v>3511</v>
      </c>
      <c r="M697" s="32" t="s">
        <v>125</v>
      </c>
      <c r="N697" s="129" t="s">
        <v>2704</v>
      </c>
      <c r="O697" s="122" t="s">
        <v>2704</v>
      </c>
      <c r="P697" s="123" t="str">
        <f t="shared" si="20"/>
        <v>C2-2025</v>
      </c>
      <c r="Q697" s="123" t="str">
        <f t="shared" si="21"/>
        <v>T3-2025</v>
      </c>
      <c r="R697" s="124" t="s">
        <v>2819</v>
      </c>
      <c r="S697" s="123" t="s">
        <v>2723</v>
      </c>
      <c r="T697" s="123" t="s">
        <v>2717</v>
      </c>
      <c r="U697" s="162" t="s">
        <v>2708</v>
      </c>
      <c r="V697" s="162" t="s">
        <v>54</v>
      </c>
      <c r="W697" s="237" t="s">
        <v>125</v>
      </c>
      <c r="X697" s="173" t="s">
        <v>2709</v>
      </c>
    </row>
    <row r="698" spans="1:24" hidden="1">
      <c r="A698" s="161">
        <v>45896</v>
      </c>
      <c r="B698" s="178" t="s">
        <v>3606</v>
      </c>
      <c r="C698" s="122" t="s">
        <v>2543</v>
      </c>
      <c r="D698" s="152">
        <v>-4795630</v>
      </c>
      <c r="E698" s="137">
        <v>8.8900000000000003E-4</v>
      </c>
      <c r="F698" s="121">
        <f>Tabla5109[[#This Row],[Original Amount]]*Tabla5109[[#This Row],[ER to EUR]]</f>
        <v>-4263.3150700000006</v>
      </c>
      <c r="G698" s="9" t="s">
        <v>2745</v>
      </c>
      <c r="H698" s="9" t="s">
        <v>3622</v>
      </c>
      <c r="I698" s="9" t="s">
        <v>2727</v>
      </c>
      <c r="J698" s="9" t="s">
        <v>2714</v>
      </c>
      <c r="K698" s="205" t="s">
        <v>2747</v>
      </c>
      <c r="L698" s="9" t="s">
        <v>2716</v>
      </c>
      <c r="M698" s="227" t="s">
        <v>2704</v>
      </c>
      <c r="N698" s="129" t="s">
        <v>2748</v>
      </c>
      <c r="O698" s="122" t="s">
        <v>2704</v>
      </c>
      <c r="P698" s="123" t="str">
        <f t="shared" si="20"/>
        <v>C2-2025</v>
      </c>
      <c r="Q698" s="123" t="str">
        <f t="shared" si="21"/>
        <v>T3-2025</v>
      </c>
      <c r="R698" s="124" t="s">
        <v>2705</v>
      </c>
      <c r="S698" s="124" t="s">
        <v>2706</v>
      </c>
      <c r="T698" s="123" t="s">
        <v>2707</v>
      </c>
      <c r="U698" s="162" t="s">
        <v>2708</v>
      </c>
      <c r="V698" s="162" t="s">
        <v>54</v>
      </c>
      <c r="W698" s="237" t="s">
        <v>125</v>
      </c>
      <c r="X698" s="173" t="s">
        <v>2751</v>
      </c>
    </row>
    <row r="699" spans="1:24" hidden="1">
      <c r="A699" s="161">
        <v>45897</v>
      </c>
      <c r="B699" s="132">
        <v>15739</v>
      </c>
      <c r="C699" s="122" t="s">
        <v>2697</v>
      </c>
      <c r="D699" s="150">
        <v>-3600</v>
      </c>
      <c r="E699" s="120">
        <v>1</v>
      </c>
      <c r="F699" s="121">
        <f>Tabla5109[[#This Row],[Original Amount]]*Tabla5109[[#This Row],[ER to EUR]]</f>
        <v>-3600</v>
      </c>
      <c r="G699" s="9" t="s">
        <v>2725</v>
      </c>
      <c r="H699" s="9" t="s">
        <v>3377</v>
      </c>
      <c r="I699" s="9" t="s">
        <v>2727</v>
      </c>
      <c r="J699" s="9" t="s">
        <v>2701</v>
      </c>
      <c r="K699" s="205" t="s">
        <v>2728</v>
      </c>
      <c r="L699" s="9" t="s">
        <v>2729</v>
      </c>
      <c r="M699" s="32" t="s">
        <v>125</v>
      </c>
      <c r="N699" s="129" t="s">
        <v>2704</v>
      </c>
      <c r="O699" s="122" t="s">
        <v>2704</v>
      </c>
      <c r="P699" s="123" t="str">
        <f t="shared" si="20"/>
        <v>C2-2025</v>
      </c>
      <c r="Q699" s="123" t="str">
        <f t="shared" si="21"/>
        <v>T3-2025</v>
      </c>
      <c r="R699" s="124" t="s">
        <v>2730</v>
      </c>
      <c r="S699" s="123" t="s">
        <v>2731</v>
      </c>
      <c r="T699" s="123" t="s">
        <v>2707</v>
      </c>
      <c r="U699" s="162" t="s">
        <v>51</v>
      </c>
      <c r="V699" s="162" t="s">
        <v>57</v>
      </c>
      <c r="W699" s="237" t="s">
        <v>125</v>
      </c>
      <c r="X699" s="173" t="s">
        <v>2709</v>
      </c>
    </row>
    <row r="700" spans="1:24" hidden="1">
      <c r="A700" s="161">
        <v>45897</v>
      </c>
      <c r="B700" s="117">
        <v>2936333</v>
      </c>
      <c r="C700" s="122" t="s">
        <v>2548</v>
      </c>
      <c r="D700" s="149">
        <v>-201.62</v>
      </c>
      <c r="E700" s="222">
        <v>0.85836909871244638</v>
      </c>
      <c r="F700" s="121">
        <f>Tabla5109[[#This Row],[Original Amount]]*Tabla5109[[#This Row],[ER to EUR]]</f>
        <v>-173.06437768240343</v>
      </c>
      <c r="G700" s="9" t="s">
        <v>3193</v>
      </c>
      <c r="H700" s="73" t="s">
        <v>3700</v>
      </c>
      <c r="I700" s="9" t="s">
        <v>2739</v>
      </c>
      <c r="J700" s="9" t="s">
        <v>2701</v>
      </c>
      <c r="K700" s="4" t="s">
        <v>2702</v>
      </c>
      <c r="L700" t="s">
        <v>2793</v>
      </c>
      <c r="M700" s="32" t="s">
        <v>125</v>
      </c>
      <c r="N700" s="129" t="s">
        <v>2704</v>
      </c>
      <c r="O700" s="122" t="s">
        <v>2704</v>
      </c>
      <c r="P700" s="123" t="str">
        <f t="shared" si="20"/>
        <v>C2-2025</v>
      </c>
      <c r="Q700" s="123" t="str">
        <f t="shared" si="21"/>
        <v>T3-2025</v>
      </c>
      <c r="R700" s="124" t="s">
        <v>2722</v>
      </c>
      <c r="S700" s="123" t="s">
        <v>2723</v>
      </c>
      <c r="T700" s="123" t="s">
        <v>2724</v>
      </c>
      <c r="U700" s="162" t="s">
        <v>2708</v>
      </c>
      <c r="V700" s="162" t="s">
        <v>54</v>
      </c>
      <c r="W700" s="237" t="s">
        <v>125</v>
      </c>
      <c r="X700" s="124" t="s">
        <v>2709</v>
      </c>
    </row>
    <row r="701" spans="1:24" hidden="1">
      <c r="A701" s="161">
        <v>45897</v>
      </c>
      <c r="B701" s="130" t="s">
        <v>3701</v>
      </c>
      <c r="C701" s="122" t="s">
        <v>2697</v>
      </c>
      <c r="D701" s="150">
        <v>-6.63</v>
      </c>
      <c r="E701" s="120">
        <v>1</v>
      </c>
      <c r="F701" s="121">
        <f>Tabla5109[[#This Row],[Original Amount]]*Tabla5109[[#This Row],[ER to EUR]]</f>
        <v>-6.63</v>
      </c>
      <c r="G701" s="9" t="s">
        <v>3116</v>
      </c>
      <c r="H701" s="9" t="s">
        <v>3702</v>
      </c>
      <c r="I701" s="9" t="s">
        <v>2713</v>
      </c>
      <c r="J701" s="9" t="s">
        <v>2701</v>
      </c>
      <c r="K701" s="205" t="s">
        <v>2702</v>
      </c>
      <c r="L701" s="9" t="s">
        <v>2703</v>
      </c>
      <c r="M701" s="32" t="s">
        <v>125</v>
      </c>
      <c r="N701" s="129" t="s">
        <v>2704</v>
      </c>
      <c r="O701" s="122" t="s">
        <v>2704</v>
      </c>
      <c r="P701" s="123" t="str">
        <f t="shared" si="20"/>
        <v>C2-2025</v>
      </c>
      <c r="Q701" s="123" t="str">
        <f t="shared" si="21"/>
        <v>T3-2025</v>
      </c>
      <c r="R701" s="124" t="s">
        <v>2794</v>
      </c>
      <c r="S701" s="123" t="s">
        <v>3041</v>
      </c>
      <c r="T701" s="123" t="s">
        <v>2707</v>
      </c>
      <c r="U701" s="162" t="s">
        <v>51</v>
      </c>
      <c r="V701" s="162" t="s">
        <v>57</v>
      </c>
      <c r="W701" s="237" t="s">
        <v>125</v>
      </c>
      <c r="X701" s="124" t="s">
        <v>2709</v>
      </c>
    </row>
    <row r="702" spans="1:24" hidden="1">
      <c r="A702" s="161">
        <v>45897</v>
      </c>
      <c r="B702" s="261" t="s">
        <v>3703</v>
      </c>
      <c r="C702" s="122" t="s">
        <v>2697</v>
      </c>
      <c r="D702" s="150">
        <v>-874.96</v>
      </c>
      <c r="E702" s="154">
        <v>1</v>
      </c>
      <c r="F702" s="121">
        <f>Tabla5109[[#This Row],[Original Amount]]*Tabla5109[[#This Row],[ER to EUR]]</f>
        <v>-874.96</v>
      </c>
      <c r="G702" s="9" t="s">
        <v>3688</v>
      </c>
      <c r="H702" s="91" t="s">
        <v>3704</v>
      </c>
      <c r="I702" s="9" t="s">
        <v>2713</v>
      </c>
      <c r="J702" s="9" t="s">
        <v>2825</v>
      </c>
      <c r="K702" s="205" t="s">
        <v>2826</v>
      </c>
      <c r="L702" s="9" t="s">
        <v>2827</v>
      </c>
      <c r="M702" s="32" t="s">
        <v>125</v>
      </c>
      <c r="N702" s="129" t="s">
        <v>2748</v>
      </c>
      <c r="O702" s="122" t="s">
        <v>2748</v>
      </c>
      <c r="P702" s="123" t="str">
        <f t="shared" si="20"/>
        <v>C2-2025</v>
      </c>
      <c r="Q702" s="123" t="str">
        <f t="shared" si="21"/>
        <v>T3-2025</v>
      </c>
      <c r="R702" s="124" t="s">
        <v>2705</v>
      </c>
      <c r="S702" s="124" t="s">
        <v>2706</v>
      </c>
      <c r="T702" s="123" t="s">
        <v>2717</v>
      </c>
      <c r="U702" s="203" t="s">
        <v>2708</v>
      </c>
      <c r="V702" s="203" t="s">
        <v>56</v>
      </c>
      <c r="W702" s="237" t="s">
        <v>125</v>
      </c>
      <c r="X702" s="173" t="s">
        <v>2709</v>
      </c>
    </row>
    <row r="703" spans="1:24" hidden="1">
      <c r="A703" s="161">
        <v>45898</v>
      </c>
      <c r="B703" s="199">
        <v>649002325</v>
      </c>
      <c r="C703" s="122" t="s">
        <v>2697</v>
      </c>
      <c r="D703" s="119">
        <v>-256.04000000000002</v>
      </c>
      <c r="E703" s="120">
        <v>1</v>
      </c>
      <c r="F703" s="121">
        <f>Tabla5109[[#This Row],[Original Amount]]*Tabla5109[[#This Row],[ER to EUR]]</f>
        <v>-256.04000000000002</v>
      </c>
      <c r="G703" s="9" t="s">
        <v>2698</v>
      </c>
      <c r="H703" s="73" t="s">
        <v>3705</v>
      </c>
      <c r="I703" s="9" t="s">
        <v>2784</v>
      </c>
      <c r="J703" s="9" t="s">
        <v>2701</v>
      </c>
      <c r="K703" s="205" t="s">
        <v>2702</v>
      </c>
      <c r="L703" s="9" t="s">
        <v>2703</v>
      </c>
      <c r="M703" s="32" t="s">
        <v>125</v>
      </c>
      <c r="N703" s="129" t="s">
        <v>2704</v>
      </c>
      <c r="O703" s="122" t="s">
        <v>2704</v>
      </c>
      <c r="P703" s="123" t="str">
        <f t="shared" si="20"/>
        <v>C2-2025</v>
      </c>
      <c r="Q703" s="123" t="str">
        <f t="shared" si="21"/>
        <v>T3-2025</v>
      </c>
      <c r="R703" s="124" t="s">
        <v>2705</v>
      </c>
      <c r="S703" s="124" t="s">
        <v>2706</v>
      </c>
      <c r="T703" s="157" t="s">
        <v>2707</v>
      </c>
      <c r="U703" s="165" t="s">
        <v>2708</v>
      </c>
      <c r="V703" s="165" t="s">
        <v>54</v>
      </c>
      <c r="W703" s="237" t="s">
        <v>125</v>
      </c>
      <c r="X703" s="173" t="s">
        <v>2709</v>
      </c>
    </row>
    <row r="704" spans="1:24" hidden="1">
      <c r="A704" s="161">
        <v>45898</v>
      </c>
      <c r="B704" s="132">
        <v>3200724927</v>
      </c>
      <c r="C704" s="122" t="s">
        <v>2697</v>
      </c>
      <c r="D704" s="119">
        <v>-1510.34</v>
      </c>
      <c r="E704" s="120">
        <v>1</v>
      </c>
      <c r="F704" s="121">
        <f>Tabla5109[[#This Row],[Original Amount]]*Tabla5109[[#This Row],[ER to EUR]]</f>
        <v>-1510.34</v>
      </c>
      <c r="G704" s="9" t="s">
        <v>3665</v>
      </c>
      <c r="H704" s="73" t="s">
        <v>3706</v>
      </c>
      <c r="I704" s="9" t="s">
        <v>2727</v>
      </c>
      <c r="J704" s="9" t="s">
        <v>3095</v>
      </c>
      <c r="K704" s="205" t="s">
        <v>3510</v>
      </c>
      <c r="L704" s="9" t="s">
        <v>3511</v>
      </c>
      <c r="M704" s="32" t="s">
        <v>125</v>
      </c>
      <c r="N704" s="129" t="s">
        <v>2704</v>
      </c>
      <c r="O704" s="122" t="s">
        <v>2704</v>
      </c>
      <c r="P704" s="123" t="str">
        <f t="shared" si="20"/>
        <v>C2-2025</v>
      </c>
      <c r="Q704" s="123" t="str">
        <f t="shared" si="21"/>
        <v>T3-2025</v>
      </c>
      <c r="R704" s="124" t="s">
        <v>2819</v>
      </c>
      <c r="S704" s="123" t="s">
        <v>2723</v>
      </c>
      <c r="T704" s="123" t="s">
        <v>2717</v>
      </c>
      <c r="U704" s="162" t="s">
        <v>2708</v>
      </c>
      <c r="V704" s="162" t="s">
        <v>54</v>
      </c>
      <c r="W704" s="237" t="s">
        <v>125</v>
      </c>
      <c r="X704" s="173" t="s">
        <v>2709</v>
      </c>
    </row>
    <row r="705" spans="1:24" hidden="1">
      <c r="A705" s="161">
        <v>45898</v>
      </c>
      <c r="B705" s="130" t="s">
        <v>3707</v>
      </c>
      <c r="C705" s="122" t="s">
        <v>2697</v>
      </c>
      <c r="D705" s="119">
        <v>-62.49</v>
      </c>
      <c r="E705" s="120">
        <v>1</v>
      </c>
      <c r="F705" s="121">
        <f>Tabla5109[[#This Row],[Original Amount]]*Tabla5109[[#This Row],[ER to EUR]]</f>
        <v>-62.49</v>
      </c>
      <c r="G705" s="9" t="s">
        <v>2956</v>
      </c>
      <c r="H705" s="73" t="s">
        <v>3214</v>
      </c>
      <c r="I705" s="9" t="s">
        <v>2739</v>
      </c>
      <c r="J705" s="9" t="s">
        <v>2701</v>
      </c>
      <c r="K705" s="205" t="s">
        <v>2702</v>
      </c>
      <c r="L705" s="9" t="s">
        <v>2740</v>
      </c>
      <c r="M705" s="32" t="s">
        <v>125</v>
      </c>
      <c r="N705" s="129" t="s">
        <v>2704</v>
      </c>
      <c r="O705" s="122" t="s">
        <v>2704</v>
      </c>
      <c r="P705" s="123" t="str">
        <f t="shared" si="20"/>
        <v>C2-2025</v>
      </c>
      <c r="Q705" s="123" t="str">
        <f t="shared" si="21"/>
        <v>T3-2025</v>
      </c>
      <c r="R705" s="124" t="s">
        <v>2705</v>
      </c>
      <c r="S705" s="124" t="s">
        <v>2706</v>
      </c>
      <c r="T705" s="123" t="s">
        <v>2724</v>
      </c>
      <c r="U705" s="162" t="s">
        <v>2708</v>
      </c>
      <c r="V705" s="162" t="s">
        <v>54</v>
      </c>
      <c r="W705" s="237" t="s">
        <v>125</v>
      </c>
      <c r="X705" s="173" t="s">
        <v>2709</v>
      </c>
    </row>
    <row r="706" spans="1:24" hidden="1">
      <c r="A706" s="161">
        <v>45898</v>
      </c>
      <c r="B706" s="132">
        <v>319802</v>
      </c>
      <c r="C706" s="122" t="s">
        <v>2697</v>
      </c>
      <c r="D706" s="119">
        <v>-11</v>
      </c>
      <c r="E706" s="120">
        <v>1</v>
      </c>
      <c r="F706" s="121">
        <f>Tabla5109[[#This Row],[Original Amount]]*Tabla5109[[#This Row],[ER to EUR]]</f>
        <v>-11</v>
      </c>
      <c r="G706" s="9" t="s">
        <v>3690</v>
      </c>
      <c r="H706" s="73" t="s">
        <v>3708</v>
      </c>
      <c r="I706" s="9" t="s">
        <v>3692</v>
      </c>
      <c r="J706" s="9" t="s">
        <v>2701</v>
      </c>
      <c r="K706" s="205" t="s">
        <v>2702</v>
      </c>
      <c r="L706" s="9" t="s">
        <v>3693</v>
      </c>
      <c r="M706" s="32" t="s">
        <v>125</v>
      </c>
      <c r="N706" s="129" t="s">
        <v>2704</v>
      </c>
      <c r="O706" s="122" t="s">
        <v>2704</v>
      </c>
      <c r="P706" s="123" t="str">
        <f t="shared" ref="P706:P769" si="22">"C"&amp;INT((MONTH(A706)-1)/4)+1&amp;"-"&amp;YEAR(A706)</f>
        <v>C2-2025</v>
      </c>
      <c r="Q706" s="123" t="str">
        <f t="shared" ref="Q706:Q769" si="23">"T"&amp;INT((MONTH(A706)-1)/3)+1&amp;"-"&amp;YEAR(A706)</f>
        <v>T3-2025</v>
      </c>
      <c r="R706" s="124" t="s">
        <v>2705</v>
      </c>
      <c r="S706" s="123" t="s">
        <v>2735</v>
      </c>
      <c r="T706" s="123" t="s">
        <v>2724</v>
      </c>
      <c r="U706" s="162" t="s">
        <v>2708</v>
      </c>
      <c r="V706" s="162" t="s">
        <v>54</v>
      </c>
      <c r="W706" s="237" t="s">
        <v>125</v>
      </c>
      <c r="X706" s="173" t="s">
        <v>2709</v>
      </c>
    </row>
    <row r="707" spans="1:24" hidden="1">
      <c r="A707" s="161">
        <v>45898</v>
      </c>
      <c r="B707" s="133" t="s">
        <v>3709</v>
      </c>
      <c r="C707" s="32" t="s">
        <v>2548</v>
      </c>
      <c r="D707" s="149">
        <v>-3500</v>
      </c>
      <c r="E707" s="222">
        <v>0.85836909871244638</v>
      </c>
      <c r="F707" s="121">
        <f>Tabla5109[[#This Row],[Original Amount]]*Tabla5109[[#This Row],[ER to EUR]]</f>
        <v>-3004.2918454935625</v>
      </c>
      <c r="G707" s="9" t="s">
        <v>3710</v>
      </c>
      <c r="H707" s="9" t="s">
        <v>3711</v>
      </c>
      <c r="I707" s="9" t="s">
        <v>2713</v>
      </c>
      <c r="J707" s="9" t="s">
        <v>2701</v>
      </c>
      <c r="K707" s="205" t="s">
        <v>2702</v>
      </c>
      <c r="L707" s="9" t="s">
        <v>2703</v>
      </c>
      <c r="M707" s="32" t="s">
        <v>125</v>
      </c>
      <c r="N707" s="122" t="s">
        <v>2704</v>
      </c>
      <c r="O707" s="129" t="s">
        <v>2704</v>
      </c>
      <c r="P707" s="123" t="str">
        <f t="shared" si="22"/>
        <v>C2-2025</v>
      </c>
      <c r="Q707" s="123" t="str">
        <f t="shared" si="23"/>
        <v>T3-2025</v>
      </c>
      <c r="R707" s="124" t="s">
        <v>2705</v>
      </c>
      <c r="S707" s="124" t="s">
        <v>2706</v>
      </c>
      <c r="T707" s="123" t="s">
        <v>2717</v>
      </c>
      <c r="U707" s="203" t="s">
        <v>2708</v>
      </c>
      <c r="V707" s="203" t="s">
        <v>56</v>
      </c>
      <c r="W707" s="237" t="s">
        <v>125</v>
      </c>
      <c r="X707" s="173" t="s">
        <v>2709</v>
      </c>
    </row>
    <row r="708" spans="1:24" hidden="1">
      <c r="A708" s="161">
        <v>45899</v>
      </c>
      <c r="B708" s="133" t="s">
        <v>3712</v>
      </c>
      <c r="C708" s="122" t="s">
        <v>2548</v>
      </c>
      <c r="D708" s="149">
        <v>-90</v>
      </c>
      <c r="E708" s="222">
        <v>0.85836909871244638</v>
      </c>
      <c r="F708" s="121">
        <f>Tabla5109[[#This Row],[Original Amount]]*Tabla5109[[#This Row],[ER to EUR]]</f>
        <v>-77.253218884120173</v>
      </c>
      <c r="G708" s="9" t="s">
        <v>2766</v>
      </c>
      <c r="H708" s="9" t="s">
        <v>4876</v>
      </c>
      <c r="I708" s="9" t="s">
        <v>2713</v>
      </c>
      <c r="J708" s="9" t="s">
        <v>2701</v>
      </c>
      <c r="K708" s="205" t="s">
        <v>2702</v>
      </c>
      <c r="L708" s="9" t="s">
        <v>2760</v>
      </c>
      <c r="M708" s="32" t="s">
        <v>125</v>
      </c>
      <c r="N708" s="129" t="s">
        <v>2704</v>
      </c>
      <c r="O708" s="122" t="s">
        <v>2704</v>
      </c>
      <c r="P708" s="123" t="str">
        <f t="shared" si="22"/>
        <v>C2-2025</v>
      </c>
      <c r="Q708" s="123" t="str">
        <f t="shared" si="23"/>
        <v>T3-2025</v>
      </c>
      <c r="R708" s="124" t="s">
        <v>2705</v>
      </c>
      <c r="S708" s="123" t="s">
        <v>2735</v>
      </c>
      <c r="T708" s="123" t="s">
        <v>2724</v>
      </c>
      <c r="U708" s="162" t="s">
        <v>2708</v>
      </c>
      <c r="V708" s="162" t="s">
        <v>55</v>
      </c>
      <c r="W708" s="237" t="s">
        <v>125</v>
      </c>
      <c r="X708" s="173" t="s">
        <v>2709</v>
      </c>
    </row>
    <row r="709" spans="1:24" hidden="1">
      <c r="A709" s="161">
        <v>45900</v>
      </c>
      <c r="B709" s="130" t="s">
        <v>3713</v>
      </c>
      <c r="C709" s="122" t="s">
        <v>2548</v>
      </c>
      <c r="D709" s="149">
        <v>-2.74</v>
      </c>
      <c r="E709" s="229">
        <v>0.85836909871244638</v>
      </c>
      <c r="F709" s="121">
        <f>Tabla5109[[#This Row],[Original Amount]]*Tabla5109[[#This Row],[ER to EUR]]</f>
        <v>-2.3519313304721035</v>
      </c>
      <c r="G709" s="9" t="s">
        <v>3039</v>
      </c>
      <c r="H709" s="73" t="s">
        <v>3040</v>
      </c>
      <c r="I709" s="9" t="s">
        <v>2713</v>
      </c>
      <c r="J709" s="9" t="s">
        <v>2701</v>
      </c>
      <c r="K709" s="205" t="s">
        <v>2702</v>
      </c>
      <c r="L709" s="9" t="s">
        <v>2703</v>
      </c>
      <c r="M709" s="32" t="s">
        <v>125</v>
      </c>
      <c r="N709" s="129" t="s">
        <v>2704</v>
      </c>
      <c r="O709" s="122" t="s">
        <v>2704</v>
      </c>
      <c r="P709" s="123" t="str">
        <f t="shared" si="22"/>
        <v>C2-2025</v>
      </c>
      <c r="Q709" s="123" t="str">
        <f t="shared" si="23"/>
        <v>T3-2025</v>
      </c>
      <c r="R709" s="124" t="s">
        <v>2705</v>
      </c>
      <c r="S709" s="123" t="s">
        <v>3041</v>
      </c>
      <c r="T709" s="123" t="s">
        <v>2724</v>
      </c>
      <c r="U709" s="162" t="s">
        <v>2708</v>
      </c>
      <c r="V709" s="162" t="s">
        <v>57</v>
      </c>
      <c r="W709" s="237" t="s">
        <v>125</v>
      </c>
      <c r="X709" s="173" t="s">
        <v>2709</v>
      </c>
    </row>
    <row r="710" spans="1:24" hidden="1">
      <c r="A710" s="161">
        <v>45900</v>
      </c>
      <c r="B710" s="178" t="s">
        <v>3714</v>
      </c>
      <c r="C710" s="122" t="s">
        <v>2697</v>
      </c>
      <c r="D710" s="146">
        <v>-4036.48</v>
      </c>
      <c r="E710" s="120">
        <v>1</v>
      </c>
      <c r="F710" s="121">
        <f>Tabla5109[[#This Row],[Original Amount]]*Tabla5109[[#This Row],[ER to EUR]]</f>
        <v>-4036.48</v>
      </c>
      <c r="G710" s="9" t="s">
        <v>3557</v>
      </c>
      <c r="H710" s="73" t="s">
        <v>3558</v>
      </c>
      <c r="I710" s="9" t="s">
        <v>2727</v>
      </c>
      <c r="J710" s="9" t="s">
        <v>2714</v>
      </c>
      <c r="K710" s="205" t="s">
        <v>2747</v>
      </c>
      <c r="L710" s="9" t="s">
        <v>2716</v>
      </c>
      <c r="M710" s="32" t="s">
        <v>125</v>
      </c>
      <c r="N710" s="129" t="s">
        <v>2704</v>
      </c>
      <c r="O710" s="122" t="s">
        <v>2704</v>
      </c>
      <c r="P710" s="123" t="str">
        <f t="shared" si="22"/>
        <v>C2-2025</v>
      </c>
      <c r="Q710" s="123" t="str">
        <f t="shared" si="23"/>
        <v>T3-2025</v>
      </c>
      <c r="R710" s="124" t="s">
        <v>2794</v>
      </c>
      <c r="S710" s="123" t="s">
        <v>2731</v>
      </c>
      <c r="T710" s="123" t="s">
        <v>2707</v>
      </c>
      <c r="U710" s="162" t="s">
        <v>51</v>
      </c>
      <c r="V710" s="162" t="s">
        <v>57</v>
      </c>
      <c r="W710" s="237" t="s">
        <v>125</v>
      </c>
      <c r="X710" s="173" t="s">
        <v>2709</v>
      </c>
    </row>
    <row r="711" spans="1:24" hidden="1">
      <c r="A711" s="161">
        <v>45900</v>
      </c>
      <c r="B711" s="702" t="s">
        <v>2871</v>
      </c>
      <c r="C711" s="32" t="s">
        <v>2543</v>
      </c>
      <c r="D711" s="152">
        <v>-1238380</v>
      </c>
      <c r="E711" s="137">
        <v>8.8900000000000003E-4</v>
      </c>
      <c r="F711" s="121">
        <f>Tabla5109[[#This Row],[Original Amount]]*Tabla5109[[#This Row],[ER to EUR]]</f>
        <v>-1100.9198200000001</v>
      </c>
      <c r="G711" s="91" t="s">
        <v>2872</v>
      </c>
      <c r="H711" s="91" t="s">
        <v>3715</v>
      </c>
      <c r="I711" s="9" t="s">
        <v>2713</v>
      </c>
      <c r="J711" s="9" t="s">
        <v>2770</v>
      </c>
      <c r="K711" s="205" t="s">
        <v>2874</v>
      </c>
      <c r="L711" s="9" t="s">
        <v>2875</v>
      </c>
      <c r="M711" s="227" t="s">
        <v>2704</v>
      </c>
      <c r="N711" s="122" t="s">
        <v>2748</v>
      </c>
      <c r="O711" s="129" t="s">
        <v>2748</v>
      </c>
      <c r="P711" s="123" t="str">
        <f t="shared" si="22"/>
        <v>C2-2025</v>
      </c>
      <c r="Q711" s="123" t="str">
        <f t="shared" si="23"/>
        <v>T3-2025</v>
      </c>
      <c r="R711" s="91" t="s">
        <v>2749</v>
      </c>
      <c r="S711" s="123" t="s">
        <v>2750</v>
      </c>
      <c r="T711" s="123" t="s">
        <v>2724</v>
      </c>
      <c r="U711" s="162" t="s">
        <v>2708</v>
      </c>
      <c r="V711" s="162" t="s">
        <v>54</v>
      </c>
      <c r="W711" s="237" t="s">
        <v>125</v>
      </c>
      <c r="X711" s="173" t="s">
        <v>2751</v>
      </c>
    </row>
    <row r="712" spans="1:24" hidden="1">
      <c r="A712" s="161">
        <v>45900</v>
      </c>
      <c r="B712" s="194" t="s">
        <v>2871</v>
      </c>
      <c r="C712" s="32" t="s">
        <v>2543</v>
      </c>
      <c r="D712" s="152">
        <v>-7153721</v>
      </c>
      <c r="E712" s="137">
        <v>8.8900000000000003E-4</v>
      </c>
      <c r="F712" s="121">
        <f>Tabla5109[[#This Row],[Original Amount]]*Tabla5109[[#This Row],[ER to EUR]]</f>
        <v>-6359.6579689999999</v>
      </c>
      <c r="G712" s="9" t="s">
        <v>2876</v>
      </c>
      <c r="H712" s="91" t="s">
        <v>3715</v>
      </c>
      <c r="I712" s="9" t="s">
        <v>2713</v>
      </c>
      <c r="J712" s="9" t="s">
        <v>2770</v>
      </c>
      <c r="K712" s="205" t="s">
        <v>2874</v>
      </c>
      <c r="L712" s="9" t="s">
        <v>2875</v>
      </c>
      <c r="M712" s="227" t="s">
        <v>2704</v>
      </c>
      <c r="N712" s="122" t="s">
        <v>2748</v>
      </c>
      <c r="O712" s="129" t="s">
        <v>2748</v>
      </c>
      <c r="P712" s="123" t="str">
        <f t="shared" si="22"/>
        <v>C2-2025</v>
      </c>
      <c r="Q712" s="123" t="str">
        <f t="shared" si="23"/>
        <v>T3-2025</v>
      </c>
      <c r="R712" s="91" t="s">
        <v>2749</v>
      </c>
      <c r="S712" s="123" t="s">
        <v>2750</v>
      </c>
      <c r="T712" s="123" t="s">
        <v>2724</v>
      </c>
      <c r="U712" s="162" t="s">
        <v>2708</v>
      </c>
      <c r="V712" s="162" t="s">
        <v>56</v>
      </c>
      <c r="W712" s="237" t="s">
        <v>125</v>
      </c>
      <c r="X712" s="124" t="s">
        <v>2751</v>
      </c>
    </row>
    <row r="713" spans="1:24" hidden="1">
      <c r="A713" s="161">
        <v>45900</v>
      </c>
      <c r="B713" s="194" t="s">
        <v>2871</v>
      </c>
      <c r="C713" s="32" t="s">
        <v>2543</v>
      </c>
      <c r="D713" s="152">
        <v>-6781135</v>
      </c>
      <c r="E713" s="137">
        <v>8.8900000000000003E-4</v>
      </c>
      <c r="F713" s="121">
        <f>Tabla5109[[#This Row],[Original Amount]]*Tabla5109[[#This Row],[ER to EUR]]</f>
        <v>-6028.4290150000006</v>
      </c>
      <c r="G713" s="9" t="s">
        <v>3257</v>
      </c>
      <c r="H713" s="91" t="s">
        <v>3715</v>
      </c>
      <c r="I713" s="9" t="s">
        <v>2713</v>
      </c>
      <c r="J713" s="9" t="s">
        <v>2770</v>
      </c>
      <c r="K713" s="205" t="s">
        <v>2874</v>
      </c>
      <c r="L713" s="9" t="s">
        <v>2875</v>
      </c>
      <c r="M713" s="227" t="s">
        <v>2704</v>
      </c>
      <c r="N713" s="122" t="s">
        <v>2748</v>
      </c>
      <c r="O713" s="129" t="s">
        <v>2748</v>
      </c>
      <c r="P713" s="123" t="str">
        <f t="shared" si="22"/>
        <v>C2-2025</v>
      </c>
      <c r="Q713" s="123" t="str">
        <f t="shared" si="23"/>
        <v>T3-2025</v>
      </c>
      <c r="R713" s="91" t="s">
        <v>2749</v>
      </c>
      <c r="S713" s="123" t="s">
        <v>2750</v>
      </c>
      <c r="T713" s="123" t="s">
        <v>2717</v>
      </c>
      <c r="U713" s="162" t="s">
        <v>2708</v>
      </c>
      <c r="V713" s="162" t="s">
        <v>54</v>
      </c>
      <c r="W713" s="237" t="s">
        <v>125</v>
      </c>
      <c r="X713" s="124" t="s">
        <v>2751</v>
      </c>
    </row>
    <row r="714" spans="1:24" hidden="1">
      <c r="A714" s="161">
        <v>45900</v>
      </c>
      <c r="B714" s="194" t="s">
        <v>2871</v>
      </c>
      <c r="C714" s="32" t="s">
        <v>2543</v>
      </c>
      <c r="D714" s="152">
        <v>-2599354</v>
      </c>
      <c r="E714" s="137">
        <v>8.8900000000000003E-4</v>
      </c>
      <c r="F714" s="121">
        <f>Tabla5109[[#This Row],[Original Amount]]*Tabla5109[[#This Row],[ER to EUR]]</f>
        <v>-2310.8257060000001</v>
      </c>
      <c r="G714" s="9" t="s">
        <v>2877</v>
      </c>
      <c r="H714" s="91" t="s">
        <v>3715</v>
      </c>
      <c r="I714" s="9" t="s">
        <v>2713</v>
      </c>
      <c r="J714" s="9" t="s">
        <v>2770</v>
      </c>
      <c r="K714" s="205" t="s">
        <v>2874</v>
      </c>
      <c r="L714" s="9" t="s">
        <v>2875</v>
      </c>
      <c r="M714" s="227" t="s">
        <v>2704</v>
      </c>
      <c r="N714" s="122" t="s">
        <v>2748</v>
      </c>
      <c r="O714" s="129" t="s">
        <v>2748</v>
      </c>
      <c r="P714" s="123" t="str">
        <f t="shared" si="22"/>
        <v>C2-2025</v>
      </c>
      <c r="Q714" s="123" t="str">
        <f t="shared" si="23"/>
        <v>T3-2025</v>
      </c>
      <c r="R714" s="91" t="s">
        <v>2749</v>
      </c>
      <c r="S714" s="123" t="s">
        <v>2750</v>
      </c>
      <c r="T714" s="123" t="s">
        <v>2724</v>
      </c>
      <c r="U714" s="162" t="s">
        <v>2708</v>
      </c>
      <c r="V714" s="162" t="s">
        <v>54</v>
      </c>
      <c r="W714" s="237" t="s">
        <v>125</v>
      </c>
      <c r="X714" s="173" t="s">
        <v>2751</v>
      </c>
    </row>
    <row r="715" spans="1:24" hidden="1">
      <c r="A715" s="161">
        <v>45900</v>
      </c>
      <c r="B715" s="194" t="s">
        <v>2871</v>
      </c>
      <c r="C715" s="32" t="s">
        <v>2697</v>
      </c>
      <c r="D715" s="210">
        <v>-3965.28</v>
      </c>
      <c r="E715" s="120">
        <v>1</v>
      </c>
      <c r="F715" s="121">
        <f>Tabla5109[[#This Row],[Original Amount]]*Tabla5109[[#This Row],[ER to EUR]]</f>
        <v>-3965.28</v>
      </c>
      <c r="G715" s="9" t="s">
        <v>3436</v>
      </c>
      <c r="H715" s="9" t="s">
        <v>3716</v>
      </c>
      <c r="I715" s="9" t="s">
        <v>2713</v>
      </c>
      <c r="J715" s="9" t="s">
        <v>2770</v>
      </c>
      <c r="K715" s="205" t="s">
        <v>2874</v>
      </c>
      <c r="L715" s="9" t="s">
        <v>2875</v>
      </c>
      <c r="M715" s="32" t="s">
        <v>125</v>
      </c>
      <c r="N715" s="122" t="s">
        <v>2748</v>
      </c>
      <c r="O715" s="129" t="s">
        <v>2748</v>
      </c>
      <c r="P715" s="123" t="str">
        <f t="shared" si="22"/>
        <v>C2-2025</v>
      </c>
      <c r="Q715" s="123" t="str">
        <f t="shared" si="23"/>
        <v>T3-2025</v>
      </c>
      <c r="R715" s="91" t="s">
        <v>2705</v>
      </c>
      <c r="S715" s="124" t="s">
        <v>2706</v>
      </c>
      <c r="T715" s="123" t="s">
        <v>2724</v>
      </c>
      <c r="U715" s="162" t="s">
        <v>2708</v>
      </c>
      <c r="V715" s="162" t="s">
        <v>57</v>
      </c>
      <c r="W715" s="237" t="s">
        <v>125</v>
      </c>
      <c r="X715" s="201" t="s">
        <v>2709</v>
      </c>
    </row>
    <row r="716" spans="1:24" hidden="1">
      <c r="A716" s="161">
        <v>45900</v>
      </c>
      <c r="B716" s="194" t="s">
        <v>2871</v>
      </c>
      <c r="C716" s="32" t="s">
        <v>2697</v>
      </c>
      <c r="D716" s="210">
        <v>-17000</v>
      </c>
      <c r="E716" s="120">
        <v>1</v>
      </c>
      <c r="F716" s="236">
        <f>Tabla5109[[#This Row],[Original Amount]]*Tabla5109[[#This Row],[ER to EUR]]</f>
        <v>-17000</v>
      </c>
      <c r="G716" s="9" t="s">
        <v>3717</v>
      </c>
      <c r="H716" s="9" t="s">
        <v>3716</v>
      </c>
      <c r="I716" s="9" t="s">
        <v>2713</v>
      </c>
      <c r="J716" s="9" t="s">
        <v>2770</v>
      </c>
      <c r="K716" s="205" t="s">
        <v>2874</v>
      </c>
      <c r="L716" s="9" t="s">
        <v>2875</v>
      </c>
      <c r="M716" s="32" t="s">
        <v>125</v>
      </c>
      <c r="N716" s="122" t="s">
        <v>2748</v>
      </c>
      <c r="O716" s="129" t="s">
        <v>2748</v>
      </c>
      <c r="P716" s="123" t="str">
        <f t="shared" si="22"/>
        <v>C2-2025</v>
      </c>
      <c r="Q716" s="123" t="str">
        <f t="shared" si="23"/>
        <v>T3-2025</v>
      </c>
      <c r="R716" s="91" t="s">
        <v>2705</v>
      </c>
      <c r="S716" s="124" t="s">
        <v>2706</v>
      </c>
      <c r="T716" s="123" t="s">
        <v>2717</v>
      </c>
      <c r="U716" s="162" t="s">
        <v>2708</v>
      </c>
      <c r="V716" s="162" t="s">
        <v>56</v>
      </c>
      <c r="W716" s="237" t="s">
        <v>125</v>
      </c>
      <c r="X716" s="123" t="s">
        <v>2709</v>
      </c>
    </row>
    <row r="717" spans="1:24" hidden="1">
      <c r="A717" s="161">
        <v>45901</v>
      </c>
      <c r="B717" s="134">
        <v>202500001209</v>
      </c>
      <c r="C717" s="122" t="s">
        <v>2697</v>
      </c>
      <c r="D717" s="126">
        <v>-313.20999999999998</v>
      </c>
      <c r="E717" s="120">
        <v>1</v>
      </c>
      <c r="F717" s="127">
        <f>Tabla5109[[#This Row],[Original Amount]]*Tabla5109[[#This Row],[ER to EUR]]</f>
        <v>-313.20999999999998</v>
      </c>
      <c r="G717" s="9" t="s">
        <v>2796</v>
      </c>
      <c r="H717" s="73" t="s">
        <v>2797</v>
      </c>
      <c r="I717" s="9" t="s">
        <v>2727</v>
      </c>
      <c r="J717" s="9" t="s">
        <v>2714</v>
      </c>
      <c r="K717" s="205" t="s">
        <v>2798</v>
      </c>
      <c r="L717" s="9" t="s">
        <v>2799</v>
      </c>
      <c r="M717" s="32" t="s">
        <v>125</v>
      </c>
      <c r="N717" s="129" t="s">
        <v>2704</v>
      </c>
      <c r="O717" s="122" t="s">
        <v>2704</v>
      </c>
      <c r="P717" s="123" t="str">
        <f t="shared" si="22"/>
        <v>C3-2025</v>
      </c>
      <c r="Q717" s="123" t="str">
        <f t="shared" si="23"/>
        <v>T3-2025</v>
      </c>
      <c r="R717" s="124" t="s">
        <v>2705</v>
      </c>
      <c r="S717" s="124" t="s">
        <v>2706</v>
      </c>
      <c r="T717" s="123" t="s">
        <v>2724</v>
      </c>
      <c r="U717" s="162" t="s">
        <v>2708</v>
      </c>
      <c r="V717" s="162" t="s">
        <v>56</v>
      </c>
      <c r="W717" s="237" t="s">
        <v>125</v>
      </c>
      <c r="X717" s="124" t="s">
        <v>2709</v>
      </c>
    </row>
    <row r="718" spans="1:24" hidden="1">
      <c r="A718" s="161">
        <v>45901</v>
      </c>
      <c r="B718" s="125">
        <v>4391669032826</v>
      </c>
      <c r="C718" s="122" t="s">
        <v>2697</v>
      </c>
      <c r="D718" s="138">
        <v>-1316.82</v>
      </c>
      <c r="E718" s="159">
        <v>1</v>
      </c>
      <c r="F718" s="127">
        <f>Tabla5109[[#This Row],[Original Amount]]*Tabla5109[[#This Row],[ER to EUR]]</f>
        <v>-1316.82</v>
      </c>
      <c r="G718" s="9" t="s">
        <v>3718</v>
      </c>
      <c r="H718" s="73" t="s">
        <v>3719</v>
      </c>
      <c r="I718" s="9" t="s">
        <v>2727</v>
      </c>
      <c r="J718" s="9" t="s">
        <v>2770</v>
      </c>
      <c r="K718" s="205" t="s">
        <v>2946</v>
      </c>
      <c r="L718" s="9" t="s">
        <v>2772</v>
      </c>
      <c r="M718" s="32" t="s">
        <v>125</v>
      </c>
      <c r="N718" s="129" t="s">
        <v>2704</v>
      </c>
      <c r="O718" s="122" t="s">
        <v>2704</v>
      </c>
      <c r="P718" s="123" t="str">
        <f t="shared" si="22"/>
        <v>C3-2025</v>
      </c>
      <c r="Q718" s="123" t="str">
        <f t="shared" si="23"/>
        <v>T3-2025</v>
      </c>
      <c r="R718" s="124" t="s">
        <v>2705</v>
      </c>
      <c r="S718" s="124" t="s">
        <v>2706</v>
      </c>
      <c r="T718" s="123" t="s">
        <v>2717</v>
      </c>
      <c r="U718" s="203" t="s">
        <v>2708</v>
      </c>
      <c r="V718" s="203" t="s">
        <v>56</v>
      </c>
      <c r="W718" s="237" t="s">
        <v>125</v>
      </c>
      <c r="X718" s="173" t="s">
        <v>2709</v>
      </c>
    </row>
    <row r="719" spans="1:24" hidden="1">
      <c r="A719" s="161">
        <v>45901</v>
      </c>
      <c r="B719" s="133" t="s">
        <v>3720</v>
      </c>
      <c r="C719" s="122" t="s">
        <v>2697</v>
      </c>
      <c r="D719" s="126">
        <v>-192.44</v>
      </c>
      <c r="E719" s="120">
        <v>1</v>
      </c>
      <c r="F719" s="127">
        <f>Tabla5109[[#This Row],[Original Amount]]*Tabla5109[[#This Row],[ER to EUR]]</f>
        <v>-192.44</v>
      </c>
      <c r="G719" s="9" t="s">
        <v>2766</v>
      </c>
      <c r="H719" s="9" t="s">
        <v>3721</v>
      </c>
      <c r="I719" s="9" t="s">
        <v>2713</v>
      </c>
      <c r="J719" s="9" t="s">
        <v>2701</v>
      </c>
      <c r="K719" s="205" t="s">
        <v>2702</v>
      </c>
      <c r="L719" s="9" t="s">
        <v>2760</v>
      </c>
      <c r="M719" s="32" t="s">
        <v>125</v>
      </c>
      <c r="N719" s="129" t="s">
        <v>2704</v>
      </c>
      <c r="O719" s="122" t="s">
        <v>2704</v>
      </c>
      <c r="P719" s="123" t="str">
        <f t="shared" si="22"/>
        <v>C3-2025</v>
      </c>
      <c r="Q719" s="123" t="str">
        <f t="shared" si="23"/>
        <v>T3-2025</v>
      </c>
      <c r="R719" s="124" t="s">
        <v>2741</v>
      </c>
      <c r="S719" s="123" t="s">
        <v>2723</v>
      </c>
      <c r="T719" s="123" t="s">
        <v>2724</v>
      </c>
      <c r="U719" s="162" t="s">
        <v>2708</v>
      </c>
      <c r="V719" s="162" t="s">
        <v>55</v>
      </c>
      <c r="W719" s="237" t="s">
        <v>125</v>
      </c>
      <c r="X719" s="173" t="s">
        <v>2709</v>
      </c>
    </row>
    <row r="720" spans="1:24" hidden="1">
      <c r="A720" s="161">
        <v>45901</v>
      </c>
      <c r="B720" s="130" t="s">
        <v>3722</v>
      </c>
      <c r="C720" s="122" t="s">
        <v>2697</v>
      </c>
      <c r="D720" s="138">
        <v>-4527</v>
      </c>
      <c r="E720" s="120">
        <v>1</v>
      </c>
      <c r="F720" s="127">
        <f>Tabla5109[[#This Row],[Original Amount]]*Tabla5109[[#This Row],[ER to EUR]]</f>
        <v>-4527</v>
      </c>
      <c r="G720" s="9" t="s">
        <v>3723</v>
      </c>
      <c r="H720" s="73" t="s">
        <v>3724</v>
      </c>
      <c r="I720" s="9" t="s">
        <v>2727</v>
      </c>
      <c r="J720" s="9" t="s">
        <v>2723</v>
      </c>
      <c r="K720" s="205" t="s">
        <v>2792</v>
      </c>
      <c r="L720" s="9" t="s">
        <v>2793</v>
      </c>
      <c r="M720" s="32" t="s">
        <v>125</v>
      </c>
      <c r="N720" s="129" t="s">
        <v>2704</v>
      </c>
      <c r="O720" s="122" t="s">
        <v>2704</v>
      </c>
      <c r="P720" s="123" t="str">
        <f t="shared" si="22"/>
        <v>C3-2025</v>
      </c>
      <c r="Q720" s="123" t="str">
        <f t="shared" si="23"/>
        <v>T3-2025</v>
      </c>
      <c r="R720" s="124" t="s">
        <v>2794</v>
      </c>
      <c r="S720" s="123" t="s">
        <v>2731</v>
      </c>
      <c r="T720" s="123" t="s">
        <v>2717</v>
      </c>
      <c r="U720" s="162" t="s">
        <v>2708</v>
      </c>
      <c r="V720" s="162" t="s">
        <v>57</v>
      </c>
      <c r="W720" s="237" t="s">
        <v>125</v>
      </c>
      <c r="X720" s="173" t="s">
        <v>2709</v>
      </c>
    </row>
    <row r="721" spans="1:24" hidden="1">
      <c r="A721" s="163">
        <v>45901</v>
      </c>
      <c r="B721" s="164">
        <v>202508434</v>
      </c>
      <c r="C721" s="38" t="s">
        <v>2697</v>
      </c>
      <c r="D721" s="126">
        <v>-5176.5</v>
      </c>
      <c r="E721" s="159">
        <v>1</v>
      </c>
      <c r="F721" s="127">
        <f>Tabla5109[[#This Row],[Original Amount]]*Tabla5109[[#This Row],[ER to EUR]]</f>
        <v>-5176.5</v>
      </c>
      <c r="G721" s="37" t="s">
        <v>3683</v>
      </c>
      <c r="H721" s="37" t="s">
        <v>3725</v>
      </c>
      <c r="I721" s="37" t="s">
        <v>2727</v>
      </c>
      <c r="J721" s="37" t="s">
        <v>2714</v>
      </c>
      <c r="K721" s="217" t="s">
        <v>3510</v>
      </c>
      <c r="L721" s="9" t="s">
        <v>2799</v>
      </c>
      <c r="M721" s="32" t="s">
        <v>125</v>
      </c>
      <c r="N721" s="156" t="s">
        <v>2704</v>
      </c>
      <c r="O721" s="158" t="s">
        <v>2704</v>
      </c>
      <c r="P721" s="123" t="str">
        <f t="shared" si="22"/>
        <v>C3-2025</v>
      </c>
      <c r="Q721" s="123" t="str">
        <f t="shared" si="23"/>
        <v>T3-2025</v>
      </c>
      <c r="R721" s="124" t="s">
        <v>2705</v>
      </c>
      <c r="S721" s="160" t="s">
        <v>2706</v>
      </c>
      <c r="T721" s="157" t="s">
        <v>2724</v>
      </c>
      <c r="U721" s="165" t="s">
        <v>2708</v>
      </c>
      <c r="V721" s="165" t="s">
        <v>56</v>
      </c>
      <c r="W721" s="237" t="s">
        <v>125</v>
      </c>
      <c r="X721" s="173" t="s">
        <v>2709</v>
      </c>
    </row>
    <row r="722" spans="1:24" hidden="1">
      <c r="A722" s="161">
        <v>45901</v>
      </c>
      <c r="B722" s="167" t="s">
        <v>3726</v>
      </c>
      <c r="C722" s="38" t="s">
        <v>2697</v>
      </c>
      <c r="D722" s="126">
        <v>-20</v>
      </c>
      <c r="E722" s="159">
        <v>1</v>
      </c>
      <c r="F722" s="127">
        <f>Tabla5109[[#This Row],[Original Amount]]*Tabla5109[[#This Row],[ER to EUR]]</f>
        <v>-20</v>
      </c>
      <c r="G722" s="9" t="s">
        <v>3579</v>
      </c>
      <c r="H722" s="9" t="s">
        <v>3727</v>
      </c>
      <c r="I722" s="9" t="s">
        <v>3288</v>
      </c>
      <c r="J722" s="9" t="s">
        <v>2825</v>
      </c>
      <c r="K722" s="205" t="s">
        <v>2826</v>
      </c>
      <c r="L722" s="9" t="s">
        <v>2827</v>
      </c>
      <c r="M722" s="32" t="s">
        <v>125</v>
      </c>
      <c r="N722" s="129" t="s">
        <v>2748</v>
      </c>
      <c r="O722" s="122" t="s">
        <v>2748</v>
      </c>
      <c r="P722" s="123" t="str">
        <f t="shared" si="22"/>
        <v>C3-2025</v>
      </c>
      <c r="Q722" s="123" t="str">
        <f t="shared" si="23"/>
        <v>T3-2025</v>
      </c>
      <c r="R722" s="124" t="s">
        <v>2705</v>
      </c>
      <c r="S722" s="124" t="s">
        <v>2706</v>
      </c>
      <c r="T722" s="123" t="s">
        <v>2717</v>
      </c>
      <c r="U722" s="162" t="s">
        <v>2708</v>
      </c>
      <c r="V722" s="162" t="s">
        <v>56</v>
      </c>
      <c r="W722" s="237" t="s">
        <v>125</v>
      </c>
      <c r="X722" s="173" t="s">
        <v>2709</v>
      </c>
    </row>
    <row r="723" spans="1:24" hidden="1">
      <c r="A723" s="163">
        <v>45901</v>
      </c>
      <c r="B723" s="164">
        <v>7</v>
      </c>
      <c r="C723" s="158" t="s">
        <v>2543</v>
      </c>
      <c r="D723" s="147">
        <v>-935700</v>
      </c>
      <c r="E723" s="120">
        <v>8.7900000000000001E-4</v>
      </c>
      <c r="F723" s="127">
        <f>Tabla5109[[#This Row],[Original Amount]]*Tabla5109[[#This Row],[ER to EUR]]</f>
        <v>-822.48030000000006</v>
      </c>
      <c r="G723" s="37" t="s">
        <v>3566</v>
      </c>
      <c r="H723" s="9" t="s">
        <v>3728</v>
      </c>
      <c r="I723" s="9" t="s">
        <v>2713</v>
      </c>
      <c r="J723" s="9" t="s">
        <v>2714</v>
      </c>
      <c r="K723" s="205" t="s">
        <v>2747</v>
      </c>
      <c r="L723" s="9" t="s">
        <v>2864</v>
      </c>
      <c r="M723" s="226" t="s">
        <v>2748</v>
      </c>
      <c r="N723" s="129" t="s">
        <v>2704</v>
      </c>
      <c r="O723" s="122" t="s">
        <v>2704</v>
      </c>
      <c r="P723" s="123" t="str">
        <f t="shared" si="22"/>
        <v>C3-2025</v>
      </c>
      <c r="Q723" s="123" t="str">
        <f t="shared" si="23"/>
        <v>T3-2025</v>
      </c>
      <c r="R723" s="124" t="s">
        <v>2705</v>
      </c>
      <c r="S723" s="124" t="s">
        <v>2706</v>
      </c>
      <c r="T723" s="123" t="s">
        <v>2724</v>
      </c>
      <c r="U723" s="162" t="s">
        <v>2708</v>
      </c>
      <c r="V723" s="162" t="s">
        <v>56</v>
      </c>
      <c r="W723" s="237" t="s">
        <v>125</v>
      </c>
      <c r="X723" s="173" t="s">
        <v>2709</v>
      </c>
    </row>
    <row r="724" spans="1:24" hidden="1">
      <c r="A724" s="161">
        <v>45901</v>
      </c>
      <c r="B724" s="178" t="s">
        <v>3729</v>
      </c>
      <c r="C724" s="38" t="s">
        <v>2548</v>
      </c>
      <c r="D724" s="151">
        <v>-28.92</v>
      </c>
      <c r="E724" s="159">
        <v>0.8538</v>
      </c>
      <c r="F724" s="127">
        <f>Tabla5109[[#This Row],[Original Amount]]*Tabla5109[[#This Row],[ER to EUR]]</f>
        <v>-24.691896</v>
      </c>
      <c r="G724" s="9" t="s">
        <v>2884</v>
      </c>
      <c r="H724" s="9" t="s">
        <v>3199</v>
      </c>
      <c r="I724" s="9" t="s">
        <v>3480</v>
      </c>
      <c r="J724" t="s">
        <v>2723</v>
      </c>
      <c r="K724" s="4" t="s">
        <v>2792</v>
      </c>
      <c r="L724" s="9" t="s">
        <v>2793</v>
      </c>
      <c r="M724" s="32" t="s">
        <v>125</v>
      </c>
      <c r="N724" s="129" t="s">
        <v>2704</v>
      </c>
      <c r="O724" s="122" t="s">
        <v>2704</v>
      </c>
      <c r="P724" s="123" t="str">
        <f t="shared" si="22"/>
        <v>C3-2025</v>
      </c>
      <c r="Q724" s="123" t="str">
        <f t="shared" si="23"/>
        <v>T3-2025</v>
      </c>
      <c r="R724" s="124" t="s">
        <v>2741</v>
      </c>
      <c r="S724" s="123" t="s">
        <v>2723</v>
      </c>
      <c r="T724" s="123" t="s">
        <v>2707</v>
      </c>
      <c r="U724" s="162" t="s">
        <v>2708</v>
      </c>
      <c r="V724" s="162" t="s">
        <v>54</v>
      </c>
      <c r="W724" s="237" t="s">
        <v>125</v>
      </c>
      <c r="X724" s="173" t="s">
        <v>2709</v>
      </c>
    </row>
    <row r="725" spans="1:24" hidden="1">
      <c r="A725" s="161">
        <v>45931</v>
      </c>
      <c r="B725" s="192" t="s">
        <v>6570</v>
      </c>
      <c r="C725" s="38" t="s">
        <v>2697</v>
      </c>
      <c r="D725" s="126">
        <v>-1504.04</v>
      </c>
      <c r="E725" s="120">
        <v>1</v>
      </c>
      <c r="F725" s="127">
        <f>Tabla5109[[#This Row],[Original Amount]]*Tabla5109[[#This Row],[ER to EUR]]</f>
        <v>-1504.04</v>
      </c>
      <c r="G725" s="37" t="s">
        <v>3692</v>
      </c>
      <c r="H725" s="37" t="s">
        <v>6576</v>
      </c>
      <c r="I725" s="37" t="s">
        <v>2713</v>
      </c>
      <c r="J725" s="9" t="s">
        <v>2701</v>
      </c>
      <c r="K725" s="205" t="s">
        <v>2702</v>
      </c>
      <c r="L725" s="9" t="s">
        <v>6577</v>
      </c>
      <c r="M725" s="227" t="s">
        <v>125</v>
      </c>
      <c r="N725" s="158" t="s">
        <v>2748</v>
      </c>
      <c r="O725" s="156" t="s">
        <v>2748</v>
      </c>
      <c r="P725" s="123" t="str">
        <f t="shared" si="22"/>
        <v>C3-2025</v>
      </c>
      <c r="Q725" s="123" t="str">
        <f t="shared" si="23"/>
        <v>T4-2025</v>
      </c>
      <c r="R725" s="171" t="s">
        <v>6009</v>
      </c>
      <c r="S725" s="157" t="s">
        <v>2750</v>
      </c>
      <c r="T725" s="123" t="s">
        <v>2724</v>
      </c>
      <c r="U725" s="162" t="s">
        <v>2708</v>
      </c>
      <c r="V725" s="162" t="s">
        <v>56</v>
      </c>
      <c r="W725" s="237" t="s">
        <v>125</v>
      </c>
      <c r="X725" s="201" t="s">
        <v>2709</v>
      </c>
    </row>
    <row r="726" spans="1:24" hidden="1">
      <c r="A726" s="163">
        <v>45902</v>
      </c>
      <c r="B726" s="177">
        <v>15756</v>
      </c>
      <c r="C726" s="158" t="s">
        <v>2697</v>
      </c>
      <c r="D726" s="126">
        <v>-3600</v>
      </c>
      <c r="E726" s="159">
        <v>1</v>
      </c>
      <c r="F726" s="127">
        <f>Tabla5109[[#This Row],[Original Amount]]*Tabla5109[[#This Row],[ER to EUR]]</f>
        <v>-3600</v>
      </c>
      <c r="G726" s="9" t="s">
        <v>2725</v>
      </c>
      <c r="H726" s="9" t="s">
        <v>3377</v>
      </c>
      <c r="I726" s="9" t="s">
        <v>2727</v>
      </c>
      <c r="J726" s="9" t="s">
        <v>2701</v>
      </c>
      <c r="K726" s="205" t="s">
        <v>2728</v>
      </c>
      <c r="L726" s="9" t="s">
        <v>2729</v>
      </c>
      <c r="M726" s="32" t="s">
        <v>125</v>
      </c>
      <c r="N726" s="129" t="s">
        <v>2704</v>
      </c>
      <c r="O726" s="122" t="s">
        <v>2704</v>
      </c>
      <c r="P726" s="123" t="str">
        <f t="shared" si="22"/>
        <v>C3-2025</v>
      </c>
      <c r="Q726" s="123" t="str">
        <f t="shared" si="23"/>
        <v>T3-2025</v>
      </c>
      <c r="R726" s="124" t="s">
        <v>2730</v>
      </c>
      <c r="S726" s="123" t="s">
        <v>2731</v>
      </c>
      <c r="T726" s="123" t="s">
        <v>2707</v>
      </c>
      <c r="U726" s="162" t="s">
        <v>51</v>
      </c>
      <c r="V726" s="162" t="s">
        <v>57</v>
      </c>
      <c r="W726" s="237" t="s">
        <v>125</v>
      </c>
      <c r="X726" s="173" t="s">
        <v>2709</v>
      </c>
    </row>
    <row r="727" spans="1:24" hidden="1">
      <c r="A727" s="161">
        <v>45902</v>
      </c>
      <c r="B727" s="193">
        <v>2025090160</v>
      </c>
      <c r="C727" s="158" t="s">
        <v>2697</v>
      </c>
      <c r="D727" s="126">
        <v>-712.3</v>
      </c>
      <c r="E727" s="159">
        <v>1</v>
      </c>
      <c r="F727" s="127">
        <f>Tabla5109[[#This Row],[Original Amount]]*Tabla5109[[#This Row],[ER to EUR]]</f>
        <v>-712.3</v>
      </c>
      <c r="G727" s="9" t="s">
        <v>3628</v>
      </c>
      <c r="H727" s="73" t="s">
        <v>3730</v>
      </c>
      <c r="I727" s="9" t="s">
        <v>3267</v>
      </c>
      <c r="J727" s="9" t="s">
        <v>2825</v>
      </c>
      <c r="K727" s="205" t="s">
        <v>2826</v>
      </c>
      <c r="L727" s="9" t="s">
        <v>2827</v>
      </c>
      <c r="M727" s="32" t="s">
        <v>125</v>
      </c>
      <c r="N727" s="129" t="s">
        <v>2704</v>
      </c>
      <c r="O727" s="122" t="s">
        <v>2704</v>
      </c>
      <c r="P727" s="123" t="str">
        <f t="shared" si="22"/>
        <v>C3-2025</v>
      </c>
      <c r="Q727" s="123" t="str">
        <f t="shared" si="23"/>
        <v>T3-2025</v>
      </c>
      <c r="R727" s="124" t="s">
        <v>2705</v>
      </c>
      <c r="S727" s="124" t="s">
        <v>2706</v>
      </c>
      <c r="T727" s="123" t="s">
        <v>2717</v>
      </c>
      <c r="U727" s="162" t="s">
        <v>2708</v>
      </c>
      <c r="V727" s="162" t="s">
        <v>56</v>
      </c>
      <c r="W727" s="237" t="s">
        <v>125</v>
      </c>
      <c r="X727" s="173" t="s">
        <v>2709</v>
      </c>
    </row>
    <row r="728" spans="1:24" hidden="1">
      <c r="A728" s="161">
        <v>45902</v>
      </c>
      <c r="B728" s="164">
        <v>132016729060</v>
      </c>
      <c r="C728" s="158" t="s">
        <v>2697</v>
      </c>
      <c r="D728" s="126">
        <v>-45.22</v>
      </c>
      <c r="E728" s="159">
        <v>1</v>
      </c>
      <c r="F728" s="127">
        <f>Tabla5109[[#This Row],[Original Amount]]*Tabla5109[[#This Row],[ER to EUR]]</f>
        <v>-45.22</v>
      </c>
      <c r="G728" s="37" t="s">
        <v>2768</v>
      </c>
      <c r="H728" s="37" t="s">
        <v>3731</v>
      </c>
      <c r="I728" s="37" t="s">
        <v>3480</v>
      </c>
      <c r="J728" s="9" t="s">
        <v>2770</v>
      </c>
      <c r="K728" s="217" t="s">
        <v>2771</v>
      </c>
      <c r="L728" s="9" t="s">
        <v>2772</v>
      </c>
      <c r="M728" s="32" t="s">
        <v>125</v>
      </c>
      <c r="N728" s="156" t="s">
        <v>2704</v>
      </c>
      <c r="O728" s="158" t="s">
        <v>2704</v>
      </c>
      <c r="P728" s="123" t="str">
        <f t="shared" si="22"/>
        <v>C3-2025</v>
      </c>
      <c r="Q728" s="123" t="str">
        <f t="shared" si="23"/>
        <v>T3-2025</v>
      </c>
      <c r="R728" s="160" t="s">
        <v>2705</v>
      </c>
      <c r="S728" s="123" t="s">
        <v>2735</v>
      </c>
      <c r="T728" s="123" t="s">
        <v>2724</v>
      </c>
      <c r="U728" s="162" t="s">
        <v>2708</v>
      </c>
      <c r="V728" s="162" t="s">
        <v>56</v>
      </c>
      <c r="W728" s="237" t="s">
        <v>125</v>
      </c>
      <c r="X728" s="173" t="s">
        <v>2709</v>
      </c>
    </row>
    <row r="729" spans="1:24" hidden="1">
      <c r="A729" s="161">
        <v>45902</v>
      </c>
      <c r="B729" s="167" t="s">
        <v>3732</v>
      </c>
      <c r="C729" s="158" t="s">
        <v>2548</v>
      </c>
      <c r="D729" s="151">
        <v>-170.32</v>
      </c>
      <c r="E729" s="229">
        <v>0.85382513661202186</v>
      </c>
      <c r="F729" s="127">
        <f>Tabla5109[[#This Row],[Original Amount]]*Tabla5109[[#This Row],[ER to EUR]]</f>
        <v>-145.42349726775956</v>
      </c>
      <c r="G729" s="37" t="s">
        <v>2786</v>
      </c>
      <c r="H729" s="180" t="s">
        <v>3733</v>
      </c>
      <c r="I729" s="37" t="s">
        <v>2713</v>
      </c>
      <c r="J729" s="9" t="s">
        <v>2701</v>
      </c>
      <c r="K729" s="205" t="s">
        <v>2702</v>
      </c>
      <c r="L729" s="9" t="s">
        <v>2788</v>
      </c>
      <c r="M729" s="32" t="s">
        <v>125</v>
      </c>
      <c r="N729" s="156" t="s">
        <v>2704</v>
      </c>
      <c r="O729" s="158" t="s">
        <v>2704</v>
      </c>
      <c r="P729" s="123" t="str">
        <f t="shared" si="22"/>
        <v>C3-2025</v>
      </c>
      <c r="Q729" s="123" t="str">
        <f t="shared" si="23"/>
        <v>T3-2025</v>
      </c>
      <c r="R729" s="160" t="s">
        <v>2705</v>
      </c>
      <c r="S729" s="160" t="s">
        <v>2706</v>
      </c>
      <c r="T729" s="123" t="s">
        <v>2724</v>
      </c>
      <c r="U729" s="162" t="s">
        <v>2708</v>
      </c>
      <c r="V729" s="162" t="s">
        <v>56</v>
      </c>
      <c r="W729" s="237" t="s">
        <v>125</v>
      </c>
      <c r="X729" s="173" t="s">
        <v>2709</v>
      </c>
    </row>
    <row r="730" spans="1:24" hidden="1">
      <c r="A730" s="161">
        <v>45903</v>
      </c>
      <c r="B730" s="177">
        <v>15281581</v>
      </c>
      <c r="C730" s="158" t="s">
        <v>2548</v>
      </c>
      <c r="D730" s="151">
        <v>-160</v>
      </c>
      <c r="E730" s="229">
        <v>0.85382513661202186</v>
      </c>
      <c r="F730" s="127">
        <f>Tabla5109[[#This Row],[Original Amount]]*Tabla5109[[#This Row],[ER to EUR]]</f>
        <v>-136.61202185792351</v>
      </c>
      <c r="G730" s="37" t="s">
        <v>2737</v>
      </c>
      <c r="H730" s="37" t="s">
        <v>3734</v>
      </c>
      <c r="I730" s="37" t="s">
        <v>2755</v>
      </c>
      <c r="J730" s="9" t="s">
        <v>2701</v>
      </c>
      <c r="K730" s="217" t="s">
        <v>2702</v>
      </c>
      <c r="L730" s="9" t="s">
        <v>2740</v>
      </c>
      <c r="M730" s="32" t="s">
        <v>125</v>
      </c>
      <c r="N730" s="156" t="s">
        <v>2704</v>
      </c>
      <c r="O730" s="158" t="s">
        <v>2704</v>
      </c>
      <c r="P730" s="123" t="str">
        <f t="shared" si="22"/>
        <v>C3-2025</v>
      </c>
      <c r="Q730" s="123" t="str">
        <f t="shared" si="23"/>
        <v>T3-2025</v>
      </c>
      <c r="R730" s="160" t="s">
        <v>2741</v>
      </c>
      <c r="S730" s="157" t="s">
        <v>2723</v>
      </c>
      <c r="T730" s="123" t="s">
        <v>2724</v>
      </c>
      <c r="U730" s="162" t="s">
        <v>2708</v>
      </c>
      <c r="V730" s="162" t="s">
        <v>54</v>
      </c>
      <c r="W730" s="237" t="s">
        <v>125</v>
      </c>
      <c r="X730" s="173" t="s">
        <v>2709</v>
      </c>
    </row>
    <row r="731" spans="1:24" hidden="1">
      <c r="A731" s="161">
        <v>45903</v>
      </c>
      <c r="B731" s="167" t="s">
        <v>3735</v>
      </c>
      <c r="C731" s="158" t="s">
        <v>2697</v>
      </c>
      <c r="D731" s="126">
        <v>-23.99</v>
      </c>
      <c r="E731" s="159">
        <v>1</v>
      </c>
      <c r="F731" s="127">
        <f>Tabla5109[[#This Row],[Original Amount]]*Tabla5109[[#This Row],[ER to EUR]]</f>
        <v>-23.99</v>
      </c>
      <c r="G731" s="37" t="s">
        <v>3462</v>
      </c>
      <c r="H731" s="9" t="s">
        <v>3463</v>
      </c>
      <c r="I731" s="9" t="s">
        <v>2713</v>
      </c>
      <c r="J731" s="9" t="s">
        <v>2701</v>
      </c>
      <c r="K731" s="205" t="s">
        <v>2702</v>
      </c>
      <c r="L731" s="9" t="s">
        <v>2793</v>
      </c>
      <c r="M731" s="32" t="s">
        <v>125</v>
      </c>
      <c r="N731" s="156" t="s">
        <v>2704</v>
      </c>
      <c r="O731" s="158" t="s">
        <v>2704</v>
      </c>
      <c r="P731" s="123" t="str">
        <f t="shared" si="22"/>
        <v>C3-2025</v>
      </c>
      <c r="Q731" s="123" t="str">
        <f t="shared" si="23"/>
        <v>T3-2025</v>
      </c>
      <c r="R731" s="160" t="s">
        <v>2722</v>
      </c>
      <c r="S731" s="157" t="s">
        <v>2723</v>
      </c>
      <c r="T731" s="157" t="s">
        <v>2724</v>
      </c>
      <c r="U731" s="165" t="s">
        <v>2708</v>
      </c>
      <c r="V731" s="165" t="s">
        <v>54</v>
      </c>
      <c r="W731" s="237" t="s">
        <v>125</v>
      </c>
      <c r="X731" s="173" t="s">
        <v>2709</v>
      </c>
    </row>
    <row r="732" spans="1:24" hidden="1">
      <c r="A732" s="161">
        <v>45903</v>
      </c>
      <c r="B732" s="167" t="s">
        <v>3736</v>
      </c>
      <c r="C732" s="38" t="s">
        <v>2697</v>
      </c>
      <c r="D732" s="126">
        <v>-5349.05</v>
      </c>
      <c r="E732" s="159">
        <v>1</v>
      </c>
      <c r="F732" s="127">
        <f>Tabla5109[[#This Row],[Original Amount]]*Tabla5109[[#This Row],[ER to EUR]]</f>
        <v>-5349.05</v>
      </c>
      <c r="G732" s="37" t="s">
        <v>3737</v>
      </c>
      <c r="H732" s="37" t="s">
        <v>3738</v>
      </c>
      <c r="I732" s="37" t="s">
        <v>2727</v>
      </c>
      <c r="J732" s="9" t="s">
        <v>2723</v>
      </c>
      <c r="K732" s="205" t="s">
        <v>2792</v>
      </c>
      <c r="L732" s="211" t="s">
        <v>2818</v>
      </c>
      <c r="M732" s="32" t="s">
        <v>125</v>
      </c>
      <c r="N732" s="158" t="s">
        <v>2704</v>
      </c>
      <c r="O732" s="156" t="s">
        <v>2704</v>
      </c>
      <c r="P732" s="123" t="str">
        <f t="shared" si="22"/>
        <v>C3-2025</v>
      </c>
      <c r="Q732" s="123" t="str">
        <f t="shared" si="23"/>
        <v>T3-2025</v>
      </c>
      <c r="R732" s="171" t="s">
        <v>2705</v>
      </c>
      <c r="S732" s="124" t="s">
        <v>2706</v>
      </c>
      <c r="T732" s="157" t="s">
        <v>2717</v>
      </c>
      <c r="U732" s="414" t="s">
        <v>2708</v>
      </c>
      <c r="V732" s="414" t="s">
        <v>56</v>
      </c>
      <c r="W732" s="237" t="s">
        <v>125</v>
      </c>
      <c r="X732" s="201" t="s">
        <v>2709</v>
      </c>
    </row>
    <row r="733" spans="1:24" hidden="1">
      <c r="A733" s="161">
        <v>45903</v>
      </c>
      <c r="B733" s="164">
        <v>18</v>
      </c>
      <c r="C733" s="38" t="s">
        <v>2543</v>
      </c>
      <c r="D733" s="147">
        <v>-985715</v>
      </c>
      <c r="E733" s="179">
        <v>8.7900000000000001E-4</v>
      </c>
      <c r="F733" s="127">
        <f>Tabla5109[[#This Row],[Original Amount]]*Tabla5109[[#This Row],[ER to EUR]]</f>
        <v>-866.44348500000001</v>
      </c>
      <c r="G733" s="37" t="s">
        <v>3739</v>
      </c>
      <c r="H733" s="37" t="s">
        <v>3740</v>
      </c>
      <c r="I733" s="9" t="s">
        <v>2713</v>
      </c>
      <c r="J733" s="9" t="s">
        <v>2714</v>
      </c>
      <c r="K733" s="205" t="s">
        <v>2946</v>
      </c>
      <c r="L733" s="211" t="s">
        <v>2772</v>
      </c>
      <c r="M733" s="227" t="s">
        <v>2704</v>
      </c>
      <c r="N733" s="129" t="s">
        <v>2748</v>
      </c>
      <c r="O733" s="129" t="s">
        <v>2704</v>
      </c>
      <c r="P733" s="123" t="str">
        <f t="shared" si="22"/>
        <v>C3-2025</v>
      </c>
      <c r="Q733" s="123" t="str">
        <f t="shared" si="23"/>
        <v>T3-2025</v>
      </c>
      <c r="R733" s="91" t="s">
        <v>2749</v>
      </c>
      <c r="S733" s="123" t="s">
        <v>2750</v>
      </c>
      <c r="T733" s="123" t="s">
        <v>2717</v>
      </c>
      <c r="U733" s="203" t="s">
        <v>2708</v>
      </c>
      <c r="V733" s="203" t="s">
        <v>56</v>
      </c>
      <c r="W733" s="237" t="s">
        <v>125</v>
      </c>
      <c r="X733" s="173" t="s">
        <v>2751</v>
      </c>
    </row>
    <row r="734" spans="1:24" hidden="1">
      <c r="A734" s="161">
        <v>45904</v>
      </c>
      <c r="B734" s="193">
        <v>15780</v>
      </c>
      <c r="C734" s="158" t="s">
        <v>2697</v>
      </c>
      <c r="D734" s="126">
        <v>-6000</v>
      </c>
      <c r="E734" s="159">
        <v>1</v>
      </c>
      <c r="F734" s="127">
        <f>Tabla5109[[#This Row],[Original Amount]]*Tabla5109[[#This Row],[ER to EUR]]</f>
        <v>-6000</v>
      </c>
      <c r="G734" s="37" t="s">
        <v>2725</v>
      </c>
      <c r="H734" s="37" t="s">
        <v>3741</v>
      </c>
      <c r="I734" s="37" t="s">
        <v>2727</v>
      </c>
      <c r="J734" s="9" t="s">
        <v>2701</v>
      </c>
      <c r="K734" s="217" t="s">
        <v>2728</v>
      </c>
      <c r="L734" s="9" t="s">
        <v>2729</v>
      </c>
      <c r="M734" s="32" t="s">
        <v>125</v>
      </c>
      <c r="N734" s="156" t="s">
        <v>2704</v>
      </c>
      <c r="O734" s="158" t="s">
        <v>2704</v>
      </c>
      <c r="P734" s="123" t="str">
        <f t="shared" si="22"/>
        <v>C3-2025</v>
      </c>
      <c r="Q734" s="123" t="str">
        <f t="shared" si="23"/>
        <v>T3-2025</v>
      </c>
      <c r="R734" s="160" t="s">
        <v>2730</v>
      </c>
      <c r="S734" s="157" t="s">
        <v>2731</v>
      </c>
      <c r="T734" s="123" t="s">
        <v>2707</v>
      </c>
      <c r="U734" s="162" t="s">
        <v>51</v>
      </c>
      <c r="V734" s="162" t="s">
        <v>57</v>
      </c>
      <c r="W734" s="237" t="s">
        <v>125</v>
      </c>
      <c r="X734" s="173" t="s">
        <v>2709</v>
      </c>
    </row>
    <row r="735" spans="1:24" hidden="1">
      <c r="A735" s="161">
        <v>45904</v>
      </c>
      <c r="B735" s="167" t="s">
        <v>3742</v>
      </c>
      <c r="C735" s="38" t="s">
        <v>2697</v>
      </c>
      <c r="D735" s="126">
        <v>-535.5</v>
      </c>
      <c r="E735" s="159">
        <v>1</v>
      </c>
      <c r="F735" s="127">
        <f>Tabla5109[[#This Row],[Original Amount]]*Tabla5109[[#This Row],[ER to EUR]]</f>
        <v>-535.5</v>
      </c>
      <c r="G735" s="37" t="s">
        <v>3737</v>
      </c>
      <c r="H735" s="37" t="s">
        <v>3743</v>
      </c>
      <c r="I735" s="37" t="s">
        <v>2727</v>
      </c>
      <c r="J735" s="9" t="s">
        <v>2723</v>
      </c>
      <c r="K735" s="205" t="s">
        <v>2792</v>
      </c>
      <c r="L735" s="211" t="s">
        <v>2818</v>
      </c>
      <c r="M735" s="32" t="s">
        <v>125</v>
      </c>
      <c r="N735" s="158" t="s">
        <v>2704</v>
      </c>
      <c r="O735" s="156" t="s">
        <v>2704</v>
      </c>
      <c r="P735" s="123" t="str">
        <f t="shared" si="22"/>
        <v>C3-2025</v>
      </c>
      <c r="Q735" s="123" t="str">
        <f t="shared" si="23"/>
        <v>T3-2025</v>
      </c>
      <c r="R735" s="171" t="s">
        <v>2705</v>
      </c>
      <c r="S735" s="160" t="s">
        <v>2706</v>
      </c>
      <c r="T735" s="157" t="s">
        <v>2717</v>
      </c>
      <c r="U735" s="203" t="s">
        <v>2708</v>
      </c>
      <c r="V735" s="203" t="s">
        <v>56</v>
      </c>
      <c r="W735" s="237" t="s">
        <v>125</v>
      </c>
      <c r="X735" s="201" t="s">
        <v>2709</v>
      </c>
    </row>
    <row r="736" spans="1:24" hidden="1">
      <c r="A736" s="161">
        <v>45905</v>
      </c>
      <c r="B736" s="216" t="s">
        <v>3744</v>
      </c>
      <c r="C736" s="158" t="s">
        <v>2697</v>
      </c>
      <c r="D736" s="126">
        <v>-271.32</v>
      </c>
      <c r="E736" s="159">
        <v>1</v>
      </c>
      <c r="F736" s="127">
        <f>Tabla5109[[#This Row],[Original Amount]]*Tabla5109[[#This Row],[ER to EUR]]</f>
        <v>-271.32</v>
      </c>
      <c r="G736" s="37" t="s">
        <v>3745</v>
      </c>
      <c r="H736" s="180" t="s">
        <v>3746</v>
      </c>
      <c r="I736" s="37" t="s">
        <v>2727</v>
      </c>
      <c r="J736" s="9" t="s">
        <v>2701</v>
      </c>
      <c r="K736" s="205" t="s">
        <v>2702</v>
      </c>
      <c r="L736" s="9" t="s">
        <v>2703</v>
      </c>
      <c r="M736" s="32" t="s">
        <v>125</v>
      </c>
      <c r="N736" s="156" t="s">
        <v>2704</v>
      </c>
      <c r="O736" s="158" t="s">
        <v>2704</v>
      </c>
      <c r="P736" s="123" t="str">
        <f t="shared" si="22"/>
        <v>C3-2025</v>
      </c>
      <c r="Q736" s="123" t="str">
        <f t="shared" si="23"/>
        <v>T3-2025</v>
      </c>
      <c r="R736" s="171" t="s">
        <v>2749</v>
      </c>
      <c r="S736" s="123" t="s">
        <v>2750</v>
      </c>
      <c r="T736" s="157" t="s">
        <v>2717</v>
      </c>
      <c r="U736" s="203" t="s">
        <v>2708</v>
      </c>
      <c r="V736" s="414" t="s">
        <v>56</v>
      </c>
      <c r="W736" s="237" t="s">
        <v>125</v>
      </c>
      <c r="X736" s="173" t="s">
        <v>2709</v>
      </c>
    </row>
    <row r="737" spans="1:24" hidden="1">
      <c r="A737" s="161">
        <v>45905</v>
      </c>
      <c r="B737" s="167" t="s">
        <v>3747</v>
      </c>
      <c r="C737" s="158" t="s">
        <v>2548</v>
      </c>
      <c r="D737" s="151">
        <v>-25</v>
      </c>
      <c r="E737" s="229">
        <v>0.85382513661202186</v>
      </c>
      <c r="F737" s="127">
        <f>Tabla5109[[#This Row],[Original Amount]]*Tabla5109[[#This Row],[ER to EUR]]</f>
        <v>-21.345628415300546</v>
      </c>
      <c r="G737" s="9" t="s">
        <v>3068</v>
      </c>
      <c r="H737" s="73" t="s">
        <v>3748</v>
      </c>
      <c r="I737" s="9" t="s">
        <v>2755</v>
      </c>
      <c r="J737" s="9" t="s">
        <v>2701</v>
      </c>
      <c r="K737" s="205" t="s">
        <v>2792</v>
      </c>
      <c r="L737" s="9" t="s">
        <v>2740</v>
      </c>
      <c r="M737" s="32" t="s">
        <v>125</v>
      </c>
      <c r="N737" s="129" t="s">
        <v>2704</v>
      </c>
      <c r="O737" s="122" t="s">
        <v>2704</v>
      </c>
      <c r="P737" s="123" t="str">
        <f t="shared" si="22"/>
        <v>C3-2025</v>
      </c>
      <c r="Q737" s="123" t="str">
        <f t="shared" si="23"/>
        <v>T3-2025</v>
      </c>
      <c r="R737" s="124" t="s">
        <v>2722</v>
      </c>
      <c r="S737" s="123" t="s">
        <v>2723</v>
      </c>
      <c r="T737" s="123" t="s">
        <v>2724</v>
      </c>
      <c r="U737" s="162" t="s">
        <v>2708</v>
      </c>
      <c r="V737" s="162" t="s">
        <v>54</v>
      </c>
      <c r="W737" s="237" t="s">
        <v>125</v>
      </c>
      <c r="X737" s="173" t="s">
        <v>2709</v>
      </c>
    </row>
    <row r="738" spans="1:24" hidden="1">
      <c r="A738" s="161">
        <v>45905</v>
      </c>
      <c r="B738" s="199" t="s">
        <v>3749</v>
      </c>
      <c r="C738" s="158" t="s">
        <v>2697</v>
      </c>
      <c r="D738" s="126">
        <v>-55.11</v>
      </c>
      <c r="E738" s="159">
        <v>1</v>
      </c>
      <c r="F738" s="127">
        <f>Tabla5109[[#This Row],[Original Amount]]*Tabla5109[[#This Row],[ER to EUR]]</f>
        <v>-55.11</v>
      </c>
      <c r="G738" s="9" t="s">
        <v>2839</v>
      </c>
      <c r="H738" s="73" t="s">
        <v>2840</v>
      </c>
      <c r="I738" s="9" t="s">
        <v>2784</v>
      </c>
      <c r="J738" s="9" t="s">
        <v>2701</v>
      </c>
      <c r="K738" s="205" t="s">
        <v>2702</v>
      </c>
      <c r="L738" s="9" t="s">
        <v>2703</v>
      </c>
      <c r="M738" s="32" t="s">
        <v>125</v>
      </c>
      <c r="N738" s="129" t="s">
        <v>2704</v>
      </c>
      <c r="O738" s="122" t="s">
        <v>2704</v>
      </c>
      <c r="P738" s="123" t="str">
        <f t="shared" si="22"/>
        <v>C3-2025</v>
      </c>
      <c r="Q738" s="123" t="str">
        <f t="shared" si="23"/>
        <v>T3-2025</v>
      </c>
      <c r="R738" s="124" t="s">
        <v>2705</v>
      </c>
      <c r="S738" s="124" t="s">
        <v>2706</v>
      </c>
      <c r="T738" s="123" t="s">
        <v>2707</v>
      </c>
      <c r="U738" s="162" t="s">
        <v>2708</v>
      </c>
      <c r="V738" s="162" t="s">
        <v>56</v>
      </c>
      <c r="W738" s="237" t="s">
        <v>125</v>
      </c>
      <c r="X738" s="173" t="s">
        <v>2709</v>
      </c>
    </row>
    <row r="739" spans="1:24" hidden="1">
      <c r="A739" s="161">
        <v>45906</v>
      </c>
      <c r="B739" s="164">
        <v>128703</v>
      </c>
      <c r="C739" s="158" t="s">
        <v>2697</v>
      </c>
      <c r="D739" s="126">
        <v>-464.8</v>
      </c>
      <c r="E739" s="159">
        <v>1</v>
      </c>
      <c r="F739" s="127">
        <f>Tabla5109[[#This Row],[Original Amount]]*Tabla5109[[#This Row],[ER to EUR]]</f>
        <v>-464.8</v>
      </c>
      <c r="G739" s="9" t="s">
        <v>3750</v>
      </c>
      <c r="H739" s="73" t="s">
        <v>3751</v>
      </c>
      <c r="I739" s="9" t="s">
        <v>3752</v>
      </c>
      <c r="J739" s="9" t="s">
        <v>2825</v>
      </c>
      <c r="K739" s="205" t="s">
        <v>3505</v>
      </c>
      <c r="L739" s="9" t="s">
        <v>3506</v>
      </c>
      <c r="M739" s="32" t="s">
        <v>125</v>
      </c>
      <c r="N739" s="129" t="s">
        <v>2704</v>
      </c>
      <c r="O739" s="122" t="s">
        <v>2704</v>
      </c>
      <c r="P739" s="123" t="str">
        <f t="shared" si="22"/>
        <v>C3-2025</v>
      </c>
      <c r="Q739" s="123" t="str">
        <f t="shared" si="23"/>
        <v>T3-2025</v>
      </c>
      <c r="R739" s="124" t="s">
        <v>2705</v>
      </c>
      <c r="S739" s="123" t="s">
        <v>2735</v>
      </c>
      <c r="T739" s="123" t="s">
        <v>2717</v>
      </c>
      <c r="U739" s="414" t="s">
        <v>2708</v>
      </c>
      <c r="V739" s="414" t="s">
        <v>56</v>
      </c>
      <c r="W739" s="237" t="s">
        <v>125</v>
      </c>
      <c r="X739" s="173" t="s">
        <v>2709</v>
      </c>
    </row>
    <row r="740" spans="1:24" hidden="1">
      <c r="A740" s="161">
        <v>45906</v>
      </c>
      <c r="B740" s="177">
        <v>2343</v>
      </c>
      <c r="C740" s="158" t="s">
        <v>2697</v>
      </c>
      <c r="D740" s="126">
        <v>-46.41</v>
      </c>
      <c r="E740" s="159">
        <v>1</v>
      </c>
      <c r="F740" s="127">
        <f>Tabla5109[[#This Row],[Original Amount]]*Tabla5109[[#This Row],[ER to EUR]]</f>
        <v>-46.41</v>
      </c>
      <c r="G740" s="9" t="s">
        <v>2777</v>
      </c>
      <c r="H740" s="9" t="s">
        <v>2778</v>
      </c>
      <c r="I740" s="9" t="s">
        <v>2755</v>
      </c>
      <c r="J740" s="9" t="s">
        <v>2714</v>
      </c>
      <c r="K740" s="205" t="s">
        <v>2780</v>
      </c>
      <c r="L740" s="9" t="s">
        <v>2716</v>
      </c>
      <c r="M740" s="32" t="s">
        <v>125</v>
      </c>
      <c r="N740" s="129" t="s">
        <v>2704</v>
      </c>
      <c r="O740" s="122" t="s">
        <v>2704</v>
      </c>
      <c r="P740" s="123" t="str">
        <f t="shared" si="22"/>
        <v>C3-2025</v>
      </c>
      <c r="Q740" s="123" t="str">
        <f t="shared" si="23"/>
        <v>T3-2025</v>
      </c>
      <c r="R740" s="124" t="s">
        <v>2705</v>
      </c>
      <c r="S740" s="123" t="s">
        <v>2735</v>
      </c>
      <c r="T740" s="123" t="s">
        <v>2724</v>
      </c>
      <c r="U740" s="162" t="s">
        <v>2708</v>
      </c>
      <c r="V740" s="162" t="s">
        <v>54</v>
      </c>
      <c r="W740" s="237" t="s">
        <v>125</v>
      </c>
      <c r="X740" s="173" t="s">
        <v>2709</v>
      </c>
    </row>
    <row r="741" spans="1:24" hidden="1">
      <c r="A741" s="161">
        <v>45906</v>
      </c>
      <c r="B741" s="164">
        <v>781139139094</v>
      </c>
      <c r="C741" s="158" t="s">
        <v>2697</v>
      </c>
      <c r="D741" s="126">
        <v>-82.64</v>
      </c>
      <c r="E741" s="120">
        <v>1</v>
      </c>
      <c r="F741" s="127">
        <f>Tabla5109[[#This Row],[Original Amount]]*Tabla5109[[#This Row],[ER to EUR]]</f>
        <v>-82.64</v>
      </c>
      <c r="G741" s="9" t="s">
        <v>2718</v>
      </c>
      <c r="H741" s="73" t="s">
        <v>3753</v>
      </c>
      <c r="I741" s="9" t="s">
        <v>2755</v>
      </c>
      <c r="J741" s="9" t="s">
        <v>2714</v>
      </c>
      <c r="K741" s="205" t="s">
        <v>2721</v>
      </c>
      <c r="L741" s="9" t="s">
        <v>2716</v>
      </c>
      <c r="M741" s="32" t="s">
        <v>125</v>
      </c>
      <c r="N741" s="129" t="s">
        <v>2704</v>
      </c>
      <c r="O741" s="122" t="s">
        <v>2704</v>
      </c>
      <c r="P741" s="123" t="str">
        <f t="shared" si="22"/>
        <v>C3-2025</v>
      </c>
      <c r="Q741" s="123" t="str">
        <f t="shared" si="23"/>
        <v>T3-2025</v>
      </c>
      <c r="R741" s="124" t="s">
        <v>2722</v>
      </c>
      <c r="S741" s="123" t="s">
        <v>2723</v>
      </c>
      <c r="T741" s="123" t="s">
        <v>2724</v>
      </c>
      <c r="U741" s="162" t="s">
        <v>2708</v>
      </c>
      <c r="V741" s="162" t="s">
        <v>54</v>
      </c>
      <c r="W741" s="237" t="s">
        <v>125</v>
      </c>
      <c r="X741" s="173" t="s">
        <v>2709</v>
      </c>
    </row>
    <row r="742" spans="1:24" hidden="1">
      <c r="A742" s="161">
        <v>45906</v>
      </c>
      <c r="B742" s="26" t="s">
        <v>3754</v>
      </c>
      <c r="C742" s="158" t="s">
        <v>2697</v>
      </c>
      <c r="D742" s="126">
        <v>-108.48</v>
      </c>
      <c r="E742" s="159">
        <v>1</v>
      </c>
      <c r="F742" s="127">
        <f>Tabla5109[[#This Row],[Original Amount]]*Tabla5109[[#This Row],[ER to EUR]]</f>
        <v>-108.48</v>
      </c>
      <c r="G742" s="37" t="s">
        <v>3755</v>
      </c>
      <c r="H742" s="73" t="s">
        <v>3756</v>
      </c>
      <c r="I742" s="9" t="s">
        <v>3757</v>
      </c>
      <c r="J742" s="9" t="s">
        <v>2825</v>
      </c>
      <c r="K742" s="205" t="s">
        <v>2826</v>
      </c>
      <c r="L742" s="9" t="s">
        <v>2827</v>
      </c>
      <c r="M742" s="32" t="s">
        <v>125</v>
      </c>
      <c r="N742" s="129" t="s">
        <v>2704</v>
      </c>
      <c r="O742" s="122" t="s">
        <v>2704</v>
      </c>
      <c r="P742" s="123" t="str">
        <f t="shared" si="22"/>
        <v>C3-2025</v>
      </c>
      <c r="Q742" s="123" t="str">
        <f t="shared" si="23"/>
        <v>T3-2025</v>
      </c>
      <c r="R742" s="124" t="s">
        <v>2705</v>
      </c>
      <c r="S742" s="124" t="s">
        <v>2706</v>
      </c>
      <c r="T742" s="123" t="s">
        <v>2717</v>
      </c>
      <c r="U742" s="162" t="s">
        <v>2708</v>
      </c>
      <c r="V742" s="162" t="s">
        <v>56</v>
      </c>
      <c r="W742" s="237" t="s">
        <v>125</v>
      </c>
      <c r="X742" s="173" t="s">
        <v>2709</v>
      </c>
    </row>
    <row r="743" spans="1:24" hidden="1">
      <c r="A743" s="161">
        <v>45906</v>
      </c>
      <c r="B743" s="26" t="s">
        <v>2627</v>
      </c>
      <c r="C743" s="158" t="s">
        <v>2697</v>
      </c>
      <c r="D743" s="126">
        <v>-125</v>
      </c>
      <c r="E743" s="159">
        <v>1</v>
      </c>
      <c r="F743" s="235">
        <f>Tabla5109[[#This Row],[Original Amount]]*Tabla5109[[#This Row],[ER to EUR]]</f>
        <v>-125</v>
      </c>
      <c r="G743" s="9" t="s">
        <v>3237</v>
      </c>
      <c r="H743" s="73" t="s">
        <v>3758</v>
      </c>
      <c r="I743" s="9" t="s">
        <v>2713</v>
      </c>
      <c r="J743" s="9" t="s">
        <v>2770</v>
      </c>
      <c r="K743" s="205" t="s">
        <v>2803</v>
      </c>
      <c r="L743" s="9" t="s">
        <v>57</v>
      </c>
      <c r="M743" s="32" t="s">
        <v>125</v>
      </c>
      <c r="N743" s="129" t="s">
        <v>2704</v>
      </c>
      <c r="O743" s="122" t="s">
        <v>2704</v>
      </c>
      <c r="P743" s="123" t="str">
        <f t="shared" si="22"/>
        <v>C3-2025</v>
      </c>
      <c r="Q743" s="123" t="str">
        <f t="shared" si="23"/>
        <v>T3-2025</v>
      </c>
      <c r="R743" s="91" t="s">
        <v>2749</v>
      </c>
      <c r="S743" s="123" t="s">
        <v>2750</v>
      </c>
      <c r="T743" s="123" t="s">
        <v>2717</v>
      </c>
      <c r="U743" s="162" t="s">
        <v>2708</v>
      </c>
      <c r="V743" s="162" t="s">
        <v>56</v>
      </c>
      <c r="W743" s="237" t="s">
        <v>125</v>
      </c>
      <c r="X743" s="173" t="s">
        <v>2709</v>
      </c>
    </row>
    <row r="744" spans="1:24" hidden="1">
      <c r="A744" s="161">
        <v>45906</v>
      </c>
      <c r="B744" s="167" t="s">
        <v>3759</v>
      </c>
      <c r="C744" s="158" t="s">
        <v>2697</v>
      </c>
      <c r="D744" s="239">
        <v>-132.96</v>
      </c>
      <c r="E744" s="120">
        <v>1</v>
      </c>
      <c r="F744" s="127">
        <f>Tabla5109[[#This Row],[Original Amount]]*Tabla5109[[#This Row],[ER to EUR]]</f>
        <v>-132.96</v>
      </c>
      <c r="G744" s="9" t="s">
        <v>2839</v>
      </c>
      <c r="H744" s="73" t="s">
        <v>2840</v>
      </c>
      <c r="I744" s="9" t="s">
        <v>2784</v>
      </c>
      <c r="J744" s="9" t="s">
        <v>2701</v>
      </c>
      <c r="K744" s="205" t="s">
        <v>2702</v>
      </c>
      <c r="L744" s="9" t="s">
        <v>2703</v>
      </c>
      <c r="M744" s="32" t="s">
        <v>125</v>
      </c>
      <c r="N744" s="129" t="s">
        <v>2704</v>
      </c>
      <c r="O744" s="122" t="s">
        <v>2704</v>
      </c>
      <c r="P744" s="123" t="str">
        <f t="shared" si="22"/>
        <v>C3-2025</v>
      </c>
      <c r="Q744" s="123" t="str">
        <f t="shared" si="23"/>
        <v>T3-2025</v>
      </c>
      <c r="R744" s="124" t="s">
        <v>2705</v>
      </c>
      <c r="S744" s="124" t="s">
        <v>2706</v>
      </c>
      <c r="T744" s="123" t="s">
        <v>2707</v>
      </c>
      <c r="U744" s="162" t="s">
        <v>2708</v>
      </c>
      <c r="V744" s="162" t="s">
        <v>56</v>
      </c>
      <c r="W744" s="237" t="s">
        <v>125</v>
      </c>
      <c r="X744" s="173" t="s">
        <v>2709</v>
      </c>
    </row>
    <row r="745" spans="1:24" hidden="1">
      <c r="A745" s="161">
        <v>45906</v>
      </c>
      <c r="B745" s="178" t="s">
        <v>3760</v>
      </c>
      <c r="C745" s="158" t="s">
        <v>2697</v>
      </c>
      <c r="D745" s="239">
        <v>-89</v>
      </c>
      <c r="E745" s="120">
        <v>1</v>
      </c>
      <c r="F745" s="127">
        <f>Tabla5109[[#This Row],[Original Amount]]*Tabla5109[[#This Row],[ER to EUR]]</f>
        <v>-89</v>
      </c>
      <c r="G745" s="9" t="s">
        <v>3269</v>
      </c>
      <c r="H745" s="73" t="s">
        <v>3270</v>
      </c>
      <c r="I745" s="9" t="s">
        <v>2755</v>
      </c>
      <c r="J745" s="9" t="s">
        <v>2701</v>
      </c>
      <c r="K745" s="205" t="s">
        <v>2702</v>
      </c>
      <c r="L745" s="9" t="s">
        <v>2703</v>
      </c>
      <c r="M745" s="32" t="s">
        <v>125</v>
      </c>
      <c r="N745" s="129" t="s">
        <v>2704</v>
      </c>
      <c r="O745" s="122" t="s">
        <v>2704</v>
      </c>
      <c r="P745" s="123" t="str">
        <f t="shared" si="22"/>
        <v>C3-2025</v>
      </c>
      <c r="Q745" s="123" t="str">
        <f t="shared" si="23"/>
        <v>T3-2025</v>
      </c>
      <c r="R745" s="124" t="s">
        <v>2741</v>
      </c>
      <c r="S745" s="123" t="s">
        <v>2723</v>
      </c>
      <c r="T745" s="123" t="s">
        <v>2724</v>
      </c>
      <c r="U745" s="162" t="s">
        <v>2708</v>
      </c>
      <c r="V745" s="162" t="s">
        <v>54</v>
      </c>
      <c r="W745" s="237" t="s">
        <v>125</v>
      </c>
      <c r="X745" s="173" t="s">
        <v>2709</v>
      </c>
    </row>
    <row r="746" spans="1:24" hidden="1">
      <c r="A746" s="161">
        <v>45906</v>
      </c>
      <c r="B746" s="164">
        <v>1708243</v>
      </c>
      <c r="C746" s="38" t="s">
        <v>2543</v>
      </c>
      <c r="D746" s="243">
        <v>-181893</v>
      </c>
      <c r="E746" s="159">
        <v>8.7900000000000001E-4</v>
      </c>
      <c r="F746" s="127">
        <f>Tabla5109[[#This Row],[Original Amount]]*Tabla5109[[#This Row],[ER to EUR]]</f>
        <v>-159.88394700000001</v>
      </c>
      <c r="G746" s="91" t="s">
        <v>3087</v>
      </c>
      <c r="H746" s="9" t="s">
        <v>3088</v>
      </c>
      <c r="I746" s="91" t="s">
        <v>2713</v>
      </c>
      <c r="J746" s="9" t="s">
        <v>2701</v>
      </c>
      <c r="K746" s="205" t="s">
        <v>2771</v>
      </c>
      <c r="L746" s="9" t="s">
        <v>2772</v>
      </c>
      <c r="M746" s="227" t="s">
        <v>2704</v>
      </c>
      <c r="N746" s="129" t="s">
        <v>2748</v>
      </c>
      <c r="O746" s="122" t="s">
        <v>2704</v>
      </c>
      <c r="P746" s="123" t="str">
        <f t="shared" si="22"/>
        <v>C3-2025</v>
      </c>
      <c r="Q746" s="123" t="str">
        <f t="shared" si="23"/>
        <v>T3-2025</v>
      </c>
      <c r="R746" s="91" t="s">
        <v>2749</v>
      </c>
      <c r="S746" s="123" t="s">
        <v>2750</v>
      </c>
      <c r="T746" s="123" t="s">
        <v>2707</v>
      </c>
      <c r="U746" s="162" t="s">
        <v>2708</v>
      </c>
      <c r="V746" s="162" t="s">
        <v>54</v>
      </c>
      <c r="W746" s="237" t="s">
        <v>125</v>
      </c>
      <c r="X746" s="201" t="s">
        <v>2751</v>
      </c>
    </row>
    <row r="747" spans="1:24" hidden="1">
      <c r="A747" s="161">
        <v>45907</v>
      </c>
      <c r="B747" s="133" t="s">
        <v>3761</v>
      </c>
      <c r="C747" s="158" t="s">
        <v>2697</v>
      </c>
      <c r="D747" s="239">
        <v>-171.69</v>
      </c>
      <c r="E747" s="159">
        <v>1</v>
      </c>
      <c r="F747" s="127">
        <f>Tabla5109[[#This Row],[Original Amount]]*Tabla5109[[#This Row],[ER to EUR]]</f>
        <v>-171.69</v>
      </c>
      <c r="G747" s="37" t="s">
        <v>3128</v>
      </c>
      <c r="H747" s="180" t="s">
        <v>2994</v>
      </c>
      <c r="I747" s="37" t="s">
        <v>3480</v>
      </c>
      <c r="J747" s="37" t="s">
        <v>2701</v>
      </c>
      <c r="K747" s="217" t="s">
        <v>2702</v>
      </c>
      <c r="L747" s="9" t="s">
        <v>2703</v>
      </c>
      <c r="M747" s="32" t="s">
        <v>125</v>
      </c>
      <c r="N747" s="129" t="s">
        <v>2704</v>
      </c>
      <c r="O747" s="158" t="s">
        <v>2704</v>
      </c>
      <c r="P747" s="123" t="str">
        <f t="shared" si="22"/>
        <v>C3-2025</v>
      </c>
      <c r="Q747" s="123" t="str">
        <f t="shared" si="23"/>
        <v>T3-2025</v>
      </c>
      <c r="R747" s="160" t="s">
        <v>2741</v>
      </c>
      <c r="S747" s="157" t="s">
        <v>2723</v>
      </c>
      <c r="T747" s="123" t="s">
        <v>2707</v>
      </c>
      <c r="U747" s="162" t="s">
        <v>2708</v>
      </c>
      <c r="V747" s="162" t="s">
        <v>54</v>
      </c>
      <c r="W747" s="237" t="s">
        <v>125</v>
      </c>
      <c r="X747" s="173" t="s">
        <v>2709</v>
      </c>
    </row>
    <row r="748" spans="1:24" hidden="1">
      <c r="A748" s="161">
        <v>45908</v>
      </c>
      <c r="B748" s="704" t="s">
        <v>3703</v>
      </c>
      <c r="C748" s="158" t="s">
        <v>2697</v>
      </c>
      <c r="D748" s="239">
        <v>-154.36000000000001</v>
      </c>
      <c r="E748" s="179">
        <v>1</v>
      </c>
      <c r="F748" s="127">
        <f>Tabla5109[[#This Row],[Original Amount]]*Tabla5109[[#This Row],[ER to EUR]]</f>
        <v>-154.36000000000001</v>
      </c>
      <c r="G748" s="9" t="s">
        <v>3575</v>
      </c>
      <c r="H748" s="9" t="s">
        <v>3704</v>
      </c>
      <c r="I748" s="9" t="s">
        <v>2713</v>
      </c>
      <c r="J748" s="9" t="s">
        <v>2825</v>
      </c>
      <c r="K748" s="205" t="s">
        <v>2826</v>
      </c>
      <c r="L748" s="9" t="s">
        <v>2827</v>
      </c>
      <c r="M748" s="32" t="s">
        <v>125</v>
      </c>
      <c r="N748" s="129" t="s">
        <v>2748</v>
      </c>
      <c r="O748" s="122" t="s">
        <v>2748</v>
      </c>
      <c r="P748" s="123" t="str">
        <f t="shared" si="22"/>
        <v>C3-2025</v>
      </c>
      <c r="Q748" s="123" t="str">
        <f t="shared" si="23"/>
        <v>T3-2025</v>
      </c>
      <c r="R748" s="124" t="s">
        <v>2705</v>
      </c>
      <c r="S748" s="124" t="s">
        <v>2706</v>
      </c>
      <c r="T748" s="123" t="s">
        <v>2717</v>
      </c>
      <c r="U748" s="162" t="s">
        <v>2708</v>
      </c>
      <c r="V748" s="162" t="s">
        <v>56</v>
      </c>
      <c r="W748" s="237" t="s">
        <v>125</v>
      </c>
      <c r="X748" s="173" t="s">
        <v>2709</v>
      </c>
    </row>
    <row r="749" spans="1:24" hidden="1">
      <c r="A749" s="161">
        <v>45908</v>
      </c>
      <c r="B749" s="220">
        <v>312025</v>
      </c>
      <c r="C749" s="38" t="s">
        <v>2697</v>
      </c>
      <c r="D749" s="239">
        <v>-4000</v>
      </c>
      <c r="E749" s="159">
        <v>1</v>
      </c>
      <c r="F749" s="127">
        <f>Tabla5109[[#This Row],[Original Amount]]*Tabla5109[[#This Row],[ER to EUR]]</f>
        <v>-4000</v>
      </c>
      <c r="G749" s="9" t="s">
        <v>3694</v>
      </c>
      <c r="H749" s="9" t="s">
        <v>3695</v>
      </c>
      <c r="I749" s="37" t="s">
        <v>2727</v>
      </c>
      <c r="J749" s="37" t="s">
        <v>2714</v>
      </c>
      <c r="K749" s="217" t="s">
        <v>2747</v>
      </c>
      <c r="L749" s="9" t="s">
        <v>2716</v>
      </c>
      <c r="M749" s="32" t="s">
        <v>125</v>
      </c>
      <c r="N749" s="158" t="s">
        <v>2704</v>
      </c>
      <c r="O749" s="156" t="s">
        <v>2704</v>
      </c>
      <c r="P749" s="123" t="str">
        <f t="shared" si="22"/>
        <v>C3-2025</v>
      </c>
      <c r="Q749" s="123" t="str">
        <f t="shared" si="23"/>
        <v>T3-2025</v>
      </c>
      <c r="R749" s="171" t="s">
        <v>2705</v>
      </c>
      <c r="S749" s="160" t="s">
        <v>2706</v>
      </c>
      <c r="T749" s="123" t="s">
        <v>2724</v>
      </c>
      <c r="U749" s="162" t="s">
        <v>51</v>
      </c>
      <c r="V749" s="162" t="s">
        <v>57</v>
      </c>
      <c r="W749" s="237" t="s">
        <v>125</v>
      </c>
      <c r="X749" s="173" t="s">
        <v>2709</v>
      </c>
    </row>
    <row r="750" spans="1:24" hidden="1">
      <c r="A750" s="161">
        <v>45908</v>
      </c>
      <c r="B750" s="167" t="s">
        <v>3762</v>
      </c>
      <c r="C750" s="38" t="s">
        <v>2697</v>
      </c>
      <c r="D750" s="239">
        <v>-49.99</v>
      </c>
      <c r="E750" s="159">
        <v>1</v>
      </c>
      <c r="F750" s="127">
        <f>Tabla5109[[#This Row],[Original Amount]]*Tabla5109[[#This Row],[ER to EUR]]</f>
        <v>-49.99</v>
      </c>
      <c r="G750" s="37" t="s">
        <v>2830</v>
      </c>
      <c r="H750" s="37" t="s">
        <v>3763</v>
      </c>
      <c r="I750" s="37" t="s">
        <v>2739</v>
      </c>
      <c r="J750" s="37" t="s">
        <v>2817</v>
      </c>
      <c r="K750" s="205" t="s">
        <v>2702</v>
      </c>
      <c r="L750" s="9" t="s">
        <v>2818</v>
      </c>
      <c r="M750" s="32" t="s">
        <v>125</v>
      </c>
      <c r="N750" s="158" t="s">
        <v>2704</v>
      </c>
      <c r="O750" s="156" t="s">
        <v>2704</v>
      </c>
      <c r="P750" s="123" t="str">
        <f t="shared" si="22"/>
        <v>C3-2025</v>
      </c>
      <c r="Q750" s="123" t="str">
        <f t="shared" si="23"/>
        <v>T3-2025</v>
      </c>
      <c r="R750" s="124" t="s">
        <v>2722</v>
      </c>
      <c r="S750" s="157" t="s">
        <v>2723</v>
      </c>
      <c r="T750" s="157" t="s">
        <v>2724</v>
      </c>
      <c r="U750" s="165" t="s">
        <v>2708</v>
      </c>
      <c r="V750" s="165" t="s">
        <v>54</v>
      </c>
      <c r="W750" s="237" t="s">
        <v>125</v>
      </c>
      <c r="X750" s="173" t="s">
        <v>2709</v>
      </c>
    </row>
    <row r="751" spans="1:24" hidden="1">
      <c r="A751" s="161">
        <v>45910</v>
      </c>
      <c r="B751" s="199">
        <v>2942003</v>
      </c>
      <c r="C751" s="158" t="s">
        <v>2548</v>
      </c>
      <c r="D751" s="245">
        <v>-499</v>
      </c>
      <c r="E751" s="222">
        <v>0.85382513661202186</v>
      </c>
      <c r="F751" s="127">
        <f>Tabla5109[[#This Row],[Original Amount]]*Tabla5109[[#This Row],[ER to EUR]]</f>
        <v>-426.05874316939889</v>
      </c>
      <c r="G751" s="37" t="s">
        <v>3193</v>
      </c>
      <c r="H751" s="180" t="s">
        <v>3194</v>
      </c>
      <c r="I751" s="37" t="s">
        <v>2739</v>
      </c>
      <c r="J751" s="9" t="s">
        <v>2701</v>
      </c>
      <c r="K751" s="205" t="s">
        <v>2702</v>
      </c>
      <c r="L751" s="9" t="s">
        <v>2793</v>
      </c>
      <c r="M751" s="32" t="s">
        <v>125</v>
      </c>
      <c r="N751" s="156" t="s">
        <v>2704</v>
      </c>
      <c r="O751" s="158" t="s">
        <v>2704</v>
      </c>
      <c r="P751" s="123" t="str">
        <f t="shared" si="22"/>
        <v>C3-2025</v>
      </c>
      <c r="Q751" s="123" t="str">
        <f t="shared" si="23"/>
        <v>T3-2025</v>
      </c>
      <c r="R751" s="124" t="s">
        <v>2722</v>
      </c>
      <c r="S751" s="157" t="s">
        <v>2723</v>
      </c>
      <c r="T751" s="157" t="s">
        <v>2724</v>
      </c>
      <c r="U751" s="165" t="s">
        <v>2708</v>
      </c>
      <c r="V751" s="165" t="s">
        <v>54</v>
      </c>
      <c r="W751" s="237" t="s">
        <v>125</v>
      </c>
      <c r="X751" s="173" t="s">
        <v>2709</v>
      </c>
    </row>
    <row r="752" spans="1:24" hidden="1">
      <c r="A752" s="161">
        <v>45910</v>
      </c>
      <c r="B752" s="704" t="s">
        <v>3703</v>
      </c>
      <c r="C752" s="158" t="s">
        <v>2697</v>
      </c>
      <c r="D752" s="239">
        <v>-2072.17</v>
      </c>
      <c r="E752" s="154">
        <v>1</v>
      </c>
      <c r="F752" s="127">
        <f>Tabla5109[[#This Row],[Original Amount]]*Tabla5109[[#This Row],[ER to EUR]]</f>
        <v>-2072.17</v>
      </c>
      <c r="G752" s="37" t="s">
        <v>3764</v>
      </c>
      <c r="H752" s="37" t="s">
        <v>3704</v>
      </c>
      <c r="I752" s="37" t="s">
        <v>2713</v>
      </c>
      <c r="J752" s="9" t="s">
        <v>2713</v>
      </c>
      <c r="K752" s="205" t="s">
        <v>2713</v>
      </c>
      <c r="L752" s="9" t="s">
        <v>2713</v>
      </c>
      <c r="M752" s="32" t="s">
        <v>125</v>
      </c>
      <c r="N752" s="156" t="s">
        <v>2748</v>
      </c>
      <c r="O752" s="158" t="s">
        <v>2748</v>
      </c>
      <c r="P752" s="123" t="str">
        <f t="shared" si="22"/>
        <v>C3-2025</v>
      </c>
      <c r="Q752" s="123" t="str">
        <f t="shared" si="23"/>
        <v>T3-2025</v>
      </c>
      <c r="R752" s="160" t="s">
        <v>2705</v>
      </c>
      <c r="S752" s="124" t="s">
        <v>2706</v>
      </c>
      <c r="T752" s="123" t="s">
        <v>2717</v>
      </c>
      <c r="U752" s="203" t="s">
        <v>2708</v>
      </c>
      <c r="V752" s="203" t="s">
        <v>56</v>
      </c>
      <c r="W752" s="237" t="s">
        <v>125</v>
      </c>
      <c r="X752" s="173" t="s">
        <v>2709</v>
      </c>
    </row>
    <row r="753" spans="1:24" hidden="1">
      <c r="A753" s="161">
        <v>45910</v>
      </c>
      <c r="B753" s="199" t="s">
        <v>3765</v>
      </c>
      <c r="C753" s="158" t="s">
        <v>2697</v>
      </c>
      <c r="D753" s="239">
        <v>-115</v>
      </c>
      <c r="E753" s="159">
        <v>1</v>
      </c>
      <c r="F753" s="127">
        <f>Tabla5109[[#This Row],[Original Amount]]*Tabla5109[[#This Row],[ER to EUR]]</f>
        <v>-115</v>
      </c>
      <c r="G753" s="37" t="s">
        <v>3579</v>
      </c>
      <c r="H753" s="37" t="s">
        <v>3766</v>
      </c>
      <c r="I753" s="37" t="s">
        <v>2713</v>
      </c>
      <c r="J753" s="37" t="s">
        <v>2825</v>
      </c>
      <c r="K753" s="217" t="s">
        <v>2826</v>
      </c>
      <c r="L753" s="9" t="s">
        <v>2827</v>
      </c>
      <c r="M753" s="32" t="s">
        <v>125</v>
      </c>
      <c r="N753" s="156" t="s">
        <v>2704</v>
      </c>
      <c r="O753" s="158" t="s">
        <v>2704</v>
      </c>
      <c r="P753" s="123" t="str">
        <f t="shared" si="22"/>
        <v>C3-2025</v>
      </c>
      <c r="Q753" s="123" t="str">
        <f t="shared" si="23"/>
        <v>T3-2025</v>
      </c>
      <c r="R753" s="160" t="s">
        <v>2705</v>
      </c>
      <c r="S753" s="160" t="s">
        <v>2706</v>
      </c>
      <c r="T753" s="157" t="s">
        <v>2717</v>
      </c>
      <c r="U753" s="165" t="s">
        <v>2708</v>
      </c>
      <c r="V753" s="165" t="s">
        <v>56</v>
      </c>
      <c r="W753" s="237" t="s">
        <v>125</v>
      </c>
      <c r="X753" s="173" t="s">
        <v>2709</v>
      </c>
    </row>
    <row r="754" spans="1:24" hidden="1">
      <c r="A754" s="161">
        <v>45910</v>
      </c>
      <c r="B754" s="199">
        <v>6789755</v>
      </c>
      <c r="C754" s="158" t="s">
        <v>2543</v>
      </c>
      <c r="D754" s="243">
        <v>-2408714</v>
      </c>
      <c r="E754" s="159">
        <v>8.7900000000000001E-4</v>
      </c>
      <c r="F754" s="127">
        <f>Tabla5109[[#This Row],[Original Amount]]*Tabla5109[[#This Row],[ER to EUR]]</f>
        <v>-2117.2596060000001</v>
      </c>
      <c r="G754" s="37" t="s">
        <v>2823</v>
      </c>
      <c r="H754" s="9" t="s">
        <v>3337</v>
      </c>
      <c r="I754" s="9" t="s">
        <v>2727</v>
      </c>
      <c r="J754" s="9" t="s">
        <v>2825</v>
      </c>
      <c r="K754" s="205" t="s">
        <v>2826</v>
      </c>
      <c r="L754" s="9" t="s">
        <v>2827</v>
      </c>
      <c r="M754" s="227" t="s">
        <v>2704</v>
      </c>
      <c r="N754" s="129" t="s">
        <v>2748</v>
      </c>
      <c r="O754" s="122" t="s">
        <v>2704</v>
      </c>
      <c r="P754" s="123" t="str">
        <f t="shared" si="22"/>
        <v>C3-2025</v>
      </c>
      <c r="Q754" s="123" t="str">
        <f t="shared" si="23"/>
        <v>T3-2025</v>
      </c>
      <c r="R754" s="160" t="s">
        <v>2705</v>
      </c>
      <c r="S754" s="124" t="s">
        <v>2706</v>
      </c>
      <c r="T754" s="123" t="s">
        <v>2717</v>
      </c>
      <c r="U754" s="162" t="s">
        <v>2708</v>
      </c>
      <c r="V754" s="162" t="s">
        <v>56</v>
      </c>
      <c r="W754" s="237" t="s">
        <v>125</v>
      </c>
      <c r="X754" s="173" t="s">
        <v>2751</v>
      </c>
    </row>
    <row r="755" spans="1:24" hidden="1">
      <c r="A755" s="161">
        <v>45911</v>
      </c>
      <c r="B755" s="26" t="s">
        <v>534</v>
      </c>
      <c r="C755" s="158" t="s">
        <v>2697</v>
      </c>
      <c r="D755" s="239">
        <v>-1800</v>
      </c>
      <c r="E755" s="159">
        <v>1</v>
      </c>
      <c r="F755" s="127">
        <f>Tabla5109[[#This Row],[Original Amount]]*Tabla5109[[#This Row],[ER to EUR]]</f>
        <v>-1800</v>
      </c>
      <c r="G755" s="37" t="s">
        <v>3237</v>
      </c>
      <c r="H755" s="180" t="s">
        <v>3767</v>
      </c>
      <c r="I755" s="37" t="s">
        <v>2713</v>
      </c>
      <c r="J755" s="37" t="s">
        <v>2770</v>
      </c>
      <c r="K755" s="217" t="s">
        <v>2803</v>
      </c>
      <c r="L755" s="9" t="s">
        <v>57</v>
      </c>
      <c r="M755" s="32" t="s">
        <v>125</v>
      </c>
      <c r="N755" s="156" t="s">
        <v>2704</v>
      </c>
      <c r="O755" s="158" t="s">
        <v>2704</v>
      </c>
      <c r="P755" s="123" t="str">
        <f t="shared" si="22"/>
        <v>C3-2025</v>
      </c>
      <c r="Q755" s="123" t="str">
        <f t="shared" si="23"/>
        <v>T3-2025</v>
      </c>
      <c r="R755" s="171" t="s">
        <v>2749</v>
      </c>
      <c r="S755" s="123" t="s">
        <v>2750</v>
      </c>
      <c r="T755" s="157" t="s">
        <v>2717</v>
      </c>
      <c r="U755" s="165" t="s">
        <v>2708</v>
      </c>
      <c r="V755" s="165" t="s">
        <v>56</v>
      </c>
      <c r="W755" s="237" t="s">
        <v>125</v>
      </c>
      <c r="X755" s="173" t="s">
        <v>2709</v>
      </c>
    </row>
    <row r="756" spans="1:24" hidden="1">
      <c r="A756" s="161">
        <v>45911</v>
      </c>
      <c r="B756" s="177">
        <v>202508479</v>
      </c>
      <c r="C756" s="158" t="s">
        <v>2697</v>
      </c>
      <c r="D756" s="239">
        <v>-123.76</v>
      </c>
      <c r="E756" s="159">
        <v>1</v>
      </c>
      <c r="F756" s="127">
        <f>Tabla5109[[#This Row],[Original Amount]]*Tabla5109[[#This Row],[ER to EUR]]</f>
        <v>-123.76</v>
      </c>
      <c r="G756" s="37" t="s">
        <v>3683</v>
      </c>
      <c r="H756" s="180" t="s">
        <v>3768</v>
      </c>
      <c r="I756" s="37" t="s">
        <v>2727</v>
      </c>
      <c r="J756" s="9" t="s">
        <v>2714</v>
      </c>
      <c r="K756" s="217" t="s">
        <v>3510</v>
      </c>
      <c r="L756" s="9" t="s">
        <v>2799</v>
      </c>
      <c r="M756" s="32" t="s">
        <v>125</v>
      </c>
      <c r="N756" s="156" t="s">
        <v>2704</v>
      </c>
      <c r="O756" s="158" t="s">
        <v>2704</v>
      </c>
      <c r="P756" s="123" t="str">
        <f t="shared" si="22"/>
        <v>C3-2025</v>
      </c>
      <c r="Q756" s="123" t="str">
        <f t="shared" si="23"/>
        <v>T3-2025</v>
      </c>
      <c r="R756" s="160" t="s">
        <v>2705</v>
      </c>
      <c r="S756" s="124" t="s">
        <v>2706</v>
      </c>
      <c r="T756" s="157" t="s">
        <v>2707</v>
      </c>
      <c r="U756" s="165" t="s">
        <v>2708</v>
      </c>
      <c r="V756" s="165" t="s">
        <v>56</v>
      </c>
      <c r="W756" s="237" t="s">
        <v>125</v>
      </c>
      <c r="X756" s="173" t="s">
        <v>2709</v>
      </c>
    </row>
    <row r="757" spans="1:24" hidden="1">
      <c r="A757" s="161">
        <v>45912</v>
      </c>
      <c r="B757" s="216" t="s">
        <v>3769</v>
      </c>
      <c r="C757" s="38" t="s">
        <v>2697</v>
      </c>
      <c r="D757" s="239">
        <v>-161.84</v>
      </c>
      <c r="E757" s="159">
        <v>1</v>
      </c>
      <c r="F757" s="127">
        <f>Tabla5109[[#This Row],[Original Amount]]*Tabla5109[[#This Row],[ER to EUR]]</f>
        <v>-161.84</v>
      </c>
      <c r="G757" s="37" t="s">
        <v>3770</v>
      </c>
      <c r="H757" s="37" t="s">
        <v>3771</v>
      </c>
      <c r="I757" s="37" t="s">
        <v>2713</v>
      </c>
      <c r="J757" s="37" t="s">
        <v>2714</v>
      </c>
      <c r="K757" s="217" t="s">
        <v>2747</v>
      </c>
      <c r="L757" s="9" t="s">
        <v>2716</v>
      </c>
      <c r="M757" s="32" t="s">
        <v>125</v>
      </c>
      <c r="N757" s="158" t="s">
        <v>2704</v>
      </c>
      <c r="O757" s="156" t="s">
        <v>2704</v>
      </c>
      <c r="P757" s="123" t="str">
        <f t="shared" si="22"/>
        <v>C3-2025</v>
      </c>
      <c r="Q757" s="123" t="str">
        <f t="shared" si="23"/>
        <v>T3-2025</v>
      </c>
      <c r="R757" s="91" t="s">
        <v>2794</v>
      </c>
      <c r="S757" s="157" t="s">
        <v>2731</v>
      </c>
      <c r="T757" s="123" t="s">
        <v>2707</v>
      </c>
      <c r="U757" s="162" t="s">
        <v>51</v>
      </c>
      <c r="V757" s="162" t="s">
        <v>57</v>
      </c>
      <c r="W757" s="237" t="s">
        <v>125</v>
      </c>
      <c r="X757" s="173" t="s">
        <v>2709</v>
      </c>
    </row>
    <row r="758" spans="1:24" hidden="1">
      <c r="A758" s="161">
        <v>45914</v>
      </c>
      <c r="B758" s="192" t="s">
        <v>3772</v>
      </c>
      <c r="C758" s="158" t="s">
        <v>2697</v>
      </c>
      <c r="D758" s="239">
        <v>-118.99</v>
      </c>
      <c r="E758" s="159">
        <v>1</v>
      </c>
      <c r="F758" s="127">
        <f>Tabla5109[[#This Row],[Original Amount]]*Tabla5109[[#This Row],[ER to EUR]]</f>
        <v>-118.99</v>
      </c>
      <c r="G758" s="37" t="s">
        <v>2812</v>
      </c>
      <c r="H758" s="171" t="s">
        <v>2813</v>
      </c>
      <c r="I758" s="37" t="s">
        <v>2727</v>
      </c>
      <c r="J758" s="37" t="s">
        <v>2714</v>
      </c>
      <c r="K758" s="411" t="s">
        <v>2814</v>
      </c>
      <c r="L758" s="9" t="s">
        <v>2799</v>
      </c>
      <c r="M758" s="32" t="s">
        <v>125</v>
      </c>
      <c r="N758" s="156" t="s">
        <v>2704</v>
      </c>
      <c r="O758" s="158" t="s">
        <v>2704</v>
      </c>
      <c r="P758" s="123" t="str">
        <f t="shared" si="22"/>
        <v>C3-2025</v>
      </c>
      <c r="Q758" s="123" t="str">
        <f t="shared" si="23"/>
        <v>T3-2025</v>
      </c>
      <c r="R758" s="160" t="s">
        <v>2705</v>
      </c>
      <c r="S758" s="124" t="s">
        <v>2706</v>
      </c>
      <c r="T758" s="123" t="s">
        <v>2724</v>
      </c>
      <c r="U758" s="162" t="s">
        <v>2708</v>
      </c>
      <c r="V758" s="162" t="s">
        <v>56</v>
      </c>
      <c r="W758" s="237" t="s">
        <v>125</v>
      </c>
      <c r="X758" s="173" t="s">
        <v>2709</v>
      </c>
    </row>
    <row r="759" spans="1:24" hidden="1">
      <c r="A759" s="161">
        <v>45914</v>
      </c>
      <c r="B759" s="192" t="s">
        <v>3773</v>
      </c>
      <c r="C759" s="158" t="s">
        <v>2697</v>
      </c>
      <c r="D759" s="239">
        <v>-1775</v>
      </c>
      <c r="E759" s="120">
        <v>1</v>
      </c>
      <c r="F759" s="127">
        <f>Tabla5109[[#This Row],[Original Amount]]*Tabla5109[[#This Row],[ER to EUR]]</f>
        <v>-1775</v>
      </c>
      <c r="G759" s="37" t="s">
        <v>3774</v>
      </c>
      <c r="H759" s="180" t="s">
        <v>3775</v>
      </c>
      <c r="I759" s="9" t="s">
        <v>2713</v>
      </c>
      <c r="J759" s="9" t="s">
        <v>3095</v>
      </c>
      <c r="K759" s="205" t="s">
        <v>3510</v>
      </c>
      <c r="L759" s="9" t="s">
        <v>3097</v>
      </c>
      <c r="M759" s="32" t="s">
        <v>125</v>
      </c>
      <c r="N759" s="129" t="s">
        <v>2704</v>
      </c>
      <c r="O759" s="122" t="s">
        <v>2704</v>
      </c>
      <c r="P759" s="123" t="str">
        <f t="shared" si="22"/>
        <v>C3-2025</v>
      </c>
      <c r="Q759" s="123" t="str">
        <f t="shared" si="23"/>
        <v>T3-2025</v>
      </c>
      <c r="R759" s="124" t="s">
        <v>2705</v>
      </c>
      <c r="S759" s="124" t="s">
        <v>2706</v>
      </c>
      <c r="T759" s="123" t="s">
        <v>2717</v>
      </c>
      <c r="U759" s="162" t="s">
        <v>3098</v>
      </c>
      <c r="V759" s="162" t="s">
        <v>56</v>
      </c>
      <c r="W759" s="237" t="s">
        <v>125</v>
      </c>
      <c r="X759" s="173" t="s">
        <v>2709</v>
      </c>
    </row>
    <row r="760" spans="1:24" hidden="1">
      <c r="A760" s="161">
        <v>45914</v>
      </c>
      <c r="B760" s="200" t="s">
        <v>3703</v>
      </c>
      <c r="C760" s="122" t="s">
        <v>2697</v>
      </c>
      <c r="D760" s="239">
        <v>-77.290000000000006</v>
      </c>
      <c r="E760" s="154">
        <v>1</v>
      </c>
      <c r="F760" s="127">
        <f>Tabla5109[[#This Row],[Original Amount]]*Tabla5109[[#This Row],[ER to EUR]]</f>
        <v>-77.290000000000006</v>
      </c>
      <c r="G760" s="9" t="s">
        <v>3776</v>
      </c>
      <c r="H760" s="73" t="s">
        <v>3777</v>
      </c>
      <c r="I760" s="9" t="s">
        <v>2713</v>
      </c>
      <c r="J760" s="91" t="s">
        <v>2825</v>
      </c>
      <c r="K760" s="196" t="s">
        <v>2826</v>
      </c>
      <c r="L760" s="91" t="s">
        <v>2827</v>
      </c>
      <c r="M760" s="32" t="s">
        <v>125</v>
      </c>
      <c r="N760" s="129" t="s">
        <v>2748</v>
      </c>
      <c r="O760" s="129" t="s">
        <v>2748</v>
      </c>
      <c r="P760" s="123" t="str">
        <f t="shared" si="22"/>
        <v>C3-2025</v>
      </c>
      <c r="Q760" s="123" t="str">
        <f t="shared" si="23"/>
        <v>T3-2025</v>
      </c>
      <c r="R760" s="124" t="s">
        <v>2705</v>
      </c>
      <c r="S760" s="124" t="s">
        <v>2706</v>
      </c>
      <c r="T760" s="157" t="s">
        <v>2717</v>
      </c>
      <c r="U760" s="414" t="s">
        <v>2708</v>
      </c>
      <c r="V760" s="414" t="s">
        <v>56</v>
      </c>
      <c r="W760" s="237" t="s">
        <v>125</v>
      </c>
      <c r="X760" s="173" t="s">
        <v>2709</v>
      </c>
    </row>
    <row r="761" spans="1:24" hidden="1">
      <c r="A761" s="161">
        <v>45914</v>
      </c>
      <c r="B761" s="192" t="s">
        <v>3778</v>
      </c>
      <c r="C761" s="158" t="s">
        <v>2697</v>
      </c>
      <c r="D761" s="239">
        <v>-65.540000000000006</v>
      </c>
      <c r="E761" s="159">
        <v>1</v>
      </c>
      <c r="F761" s="127">
        <f>Tabla5109[[#This Row],[Original Amount]]*Tabla5109[[#This Row],[ER to EUR]]</f>
        <v>-65.540000000000006</v>
      </c>
      <c r="G761" s="9" t="s">
        <v>2830</v>
      </c>
      <c r="H761" s="9" t="s">
        <v>3779</v>
      </c>
      <c r="I761" s="9" t="s">
        <v>2784</v>
      </c>
      <c r="J761" s="9" t="s">
        <v>2817</v>
      </c>
      <c r="K761" s="205" t="s">
        <v>2702</v>
      </c>
      <c r="L761" s="9" t="s">
        <v>2818</v>
      </c>
      <c r="M761" s="32" t="s">
        <v>125</v>
      </c>
      <c r="N761" s="129" t="s">
        <v>2704</v>
      </c>
      <c r="O761" s="122" t="s">
        <v>2704</v>
      </c>
      <c r="P761" s="123" t="str">
        <f t="shared" si="22"/>
        <v>C3-2025</v>
      </c>
      <c r="Q761" s="123" t="str">
        <f t="shared" si="23"/>
        <v>T3-2025</v>
      </c>
      <c r="R761" s="124" t="s">
        <v>2722</v>
      </c>
      <c r="S761" s="123" t="s">
        <v>2723</v>
      </c>
      <c r="T761" s="123" t="s">
        <v>2724</v>
      </c>
      <c r="U761" s="165" t="s">
        <v>2708</v>
      </c>
      <c r="V761" s="165" t="s">
        <v>54</v>
      </c>
      <c r="W761" s="237" t="s">
        <v>125</v>
      </c>
      <c r="X761" s="173" t="s">
        <v>2709</v>
      </c>
    </row>
    <row r="762" spans="1:24" hidden="1">
      <c r="A762" s="161">
        <v>45915</v>
      </c>
      <c r="B762" s="132">
        <v>15825</v>
      </c>
      <c r="C762" s="158" t="s">
        <v>2697</v>
      </c>
      <c r="D762" s="239">
        <v>-7200</v>
      </c>
      <c r="E762" s="159">
        <v>1</v>
      </c>
      <c r="F762" s="127">
        <f>Tabla5109[[#This Row],[Original Amount]]*Tabla5109[[#This Row],[ER to EUR]]</f>
        <v>-7200</v>
      </c>
      <c r="G762" s="37" t="s">
        <v>2725</v>
      </c>
      <c r="H762" s="180" t="s">
        <v>3780</v>
      </c>
      <c r="I762" s="37" t="s">
        <v>2727</v>
      </c>
      <c r="J762" s="9" t="s">
        <v>2701</v>
      </c>
      <c r="K762" s="217" t="s">
        <v>2728</v>
      </c>
      <c r="L762" s="9" t="s">
        <v>2729</v>
      </c>
      <c r="M762" s="32" t="s">
        <v>125</v>
      </c>
      <c r="N762" s="156" t="s">
        <v>2704</v>
      </c>
      <c r="O762" s="158" t="s">
        <v>2704</v>
      </c>
      <c r="P762" s="123" t="str">
        <f t="shared" si="22"/>
        <v>C3-2025</v>
      </c>
      <c r="Q762" s="123" t="str">
        <f t="shared" si="23"/>
        <v>T3-2025</v>
      </c>
      <c r="R762" s="160" t="s">
        <v>2730</v>
      </c>
      <c r="S762" s="157" t="s">
        <v>2731</v>
      </c>
      <c r="T762" s="123" t="s">
        <v>2707</v>
      </c>
      <c r="U762" s="165" t="s">
        <v>51</v>
      </c>
      <c r="V762" s="165" t="s">
        <v>57</v>
      </c>
      <c r="W762" s="237" t="s">
        <v>125</v>
      </c>
      <c r="X762" s="173" t="s">
        <v>2709</v>
      </c>
    </row>
    <row r="763" spans="1:24" hidden="1">
      <c r="A763" s="161">
        <v>45915</v>
      </c>
      <c r="B763" s="177">
        <v>1961892</v>
      </c>
      <c r="C763" s="158" t="s">
        <v>2697</v>
      </c>
      <c r="D763" s="241">
        <v>-239.68</v>
      </c>
      <c r="E763" s="159">
        <v>1</v>
      </c>
      <c r="F763" s="127">
        <f>Tabla5109[[#This Row],[Original Amount]]*Tabla5109[[#This Row],[ER to EUR]]</f>
        <v>-239.68</v>
      </c>
      <c r="G763" s="37" t="s">
        <v>2815</v>
      </c>
      <c r="H763" s="37" t="s">
        <v>3103</v>
      </c>
      <c r="I763" s="37" t="s">
        <v>2727</v>
      </c>
      <c r="J763" s="9" t="s">
        <v>2817</v>
      </c>
      <c r="K763" s="217" t="s">
        <v>2702</v>
      </c>
      <c r="L763" s="9" t="s">
        <v>2818</v>
      </c>
      <c r="M763" s="32" t="s">
        <v>125</v>
      </c>
      <c r="N763" s="156" t="s">
        <v>2704</v>
      </c>
      <c r="O763" s="158" t="s">
        <v>2704</v>
      </c>
      <c r="P763" s="123" t="str">
        <f t="shared" si="22"/>
        <v>C3-2025</v>
      </c>
      <c r="Q763" s="123" t="str">
        <f t="shared" si="23"/>
        <v>T3-2025</v>
      </c>
      <c r="R763" s="160" t="s">
        <v>2819</v>
      </c>
      <c r="S763" s="123" t="s">
        <v>2723</v>
      </c>
      <c r="T763" s="157" t="s">
        <v>2724</v>
      </c>
      <c r="U763" s="165" t="s">
        <v>2708</v>
      </c>
      <c r="V763" s="165" t="s">
        <v>54</v>
      </c>
      <c r="W763" s="237" t="s">
        <v>125</v>
      </c>
      <c r="X763" s="173" t="s">
        <v>2709</v>
      </c>
    </row>
    <row r="764" spans="1:24" hidden="1">
      <c r="A764" s="161">
        <v>45915</v>
      </c>
      <c r="B764" s="130" t="s">
        <v>3781</v>
      </c>
      <c r="C764" s="158" t="s">
        <v>2697</v>
      </c>
      <c r="D764" s="139">
        <v>-127.51</v>
      </c>
      <c r="E764" s="159">
        <v>1</v>
      </c>
      <c r="F764" s="127">
        <f>Tabla5109[[#This Row],[Original Amount]]*Tabla5109[[#This Row],[ER to EUR]]</f>
        <v>-127.51</v>
      </c>
      <c r="G764" s="37" t="s">
        <v>2733</v>
      </c>
      <c r="H764" s="180" t="s">
        <v>2734</v>
      </c>
      <c r="I764" s="37" t="s">
        <v>2713</v>
      </c>
      <c r="J764" s="9" t="s">
        <v>2701</v>
      </c>
      <c r="K764" s="217" t="s">
        <v>2809</v>
      </c>
      <c r="L764" s="9" t="s">
        <v>2810</v>
      </c>
      <c r="M764" s="32" t="s">
        <v>125</v>
      </c>
      <c r="N764" s="156" t="s">
        <v>2704</v>
      </c>
      <c r="O764" s="158" t="s">
        <v>2704</v>
      </c>
      <c r="P764" s="123" t="str">
        <f t="shared" si="22"/>
        <v>C3-2025</v>
      </c>
      <c r="Q764" s="123" t="str">
        <f t="shared" si="23"/>
        <v>T3-2025</v>
      </c>
      <c r="R764" s="160" t="s">
        <v>2705</v>
      </c>
      <c r="S764" s="123" t="s">
        <v>2735</v>
      </c>
      <c r="T764" s="157" t="s">
        <v>2707</v>
      </c>
      <c r="U764" s="414" t="s">
        <v>2708</v>
      </c>
      <c r="V764" s="414" t="s">
        <v>56</v>
      </c>
      <c r="W764" s="237" t="s">
        <v>125</v>
      </c>
      <c r="X764" s="173" t="s">
        <v>2709</v>
      </c>
    </row>
    <row r="765" spans="1:24" hidden="1">
      <c r="A765" s="161">
        <v>45915</v>
      </c>
      <c r="B765" s="192" t="s">
        <v>3782</v>
      </c>
      <c r="C765" s="158" t="s">
        <v>2697</v>
      </c>
      <c r="D765" s="241">
        <v>-124</v>
      </c>
      <c r="E765" s="159">
        <v>1</v>
      </c>
      <c r="F765" s="127">
        <f>Tabla5109[[#This Row],[Original Amount]]*Tabla5109[[#This Row],[ER to EUR]]</f>
        <v>-124</v>
      </c>
      <c r="G765" t="s">
        <v>3492</v>
      </c>
      <c r="H765" s="9" t="s">
        <v>3636</v>
      </c>
      <c r="I765" s="9" t="s">
        <v>2784</v>
      </c>
      <c r="J765" s="9" t="s">
        <v>2701</v>
      </c>
      <c r="K765" s="205" t="s">
        <v>2702</v>
      </c>
      <c r="L765" s="9" t="s">
        <v>3494</v>
      </c>
      <c r="M765" s="32" t="s">
        <v>125</v>
      </c>
      <c r="N765" s="129" t="s">
        <v>2704</v>
      </c>
      <c r="O765" s="122" t="s">
        <v>2704</v>
      </c>
      <c r="P765" s="123" t="str">
        <f t="shared" si="22"/>
        <v>C3-2025</v>
      </c>
      <c r="Q765" s="123" t="str">
        <f t="shared" si="23"/>
        <v>T3-2025</v>
      </c>
      <c r="R765" s="124" t="s">
        <v>2705</v>
      </c>
      <c r="S765" s="123" t="s">
        <v>2735</v>
      </c>
      <c r="T765" s="157" t="s">
        <v>2707</v>
      </c>
      <c r="U765" s="165" t="s">
        <v>2708</v>
      </c>
      <c r="V765" s="165" t="s">
        <v>54</v>
      </c>
      <c r="W765" s="237" t="s">
        <v>125</v>
      </c>
      <c r="X765" s="173" t="s">
        <v>2709</v>
      </c>
    </row>
    <row r="766" spans="1:24" hidden="1">
      <c r="A766" s="161">
        <v>45915</v>
      </c>
      <c r="B766" s="191">
        <v>21</v>
      </c>
      <c r="C766" s="158" t="s">
        <v>2697</v>
      </c>
      <c r="D766" s="239">
        <v>-4760</v>
      </c>
      <c r="E766" s="159">
        <v>1</v>
      </c>
      <c r="F766" s="127">
        <f>Tabla5109[[#This Row],[Original Amount]]*Tabla5109[[#This Row],[ER to EUR]]</f>
        <v>-4760</v>
      </c>
      <c r="G766" t="s">
        <v>2790</v>
      </c>
      <c r="H766" s="91" t="s">
        <v>2791</v>
      </c>
      <c r="I766" s="9" t="s">
        <v>2727</v>
      </c>
      <c r="J766" s="9" t="s">
        <v>2723</v>
      </c>
      <c r="K766" s="205" t="s">
        <v>2792</v>
      </c>
      <c r="L766" s="9" t="s">
        <v>2793</v>
      </c>
      <c r="M766" s="32" t="s">
        <v>125</v>
      </c>
      <c r="N766" s="129" t="s">
        <v>2704</v>
      </c>
      <c r="O766" s="122" t="s">
        <v>2704</v>
      </c>
      <c r="P766" s="123" t="str">
        <f t="shared" si="22"/>
        <v>C3-2025</v>
      </c>
      <c r="Q766" s="123" t="str">
        <f t="shared" si="23"/>
        <v>T3-2025</v>
      </c>
      <c r="R766" s="124" t="s">
        <v>2794</v>
      </c>
      <c r="S766" s="123" t="s">
        <v>2731</v>
      </c>
      <c r="T766" s="123" t="s">
        <v>2724</v>
      </c>
      <c r="U766" s="162" t="s">
        <v>2708</v>
      </c>
      <c r="V766" s="162" t="s">
        <v>57</v>
      </c>
      <c r="W766" s="237" t="s">
        <v>125</v>
      </c>
      <c r="X766" s="173" t="s">
        <v>2709</v>
      </c>
    </row>
    <row r="767" spans="1:24" hidden="1">
      <c r="A767" s="161">
        <v>45915</v>
      </c>
      <c r="B767" s="191">
        <v>22</v>
      </c>
      <c r="C767" s="158" t="s">
        <v>2697</v>
      </c>
      <c r="D767" s="239">
        <v>-4462.5</v>
      </c>
      <c r="E767" s="159">
        <v>1</v>
      </c>
      <c r="F767" s="127">
        <f>Tabla5109[[#This Row],[Original Amount]]*Tabla5109[[#This Row],[ER to EUR]]</f>
        <v>-4462.5</v>
      </c>
      <c r="G767" t="s">
        <v>2790</v>
      </c>
      <c r="H767" s="91" t="s">
        <v>2791</v>
      </c>
      <c r="I767" s="9" t="s">
        <v>2727</v>
      </c>
      <c r="J767" s="37" t="s">
        <v>2723</v>
      </c>
      <c r="K767" s="217" t="s">
        <v>2792</v>
      </c>
      <c r="L767" s="37" t="s">
        <v>2793</v>
      </c>
      <c r="M767" s="32" t="s">
        <v>125</v>
      </c>
      <c r="N767" s="129" t="s">
        <v>2704</v>
      </c>
      <c r="O767" s="122" t="s">
        <v>2704</v>
      </c>
      <c r="P767" s="123" t="str">
        <f t="shared" si="22"/>
        <v>C3-2025</v>
      </c>
      <c r="Q767" s="123" t="str">
        <f t="shared" si="23"/>
        <v>T3-2025</v>
      </c>
      <c r="R767" s="124" t="s">
        <v>2794</v>
      </c>
      <c r="S767" s="123" t="s">
        <v>2731</v>
      </c>
      <c r="T767" s="123" t="s">
        <v>2724</v>
      </c>
      <c r="U767" s="162" t="s">
        <v>2708</v>
      </c>
      <c r="V767" s="162" t="s">
        <v>57</v>
      </c>
      <c r="W767" s="237" t="s">
        <v>125</v>
      </c>
      <c r="X767" s="124" t="s">
        <v>2709</v>
      </c>
    </row>
    <row r="768" spans="1:24" hidden="1">
      <c r="A768" s="161">
        <v>45915</v>
      </c>
      <c r="B768" s="167" t="s">
        <v>3606</v>
      </c>
      <c r="C768" s="158" t="s">
        <v>2543</v>
      </c>
      <c r="D768" s="243">
        <v>-4795630</v>
      </c>
      <c r="E768" s="159">
        <v>8.7900000000000001E-4</v>
      </c>
      <c r="F768" s="127">
        <f>Tabla5109[[#This Row],[Original Amount]]*Tabla5109[[#This Row],[ER to EUR]]</f>
        <v>-4215.3587699999998</v>
      </c>
      <c r="G768" t="s">
        <v>2745</v>
      </c>
      <c r="H768" s="9" t="s">
        <v>3622</v>
      </c>
      <c r="I768" s="9" t="s">
        <v>2727</v>
      </c>
      <c r="J768" s="9" t="s">
        <v>2714</v>
      </c>
      <c r="K768" s="205" t="s">
        <v>2747</v>
      </c>
      <c r="L768" s="9" t="s">
        <v>2716</v>
      </c>
      <c r="M768" s="227" t="s">
        <v>2704</v>
      </c>
      <c r="N768" s="129" t="s">
        <v>2748</v>
      </c>
      <c r="O768" s="122" t="s">
        <v>2704</v>
      </c>
      <c r="P768" s="123" t="str">
        <f t="shared" si="22"/>
        <v>C3-2025</v>
      </c>
      <c r="Q768" s="123" t="str">
        <f t="shared" si="23"/>
        <v>T3-2025</v>
      </c>
      <c r="R768" s="124" t="s">
        <v>2705</v>
      </c>
      <c r="S768" s="124" t="s">
        <v>2706</v>
      </c>
      <c r="T768" s="157" t="s">
        <v>2707</v>
      </c>
      <c r="U768" s="165" t="s">
        <v>2708</v>
      </c>
      <c r="V768" s="165" t="s">
        <v>54</v>
      </c>
      <c r="W768" s="237" t="s">
        <v>125</v>
      </c>
      <c r="X768" s="173" t="s">
        <v>2751</v>
      </c>
    </row>
    <row r="769" spans="1:24" hidden="1">
      <c r="A769" s="161">
        <v>45916</v>
      </c>
      <c r="B769" s="401">
        <v>15453736</v>
      </c>
      <c r="C769" s="38" t="s">
        <v>2548</v>
      </c>
      <c r="D769" s="151">
        <v>-11.2</v>
      </c>
      <c r="E769" s="229">
        <v>0.85382513661202186</v>
      </c>
      <c r="F769" s="127">
        <f>Tabla5109[[#This Row],[Original Amount]]*Tabla5109[[#This Row],[ER to EUR]]</f>
        <v>-9.5628415300546443</v>
      </c>
      <c r="G769" t="s">
        <v>2737</v>
      </c>
      <c r="H769" s="9" t="s">
        <v>3396</v>
      </c>
      <c r="I769" s="9" t="s">
        <v>2755</v>
      </c>
      <c r="J769" s="9" t="s">
        <v>2701</v>
      </c>
      <c r="K769" s="205" t="s">
        <v>2702</v>
      </c>
      <c r="L769" s="9" t="s">
        <v>2740</v>
      </c>
      <c r="M769" s="32" t="s">
        <v>125</v>
      </c>
      <c r="N769" s="129" t="s">
        <v>2704</v>
      </c>
      <c r="O769" s="122" t="s">
        <v>2704</v>
      </c>
      <c r="P769" s="123" t="str">
        <f t="shared" si="22"/>
        <v>C3-2025</v>
      </c>
      <c r="Q769" s="123" t="str">
        <f t="shared" si="23"/>
        <v>T3-2025</v>
      </c>
      <c r="R769" s="124" t="s">
        <v>2741</v>
      </c>
      <c r="S769" s="123" t="s">
        <v>2723</v>
      </c>
      <c r="T769" s="157" t="s">
        <v>2724</v>
      </c>
      <c r="U769" s="165" t="s">
        <v>2708</v>
      </c>
      <c r="V769" s="165" t="s">
        <v>54</v>
      </c>
      <c r="W769" s="237" t="s">
        <v>125</v>
      </c>
      <c r="X769" s="173" t="s">
        <v>2709</v>
      </c>
    </row>
    <row r="770" spans="1:24" hidden="1">
      <c r="A770" s="161">
        <v>45916</v>
      </c>
      <c r="B770" s="200" t="s">
        <v>3703</v>
      </c>
      <c r="C770" s="158" t="s">
        <v>2697</v>
      </c>
      <c r="D770" s="241">
        <v>-99.84</v>
      </c>
      <c r="E770" s="179">
        <v>1</v>
      </c>
      <c r="F770" s="127">
        <f>Tabla5109[[#This Row],[Original Amount]]*Tabla5109[[#This Row],[ER to EUR]]</f>
        <v>-99.84</v>
      </c>
      <c r="G770" t="s">
        <v>3575</v>
      </c>
      <c r="H770" s="9" t="s">
        <v>3704</v>
      </c>
      <c r="I770" s="9" t="s">
        <v>2713</v>
      </c>
      <c r="J770" s="9" t="s">
        <v>2825</v>
      </c>
      <c r="K770" s="205" t="s">
        <v>2826</v>
      </c>
      <c r="L770" s="9" t="s">
        <v>2827</v>
      </c>
      <c r="M770" s="32" t="s">
        <v>125</v>
      </c>
      <c r="N770" s="129" t="s">
        <v>2748</v>
      </c>
      <c r="O770" s="122" t="s">
        <v>2748</v>
      </c>
      <c r="P770" s="123" t="str">
        <f t="shared" ref="P770:P833" si="24">"C"&amp;INT((MONTH(A770)-1)/4)+1&amp;"-"&amp;YEAR(A770)</f>
        <v>C3-2025</v>
      </c>
      <c r="Q770" s="123" t="str">
        <f t="shared" ref="Q770:Q833" si="25">"T"&amp;INT((MONTH(A770)-1)/3)+1&amp;"-"&amp;YEAR(A770)</f>
        <v>T3-2025</v>
      </c>
      <c r="R770" s="124" t="s">
        <v>2705</v>
      </c>
      <c r="S770" s="124" t="s">
        <v>2706</v>
      </c>
      <c r="T770" s="123" t="s">
        <v>2717</v>
      </c>
      <c r="U770" s="165" t="s">
        <v>2708</v>
      </c>
      <c r="V770" s="165" t="s">
        <v>56</v>
      </c>
      <c r="W770" s="237" t="s">
        <v>125</v>
      </c>
      <c r="X770" s="173" t="s">
        <v>2709</v>
      </c>
    </row>
    <row r="771" spans="1:24" hidden="1">
      <c r="A771" s="161">
        <v>45916</v>
      </c>
      <c r="B771" s="200" t="s">
        <v>3703</v>
      </c>
      <c r="C771" s="158" t="s">
        <v>2697</v>
      </c>
      <c r="D771" s="241">
        <v>-143.66</v>
      </c>
      <c r="E771" s="179">
        <v>1</v>
      </c>
      <c r="F771" s="127">
        <f>Tabla5109[[#This Row],[Original Amount]]*Tabla5109[[#This Row],[ER to EUR]]</f>
        <v>-143.66</v>
      </c>
      <c r="G771" t="s">
        <v>3783</v>
      </c>
      <c r="H771" s="9" t="s">
        <v>3704</v>
      </c>
      <c r="I771" s="9" t="s">
        <v>2713</v>
      </c>
      <c r="J771" s="37" t="s">
        <v>2713</v>
      </c>
      <c r="K771" s="217" t="s">
        <v>2713</v>
      </c>
      <c r="L771" s="37" t="s">
        <v>2713</v>
      </c>
      <c r="M771" s="32" t="s">
        <v>125</v>
      </c>
      <c r="N771" s="129" t="s">
        <v>2748</v>
      </c>
      <c r="O771" s="122" t="s">
        <v>2748</v>
      </c>
      <c r="P771" s="123" t="str">
        <f t="shared" si="24"/>
        <v>C3-2025</v>
      </c>
      <c r="Q771" s="123" t="str">
        <f t="shared" si="25"/>
        <v>T3-2025</v>
      </c>
      <c r="R771" s="124" t="s">
        <v>2705</v>
      </c>
      <c r="S771" s="124" t="s">
        <v>2706</v>
      </c>
      <c r="T771" s="157" t="s">
        <v>2717</v>
      </c>
      <c r="U771" s="414" t="s">
        <v>2708</v>
      </c>
      <c r="V771" s="414" t="s">
        <v>54</v>
      </c>
      <c r="W771" s="237" t="s">
        <v>125</v>
      </c>
      <c r="X771" s="124" t="s">
        <v>2709</v>
      </c>
    </row>
    <row r="772" spans="1:24" hidden="1">
      <c r="A772" s="161">
        <v>45917</v>
      </c>
      <c r="B772" s="164">
        <v>86386</v>
      </c>
      <c r="C772" s="158" t="s">
        <v>2697</v>
      </c>
      <c r="D772" s="241">
        <v>-73</v>
      </c>
      <c r="E772" s="159">
        <v>1</v>
      </c>
      <c r="F772" s="127">
        <f>Tabla5109[[#This Row],[Original Amount]]*Tabla5109[[#This Row],[ER to EUR]]</f>
        <v>-73</v>
      </c>
      <c r="G772" t="s">
        <v>3784</v>
      </c>
      <c r="H772" s="73" t="s">
        <v>3785</v>
      </c>
      <c r="I772" s="9" t="s">
        <v>2713</v>
      </c>
      <c r="J772" s="37" t="s">
        <v>2825</v>
      </c>
      <c r="K772" s="217" t="s">
        <v>2826</v>
      </c>
      <c r="L772" s="37" t="s">
        <v>2827</v>
      </c>
      <c r="M772" s="32" t="s">
        <v>125</v>
      </c>
      <c r="N772" s="129" t="s">
        <v>2704</v>
      </c>
      <c r="O772" s="122" t="s">
        <v>2704</v>
      </c>
      <c r="P772" s="123" t="str">
        <f t="shared" si="24"/>
        <v>C3-2025</v>
      </c>
      <c r="Q772" s="123" t="str">
        <f t="shared" si="25"/>
        <v>T3-2025</v>
      </c>
      <c r="R772" s="124" t="s">
        <v>2705</v>
      </c>
      <c r="S772" s="124" t="s">
        <v>2706</v>
      </c>
      <c r="T772" s="123" t="s">
        <v>2717</v>
      </c>
      <c r="U772" s="162" t="s">
        <v>2708</v>
      </c>
      <c r="V772" s="162" t="s">
        <v>56</v>
      </c>
      <c r="W772" s="237" t="s">
        <v>125</v>
      </c>
      <c r="X772" s="124" t="s">
        <v>2709</v>
      </c>
    </row>
    <row r="773" spans="1:24" hidden="1">
      <c r="A773" s="161">
        <v>45917</v>
      </c>
      <c r="B773" s="192" t="s">
        <v>3786</v>
      </c>
      <c r="C773" s="158" t="s">
        <v>2697</v>
      </c>
      <c r="D773" s="241">
        <v>-219.55</v>
      </c>
      <c r="E773" s="159">
        <v>1</v>
      </c>
      <c r="F773" s="127">
        <f>Tabla5109[[#This Row],[Original Amount]]*Tabla5109[[#This Row],[ER to EUR]]</f>
        <v>-219.55</v>
      </c>
      <c r="G773" t="s">
        <v>3116</v>
      </c>
      <c r="H773" s="9" t="s">
        <v>3787</v>
      </c>
      <c r="I773" s="9" t="s">
        <v>2713</v>
      </c>
      <c r="J773" s="9" t="s">
        <v>2701</v>
      </c>
      <c r="K773" s="205" t="s">
        <v>2702</v>
      </c>
      <c r="L773" s="9" t="s">
        <v>2703</v>
      </c>
      <c r="M773" s="32" t="s">
        <v>125</v>
      </c>
      <c r="N773" s="129" t="s">
        <v>2704</v>
      </c>
      <c r="O773" s="122" t="s">
        <v>2704</v>
      </c>
      <c r="P773" s="123" t="str">
        <f t="shared" si="24"/>
        <v>C3-2025</v>
      </c>
      <c r="Q773" s="123" t="str">
        <f t="shared" si="25"/>
        <v>T3-2025</v>
      </c>
      <c r="R773" s="124" t="s">
        <v>2794</v>
      </c>
      <c r="S773" s="123" t="s">
        <v>3041</v>
      </c>
      <c r="T773" s="123" t="s">
        <v>2707</v>
      </c>
      <c r="U773" s="162" t="s">
        <v>51</v>
      </c>
      <c r="V773" s="162" t="s">
        <v>57</v>
      </c>
      <c r="W773" s="237" t="s">
        <v>125</v>
      </c>
      <c r="X773" s="173" t="s">
        <v>2709</v>
      </c>
    </row>
    <row r="774" spans="1:24" hidden="1">
      <c r="A774" s="161">
        <v>45917</v>
      </c>
      <c r="B774" s="216" t="s">
        <v>3788</v>
      </c>
      <c r="C774" s="38" t="s">
        <v>2697</v>
      </c>
      <c r="D774" s="241">
        <v>-31.1</v>
      </c>
      <c r="E774" s="159">
        <v>1</v>
      </c>
      <c r="F774" s="127">
        <f>Tabla5109[[#This Row],[Original Amount]]*Tabla5109[[#This Row],[ER to EUR]]</f>
        <v>-31.1</v>
      </c>
      <c r="G774" t="s">
        <v>3579</v>
      </c>
      <c r="H774" s="9" t="s">
        <v>3789</v>
      </c>
      <c r="I774" s="9" t="s">
        <v>3288</v>
      </c>
      <c r="J774" s="9" t="s">
        <v>2825</v>
      </c>
      <c r="K774" s="205" t="s">
        <v>2826</v>
      </c>
      <c r="L774" s="9" t="s">
        <v>2827</v>
      </c>
      <c r="M774" s="32" t="s">
        <v>125</v>
      </c>
      <c r="N774" s="122" t="s">
        <v>2704</v>
      </c>
      <c r="O774" s="129" t="s">
        <v>2704</v>
      </c>
      <c r="P774" s="123" t="str">
        <f t="shared" si="24"/>
        <v>C3-2025</v>
      </c>
      <c r="Q774" s="123" t="str">
        <f t="shared" si="25"/>
        <v>T3-2025</v>
      </c>
      <c r="R774" s="91" t="s">
        <v>2705</v>
      </c>
      <c r="S774" s="124" t="s">
        <v>2706</v>
      </c>
      <c r="T774" s="123" t="s">
        <v>2717</v>
      </c>
      <c r="U774" s="162" t="s">
        <v>2708</v>
      </c>
      <c r="V774" s="162" t="s">
        <v>56</v>
      </c>
      <c r="W774" s="237" t="s">
        <v>125</v>
      </c>
      <c r="X774" s="124" t="s">
        <v>2709</v>
      </c>
    </row>
    <row r="775" spans="1:24" hidden="1">
      <c r="A775" s="161">
        <v>45917</v>
      </c>
      <c r="B775" s="178" t="s">
        <v>3790</v>
      </c>
      <c r="C775" s="38" t="s">
        <v>2697</v>
      </c>
      <c r="D775" s="241">
        <v>-72</v>
      </c>
      <c r="E775" s="159">
        <v>1</v>
      </c>
      <c r="F775" s="127">
        <f>Tabla5109[[#This Row],[Original Amount]]*Tabla5109[[#This Row],[ER to EUR]]</f>
        <v>-72</v>
      </c>
      <c r="G775" t="s">
        <v>2833</v>
      </c>
      <c r="H775" s="9" t="s">
        <v>2834</v>
      </c>
      <c r="I775" s="9" t="s">
        <v>2713</v>
      </c>
      <c r="J775" s="9" t="s">
        <v>2701</v>
      </c>
      <c r="K775" s="205" t="s">
        <v>2771</v>
      </c>
      <c r="L775" s="211" t="s">
        <v>2818</v>
      </c>
      <c r="M775" s="32" t="s">
        <v>125</v>
      </c>
      <c r="N775" s="122" t="s">
        <v>2704</v>
      </c>
      <c r="O775" s="129" t="s">
        <v>2704</v>
      </c>
      <c r="P775" s="123" t="str">
        <f t="shared" si="24"/>
        <v>C3-2025</v>
      </c>
      <c r="Q775" s="123" t="str">
        <f t="shared" si="25"/>
        <v>T3-2025</v>
      </c>
      <c r="R775" s="91" t="s">
        <v>2819</v>
      </c>
      <c r="S775" s="123" t="s">
        <v>2817</v>
      </c>
      <c r="T775" s="123" t="s">
        <v>2724</v>
      </c>
      <c r="U775" s="162" t="s">
        <v>2708</v>
      </c>
      <c r="V775" s="162" t="s">
        <v>54</v>
      </c>
      <c r="W775" s="237" t="s">
        <v>125</v>
      </c>
      <c r="X775" s="173" t="s">
        <v>2709</v>
      </c>
    </row>
    <row r="776" spans="1:24" hidden="1">
      <c r="A776" s="161">
        <v>45917</v>
      </c>
      <c r="B776" s="200" t="s">
        <v>3703</v>
      </c>
      <c r="C776" s="158" t="s">
        <v>2697</v>
      </c>
      <c r="D776" s="241">
        <v>-33.799999999999997</v>
      </c>
      <c r="E776" s="179">
        <v>1</v>
      </c>
      <c r="F776" s="127">
        <f>Tabla5109[[#This Row],[Original Amount]]*Tabla5109[[#This Row],[ER to EUR]]</f>
        <v>-33.799999999999997</v>
      </c>
      <c r="G776" t="s">
        <v>3791</v>
      </c>
      <c r="H776" s="9" t="s">
        <v>3704</v>
      </c>
      <c r="I776" s="9" t="s">
        <v>2713</v>
      </c>
      <c r="J776" s="9" t="s">
        <v>2825</v>
      </c>
      <c r="K776" s="205" t="s">
        <v>2826</v>
      </c>
      <c r="L776" s="9" t="s">
        <v>2827</v>
      </c>
      <c r="M776" s="32" t="s">
        <v>125</v>
      </c>
      <c r="N776" s="129" t="s">
        <v>2748</v>
      </c>
      <c r="O776" s="122" t="s">
        <v>2748</v>
      </c>
      <c r="P776" s="123" t="str">
        <f t="shared" si="24"/>
        <v>C3-2025</v>
      </c>
      <c r="Q776" s="123" t="str">
        <f t="shared" si="25"/>
        <v>T3-2025</v>
      </c>
      <c r="R776" s="124" t="s">
        <v>2705</v>
      </c>
      <c r="S776" s="124" t="s">
        <v>2706</v>
      </c>
      <c r="T776" s="123" t="s">
        <v>2717</v>
      </c>
      <c r="U776" s="162" t="s">
        <v>2708</v>
      </c>
      <c r="V776" s="162" t="s">
        <v>56</v>
      </c>
      <c r="W776" s="237" t="s">
        <v>125</v>
      </c>
      <c r="X776" s="173" t="s">
        <v>2709</v>
      </c>
    </row>
    <row r="777" spans="1:24" hidden="1">
      <c r="A777" s="161">
        <v>45918</v>
      </c>
      <c r="B777" s="177">
        <v>14125</v>
      </c>
      <c r="C777" s="158" t="s">
        <v>2697</v>
      </c>
      <c r="D777" s="241">
        <v>-700</v>
      </c>
      <c r="E777" s="159">
        <v>1</v>
      </c>
      <c r="F777" s="127">
        <f>Tabla5109[[#This Row],[Original Amount]]*Tabla5109[[#This Row],[ER to EUR]]</f>
        <v>-700</v>
      </c>
      <c r="G777" t="s">
        <v>3792</v>
      </c>
      <c r="H777" s="73" t="s">
        <v>3793</v>
      </c>
      <c r="I777" s="9" t="s">
        <v>2713</v>
      </c>
      <c r="J777" s="9" t="s">
        <v>2825</v>
      </c>
      <c r="K777" s="205" t="s">
        <v>3505</v>
      </c>
      <c r="L777" s="9" t="s">
        <v>3506</v>
      </c>
      <c r="M777" s="32" t="s">
        <v>125</v>
      </c>
      <c r="N777" s="129" t="s">
        <v>2704</v>
      </c>
      <c r="O777" s="122" t="s">
        <v>2704</v>
      </c>
      <c r="P777" s="123" t="str">
        <f t="shared" si="24"/>
        <v>C3-2025</v>
      </c>
      <c r="Q777" s="123" t="str">
        <f t="shared" si="25"/>
        <v>T3-2025</v>
      </c>
      <c r="R777" s="124" t="s">
        <v>2705</v>
      </c>
      <c r="S777" s="124" t="s">
        <v>2706</v>
      </c>
      <c r="T777" s="123" t="s">
        <v>2717</v>
      </c>
      <c r="U777" s="162" t="s">
        <v>2708</v>
      </c>
      <c r="V777" s="162" t="s">
        <v>56</v>
      </c>
      <c r="W777" s="237" t="s">
        <v>125</v>
      </c>
      <c r="X777" s="173" t="s">
        <v>2709</v>
      </c>
    </row>
    <row r="778" spans="1:24" hidden="1">
      <c r="A778" s="161">
        <v>45918</v>
      </c>
      <c r="B778" s="199">
        <v>1963733</v>
      </c>
      <c r="C778" s="158" t="s">
        <v>2697</v>
      </c>
      <c r="D778" s="241">
        <v>-187.25</v>
      </c>
      <c r="E778" s="159">
        <v>1</v>
      </c>
      <c r="F778" s="127">
        <f>Tabla5109[[#This Row],[Original Amount]]*Tabla5109[[#This Row],[ER to EUR]]</f>
        <v>-187.25</v>
      </c>
      <c r="G778" t="s">
        <v>2815</v>
      </c>
      <c r="H778" s="73" t="s">
        <v>2816</v>
      </c>
      <c r="I778" s="9" t="s">
        <v>2727</v>
      </c>
      <c r="J778" s="9" t="s">
        <v>2817</v>
      </c>
      <c r="K778" s="205" t="s">
        <v>2702</v>
      </c>
      <c r="L778" s="9" t="s">
        <v>2818</v>
      </c>
      <c r="M778" s="32" t="s">
        <v>125</v>
      </c>
      <c r="N778" s="129" t="s">
        <v>2704</v>
      </c>
      <c r="O778" s="122" t="s">
        <v>2704</v>
      </c>
      <c r="P778" s="123" t="str">
        <f t="shared" si="24"/>
        <v>C3-2025</v>
      </c>
      <c r="Q778" s="123" t="str">
        <f t="shared" si="25"/>
        <v>T3-2025</v>
      </c>
      <c r="R778" s="124" t="s">
        <v>2819</v>
      </c>
      <c r="S778" s="123" t="s">
        <v>2723</v>
      </c>
      <c r="T778" s="123" t="s">
        <v>2724</v>
      </c>
      <c r="U778" s="162" t="s">
        <v>2708</v>
      </c>
      <c r="V778" s="162" t="s">
        <v>54</v>
      </c>
      <c r="W778" s="237" t="s">
        <v>125</v>
      </c>
      <c r="X778" s="173" t="s">
        <v>2709</v>
      </c>
    </row>
    <row r="779" spans="1:24" hidden="1">
      <c r="A779" s="161">
        <v>45918</v>
      </c>
      <c r="B779" s="192" t="s">
        <v>3794</v>
      </c>
      <c r="C779" s="158" t="s">
        <v>2697</v>
      </c>
      <c r="D779" s="139">
        <v>-220.5</v>
      </c>
      <c r="E779" s="159">
        <v>1</v>
      </c>
      <c r="F779" s="127">
        <f>Tabla5109[[#This Row],[Original Amount]]*Tabla5109[[#This Row],[ER to EUR]]</f>
        <v>-220.5</v>
      </c>
      <c r="G779" t="s">
        <v>2753</v>
      </c>
      <c r="H779" s="73" t="s">
        <v>3795</v>
      </c>
      <c r="I779" s="9" t="s">
        <v>2755</v>
      </c>
      <c r="J779" s="9" t="s">
        <v>2701</v>
      </c>
      <c r="K779" s="205" t="s">
        <v>2702</v>
      </c>
      <c r="L779" s="9" t="s">
        <v>2703</v>
      </c>
      <c r="M779" s="32" t="s">
        <v>125</v>
      </c>
      <c r="N779" s="129" t="s">
        <v>2704</v>
      </c>
      <c r="O779" s="122" t="s">
        <v>2704</v>
      </c>
      <c r="P779" s="123" t="str">
        <f t="shared" si="24"/>
        <v>C3-2025</v>
      </c>
      <c r="Q779" s="123" t="str">
        <f t="shared" si="25"/>
        <v>T3-2025</v>
      </c>
      <c r="R779" s="124" t="s">
        <v>2705</v>
      </c>
      <c r="S779" s="124" t="s">
        <v>2706</v>
      </c>
      <c r="T779" s="157" t="s">
        <v>2707</v>
      </c>
      <c r="U779" s="165" t="s">
        <v>2708</v>
      </c>
      <c r="V779" s="165" t="s">
        <v>56</v>
      </c>
      <c r="W779" s="237" t="s">
        <v>125</v>
      </c>
      <c r="X779" s="173" t="s">
        <v>2709</v>
      </c>
    </row>
    <row r="780" spans="1:24" hidden="1">
      <c r="A780" s="161">
        <v>45918</v>
      </c>
      <c r="B780" s="167" t="s">
        <v>3796</v>
      </c>
      <c r="C780" s="158" t="s">
        <v>2697</v>
      </c>
      <c r="D780" s="239">
        <v>-206.71</v>
      </c>
      <c r="E780" s="159">
        <v>1</v>
      </c>
      <c r="F780" s="127">
        <f>Tabla5109[[#This Row],[Original Amount]]*Tabla5109[[#This Row],[ER to EUR]]</f>
        <v>-206.71</v>
      </c>
      <c r="G780" t="s">
        <v>2839</v>
      </c>
      <c r="H780" s="73" t="s">
        <v>2840</v>
      </c>
      <c r="I780" s="9" t="s">
        <v>2784</v>
      </c>
      <c r="J780" s="37" t="s">
        <v>2701</v>
      </c>
      <c r="K780" s="217" t="s">
        <v>2702</v>
      </c>
      <c r="L780" s="37" t="s">
        <v>2703</v>
      </c>
      <c r="M780" s="38" t="s">
        <v>125</v>
      </c>
      <c r="N780" s="129" t="s">
        <v>2704</v>
      </c>
      <c r="O780" s="122" t="s">
        <v>2704</v>
      </c>
      <c r="P780" s="123" t="str">
        <f t="shared" si="24"/>
        <v>C3-2025</v>
      </c>
      <c r="Q780" s="123" t="str">
        <f t="shared" si="25"/>
        <v>T3-2025</v>
      </c>
      <c r="R780" s="124" t="s">
        <v>2705</v>
      </c>
      <c r="S780" s="124" t="s">
        <v>2706</v>
      </c>
      <c r="T780" s="123" t="s">
        <v>2707</v>
      </c>
      <c r="U780" s="162" t="s">
        <v>2708</v>
      </c>
      <c r="V780" s="162" t="s">
        <v>56</v>
      </c>
      <c r="W780" s="237" t="s">
        <v>125</v>
      </c>
      <c r="X780" s="173" t="s">
        <v>2709</v>
      </c>
    </row>
    <row r="781" spans="1:24" hidden="1">
      <c r="A781" s="161">
        <v>45918</v>
      </c>
      <c r="B781" s="714" t="s">
        <v>3703</v>
      </c>
      <c r="C781" s="158" t="s">
        <v>2697</v>
      </c>
      <c r="D781" s="239">
        <v>-62.7</v>
      </c>
      <c r="E781" s="179">
        <v>1</v>
      </c>
      <c r="F781" s="127">
        <f>Tabla5109[[#This Row],[Original Amount]]*Tabla5109[[#This Row],[ER to EUR]]</f>
        <v>-62.7</v>
      </c>
      <c r="G781" t="s">
        <v>3783</v>
      </c>
      <c r="H781" s="9" t="s">
        <v>3704</v>
      </c>
      <c r="I781" s="9" t="s">
        <v>2713</v>
      </c>
      <c r="J781" s="37" t="s">
        <v>2713</v>
      </c>
      <c r="K781" s="217" t="s">
        <v>2713</v>
      </c>
      <c r="L781" s="37" t="s">
        <v>2713</v>
      </c>
      <c r="M781" s="32" t="s">
        <v>125</v>
      </c>
      <c r="N781" s="129" t="s">
        <v>2748</v>
      </c>
      <c r="O781" s="122" t="s">
        <v>2748</v>
      </c>
      <c r="P781" s="123" t="str">
        <f t="shared" si="24"/>
        <v>C3-2025</v>
      </c>
      <c r="Q781" s="123" t="str">
        <f t="shared" si="25"/>
        <v>T3-2025</v>
      </c>
      <c r="R781" s="124" t="s">
        <v>2705</v>
      </c>
      <c r="S781" s="124" t="s">
        <v>2706</v>
      </c>
      <c r="T781" s="123" t="s">
        <v>2717</v>
      </c>
      <c r="U781" s="203" t="s">
        <v>2708</v>
      </c>
      <c r="V781" s="203" t="s">
        <v>54</v>
      </c>
      <c r="W781" s="237" t="s">
        <v>125</v>
      </c>
      <c r="X781" s="124" t="s">
        <v>2709</v>
      </c>
    </row>
    <row r="782" spans="1:24" hidden="1">
      <c r="A782" s="161">
        <v>45918</v>
      </c>
      <c r="B782" s="714" t="s">
        <v>3703</v>
      </c>
      <c r="C782" s="158" t="s">
        <v>2697</v>
      </c>
      <c r="D782" s="239">
        <v>-32.840000000000003</v>
      </c>
      <c r="E782" s="179">
        <v>1</v>
      </c>
      <c r="F782" s="127">
        <f>Tabla5109[[#This Row],[Original Amount]]*Tabla5109[[#This Row],[ER to EUR]]</f>
        <v>-32.840000000000003</v>
      </c>
      <c r="G782" t="s">
        <v>3776</v>
      </c>
      <c r="H782" s="73" t="s">
        <v>3777</v>
      </c>
      <c r="I782" s="9" t="s">
        <v>2713</v>
      </c>
      <c r="J782" s="171" t="s">
        <v>2825</v>
      </c>
      <c r="K782" s="411" t="s">
        <v>2826</v>
      </c>
      <c r="L782" s="171" t="s">
        <v>2827</v>
      </c>
      <c r="M782" s="32" t="s">
        <v>125</v>
      </c>
      <c r="N782" s="129" t="s">
        <v>2748</v>
      </c>
      <c r="O782" s="129" t="s">
        <v>2748</v>
      </c>
      <c r="P782" s="123" t="str">
        <f t="shared" si="24"/>
        <v>C3-2025</v>
      </c>
      <c r="Q782" s="123" t="str">
        <f t="shared" si="25"/>
        <v>T3-2025</v>
      </c>
      <c r="R782" s="124" t="s">
        <v>2705</v>
      </c>
      <c r="S782" s="124" t="s">
        <v>2706</v>
      </c>
      <c r="T782" s="123" t="s">
        <v>2717</v>
      </c>
      <c r="U782" s="203" t="s">
        <v>2708</v>
      </c>
      <c r="V782" s="203" t="s">
        <v>56</v>
      </c>
      <c r="W782" s="237" t="s">
        <v>125</v>
      </c>
      <c r="X782" s="124" t="s">
        <v>2709</v>
      </c>
    </row>
    <row r="783" spans="1:24" hidden="1">
      <c r="A783" s="161">
        <v>45918</v>
      </c>
      <c r="B783" s="714" t="s">
        <v>3703</v>
      </c>
      <c r="C783" s="158" t="s">
        <v>2697</v>
      </c>
      <c r="D783" s="239">
        <v>-155.04</v>
      </c>
      <c r="E783" s="179">
        <v>1</v>
      </c>
      <c r="F783" s="127">
        <f>Tabla5109[[#This Row],[Original Amount]]*Tabla5109[[#This Row],[ER to EUR]]</f>
        <v>-155.04</v>
      </c>
      <c r="G783" t="s">
        <v>3776</v>
      </c>
      <c r="H783" s="73" t="s">
        <v>3777</v>
      </c>
      <c r="I783" s="9" t="s">
        <v>2713</v>
      </c>
      <c r="J783" s="91" t="s">
        <v>2825</v>
      </c>
      <c r="K783" s="196" t="s">
        <v>2826</v>
      </c>
      <c r="L783" s="91" t="s">
        <v>2827</v>
      </c>
      <c r="M783" s="32" t="s">
        <v>125</v>
      </c>
      <c r="N783" s="129" t="s">
        <v>2748</v>
      </c>
      <c r="O783" s="129" t="s">
        <v>2748</v>
      </c>
      <c r="P783" s="123" t="str">
        <f t="shared" si="24"/>
        <v>C3-2025</v>
      </c>
      <c r="Q783" s="123" t="str">
        <f t="shared" si="25"/>
        <v>T3-2025</v>
      </c>
      <c r="R783" s="124" t="s">
        <v>2705</v>
      </c>
      <c r="S783" s="124" t="s">
        <v>2706</v>
      </c>
      <c r="T783" s="157" t="s">
        <v>2717</v>
      </c>
      <c r="U783" s="414" t="s">
        <v>2708</v>
      </c>
      <c r="V783" s="414" t="s">
        <v>56</v>
      </c>
      <c r="W783" s="237" t="s">
        <v>125</v>
      </c>
      <c r="X783" s="173" t="s">
        <v>2709</v>
      </c>
    </row>
    <row r="784" spans="1:24" hidden="1">
      <c r="A784" s="161">
        <v>45918</v>
      </c>
      <c r="B784" s="200" t="s">
        <v>3703</v>
      </c>
      <c r="C784" s="158" t="s">
        <v>2697</v>
      </c>
      <c r="D784" s="126">
        <v>-15</v>
      </c>
      <c r="E784" s="179">
        <v>1</v>
      </c>
      <c r="F784" s="127">
        <f>Tabla5109[[#This Row],[Original Amount]]*Tabla5109[[#This Row],[ER to EUR]]</f>
        <v>-15</v>
      </c>
      <c r="G784" t="s">
        <v>3791</v>
      </c>
      <c r="H784" s="9" t="s">
        <v>3704</v>
      </c>
      <c r="I784" s="9" t="s">
        <v>2713</v>
      </c>
      <c r="J784" s="9" t="s">
        <v>2825</v>
      </c>
      <c r="K784" s="205" t="s">
        <v>2826</v>
      </c>
      <c r="L784" s="9" t="s">
        <v>2827</v>
      </c>
      <c r="M784" s="32" t="s">
        <v>125</v>
      </c>
      <c r="N784" s="129" t="s">
        <v>2748</v>
      </c>
      <c r="O784" s="122" t="s">
        <v>2748</v>
      </c>
      <c r="P784" s="123" t="str">
        <f t="shared" si="24"/>
        <v>C3-2025</v>
      </c>
      <c r="Q784" s="123" t="str">
        <f t="shared" si="25"/>
        <v>T3-2025</v>
      </c>
      <c r="R784" s="124" t="s">
        <v>2705</v>
      </c>
      <c r="S784" s="124" t="s">
        <v>2706</v>
      </c>
      <c r="T784" s="123" t="s">
        <v>2717</v>
      </c>
      <c r="U784" s="162" t="s">
        <v>2708</v>
      </c>
      <c r="V784" s="162" t="s">
        <v>56</v>
      </c>
      <c r="W784" s="237" t="s">
        <v>125</v>
      </c>
      <c r="X784" s="173" t="s">
        <v>2709</v>
      </c>
    </row>
    <row r="785" spans="1:24" hidden="1">
      <c r="A785" s="161">
        <v>45918</v>
      </c>
      <c r="B785" s="200" t="s">
        <v>3703</v>
      </c>
      <c r="C785" s="158" t="s">
        <v>2697</v>
      </c>
      <c r="D785" s="126">
        <v>-30</v>
      </c>
      <c r="E785" s="179">
        <v>1</v>
      </c>
      <c r="F785" s="127">
        <f>Tabla5109[[#This Row],[Original Amount]]*Tabla5109[[#This Row],[ER to EUR]]</f>
        <v>-30</v>
      </c>
      <c r="G785" t="s">
        <v>3791</v>
      </c>
      <c r="H785" s="9" t="s">
        <v>3704</v>
      </c>
      <c r="I785" s="9" t="s">
        <v>2713</v>
      </c>
      <c r="J785" s="9" t="s">
        <v>2825</v>
      </c>
      <c r="K785" s="205" t="s">
        <v>2826</v>
      </c>
      <c r="L785" s="9" t="s">
        <v>2827</v>
      </c>
      <c r="M785" s="32" t="s">
        <v>125</v>
      </c>
      <c r="N785" s="129" t="s">
        <v>2748</v>
      </c>
      <c r="O785" s="122" t="s">
        <v>2748</v>
      </c>
      <c r="P785" s="123" t="str">
        <f t="shared" si="24"/>
        <v>C3-2025</v>
      </c>
      <c r="Q785" s="123" t="str">
        <f t="shared" si="25"/>
        <v>T3-2025</v>
      </c>
      <c r="R785" s="124" t="s">
        <v>2705</v>
      </c>
      <c r="S785" s="124" t="s">
        <v>2706</v>
      </c>
      <c r="T785" s="123" t="s">
        <v>2717</v>
      </c>
      <c r="U785" s="162" t="s">
        <v>2708</v>
      </c>
      <c r="V785" s="162" t="s">
        <v>56</v>
      </c>
      <c r="W785" s="237" t="s">
        <v>125</v>
      </c>
      <c r="X785" s="173" t="s">
        <v>2709</v>
      </c>
    </row>
    <row r="786" spans="1:24" hidden="1">
      <c r="A786" s="161">
        <v>45918</v>
      </c>
      <c r="B786" s="714" t="s">
        <v>3703</v>
      </c>
      <c r="C786" s="158" t="s">
        <v>2697</v>
      </c>
      <c r="D786" s="239">
        <v>-80.3</v>
      </c>
      <c r="E786" s="179">
        <v>1</v>
      </c>
      <c r="F786" s="127">
        <f>Tabla5109[[#This Row],[Original Amount]]*Tabla5109[[#This Row],[ER to EUR]]</f>
        <v>-80.3</v>
      </c>
      <c r="G786" t="s">
        <v>3783</v>
      </c>
      <c r="H786" s="9" t="s">
        <v>3704</v>
      </c>
      <c r="I786" s="9" t="s">
        <v>2713</v>
      </c>
      <c r="J786" s="9" t="s">
        <v>2713</v>
      </c>
      <c r="K786" s="205" t="s">
        <v>2713</v>
      </c>
      <c r="L786" s="9" t="s">
        <v>2713</v>
      </c>
      <c r="M786" s="32" t="s">
        <v>125</v>
      </c>
      <c r="N786" s="129" t="s">
        <v>2748</v>
      </c>
      <c r="O786" s="122" t="s">
        <v>2748</v>
      </c>
      <c r="P786" s="123" t="str">
        <f t="shared" si="24"/>
        <v>C3-2025</v>
      </c>
      <c r="Q786" s="123" t="str">
        <f t="shared" si="25"/>
        <v>T3-2025</v>
      </c>
      <c r="R786" s="124" t="s">
        <v>2705</v>
      </c>
      <c r="S786" s="124" t="s">
        <v>2706</v>
      </c>
      <c r="T786" s="123" t="s">
        <v>2717</v>
      </c>
      <c r="U786" s="203" t="s">
        <v>2708</v>
      </c>
      <c r="V786" s="203" t="s">
        <v>54</v>
      </c>
      <c r="W786" s="237" t="s">
        <v>125</v>
      </c>
      <c r="X786" s="173" t="s">
        <v>2709</v>
      </c>
    </row>
    <row r="787" spans="1:24" hidden="1">
      <c r="A787" s="161">
        <v>45919</v>
      </c>
      <c r="B787" s="403">
        <v>17397015</v>
      </c>
      <c r="C787" s="158" t="s">
        <v>2697</v>
      </c>
      <c r="D787" s="239">
        <v>-6</v>
      </c>
      <c r="E787" s="159">
        <v>1</v>
      </c>
      <c r="F787" s="127">
        <f>Tabla5109[[#This Row],[Original Amount]]*Tabla5109[[#This Row],[ER to EUR]]</f>
        <v>-6</v>
      </c>
      <c r="G787" t="s">
        <v>3797</v>
      </c>
      <c r="H787" s="73" t="s">
        <v>3798</v>
      </c>
      <c r="I787" s="9" t="s">
        <v>3757</v>
      </c>
      <c r="J787" s="9" t="s">
        <v>2701</v>
      </c>
      <c r="K787" s="205" t="s">
        <v>2826</v>
      </c>
      <c r="L787" s="9" t="s">
        <v>2703</v>
      </c>
      <c r="M787" s="32" t="s">
        <v>125</v>
      </c>
      <c r="N787" s="129" t="s">
        <v>2704</v>
      </c>
      <c r="O787" s="122" t="s">
        <v>2704</v>
      </c>
      <c r="P787" s="123" t="str">
        <f t="shared" si="24"/>
        <v>C3-2025</v>
      </c>
      <c r="Q787" s="123" t="str">
        <f t="shared" si="25"/>
        <v>T3-2025</v>
      </c>
      <c r="R787" s="124" t="s">
        <v>2705</v>
      </c>
      <c r="S787" s="124" t="s">
        <v>2706</v>
      </c>
      <c r="T787" s="157" t="s">
        <v>2717</v>
      </c>
      <c r="U787" s="165" t="s">
        <v>2708</v>
      </c>
      <c r="V787" s="165" t="s">
        <v>56</v>
      </c>
      <c r="W787" s="237" t="s">
        <v>125</v>
      </c>
      <c r="X787" s="173" t="s">
        <v>2709</v>
      </c>
    </row>
    <row r="788" spans="1:24" hidden="1">
      <c r="A788" s="161">
        <v>45919</v>
      </c>
      <c r="B788" s="167" t="s">
        <v>3799</v>
      </c>
      <c r="C788" s="158" t="s">
        <v>2697</v>
      </c>
      <c r="D788" s="239">
        <v>-192.44</v>
      </c>
      <c r="E788" s="159">
        <v>1</v>
      </c>
      <c r="F788" s="127">
        <f>Tabla5109[[#This Row],[Original Amount]]*Tabla5109[[#This Row],[ER to EUR]]</f>
        <v>-192.44</v>
      </c>
      <c r="G788" t="s">
        <v>2766</v>
      </c>
      <c r="H788" s="9" t="s">
        <v>3721</v>
      </c>
      <c r="I788" s="9" t="s">
        <v>2713</v>
      </c>
      <c r="J788" s="9" t="s">
        <v>2701</v>
      </c>
      <c r="K788" s="205" t="s">
        <v>2702</v>
      </c>
      <c r="L788" s="9" t="s">
        <v>2760</v>
      </c>
      <c r="M788" s="32" t="s">
        <v>125</v>
      </c>
      <c r="N788" s="129" t="s">
        <v>2704</v>
      </c>
      <c r="O788" s="122" t="s">
        <v>2704</v>
      </c>
      <c r="P788" s="123" t="str">
        <f t="shared" si="24"/>
        <v>C3-2025</v>
      </c>
      <c r="Q788" s="123" t="str">
        <f t="shared" si="25"/>
        <v>T3-2025</v>
      </c>
      <c r="R788" s="124" t="s">
        <v>2705</v>
      </c>
      <c r="S788" s="123" t="s">
        <v>2735</v>
      </c>
      <c r="T788" s="123" t="s">
        <v>2724</v>
      </c>
      <c r="U788" s="162" t="s">
        <v>2708</v>
      </c>
      <c r="V788" s="162" t="s">
        <v>55</v>
      </c>
      <c r="W788" s="237" t="s">
        <v>125</v>
      </c>
      <c r="X788" s="173" t="s">
        <v>2709</v>
      </c>
    </row>
    <row r="789" spans="1:24" hidden="1">
      <c r="A789" s="161">
        <v>45919</v>
      </c>
      <c r="B789" s="192" t="s">
        <v>3800</v>
      </c>
      <c r="C789" s="158" t="s">
        <v>2697</v>
      </c>
      <c r="D789" s="239">
        <v>-1107.9000000000001</v>
      </c>
      <c r="E789" s="159">
        <v>1</v>
      </c>
      <c r="F789" s="127">
        <f>Tabla5109[[#This Row],[Original Amount]]*Tabla5109[[#This Row],[ER to EUR]]</f>
        <v>-1107.9000000000001</v>
      </c>
      <c r="G789" t="s">
        <v>3784</v>
      </c>
      <c r="H789" s="73" t="s">
        <v>3801</v>
      </c>
      <c r="I789" s="9" t="s">
        <v>2713</v>
      </c>
      <c r="J789" s="9" t="s">
        <v>2825</v>
      </c>
      <c r="K789" s="205" t="s">
        <v>2826</v>
      </c>
      <c r="L789" s="9" t="s">
        <v>2827</v>
      </c>
      <c r="M789" s="32" t="s">
        <v>125</v>
      </c>
      <c r="N789" s="129" t="s">
        <v>2704</v>
      </c>
      <c r="O789" s="122" t="s">
        <v>2704</v>
      </c>
      <c r="P789" s="123" t="str">
        <f t="shared" si="24"/>
        <v>C3-2025</v>
      </c>
      <c r="Q789" s="123" t="str">
        <f t="shared" si="25"/>
        <v>T3-2025</v>
      </c>
      <c r="R789" s="124" t="s">
        <v>2705</v>
      </c>
      <c r="S789" s="124" t="s">
        <v>2706</v>
      </c>
      <c r="T789" s="123" t="s">
        <v>2717</v>
      </c>
      <c r="U789" s="165" t="s">
        <v>2708</v>
      </c>
      <c r="V789" s="165" t="s">
        <v>56</v>
      </c>
      <c r="W789" s="237" t="s">
        <v>125</v>
      </c>
      <c r="X789" s="173" t="s">
        <v>2709</v>
      </c>
    </row>
    <row r="790" spans="1:24" hidden="1">
      <c r="A790" s="161">
        <v>45919</v>
      </c>
      <c r="B790" s="192" t="s">
        <v>3802</v>
      </c>
      <c r="C790" s="158" t="s">
        <v>2697</v>
      </c>
      <c r="D790" s="239">
        <v>-948.6</v>
      </c>
      <c r="E790" s="159">
        <v>1</v>
      </c>
      <c r="F790" s="127">
        <f>Tabla5109[[#This Row],[Original Amount]]*Tabla5109[[#This Row],[ER to EUR]]</f>
        <v>-948.6</v>
      </c>
      <c r="G790" t="s">
        <v>3784</v>
      </c>
      <c r="H790" s="73" t="s">
        <v>3803</v>
      </c>
      <c r="I790" s="9" t="s">
        <v>2713</v>
      </c>
      <c r="J790" s="9" t="s">
        <v>2825</v>
      </c>
      <c r="K790" s="205" t="s">
        <v>2826</v>
      </c>
      <c r="L790" s="9" t="s">
        <v>2827</v>
      </c>
      <c r="M790" s="32" t="s">
        <v>125</v>
      </c>
      <c r="N790" s="129" t="s">
        <v>2704</v>
      </c>
      <c r="O790" s="122" t="s">
        <v>2704</v>
      </c>
      <c r="P790" s="123" t="str">
        <f t="shared" si="24"/>
        <v>C3-2025</v>
      </c>
      <c r="Q790" s="123" t="str">
        <f t="shared" si="25"/>
        <v>T3-2025</v>
      </c>
      <c r="R790" s="124" t="s">
        <v>2705</v>
      </c>
      <c r="S790" s="124" t="s">
        <v>2706</v>
      </c>
      <c r="T790" s="123" t="s">
        <v>2717</v>
      </c>
      <c r="U790" s="165" t="s">
        <v>2708</v>
      </c>
      <c r="V790" s="165" t="s">
        <v>56</v>
      </c>
      <c r="W790" s="237" t="s">
        <v>125</v>
      </c>
      <c r="X790" s="173" t="s">
        <v>2709</v>
      </c>
    </row>
    <row r="791" spans="1:24" hidden="1">
      <c r="A791" s="161">
        <v>45919</v>
      </c>
      <c r="B791" s="391" t="s">
        <v>3703</v>
      </c>
      <c r="C791" s="158" t="s">
        <v>2697</v>
      </c>
      <c r="D791" s="239">
        <v>-28.67</v>
      </c>
      <c r="E791" s="159">
        <v>1</v>
      </c>
      <c r="F791" s="127">
        <f>Tabla5109[[#This Row],[Original Amount]]*Tabla5109[[#This Row],[ER to EUR]]</f>
        <v>-28.67</v>
      </c>
      <c r="G791" s="9" t="s">
        <v>3776</v>
      </c>
      <c r="H791" s="73" t="s">
        <v>3777</v>
      </c>
      <c r="I791" s="9" t="s">
        <v>2713</v>
      </c>
      <c r="J791" s="9" t="s">
        <v>2825</v>
      </c>
      <c r="K791" s="205" t="s">
        <v>2826</v>
      </c>
      <c r="L791" s="9" t="s">
        <v>2827</v>
      </c>
      <c r="M791" s="32" t="s">
        <v>125</v>
      </c>
      <c r="N791" s="129" t="s">
        <v>2748</v>
      </c>
      <c r="O791" s="122" t="s">
        <v>2748</v>
      </c>
      <c r="P791" s="123" t="str">
        <f t="shared" si="24"/>
        <v>C3-2025</v>
      </c>
      <c r="Q791" s="123" t="str">
        <f t="shared" si="25"/>
        <v>T3-2025</v>
      </c>
      <c r="R791" s="124" t="s">
        <v>2705</v>
      </c>
      <c r="S791" s="124" t="s">
        <v>2706</v>
      </c>
      <c r="T791" s="123" t="s">
        <v>2717</v>
      </c>
      <c r="U791" s="203" t="s">
        <v>2708</v>
      </c>
      <c r="V791" s="203" t="s">
        <v>56</v>
      </c>
      <c r="W791" s="237" t="s">
        <v>125</v>
      </c>
      <c r="X791" s="173" t="s">
        <v>2709</v>
      </c>
    </row>
    <row r="792" spans="1:24" hidden="1">
      <c r="A792" s="161">
        <v>45919</v>
      </c>
      <c r="B792" s="164">
        <v>9122</v>
      </c>
      <c r="C792" s="158" t="s">
        <v>2697</v>
      </c>
      <c r="D792" s="239">
        <v>-120.6</v>
      </c>
      <c r="E792" s="159">
        <v>1</v>
      </c>
      <c r="F792" s="127">
        <f>Tabla5109[[#This Row],[Original Amount]]*Tabla5109[[#This Row],[ER to EUR]]</f>
        <v>-120.6</v>
      </c>
      <c r="G792" t="s">
        <v>3579</v>
      </c>
      <c r="H792" s="73" t="s">
        <v>3804</v>
      </c>
      <c r="I792" s="9" t="s">
        <v>2713</v>
      </c>
      <c r="J792" s="9" t="s">
        <v>2825</v>
      </c>
      <c r="K792" s="205" t="s">
        <v>2826</v>
      </c>
      <c r="L792" s="9" t="s">
        <v>2827</v>
      </c>
      <c r="M792" s="32" t="s">
        <v>125</v>
      </c>
      <c r="N792" s="129" t="s">
        <v>2704</v>
      </c>
      <c r="O792" s="122" t="s">
        <v>2704</v>
      </c>
      <c r="P792" s="123" t="str">
        <f t="shared" si="24"/>
        <v>C3-2025</v>
      </c>
      <c r="Q792" s="123" t="str">
        <f t="shared" si="25"/>
        <v>T3-2025</v>
      </c>
      <c r="R792" s="124" t="s">
        <v>2705</v>
      </c>
      <c r="S792" s="124" t="s">
        <v>2706</v>
      </c>
      <c r="T792" s="123" t="s">
        <v>2717</v>
      </c>
      <c r="U792" s="162" t="s">
        <v>2708</v>
      </c>
      <c r="V792" s="162" t="s">
        <v>56</v>
      </c>
      <c r="W792" s="237" t="s">
        <v>125</v>
      </c>
      <c r="X792" s="173" t="s">
        <v>2709</v>
      </c>
    </row>
    <row r="793" spans="1:24" hidden="1">
      <c r="A793" s="161">
        <v>45920</v>
      </c>
      <c r="B793" s="164" t="s">
        <v>3805</v>
      </c>
      <c r="C793" s="158" t="s">
        <v>2697</v>
      </c>
      <c r="D793" s="126">
        <v>-19.329999999999998</v>
      </c>
      <c r="E793" s="159">
        <v>1</v>
      </c>
      <c r="F793" s="127">
        <f>Tabla5109[[#This Row],[Original Amount]]*Tabla5109[[#This Row],[ER to EUR]]</f>
        <v>-19.329999999999998</v>
      </c>
      <c r="G793" t="s">
        <v>2996</v>
      </c>
      <c r="H793" s="73" t="s">
        <v>2997</v>
      </c>
      <c r="I793" s="9" t="s">
        <v>2727</v>
      </c>
      <c r="J793" s="9" t="s">
        <v>2701</v>
      </c>
      <c r="K793" s="205" t="s">
        <v>2702</v>
      </c>
      <c r="L793" s="9" t="s">
        <v>2703</v>
      </c>
      <c r="M793" s="32" t="s">
        <v>125</v>
      </c>
      <c r="N793" s="129" t="s">
        <v>2704</v>
      </c>
      <c r="O793" s="122" t="s">
        <v>2704</v>
      </c>
      <c r="P793" s="123" t="str">
        <f t="shared" si="24"/>
        <v>C3-2025</v>
      </c>
      <c r="Q793" s="123" t="str">
        <f t="shared" si="25"/>
        <v>T3-2025</v>
      </c>
      <c r="R793" s="124" t="s">
        <v>2705</v>
      </c>
      <c r="S793" s="123" t="s">
        <v>2735</v>
      </c>
      <c r="T793" s="123" t="s">
        <v>2724</v>
      </c>
      <c r="U793" s="162" t="s">
        <v>2708</v>
      </c>
      <c r="V793" s="162" t="s">
        <v>56</v>
      </c>
      <c r="W793" s="237" t="s">
        <v>125</v>
      </c>
      <c r="X793" s="173" t="s">
        <v>2709</v>
      </c>
    </row>
    <row r="794" spans="1:24" hidden="1">
      <c r="A794" s="161">
        <v>45920</v>
      </c>
      <c r="B794" s="164">
        <v>53</v>
      </c>
      <c r="C794" s="158" t="s">
        <v>2543</v>
      </c>
      <c r="D794" s="147">
        <v>-2118250</v>
      </c>
      <c r="E794" s="159">
        <v>8.7900000000000001E-4</v>
      </c>
      <c r="F794" s="127">
        <f>Tabla5109[[#This Row],[Original Amount]]*Tabla5109[[#This Row],[ER to EUR]]</f>
        <v>-1861.94175</v>
      </c>
      <c r="G794" t="s">
        <v>3566</v>
      </c>
      <c r="H794" s="9" t="s">
        <v>3806</v>
      </c>
      <c r="I794" s="9" t="s">
        <v>2713</v>
      </c>
      <c r="J794" s="9" t="s">
        <v>2714</v>
      </c>
      <c r="K794" s="4" t="s">
        <v>2747</v>
      </c>
      <c r="L794" t="s">
        <v>2864</v>
      </c>
      <c r="M794" s="226" t="s">
        <v>2748</v>
      </c>
      <c r="N794" s="129" t="s">
        <v>2704</v>
      </c>
      <c r="O794" s="122" t="s">
        <v>2704</v>
      </c>
      <c r="P794" s="123" t="str">
        <f t="shared" si="24"/>
        <v>C3-2025</v>
      </c>
      <c r="Q794" s="123" t="str">
        <f t="shared" si="25"/>
        <v>T3-2025</v>
      </c>
      <c r="R794" s="124" t="s">
        <v>2705</v>
      </c>
      <c r="S794" s="124" t="s">
        <v>2706</v>
      </c>
      <c r="T794" s="123" t="s">
        <v>2707</v>
      </c>
      <c r="U794" s="162" t="s">
        <v>51</v>
      </c>
      <c r="V794" s="162" t="s">
        <v>57</v>
      </c>
      <c r="W794" s="237" t="s">
        <v>125</v>
      </c>
      <c r="X794" s="173" t="s">
        <v>2709</v>
      </c>
    </row>
    <row r="795" spans="1:24" hidden="1">
      <c r="A795" s="161">
        <v>45921</v>
      </c>
      <c r="B795" s="164">
        <v>781144669279</v>
      </c>
      <c r="C795" s="158" t="s">
        <v>2697</v>
      </c>
      <c r="D795" s="126">
        <v>-43.38</v>
      </c>
      <c r="E795" s="159">
        <v>1</v>
      </c>
      <c r="F795" s="235">
        <f>Tabla5109[[#This Row],[Original Amount]]*Tabla5109[[#This Row],[ER to EUR]]</f>
        <v>-43.38</v>
      </c>
      <c r="G795" t="s">
        <v>2718</v>
      </c>
      <c r="H795" s="73" t="s">
        <v>3807</v>
      </c>
      <c r="I795" s="9" t="s">
        <v>2755</v>
      </c>
      <c r="J795" s="9" t="s">
        <v>2714</v>
      </c>
      <c r="K795" s="205" t="s">
        <v>2721</v>
      </c>
      <c r="L795" s="9" t="s">
        <v>2716</v>
      </c>
      <c r="M795" s="32" t="s">
        <v>125</v>
      </c>
      <c r="N795" s="129" t="s">
        <v>2704</v>
      </c>
      <c r="O795" s="122" t="s">
        <v>2704</v>
      </c>
      <c r="P795" s="123" t="str">
        <f t="shared" si="24"/>
        <v>C3-2025</v>
      </c>
      <c r="Q795" s="123" t="str">
        <f t="shared" si="25"/>
        <v>T3-2025</v>
      </c>
      <c r="R795" s="124" t="s">
        <v>2722</v>
      </c>
      <c r="S795" s="123" t="s">
        <v>2723</v>
      </c>
      <c r="T795" s="123" t="s">
        <v>2724</v>
      </c>
      <c r="U795" s="162" t="s">
        <v>2708</v>
      </c>
      <c r="V795" s="162" t="s">
        <v>54</v>
      </c>
      <c r="W795" s="237" t="s">
        <v>125</v>
      </c>
      <c r="X795" s="173" t="s">
        <v>2709</v>
      </c>
    </row>
    <row r="796" spans="1:24" hidden="1">
      <c r="A796" s="161">
        <v>45921</v>
      </c>
      <c r="B796" s="192" t="s">
        <v>3808</v>
      </c>
      <c r="C796" s="158" t="s">
        <v>2697</v>
      </c>
      <c r="D796" s="239">
        <v>-8.99</v>
      </c>
      <c r="E796" s="159">
        <v>1</v>
      </c>
      <c r="F796" s="235">
        <f>Tabla5109[[#This Row],[Original Amount]]*Tabla5109[[#This Row],[ER to EUR]]</f>
        <v>-8.99</v>
      </c>
      <c r="G796" t="s">
        <v>3809</v>
      </c>
      <c r="H796" s="73" t="s">
        <v>3810</v>
      </c>
      <c r="I796" s="9" t="s">
        <v>3752</v>
      </c>
      <c r="J796" s="9" t="s">
        <v>2701</v>
      </c>
      <c r="K796" s="205" t="s">
        <v>2702</v>
      </c>
      <c r="L796" s="9" t="s">
        <v>2703</v>
      </c>
      <c r="M796" s="32" t="s">
        <v>125</v>
      </c>
      <c r="N796" s="129" t="s">
        <v>2704</v>
      </c>
      <c r="O796" s="122" t="s">
        <v>2704</v>
      </c>
      <c r="P796" s="123" t="str">
        <f t="shared" si="24"/>
        <v>C3-2025</v>
      </c>
      <c r="Q796" s="123" t="str">
        <f t="shared" si="25"/>
        <v>T3-2025</v>
      </c>
      <c r="R796" s="124" t="s">
        <v>2730</v>
      </c>
      <c r="S796" s="123" t="s">
        <v>2731</v>
      </c>
      <c r="T796" s="123" t="s">
        <v>2724</v>
      </c>
      <c r="U796" s="162" t="s">
        <v>2708</v>
      </c>
      <c r="V796" s="162" t="s">
        <v>55</v>
      </c>
      <c r="W796" s="237" t="s">
        <v>125</v>
      </c>
      <c r="X796" s="173" t="s">
        <v>2709</v>
      </c>
    </row>
    <row r="797" spans="1:24" hidden="1">
      <c r="A797" s="161">
        <v>45922</v>
      </c>
      <c r="B797" s="167" t="s">
        <v>3811</v>
      </c>
      <c r="C797" s="158" t="s">
        <v>2697</v>
      </c>
      <c r="D797" s="239">
        <v>-192.44</v>
      </c>
      <c r="E797" s="159">
        <v>1</v>
      </c>
      <c r="F797" s="235">
        <f>Tabla5109[[#This Row],[Original Amount]]*Tabla5109[[#This Row],[ER to EUR]]</f>
        <v>-192.44</v>
      </c>
      <c r="G797" t="s">
        <v>2766</v>
      </c>
      <c r="H797" s="9" t="s">
        <v>3721</v>
      </c>
      <c r="I797" s="9" t="s">
        <v>2713</v>
      </c>
      <c r="J797" s="9" t="s">
        <v>2701</v>
      </c>
      <c r="K797" s="205" t="s">
        <v>2702</v>
      </c>
      <c r="L797" s="9" t="s">
        <v>2760</v>
      </c>
      <c r="M797" s="32" t="s">
        <v>125</v>
      </c>
      <c r="N797" s="129" t="s">
        <v>2704</v>
      </c>
      <c r="O797" s="122" t="s">
        <v>2704</v>
      </c>
      <c r="P797" s="123" t="str">
        <f t="shared" si="24"/>
        <v>C3-2025</v>
      </c>
      <c r="Q797" s="123" t="str">
        <f t="shared" si="25"/>
        <v>T3-2025</v>
      </c>
      <c r="R797" s="91" t="s">
        <v>2749</v>
      </c>
      <c r="S797" s="123" t="s">
        <v>2750</v>
      </c>
      <c r="T797" s="123" t="s">
        <v>2724</v>
      </c>
      <c r="U797" s="162" t="s">
        <v>2708</v>
      </c>
      <c r="V797" s="162" t="s">
        <v>55</v>
      </c>
      <c r="W797" s="237" t="s">
        <v>125</v>
      </c>
      <c r="X797" s="173" t="s">
        <v>2709</v>
      </c>
    </row>
    <row r="798" spans="1:24" hidden="1">
      <c r="A798" s="161">
        <v>45922</v>
      </c>
      <c r="B798" s="164" t="s">
        <v>3812</v>
      </c>
      <c r="C798" s="158" t="s">
        <v>2697</v>
      </c>
      <c r="D798" s="239">
        <v>-83.18</v>
      </c>
      <c r="E798" s="159">
        <v>1</v>
      </c>
      <c r="F798" s="235">
        <f>Tabla5109[[#This Row],[Original Amount]]*Tabla5109[[#This Row],[ER to EUR]]</f>
        <v>-83.18</v>
      </c>
      <c r="G798" s="37" t="s">
        <v>3534</v>
      </c>
      <c r="H798" s="73" t="s">
        <v>2852</v>
      </c>
      <c r="I798" s="9" t="s">
        <v>2713</v>
      </c>
      <c r="J798" s="9" t="s">
        <v>2701</v>
      </c>
      <c r="K798" s="205" t="s">
        <v>2702</v>
      </c>
      <c r="L798" s="9" t="s">
        <v>2788</v>
      </c>
      <c r="M798" s="32" t="s">
        <v>125</v>
      </c>
      <c r="N798" s="129" t="s">
        <v>2704</v>
      </c>
      <c r="O798" s="122" t="s">
        <v>2704</v>
      </c>
      <c r="P798" s="123" t="str">
        <f t="shared" si="24"/>
        <v>C3-2025</v>
      </c>
      <c r="Q798" s="123" t="str">
        <f t="shared" si="25"/>
        <v>T3-2025</v>
      </c>
      <c r="R798" s="124" t="s">
        <v>2794</v>
      </c>
      <c r="S798" s="123" t="s">
        <v>2731</v>
      </c>
      <c r="T798" s="123" t="s">
        <v>2724</v>
      </c>
      <c r="U798" s="162" t="s">
        <v>2708</v>
      </c>
      <c r="V798" s="162" t="s">
        <v>55</v>
      </c>
      <c r="W798" s="237" t="s">
        <v>125</v>
      </c>
      <c r="X798" s="173" t="s">
        <v>2709</v>
      </c>
    </row>
    <row r="799" spans="1:24" hidden="1">
      <c r="A799" s="161">
        <v>45922</v>
      </c>
      <c r="B799" s="192" t="s">
        <v>3813</v>
      </c>
      <c r="C799" s="158" t="s">
        <v>2548</v>
      </c>
      <c r="D799" s="245">
        <v>-138</v>
      </c>
      <c r="E799" s="229">
        <v>0.85382513661202186</v>
      </c>
      <c r="F799" s="235">
        <f>Tabla5109[[#This Row],[Original Amount]]*Tabla5109[[#This Row],[ER to EUR]]</f>
        <v>-117.82786885245902</v>
      </c>
      <c r="G799" t="s">
        <v>3137</v>
      </c>
      <c r="H799" s="180" t="s">
        <v>3814</v>
      </c>
      <c r="I799" s="37" t="s">
        <v>2727</v>
      </c>
      <c r="J799" s="9" t="s">
        <v>2701</v>
      </c>
      <c r="K799" s="205" t="s">
        <v>2702</v>
      </c>
      <c r="L799" s="9" t="s">
        <v>2760</v>
      </c>
      <c r="M799" s="32" t="s">
        <v>125</v>
      </c>
      <c r="N799" s="129" t="s">
        <v>2704</v>
      </c>
      <c r="O799" s="122" t="s">
        <v>2704</v>
      </c>
      <c r="P799" s="123" t="str">
        <f t="shared" si="24"/>
        <v>C3-2025</v>
      </c>
      <c r="Q799" s="123" t="str">
        <f t="shared" si="25"/>
        <v>T3-2025</v>
      </c>
      <c r="R799" s="124" t="s">
        <v>2819</v>
      </c>
      <c r="S799" s="123" t="s">
        <v>2723</v>
      </c>
      <c r="T799" s="123" t="s">
        <v>2724</v>
      </c>
      <c r="U799" s="162" t="s">
        <v>2708</v>
      </c>
      <c r="V799" s="162" t="s">
        <v>54</v>
      </c>
      <c r="W799" s="237" t="s">
        <v>125</v>
      </c>
      <c r="X799" s="173" t="s">
        <v>2709</v>
      </c>
    </row>
    <row r="800" spans="1:24" hidden="1">
      <c r="A800" s="161">
        <v>45923</v>
      </c>
      <c r="B800" s="192" t="s">
        <v>3815</v>
      </c>
      <c r="C800" s="38" t="s">
        <v>2697</v>
      </c>
      <c r="D800" s="239">
        <v>-115.99</v>
      </c>
      <c r="E800" s="159">
        <v>1</v>
      </c>
      <c r="F800" s="235">
        <f>Tabla5109[[#This Row],[Original Amount]]*Tabla5109[[#This Row],[ER to EUR]]</f>
        <v>-115.99</v>
      </c>
      <c r="G800" s="37" t="s">
        <v>3755</v>
      </c>
      <c r="H800" s="180" t="s">
        <v>3816</v>
      </c>
      <c r="I800" s="37" t="s">
        <v>2784</v>
      </c>
      <c r="J800" s="9" t="s">
        <v>2825</v>
      </c>
      <c r="K800" s="205" t="s">
        <v>2826</v>
      </c>
      <c r="L800" s="9" t="s">
        <v>2827</v>
      </c>
      <c r="M800" s="32" t="s">
        <v>125</v>
      </c>
      <c r="N800" s="129" t="s">
        <v>2704</v>
      </c>
      <c r="O800" s="122" t="s">
        <v>2704</v>
      </c>
      <c r="P800" s="123" t="str">
        <f t="shared" si="24"/>
        <v>C3-2025</v>
      </c>
      <c r="Q800" s="123" t="str">
        <f t="shared" si="25"/>
        <v>T3-2025</v>
      </c>
      <c r="R800" s="124" t="s">
        <v>2705</v>
      </c>
      <c r="S800" s="124" t="s">
        <v>2706</v>
      </c>
      <c r="T800" s="123" t="s">
        <v>2717</v>
      </c>
      <c r="U800" s="162" t="s">
        <v>2708</v>
      </c>
      <c r="V800" s="162" t="s">
        <v>56</v>
      </c>
      <c r="W800" s="237" t="s">
        <v>125</v>
      </c>
      <c r="X800" s="173" t="s">
        <v>2709</v>
      </c>
    </row>
    <row r="801" spans="1:24" hidden="1">
      <c r="A801" s="161">
        <v>45923</v>
      </c>
      <c r="B801" s="26" t="s">
        <v>3817</v>
      </c>
      <c r="C801" s="158" t="s">
        <v>2697</v>
      </c>
      <c r="D801" s="239">
        <v>-379</v>
      </c>
      <c r="E801" s="159">
        <v>1</v>
      </c>
      <c r="F801" s="235">
        <f>Tabla5109[[#This Row],[Original Amount]]*Tabla5109[[#This Row],[ER to EUR]]</f>
        <v>-379</v>
      </c>
      <c r="G801" s="37" t="s">
        <v>3140</v>
      </c>
      <c r="H801" s="180" t="s">
        <v>3818</v>
      </c>
      <c r="I801" s="37" t="s">
        <v>2727</v>
      </c>
      <c r="J801" s="9" t="s">
        <v>2770</v>
      </c>
      <c r="K801" s="205" t="s">
        <v>2702</v>
      </c>
      <c r="L801" s="9" t="s">
        <v>3142</v>
      </c>
      <c r="M801" s="32" t="s">
        <v>125</v>
      </c>
      <c r="N801" s="156" t="s">
        <v>2704</v>
      </c>
      <c r="O801" s="158" t="s">
        <v>2704</v>
      </c>
      <c r="P801" s="123" t="str">
        <f t="shared" si="24"/>
        <v>C3-2025</v>
      </c>
      <c r="Q801" s="123" t="str">
        <f t="shared" si="25"/>
        <v>T3-2025</v>
      </c>
      <c r="R801" s="171" t="s">
        <v>2749</v>
      </c>
      <c r="S801" s="157" t="s">
        <v>2750</v>
      </c>
      <c r="T801" s="123" t="s">
        <v>2724</v>
      </c>
      <c r="U801" s="162" t="s">
        <v>2708</v>
      </c>
      <c r="V801" s="162" t="s">
        <v>54</v>
      </c>
      <c r="W801" s="237" t="s">
        <v>125</v>
      </c>
      <c r="X801" s="173" t="s">
        <v>2709</v>
      </c>
    </row>
    <row r="802" spans="1:24" hidden="1">
      <c r="A802" s="161">
        <v>45923</v>
      </c>
      <c r="B802" s="192" t="s">
        <v>3819</v>
      </c>
      <c r="C802" s="38" t="s">
        <v>2697</v>
      </c>
      <c r="D802" s="126">
        <v>-2000</v>
      </c>
      <c r="E802" s="159">
        <v>1</v>
      </c>
      <c r="F802" s="127">
        <f>Tabla5109[[#This Row],[Original Amount]]*Tabla5109[[#This Row],[ER to EUR]]</f>
        <v>-2000</v>
      </c>
      <c r="G802" s="37" t="s">
        <v>3527</v>
      </c>
      <c r="H802" s="9" t="s">
        <v>3820</v>
      </c>
      <c r="I802" s="37" t="s">
        <v>2713</v>
      </c>
      <c r="J802" s="9" t="s">
        <v>2714</v>
      </c>
      <c r="K802" s="205" t="s">
        <v>2747</v>
      </c>
      <c r="L802" s="211" t="s">
        <v>2864</v>
      </c>
      <c r="M802" s="32" t="s">
        <v>125</v>
      </c>
      <c r="N802" s="122" t="s">
        <v>2704</v>
      </c>
      <c r="O802" s="129" t="s">
        <v>2704</v>
      </c>
      <c r="P802" s="123" t="str">
        <f t="shared" si="24"/>
        <v>C3-2025</v>
      </c>
      <c r="Q802" s="123" t="str">
        <f t="shared" si="25"/>
        <v>T3-2025</v>
      </c>
      <c r="R802" s="91" t="s">
        <v>2705</v>
      </c>
      <c r="S802" s="123" t="s">
        <v>2735</v>
      </c>
      <c r="T802" s="123" t="s">
        <v>2724</v>
      </c>
      <c r="U802" s="162" t="s">
        <v>2708</v>
      </c>
      <c r="V802" s="162" t="s">
        <v>56</v>
      </c>
      <c r="W802" s="237" t="s">
        <v>125</v>
      </c>
      <c r="X802" s="201" t="s">
        <v>2709</v>
      </c>
    </row>
    <row r="803" spans="1:24" hidden="1">
      <c r="A803" s="161">
        <v>45923</v>
      </c>
      <c r="B803" s="167" t="s">
        <v>3821</v>
      </c>
      <c r="C803" s="32" t="s">
        <v>2697</v>
      </c>
      <c r="D803" s="239">
        <v>-0.06</v>
      </c>
      <c r="E803" s="159">
        <v>1</v>
      </c>
      <c r="F803" s="235">
        <f>Tabla5109[[#This Row],[Original Amount]]*Tabla5109[[#This Row],[ER to EUR]]</f>
        <v>-0.06</v>
      </c>
      <c r="G803" s="9" t="s">
        <v>2884</v>
      </c>
      <c r="H803" s="9" t="s">
        <v>2885</v>
      </c>
      <c r="I803" s="9" t="s">
        <v>3822</v>
      </c>
      <c r="J803" s="9" t="s">
        <v>2723</v>
      </c>
      <c r="K803" s="205" t="s">
        <v>2792</v>
      </c>
      <c r="L803" s="9" t="s">
        <v>2793</v>
      </c>
      <c r="M803" s="32" t="s">
        <v>125</v>
      </c>
      <c r="N803" s="129" t="s">
        <v>2704</v>
      </c>
      <c r="O803" s="122" t="s">
        <v>2704</v>
      </c>
      <c r="P803" s="123" t="str">
        <f t="shared" si="24"/>
        <v>C3-2025</v>
      </c>
      <c r="Q803" s="123" t="str">
        <f t="shared" si="25"/>
        <v>T3-2025</v>
      </c>
      <c r="R803" s="124" t="s">
        <v>2741</v>
      </c>
      <c r="S803" s="123" t="s">
        <v>2723</v>
      </c>
      <c r="T803" s="123" t="s">
        <v>2707</v>
      </c>
      <c r="U803" s="162" t="s">
        <v>2708</v>
      </c>
      <c r="V803" s="162" t="s">
        <v>54</v>
      </c>
      <c r="W803" s="237" t="s">
        <v>125</v>
      </c>
      <c r="X803" s="173" t="s">
        <v>2709</v>
      </c>
    </row>
    <row r="804" spans="1:24" hidden="1">
      <c r="A804" s="161">
        <v>45924</v>
      </c>
      <c r="B804" s="192" t="s">
        <v>3823</v>
      </c>
      <c r="C804" s="158" t="s">
        <v>2697</v>
      </c>
      <c r="D804" s="239">
        <v>-161.85</v>
      </c>
      <c r="E804" s="159">
        <v>1</v>
      </c>
      <c r="F804" s="235">
        <f>Tabla5109[[#This Row],[Original Amount]]*Tabla5109[[#This Row],[ER to EUR]]</f>
        <v>-161.85</v>
      </c>
      <c r="G804" s="9" t="s">
        <v>3755</v>
      </c>
      <c r="H804" s="73" t="s">
        <v>3824</v>
      </c>
      <c r="I804" s="9" t="s">
        <v>2784</v>
      </c>
      <c r="J804" s="9" t="s">
        <v>2825</v>
      </c>
      <c r="K804" s="205" t="s">
        <v>2826</v>
      </c>
      <c r="L804" s="9" t="s">
        <v>2827</v>
      </c>
      <c r="M804" s="32" t="s">
        <v>125</v>
      </c>
      <c r="N804" s="129" t="s">
        <v>2704</v>
      </c>
      <c r="O804" s="122" t="s">
        <v>2704</v>
      </c>
      <c r="P804" s="123" t="str">
        <f t="shared" si="24"/>
        <v>C3-2025</v>
      </c>
      <c r="Q804" s="123" t="str">
        <f t="shared" si="25"/>
        <v>T3-2025</v>
      </c>
      <c r="R804" s="124" t="s">
        <v>2705</v>
      </c>
      <c r="S804" s="124" t="s">
        <v>2706</v>
      </c>
      <c r="T804" s="123" t="s">
        <v>2717</v>
      </c>
      <c r="U804" s="162" t="s">
        <v>2708</v>
      </c>
      <c r="V804" s="162" t="s">
        <v>56</v>
      </c>
      <c r="W804" s="237" t="s">
        <v>125</v>
      </c>
      <c r="X804" s="173" t="s">
        <v>2709</v>
      </c>
    </row>
    <row r="805" spans="1:24" hidden="1">
      <c r="A805" s="161">
        <v>45925</v>
      </c>
      <c r="B805" s="706">
        <v>659525068250</v>
      </c>
      <c r="C805" s="38" t="s">
        <v>2697</v>
      </c>
      <c r="D805" s="239">
        <v>-242.26</v>
      </c>
      <c r="E805" s="159">
        <v>1</v>
      </c>
      <c r="F805" s="235">
        <f>Tabla5109[[#This Row],[Original Amount]]*Tabla5109[[#This Row],[ER to EUR]]</f>
        <v>-242.26</v>
      </c>
      <c r="G805" s="37" t="s">
        <v>6000</v>
      </c>
      <c r="H805" s="180" t="s">
        <v>3826</v>
      </c>
      <c r="I805" s="37" t="s">
        <v>2784</v>
      </c>
      <c r="J805" s="37" t="s">
        <v>2825</v>
      </c>
      <c r="K805" s="217" t="s">
        <v>2826</v>
      </c>
      <c r="L805" s="37" t="s">
        <v>2827</v>
      </c>
      <c r="M805" s="32" t="s">
        <v>125</v>
      </c>
      <c r="N805" s="156" t="s">
        <v>2704</v>
      </c>
      <c r="O805" s="158" t="s">
        <v>2704</v>
      </c>
      <c r="P805" s="123" t="str">
        <f t="shared" si="24"/>
        <v>C3-2025</v>
      </c>
      <c r="Q805" s="123" t="str">
        <f t="shared" si="25"/>
        <v>T3-2025</v>
      </c>
      <c r="R805" s="160" t="s">
        <v>2705</v>
      </c>
      <c r="S805" s="160" t="s">
        <v>2706</v>
      </c>
      <c r="T805" s="123" t="s">
        <v>2717</v>
      </c>
      <c r="U805" s="162" t="s">
        <v>2708</v>
      </c>
      <c r="V805" s="162" t="s">
        <v>56</v>
      </c>
      <c r="W805" s="237" t="s">
        <v>125</v>
      </c>
      <c r="X805" s="173" t="s">
        <v>2709</v>
      </c>
    </row>
    <row r="806" spans="1:24" hidden="1">
      <c r="A806" s="161">
        <v>45925</v>
      </c>
      <c r="B806" s="26" t="s">
        <v>3827</v>
      </c>
      <c r="C806" s="158" t="s">
        <v>2548</v>
      </c>
      <c r="D806" s="245">
        <v>-238</v>
      </c>
      <c r="E806" s="229">
        <v>0.85382513661202186</v>
      </c>
      <c r="F806" s="235">
        <f>Tabla5109[[#This Row],[Original Amount]]*Tabla5109[[#This Row],[ER to EUR]]</f>
        <v>-203.21038251366122</v>
      </c>
      <c r="G806" s="37" t="s">
        <v>3248</v>
      </c>
      <c r="H806" s="37" t="s">
        <v>3828</v>
      </c>
      <c r="I806" s="37" t="s">
        <v>2713</v>
      </c>
      <c r="J806" s="37" t="s">
        <v>2714</v>
      </c>
      <c r="K806" s="217" t="s">
        <v>2702</v>
      </c>
      <c r="L806" s="37" t="s">
        <v>2799</v>
      </c>
      <c r="M806" s="32" t="s">
        <v>125</v>
      </c>
      <c r="N806" s="156" t="s">
        <v>2704</v>
      </c>
      <c r="O806" s="158" t="s">
        <v>2704</v>
      </c>
      <c r="P806" s="123" t="str">
        <f t="shared" si="24"/>
        <v>C3-2025</v>
      </c>
      <c r="Q806" s="123" t="str">
        <f t="shared" si="25"/>
        <v>T3-2025</v>
      </c>
      <c r="R806" s="160" t="s">
        <v>2730</v>
      </c>
      <c r="S806" s="123" t="s">
        <v>2731</v>
      </c>
      <c r="T806" s="123" t="s">
        <v>2724</v>
      </c>
      <c r="U806" s="162" t="s">
        <v>51</v>
      </c>
      <c r="V806" s="162" t="s">
        <v>57</v>
      </c>
      <c r="W806" s="237" t="s">
        <v>125</v>
      </c>
      <c r="X806" s="173" t="s">
        <v>2709</v>
      </c>
    </row>
    <row r="807" spans="1:24" hidden="1">
      <c r="A807" s="161">
        <v>45925</v>
      </c>
      <c r="B807" s="199">
        <v>22584492</v>
      </c>
      <c r="C807" s="158" t="s">
        <v>2548</v>
      </c>
      <c r="D807" s="151">
        <v>-65</v>
      </c>
      <c r="E807" s="229">
        <v>0.85382513661202186</v>
      </c>
      <c r="F807" s="235">
        <f>Tabla5109[[#This Row],[Original Amount]]*Tabla5109[[#This Row],[ER to EUR]]</f>
        <v>-55.498633879781423</v>
      </c>
      <c r="G807" s="37" t="s">
        <v>3680</v>
      </c>
      <c r="H807" s="37" t="s">
        <v>3681</v>
      </c>
      <c r="I807" s="37" t="s">
        <v>3682</v>
      </c>
      <c r="J807" s="37" t="s">
        <v>2770</v>
      </c>
      <c r="K807" s="217" t="s">
        <v>2771</v>
      </c>
      <c r="L807" s="37" t="s">
        <v>3494</v>
      </c>
      <c r="M807" s="32" t="s">
        <v>125</v>
      </c>
      <c r="N807" s="122" t="s">
        <v>2704</v>
      </c>
      <c r="O807" s="129" t="s">
        <v>2704</v>
      </c>
      <c r="P807" s="123" t="str">
        <f t="shared" si="24"/>
        <v>C3-2025</v>
      </c>
      <c r="Q807" s="123" t="str">
        <f t="shared" si="25"/>
        <v>T3-2025</v>
      </c>
      <c r="R807" s="91" t="s">
        <v>2749</v>
      </c>
      <c r="S807" s="123" t="s">
        <v>2750</v>
      </c>
      <c r="T807" s="123" t="s">
        <v>2724</v>
      </c>
      <c r="U807" s="162" t="s">
        <v>2708</v>
      </c>
      <c r="V807" s="162" t="s">
        <v>54</v>
      </c>
      <c r="W807" s="237" t="s">
        <v>125</v>
      </c>
      <c r="X807" s="124" t="s">
        <v>2709</v>
      </c>
    </row>
    <row r="808" spans="1:24" hidden="1">
      <c r="A808" s="161">
        <v>45925</v>
      </c>
      <c r="B808" s="192" t="s">
        <v>3829</v>
      </c>
      <c r="C808" s="158" t="s">
        <v>2697</v>
      </c>
      <c r="D808" s="239">
        <v>-13</v>
      </c>
      <c r="E808" s="159">
        <v>1</v>
      </c>
      <c r="F808" s="235">
        <f>Tabla5109[[#This Row],[Original Amount]]*Tabla5109[[#This Row],[ER to EUR]]</f>
        <v>-13</v>
      </c>
      <c r="G808" s="37" t="s">
        <v>3579</v>
      </c>
      <c r="H808" s="73" t="s">
        <v>3830</v>
      </c>
      <c r="I808" s="9" t="s">
        <v>3831</v>
      </c>
      <c r="J808" s="37" t="s">
        <v>2825</v>
      </c>
      <c r="K808" s="217" t="s">
        <v>2826</v>
      </c>
      <c r="L808" s="37" t="s">
        <v>2827</v>
      </c>
      <c r="M808" s="32" t="s">
        <v>125</v>
      </c>
      <c r="N808" s="156" t="s">
        <v>2704</v>
      </c>
      <c r="O808" s="158" t="s">
        <v>2704</v>
      </c>
      <c r="P808" s="123" t="str">
        <f t="shared" si="24"/>
        <v>C3-2025</v>
      </c>
      <c r="Q808" s="123" t="str">
        <f t="shared" si="25"/>
        <v>T3-2025</v>
      </c>
      <c r="R808" s="160" t="s">
        <v>2705</v>
      </c>
      <c r="S808" s="160" t="s">
        <v>2706</v>
      </c>
      <c r="T808" s="123" t="s">
        <v>2717</v>
      </c>
      <c r="U808" s="162" t="s">
        <v>2708</v>
      </c>
      <c r="V808" s="162" t="s">
        <v>56</v>
      </c>
      <c r="W808" s="237" t="s">
        <v>125</v>
      </c>
      <c r="X808" s="173" t="s">
        <v>2709</v>
      </c>
    </row>
    <row r="809" spans="1:24" hidden="1">
      <c r="A809" s="161">
        <v>45926</v>
      </c>
      <c r="B809" s="164">
        <v>659525068468</v>
      </c>
      <c r="C809" s="38" t="s">
        <v>2697</v>
      </c>
      <c r="D809" s="239">
        <v>-29</v>
      </c>
      <c r="E809" s="159">
        <v>1</v>
      </c>
      <c r="F809" s="235">
        <f>Tabla5109[[#This Row],[Original Amount]]*Tabla5109[[#This Row],[ER to EUR]]</f>
        <v>-29</v>
      </c>
      <c r="G809" t="s">
        <v>6000</v>
      </c>
      <c r="H809" s="180" t="s">
        <v>3832</v>
      </c>
      <c r="I809" s="37" t="s">
        <v>3831</v>
      </c>
      <c r="J809" s="37" t="s">
        <v>2825</v>
      </c>
      <c r="K809" s="217" t="s">
        <v>3505</v>
      </c>
      <c r="L809" s="37" t="s">
        <v>3506</v>
      </c>
      <c r="M809" s="32" t="s">
        <v>125</v>
      </c>
      <c r="N809" s="156" t="s">
        <v>2704</v>
      </c>
      <c r="O809" s="158" t="s">
        <v>2704</v>
      </c>
      <c r="P809" s="123" t="str">
        <f t="shared" si="24"/>
        <v>C3-2025</v>
      </c>
      <c r="Q809" s="123" t="str">
        <f t="shared" si="25"/>
        <v>T3-2025</v>
      </c>
      <c r="R809" s="160" t="s">
        <v>2705</v>
      </c>
      <c r="S809" s="160" t="s">
        <v>2706</v>
      </c>
      <c r="T809" s="123" t="s">
        <v>2717</v>
      </c>
      <c r="U809" s="162" t="s">
        <v>2708</v>
      </c>
      <c r="V809" s="162" t="s">
        <v>56</v>
      </c>
      <c r="W809" s="237" t="s">
        <v>125</v>
      </c>
      <c r="X809" s="173" t="s">
        <v>2709</v>
      </c>
    </row>
    <row r="810" spans="1:24" hidden="1">
      <c r="A810" s="161">
        <v>45926</v>
      </c>
      <c r="B810" s="200" t="s">
        <v>3703</v>
      </c>
      <c r="C810" s="158" t="s">
        <v>2697</v>
      </c>
      <c r="D810" s="239">
        <v>-29.65</v>
      </c>
      <c r="E810" s="159">
        <v>1</v>
      </c>
      <c r="F810" s="235">
        <f>Tabla5109[[#This Row],[Original Amount]]*Tabla5109[[#This Row],[ER to EUR]]</f>
        <v>-29.65</v>
      </c>
      <c r="G810" s="37" t="s">
        <v>3833</v>
      </c>
      <c r="H810" s="180" t="s">
        <v>3834</v>
      </c>
      <c r="I810" s="37" t="s">
        <v>2713</v>
      </c>
      <c r="J810" s="9" t="s">
        <v>2825</v>
      </c>
      <c r="K810" s="205" t="s">
        <v>3505</v>
      </c>
      <c r="L810" s="9" t="s">
        <v>3506</v>
      </c>
      <c r="M810" s="32" t="s">
        <v>125</v>
      </c>
      <c r="N810" s="156" t="s">
        <v>2748</v>
      </c>
      <c r="O810" s="156" t="s">
        <v>2748</v>
      </c>
      <c r="P810" s="123" t="str">
        <f t="shared" si="24"/>
        <v>C3-2025</v>
      </c>
      <c r="Q810" s="123" t="str">
        <f t="shared" si="25"/>
        <v>T3-2025</v>
      </c>
      <c r="R810" s="160" t="s">
        <v>2705</v>
      </c>
      <c r="S810" s="124" t="s">
        <v>2706</v>
      </c>
      <c r="T810" s="123" t="s">
        <v>2717</v>
      </c>
      <c r="U810" s="203" t="s">
        <v>2708</v>
      </c>
      <c r="V810" s="203" t="s">
        <v>56</v>
      </c>
      <c r="W810" s="237" t="s">
        <v>125</v>
      </c>
      <c r="X810" s="173" t="s">
        <v>2709</v>
      </c>
    </row>
    <row r="811" spans="1:24" hidden="1">
      <c r="A811" s="161">
        <v>45926</v>
      </c>
      <c r="B811" s="200" t="s">
        <v>3703</v>
      </c>
      <c r="C811" s="38" t="s">
        <v>2697</v>
      </c>
      <c r="D811" s="239">
        <v>-14.04</v>
      </c>
      <c r="E811" s="159">
        <v>1</v>
      </c>
      <c r="F811" s="235">
        <f>Tabla5109[[#This Row],[Original Amount]]*Tabla5109[[#This Row],[ER to EUR]]</f>
        <v>-14.04</v>
      </c>
      <c r="G811" s="37" t="s">
        <v>3776</v>
      </c>
      <c r="H811" s="73" t="s">
        <v>3777</v>
      </c>
      <c r="I811" s="9" t="s">
        <v>2713</v>
      </c>
      <c r="J811" s="37" t="s">
        <v>2825</v>
      </c>
      <c r="K811" s="217" t="s">
        <v>2826</v>
      </c>
      <c r="L811" s="37" t="s">
        <v>2827</v>
      </c>
      <c r="M811" s="32" t="s">
        <v>125</v>
      </c>
      <c r="N811" s="129" t="s">
        <v>2748</v>
      </c>
      <c r="O811" s="129" t="s">
        <v>2748</v>
      </c>
      <c r="P811" s="123" t="str">
        <f t="shared" si="24"/>
        <v>C3-2025</v>
      </c>
      <c r="Q811" s="123" t="str">
        <f t="shared" si="25"/>
        <v>T3-2025</v>
      </c>
      <c r="R811" s="124" t="s">
        <v>2705</v>
      </c>
      <c r="S811" s="124" t="s">
        <v>2706</v>
      </c>
      <c r="T811" s="123" t="s">
        <v>2717</v>
      </c>
      <c r="U811" s="203" t="s">
        <v>2708</v>
      </c>
      <c r="V811" s="203" t="s">
        <v>56</v>
      </c>
      <c r="W811" s="237" t="s">
        <v>125</v>
      </c>
      <c r="X811" s="124" t="s">
        <v>2709</v>
      </c>
    </row>
    <row r="812" spans="1:24" hidden="1">
      <c r="A812" s="161">
        <v>45927</v>
      </c>
      <c r="B812" s="132">
        <v>36845849</v>
      </c>
      <c r="C812" s="158" t="s">
        <v>2697</v>
      </c>
      <c r="D812" s="239">
        <v>-2126.5300000000002</v>
      </c>
      <c r="E812" s="159">
        <v>1</v>
      </c>
      <c r="F812" s="235">
        <f>Tabla5109[[#This Row],[Original Amount]]*Tabla5109[[#This Row],[ER to EUR]]</f>
        <v>-2126.5300000000002</v>
      </c>
      <c r="G812" s="37" t="s">
        <v>2698</v>
      </c>
      <c r="H812" s="180" t="s">
        <v>3835</v>
      </c>
      <c r="I812" s="37" t="s">
        <v>3836</v>
      </c>
      <c r="J812" s="9" t="s">
        <v>2701</v>
      </c>
      <c r="K812" s="217" t="s">
        <v>2702</v>
      </c>
      <c r="L812" s="9" t="s">
        <v>2703</v>
      </c>
      <c r="M812" s="32" t="s">
        <v>125</v>
      </c>
      <c r="N812" s="156" t="s">
        <v>2704</v>
      </c>
      <c r="O812" s="158" t="s">
        <v>2704</v>
      </c>
      <c r="P812" s="123" t="str">
        <f t="shared" si="24"/>
        <v>C3-2025</v>
      </c>
      <c r="Q812" s="123" t="str">
        <f t="shared" si="25"/>
        <v>T3-2025</v>
      </c>
      <c r="R812" s="160" t="s">
        <v>2705</v>
      </c>
      <c r="S812" s="124" t="s">
        <v>2706</v>
      </c>
      <c r="T812" s="123" t="s">
        <v>2707</v>
      </c>
      <c r="U812" s="162" t="s">
        <v>2708</v>
      </c>
      <c r="V812" s="162" t="s">
        <v>54</v>
      </c>
      <c r="W812" s="237" t="s">
        <v>125</v>
      </c>
      <c r="X812" s="173" t="s">
        <v>2709</v>
      </c>
    </row>
    <row r="813" spans="1:24" hidden="1">
      <c r="A813" s="161">
        <v>45927</v>
      </c>
      <c r="B813" s="167" t="s">
        <v>3837</v>
      </c>
      <c r="C813" s="38" t="s">
        <v>2548</v>
      </c>
      <c r="D813" s="151">
        <v>-41.65</v>
      </c>
      <c r="E813" s="416">
        <v>0.8538</v>
      </c>
      <c r="F813" s="127">
        <f>Tabla5109[[#This Row],[Original Amount]]*Tabla5109[[#This Row],[ER to EUR]]</f>
        <v>-35.560769999999998</v>
      </c>
      <c r="G813" s="37" t="s">
        <v>2884</v>
      </c>
      <c r="H813" s="9" t="s">
        <v>3199</v>
      </c>
      <c r="I813" s="9" t="s">
        <v>3480</v>
      </c>
      <c r="J813" s="9" t="s">
        <v>2723</v>
      </c>
      <c r="K813" s="205" t="s">
        <v>2792</v>
      </c>
      <c r="L813" s="9" t="s">
        <v>2793</v>
      </c>
      <c r="M813" s="32" t="s">
        <v>125</v>
      </c>
      <c r="N813" s="156" t="s">
        <v>2704</v>
      </c>
      <c r="O813" s="158" t="s">
        <v>2704</v>
      </c>
      <c r="P813" s="123" t="str">
        <f t="shared" si="24"/>
        <v>C3-2025</v>
      </c>
      <c r="Q813" s="123" t="str">
        <f t="shared" si="25"/>
        <v>T3-2025</v>
      </c>
      <c r="R813" s="160" t="s">
        <v>2741</v>
      </c>
      <c r="S813" s="123" t="s">
        <v>2723</v>
      </c>
      <c r="T813" s="123" t="s">
        <v>2707</v>
      </c>
      <c r="U813" s="162" t="s">
        <v>2708</v>
      </c>
      <c r="V813" s="162" t="s">
        <v>54</v>
      </c>
      <c r="W813" s="237" t="s">
        <v>125</v>
      </c>
      <c r="X813" s="173" t="s">
        <v>2709</v>
      </c>
    </row>
    <row r="814" spans="1:24" hidden="1">
      <c r="A814" s="161">
        <v>45929</v>
      </c>
      <c r="B814" s="167" t="s">
        <v>3838</v>
      </c>
      <c r="C814" s="122" t="s">
        <v>2697</v>
      </c>
      <c r="D814" s="126">
        <v>-62.49</v>
      </c>
      <c r="E814" s="159">
        <v>1</v>
      </c>
      <c r="F814" s="235">
        <f>Tabla5109[[#This Row],[Original Amount]]*Tabla5109[[#This Row],[ER to EUR]]</f>
        <v>-62.49</v>
      </c>
      <c r="G814" s="37" t="s">
        <v>2956</v>
      </c>
      <c r="H814" s="180" t="s">
        <v>3214</v>
      </c>
      <c r="I814" s="9" t="s">
        <v>2739</v>
      </c>
      <c r="J814" s="9" t="s">
        <v>2701</v>
      </c>
      <c r="K814" s="205" t="s">
        <v>2702</v>
      </c>
      <c r="L814" s="9" t="s">
        <v>2740</v>
      </c>
      <c r="M814" s="32" t="s">
        <v>125</v>
      </c>
      <c r="N814" s="129" t="s">
        <v>2704</v>
      </c>
      <c r="O814" s="122" t="s">
        <v>2704</v>
      </c>
      <c r="P814" s="123" t="str">
        <f t="shared" si="24"/>
        <v>C3-2025</v>
      </c>
      <c r="Q814" s="123" t="str">
        <f t="shared" si="25"/>
        <v>T3-2025</v>
      </c>
      <c r="R814" s="124" t="s">
        <v>2705</v>
      </c>
      <c r="S814" s="124" t="s">
        <v>2706</v>
      </c>
      <c r="T814" s="123" t="s">
        <v>2724</v>
      </c>
      <c r="U814" s="162" t="s">
        <v>2708</v>
      </c>
      <c r="V814" s="162" t="s">
        <v>54</v>
      </c>
      <c r="W814" s="237" t="s">
        <v>125</v>
      </c>
      <c r="X814" s="124" t="s">
        <v>2709</v>
      </c>
    </row>
    <row r="815" spans="1:24" hidden="1">
      <c r="A815" s="161">
        <v>45930</v>
      </c>
      <c r="B815" s="407" t="s">
        <v>3839</v>
      </c>
      <c r="C815" s="158" t="s">
        <v>2548</v>
      </c>
      <c r="D815" s="245">
        <v>-125.53</v>
      </c>
      <c r="E815" s="229">
        <v>0.85382513661202186</v>
      </c>
      <c r="F815" s="235">
        <f>Tabla5109[[#This Row],[Original Amount]]*Tabla5109[[#This Row],[ER to EUR]]</f>
        <v>-107.1806693989071</v>
      </c>
      <c r="G815" s="9" t="s">
        <v>2766</v>
      </c>
      <c r="H815" s="9" t="s">
        <v>4875</v>
      </c>
      <c r="I815" s="9" t="s">
        <v>2713</v>
      </c>
      <c r="J815" s="9" t="s">
        <v>2701</v>
      </c>
      <c r="K815" s="205" t="s">
        <v>2702</v>
      </c>
      <c r="L815" s="9" t="s">
        <v>2760</v>
      </c>
      <c r="M815" s="32" t="s">
        <v>125</v>
      </c>
      <c r="N815" s="129" t="s">
        <v>2704</v>
      </c>
      <c r="O815" s="122" t="s">
        <v>2704</v>
      </c>
      <c r="P815" s="123" t="str">
        <f t="shared" si="24"/>
        <v>C3-2025</v>
      </c>
      <c r="Q815" s="123" t="str">
        <f t="shared" si="25"/>
        <v>T3-2025</v>
      </c>
      <c r="R815" s="124" t="s">
        <v>2705</v>
      </c>
      <c r="S815" s="123" t="s">
        <v>2735</v>
      </c>
      <c r="T815" s="123" t="s">
        <v>2724</v>
      </c>
      <c r="U815" s="162" t="s">
        <v>2708</v>
      </c>
      <c r="V815" s="162" t="s">
        <v>55</v>
      </c>
      <c r="W815" s="237" t="s">
        <v>125</v>
      </c>
      <c r="X815" s="173" t="s">
        <v>2709</v>
      </c>
    </row>
    <row r="816" spans="1:24" hidden="1">
      <c r="A816" s="161">
        <v>45930</v>
      </c>
      <c r="B816" s="192" t="s">
        <v>1063</v>
      </c>
      <c r="C816" s="158" t="s">
        <v>2697</v>
      </c>
      <c r="D816" s="239">
        <v>-500</v>
      </c>
      <c r="E816" s="159">
        <v>1</v>
      </c>
      <c r="F816" s="235">
        <f>Tabla5109[[#This Row],[Original Amount]]*Tabla5109[[#This Row],[ER to EUR]]</f>
        <v>-500</v>
      </c>
      <c r="G816" s="37" t="s">
        <v>3237</v>
      </c>
      <c r="H816" s="73" t="s">
        <v>3840</v>
      </c>
      <c r="I816" s="9" t="s">
        <v>2713</v>
      </c>
      <c r="J816" s="9" t="s">
        <v>2770</v>
      </c>
      <c r="K816" s="217" t="s">
        <v>2803</v>
      </c>
      <c r="L816" s="9" t="s">
        <v>57</v>
      </c>
      <c r="M816" s="32" t="s">
        <v>125</v>
      </c>
      <c r="N816" s="129" t="s">
        <v>2704</v>
      </c>
      <c r="O816" s="122" t="s">
        <v>2704</v>
      </c>
      <c r="P816" s="123" t="str">
        <f t="shared" si="24"/>
        <v>C3-2025</v>
      </c>
      <c r="Q816" s="123" t="str">
        <f t="shared" si="25"/>
        <v>T3-2025</v>
      </c>
      <c r="R816" s="91" t="s">
        <v>2749</v>
      </c>
      <c r="S816" s="123" t="s">
        <v>2750</v>
      </c>
      <c r="T816" s="123" t="s">
        <v>2717</v>
      </c>
      <c r="U816" s="162" t="s">
        <v>2708</v>
      </c>
      <c r="V816" s="162" t="s">
        <v>56</v>
      </c>
      <c r="W816" s="237" t="s">
        <v>125</v>
      </c>
      <c r="X816" s="124" t="s">
        <v>2709</v>
      </c>
    </row>
    <row r="817" spans="1:24" hidden="1">
      <c r="A817" s="161">
        <v>45930</v>
      </c>
      <c r="B817" s="167" t="s">
        <v>3841</v>
      </c>
      <c r="C817" s="158" t="s">
        <v>2697</v>
      </c>
      <c r="D817" s="239">
        <v>-2208.64</v>
      </c>
      <c r="E817" s="159">
        <v>1</v>
      </c>
      <c r="F817" s="235">
        <f>Tabla5109[[#This Row],[Original Amount]]*Tabla5109[[#This Row],[ER to EUR]]</f>
        <v>-2208.64</v>
      </c>
      <c r="G817" s="37" t="s">
        <v>3557</v>
      </c>
      <c r="H817" s="180" t="s">
        <v>3558</v>
      </c>
      <c r="I817" s="37" t="s">
        <v>2727</v>
      </c>
      <c r="J817" s="9" t="s">
        <v>2714</v>
      </c>
      <c r="K817" s="205" t="s">
        <v>2747</v>
      </c>
      <c r="L817" s="9" t="s">
        <v>2716</v>
      </c>
      <c r="M817" s="32" t="s">
        <v>125</v>
      </c>
      <c r="N817" s="129" t="s">
        <v>2704</v>
      </c>
      <c r="O817" s="122" t="s">
        <v>2704</v>
      </c>
      <c r="P817" s="123" t="str">
        <f t="shared" si="24"/>
        <v>C3-2025</v>
      </c>
      <c r="Q817" s="123" t="str">
        <f t="shared" si="25"/>
        <v>T3-2025</v>
      </c>
      <c r="R817" s="124" t="s">
        <v>2794</v>
      </c>
      <c r="S817" s="123" t="s">
        <v>2731</v>
      </c>
      <c r="T817" s="123" t="s">
        <v>2707</v>
      </c>
      <c r="U817" s="162" t="s">
        <v>51</v>
      </c>
      <c r="V817" s="162" t="s">
        <v>57</v>
      </c>
      <c r="W817" s="237" t="s">
        <v>125</v>
      </c>
      <c r="X817" s="173" t="s">
        <v>2709</v>
      </c>
    </row>
    <row r="818" spans="1:24" hidden="1">
      <c r="A818" s="161">
        <v>45930</v>
      </c>
      <c r="B818" s="195" t="s">
        <v>2871</v>
      </c>
      <c r="C818" s="32" t="s">
        <v>2543</v>
      </c>
      <c r="D818" s="243">
        <v>-1683140</v>
      </c>
      <c r="E818" s="120">
        <v>8.7900000000000001E-4</v>
      </c>
      <c r="F818" s="235">
        <f>Tabla5109[[#This Row],[Original Amount]]*Tabla5109[[#This Row],[ER to EUR]]</f>
        <v>-1479.4800600000001</v>
      </c>
      <c r="G818" s="91" t="s">
        <v>2872</v>
      </c>
      <c r="H818" s="91" t="s">
        <v>3842</v>
      </c>
      <c r="I818" s="9" t="s">
        <v>2713</v>
      </c>
      <c r="J818" s="9" t="s">
        <v>2770</v>
      </c>
      <c r="K818" s="205" t="s">
        <v>2874</v>
      </c>
      <c r="L818" s="9" t="s">
        <v>2875</v>
      </c>
      <c r="M818" s="227" t="s">
        <v>2704</v>
      </c>
      <c r="N818" s="122" t="s">
        <v>2748</v>
      </c>
      <c r="O818" s="129" t="s">
        <v>2748</v>
      </c>
      <c r="P818" s="123" t="str">
        <f t="shared" si="24"/>
        <v>C3-2025</v>
      </c>
      <c r="Q818" s="123" t="str">
        <f t="shared" si="25"/>
        <v>T3-2025</v>
      </c>
      <c r="R818" s="91" t="s">
        <v>2749</v>
      </c>
      <c r="S818" s="123" t="s">
        <v>2750</v>
      </c>
      <c r="T818" s="123" t="s">
        <v>2724</v>
      </c>
      <c r="U818" s="162" t="s">
        <v>2708</v>
      </c>
      <c r="V818" s="162" t="s">
        <v>54</v>
      </c>
      <c r="W818" s="237" t="s">
        <v>125</v>
      </c>
      <c r="X818" s="124" t="s">
        <v>2751</v>
      </c>
    </row>
    <row r="819" spans="1:24" hidden="1">
      <c r="A819" s="161">
        <v>45930</v>
      </c>
      <c r="B819" s="195" t="s">
        <v>2871</v>
      </c>
      <c r="C819" s="38" t="s">
        <v>2543</v>
      </c>
      <c r="D819" s="243">
        <v>-7153721</v>
      </c>
      <c r="E819" s="159">
        <v>8.7900000000000001E-4</v>
      </c>
      <c r="F819" s="235">
        <f>Tabla5109[[#This Row],[Original Amount]]*Tabla5109[[#This Row],[ER to EUR]]</f>
        <v>-6288.1207590000004</v>
      </c>
      <c r="G819" s="37" t="s">
        <v>2876</v>
      </c>
      <c r="H819" s="91" t="s">
        <v>3842</v>
      </c>
      <c r="I819" s="9" t="s">
        <v>2713</v>
      </c>
      <c r="J819" s="9" t="s">
        <v>2770</v>
      </c>
      <c r="K819" s="205" t="s">
        <v>2874</v>
      </c>
      <c r="L819" s="9" t="s">
        <v>2875</v>
      </c>
      <c r="M819" s="227" t="s">
        <v>2704</v>
      </c>
      <c r="N819" s="122" t="s">
        <v>2748</v>
      </c>
      <c r="O819" s="129" t="s">
        <v>2748</v>
      </c>
      <c r="P819" s="123" t="str">
        <f t="shared" si="24"/>
        <v>C3-2025</v>
      </c>
      <c r="Q819" s="123" t="str">
        <f t="shared" si="25"/>
        <v>T3-2025</v>
      </c>
      <c r="R819" s="91" t="s">
        <v>2749</v>
      </c>
      <c r="S819" s="123" t="s">
        <v>2750</v>
      </c>
      <c r="T819" s="123" t="s">
        <v>2724</v>
      </c>
      <c r="U819" s="162" t="s">
        <v>2708</v>
      </c>
      <c r="V819" s="162" t="s">
        <v>56</v>
      </c>
      <c r="W819" s="237" t="s">
        <v>125</v>
      </c>
      <c r="X819" s="173" t="s">
        <v>2751</v>
      </c>
    </row>
    <row r="820" spans="1:24" hidden="1">
      <c r="A820" s="161">
        <v>45930</v>
      </c>
      <c r="B820" s="195" t="s">
        <v>2871</v>
      </c>
      <c r="C820" s="38" t="s">
        <v>2543</v>
      </c>
      <c r="D820" s="243">
        <v>-6781135</v>
      </c>
      <c r="E820" s="159">
        <v>8.7900000000000001E-4</v>
      </c>
      <c r="F820" s="235">
        <f>Tabla5109[[#This Row],[Original Amount]]*Tabla5109[[#This Row],[ER to EUR]]</f>
        <v>-5960.6176649999998</v>
      </c>
      <c r="G820" s="9" t="s">
        <v>3257</v>
      </c>
      <c r="H820" s="91" t="s">
        <v>3842</v>
      </c>
      <c r="I820" s="9" t="s">
        <v>2713</v>
      </c>
      <c r="J820" s="9" t="s">
        <v>2770</v>
      </c>
      <c r="K820" s="205" t="s">
        <v>2874</v>
      </c>
      <c r="L820" s="9" t="s">
        <v>2875</v>
      </c>
      <c r="M820" s="227" t="s">
        <v>2704</v>
      </c>
      <c r="N820" s="122" t="s">
        <v>2748</v>
      </c>
      <c r="O820" s="129" t="s">
        <v>2748</v>
      </c>
      <c r="P820" s="123" t="str">
        <f t="shared" si="24"/>
        <v>C3-2025</v>
      </c>
      <c r="Q820" s="123" t="str">
        <f t="shared" si="25"/>
        <v>T3-2025</v>
      </c>
      <c r="R820" s="91" t="s">
        <v>2749</v>
      </c>
      <c r="S820" s="123" t="s">
        <v>2750</v>
      </c>
      <c r="T820" s="123" t="s">
        <v>2717</v>
      </c>
      <c r="U820" s="162" t="s">
        <v>2708</v>
      </c>
      <c r="V820" s="162" t="s">
        <v>54</v>
      </c>
      <c r="W820" s="237" t="s">
        <v>125</v>
      </c>
      <c r="X820" s="124" t="s">
        <v>2751</v>
      </c>
    </row>
    <row r="821" spans="1:24" hidden="1">
      <c r="A821" s="161">
        <v>45930</v>
      </c>
      <c r="B821" s="702" t="s">
        <v>2871</v>
      </c>
      <c r="C821" s="32" t="s">
        <v>2543</v>
      </c>
      <c r="D821" s="243">
        <v>-6190480</v>
      </c>
      <c r="E821" s="120">
        <v>8.7900000000000001E-4</v>
      </c>
      <c r="F821" s="127">
        <f>Tabla5109[[#This Row],[Original Amount]]*Tabla5109[[#This Row],[ER to EUR]]</f>
        <v>-5441.43192</v>
      </c>
      <c r="G821" s="9" t="s">
        <v>3436</v>
      </c>
      <c r="H821" s="91" t="s">
        <v>3842</v>
      </c>
      <c r="I821" s="9" t="s">
        <v>2713</v>
      </c>
      <c r="J821" s="9" t="s">
        <v>2770</v>
      </c>
      <c r="K821" s="205" t="s">
        <v>2874</v>
      </c>
      <c r="L821" t="s">
        <v>2875</v>
      </c>
      <c r="M821" s="227" t="s">
        <v>2704</v>
      </c>
      <c r="N821" s="158" t="s">
        <v>2748</v>
      </c>
      <c r="O821" s="156" t="s">
        <v>2748</v>
      </c>
      <c r="P821" s="123" t="str">
        <f t="shared" si="24"/>
        <v>C3-2025</v>
      </c>
      <c r="Q821" s="123" t="str">
        <f t="shared" si="25"/>
        <v>T3-2025</v>
      </c>
      <c r="R821" s="171" t="s">
        <v>2749</v>
      </c>
      <c r="S821" s="157" t="s">
        <v>2750</v>
      </c>
      <c r="T821" s="157" t="s">
        <v>2724</v>
      </c>
      <c r="U821" s="165" t="s">
        <v>2708</v>
      </c>
      <c r="V821" s="165" t="s">
        <v>57</v>
      </c>
      <c r="W821" s="237" t="s">
        <v>125</v>
      </c>
      <c r="X821" s="173" t="s">
        <v>2751</v>
      </c>
    </row>
    <row r="822" spans="1:24" hidden="1">
      <c r="A822" s="161">
        <v>45930</v>
      </c>
      <c r="B822" s="195" t="s">
        <v>2871</v>
      </c>
      <c r="C822" s="38" t="s">
        <v>2543</v>
      </c>
      <c r="D822" s="243">
        <v>-1912455</v>
      </c>
      <c r="E822" s="159">
        <v>8.7900000000000001E-4</v>
      </c>
      <c r="F822" s="127">
        <f>Tabla5109[[#This Row],[Original Amount]]*Tabla5109[[#This Row],[ER to EUR]]</f>
        <v>-1681.047945</v>
      </c>
      <c r="G822" s="9" t="s">
        <v>2877</v>
      </c>
      <c r="H822" s="91" t="s">
        <v>3842</v>
      </c>
      <c r="I822" s="9" t="s">
        <v>2713</v>
      </c>
      <c r="J822" s="9" t="s">
        <v>2770</v>
      </c>
      <c r="K822" s="205" t="s">
        <v>2874</v>
      </c>
      <c r="L822" s="9" t="s">
        <v>2875</v>
      </c>
      <c r="M822" s="227" t="s">
        <v>2704</v>
      </c>
      <c r="N822" s="122" t="s">
        <v>2748</v>
      </c>
      <c r="O822" s="129" t="s">
        <v>2748</v>
      </c>
      <c r="P822" s="123" t="str">
        <f t="shared" si="24"/>
        <v>C3-2025</v>
      </c>
      <c r="Q822" s="123" t="str">
        <f t="shared" si="25"/>
        <v>T3-2025</v>
      </c>
      <c r="R822" s="91" t="s">
        <v>2749</v>
      </c>
      <c r="S822" s="123" t="s">
        <v>2750</v>
      </c>
      <c r="T822" s="123" t="s">
        <v>2724</v>
      </c>
      <c r="U822" s="162" t="s">
        <v>2708</v>
      </c>
      <c r="V822" s="162" t="s">
        <v>54</v>
      </c>
      <c r="W822" s="237" t="s">
        <v>125</v>
      </c>
      <c r="X822" s="173" t="s">
        <v>2751</v>
      </c>
    </row>
    <row r="823" spans="1:24" hidden="1">
      <c r="A823" s="161">
        <v>45930</v>
      </c>
      <c r="B823" s="702" t="s">
        <v>2871</v>
      </c>
      <c r="C823" s="38" t="s">
        <v>2697</v>
      </c>
      <c r="D823" s="239">
        <v>-8500</v>
      </c>
      <c r="E823" s="159">
        <v>1</v>
      </c>
      <c r="F823" s="235">
        <f>Tabla5109[[#This Row],[Original Amount]]*Tabla5109[[#This Row],[ER to EUR]]</f>
        <v>-8500</v>
      </c>
      <c r="G823" t="s">
        <v>3717</v>
      </c>
      <c r="H823" s="37" t="s">
        <v>3843</v>
      </c>
      <c r="I823" s="9" t="s">
        <v>2713</v>
      </c>
      <c r="J823" s="9" t="s">
        <v>2770</v>
      </c>
      <c r="K823" s="205" t="s">
        <v>2874</v>
      </c>
      <c r="L823" s="9" t="s">
        <v>2875</v>
      </c>
      <c r="M823" s="32" t="s">
        <v>125</v>
      </c>
      <c r="N823" s="122" t="s">
        <v>2748</v>
      </c>
      <c r="O823" s="129" t="s">
        <v>2748</v>
      </c>
      <c r="P823" s="123" t="str">
        <f t="shared" si="24"/>
        <v>C3-2025</v>
      </c>
      <c r="Q823" s="123" t="str">
        <f t="shared" si="25"/>
        <v>T3-2025</v>
      </c>
      <c r="R823" s="91" t="s">
        <v>2705</v>
      </c>
      <c r="S823" s="124" t="s">
        <v>2706</v>
      </c>
      <c r="T823" s="123" t="s">
        <v>2717</v>
      </c>
      <c r="U823" s="162" t="s">
        <v>2708</v>
      </c>
      <c r="V823" s="162" t="s">
        <v>56</v>
      </c>
      <c r="W823" s="237" t="s">
        <v>125</v>
      </c>
      <c r="X823" s="201" t="s">
        <v>2709</v>
      </c>
    </row>
    <row r="824" spans="1:24" hidden="1">
      <c r="A824" s="161">
        <v>45930</v>
      </c>
      <c r="B824" s="195" t="s">
        <v>2871</v>
      </c>
      <c r="C824" s="38" t="s">
        <v>2697</v>
      </c>
      <c r="D824" s="239">
        <v>-5679.43</v>
      </c>
      <c r="E824" s="159">
        <v>1</v>
      </c>
      <c r="F824" s="235">
        <f>Tabla5109[[#This Row],[Original Amount]]*Tabla5109[[#This Row],[ER to EUR]]</f>
        <v>-5679.43</v>
      </c>
      <c r="G824" t="s">
        <v>3257</v>
      </c>
      <c r="H824" s="37" t="s">
        <v>3843</v>
      </c>
      <c r="I824" s="9" t="s">
        <v>2713</v>
      </c>
      <c r="J824" s="37" t="s">
        <v>2770</v>
      </c>
      <c r="K824" s="217" t="s">
        <v>2874</v>
      </c>
      <c r="L824" s="37" t="s">
        <v>2875</v>
      </c>
      <c r="M824" s="32" t="s">
        <v>125</v>
      </c>
      <c r="N824" s="158" t="s">
        <v>2748</v>
      </c>
      <c r="O824" s="156" t="s">
        <v>2748</v>
      </c>
      <c r="P824" s="123" t="str">
        <f t="shared" si="24"/>
        <v>C3-2025</v>
      </c>
      <c r="Q824" s="123" t="str">
        <f t="shared" si="25"/>
        <v>T3-2025</v>
      </c>
      <c r="R824" s="91" t="s">
        <v>2705</v>
      </c>
      <c r="S824" s="124" t="s">
        <v>2706</v>
      </c>
      <c r="T824" s="123" t="s">
        <v>2717</v>
      </c>
      <c r="U824" s="162" t="s">
        <v>2708</v>
      </c>
      <c r="V824" s="162" t="s">
        <v>54</v>
      </c>
      <c r="W824" s="237" t="s">
        <v>125</v>
      </c>
      <c r="X824" s="201" t="s">
        <v>2709</v>
      </c>
    </row>
    <row r="825" spans="1:24" hidden="1">
      <c r="A825" s="161">
        <v>45930</v>
      </c>
      <c r="B825" s="195" t="s">
        <v>2871</v>
      </c>
      <c r="C825" s="38" t="s">
        <v>2697</v>
      </c>
      <c r="D825" s="126">
        <v>-6220.35</v>
      </c>
      <c r="E825" s="159">
        <v>1</v>
      </c>
      <c r="F825" s="235">
        <f>Tabla5109[[#This Row],[Original Amount]]*Tabla5109[[#This Row],[ER to EUR]]</f>
        <v>-6220.35</v>
      </c>
      <c r="G825" s="37" t="s">
        <v>3844</v>
      </c>
      <c r="H825" s="9" t="s">
        <v>3843</v>
      </c>
      <c r="I825" s="9" t="s">
        <v>2713</v>
      </c>
      <c r="J825" s="9" t="s">
        <v>2770</v>
      </c>
      <c r="K825" s="205" t="s">
        <v>2874</v>
      </c>
      <c r="L825" s="9" t="s">
        <v>2875</v>
      </c>
      <c r="M825" s="32" t="s">
        <v>125</v>
      </c>
      <c r="N825" s="122" t="s">
        <v>2748</v>
      </c>
      <c r="O825" s="129" t="s">
        <v>2748</v>
      </c>
      <c r="P825" s="123" t="str">
        <f t="shared" si="24"/>
        <v>C3-2025</v>
      </c>
      <c r="Q825" s="123" t="str">
        <f t="shared" si="25"/>
        <v>T3-2025</v>
      </c>
      <c r="R825" s="91" t="s">
        <v>2705</v>
      </c>
      <c r="S825" s="124" t="s">
        <v>2706</v>
      </c>
      <c r="T825" s="123" t="s">
        <v>2717</v>
      </c>
      <c r="U825" s="162" t="s">
        <v>2708</v>
      </c>
      <c r="V825" s="162" t="s">
        <v>54</v>
      </c>
      <c r="W825" s="237" t="s">
        <v>125</v>
      </c>
      <c r="X825" s="201" t="s">
        <v>2709</v>
      </c>
    </row>
    <row r="826" spans="1:24" hidden="1">
      <c r="A826" s="161">
        <v>45931</v>
      </c>
      <c r="B826" s="405">
        <v>248296804</v>
      </c>
      <c r="C826" s="38" t="s">
        <v>2697</v>
      </c>
      <c r="D826" s="409">
        <v>-17430.23</v>
      </c>
      <c r="E826" s="159">
        <v>1</v>
      </c>
      <c r="F826" s="236">
        <f>Tabla5109[[#This Row],[Original Amount]]*Tabla5109[[#This Row],[ER to EUR]]</f>
        <v>-17430.23</v>
      </c>
      <c r="G826" s="9" t="s">
        <v>2884</v>
      </c>
      <c r="H826" s="73" t="s">
        <v>2885</v>
      </c>
      <c r="I826" s="9" t="s">
        <v>2727</v>
      </c>
      <c r="J826" s="9" t="s">
        <v>2723</v>
      </c>
      <c r="K826" s="205" t="s">
        <v>2792</v>
      </c>
      <c r="L826" s="9" t="s">
        <v>2793</v>
      </c>
      <c r="M826" s="32" t="s">
        <v>125</v>
      </c>
      <c r="N826" s="129" t="s">
        <v>2704</v>
      </c>
      <c r="O826" s="122" t="s">
        <v>2704</v>
      </c>
      <c r="P826" s="123" t="str">
        <f t="shared" si="24"/>
        <v>C3-2025</v>
      </c>
      <c r="Q826" s="123" t="str">
        <f t="shared" si="25"/>
        <v>T4-2025</v>
      </c>
      <c r="R826" s="124" t="s">
        <v>2741</v>
      </c>
      <c r="S826" s="123" t="s">
        <v>2723</v>
      </c>
      <c r="T826" s="157" t="s">
        <v>2707</v>
      </c>
      <c r="U826" s="165" t="s">
        <v>2708</v>
      </c>
      <c r="V826" s="165" t="s">
        <v>54</v>
      </c>
      <c r="W826" s="237" t="s">
        <v>125</v>
      </c>
      <c r="X826" s="173" t="s">
        <v>2709</v>
      </c>
    </row>
    <row r="827" spans="1:24" hidden="1">
      <c r="A827" s="161">
        <v>45931</v>
      </c>
      <c r="B827" s="192" t="s">
        <v>3845</v>
      </c>
      <c r="C827" s="158" t="s">
        <v>2697</v>
      </c>
      <c r="D827" s="409">
        <v>-192.44</v>
      </c>
      <c r="E827" s="159">
        <v>1</v>
      </c>
      <c r="F827" s="236">
        <f>Tabla5109[[#This Row],[Original Amount]]*Tabla5109[[#This Row],[ER to EUR]]</f>
        <v>-192.44</v>
      </c>
      <c r="G827" s="9" t="s">
        <v>2766</v>
      </c>
      <c r="H827" s="9" t="s">
        <v>3846</v>
      </c>
      <c r="I827" s="9" t="s">
        <v>2713</v>
      </c>
      <c r="J827" s="9" t="s">
        <v>2701</v>
      </c>
      <c r="K827" s="205" t="s">
        <v>2702</v>
      </c>
      <c r="L827" s="9" t="s">
        <v>2760</v>
      </c>
      <c r="M827" s="32" t="s">
        <v>125</v>
      </c>
      <c r="N827" s="129" t="s">
        <v>2704</v>
      </c>
      <c r="O827" s="122" t="s">
        <v>2704</v>
      </c>
      <c r="P827" s="123" t="str">
        <f t="shared" si="24"/>
        <v>C3-2025</v>
      </c>
      <c r="Q827" s="123" t="str">
        <f t="shared" si="25"/>
        <v>T4-2025</v>
      </c>
      <c r="R827" s="124" t="s">
        <v>2741</v>
      </c>
      <c r="S827" s="123" t="s">
        <v>2723</v>
      </c>
      <c r="T827" s="157" t="s">
        <v>2724</v>
      </c>
      <c r="U827" s="162" t="s">
        <v>2708</v>
      </c>
      <c r="V827" s="162" t="s">
        <v>55</v>
      </c>
      <c r="W827" s="237" t="s">
        <v>125</v>
      </c>
      <c r="X827" s="173" t="s">
        <v>2709</v>
      </c>
    </row>
    <row r="828" spans="1:24" hidden="1">
      <c r="A828" s="161">
        <v>45931</v>
      </c>
      <c r="B828" s="191">
        <v>202500001401</v>
      </c>
      <c r="C828" s="38" t="s">
        <v>2697</v>
      </c>
      <c r="D828" s="409">
        <v>-313.20999999999998</v>
      </c>
      <c r="E828" s="159">
        <v>1</v>
      </c>
      <c r="F828" s="236">
        <f>Tabla5109[[#This Row],[Original Amount]]*Tabla5109[[#This Row],[ER to EUR]]</f>
        <v>-313.20999999999998</v>
      </c>
      <c r="G828" s="9" t="s">
        <v>2796</v>
      </c>
      <c r="H828" s="73" t="s">
        <v>2797</v>
      </c>
      <c r="I828" s="9" t="s">
        <v>2727</v>
      </c>
      <c r="J828" s="9" t="s">
        <v>2714</v>
      </c>
      <c r="K828" s="205" t="s">
        <v>2798</v>
      </c>
      <c r="L828" s="9" t="s">
        <v>2799</v>
      </c>
      <c r="M828" s="32" t="s">
        <v>125</v>
      </c>
      <c r="N828" s="122" t="s">
        <v>2704</v>
      </c>
      <c r="O828" s="129" t="s">
        <v>2704</v>
      </c>
      <c r="P828" s="123" t="str">
        <f t="shared" si="24"/>
        <v>C3-2025</v>
      </c>
      <c r="Q828" s="123" t="str">
        <f t="shared" si="25"/>
        <v>T4-2025</v>
      </c>
      <c r="R828" s="124" t="s">
        <v>2705</v>
      </c>
      <c r="S828" s="124" t="s">
        <v>2706</v>
      </c>
      <c r="T828" s="123" t="s">
        <v>2724</v>
      </c>
      <c r="U828" s="162" t="s">
        <v>2708</v>
      </c>
      <c r="V828" s="162" t="s">
        <v>56</v>
      </c>
      <c r="W828" s="237" t="s">
        <v>125</v>
      </c>
      <c r="X828" s="173" t="s">
        <v>2709</v>
      </c>
    </row>
    <row r="829" spans="1:24" hidden="1">
      <c r="A829" s="161">
        <v>45931</v>
      </c>
      <c r="B829" s="199">
        <v>202509382</v>
      </c>
      <c r="C829" s="158" t="s">
        <v>2697</v>
      </c>
      <c r="D829" s="409">
        <v>-5176.5</v>
      </c>
      <c r="E829" s="159">
        <v>1</v>
      </c>
      <c r="F829" s="236">
        <f>Tabla5109[[#This Row],[Original Amount]]*Tabla5109[[#This Row],[ER to EUR]]</f>
        <v>-5176.5</v>
      </c>
      <c r="G829" s="37" t="s">
        <v>3683</v>
      </c>
      <c r="H829" s="73" t="s">
        <v>3847</v>
      </c>
      <c r="I829" s="9" t="s">
        <v>2727</v>
      </c>
      <c r="J829" s="9" t="s">
        <v>2714</v>
      </c>
      <c r="K829" s="205" t="s">
        <v>3510</v>
      </c>
      <c r="L829" s="9" t="s">
        <v>2799</v>
      </c>
      <c r="M829" s="32" t="s">
        <v>125</v>
      </c>
      <c r="N829" s="129" t="s">
        <v>2704</v>
      </c>
      <c r="O829" s="122" t="s">
        <v>2704</v>
      </c>
      <c r="P829" s="123" t="str">
        <f t="shared" si="24"/>
        <v>C3-2025</v>
      </c>
      <c r="Q829" s="123" t="str">
        <f t="shared" si="25"/>
        <v>T4-2025</v>
      </c>
      <c r="R829" s="124" t="s">
        <v>2705</v>
      </c>
      <c r="S829" s="124" t="s">
        <v>2706</v>
      </c>
      <c r="T829" s="123" t="s">
        <v>2724</v>
      </c>
      <c r="U829" s="162" t="s">
        <v>2708</v>
      </c>
      <c r="V829" s="162" t="s">
        <v>56</v>
      </c>
      <c r="W829" s="237" t="s">
        <v>125</v>
      </c>
      <c r="X829" s="202" t="s">
        <v>2709</v>
      </c>
    </row>
    <row r="830" spans="1:24" hidden="1">
      <c r="A830" s="161">
        <v>45931</v>
      </c>
      <c r="B830" s="191">
        <v>11</v>
      </c>
      <c r="C830" s="158" t="s">
        <v>2543</v>
      </c>
      <c r="D830" s="242">
        <v>-935700</v>
      </c>
      <c r="E830" s="159">
        <v>8.8599999999999996E-4</v>
      </c>
      <c r="F830" s="121">
        <f>Tabla5109[[#This Row],[Original Amount]]*Tabla5109[[#This Row],[ER to EUR]]</f>
        <v>-829.03019999999992</v>
      </c>
      <c r="G830" s="37" t="s">
        <v>3566</v>
      </c>
      <c r="H830" s="9" t="s">
        <v>3848</v>
      </c>
      <c r="I830" s="9" t="s">
        <v>2713</v>
      </c>
      <c r="J830" s="9" t="s">
        <v>2714</v>
      </c>
      <c r="K830" s="205" t="s">
        <v>2747</v>
      </c>
      <c r="L830" s="9" t="s">
        <v>2864</v>
      </c>
      <c r="M830" s="226" t="s">
        <v>2748</v>
      </c>
      <c r="N830" s="129" t="s">
        <v>2704</v>
      </c>
      <c r="O830" s="122" t="s">
        <v>2704</v>
      </c>
      <c r="P830" s="123" t="str">
        <f t="shared" si="24"/>
        <v>C3-2025</v>
      </c>
      <c r="Q830" s="123" t="str">
        <f t="shared" si="25"/>
        <v>T4-2025</v>
      </c>
      <c r="R830" s="124" t="s">
        <v>2705</v>
      </c>
      <c r="S830" s="124" t="s">
        <v>2706</v>
      </c>
      <c r="T830" s="123" t="s">
        <v>2724</v>
      </c>
      <c r="U830" s="162" t="s">
        <v>2708</v>
      </c>
      <c r="V830" s="162" t="s">
        <v>56</v>
      </c>
      <c r="W830" s="237" t="s">
        <v>125</v>
      </c>
      <c r="X830" s="202" t="s">
        <v>2709</v>
      </c>
    </row>
    <row r="831" spans="1:24" hidden="1">
      <c r="A831" s="161">
        <v>45962</v>
      </c>
      <c r="B831" s="26" t="s">
        <v>6571</v>
      </c>
      <c r="C831" s="38" t="s">
        <v>2697</v>
      </c>
      <c r="D831" s="409">
        <v>-1957.35</v>
      </c>
      <c r="E831" s="159">
        <v>1</v>
      </c>
      <c r="F831" s="121">
        <f>Tabla5109[[#This Row],[Original Amount]]*Tabla5109[[#This Row],[ER to EUR]]</f>
        <v>-1957.35</v>
      </c>
      <c r="G831" s="37" t="s">
        <v>3692</v>
      </c>
      <c r="H831" s="9" t="s">
        <v>6576</v>
      </c>
      <c r="I831" s="9" t="s">
        <v>2713</v>
      </c>
      <c r="J831" s="9" t="s">
        <v>2701</v>
      </c>
      <c r="K831" s="205" t="s">
        <v>2702</v>
      </c>
      <c r="L831" s="9" t="s">
        <v>6577</v>
      </c>
      <c r="M831" s="227" t="s">
        <v>125</v>
      </c>
      <c r="N831" s="122" t="s">
        <v>2748</v>
      </c>
      <c r="O831" s="129" t="s">
        <v>2748</v>
      </c>
      <c r="P831" s="123" t="str">
        <f t="shared" si="24"/>
        <v>C3-2025</v>
      </c>
      <c r="Q831" s="123" t="str">
        <f t="shared" si="25"/>
        <v>T4-2025</v>
      </c>
      <c r="R831" s="91" t="s">
        <v>6009</v>
      </c>
      <c r="S831" s="123" t="s">
        <v>2750</v>
      </c>
      <c r="T831" s="123" t="s">
        <v>2724</v>
      </c>
      <c r="U831" s="162" t="s">
        <v>2708</v>
      </c>
      <c r="V831" s="162" t="s">
        <v>56</v>
      </c>
      <c r="W831" s="237" t="s">
        <v>125</v>
      </c>
      <c r="X831" s="182" t="s">
        <v>2709</v>
      </c>
    </row>
    <row r="832" spans="1:24" hidden="1">
      <c r="A832" s="161">
        <v>45932</v>
      </c>
      <c r="B832" s="178" t="s">
        <v>3849</v>
      </c>
      <c r="C832" s="158" t="s">
        <v>2548</v>
      </c>
      <c r="D832" s="136">
        <v>-30.13</v>
      </c>
      <c r="E832" s="223">
        <v>0.85200647524921191</v>
      </c>
      <c r="F832" s="121">
        <f>Tabla5109[[#This Row],[Original Amount]]*Tabla5109[[#This Row],[ER to EUR]]</f>
        <v>-25.670955099258755</v>
      </c>
      <c r="G832" s="37" t="s">
        <v>2786</v>
      </c>
      <c r="H832" s="73" t="s">
        <v>3850</v>
      </c>
      <c r="I832" s="9" t="s">
        <v>2713</v>
      </c>
      <c r="J832" s="9" t="s">
        <v>2701</v>
      </c>
      <c r="K832" s="205" t="s">
        <v>2702</v>
      </c>
      <c r="L832" s="9" t="s">
        <v>2788</v>
      </c>
      <c r="M832" s="32" t="s">
        <v>125</v>
      </c>
      <c r="N832" s="129" t="s">
        <v>2704</v>
      </c>
      <c r="O832" s="122" t="s">
        <v>2704</v>
      </c>
      <c r="P832" s="123" t="str">
        <f t="shared" si="24"/>
        <v>C3-2025</v>
      </c>
      <c r="Q832" s="123" t="str">
        <f t="shared" si="25"/>
        <v>T4-2025</v>
      </c>
      <c r="R832" s="124" t="s">
        <v>2705</v>
      </c>
      <c r="S832" s="124" t="s">
        <v>2706</v>
      </c>
      <c r="T832" s="123" t="s">
        <v>2724</v>
      </c>
      <c r="U832" s="162" t="s">
        <v>2708</v>
      </c>
      <c r="V832" s="162" t="s">
        <v>56</v>
      </c>
      <c r="W832" s="237" t="s">
        <v>125</v>
      </c>
      <c r="X832" s="202" t="s">
        <v>2709</v>
      </c>
    </row>
    <row r="833" spans="1:24" hidden="1">
      <c r="A833" s="161">
        <v>45932</v>
      </c>
      <c r="B833" s="191">
        <v>322025</v>
      </c>
      <c r="C833" s="158" t="s">
        <v>2697</v>
      </c>
      <c r="D833" s="409">
        <v>-2000</v>
      </c>
      <c r="E833" s="159">
        <v>1</v>
      </c>
      <c r="F833" s="121">
        <f>Tabla5109[[#This Row],[Original Amount]]*Tabla5109[[#This Row],[ER to EUR]]</f>
        <v>-2000</v>
      </c>
      <c r="G833" s="37" t="s">
        <v>3694</v>
      </c>
      <c r="H833" s="9" t="s">
        <v>3695</v>
      </c>
      <c r="I833" s="9" t="s">
        <v>2727</v>
      </c>
      <c r="J833" s="9" t="s">
        <v>2714</v>
      </c>
      <c r="K833" s="205" t="s">
        <v>2747</v>
      </c>
      <c r="L833" s="9" t="s">
        <v>2716</v>
      </c>
      <c r="M833" s="32" t="s">
        <v>125</v>
      </c>
      <c r="N833" s="122" t="s">
        <v>2704</v>
      </c>
      <c r="O833" s="129" t="s">
        <v>2704</v>
      </c>
      <c r="P833" s="123" t="str">
        <f t="shared" si="24"/>
        <v>C3-2025</v>
      </c>
      <c r="Q833" s="123" t="str">
        <f t="shared" si="25"/>
        <v>T4-2025</v>
      </c>
      <c r="R833" s="91" t="s">
        <v>2705</v>
      </c>
      <c r="S833" s="124" t="s">
        <v>2706</v>
      </c>
      <c r="T833" s="123" t="s">
        <v>2724</v>
      </c>
      <c r="U833" s="162" t="s">
        <v>51</v>
      </c>
      <c r="V833" s="162" t="s">
        <v>57</v>
      </c>
      <c r="W833" s="237" t="s">
        <v>125</v>
      </c>
      <c r="X833" s="202" t="s">
        <v>2709</v>
      </c>
    </row>
    <row r="834" spans="1:24" hidden="1">
      <c r="A834" s="161">
        <v>45933</v>
      </c>
      <c r="B834" s="401">
        <v>15671495</v>
      </c>
      <c r="C834" s="32" t="s">
        <v>2548</v>
      </c>
      <c r="D834" s="240">
        <v>-180</v>
      </c>
      <c r="E834" s="224">
        <v>0.85200647524921191</v>
      </c>
      <c r="F834" s="121">
        <f>Tabla5109[[#This Row],[Original Amount]]*Tabla5109[[#This Row],[ER to EUR]]</f>
        <v>-153.36116554485815</v>
      </c>
      <c r="G834" s="9" t="s">
        <v>2737</v>
      </c>
      <c r="H834" s="37" t="s">
        <v>3851</v>
      </c>
      <c r="I834" s="9" t="s">
        <v>2755</v>
      </c>
      <c r="J834" s="9" t="s">
        <v>2701</v>
      </c>
      <c r="K834" s="205" t="s">
        <v>2702</v>
      </c>
      <c r="L834" s="9" t="s">
        <v>2740</v>
      </c>
      <c r="M834" s="32" t="s">
        <v>125</v>
      </c>
      <c r="N834" s="156" t="s">
        <v>2704</v>
      </c>
      <c r="O834" s="158" t="s">
        <v>2704</v>
      </c>
      <c r="P834" s="123" t="str">
        <f t="shared" ref="P834:P897" si="26">"C"&amp;INT((MONTH(A834)-1)/4)+1&amp;"-"&amp;YEAR(A834)</f>
        <v>C3-2025</v>
      </c>
      <c r="Q834" s="123" t="str">
        <f t="shared" ref="Q834:Q897" si="27">"T"&amp;INT((MONTH(A834)-1)/3)+1&amp;"-"&amp;YEAR(A834)</f>
        <v>T4-2025</v>
      </c>
      <c r="R834" s="124" t="s">
        <v>2741</v>
      </c>
      <c r="S834" s="123" t="s">
        <v>2723</v>
      </c>
      <c r="T834" s="123" t="s">
        <v>2724</v>
      </c>
      <c r="U834" s="162" t="s">
        <v>2708</v>
      </c>
      <c r="V834" s="162" t="s">
        <v>54</v>
      </c>
      <c r="W834" s="237" t="s">
        <v>125</v>
      </c>
      <c r="X834" s="202" t="s">
        <v>2709</v>
      </c>
    </row>
    <row r="835" spans="1:24" hidden="1">
      <c r="A835" s="161">
        <v>45933</v>
      </c>
      <c r="B835" s="167" t="s">
        <v>3852</v>
      </c>
      <c r="C835" s="32" t="s">
        <v>2697</v>
      </c>
      <c r="D835" s="409">
        <v>-5349.05</v>
      </c>
      <c r="E835" s="159">
        <v>1</v>
      </c>
      <c r="F835" s="121">
        <f>Tabla5109[[#This Row],[Original Amount]]*Tabla5109[[#This Row],[ER to EUR]]</f>
        <v>-5349.05</v>
      </c>
      <c r="G835" s="9" t="s">
        <v>3737</v>
      </c>
      <c r="H835" s="37" t="s">
        <v>3853</v>
      </c>
      <c r="I835" s="9" t="s">
        <v>2727</v>
      </c>
      <c r="J835" s="9" t="s">
        <v>2723</v>
      </c>
      <c r="K835" s="205" t="s">
        <v>2792</v>
      </c>
      <c r="L835" s="211" t="s">
        <v>2818</v>
      </c>
      <c r="M835" s="32" t="s">
        <v>125</v>
      </c>
      <c r="N835" s="158" t="s">
        <v>2704</v>
      </c>
      <c r="O835" s="156" t="s">
        <v>2704</v>
      </c>
      <c r="P835" s="123" t="str">
        <f t="shared" si="26"/>
        <v>C3-2025</v>
      </c>
      <c r="Q835" s="123" t="str">
        <f t="shared" si="27"/>
        <v>T4-2025</v>
      </c>
      <c r="R835" s="91" t="s">
        <v>2705</v>
      </c>
      <c r="S835" s="124" t="s">
        <v>2706</v>
      </c>
      <c r="T835" s="123" t="s">
        <v>2717</v>
      </c>
      <c r="U835" s="203" t="s">
        <v>2708</v>
      </c>
      <c r="V835" s="203" t="s">
        <v>56</v>
      </c>
      <c r="W835" s="237" t="s">
        <v>125</v>
      </c>
      <c r="X835" s="182" t="s">
        <v>2709</v>
      </c>
    </row>
    <row r="836" spans="1:24" hidden="1">
      <c r="A836" s="161">
        <v>45933</v>
      </c>
      <c r="B836" s="133" t="s">
        <v>3854</v>
      </c>
      <c r="C836" s="32" t="s">
        <v>2548</v>
      </c>
      <c r="D836" s="240">
        <v>-15.87</v>
      </c>
      <c r="E836" s="223">
        <v>0.85199999999999998</v>
      </c>
      <c r="F836" s="121">
        <f>Tabla5109[[#This Row],[Original Amount]]*Tabla5109[[#This Row],[ER to EUR]]</f>
        <v>-13.521239999999999</v>
      </c>
      <c r="G836" s="9" t="s">
        <v>2884</v>
      </c>
      <c r="H836" s="37" t="s">
        <v>3199</v>
      </c>
      <c r="I836" s="9" t="s">
        <v>3480</v>
      </c>
      <c r="J836" s="9" t="s">
        <v>2723</v>
      </c>
      <c r="K836" s="205" t="s">
        <v>2792</v>
      </c>
      <c r="L836" s="9" t="s">
        <v>2793</v>
      </c>
      <c r="M836" s="32" t="s">
        <v>125</v>
      </c>
      <c r="N836" s="156" t="s">
        <v>2704</v>
      </c>
      <c r="O836" s="158" t="s">
        <v>2704</v>
      </c>
      <c r="P836" s="123" t="str">
        <f t="shared" si="26"/>
        <v>C3-2025</v>
      </c>
      <c r="Q836" s="123" t="str">
        <f t="shared" si="27"/>
        <v>T4-2025</v>
      </c>
      <c r="R836" s="124" t="s">
        <v>2741</v>
      </c>
      <c r="S836" s="123" t="s">
        <v>2723</v>
      </c>
      <c r="T836" s="157" t="s">
        <v>2707</v>
      </c>
      <c r="U836" s="165" t="s">
        <v>2708</v>
      </c>
      <c r="V836" s="165" t="s">
        <v>54</v>
      </c>
      <c r="W836" s="237" t="s">
        <v>125</v>
      </c>
      <c r="X836" s="202" t="s">
        <v>2709</v>
      </c>
    </row>
    <row r="837" spans="1:24" hidden="1">
      <c r="A837" s="161">
        <v>45934</v>
      </c>
      <c r="B837" s="167" t="s">
        <v>3855</v>
      </c>
      <c r="C837" s="122" t="s">
        <v>2697</v>
      </c>
      <c r="D837" s="136">
        <v>-23.99</v>
      </c>
      <c r="E837" s="159">
        <v>1</v>
      </c>
      <c r="F837" s="121">
        <f>Tabla5109[[#This Row],[Original Amount]]*Tabla5109[[#This Row],[ER to EUR]]</f>
        <v>-23.99</v>
      </c>
      <c r="G837" s="9" t="s">
        <v>3462</v>
      </c>
      <c r="H837" s="37" t="s">
        <v>3463</v>
      </c>
      <c r="I837" s="9" t="s">
        <v>2713</v>
      </c>
      <c r="J837" s="9" t="s">
        <v>2701</v>
      </c>
      <c r="K837" s="205" t="s">
        <v>2702</v>
      </c>
      <c r="L837" s="9" t="s">
        <v>2793</v>
      </c>
      <c r="M837" s="32" t="s">
        <v>125</v>
      </c>
      <c r="N837" s="156" t="s">
        <v>2704</v>
      </c>
      <c r="O837" s="158" t="s">
        <v>2704</v>
      </c>
      <c r="P837" s="123" t="str">
        <f t="shared" si="26"/>
        <v>C3-2025</v>
      </c>
      <c r="Q837" s="123" t="str">
        <f t="shared" si="27"/>
        <v>T4-2025</v>
      </c>
      <c r="R837" s="124" t="s">
        <v>2722</v>
      </c>
      <c r="S837" s="123" t="s">
        <v>2723</v>
      </c>
      <c r="T837" s="157" t="s">
        <v>2724</v>
      </c>
      <c r="U837" s="165" t="s">
        <v>2708</v>
      </c>
      <c r="V837" s="165" t="s">
        <v>54</v>
      </c>
      <c r="W837" s="237" t="s">
        <v>125</v>
      </c>
      <c r="X837" s="202" t="s">
        <v>2709</v>
      </c>
    </row>
    <row r="838" spans="1:24" hidden="1">
      <c r="A838" s="161">
        <v>45935</v>
      </c>
      <c r="B838" s="192" t="s">
        <v>3856</v>
      </c>
      <c r="C838" s="122" t="s">
        <v>2548</v>
      </c>
      <c r="D838" s="136">
        <v>-25</v>
      </c>
      <c r="E838" s="224">
        <v>0.85200647524921191</v>
      </c>
      <c r="F838" s="121">
        <f>Tabla5109[[#This Row],[Original Amount]]*Tabla5109[[#This Row],[ER to EUR]]</f>
        <v>-21.300161881230299</v>
      </c>
      <c r="G838" s="9" t="s">
        <v>3068</v>
      </c>
      <c r="H838" s="180" t="s">
        <v>3857</v>
      </c>
      <c r="I838" s="9" t="s">
        <v>2755</v>
      </c>
      <c r="J838" s="9" t="s">
        <v>2701</v>
      </c>
      <c r="K838" s="205" t="s">
        <v>2792</v>
      </c>
      <c r="L838" s="9" t="s">
        <v>2740</v>
      </c>
      <c r="M838" s="32" t="s">
        <v>125</v>
      </c>
      <c r="N838" s="156" t="s">
        <v>2704</v>
      </c>
      <c r="O838" s="158" t="s">
        <v>2704</v>
      </c>
      <c r="P838" s="123" t="str">
        <f t="shared" si="26"/>
        <v>C3-2025</v>
      </c>
      <c r="Q838" s="123" t="str">
        <f t="shared" si="27"/>
        <v>T4-2025</v>
      </c>
      <c r="R838" s="124" t="s">
        <v>2722</v>
      </c>
      <c r="S838" s="123" t="s">
        <v>2723</v>
      </c>
      <c r="T838" s="157" t="s">
        <v>2724</v>
      </c>
      <c r="U838" s="165" t="s">
        <v>2708</v>
      </c>
      <c r="V838" s="165" t="s">
        <v>54</v>
      </c>
      <c r="W838" s="237" t="s">
        <v>125</v>
      </c>
      <c r="X838" s="202" t="s">
        <v>2709</v>
      </c>
    </row>
    <row r="839" spans="1:24" hidden="1">
      <c r="A839" s="161">
        <v>45935</v>
      </c>
      <c r="B839" s="192" t="s">
        <v>3858</v>
      </c>
      <c r="C839" s="32" t="s">
        <v>2697</v>
      </c>
      <c r="D839" s="409">
        <v>-48.55</v>
      </c>
      <c r="E839" s="159">
        <v>1</v>
      </c>
      <c r="F839" s="121">
        <f>Tabla5109[[#This Row],[Original Amount]]*Tabla5109[[#This Row],[ER to EUR]]</f>
        <v>-48.55</v>
      </c>
      <c r="G839" s="9" t="s">
        <v>3859</v>
      </c>
      <c r="H839" s="180" t="s">
        <v>3860</v>
      </c>
      <c r="I839" s="9" t="s">
        <v>3861</v>
      </c>
      <c r="J839" s="9" t="s">
        <v>2770</v>
      </c>
      <c r="K839" s="205" t="s">
        <v>2771</v>
      </c>
      <c r="L839" s="9" t="s">
        <v>2772</v>
      </c>
      <c r="M839" s="32" t="s">
        <v>125</v>
      </c>
      <c r="N839" s="156" t="s">
        <v>2704</v>
      </c>
      <c r="O839" s="158" t="s">
        <v>2704</v>
      </c>
      <c r="P839" s="123" t="str">
        <f t="shared" si="26"/>
        <v>C3-2025</v>
      </c>
      <c r="Q839" s="123" t="str">
        <f t="shared" si="27"/>
        <v>T4-2025</v>
      </c>
      <c r="R839" s="91" t="s">
        <v>2749</v>
      </c>
      <c r="S839" s="123" t="s">
        <v>2750</v>
      </c>
      <c r="T839" s="157" t="s">
        <v>2717</v>
      </c>
      <c r="U839" s="165" t="s">
        <v>2708</v>
      </c>
      <c r="V839" s="165" t="s">
        <v>56</v>
      </c>
      <c r="W839" s="237" t="s">
        <v>125</v>
      </c>
      <c r="X839" s="202" t="s">
        <v>2709</v>
      </c>
    </row>
    <row r="840" spans="1:24" hidden="1">
      <c r="A840" s="161">
        <v>45935</v>
      </c>
      <c r="B840" s="192" t="s">
        <v>3862</v>
      </c>
      <c r="C840" s="122" t="s">
        <v>2697</v>
      </c>
      <c r="D840" s="409">
        <v>-32.21</v>
      </c>
      <c r="E840" s="159">
        <v>1</v>
      </c>
      <c r="F840" s="121">
        <f>Tabla5109[[#This Row],[Original Amount]]*Tabla5109[[#This Row],[ER to EUR]]</f>
        <v>-32.21</v>
      </c>
      <c r="G840" s="9" t="s">
        <v>2839</v>
      </c>
      <c r="H840" s="180" t="s">
        <v>2840</v>
      </c>
      <c r="I840" s="9" t="s">
        <v>2784</v>
      </c>
      <c r="J840" s="9" t="s">
        <v>2701</v>
      </c>
      <c r="K840" s="205" t="s">
        <v>2702</v>
      </c>
      <c r="L840" s="9" t="s">
        <v>2703</v>
      </c>
      <c r="M840" s="32" t="s">
        <v>125</v>
      </c>
      <c r="N840" s="129" t="s">
        <v>2704</v>
      </c>
      <c r="O840" s="122" t="s">
        <v>2704</v>
      </c>
      <c r="P840" s="123" t="str">
        <f t="shared" si="26"/>
        <v>C3-2025</v>
      </c>
      <c r="Q840" s="123" t="str">
        <f t="shared" si="27"/>
        <v>T4-2025</v>
      </c>
      <c r="R840" s="124" t="s">
        <v>2705</v>
      </c>
      <c r="S840" s="124" t="s">
        <v>2706</v>
      </c>
      <c r="T840" s="157" t="s">
        <v>2707</v>
      </c>
      <c r="U840" s="165" t="s">
        <v>2708</v>
      </c>
      <c r="V840" s="165" t="s">
        <v>56</v>
      </c>
      <c r="W840" s="237" t="s">
        <v>125</v>
      </c>
      <c r="X840" s="202" t="s">
        <v>2709</v>
      </c>
    </row>
    <row r="841" spans="1:24" hidden="1">
      <c r="A841" s="161">
        <v>45936</v>
      </c>
      <c r="B841" s="403">
        <v>2465</v>
      </c>
      <c r="C841" s="122" t="s">
        <v>2697</v>
      </c>
      <c r="D841" s="409">
        <v>-46.41</v>
      </c>
      <c r="E841" s="159">
        <v>1</v>
      </c>
      <c r="F841" s="121">
        <f>Tabla5109[[#This Row],[Original Amount]]*Tabla5109[[#This Row],[ER to EUR]]</f>
        <v>-46.41</v>
      </c>
      <c r="G841" s="9" t="s">
        <v>2777</v>
      </c>
      <c r="H841" s="37" t="s">
        <v>2778</v>
      </c>
      <c r="I841" s="9" t="s">
        <v>2755</v>
      </c>
      <c r="J841" s="9" t="s">
        <v>2714</v>
      </c>
      <c r="K841" s="205" t="s">
        <v>2780</v>
      </c>
      <c r="L841" s="9" t="s">
        <v>2716</v>
      </c>
      <c r="M841" s="32" t="s">
        <v>125</v>
      </c>
      <c r="N841" s="156" t="s">
        <v>2704</v>
      </c>
      <c r="O841" s="158" t="s">
        <v>2704</v>
      </c>
      <c r="P841" s="123" t="str">
        <f t="shared" si="26"/>
        <v>C3-2025</v>
      </c>
      <c r="Q841" s="123" t="str">
        <f t="shared" si="27"/>
        <v>T4-2025</v>
      </c>
      <c r="R841" s="124" t="s">
        <v>2705</v>
      </c>
      <c r="S841" s="123" t="s">
        <v>2735</v>
      </c>
      <c r="T841" s="157" t="s">
        <v>2724</v>
      </c>
      <c r="U841" s="165" t="s">
        <v>2708</v>
      </c>
      <c r="V841" s="165" t="s">
        <v>54</v>
      </c>
      <c r="W841" s="237" t="s">
        <v>125</v>
      </c>
      <c r="X841" s="202" t="s">
        <v>2709</v>
      </c>
    </row>
    <row r="842" spans="1:24" hidden="1">
      <c r="A842" s="161">
        <v>45936</v>
      </c>
      <c r="B842" s="192" t="s">
        <v>3863</v>
      </c>
      <c r="C842" s="122" t="s">
        <v>2548</v>
      </c>
      <c r="D842" s="240">
        <v>-349</v>
      </c>
      <c r="E842" s="224">
        <v>0.85200647524921191</v>
      </c>
      <c r="F842" s="121">
        <f>Tabla5109[[#This Row],[Original Amount]]*Tabla5109[[#This Row],[ER to EUR]]</f>
        <v>-297.35025986197496</v>
      </c>
      <c r="G842" s="9" t="s">
        <v>3864</v>
      </c>
      <c r="H842" s="37" t="s">
        <v>3865</v>
      </c>
      <c r="I842" s="9" t="s">
        <v>2755</v>
      </c>
      <c r="J842" s="9" t="s">
        <v>2701</v>
      </c>
      <c r="K842" s="205" t="s">
        <v>2702</v>
      </c>
      <c r="L842" s="9" t="s">
        <v>2703</v>
      </c>
      <c r="M842" s="32" t="s">
        <v>125</v>
      </c>
      <c r="N842" s="156" t="s">
        <v>2704</v>
      </c>
      <c r="O842" s="158" t="s">
        <v>2704</v>
      </c>
      <c r="P842" s="123" t="str">
        <f t="shared" si="26"/>
        <v>C3-2025</v>
      </c>
      <c r="Q842" s="123" t="str">
        <f t="shared" si="27"/>
        <v>T4-2025</v>
      </c>
      <c r="R842" s="124" t="s">
        <v>2705</v>
      </c>
      <c r="S842" s="124" t="s">
        <v>2706</v>
      </c>
      <c r="T842" s="123" t="s">
        <v>2717</v>
      </c>
      <c r="U842" s="162" t="s">
        <v>2708</v>
      </c>
      <c r="V842" s="162" t="s">
        <v>56</v>
      </c>
      <c r="W842" s="237" t="s">
        <v>125</v>
      </c>
      <c r="X842" s="202" t="s">
        <v>2709</v>
      </c>
    </row>
    <row r="843" spans="1:24" hidden="1">
      <c r="A843" s="161">
        <v>45936</v>
      </c>
      <c r="B843" s="192" t="s">
        <v>3866</v>
      </c>
      <c r="C843" s="158" t="s">
        <v>2697</v>
      </c>
      <c r="D843" s="409">
        <v>-132.02000000000001</v>
      </c>
      <c r="E843" s="159">
        <v>1</v>
      </c>
      <c r="F843" s="121">
        <f>Tabla5109[[#This Row],[Original Amount]]*Tabla5109[[#This Row],[ER to EUR]]</f>
        <v>-132.02000000000001</v>
      </c>
      <c r="G843" s="37" t="s">
        <v>2839</v>
      </c>
      <c r="H843" s="180" t="s">
        <v>2840</v>
      </c>
      <c r="I843" s="9" t="s">
        <v>2784</v>
      </c>
      <c r="J843" s="37" t="s">
        <v>2701</v>
      </c>
      <c r="K843" s="217" t="s">
        <v>2702</v>
      </c>
      <c r="L843" s="37" t="s">
        <v>2703</v>
      </c>
      <c r="M843" s="32" t="s">
        <v>125</v>
      </c>
      <c r="N843" s="156" t="s">
        <v>2704</v>
      </c>
      <c r="O843" s="158" t="s">
        <v>2704</v>
      </c>
      <c r="P843" s="123" t="str">
        <f t="shared" si="26"/>
        <v>C3-2025</v>
      </c>
      <c r="Q843" s="123" t="str">
        <f t="shared" si="27"/>
        <v>T4-2025</v>
      </c>
      <c r="R843" s="160" t="s">
        <v>2705</v>
      </c>
      <c r="S843" s="124" t="s">
        <v>2706</v>
      </c>
      <c r="T843" s="123" t="s">
        <v>2707</v>
      </c>
      <c r="U843" s="162" t="s">
        <v>2708</v>
      </c>
      <c r="V843" s="162" t="s">
        <v>56</v>
      </c>
      <c r="W843" s="237" t="s">
        <v>125</v>
      </c>
      <c r="X843" s="202" t="s">
        <v>2709</v>
      </c>
    </row>
    <row r="844" spans="1:24" hidden="1">
      <c r="A844" s="161">
        <v>45936</v>
      </c>
      <c r="B844" s="192" t="s">
        <v>3867</v>
      </c>
      <c r="C844" s="38" t="s">
        <v>2697</v>
      </c>
      <c r="D844" s="409">
        <v>-89</v>
      </c>
      <c r="E844" s="159">
        <v>1</v>
      </c>
      <c r="F844" s="121">
        <f>Tabla5109[[#This Row],[Original Amount]]*Tabla5109[[#This Row],[ER to EUR]]</f>
        <v>-89</v>
      </c>
      <c r="G844" s="9" t="s">
        <v>3269</v>
      </c>
      <c r="H844" s="180" t="s">
        <v>3270</v>
      </c>
      <c r="I844" s="9" t="s">
        <v>2755</v>
      </c>
      <c r="J844" s="37" t="s">
        <v>2701</v>
      </c>
      <c r="K844" s="217" t="s">
        <v>2702</v>
      </c>
      <c r="L844" s="37" t="s">
        <v>2703</v>
      </c>
      <c r="M844" s="32" t="s">
        <v>125</v>
      </c>
      <c r="N844" s="156" t="s">
        <v>2704</v>
      </c>
      <c r="O844" s="158" t="s">
        <v>2704</v>
      </c>
      <c r="P844" s="123" t="str">
        <f t="shared" si="26"/>
        <v>C3-2025</v>
      </c>
      <c r="Q844" s="123" t="str">
        <f t="shared" si="27"/>
        <v>T4-2025</v>
      </c>
      <c r="R844" s="160" t="s">
        <v>2741</v>
      </c>
      <c r="S844" s="123" t="s">
        <v>2723</v>
      </c>
      <c r="T844" s="123" t="s">
        <v>2724</v>
      </c>
      <c r="U844" s="162" t="s">
        <v>2708</v>
      </c>
      <c r="V844" s="162" t="s">
        <v>54</v>
      </c>
      <c r="W844" s="237" t="s">
        <v>125</v>
      </c>
      <c r="X844" s="202" t="s">
        <v>2709</v>
      </c>
    </row>
    <row r="845" spans="1:24" hidden="1">
      <c r="A845" s="161">
        <v>45936</v>
      </c>
      <c r="B845" s="164">
        <v>781149497775</v>
      </c>
      <c r="C845" s="158" t="s">
        <v>2697</v>
      </c>
      <c r="D845" s="409">
        <v>-82.64</v>
      </c>
      <c r="E845" s="159">
        <v>1</v>
      </c>
      <c r="F845" s="121">
        <f>Tabla5109[[#This Row],[Original Amount]]*Tabla5109[[#This Row],[ER to EUR]]</f>
        <v>-82.64</v>
      </c>
      <c r="G845" s="9" t="s">
        <v>2718</v>
      </c>
      <c r="H845" s="37" t="s">
        <v>3868</v>
      </c>
      <c r="I845" s="9" t="s">
        <v>2755</v>
      </c>
      <c r="J845" s="37" t="s">
        <v>2714</v>
      </c>
      <c r="K845" s="217" t="s">
        <v>2721</v>
      </c>
      <c r="L845" s="37" t="s">
        <v>2716</v>
      </c>
      <c r="M845" s="32" t="s">
        <v>125</v>
      </c>
      <c r="N845" s="156" t="s">
        <v>2704</v>
      </c>
      <c r="O845" s="158" t="s">
        <v>2704</v>
      </c>
      <c r="P845" s="123" t="str">
        <f t="shared" si="26"/>
        <v>C3-2025</v>
      </c>
      <c r="Q845" s="123" t="str">
        <f t="shared" si="27"/>
        <v>T4-2025</v>
      </c>
      <c r="R845" s="160" t="s">
        <v>2722</v>
      </c>
      <c r="S845" s="123" t="s">
        <v>2723</v>
      </c>
      <c r="T845" s="123" t="s">
        <v>2724</v>
      </c>
      <c r="U845" s="162" t="s">
        <v>2708</v>
      </c>
      <c r="V845" s="162" t="s">
        <v>54</v>
      </c>
      <c r="W845" s="237" t="s">
        <v>125</v>
      </c>
      <c r="X845" s="202" t="s">
        <v>2709</v>
      </c>
    </row>
    <row r="846" spans="1:24" hidden="1">
      <c r="A846" s="161">
        <v>45936</v>
      </c>
      <c r="B846" s="200" t="s">
        <v>3703</v>
      </c>
      <c r="C846" s="158" t="s">
        <v>2697</v>
      </c>
      <c r="D846" s="210">
        <v>-20</v>
      </c>
      <c r="E846" s="179">
        <v>1</v>
      </c>
      <c r="F846" s="121">
        <f>Tabla5109[[#This Row],[Original Amount]]*Tabla5109[[#This Row],[ER to EUR]]</f>
        <v>-20</v>
      </c>
      <c r="G846" s="9" t="s">
        <v>3869</v>
      </c>
      <c r="H846" s="37" t="s">
        <v>3704</v>
      </c>
      <c r="I846" s="9" t="s">
        <v>2713</v>
      </c>
      <c r="J846" s="37" t="s">
        <v>2825</v>
      </c>
      <c r="K846" s="217" t="s">
        <v>2826</v>
      </c>
      <c r="L846" s="212" t="s">
        <v>2827</v>
      </c>
      <c r="M846" s="32" t="s">
        <v>125</v>
      </c>
      <c r="N846" s="156" t="s">
        <v>2748</v>
      </c>
      <c r="O846" s="158" t="s">
        <v>2748</v>
      </c>
      <c r="P846" s="123" t="str">
        <f t="shared" si="26"/>
        <v>C3-2025</v>
      </c>
      <c r="Q846" s="123" t="str">
        <f t="shared" si="27"/>
        <v>T4-2025</v>
      </c>
      <c r="R846" s="160" t="s">
        <v>2705</v>
      </c>
      <c r="S846" s="124" t="s">
        <v>2706</v>
      </c>
      <c r="T846" s="157" t="s">
        <v>2724</v>
      </c>
      <c r="U846" s="203" t="s">
        <v>2708</v>
      </c>
      <c r="V846" s="203" t="s">
        <v>56</v>
      </c>
      <c r="W846" s="237" t="s">
        <v>125</v>
      </c>
      <c r="X846" s="202" t="s">
        <v>2709</v>
      </c>
    </row>
    <row r="847" spans="1:24" hidden="1">
      <c r="A847" s="161">
        <v>45936</v>
      </c>
      <c r="B847" s="164">
        <v>54</v>
      </c>
      <c r="C847" s="158" t="s">
        <v>2543</v>
      </c>
      <c r="D847" s="152">
        <v>-1717500</v>
      </c>
      <c r="E847" s="159">
        <v>8.8599999999999996E-4</v>
      </c>
      <c r="F847" s="121">
        <f>Tabla5109[[#This Row],[Original Amount]]*Tabla5109[[#This Row],[ER to EUR]]</f>
        <v>-1521.7049999999999</v>
      </c>
      <c r="G847" s="9" t="s">
        <v>3566</v>
      </c>
      <c r="H847" s="37" t="s">
        <v>3870</v>
      </c>
      <c r="I847" s="9" t="s">
        <v>2713</v>
      </c>
      <c r="J847" s="37" t="s">
        <v>2714</v>
      </c>
      <c r="K847" s="217" t="s">
        <v>2747</v>
      </c>
      <c r="L847" s="37" t="s">
        <v>2864</v>
      </c>
      <c r="M847" s="226" t="s">
        <v>2748</v>
      </c>
      <c r="N847" s="156" t="s">
        <v>2704</v>
      </c>
      <c r="O847" s="158" t="s">
        <v>2704</v>
      </c>
      <c r="P847" s="123" t="str">
        <f t="shared" si="26"/>
        <v>C3-2025</v>
      </c>
      <c r="Q847" s="123" t="str">
        <f t="shared" si="27"/>
        <v>T4-2025</v>
      </c>
      <c r="R847" s="160" t="s">
        <v>2705</v>
      </c>
      <c r="S847" s="124" t="s">
        <v>2706</v>
      </c>
      <c r="T847" s="123" t="s">
        <v>2707</v>
      </c>
      <c r="U847" s="162" t="s">
        <v>51</v>
      </c>
      <c r="V847" s="162" t="s">
        <v>57</v>
      </c>
      <c r="W847" s="237" t="s">
        <v>125</v>
      </c>
      <c r="X847" s="202" t="s">
        <v>2709</v>
      </c>
    </row>
    <row r="848" spans="1:24" hidden="1">
      <c r="A848" s="161">
        <v>45936</v>
      </c>
      <c r="B848" s="164">
        <v>1722100</v>
      </c>
      <c r="C848" s="38" t="s">
        <v>2543</v>
      </c>
      <c r="D848" s="152">
        <v>-182312</v>
      </c>
      <c r="E848" s="159">
        <v>8.8599999999999996E-4</v>
      </c>
      <c r="F848" s="121">
        <f>Tabla5109[[#This Row],[Original Amount]]*Tabla5109[[#This Row],[ER to EUR]]</f>
        <v>-161.52843199999998</v>
      </c>
      <c r="G848" s="37" t="s">
        <v>3087</v>
      </c>
      <c r="H848" s="37" t="s">
        <v>3088</v>
      </c>
      <c r="I848" s="9" t="s">
        <v>2713</v>
      </c>
      <c r="J848" s="37" t="s">
        <v>2701</v>
      </c>
      <c r="K848" s="217" t="s">
        <v>2771</v>
      </c>
      <c r="L848" s="37" t="s">
        <v>2772</v>
      </c>
      <c r="M848" s="227" t="s">
        <v>2704</v>
      </c>
      <c r="N848" s="129" t="s">
        <v>2748</v>
      </c>
      <c r="O848" s="158" t="s">
        <v>2704</v>
      </c>
      <c r="P848" s="123" t="str">
        <f t="shared" si="26"/>
        <v>C3-2025</v>
      </c>
      <c r="Q848" s="123" t="str">
        <f t="shared" si="27"/>
        <v>T4-2025</v>
      </c>
      <c r="R848" s="171" t="s">
        <v>2749</v>
      </c>
      <c r="S848" s="157" t="s">
        <v>2750</v>
      </c>
      <c r="T848" s="123" t="s">
        <v>2707</v>
      </c>
      <c r="U848" s="162" t="s">
        <v>2708</v>
      </c>
      <c r="V848" s="162" t="s">
        <v>54</v>
      </c>
      <c r="W848" s="237" t="s">
        <v>125</v>
      </c>
      <c r="X848" s="202" t="s">
        <v>2751</v>
      </c>
    </row>
    <row r="849" spans="1:24" hidden="1">
      <c r="A849" s="161">
        <v>45937</v>
      </c>
      <c r="B849" s="192" t="s">
        <v>3871</v>
      </c>
      <c r="C849" s="158" t="s">
        <v>2697</v>
      </c>
      <c r="D849" s="210">
        <v>-116.1</v>
      </c>
      <c r="E849" s="159">
        <v>1</v>
      </c>
      <c r="F849" s="121">
        <f>Tabla5109[[#This Row],[Original Amount]]*Tabla5109[[#This Row],[ER to EUR]]</f>
        <v>-116.1</v>
      </c>
      <c r="G849" s="9" t="s">
        <v>3128</v>
      </c>
      <c r="H849" s="180" t="s">
        <v>2994</v>
      </c>
      <c r="I849" s="9" t="s">
        <v>3480</v>
      </c>
      <c r="J849" s="37" t="s">
        <v>2701</v>
      </c>
      <c r="K849" s="217" t="s">
        <v>2702</v>
      </c>
      <c r="L849" s="37" t="s">
        <v>2703</v>
      </c>
      <c r="M849" s="32" t="s">
        <v>125</v>
      </c>
      <c r="N849" s="129" t="s">
        <v>2704</v>
      </c>
      <c r="O849" s="122" t="s">
        <v>2704</v>
      </c>
      <c r="P849" s="123" t="str">
        <f t="shared" si="26"/>
        <v>C3-2025</v>
      </c>
      <c r="Q849" s="123" t="str">
        <f t="shared" si="27"/>
        <v>T4-2025</v>
      </c>
      <c r="R849" s="160" t="s">
        <v>2741</v>
      </c>
      <c r="S849" s="157" t="s">
        <v>2723</v>
      </c>
      <c r="T849" s="123" t="s">
        <v>2707</v>
      </c>
      <c r="U849" s="162" t="s">
        <v>2708</v>
      </c>
      <c r="V849" s="162" t="s">
        <v>54</v>
      </c>
      <c r="W849" s="237" t="s">
        <v>125</v>
      </c>
      <c r="X849" s="202" t="s">
        <v>2709</v>
      </c>
    </row>
    <row r="850" spans="1:24" hidden="1">
      <c r="A850" s="161">
        <v>45937</v>
      </c>
      <c r="B850" s="192" t="s">
        <v>3872</v>
      </c>
      <c r="C850" s="158" t="s">
        <v>2697</v>
      </c>
      <c r="D850" s="210">
        <v>-252</v>
      </c>
      <c r="E850" s="159">
        <v>1</v>
      </c>
      <c r="F850" s="121">
        <f>Tabla5109[[#This Row],[Original Amount]]*Tabla5109[[#This Row],[ER to EUR]]</f>
        <v>-252</v>
      </c>
      <c r="G850" s="37" t="s">
        <v>3873</v>
      </c>
      <c r="H850" s="180" t="s">
        <v>3874</v>
      </c>
      <c r="I850" s="9" t="s">
        <v>2755</v>
      </c>
      <c r="J850" s="37" t="s">
        <v>2701</v>
      </c>
      <c r="K850" s="217" t="s">
        <v>2702</v>
      </c>
      <c r="L850" s="37" t="s">
        <v>2740</v>
      </c>
      <c r="M850" s="32" t="s">
        <v>125</v>
      </c>
      <c r="N850" s="156" t="s">
        <v>2704</v>
      </c>
      <c r="O850" s="158" t="s">
        <v>2704</v>
      </c>
      <c r="P850" s="123" t="str">
        <f t="shared" si="26"/>
        <v>C3-2025</v>
      </c>
      <c r="Q850" s="123" t="str">
        <f t="shared" si="27"/>
        <v>T4-2025</v>
      </c>
      <c r="R850" s="160" t="s">
        <v>2705</v>
      </c>
      <c r="S850" s="160" t="s">
        <v>2706</v>
      </c>
      <c r="T850" s="123" t="s">
        <v>2724</v>
      </c>
      <c r="U850" s="162" t="s">
        <v>2708</v>
      </c>
      <c r="V850" s="162" t="s">
        <v>56</v>
      </c>
      <c r="W850" s="237" t="s">
        <v>125</v>
      </c>
      <c r="X850" s="202" t="s">
        <v>2709</v>
      </c>
    </row>
    <row r="851" spans="1:24" hidden="1">
      <c r="A851" s="161">
        <v>45937</v>
      </c>
      <c r="B851" s="200" t="s">
        <v>3703</v>
      </c>
      <c r="C851" s="158" t="s">
        <v>2697</v>
      </c>
      <c r="D851" s="210">
        <v>-183.87</v>
      </c>
      <c r="E851" s="179">
        <v>1</v>
      </c>
      <c r="F851" s="121">
        <f>Tabla5109[[#This Row],[Original Amount]]*Tabla5109[[#This Row],[ER to EUR]]</f>
        <v>-183.87</v>
      </c>
      <c r="G851" s="37" t="s">
        <v>3875</v>
      </c>
      <c r="H851" s="37" t="s">
        <v>3704</v>
      </c>
      <c r="I851" s="37" t="s">
        <v>2713</v>
      </c>
      <c r="J851" s="37" t="s">
        <v>2825</v>
      </c>
      <c r="K851" s="217" t="s">
        <v>2826</v>
      </c>
      <c r="L851" s="212" t="s">
        <v>2827</v>
      </c>
      <c r="M851" s="32" t="s">
        <v>125</v>
      </c>
      <c r="N851" s="156" t="s">
        <v>2748</v>
      </c>
      <c r="O851" s="158" t="s">
        <v>2748</v>
      </c>
      <c r="P851" s="123" t="str">
        <f t="shared" si="26"/>
        <v>C3-2025</v>
      </c>
      <c r="Q851" s="123" t="str">
        <f t="shared" si="27"/>
        <v>T4-2025</v>
      </c>
      <c r="R851" s="160" t="s">
        <v>2705</v>
      </c>
      <c r="S851" s="124" t="s">
        <v>2706</v>
      </c>
      <c r="T851" s="157" t="s">
        <v>2724</v>
      </c>
      <c r="U851" s="414" t="s">
        <v>2708</v>
      </c>
      <c r="V851" s="414" t="s">
        <v>56</v>
      </c>
      <c r="W851" s="237" t="s">
        <v>125</v>
      </c>
      <c r="X851" s="202" t="s">
        <v>2709</v>
      </c>
    </row>
    <row r="852" spans="1:24" hidden="1">
      <c r="A852" s="161">
        <v>45937</v>
      </c>
      <c r="B852" s="200" t="s">
        <v>3703</v>
      </c>
      <c r="C852" s="158" t="s">
        <v>2697</v>
      </c>
      <c r="D852" s="409">
        <v>-183.87</v>
      </c>
      <c r="E852" s="179">
        <v>1</v>
      </c>
      <c r="F852" s="121">
        <f>Tabla5109[[#This Row],[Original Amount]]*Tabla5109[[#This Row],[ER to EUR]]</f>
        <v>-183.87</v>
      </c>
      <c r="G852" s="37" t="s">
        <v>3875</v>
      </c>
      <c r="H852" s="37" t="s">
        <v>3704</v>
      </c>
      <c r="I852" s="37" t="s">
        <v>2713</v>
      </c>
      <c r="J852" s="37" t="s">
        <v>2825</v>
      </c>
      <c r="K852" s="217" t="s">
        <v>2826</v>
      </c>
      <c r="L852" s="212" t="s">
        <v>2827</v>
      </c>
      <c r="M852" s="38" t="s">
        <v>125</v>
      </c>
      <c r="N852" s="156" t="s">
        <v>2748</v>
      </c>
      <c r="O852" s="158" t="s">
        <v>2748</v>
      </c>
      <c r="P852" s="123" t="str">
        <f t="shared" si="26"/>
        <v>C3-2025</v>
      </c>
      <c r="Q852" s="123" t="str">
        <f t="shared" si="27"/>
        <v>T4-2025</v>
      </c>
      <c r="R852" s="160" t="s">
        <v>2705</v>
      </c>
      <c r="S852" s="160" t="s">
        <v>2706</v>
      </c>
      <c r="T852" s="157" t="s">
        <v>2724</v>
      </c>
      <c r="U852" s="414" t="s">
        <v>2708</v>
      </c>
      <c r="V852" s="414" t="s">
        <v>56</v>
      </c>
      <c r="W852" s="237" t="s">
        <v>125</v>
      </c>
      <c r="X852" s="173" t="s">
        <v>2709</v>
      </c>
    </row>
    <row r="853" spans="1:24" hidden="1">
      <c r="A853" s="161">
        <v>45937</v>
      </c>
      <c r="B853" s="164">
        <v>23</v>
      </c>
      <c r="C853" s="158" t="s">
        <v>2697</v>
      </c>
      <c r="D853" s="210">
        <v>-3213</v>
      </c>
      <c r="E853" s="179">
        <v>1</v>
      </c>
      <c r="F853" s="121">
        <f>Tabla5109[[#This Row],[Original Amount]]*Tabla5109[[#This Row],[ER to EUR]]</f>
        <v>-3213</v>
      </c>
      <c r="G853" s="37" t="s">
        <v>2790</v>
      </c>
      <c r="H853" s="171" t="s">
        <v>2791</v>
      </c>
      <c r="I853" s="37" t="s">
        <v>2727</v>
      </c>
      <c r="J853" s="37" t="s">
        <v>2723</v>
      </c>
      <c r="K853" s="217" t="s">
        <v>2792</v>
      </c>
      <c r="L853" s="37" t="s">
        <v>2793</v>
      </c>
      <c r="M853" s="32" t="s">
        <v>125</v>
      </c>
      <c r="N853" s="156" t="s">
        <v>2704</v>
      </c>
      <c r="O853" s="158" t="s">
        <v>2704</v>
      </c>
      <c r="P853" s="123" t="str">
        <f t="shared" si="26"/>
        <v>C3-2025</v>
      </c>
      <c r="Q853" s="123" t="str">
        <f t="shared" si="27"/>
        <v>T4-2025</v>
      </c>
      <c r="R853" s="160" t="s">
        <v>2794</v>
      </c>
      <c r="S853" s="157" t="s">
        <v>2731</v>
      </c>
      <c r="T853" s="123" t="s">
        <v>2724</v>
      </c>
      <c r="U853" s="162" t="s">
        <v>2708</v>
      </c>
      <c r="V853" s="162" t="s">
        <v>57</v>
      </c>
      <c r="W853" s="237" t="s">
        <v>125</v>
      </c>
      <c r="X853" s="202" t="s">
        <v>2709</v>
      </c>
    </row>
    <row r="854" spans="1:24" hidden="1">
      <c r="A854" s="161">
        <v>45938</v>
      </c>
      <c r="B854" s="192" t="s">
        <v>3876</v>
      </c>
      <c r="C854" s="158" t="s">
        <v>2697</v>
      </c>
      <c r="D854" s="210">
        <v>-49.99</v>
      </c>
      <c r="E854" s="159">
        <v>1</v>
      </c>
      <c r="F854" s="121">
        <f>Tabla5109[[#This Row],[Original Amount]]*Tabla5109[[#This Row],[ER to EUR]]</f>
        <v>-49.99</v>
      </c>
      <c r="G854" t="s">
        <v>2830</v>
      </c>
      <c r="H854" s="9" t="s">
        <v>3877</v>
      </c>
      <c r="I854" s="9" t="s">
        <v>2739</v>
      </c>
      <c r="J854" s="9" t="s">
        <v>2817</v>
      </c>
      <c r="K854" s="205" t="s">
        <v>2702</v>
      </c>
      <c r="L854" s="9" t="s">
        <v>2818</v>
      </c>
      <c r="M854" s="32" t="s">
        <v>125</v>
      </c>
      <c r="N854" s="129" t="s">
        <v>2704</v>
      </c>
      <c r="O854" s="122" t="s">
        <v>2704</v>
      </c>
      <c r="P854" s="123" t="str">
        <f t="shared" si="26"/>
        <v>C3-2025</v>
      </c>
      <c r="Q854" s="123" t="str">
        <f t="shared" si="27"/>
        <v>T4-2025</v>
      </c>
      <c r="R854" s="124" t="s">
        <v>2722</v>
      </c>
      <c r="S854" s="123" t="s">
        <v>2723</v>
      </c>
      <c r="T854" s="123" t="s">
        <v>2724</v>
      </c>
      <c r="U854" s="162" t="s">
        <v>2708</v>
      </c>
      <c r="V854" s="162" t="s">
        <v>54</v>
      </c>
      <c r="W854" s="237" t="s">
        <v>125</v>
      </c>
      <c r="X854" s="173" t="s">
        <v>2709</v>
      </c>
    </row>
    <row r="855" spans="1:24" hidden="1">
      <c r="A855" s="161">
        <v>45939</v>
      </c>
      <c r="B855" s="200" t="s">
        <v>3703</v>
      </c>
      <c r="C855" s="158" t="s">
        <v>2697</v>
      </c>
      <c r="D855" s="210">
        <v>-1222.0999999999999</v>
      </c>
      <c r="E855" s="179">
        <v>1</v>
      </c>
      <c r="F855" s="121">
        <f>Tabla5109[[#This Row],[Original Amount]]*Tabla5109[[#This Row],[ER to EUR]]</f>
        <v>-1222.0999999999999</v>
      </c>
      <c r="G855" s="37" t="s">
        <v>3878</v>
      </c>
      <c r="H855" s="37" t="s">
        <v>3704</v>
      </c>
      <c r="I855" s="37" t="s">
        <v>2713</v>
      </c>
      <c r="J855" s="37" t="s">
        <v>2713</v>
      </c>
      <c r="K855" s="217" t="s">
        <v>2713</v>
      </c>
      <c r="L855" s="37" t="s">
        <v>2713</v>
      </c>
      <c r="M855" s="32" t="s">
        <v>125</v>
      </c>
      <c r="N855" s="156" t="s">
        <v>2748</v>
      </c>
      <c r="O855" s="158" t="s">
        <v>2748</v>
      </c>
      <c r="P855" s="123" t="str">
        <f t="shared" si="26"/>
        <v>C3-2025</v>
      </c>
      <c r="Q855" s="123" t="str">
        <f t="shared" si="27"/>
        <v>T4-2025</v>
      </c>
      <c r="R855" s="124" t="s">
        <v>2705</v>
      </c>
      <c r="S855" s="160" t="s">
        <v>2706</v>
      </c>
      <c r="T855" s="123" t="s">
        <v>2717</v>
      </c>
      <c r="U855" s="203" t="s">
        <v>2708</v>
      </c>
      <c r="V855" s="203" t="s">
        <v>56</v>
      </c>
      <c r="W855" s="237" t="s">
        <v>125</v>
      </c>
      <c r="X855" s="173" t="s">
        <v>2709</v>
      </c>
    </row>
    <row r="856" spans="1:24" hidden="1">
      <c r="A856" s="161">
        <v>45939</v>
      </c>
      <c r="B856" s="164">
        <v>172635</v>
      </c>
      <c r="C856" s="38" t="s">
        <v>2543</v>
      </c>
      <c r="D856" s="152">
        <v>-2325663</v>
      </c>
      <c r="E856" s="159">
        <v>8.8599999999999996E-4</v>
      </c>
      <c r="F856" s="121">
        <f>Tabla5109[[#This Row],[Original Amount]]*Tabla5109[[#This Row],[ER to EUR]]</f>
        <v>-2060.5374179999999</v>
      </c>
      <c r="G856" s="37" t="s">
        <v>3879</v>
      </c>
      <c r="H856" s="37" t="s">
        <v>3880</v>
      </c>
      <c r="I856" s="37" t="s">
        <v>2713</v>
      </c>
      <c r="J856" s="9" t="s">
        <v>3095</v>
      </c>
      <c r="K856" s="217" t="s">
        <v>3510</v>
      </c>
      <c r="L856" s="211" t="s">
        <v>3097</v>
      </c>
      <c r="M856" s="227" t="s">
        <v>2704</v>
      </c>
      <c r="N856" s="156" t="s">
        <v>2748</v>
      </c>
      <c r="O856" s="156" t="s">
        <v>2704</v>
      </c>
      <c r="P856" s="123" t="str">
        <f t="shared" si="26"/>
        <v>C3-2025</v>
      </c>
      <c r="Q856" s="123" t="str">
        <f t="shared" si="27"/>
        <v>T4-2025</v>
      </c>
      <c r="R856" s="124" t="s">
        <v>2828</v>
      </c>
      <c r="S856" s="160" t="s">
        <v>2706</v>
      </c>
      <c r="T856" s="157" t="s">
        <v>2717</v>
      </c>
      <c r="U856" s="165" t="s">
        <v>2708</v>
      </c>
      <c r="V856" s="165" t="s">
        <v>56</v>
      </c>
      <c r="W856" s="237" t="s">
        <v>125</v>
      </c>
      <c r="X856" s="173" t="s">
        <v>2751</v>
      </c>
    </row>
    <row r="857" spans="1:24" hidden="1">
      <c r="A857" s="161">
        <v>45939</v>
      </c>
      <c r="B857" s="406">
        <v>738866</v>
      </c>
      <c r="C857" s="38" t="s">
        <v>2543</v>
      </c>
      <c r="D857" s="152">
        <v>-251930</v>
      </c>
      <c r="E857" s="159">
        <v>8.8599999999999996E-4</v>
      </c>
      <c r="F857" s="121">
        <f>Tabla5109[[#This Row],[Original Amount]]*Tabla5109[[#This Row],[ER to EUR]]</f>
        <v>-223.20998</v>
      </c>
      <c r="G857" s="37" t="s">
        <v>3881</v>
      </c>
      <c r="H857" s="37" t="s">
        <v>3882</v>
      </c>
      <c r="I857" s="37" t="s">
        <v>2713</v>
      </c>
      <c r="J857" s="37" t="s">
        <v>2713</v>
      </c>
      <c r="K857" s="217" t="s">
        <v>2713</v>
      </c>
      <c r="L857" s="37" t="s">
        <v>2713</v>
      </c>
      <c r="M857" s="227" t="s">
        <v>2704</v>
      </c>
      <c r="N857" s="156" t="s">
        <v>2748</v>
      </c>
      <c r="O857" s="156" t="s">
        <v>2704</v>
      </c>
      <c r="P857" s="123" t="str">
        <f t="shared" si="26"/>
        <v>C3-2025</v>
      </c>
      <c r="Q857" s="123" t="str">
        <f t="shared" si="27"/>
        <v>T4-2025</v>
      </c>
      <c r="R857" s="171" t="s">
        <v>2749</v>
      </c>
      <c r="S857" s="157" t="s">
        <v>2750</v>
      </c>
      <c r="T857" s="157" t="s">
        <v>2717</v>
      </c>
      <c r="U857" s="165" t="s">
        <v>2708</v>
      </c>
      <c r="V857" s="165" t="s">
        <v>56</v>
      </c>
      <c r="W857" s="237" t="s">
        <v>125</v>
      </c>
      <c r="X857" s="202" t="s">
        <v>2751</v>
      </c>
    </row>
    <row r="858" spans="1:24" hidden="1">
      <c r="A858" s="161">
        <v>45939</v>
      </c>
      <c r="B858" s="167" t="s">
        <v>4606</v>
      </c>
      <c r="C858" s="38" t="s">
        <v>2697</v>
      </c>
      <c r="D858" s="210">
        <v>-113.81</v>
      </c>
      <c r="E858" s="159">
        <v>1</v>
      </c>
      <c r="F858" s="121">
        <f>Tabla5109[[#This Row],[Original Amount]]*Tabla5109[[#This Row],[ER to EUR]]</f>
        <v>-113.81</v>
      </c>
      <c r="G858" t="s">
        <v>2839</v>
      </c>
      <c r="H858" s="9" t="s">
        <v>2840</v>
      </c>
      <c r="I858" s="9" t="s">
        <v>2784</v>
      </c>
      <c r="J858" s="9" t="s">
        <v>2701</v>
      </c>
      <c r="K858" s="205" t="s">
        <v>2702</v>
      </c>
      <c r="L858" s="9" t="s">
        <v>2703</v>
      </c>
      <c r="M858" s="32" t="s">
        <v>125</v>
      </c>
      <c r="N858" s="129" t="s">
        <v>2704</v>
      </c>
      <c r="O858" s="122" t="s">
        <v>2704</v>
      </c>
      <c r="P858" s="123" t="str">
        <f t="shared" si="26"/>
        <v>C3-2025</v>
      </c>
      <c r="Q858" s="123" t="str">
        <f t="shared" si="27"/>
        <v>T4-2025</v>
      </c>
      <c r="R858" s="124" t="s">
        <v>2705</v>
      </c>
      <c r="S858" s="124" t="s">
        <v>2706</v>
      </c>
      <c r="T858" s="123" t="s">
        <v>2707</v>
      </c>
      <c r="U858" s="162" t="s">
        <v>2708</v>
      </c>
      <c r="V858" s="162" t="s">
        <v>57</v>
      </c>
      <c r="W858" s="237" t="s">
        <v>125</v>
      </c>
      <c r="X858" s="173" t="s">
        <v>2709</v>
      </c>
    </row>
    <row r="859" spans="1:24" hidden="1">
      <c r="A859" s="161">
        <v>45940</v>
      </c>
      <c r="B859" s="177">
        <v>2955886</v>
      </c>
      <c r="C859" s="158" t="s">
        <v>2548</v>
      </c>
      <c r="D859" s="136">
        <v>-499</v>
      </c>
      <c r="E859" s="224">
        <v>0.85200647524921191</v>
      </c>
      <c r="F859" s="121">
        <f>Tabla5109[[#This Row],[Original Amount]]*Tabla5109[[#This Row],[ER to EUR]]</f>
        <v>-425.15123114935676</v>
      </c>
      <c r="G859" s="37" t="s">
        <v>3193</v>
      </c>
      <c r="H859" s="180" t="s">
        <v>3194</v>
      </c>
      <c r="I859" s="37" t="s">
        <v>2739</v>
      </c>
      <c r="J859" s="37" t="s">
        <v>2701</v>
      </c>
      <c r="K859" s="217" t="s">
        <v>2702</v>
      </c>
      <c r="L859" s="37" t="s">
        <v>2793</v>
      </c>
      <c r="M859" s="32" t="s">
        <v>125</v>
      </c>
      <c r="N859" s="156" t="s">
        <v>2704</v>
      </c>
      <c r="O859" s="158" t="s">
        <v>2704</v>
      </c>
      <c r="P859" s="123" t="str">
        <f t="shared" si="26"/>
        <v>C3-2025</v>
      </c>
      <c r="Q859" s="123" t="str">
        <f t="shared" si="27"/>
        <v>T4-2025</v>
      </c>
      <c r="R859" s="160" t="s">
        <v>2722</v>
      </c>
      <c r="S859" s="157" t="s">
        <v>2723</v>
      </c>
      <c r="T859" s="123" t="s">
        <v>2724</v>
      </c>
      <c r="U859" s="162" t="s">
        <v>2708</v>
      </c>
      <c r="V859" s="162" t="s">
        <v>54</v>
      </c>
      <c r="W859" s="237" t="s">
        <v>125</v>
      </c>
      <c r="X859" s="202" t="s">
        <v>2709</v>
      </c>
    </row>
    <row r="860" spans="1:24" hidden="1">
      <c r="A860" s="161">
        <v>45940</v>
      </c>
      <c r="B860" s="192" t="s">
        <v>3883</v>
      </c>
      <c r="C860" s="158" t="s">
        <v>2697</v>
      </c>
      <c r="D860" s="210">
        <v>-236.81</v>
      </c>
      <c r="E860" s="159">
        <v>1</v>
      </c>
      <c r="F860" s="121">
        <f>Tabla5109[[#This Row],[Original Amount]]*Tabla5109[[#This Row],[ER to EUR]]</f>
        <v>-236.81</v>
      </c>
      <c r="G860" s="37" t="s">
        <v>3884</v>
      </c>
      <c r="H860" s="180" t="s">
        <v>3885</v>
      </c>
      <c r="I860" s="37" t="s">
        <v>3692</v>
      </c>
      <c r="J860" s="37" t="s">
        <v>2701</v>
      </c>
      <c r="K860" s="217" t="s">
        <v>2702</v>
      </c>
      <c r="L860" s="37" t="s">
        <v>2703</v>
      </c>
      <c r="M860" s="32" t="s">
        <v>125</v>
      </c>
      <c r="N860" s="156" t="s">
        <v>2704</v>
      </c>
      <c r="O860" s="158" t="s">
        <v>2704</v>
      </c>
      <c r="P860" s="123" t="str">
        <f t="shared" si="26"/>
        <v>C3-2025</v>
      </c>
      <c r="Q860" s="123" t="str">
        <f t="shared" si="27"/>
        <v>T4-2025</v>
      </c>
      <c r="R860" s="124" t="s">
        <v>2741</v>
      </c>
      <c r="S860" s="157" t="s">
        <v>2723</v>
      </c>
      <c r="T860" s="123" t="s">
        <v>2724</v>
      </c>
      <c r="U860" s="162" t="s">
        <v>2708</v>
      </c>
      <c r="V860" s="162" t="s">
        <v>54</v>
      </c>
      <c r="W860" s="237" t="s">
        <v>125</v>
      </c>
      <c r="X860" s="202" t="s">
        <v>2709</v>
      </c>
    </row>
    <row r="861" spans="1:24" hidden="1">
      <c r="A861" s="161">
        <v>45940</v>
      </c>
      <c r="B861" s="167" t="s">
        <v>3886</v>
      </c>
      <c r="C861" s="38" t="s">
        <v>2697</v>
      </c>
      <c r="D861" s="210">
        <v>-680.48</v>
      </c>
      <c r="E861" s="159">
        <v>1</v>
      </c>
      <c r="F861" s="121">
        <f>Tabla5109[[#This Row],[Original Amount]]*Tabla5109[[#This Row],[ER to EUR]]</f>
        <v>-680.48</v>
      </c>
      <c r="G861" s="9" t="s">
        <v>2839</v>
      </c>
      <c r="H861" s="37" t="s">
        <v>2840</v>
      </c>
      <c r="I861" s="9" t="s">
        <v>2784</v>
      </c>
      <c r="J861" s="37" t="s">
        <v>2701</v>
      </c>
      <c r="K861" s="4" t="s">
        <v>2702</v>
      </c>
      <c r="L861" t="s">
        <v>2703</v>
      </c>
      <c r="M861" s="32" t="s">
        <v>125</v>
      </c>
      <c r="N861" s="156" t="s">
        <v>2704</v>
      </c>
      <c r="O861" s="158" t="s">
        <v>2704</v>
      </c>
      <c r="P861" s="123" t="str">
        <f t="shared" si="26"/>
        <v>C3-2025</v>
      </c>
      <c r="Q861" s="123" t="str">
        <f t="shared" si="27"/>
        <v>T4-2025</v>
      </c>
      <c r="R861" s="160" t="s">
        <v>2705</v>
      </c>
      <c r="S861" s="124" t="s">
        <v>2706</v>
      </c>
      <c r="T861" s="123" t="s">
        <v>2707</v>
      </c>
      <c r="U861" s="162" t="s">
        <v>2708</v>
      </c>
      <c r="V861" s="162" t="s">
        <v>57</v>
      </c>
      <c r="W861" s="237" t="s">
        <v>125</v>
      </c>
      <c r="X861" s="202" t="s">
        <v>2709</v>
      </c>
    </row>
    <row r="862" spans="1:24" hidden="1">
      <c r="A862" s="161">
        <v>45940</v>
      </c>
      <c r="B862" s="200" t="s">
        <v>3703</v>
      </c>
      <c r="C862" s="158" t="s">
        <v>2697</v>
      </c>
      <c r="D862" s="210">
        <v>-183.87</v>
      </c>
      <c r="E862" s="179">
        <v>1</v>
      </c>
      <c r="F862" s="121">
        <f>Tabla5109[[#This Row],[Original Amount]]*Tabla5109[[#This Row],[ER to EUR]]</f>
        <v>-183.87</v>
      </c>
      <c r="G862" s="37" t="s">
        <v>3887</v>
      </c>
      <c r="H862" s="37" t="s">
        <v>3704</v>
      </c>
      <c r="I862" s="37" t="s">
        <v>2713</v>
      </c>
      <c r="J862" s="37" t="s">
        <v>2825</v>
      </c>
      <c r="K862" s="217" t="s">
        <v>2826</v>
      </c>
      <c r="L862" s="212" t="s">
        <v>2827</v>
      </c>
      <c r="M862" s="32" t="s">
        <v>125</v>
      </c>
      <c r="N862" s="156" t="s">
        <v>2748</v>
      </c>
      <c r="O862" s="158" t="s">
        <v>2748</v>
      </c>
      <c r="P862" s="123" t="str">
        <f t="shared" si="26"/>
        <v>C3-2025</v>
      </c>
      <c r="Q862" s="123" t="str">
        <f t="shared" si="27"/>
        <v>T4-2025</v>
      </c>
      <c r="R862" s="160" t="s">
        <v>2705</v>
      </c>
      <c r="S862" s="124" t="s">
        <v>2706</v>
      </c>
      <c r="T862" s="123" t="s">
        <v>2724</v>
      </c>
      <c r="U862" s="203" t="s">
        <v>2708</v>
      </c>
      <c r="V862" s="203" t="s">
        <v>56</v>
      </c>
      <c r="W862" s="237" t="s">
        <v>125</v>
      </c>
      <c r="X862" s="202" t="s">
        <v>2709</v>
      </c>
    </row>
    <row r="863" spans="1:24" hidden="1">
      <c r="A863" s="161">
        <v>45940</v>
      </c>
      <c r="B863" s="200" t="s">
        <v>3703</v>
      </c>
      <c r="C863" s="158" t="s">
        <v>2697</v>
      </c>
      <c r="D863" s="409">
        <v>-183.87</v>
      </c>
      <c r="E863" s="179">
        <v>1</v>
      </c>
      <c r="F863" s="121">
        <f>Tabla5109[[#This Row],[Original Amount]]*Tabla5109[[#This Row],[ER to EUR]]</f>
        <v>-183.87</v>
      </c>
      <c r="G863" s="9" t="s">
        <v>3888</v>
      </c>
      <c r="H863" s="9" t="s">
        <v>3704</v>
      </c>
      <c r="I863" s="9" t="s">
        <v>2713</v>
      </c>
      <c r="J863" s="9" t="s">
        <v>2825</v>
      </c>
      <c r="K863" s="205" t="s">
        <v>2826</v>
      </c>
      <c r="L863" s="211" t="s">
        <v>2827</v>
      </c>
      <c r="M863" s="32" t="s">
        <v>125</v>
      </c>
      <c r="N863" s="129" t="s">
        <v>2748</v>
      </c>
      <c r="O863" s="122" t="s">
        <v>2748</v>
      </c>
      <c r="P863" s="123" t="str">
        <f t="shared" si="26"/>
        <v>C3-2025</v>
      </c>
      <c r="Q863" s="123" t="str">
        <f t="shared" si="27"/>
        <v>T4-2025</v>
      </c>
      <c r="R863" s="124" t="s">
        <v>2705</v>
      </c>
      <c r="S863" s="124" t="s">
        <v>2706</v>
      </c>
      <c r="T863" s="123" t="s">
        <v>2724</v>
      </c>
      <c r="U863" s="203" t="s">
        <v>2708</v>
      </c>
      <c r="V863" s="203" t="s">
        <v>56</v>
      </c>
      <c r="W863" s="237" t="s">
        <v>125</v>
      </c>
      <c r="X863" s="173" t="s">
        <v>2709</v>
      </c>
    </row>
    <row r="864" spans="1:24" hidden="1">
      <c r="A864" s="161">
        <v>45940</v>
      </c>
      <c r="B864" s="200" t="s">
        <v>3703</v>
      </c>
      <c r="C864" s="158" t="s">
        <v>2697</v>
      </c>
      <c r="D864" s="210">
        <v>-150</v>
      </c>
      <c r="E864" s="179">
        <v>1</v>
      </c>
      <c r="F864" s="121">
        <f>Tabla5109[[#This Row],[Original Amount]]*Tabla5109[[#This Row],[ER to EUR]]</f>
        <v>-150</v>
      </c>
      <c r="G864" s="9" t="s">
        <v>3889</v>
      </c>
      <c r="H864" s="37" t="s">
        <v>3704</v>
      </c>
      <c r="I864" s="9" t="s">
        <v>2713</v>
      </c>
      <c r="J864" s="9" t="s">
        <v>2825</v>
      </c>
      <c r="K864" s="205" t="s">
        <v>2826</v>
      </c>
      <c r="L864" s="211" t="s">
        <v>2827</v>
      </c>
      <c r="M864" s="32" t="s">
        <v>125</v>
      </c>
      <c r="N864" s="156" t="s">
        <v>2748</v>
      </c>
      <c r="O864" s="158" t="s">
        <v>2748</v>
      </c>
      <c r="P864" s="123" t="str">
        <f t="shared" si="26"/>
        <v>C3-2025</v>
      </c>
      <c r="Q864" s="123" t="str">
        <f t="shared" si="27"/>
        <v>T4-2025</v>
      </c>
      <c r="R864" s="124" t="s">
        <v>2705</v>
      </c>
      <c r="S864" s="124" t="s">
        <v>2706</v>
      </c>
      <c r="T864" s="123" t="s">
        <v>2724</v>
      </c>
      <c r="U864" s="203" t="s">
        <v>2708</v>
      </c>
      <c r="V864" s="203" t="s">
        <v>56</v>
      </c>
      <c r="W864" s="237" t="s">
        <v>125</v>
      </c>
      <c r="X864" s="202" t="s">
        <v>2709</v>
      </c>
    </row>
    <row r="865" spans="1:24" hidden="1">
      <c r="A865" s="161">
        <v>45940</v>
      </c>
      <c r="B865" s="200" t="s">
        <v>3703</v>
      </c>
      <c r="C865" s="158" t="s">
        <v>2697</v>
      </c>
      <c r="D865" s="210">
        <v>-150</v>
      </c>
      <c r="E865" s="179">
        <v>1</v>
      </c>
      <c r="F865" s="121">
        <f>Tabla5109[[#This Row],[Original Amount]]*Tabla5109[[#This Row],[ER to EUR]]</f>
        <v>-150</v>
      </c>
      <c r="G865" s="37" t="s">
        <v>3890</v>
      </c>
      <c r="H865" s="9" t="s">
        <v>3704</v>
      </c>
      <c r="I865" s="9" t="s">
        <v>2713</v>
      </c>
      <c r="J865" s="9" t="s">
        <v>2825</v>
      </c>
      <c r="K865" s="205" t="s">
        <v>2826</v>
      </c>
      <c r="L865" s="211" t="s">
        <v>2827</v>
      </c>
      <c r="M865" s="32" t="s">
        <v>125</v>
      </c>
      <c r="N865" s="129" t="s">
        <v>2748</v>
      </c>
      <c r="O865" s="122" t="s">
        <v>2748</v>
      </c>
      <c r="P865" s="123" t="str">
        <f t="shared" si="26"/>
        <v>C3-2025</v>
      </c>
      <c r="Q865" s="123" t="str">
        <f t="shared" si="27"/>
        <v>T4-2025</v>
      </c>
      <c r="R865" s="124" t="s">
        <v>2705</v>
      </c>
      <c r="S865" s="124" t="s">
        <v>2706</v>
      </c>
      <c r="T865" s="123" t="s">
        <v>2724</v>
      </c>
      <c r="U865" s="203" t="s">
        <v>2708</v>
      </c>
      <c r="V865" s="203" t="s">
        <v>56</v>
      </c>
      <c r="W865" s="237" t="s">
        <v>125</v>
      </c>
      <c r="X865" s="202" t="s">
        <v>2709</v>
      </c>
    </row>
    <row r="866" spans="1:24" hidden="1">
      <c r="A866" s="161">
        <v>45942</v>
      </c>
      <c r="B866" s="200" t="s">
        <v>3703</v>
      </c>
      <c r="C866" s="158" t="s">
        <v>2697</v>
      </c>
      <c r="D866" s="210">
        <v>-120</v>
      </c>
      <c r="E866" s="179">
        <v>1</v>
      </c>
      <c r="F866" s="121">
        <f>Tabla5109[[#This Row],[Original Amount]]*Tabla5109[[#This Row],[ER to EUR]]</f>
        <v>-120</v>
      </c>
      <c r="G866" s="37" t="s">
        <v>3791</v>
      </c>
      <c r="H866" s="9" t="s">
        <v>3704</v>
      </c>
      <c r="I866" s="9" t="s">
        <v>2713</v>
      </c>
      <c r="J866" s="9" t="s">
        <v>2825</v>
      </c>
      <c r="K866" s="205" t="s">
        <v>2826</v>
      </c>
      <c r="L866" s="9" t="s">
        <v>2827</v>
      </c>
      <c r="M866" s="32" t="s">
        <v>125</v>
      </c>
      <c r="N866" s="129" t="s">
        <v>2748</v>
      </c>
      <c r="O866" s="122" t="s">
        <v>2748</v>
      </c>
      <c r="P866" s="123" t="str">
        <f t="shared" si="26"/>
        <v>C3-2025</v>
      </c>
      <c r="Q866" s="123" t="str">
        <f t="shared" si="27"/>
        <v>T4-2025</v>
      </c>
      <c r="R866" s="124" t="s">
        <v>2705</v>
      </c>
      <c r="S866" s="124" t="s">
        <v>2706</v>
      </c>
      <c r="T866" s="123" t="s">
        <v>2717</v>
      </c>
      <c r="U866" s="162" t="s">
        <v>2708</v>
      </c>
      <c r="V866" s="162" t="s">
        <v>56</v>
      </c>
      <c r="W866" s="237" t="s">
        <v>125</v>
      </c>
      <c r="X866" s="173" t="s">
        <v>2709</v>
      </c>
    </row>
    <row r="867" spans="1:24" hidden="1">
      <c r="A867" s="161">
        <v>45944</v>
      </c>
      <c r="B867" s="167" t="s">
        <v>3891</v>
      </c>
      <c r="C867" s="38" t="s">
        <v>2697</v>
      </c>
      <c r="D867" s="210">
        <v>-71.27</v>
      </c>
      <c r="E867" s="159">
        <v>1</v>
      </c>
      <c r="F867" s="121">
        <f>Tabla5109[[#This Row],[Original Amount]]*Tabla5109[[#This Row],[ER to EUR]]</f>
        <v>-71.27</v>
      </c>
      <c r="G867" t="s">
        <v>3892</v>
      </c>
      <c r="H867" s="180" t="s">
        <v>3893</v>
      </c>
      <c r="I867" s="37" t="s">
        <v>2784</v>
      </c>
      <c r="J867" s="37" t="s">
        <v>3095</v>
      </c>
      <c r="K867" s="217" t="s">
        <v>3627</v>
      </c>
      <c r="L867" s="37" t="s">
        <v>3511</v>
      </c>
      <c r="M867" s="32" t="s">
        <v>125</v>
      </c>
      <c r="N867" s="158" t="s">
        <v>2704</v>
      </c>
      <c r="O867" s="156" t="s">
        <v>2704</v>
      </c>
      <c r="P867" s="123" t="str">
        <f t="shared" si="26"/>
        <v>C3-2025</v>
      </c>
      <c r="Q867" s="123" t="str">
        <f t="shared" si="27"/>
        <v>T4-2025</v>
      </c>
      <c r="R867" s="160" t="s">
        <v>2705</v>
      </c>
      <c r="S867" s="160" t="s">
        <v>2706</v>
      </c>
      <c r="T867" s="123" t="s">
        <v>2707</v>
      </c>
      <c r="U867" s="162" t="s">
        <v>51</v>
      </c>
      <c r="V867" s="162" t="s">
        <v>57</v>
      </c>
      <c r="W867" s="237" t="s">
        <v>125</v>
      </c>
      <c r="X867" s="202" t="s">
        <v>2709</v>
      </c>
    </row>
    <row r="868" spans="1:24" hidden="1">
      <c r="A868" s="161">
        <v>45944</v>
      </c>
      <c r="B868" s="213" t="s">
        <v>3894</v>
      </c>
      <c r="C868" s="158" t="s">
        <v>2697</v>
      </c>
      <c r="D868" s="210">
        <v>-118.99</v>
      </c>
      <c r="E868" s="179">
        <v>1</v>
      </c>
      <c r="F868" s="121">
        <f>Tabla5109[[#This Row],[Original Amount]]*Tabla5109[[#This Row],[ER to EUR]]</f>
        <v>-118.99</v>
      </c>
      <c r="G868" s="37" t="s">
        <v>2812</v>
      </c>
      <c r="H868" s="171" t="s">
        <v>2813</v>
      </c>
      <c r="I868" s="37" t="s">
        <v>2727</v>
      </c>
      <c r="J868" s="37" t="s">
        <v>2714</v>
      </c>
      <c r="K868" s="411" t="s">
        <v>2814</v>
      </c>
      <c r="L868" s="37" t="s">
        <v>2799</v>
      </c>
      <c r="M868" s="32" t="s">
        <v>125</v>
      </c>
      <c r="N868" s="156" t="s">
        <v>2704</v>
      </c>
      <c r="O868" s="158" t="s">
        <v>2704</v>
      </c>
      <c r="P868" s="123" t="str">
        <f t="shared" si="26"/>
        <v>C3-2025</v>
      </c>
      <c r="Q868" s="123" t="str">
        <f t="shared" si="27"/>
        <v>T4-2025</v>
      </c>
      <c r="R868" s="160" t="s">
        <v>2705</v>
      </c>
      <c r="S868" s="160" t="s">
        <v>2706</v>
      </c>
      <c r="T868" s="123" t="s">
        <v>2724</v>
      </c>
      <c r="U868" s="162" t="s">
        <v>2708</v>
      </c>
      <c r="V868" s="162" t="s">
        <v>56</v>
      </c>
      <c r="W868" s="237" t="s">
        <v>125</v>
      </c>
      <c r="X868" s="202" t="s">
        <v>2709</v>
      </c>
    </row>
    <row r="869" spans="1:24" hidden="1">
      <c r="A869" s="161">
        <v>45944</v>
      </c>
      <c r="B869" s="192" t="s">
        <v>3895</v>
      </c>
      <c r="C869" s="158" t="s">
        <v>2697</v>
      </c>
      <c r="D869" s="210">
        <v>-65.540000000000006</v>
      </c>
      <c r="E869" s="159">
        <v>1</v>
      </c>
      <c r="F869" s="121">
        <f>Tabla5109[[#This Row],[Original Amount]]*Tabla5109[[#This Row],[ER to EUR]]</f>
        <v>-65.540000000000006</v>
      </c>
      <c r="G869" s="206" t="s">
        <v>2830</v>
      </c>
      <c r="H869" s="9" t="s">
        <v>3896</v>
      </c>
      <c r="I869" s="9" t="s">
        <v>2784</v>
      </c>
      <c r="J869" s="9" t="s">
        <v>2817</v>
      </c>
      <c r="K869" s="205" t="s">
        <v>2702</v>
      </c>
      <c r="L869" s="9" t="s">
        <v>2818</v>
      </c>
      <c r="M869" s="32" t="s">
        <v>125</v>
      </c>
      <c r="N869" s="122" t="s">
        <v>2704</v>
      </c>
      <c r="O869" s="129" t="s">
        <v>2704</v>
      </c>
      <c r="P869" s="123" t="str">
        <f t="shared" si="26"/>
        <v>C3-2025</v>
      </c>
      <c r="Q869" s="123" t="str">
        <f t="shared" si="27"/>
        <v>T4-2025</v>
      </c>
      <c r="R869" s="124" t="s">
        <v>2722</v>
      </c>
      <c r="S869" s="123" t="s">
        <v>2723</v>
      </c>
      <c r="T869" s="123" t="s">
        <v>2724</v>
      </c>
      <c r="U869" s="162" t="s">
        <v>2708</v>
      </c>
      <c r="V869" s="162" t="s">
        <v>54</v>
      </c>
      <c r="W869" s="237" t="s">
        <v>125</v>
      </c>
      <c r="X869" s="124" t="s">
        <v>2709</v>
      </c>
    </row>
    <row r="870" spans="1:24" hidden="1">
      <c r="A870" s="161">
        <v>45945</v>
      </c>
      <c r="B870" s="164">
        <v>15953</v>
      </c>
      <c r="C870" s="158" t="s">
        <v>2697</v>
      </c>
      <c r="D870" s="409">
        <v>-6000</v>
      </c>
      <c r="E870" s="159">
        <v>1</v>
      </c>
      <c r="F870" s="121">
        <f>Tabla5109[[#This Row],[Original Amount]]*Tabla5109[[#This Row],[ER to EUR]]</f>
        <v>-6000</v>
      </c>
      <c r="G870" s="37" t="s">
        <v>2725</v>
      </c>
      <c r="H870" s="37" t="s">
        <v>3741</v>
      </c>
      <c r="I870" s="37" t="s">
        <v>2727</v>
      </c>
      <c r="J870" s="37" t="s">
        <v>2701</v>
      </c>
      <c r="K870" s="217" t="s">
        <v>2728</v>
      </c>
      <c r="L870" s="37" t="s">
        <v>2729</v>
      </c>
      <c r="M870" s="32" t="s">
        <v>125</v>
      </c>
      <c r="N870" s="158" t="s">
        <v>2704</v>
      </c>
      <c r="O870" s="129" t="s">
        <v>2704</v>
      </c>
      <c r="P870" s="123" t="str">
        <f t="shared" si="26"/>
        <v>C3-2025</v>
      </c>
      <c r="Q870" s="123" t="str">
        <f t="shared" si="27"/>
        <v>T4-2025</v>
      </c>
      <c r="R870" s="160" t="s">
        <v>2730</v>
      </c>
      <c r="S870" s="123" t="s">
        <v>2731</v>
      </c>
      <c r="T870" s="123" t="s">
        <v>2707</v>
      </c>
      <c r="U870" s="162" t="s">
        <v>51</v>
      </c>
      <c r="V870" s="162" t="s">
        <v>57</v>
      </c>
      <c r="W870" s="237" t="s">
        <v>125</v>
      </c>
      <c r="X870" s="202" t="s">
        <v>2709</v>
      </c>
    </row>
    <row r="871" spans="1:24" hidden="1">
      <c r="A871" s="161">
        <v>45945</v>
      </c>
      <c r="B871" s="193">
        <v>1975527</v>
      </c>
      <c r="C871" s="158" t="s">
        <v>2697</v>
      </c>
      <c r="D871" s="210">
        <v>-239.68</v>
      </c>
      <c r="E871" s="159">
        <v>1</v>
      </c>
      <c r="F871" s="121">
        <f>Tabla5109[[#This Row],[Original Amount]]*Tabla5109[[#This Row],[ER to EUR]]</f>
        <v>-239.68</v>
      </c>
      <c r="G871" s="37" t="s">
        <v>2815</v>
      </c>
      <c r="H871" s="9" t="s">
        <v>3103</v>
      </c>
      <c r="I871" s="9" t="s">
        <v>2727</v>
      </c>
      <c r="J871" s="9" t="s">
        <v>2817</v>
      </c>
      <c r="K871" s="205" t="s">
        <v>2702</v>
      </c>
      <c r="L871" s="9" t="s">
        <v>2818</v>
      </c>
      <c r="M871" s="32" t="s">
        <v>125</v>
      </c>
      <c r="N871" s="122" t="s">
        <v>2704</v>
      </c>
      <c r="O871" s="129" t="s">
        <v>2704</v>
      </c>
      <c r="P871" s="123" t="str">
        <f t="shared" si="26"/>
        <v>C3-2025</v>
      </c>
      <c r="Q871" s="123" t="str">
        <f t="shared" si="27"/>
        <v>T4-2025</v>
      </c>
      <c r="R871" s="124" t="s">
        <v>2819</v>
      </c>
      <c r="S871" s="123" t="s">
        <v>2723</v>
      </c>
      <c r="T871" s="123" t="s">
        <v>2724</v>
      </c>
      <c r="U871" s="162" t="s">
        <v>2708</v>
      </c>
      <c r="V871" s="162" t="s">
        <v>54</v>
      </c>
      <c r="W871" s="237" t="s">
        <v>125</v>
      </c>
      <c r="X871" s="173" t="s">
        <v>2709</v>
      </c>
    </row>
    <row r="872" spans="1:24" hidden="1">
      <c r="A872" s="161">
        <v>45945</v>
      </c>
      <c r="B872" s="167" t="s">
        <v>3897</v>
      </c>
      <c r="C872" s="158" t="s">
        <v>2548</v>
      </c>
      <c r="D872" s="136">
        <v>-550</v>
      </c>
      <c r="E872" s="224">
        <v>0.85200647524921191</v>
      </c>
      <c r="F872" s="121">
        <f>Tabla5109[[#This Row],[Original Amount]]*Tabla5109[[#This Row],[ER to EUR]]</f>
        <v>-468.60356138706658</v>
      </c>
      <c r="G872" t="s">
        <v>3898</v>
      </c>
      <c r="H872" s="73" t="s">
        <v>3899</v>
      </c>
      <c r="I872" s="37" t="s">
        <v>2784</v>
      </c>
      <c r="J872" s="37" t="s">
        <v>2714</v>
      </c>
      <c r="K872" s="217" t="s">
        <v>2868</v>
      </c>
      <c r="L872" s="37" t="s">
        <v>2864</v>
      </c>
      <c r="M872" s="32" t="s">
        <v>125</v>
      </c>
      <c r="N872" s="158" t="s">
        <v>2704</v>
      </c>
      <c r="O872" s="156" t="s">
        <v>2704</v>
      </c>
      <c r="P872" s="123" t="str">
        <f t="shared" si="26"/>
        <v>C3-2025</v>
      </c>
      <c r="Q872" s="123" t="str">
        <f t="shared" si="27"/>
        <v>T4-2025</v>
      </c>
      <c r="R872" s="171" t="s">
        <v>2705</v>
      </c>
      <c r="S872" s="160" t="s">
        <v>2706</v>
      </c>
      <c r="T872" s="157" t="s">
        <v>2717</v>
      </c>
      <c r="U872" s="165" t="s">
        <v>2708</v>
      </c>
      <c r="V872" s="165" t="s">
        <v>56</v>
      </c>
      <c r="W872" s="237" t="s">
        <v>125</v>
      </c>
      <c r="X872" s="173" t="s">
        <v>2709</v>
      </c>
    </row>
    <row r="873" spans="1:24" hidden="1">
      <c r="A873" s="161">
        <v>45945</v>
      </c>
      <c r="B873" s="192" t="s">
        <v>3900</v>
      </c>
      <c r="C873" s="158" t="s">
        <v>2697</v>
      </c>
      <c r="D873" s="210">
        <v>-176.69</v>
      </c>
      <c r="E873" s="159">
        <v>1</v>
      </c>
      <c r="F873" s="121">
        <f>Tabla5109[[#This Row],[Original Amount]]*Tabla5109[[#This Row],[ER to EUR]]</f>
        <v>-176.69</v>
      </c>
      <c r="G873" s="37" t="s">
        <v>2733</v>
      </c>
      <c r="H873" s="37" t="s">
        <v>2734</v>
      </c>
      <c r="I873" s="37" t="s">
        <v>2713</v>
      </c>
      <c r="J873" s="9" t="s">
        <v>2701</v>
      </c>
      <c r="K873" s="205" t="s">
        <v>2809</v>
      </c>
      <c r="L873" s="9" t="s">
        <v>2810</v>
      </c>
      <c r="M873" s="32" t="s">
        <v>125</v>
      </c>
      <c r="N873" s="158" t="s">
        <v>2704</v>
      </c>
      <c r="O873" s="156" t="s">
        <v>2704</v>
      </c>
      <c r="P873" s="123" t="str">
        <f t="shared" si="26"/>
        <v>C3-2025</v>
      </c>
      <c r="Q873" s="123" t="str">
        <f t="shared" si="27"/>
        <v>T4-2025</v>
      </c>
      <c r="R873" s="160" t="s">
        <v>2705</v>
      </c>
      <c r="S873" s="157" t="s">
        <v>2735</v>
      </c>
      <c r="T873" s="123" t="s">
        <v>2707</v>
      </c>
      <c r="U873" s="203" t="s">
        <v>2708</v>
      </c>
      <c r="V873" s="203" t="s">
        <v>56</v>
      </c>
      <c r="W873" s="237" t="s">
        <v>125</v>
      </c>
      <c r="X873" s="173" t="s">
        <v>2709</v>
      </c>
    </row>
    <row r="874" spans="1:24" hidden="1">
      <c r="A874" s="161">
        <v>45945</v>
      </c>
      <c r="B874" s="167" t="s">
        <v>3901</v>
      </c>
      <c r="C874" s="158" t="s">
        <v>2697</v>
      </c>
      <c r="D874" s="210">
        <v>-124</v>
      </c>
      <c r="E874" s="159">
        <v>1</v>
      </c>
      <c r="F874" s="121">
        <f>Tabla5109[[#This Row],[Original Amount]]*Tabla5109[[#This Row],[ER to EUR]]</f>
        <v>-124</v>
      </c>
      <c r="G874" s="37" t="s">
        <v>3492</v>
      </c>
      <c r="H874" s="37" t="s">
        <v>3636</v>
      </c>
      <c r="I874" s="37" t="s">
        <v>2784</v>
      </c>
      <c r="J874" s="9" t="s">
        <v>2701</v>
      </c>
      <c r="K874" s="217" t="s">
        <v>2702</v>
      </c>
      <c r="L874" s="9" t="s">
        <v>3494</v>
      </c>
      <c r="M874" s="32" t="s">
        <v>125</v>
      </c>
      <c r="N874" s="156" t="s">
        <v>2704</v>
      </c>
      <c r="O874" s="158" t="s">
        <v>2704</v>
      </c>
      <c r="P874" s="123" t="str">
        <f t="shared" si="26"/>
        <v>C3-2025</v>
      </c>
      <c r="Q874" s="123" t="str">
        <f t="shared" si="27"/>
        <v>T4-2025</v>
      </c>
      <c r="R874" s="160" t="s">
        <v>2705</v>
      </c>
      <c r="S874" s="123" t="s">
        <v>2735</v>
      </c>
      <c r="T874" s="123" t="s">
        <v>2707</v>
      </c>
      <c r="U874" s="165" t="s">
        <v>2708</v>
      </c>
      <c r="V874" s="165" t="s">
        <v>54</v>
      </c>
      <c r="W874" s="237" t="s">
        <v>125</v>
      </c>
      <c r="X874" s="173" t="s">
        <v>2709</v>
      </c>
    </row>
    <row r="875" spans="1:24" hidden="1">
      <c r="A875" s="161">
        <v>45945</v>
      </c>
      <c r="B875" s="164">
        <v>24</v>
      </c>
      <c r="C875" s="158" t="s">
        <v>2697</v>
      </c>
      <c r="D875" s="409">
        <v>-4760</v>
      </c>
      <c r="E875" s="179">
        <v>1</v>
      </c>
      <c r="F875" s="121">
        <f>Tabla5109[[#This Row],[Original Amount]]*Tabla5109[[#This Row],[ER to EUR]]</f>
        <v>-4760</v>
      </c>
      <c r="G875" t="s">
        <v>2790</v>
      </c>
      <c r="H875" s="171" t="s">
        <v>2791</v>
      </c>
      <c r="I875" s="37" t="s">
        <v>2727</v>
      </c>
      <c r="J875" s="37" t="s">
        <v>2723</v>
      </c>
      <c r="K875" s="217" t="s">
        <v>2792</v>
      </c>
      <c r="L875" s="37" t="s">
        <v>2793</v>
      </c>
      <c r="M875" s="32" t="s">
        <v>125</v>
      </c>
      <c r="N875" s="156" t="s">
        <v>2704</v>
      </c>
      <c r="O875" s="158" t="s">
        <v>2704</v>
      </c>
      <c r="P875" s="123" t="str">
        <f t="shared" si="26"/>
        <v>C3-2025</v>
      </c>
      <c r="Q875" s="123" t="str">
        <f t="shared" si="27"/>
        <v>T4-2025</v>
      </c>
      <c r="R875" s="160" t="s">
        <v>2794</v>
      </c>
      <c r="S875" s="157" t="s">
        <v>2731</v>
      </c>
      <c r="T875" s="123" t="s">
        <v>2724</v>
      </c>
      <c r="U875" s="162" t="s">
        <v>2708</v>
      </c>
      <c r="V875" s="162" t="s">
        <v>57</v>
      </c>
      <c r="W875" s="237" t="s">
        <v>125</v>
      </c>
      <c r="X875" s="173" t="s">
        <v>2709</v>
      </c>
    </row>
    <row r="876" spans="1:24" hidden="1">
      <c r="A876" s="161">
        <v>45945</v>
      </c>
      <c r="B876" s="164">
        <v>25</v>
      </c>
      <c r="C876" s="158" t="s">
        <v>2697</v>
      </c>
      <c r="D876" s="409">
        <v>-4462.5</v>
      </c>
      <c r="E876" s="179">
        <v>1</v>
      </c>
      <c r="F876" s="121">
        <f>Tabla5109[[#This Row],[Original Amount]]*Tabla5109[[#This Row],[ER to EUR]]</f>
        <v>-4462.5</v>
      </c>
      <c r="G876" s="37" t="s">
        <v>2790</v>
      </c>
      <c r="H876" s="171" t="s">
        <v>2791</v>
      </c>
      <c r="I876" s="37" t="s">
        <v>2727</v>
      </c>
      <c r="J876" s="37" t="s">
        <v>2723</v>
      </c>
      <c r="K876" s="217" t="s">
        <v>2792</v>
      </c>
      <c r="L876" s="37" t="s">
        <v>2793</v>
      </c>
      <c r="M876" s="32" t="s">
        <v>125</v>
      </c>
      <c r="N876" s="156" t="s">
        <v>2704</v>
      </c>
      <c r="O876" s="158" t="s">
        <v>2704</v>
      </c>
      <c r="P876" s="123" t="str">
        <f t="shared" si="26"/>
        <v>C3-2025</v>
      </c>
      <c r="Q876" s="123" t="str">
        <f t="shared" si="27"/>
        <v>T4-2025</v>
      </c>
      <c r="R876" s="124" t="s">
        <v>2794</v>
      </c>
      <c r="S876" s="157" t="s">
        <v>2731</v>
      </c>
      <c r="T876" s="123" t="s">
        <v>2724</v>
      </c>
      <c r="U876" s="162" t="s">
        <v>2708</v>
      </c>
      <c r="V876" s="162" t="s">
        <v>57</v>
      </c>
      <c r="W876" s="237" t="s">
        <v>125</v>
      </c>
      <c r="X876" s="202" t="s">
        <v>2709</v>
      </c>
    </row>
    <row r="877" spans="1:24" hidden="1">
      <c r="A877" s="161">
        <v>45946</v>
      </c>
      <c r="B877" s="193" t="s">
        <v>3902</v>
      </c>
      <c r="C877" s="158" t="s">
        <v>2697</v>
      </c>
      <c r="D877" s="210">
        <v>-130.9</v>
      </c>
      <c r="E877" s="159">
        <v>1</v>
      </c>
      <c r="F877" s="121">
        <f>Tabla5109[[#This Row],[Original Amount]]*Tabla5109[[#This Row],[ER to EUR]]</f>
        <v>-130.9</v>
      </c>
      <c r="G877" s="37" t="s">
        <v>3903</v>
      </c>
      <c r="H877" s="180" t="s">
        <v>3904</v>
      </c>
      <c r="I877" s="37" t="s">
        <v>3905</v>
      </c>
      <c r="J877" s="9" t="s">
        <v>3095</v>
      </c>
      <c r="K877" s="205" t="s">
        <v>2792</v>
      </c>
      <c r="L877" s="9" t="s">
        <v>3511</v>
      </c>
      <c r="M877" s="32" t="s">
        <v>125</v>
      </c>
      <c r="N877" s="158" t="s">
        <v>2704</v>
      </c>
      <c r="O877" s="156" t="s">
        <v>2704</v>
      </c>
      <c r="P877" s="123" t="str">
        <f t="shared" si="26"/>
        <v>C3-2025</v>
      </c>
      <c r="Q877" s="123" t="str">
        <f t="shared" si="27"/>
        <v>T4-2025</v>
      </c>
      <c r="R877" s="171" t="s">
        <v>2819</v>
      </c>
      <c r="S877" s="157" t="s">
        <v>2723</v>
      </c>
      <c r="T877" s="123" t="s">
        <v>2717</v>
      </c>
      <c r="U877" s="162" t="s">
        <v>2708</v>
      </c>
      <c r="V877" s="162" t="s">
        <v>56</v>
      </c>
      <c r="W877" s="237" t="s">
        <v>125</v>
      </c>
      <c r="X877" s="173" t="s">
        <v>2709</v>
      </c>
    </row>
    <row r="878" spans="1:24" hidden="1">
      <c r="A878" s="161">
        <v>45946</v>
      </c>
      <c r="B878" s="200" t="s">
        <v>3703</v>
      </c>
      <c r="C878" s="44" t="s">
        <v>2543</v>
      </c>
      <c r="D878" s="152">
        <v>-182310</v>
      </c>
      <c r="E878" s="159">
        <v>8.8599999999999996E-4</v>
      </c>
      <c r="F878" s="121">
        <f>Tabla5109[[#This Row],[Original Amount]]*Tabla5109[[#This Row],[ER to EUR]]</f>
        <v>-161.52665999999999</v>
      </c>
      <c r="G878" s="37" t="s">
        <v>3906</v>
      </c>
      <c r="H878" s="37" t="s">
        <v>3882</v>
      </c>
      <c r="I878" s="37" t="s">
        <v>2713</v>
      </c>
      <c r="J878" s="37" t="s">
        <v>2713</v>
      </c>
      <c r="K878" s="217" t="s">
        <v>2713</v>
      </c>
      <c r="L878" s="37" t="s">
        <v>2713</v>
      </c>
      <c r="M878" s="227" t="s">
        <v>2704</v>
      </c>
      <c r="N878" s="156" t="s">
        <v>2748</v>
      </c>
      <c r="O878" s="156" t="s">
        <v>2704</v>
      </c>
      <c r="P878" s="123" t="str">
        <f t="shared" si="26"/>
        <v>C3-2025</v>
      </c>
      <c r="Q878" s="123" t="str">
        <f t="shared" si="27"/>
        <v>T4-2025</v>
      </c>
      <c r="R878" s="91" t="s">
        <v>2749</v>
      </c>
      <c r="S878" s="157" t="s">
        <v>2750</v>
      </c>
      <c r="T878" s="157" t="s">
        <v>2717</v>
      </c>
      <c r="U878" s="165" t="s">
        <v>2708</v>
      </c>
      <c r="V878" s="165" t="s">
        <v>56</v>
      </c>
      <c r="W878" s="237" t="s">
        <v>125</v>
      </c>
      <c r="X878" s="202" t="s">
        <v>2751</v>
      </c>
    </row>
    <row r="879" spans="1:24" hidden="1">
      <c r="A879" s="161">
        <v>45947</v>
      </c>
      <c r="B879" s="192" t="s">
        <v>3907</v>
      </c>
      <c r="C879" s="38" t="s">
        <v>2548</v>
      </c>
      <c r="D879" s="136">
        <v>-300</v>
      </c>
      <c r="E879" s="224">
        <v>0.85200647524921191</v>
      </c>
      <c r="F879" s="121">
        <f>Tabla5109[[#This Row],[Original Amount]]*Tabla5109[[#This Row],[ER to EUR]]</f>
        <v>-255.60194257476357</v>
      </c>
      <c r="G879" s="37" t="s">
        <v>2786</v>
      </c>
      <c r="H879" s="180" t="s">
        <v>3908</v>
      </c>
      <c r="I879" s="37" t="s">
        <v>2713</v>
      </c>
      <c r="J879" s="37" t="s">
        <v>2701</v>
      </c>
      <c r="K879" s="217" t="s">
        <v>2702</v>
      </c>
      <c r="L879" s="37" t="s">
        <v>2788</v>
      </c>
      <c r="M879" s="32" t="s">
        <v>125</v>
      </c>
      <c r="N879" s="158" t="s">
        <v>2704</v>
      </c>
      <c r="O879" s="156" t="s">
        <v>2704</v>
      </c>
      <c r="P879" s="123" t="str">
        <f t="shared" si="26"/>
        <v>C3-2025</v>
      </c>
      <c r="Q879" s="123" t="str">
        <f t="shared" si="27"/>
        <v>T4-2025</v>
      </c>
      <c r="R879" s="160" t="s">
        <v>2705</v>
      </c>
      <c r="S879" s="124" t="s">
        <v>2706</v>
      </c>
      <c r="T879" s="123" t="s">
        <v>2724</v>
      </c>
      <c r="U879" s="162" t="s">
        <v>2708</v>
      </c>
      <c r="V879" s="162" t="s">
        <v>56</v>
      </c>
      <c r="W879" s="237" t="s">
        <v>125</v>
      </c>
      <c r="X879" s="202" t="s">
        <v>2709</v>
      </c>
    </row>
    <row r="880" spans="1:24" hidden="1">
      <c r="A880" s="161">
        <v>45947</v>
      </c>
      <c r="B880" s="167" t="s">
        <v>3909</v>
      </c>
      <c r="C880" s="158" t="s">
        <v>2697</v>
      </c>
      <c r="D880" s="210">
        <v>-135.66</v>
      </c>
      <c r="E880" s="159">
        <v>1</v>
      </c>
      <c r="F880" s="121">
        <f>Tabla5109[[#This Row],[Original Amount]]*Tabla5109[[#This Row],[ER to EUR]]</f>
        <v>-135.66</v>
      </c>
      <c r="G880" s="37" t="s">
        <v>3116</v>
      </c>
      <c r="H880" t="s">
        <v>3787</v>
      </c>
      <c r="I880" s="37" t="s">
        <v>2713</v>
      </c>
      <c r="J880" s="37" t="s">
        <v>2701</v>
      </c>
      <c r="K880" s="217" t="s">
        <v>2702</v>
      </c>
      <c r="L880" s="37" t="s">
        <v>2703</v>
      </c>
      <c r="M880" s="32" t="s">
        <v>125</v>
      </c>
      <c r="N880" s="158" t="s">
        <v>2704</v>
      </c>
      <c r="O880" s="156" t="s">
        <v>2704</v>
      </c>
      <c r="P880" s="123" t="str">
        <f t="shared" si="26"/>
        <v>C3-2025</v>
      </c>
      <c r="Q880" s="123" t="str">
        <f t="shared" si="27"/>
        <v>T4-2025</v>
      </c>
      <c r="R880" s="160" t="s">
        <v>2794</v>
      </c>
      <c r="S880" s="157" t="s">
        <v>3041</v>
      </c>
      <c r="T880" s="123" t="s">
        <v>2707</v>
      </c>
      <c r="U880" s="162" t="s">
        <v>51</v>
      </c>
      <c r="V880" s="162" t="s">
        <v>57</v>
      </c>
      <c r="W880" s="237" t="s">
        <v>125</v>
      </c>
      <c r="X880" s="202" t="s">
        <v>2709</v>
      </c>
    </row>
    <row r="881" spans="1:24" hidden="1">
      <c r="A881" s="161">
        <v>45947</v>
      </c>
      <c r="B881" s="167" t="s">
        <v>3910</v>
      </c>
      <c r="C881" s="38" t="s">
        <v>2697</v>
      </c>
      <c r="D881" s="210">
        <v>-81</v>
      </c>
      <c r="E881" s="159">
        <v>1</v>
      </c>
      <c r="F881" s="121">
        <f>Tabla5109[[#This Row],[Original Amount]]*Tabla5109[[#This Row],[ER to EUR]]</f>
        <v>-81</v>
      </c>
      <c r="G881" s="37" t="s">
        <v>2833</v>
      </c>
      <c r="H881" t="s">
        <v>2834</v>
      </c>
      <c r="I881" s="37" t="s">
        <v>2713</v>
      </c>
      <c r="J881" s="37" t="s">
        <v>2701</v>
      </c>
      <c r="K881" s="217" t="s">
        <v>2771</v>
      </c>
      <c r="L881" s="212" t="s">
        <v>2818</v>
      </c>
      <c r="M881" s="32" t="s">
        <v>125</v>
      </c>
      <c r="N881" s="158" t="s">
        <v>2704</v>
      </c>
      <c r="O881" s="156" t="s">
        <v>2704</v>
      </c>
      <c r="P881" s="123" t="str">
        <f t="shared" si="26"/>
        <v>C3-2025</v>
      </c>
      <c r="Q881" s="123" t="str">
        <f t="shared" si="27"/>
        <v>T4-2025</v>
      </c>
      <c r="R881" s="171" t="s">
        <v>2819</v>
      </c>
      <c r="S881" s="157" t="s">
        <v>2817</v>
      </c>
      <c r="T881" s="123" t="s">
        <v>2724</v>
      </c>
      <c r="U881" s="162" t="s">
        <v>2708</v>
      </c>
      <c r="V881" s="162" t="s">
        <v>54</v>
      </c>
      <c r="W881" s="237" t="s">
        <v>125</v>
      </c>
      <c r="X881" s="202" t="s">
        <v>2709</v>
      </c>
    </row>
    <row r="882" spans="1:24" hidden="1">
      <c r="A882" s="161">
        <v>45947</v>
      </c>
      <c r="B882" s="200" t="s">
        <v>3703</v>
      </c>
      <c r="C882" s="158" t="s">
        <v>2697</v>
      </c>
      <c r="D882" s="210">
        <v>-18</v>
      </c>
      <c r="E882" s="179">
        <v>1</v>
      </c>
      <c r="F882" s="121">
        <f>Tabla5109[[#This Row],[Original Amount]]*Tabla5109[[#This Row],[ER to EUR]]</f>
        <v>-18</v>
      </c>
      <c r="G882" s="37" t="s">
        <v>3791</v>
      </c>
      <c r="H882" t="s">
        <v>3704</v>
      </c>
      <c r="I882" s="37" t="s">
        <v>2713</v>
      </c>
      <c r="J882" s="37" t="s">
        <v>2825</v>
      </c>
      <c r="K882" s="217" t="s">
        <v>2826</v>
      </c>
      <c r="L882" s="37" t="s">
        <v>2827</v>
      </c>
      <c r="M882" s="32" t="s">
        <v>125</v>
      </c>
      <c r="N882" s="156" t="s">
        <v>2748</v>
      </c>
      <c r="O882" s="158" t="s">
        <v>2748</v>
      </c>
      <c r="P882" s="123" t="str">
        <f t="shared" si="26"/>
        <v>C3-2025</v>
      </c>
      <c r="Q882" s="123" t="str">
        <f t="shared" si="27"/>
        <v>T4-2025</v>
      </c>
      <c r="R882" s="124" t="s">
        <v>2705</v>
      </c>
      <c r="S882" s="160" t="s">
        <v>2706</v>
      </c>
      <c r="T882" s="123" t="s">
        <v>2717</v>
      </c>
      <c r="U882" s="162" t="s">
        <v>2708</v>
      </c>
      <c r="V882" s="162" t="s">
        <v>56</v>
      </c>
      <c r="W882" s="237" t="s">
        <v>125</v>
      </c>
      <c r="X882" s="202" t="s">
        <v>2709</v>
      </c>
    </row>
    <row r="883" spans="1:24" hidden="1">
      <c r="A883" s="161">
        <v>45947</v>
      </c>
      <c r="B883" s="200" t="s">
        <v>3703</v>
      </c>
      <c r="C883" s="158" t="s">
        <v>2697</v>
      </c>
      <c r="D883" s="210">
        <v>-18</v>
      </c>
      <c r="E883" s="179">
        <v>1</v>
      </c>
      <c r="F883" s="121">
        <f>Tabla5109[[#This Row],[Original Amount]]*Tabla5109[[#This Row],[ER to EUR]]</f>
        <v>-18</v>
      </c>
      <c r="G883" s="37" t="s">
        <v>3791</v>
      </c>
      <c r="H883" s="37" t="s">
        <v>3704</v>
      </c>
      <c r="I883" s="37" t="s">
        <v>2713</v>
      </c>
      <c r="J883" s="37" t="s">
        <v>2825</v>
      </c>
      <c r="K883" s="217" t="s">
        <v>2826</v>
      </c>
      <c r="L883" s="37" t="s">
        <v>2827</v>
      </c>
      <c r="M883" s="32" t="s">
        <v>125</v>
      </c>
      <c r="N883" s="156" t="s">
        <v>2748</v>
      </c>
      <c r="O883" s="158" t="s">
        <v>2748</v>
      </c>
      <c r="P883" s="123" t="str">
        <f t="shared" si="26"/>
        <v>C3-2025</v>
      </c>
      <c r="Q883" s="123" t="str">
        <f t="shared" si="27"/>
        <v>T4-2025</v>
      </c>
      <c r="R883" s="160" t="s">
        <v>2705</v>
      </c>
      <c r="S883" s="124" t="s">
        <v>2706</v>
      </c>
      <c r="T883" s="123" t="s">
        <v>2717</v>
      </c>
      <c r="U883" s="162" t="s">
        <v>2708</v>
      </c>
      <c r="V883" s="162" t="s">
        <v>56</v>
      </c>
      <c r="W883" s="237" t="s">
        <v>125</v>
      </c>
      <c r="X883" s="202" t="s">
        <v>2709</v>
      </c>
    </row>
    <row r="884" spans="1:24" hidden="1">
      <c r="A884" s="161">
        <v>45948</v>
      </c>
      <c r="B884" s="193">
        <v>1976997</v>
      </c>
      <c r="C884" s="38" t="s">
        <v>2697</v>
      </c>
      <c r="D884" s="409">
        <v>-187.25</v>
      </c>
      <c r="E884" s="159">
        <v>1</v>
      </c>
      <c r="F884" s="121">
        <f>Tabla5109[[#This Row],[Original Amount]]*Tabla5109[[#This Row],[ER to EUR]]</f>
        <v>-187.25</v>
      </c>
      <c r="G884" s="37" t="s">
        <v>2815</v>
      </c>
      <c r="H884" s="180" t="s">
        <v>2816</v>
      </c>
      <c r="I884" s="9" t="s">
        <v>2727</v>
      </c>
      <c r="J884" s="9" t="s">
        <v>2817</v>
      </c>
      <c r="K884" s="205" t="s">
        <v>2702</v>
      </c>
      <c r="L884" s="9" t="s">
        <v>2818</v>
      </c>
      <c r="M884" s="32" t="s">
        <v>125</v>
      </c>
      <c r="N884" s="122" t="s">
        <v>2704</v>
      </c>
      <c r="O884" s="129" t="s">
        <v>2704</v>
      </c>
      <c r="P884" s="123" t="str">
        <f t="shared" si="26"/>
        <v>C3-2025</v>
      </c>
      <c r="Q884" s="123" t="str">
        <f t="shared" si="27"/>
        <v>T4-2025</v>
      </c>
      <c r="R884" s="124" t="s">
        <v>2819</v>
      </c>
      <c r="S884" s="123" t="s">
        <v>2723</v>
      </c>
      <c r="T884" s="123" t="s">
        <v>2724</v>
      </c>
      <c r="U884" s="162" t="s">
        <v>2708</v>
      </c>
      <c r="V884" s="162" t="s">
        <v>54</v>
      </c>
      <c r="W884" s="237" t="s">
        <v>125</v>
      </c>
      <c r="X884" s="173" t="s">
        <v>2709</v>
      </c>
    </row>
    <row r="885" spans="1:24" hidden="1">
      <c r="A885" s="161">
        <v>45948</v>
      </c>
      <c r="B885" s="192" t="s">
        <v>3911</v>
      </c>
      <c r="C885" s="158" t="s">
        <v>2697</v>
      </c>
      <c r="D885" s="409">
        <v>-507.15</v>
      </c>
      <c r="E885" s="159">
        <v>1</v>
      </c>
      <c r="F885" s="121">
        <f>Tabla5109[[#This Row],[Original Amount]]*Tabla5109[[#This Row],[ER to EUR]]</f>
        <v>-507.15</v>
      </c>
      <c r="G885" s="37" t="s">
        <v>2753</v>
      </c>
      <c r="H885" s="37" t="s">
        <v>3912</v>
      </c>
      <c r="I885" s="9" t="s">
        <v>2755</v>
      </c>
      <c r="J885" s="37" t="s">
        <v>2701</v>
      </c>
      <c r="K885" s="217" t="s">
        <v>2702</v>
      </c>
      <c r="L885" s="37" t="s">
        <v>2703</v>
      </c>
      <c r="M885" s="32" t="s">
        <v>125</v>
      </c>
      <c r="N885" s="158" t="s">
        <v>2704</v>
      </c>
      <c r="O885" s="156" t="s">
        <v>2704</v>
      </c>
      <c r="P885" s="123" t="str">
        <f t="shared" si="26"/>
        <v>C3-2025</v>
      </c>
      <c r="Q885" s="123" t="str">
        <f t="shared" si="27"/>
        <v>T4-2025</v>
      </c>
      <c r="R885" s="124" t="s">
        <v>2705</v>
      </c>
      <c r="S885" s="160" t="s">
        <v>2706</v>
      </c>
      <c r="T885" s="123" t="s">
        <v>2707</v>
      </c>
      <c r="U885" s="162" t="s">
        <v>2708</v>
      </c>
      <c r="V885" s="162" t="s">
        <v>56</v>
      </c>
      <c r="W885" s="237" t="s">
        <v>125</v>
      </c>
      <c r="X885" s="202" t="s">
        <v>2709</v>
      </c>
    </row>
    <row r="886" spans="1:24" hidden="1">
      <c r="A886" s="161">
        <v>45948</v>
      </c>
      <c r="B886" s="167" t="s">
        <v>3913</v>
      </c>
      <c r="C886" s="38" t="s">
        <v>2697</v>
      </c>
      <c r="D886" s="409">
        <v>-206.71</v>
      </c>
      <c r="E886" s="159">
        <v>1</v>
      </c>
      <c r="F886" s="121">
        <f>Tabla5109[[#This Row],[Original Amount]]*Tabla5109[[#This Row],[ER to EUR]]</f>
        <v>-206.71</v>
      </c>
      <c r="G886" s="9" t="s">
        <v>2839</v>
      </c>
      <c r="H886" s="37" t="s">
        <v>2840</v>
      </c>
      <c r="I886" s="9" t="s">
        <v>2784</v>
      </c>
      <c r="J886" s="37" t="s">
        <v>2701</v>
      </c>
      <c r="K886" s="217" t="s">
        <v>2702</v>
      </c>
      <c r="L886" s="37" t="s">
        <v>2703</v>
      </c>
      <c r="M886" s="32" t="s">
        <v>125</v>
      </c>
      <c r="N886" s="156" t="s">
        <v>2704</v>
      </c>
      <c r="O886" s="158" t="s">
        <v>2704</v>
      </c>
      <c r="P886" s="123" t="str">
        <f t="shared" si="26"/>
        <v>C3-2025</v>
      </c>
      <c r="Q886" s="123" t="str">
        <f t="shared" si="27"/>
        <v>T4-2025</v>
      </c>
      <c r="R886" s="160" t="s">
        <v>2705</v>
      </c>
      <c r="S886" s="124" t="s">
        <v>2706</v>
      </c>
      <c r="T886" s="123" t="s">
        <v>2707</v>
      </c>
      <c r="U886" s="162" t="s">
        <v>2708</v>
      </c>
      <c r="V886" s="162" t="s">
        <v>56</v>
      </c>
      <c r="W886" s="237" t="s">
        <v>125</v>
      </c>
      <c r="X886" s="202" t="s">
        <v>2709</v>
      </c>
    </row>
    <row r="887" spans="1:24" hidden="1">
      <c r="A887" s="161">
        <v>45949</v>
      </c>
      <c r="B887" s="167" t="s">
        <v>3914</v>
      </c>
      <c r="C887" s="158" t="s">
        <v>2697</v>
      </c>
      <c r="D887" s="409">
        <v>-192.44</v>
      </c>
      <c r="E887" s="159">
        <v>1</v>
      </c>
      <c r="F887" s="121">
        <f>Tabla5109[[#This Row],[Original Amount]]*Tabla5109[[#This Row],[ER to EUR]]</f>
        <v>-192.44</v>
      </c>
      <c r="G887" t="s">
        <v>2766</v>
      </c>
      <c r="H887" s="37" t="s">
        <v>3846</v>
      </c>
      <c r="I887" s="37" t="s">
        <v>2713</v>
      </c>
      <c r="J887" s="9" t="s">
        <v>2701</v>
      </c>
      <c r="K887" s="205" t="s">
        <v>2702</v>
      </c>
      <c r="L887" s="9" t="s">
        <v>2760</v>
      </c>
      <c r="M887" s="32" t="s">
        <v>125</v>
      </c>
      <c r="N887" s="122" t="s">
        <v>2704</v>
      </c>
      <c r="O887" s="122" t="s">
        <v>2704</v>
      </c>
      <c r="P887" s="123" t="str">
        <f t="shared" si="26"/>
        <v>C3-2025</v>
      </c>
      <c r="Q887" s="123" t="str">
        <f t="shared" si="27"/>
        <v>T4-2025</v>
      </c>
      <c r="R887" s="124" t="s">
        <v>2741</v>
      </c>
      <c r="S887" s="123" t="s">
        <v>2723</v>
      </c>
      <c r="T887" s="123" t="s">
        <v>2724</v>
      </c>
      <c r="U887" s="162" t="s">
        <v>2708</v>
      </c>
      <c r="V887" s="162" t="s">
        <v>55</v>
      </c>
      <c r="W887" s="237" t="s">
        <v>125</v>
      </c>
      <c r="X887" s="202" t="s">
        <v>2709</v>
      </c>
    </row>
    <row r="888" spans="1:24" hidden="1">
      <c r="A888" s="161">
        <v>45950</v>
      </c>
      <c r="B888" s="167" t="s">
        <v>3915</v>
      </c>
      <c r="C888" s="158" t="s">
        <v>2697</v>
      </c>
      <c r="D888" s="409">
        <v>-19.329999999999998</v>
      </c>
      <c r="E888" s="159">
        <v>1</v>
      </c>
      <c r="F888" s="121">
        <f>Tabla5109[[#This Row],[Original Amount]]*Tabla5109[[#This Row],[ER to EUR]]</f>
        <v>-19.329999999999998</v>
      </c>
      <c r="G888" t="s">
        <v>2996</v>
      </c>
      <c r="H888" s="37" t="s">
        <v>2997</v>
      </c>
      <c r="I888" s="37" t="s">
        <v>2727</v>
      </c>
      <c r="J888" s="37" t="s">
        <v>2701</v>
      </c>
      <c r="K888" s="217" t="s">
        <v>2702</v>
      </c>
      <c r="L888" s="37" t="s">
        <v>2703</v>
      </c>
      <c r="M888" s="32" t="s">
        <v>125</v>
      </c>
      <c r="N888" s="156" t="s">
        <v>2704</v>
      </c>
      <c r="O888" s="158" t="s">
        <v>2704</v>
      </c>
      <c r="P888" s="123" t="str">
        <f t="shared" si="26"/>
        <v>C3-2025</v>
      </c>
      <c r="Q888" s="123" t="str">
        <f t="shared" si="27"/>
        <v>T4-2025</v>
      </c>
      <c r="R888" s="160" t="s">
        <v>2705</v>
      </c>
      <c r="S888" s="123" t="s">
        <v>2735</v>
      </c>
      <c r="T888" s="123" t="s">
        <v>2724</v>
      </c>
      <c r="U888" s="162" t="s">
        <v>2708</v>
      </c>
      <c r="V888" s="162" t="s">
        <v>56</v>
      </c>
      <c r="W888" s="237" t="s">
        <v>125</v>
      </c>
      <c r="X888" s="202" t="s">
        <v>2709</v>
      </c>
    </row>
    <row r="889" spans="1:24" hidden="1">
      <c r="A889" s="161">
        <v>45950</v>
      </c>
      <c r="B889" s="167" t="s">
        <v>3916</v>
      </c>
      <c r="C889" s="38" t="s">
        <v>2697</v>
      </c>
      <c r="D889" s="409">
        <v>-83.88</v>
      </c>
      <c r="E889" s="159">
        <v>1</v>
      </c>
      <c r="F889" s="121">
        <f>Tabla5109[[#This Row],[Original Amount]]*Tabla5109[[#This Row],[ER to EUR]]</f>
        <v>-83.88</v>
      </c>
      <c r="G889" t="s">
        <v>3917</v>
      </c>
      <c r="H889" s="37" t="s">
        <v>3918</v>
      </c>
      <c r="I889" s="37" t="s">
        <v>2713</v>
      </c>
      <c r="J889" s="37" t="s">
        <v>2723</v>
      </c>
      <c r="K889" s="217" t="s">
        <v>2771</v>
      </c>
      <c r="L889" s="37" t="s">
        <v>2793</v>
      </c>
      <c r="M889" s="32" t="s">
        <v>125</v>
      </c>
      <c r="N889" s="158" t="s">
        <v>2704</v>
      </c>
      <c r="O889" s="156" t="s">
        <v>2704</v>
      </c>
      <c r="P889" s="123" t="str">
        <f t="shared" si="26"/>
        <v>C3-2025</v>
      </c>
      <c r="Q889" s="123" t="str">
        <f t="shared" si="27"/>
        <v>T4-2025</v>
      </c>
      <c r="R889" s="160" t="s">
        <v>2794</v>
      </c>
      <c r="S889" s="157" t="s">
        <v>2731</v>
      </c>
      <c r="T889" s="123" t="s">
        <v>2717</v>
      </c>
      <c r="U889" s="162" t="s">
        <v>2708</v>
      </c>
      <c r="V889" s="162" t="s">
        <v>56</v>
      </c>
      <c r="W889" s="237" t="s">
        <v>125</v>
      </c>
      <c r="X889" s="202" t="s">
        <v>2709</v>
      </c>
    </row>
    <row r="890" spans="1:24" hidden="1">
      <c r="A890" s="161">
        <v>45950</v>
      </c>
      <c r="B890" s="167" t="s">
        <v>3919</v>
      </c>
      <c r="C890" s="38" t="s">
        <v>2548</v>
      </c>
      <c r="D890" s="240">
        <v>-12.5</v>
      </c>
      <c r="E890" s="224">
        <v>0.85200647524921191</v>
      </c>
      <c r="F890" s="121">
        <f>Tabla5109[[#This Row],[Original Amount]]*Tabla5109[[#This Row],[ER to EUR]]</f>
        <v>-10.650080940615149</v>
      </c>
      <c r="G890" t="s">
        <v>3920</v>
      </c>
      <c r="H890" s="37" t="s">
        <v>3921</v>
      </c>
      <c r="I890" s="37" t="s">
        <v>2755</v>
      </c>
      <c r="J890" s="37" t="s">
        <v>2701</v>
      </c>
      <c r="K890" s="217" t="s">
        <v>2702</v>
      </c>
      <c r="L890" s="37" t="s">
        <v>2788</v>
      </c>
      <c r="M890" s="32" t="s">
        <v>125</v>
      </c>
      <c r="N890" s="158" t="s">
        <v>2704</v>
      </c>
      <c r="O890" s="156" t="s">
        <v>2704</v>
      </c>
      <c r="P890" s="123" t="str">
        <f t="shared" si="26"/>
        <v>C3-2025</v>
      </c>
      <c r="Q890" s="123" t="str">
        <f t="shared" si="27"/>
        <v>T4-2025</v>
      </c>
      <c r="R890" s="171" t="s">
        <v>2705</v>
      </c>
      <c r="S890" s="157" t="s">
        <v>2735</v>
      </c>
      <c r="T890" s="123" t="s">
        <v>2724</v>
      </c>
      <c r="U890" s="162" t="s">
        <v>2708</v>
      </c>
      <c r="V890" s="162" t="s">
        <v>56</v>
      </c>
      <c r="W890" s="237" t="s">
        <v>125</v>
      </c>
      <c r="X890" s="202" t="s">
        <v>2709</v>
      </c>
    </row>
    <row r="891" spans="1:24" hidden="1">
      <c r="A891" s="161">
        <v>45950</v>
      </c>
      <c r="B891" s="164">
        <v>202510176</v>
      </c>
      <c r="C891" s="38" t="s">
        <v>2697</v>
      </c>
      <c r="D891" s="409">
        <v>-648.54999999999995</v>
      </c>
      <c r="E891" s="159">
        <v>1</v>
      </c>
      <c r="F891" s="121">
        <f>Tabla5109[[#This Row],[Original Amount]]*Tabla5109[[#This Row],[ER to EUR]]</f>
        <v>-648.54999999999995</v>
      </c>
      <c r="G891" t="s">
        <v>3922</v>
      </c>
      <c r="H891" s="37" t="s">
        <v>3923</v>
      </c>
      <c r="I891" s="37" t="s">
        <v>2727</v>
      </c>
      <c r="J891" s="37" t="s">
        <v>2868</v>
      </c>
      <c r="K891" s="217" t="s">
        <v>2868</v>
      </c>
      <c r="L891" s="212" t="s">
        <v>2729</v>
      </c>
      <c r="M891" s="32" t="s">
        <v>125</v>
      </c>
      <c r="N891" s="158" t="s">
        <v>2704</v>
      </c>
      <c r="O891" s="156" t="s">
        <v>2704</v>
      </c>
      <c r="P891" s="123" t="str">
        <f t="shared" si="26"/>
        <v>C3-2025</v>
      </c>
      <c r="Q891" s="123" t="str">
        <f t="shared" si="27"/>
        <v>T4-2025</v>
      </c>
      <c r="R891" s="171" t="s">
        <v>2705</v>
      </c>
      <c r="S891" s="157" t="s">
        <v>2735</v>
      </c>
      <c r="T891" s="123" t="s">
        <v>2717</v>
      </c>
      <c r="U891" s="162" t="s">
        <v>2708</v>
      </c>
      <c r="V891" s="162" t="s">
        <v>56</v>
      </c>
      <c r="W891" s="237" t="s">
        <v>125</v>
      </c>
      <c r="X891" s="182" t="s">
        <v>2709</v>
      </c>
    </row>
    <row r="892" spans="1:24" hidden="1">
      <c r="A892" s="161">
        <v>45951</v>
      </c>
      <c r="B892" s="164">
        <v>781155313019</v>
      </c>
      <c r="C892" s="158" t="s">
        <v>2697</v>
      </c>
      <c r="D892" s="409">
        <v>-43.38</v>
      </c>
      <c r="E892" s="159">
        <v>1</v>
      </c>
      <c r="F892" s="121">
        <f>Tabla5109[[#This Row],[Original Amount]]*Tabla5109[[#This Row],[ER to EUR]]</f>
        <v>-43.38</v>
      </c>
      <c r="G892" t="s">
        <v>2718</v>
      </c>
      <c r="H892" s="37" t="s">
        <v>3924</v>
      </c>
      <c r="I892" s="37" t="s">
        <v>2755</v>
      </c>
      <c r="J892" s="37" t="s">
        <v>2714</v>
      </c>
      <c r="K892" s="217" t="s">
        <v>2721</v>
      </c>
      <c r="L892" s="37" t="s">
        <v>2716</v>
      </c>
      <c r="M892" s="32" t="s">
        <v>125</v>
      </c>
      <c r="N892" s="156" t="s">
        <v>2704</v>
      </c>
      <c r="O892" s="158" t="s">
        <v>2704</v>
      </c>
      <c r="P892" s="123" t="str">
        <f t="shared" si="26"/>
        <v>C3-2025</v>
      </c>
      <c r="Q892" s="123" t="str">
        <f t="shared" si="27"/>
        <v>T4-2025</v>
      </c>
      <c r="R892" s="160" t="s">
        <v>2722</v>
      </c>
      <c r="S892" s="157" t="s">
        <v>2723</v>
      </c>
      <c r="T892" s="123" t="s">
        <v>2724</v>
      </c>
      <c r="U892" s="162" t="s">
        <v>2708</v>
      </c>
      <c r="V892" s="162" t="s">
        <v>54</v>
      </c>
      <c r="W892" s="237" t="s">
        <v>125</v>
      </c>
      <c r="X892" s="202" t="s">
        <v>2709</v>
      </c>
    </row>
    <row r="893" spans="1:24" hidden="1">
      <c r="A893" s="161">
        <v>45951</v>
      </c>
      <c r="B893" s="192" t="s">
        <v>3925</v>
      </c>
      <c r="C893" s="38" t="s">
        <v>2697</v>
      </c>
      <c r="D893" s="409">
        <v>-8.99</v>
      </c>
      <c r="E893" s="159">
        <v>1</v>
      </c>
      <c r="F893" s="121">
        <f>Tabla5109[[#This Row],[Original Amount]]*Tabla5109[[#This Row],[ER to EUR]]</f>
        <v>-8.99</v>
      </c>
      <c r="G893" t="s">
        <v>3809</v>
      </c>
      <c r="H893" s="37" t="s">
        <v>3810</v>
      </c>
      <c r="I893" s="37" t="s">
        <v>3752</v>
      </c>
      <c r="J893" s="37" t="s">
        <v>2701</v>
      </c>
      <c r="K893" s="217" t="s">
        <v>2702</v>
      </c>
      <c r="L893" s="37" t="s">
        <v>2703</v>
      </c>
      <c r="M893" s="32" t="s">
        <v>125</v>
      </c>
      <c r="N893" s="156" t="s">
        <v>2704</v>
      </c>
      <c r="O893" s="158" t="s">
        <v>2704</v>
      </c>
      <c r="P893" s="123" t="str">
        <f t="shared" si="26"/>
        <v>C3-2025</v>
      </c>
      <c r="Q893" s="123" t="str">
        <f t="shared" si="27"/>
        <v>T4-2025</v>
      </c>
      <c r="R893" s="124" t="s">
        <v>2730</v>
      </c>
      <c r="S893" s="123" t="s">
        <v>2731</v>
      </c>
      <c r="T893" s="123" t="s">
        <v>2724</v>
      </c>
      <c r="U893" s="162" t="s">
        <v>2708</v>
      </c>
      <c r="V893" s="162" t="s">
        <v>55</v>
      </c>
      <c r="W893" s="237" t="s">
        <v>125</v>
      </c>
      <c r="X893" s="173" t="s">
        <v>2709</v>
      </c>
    </row>
    <row r="894" spans="1:24" hidden="1">
      <c r="A894" s="161">
        <v>45951</v>
      </c>
      <c r="B894" s="200" t="s">
        <v>3703</v>
      </c>
      <c r="C894" s="158" t="s">
        <v>2697</v>
      </c>
      <c r="D894" s="409">
        <v>-26.67</v>
      </c>
      <c r="E894" s="159">
        <v>1</v>
      </c>
      <c r="F894" s="121">
        <f>Tabla5109[[#This Row],[Original Amount]]*Tabla5109[[#This Row],[ER to EUR]]</f>
        <v>-26.67</v>
      </c>
      <c r="G894" t="s">
        <v>3926</v>
      </c>
      <c r="H894" s="37" t="s">
        <v>3704</v>
      </c>
      <c r="I894" s="37" t="s">
        <v>2713</v>
      </c>
      <c r="J894" s="37" t="s">
        <v>2713</v>
      </c>
      <c r="K894" s="217" t="s">
        <v>2713</v>
      </c>
      <c r="L894" s="37" t="s">
        <v>2713</v>
      </c>
      <c r="M894" s="32" t="s">
        <v>125</v>
      </c>
      <c r="N894" s="156" t="s">
        <v>2748</v>
      </c>
      <c r="O894" s="158" t="s">
        <v>2748</v>
      </c>
      <c r="P894" s="123" t="str">
        <f t="shared" si="26"/>
        <v>C3-2025</v>
      </c>
      <c r="Q894" s="123" t="str">
        <f t="shared" si="27"/>
        <v>T4-2025</v>
      </c>
      <c r="R894" s="160" t="s">
        <v>2705</v>
      </c>
      <c r="S894" s="160" t="s">
        <v>2706</v>
      </c>
      <c r="T894" s="123" t="s">
        <v>2717</v>
      </c>
      <c r="U894" s="203" t="s">
        <v>2708</v>
      </c>
      <c r="V894" s="203" t="s">
        <v>56</v>
      </c>
      <c r="W894" s="237" t="s">
        <v>125</v>
      </c>
      <c r="X894" s="202" t="s">
        <v>2709</v>
      </c>
    </row>
    <row r="895" spans="1:24" hidden="1">
      <c r="A895" s="161">
        <v>45952</v>
      </c>
      <c r="B895" s="178" t="s">
        <v>3927</v>
      </c>
      <c r="C895" s="158" t="s">
        <v>2697</v>
      </c>
      <c r="D895" s="409">
        <v>-83.18</v>
      </c>
      <c r="E895" s="159">
        <v>1</v>
      </c>
      <c r="F895" s="121">
        <f>Tabla5109[[#This Row],[Original Amount]]*Tabla5109[[#This Row],[ER to EUR]]</f>
        <v>-83.18</v>
      </c>
      <c r="G895" t="s">
        <v>3534</v>
      </c>
      <c r="H895" s="180" t="s">
        <v>2852</v>
      </c>
      <c r="I895" s="37" t="s">
        <v>2713</v>
      </c>
      <c r="J895" s="37" t="s">
        <v>2701</v>
      </c>
      <c r="K895" s="217" t="s">
        <v>2702</v>
      </c>
      <c r="L895" s="37" t="s">
        <v>2788</v>
      </c>
      <c r="M895" s="32" t="s">
        <v>125</v>
      </c>
      <c r="N895" s="158" t="s">
        <v>2704</v>
      </c>
      <c r="O895" s="156" t="s">
        <v>2704</v>
      </c>
      <c r="P895" s="123" t="str">
        <f t="shared" si="26"/>
        <v>C3-2025</v>
      </c>
      <c r="Q895" s="123" t="str">
        <f t="shared" si="27"/>
        <v>T4-2025</v>
      </c>
      <c r="R895" s="160" t="s">
        <v>2794</v>
      </c>
      <c r="S895" s="157" t="s">
        <v>2731</v>
      </c>
      <c r="T895" s="123" t="s">
        <v>2724</v>
      </c>
      <c r="U895" s="162" t="s">
        <v>2708</v>
      </c>
      <c r="V895" s="162" t="s">
        <v>55</v>
      </c>
      <c r="W895" s="237" t="s">
        <v>125</v>
      </c>
      <c r="X895" s="202" t="s">
        <v>2709</v>
      </c>
    </row>
    <row r="896" spans="1:24" hidden="1">
      <c r="A896" s="161">
        <v>45952</v>
      </c>
      <c r="B896" s="167" t="s">
        <v>3928</v>
      </c>
      <c r="C896" s="158" t="s">
        <v>2548</v>
      </c>
      <c r="D896" s="240">
        <v>-138</v>
      </c>
      <c r="E896" s="224">
        <v>0.85200647524921191</v>
      </c>
      <c r="F896" s="121">
        <f>Tabla5109[[#This Row],[Original Amount]]*Tabla5109[[#This Row],[ER to EUR]]</f>
        <v>-117.57689358439124</v>
      </c>
      <c r="G896" t="s">
        <v>3137</v>
      </c>
      <c r="H896" s="37" t="s">
        <v>3929</v>
      </c>
      <c r="I896" s="37" t="s">
        <v>2727</v>
      </c>
      <c r="J896" s="37" t="s">
        <v>2701</v>
      </c>
      <c r="K896" s="217" t="s">
        <v>2702</v>
      </c>
      <c r="L896" s="37" t="s">
        <v>2760</v>
      </c>
      <c r="M896" s="32" t="s">
        <v>125</v>
      </c>
      <c r="N896" s="158" t="s">
        <v>2704</v>
      </c>
      <c r="O896" s="158" t="s">
        <v>2704</v>
      </c>
      <c r="P896" s="123" t="str">
        <f t="shared" si="26"/>
        <v>C3-2025</v>
      </c>
      <c r="Q896" s="123" t="str">
        <f t="shared" si="27"/>
        <v>T4-2025</v>
      </c>
      <c r="R896" s="160" t="s">
        <v>2819</v>
      </c>
      <c r="S896" s="157" t="s">
        <v>2723</v>
      </c>
      <c r="T896" s="123" t="s">
        <v>2724</v>
      </c>
      <c r="U896" s="162" t="s">
        <v>2708</v>
      </c>
      <c r="V896" s="162" t="s">
        <v>54</v>
      </c>
      <c r="W896" s="237" t="s">
        <v>125</v>
      </c>
      <c r="X896" s="124" t="s">
        <v>2709</v>
      </c>
    </row>
    <row r="897" spans="1:24" hidden="1">
      <c r="A897" s="161">
        <v>45952</v>
      </c>
      <c r="B897" s="200" t="s">
        <v>3703</v>
      </c>
      <c r="C897" s="158" t="s">
        <v>2697</v>
      </c>
      <c r="D897" s="210">
        <v>-4.1500000000000004</v>
      </c>
      <c r="E897" s="179">
        <v>1</v>
      </c>
      <c r="F897" s="121">
        <f>Tabla5109[[#This Row],[Original Amount]]*Tabla5109[[#This Row],[ER to EUR]]</f>
        <v>-4.1500000000000004</v>
      </c>
      <c r="G897" t="s">
        <v>3930</v>
      </c>
      <c r="H897" s="37" t="s">
        <v>3931</v>
      </c>
      <c r="I897" s="37" t="s">
        <v>2713</v>
      </c>
      <c r="J897" s="9" t="s">
        <v>3095</v>
      </c>
      <c r="K897" s="205" t="s">
        <v>3627</v>
      </c>
      <c r="L897" s="9" t="s">
        <v>3511</v>
      </c>
      <c r="M897" s="32" t="s">
        <v>125</v>
      </c>
      <c r="N897" s="129" t="s">
        <v>2748</v>
      </c>
      <c r="O897" s="122" t="s">
        <v>2748</v>
      </c>
      <c r="P897" s="123" t="str">
        <f t="shared" si="26"/>
        <v>C3-2025</v>
      </c>
      <c r="Q897" s="123" t="str">
        <f t="shared" si="27"/>
        <v>T4-2025</v>
      </c>
      <c r="R897" s="124" t="s">
        <v>2794</v>
      </c>
      <c r="S897" s="123" t="s">
        <v>2731</v>
      </c>
      <c r="T897" s="123" t="s">
        <v>2707</v>
      </c>
      <c r="U897" s="162" t="s">
        <v>51</v>
      </c>
      <c r="V897" s="162" t="s">
        <v>57</v>
      </c>
      <c r="W897" s="237" t="s">
        <v>125</v>
      </c>
      <c r="X897" s="202" t="s">
        <v>2709</v>
      </c>
    </row>
    <row r="898" spans="1:24" hidden="1">
      <c r="A898" s="161">
        <v>45953</v>
      </c>
      <c r="B898" s="192" t="s">
        <v>3932</v>
      </c>
      <c r="C898" s="158" t="s">
        <v>2697</v>
      </c>
      <c r="D898" s="210">
        <v>-379</v>
      </c>
      <c r="E898" s="159">
        <v>1</v>
      </c>
      <c r="F898" s="121">
        <f>Tabla5109[[#This Row],[Original Amount]]*Tabla5109[[#This Row],[ER to EUR]]</f>
        <v>-379</v>
      </c>
      <c r="G898" t="s">
        <v>3140</v>
      </c>
      <c r="H898" s="37" t="s">
        <v>3933</v>
      </c>
      <c r="I898" s="37" t="s">
        <v>2727</v>
      </c>
      <c r="J898" s="9" t="s">
        <v>2770</v>
      </c>
      <c r="K898" s="205" t="s">
        <v>2702</v>
      </c>
      <c r="L898" s="9" t="s">
        <v>3142</v>
      </c>
      <c r="M898" s="32" t="s">
        <v>125</v>
      </c>
      <c r="N898" s="122" t="s">
        <v>2704</v>
      </c>
      <c r="O898" s="129" t="s">
        <v>2704</v>
      </c>
      <c r="P898" s="123" t="str">
        <f t="shared" ref="P898:P961" si="28">"C"&amp;INT((MONTH(A898)-1)/4)+1&amp;"-"&amp;YEAR(A898)</f>
        <v>C3-2025</v>
      </c>
      <c r="Q898" s="123" t="str">
        <f t="shared" ref="Q898:Q961" si="29">"T"&amp;INT((MONTH(A898)-1)/3)+1&amp;"-"&amp;YEAR(A898)</f>
        <v>T4-2025</v>
      </c>
      <c r="R898" s="91" t="s">
        <v>2749</v>
      </c>
      <c r="S898" s="123" t="s">
        <v>2750</v>
      </c>
      <c r="T898" s="123" t="s">
        <v>2724</v>
      </c>
      <c r="U898" s="162" t="s">
        <v>2708</v>
      </c>
      <c r="V898" s="162" t="s">
        <v>54</v>
      </c>
      <c r="W898" s="237" t="s">
        <v>125</v>
      </c>
      <c r="X898" s="202" t="s">
        <v>2709</v>
      </c>
    </row>
    <row r="899" spans="1:24" hidden="1">
      <c r="A899" s="161">
        <v>45953</v>
      </c>
      <c r="B899" s="200" t="s">
        <v>3703</v>
      </c>
      <c r="C899" s="158" t="s">
        <v>2697</v>
      </c>
      <c r="D899" s="210">
        <v>-2.99</v>
      </c>
      <c r="E899" s="179">
        <v>1</v>
      </c>
      <c r="F899" s="236">
        <f>Tabla5109[[#This Row],[Original Amount]]*Tabla5109[[#This Row],[ER to EUR]]</f>
        <v>-2.99</v>
      </c>
      <c r="G899" t="s">
        <v>3934</v>
      </c>
      <c r="H899" s="37" t="s">
        <v>3704</v>
      </c>
      <c r="I899" s="37" t="s">
        <v>2713</v>
      </c>
      <c r="J899" s="9" t="s">
        <v>2713</v>
      </c>
      <c r="K899" s="205" t="s">
        <v>2713</v>
      </c>
      <c r="L899" s="9" t="s">
        <v>2713</v>
      </c>
      <c r="M899" s="32" t="s">
        <v>125</v>
      </c>
      <c r="N899" s="129" t="s">
        <v>2748</v>
      </c>
      <c r="O899" s="122" t="s">
        <v>2748</v>
      </c>
      <c r="P899" s="123" t="str">
        <f t="shared" si="28"/>
        <v>C3-2025</v>
      </c>
      <c r="Q899" s="123" t="str">
        <f t="shared" si="29"/>
        <v>T4-2025</v>
      </c>
      <c r="R899" s="124" t="s">
        <v>2705</v>
      </c>
      <c r="S899" s="124" t="s">
        <v>2706</v>
      </c>
      <c r="T899" s="123" t="s">
        <v>2717</v>
      </c>
      <c r="U899" s="203" t="s">
        <v>2708</v>
      </c>
      <c r="V899" s="203" t="s">
        <v>56</v>
      </c>
      <c r="W899" s="237" t="s">
        <v>125</v>
      </c>
      <c r="X899" s="202" t="s">
        <v>2709</v>
      </c>
    </row>
    <row r="900" spans="1:24" hidden="1">
      <c r="A900" s="161">
        <v>45953</v>
      </c>
      <c r="B900" s="192" t="s">
        <v>3935</v>
      </c>
      <c r="C900" s="38" t="s">
        <v>2697</v>
      </c>
      <c r="D900" s="210">
        <v>-2000</v>
      </c>
      <c r="E900" s="159">
        <v>1</v>
      </c>
      <c r="F900" s="236">
        <f>Tabla5109[[#This Row],[Original Amount]]*Tabla5109[[#This Row],[ER to EUR]]</f>
        <v>-2000</v>
      </c>
      <c r="G900" t="s">
        <v>3527</v>
      </c>
      <c r="H900" s="37" t="s">
        <v>3936</v>
      </c>
      <c r="I900" s="37" t="s">
        <v>2713</v>
      </c>
      <c r="J900" s="37" t="s">
        <v>2714</v>
      </c>
      <c r="K900" s="217" t="s">
        <v>2747</v>
      </c>
      <c r="L900" s="212" t="s">
        <v>2864</v>
      </c>
      <c r="M900" s="32" t="s">
        <v>125</v>
      </c>
      <c r="N900" s="158" t="s">
        <v>2704</v>
      </c>
      <c r="O900" s="156" t="s">
        <v>2704</v>
      </c>
      <c r="P900" s="123" t="str">
        <f t="shared" si="28"/>
        <v>C3-2025</v>
      </c>
      <c r="Q900" s="123" t="str">
        <f t="shared" si="29"/>
        <v>T4-2025</v>
      </c>
      <c r="R900" s="171" t="s">
        <v>2705</v>
      </c>
      <c r="S900" s="157" t="s">
        <v>2735</v>
      </c>
      <c r="T900" s="123" t="s">
        <v>2724</v>
      </c>
      <c r="U900" s="162" t="s">
        <v>2708</v>
      </c>
      <c r="V900" s="162" t="s">
        <v>56</v>
      </c>
      <c r="W900" s="237" t="s">
        <v>125</v>
      </c>
      <c r="X900" s="182" t="s">
        <v>2709</v>
      </c>
    </row>
    <row r="901" spans="1:24" hidden="1">
      <c r="A901" s="161">
        <v>45955</v>
      </c>
      <c r="B901" s="192" t="s">
        <v>3937</v>
      </c>
      <c r="C901" s="158" t="s">
        <v>2548</v>
      </c>
      <c r="D901" s="136">
        <v>-238</v>
      </c>
      <c r="E901" s="224">
        <v>0.85200647524921191</v>
      </c>
      <c r="F901" s="121">
        <f>Tabla5109[[#This Row],[Original Amount]]*Tabla5109[[#This Row],[ER to EUR]]</f>
        <v>-202.77754110931244</v>
      </c>
      <c r="G901" t="s">
        <v>3248</v>
      </c>
      <c r="H901" s="37" t="s">
        <v>3938</v>
      </c>
      <c r="I901" s="37" t="s">
        <v>2713</v>
      </c>
      <c r="J901" s="37" t="s">
        <v>2714</v>
      </c>
      <c r="K901" s="217" t="s">
        <v>2702</v>
      </c>
      <c r="L901" s="37" t="s">
        <v>2799</v>
      </c>
      <c r="M901" s="32" t="s">
        <v>125</v>
      </c>
      <c r="N901" s="158" t="s">
        <v>2704</v>
      </c>
      <c r="O901" s="156" t="s">
        <v>2704</v>
      </c>
      <c r="P901" s="123" t="str">
        <f t="shared" si="28"/>
        <v>C3-2025</v>
      </c>
      <c r="Q901" s="123" t="str">
        <f t="shared" si="29"/>
        <v>T4-2025</v>
      </c>
      <c r="R901" s="160" t="s">
        <v>2730</v>
      </c>
      <c r="S901" s="123" t="s">
        <v>2731</v>
      </c>
      <c r="T901" s="123" t="s">
        <v>2724</v>
      </c>
      <c r="U901" s="162" t="s">
        <v>51</v>
      </c>
      <c r="V901" s="162" t="s">
        <v>57</v>
      </c>
      <c r="W901" s="237" t="s">
        <v>125</v>
      </c>
      <c r="X901" s="202" t="s">
        <v>2709</v>
      </c>
    </row>
    <row r="902" spans="1:24" hidden="1">
      <c r="A902" s="161">
        <v>45955</v>
      </c>
      <c r="B902" s="164">
        <v>23013555</v>
      </c>
      <c r="C902" s="158" t="s">
        <v>2548</v>
      </c>
      <c r="D902" s="136">
        <v>-65</v>
      </c>
      <c r="E902" s="224">
        <v>0.85200647524921191</v>
      </c>
      <c r="F902" s="236">
        <f>Tabla5109[[#This Row],[Original Amount]]*Tabla5109[[#This Row],[ER to EUR]]</f>
        <v>-55.380420891198774</v>
      </c>
      <c r="G902" t="s">
        <v>3680</v>
      </c>
      <c r="H902" s="37" t="s">
        <v>3681</v>
      </c>
      <c r="I902" s="37" t="s">
        <v>3682</v>
      </c>
      <c r="J902" s="37" t="s">
        <v>2770</v>
      </c>
      <c r="K902" s="217" t="s">
        <v>2771</v>
      </c>
      <c r="L902" s="37" t="s">
        <v>3494</v>
      </c>
      <c r="M902" s="32" t="s">
        <v>125</v>
      </c>
      <c r="N902" s="158" t="s">
        <v>2704</v>
      </c>
      <c r="O902" s="156" t="s">
        <v>2704</v>
      </c>
      <c r="P902" s="123" t="str">
        <f t="shared" si="28"/>
        <v>C3-2025</v>
      </c>
      <c r="Q902" s="123" t="str">
        <f t="shared" si="29"/>
        <v>T4-2025</v>
      </c>
      <c r="R902" s="171" t="s">
        <v>2749</v>
      </c>
      <c r="S902" s="157" t="s">
        <v>2750</v>
      </c>
      <c r="T902" s="157" t="s">
        <v>2724</v>
      </c>
      <c r="U902" s="162" t="s">
        <v>2708</v>
      </c>
      <c r="V902" s="165" t="s">
        <v>54</v>
      </c>
      <c r="W902" s="237" t="s">
        <v>125</v>
      </c>
      <c r="X902" s="202" t="s">
        <v>2709</v>
      </c>
    </row>
    <row r="903" spans="1:24" hidden="1">
      <c r="A903" s="161">
        <v>45955</v>
      </c>
      <c r="B903" s="167" t="s">
        <v>3939</v>
      </c>
      <c r="C903" s="38" t="s">
        <v>2548</v>
      </c>
      <c r="D903" s="136">
        <v>-41.65</v>
      </c>
      <c r="E903" s="416">
        <v>0.85199999999999998</v>
      </c>
      <c r="F903" s="236">
        <f>Tabla5109[[#This Row],[Original Amount]]*Tabla5109[[#This Row],[ER to EUR]]</f>
        <v>-35.485799999999998</v>
      </c>
      <c r="G903" t="s">
        <v>2884</v>
      </c>
      <c r="H903" s="37" t="s">
        <v>3199</v>
      </c>
      <c r="I903" s="9" t="s">
        <v>3480</v>
      </c>
      <c r="J903" s="9" t="s">
        <v>2723</v>
      </c>
      <c r="K903" s="205" t="s">
        <v>2792</v>
      </c>
      <c r="L903" s="9" t="s">
        <v>2793</v>
      </c>
      <c r="M903" s="32" t="s">
        <v>125</v>
      </c>
      <c r="N903" s="129" t="s">
        <v>2704</v>
      </c>
      <c r="O903" s="122" t="s">
        <v>2704</v>
      </c>
      <c r="P903" s="123" t="str">
        <f t="shared" si="28"/>
        <v>C3-2025</v>
      </c>
      <c r="Q903" s="123" t="str">
        <f t="shared" si="29"/>
        <v>T4-2025</v>
      </c>
      <c r="R903" s="160" t="s">
        <v>2741</v>
      </c>
      <c r="S903" s="157" t="s">
        <v>2723</v>
      </c>
      <c r="T903" s="123" t="s">
        <v>2707</v>
      </c>
      <c r="U903" s="162" t="s">
        <v>2708</v>
      </c>
      <c r="V903" s="162" t="s">
        <v>54</v>
      </c>
      <c r="W903" s="237" t="s">
        <v>125</v>
      </c>
      <c r="X903" s="202" t="s">
        <v>2709</v>
      </c>
    </row>
    <row r="904" spans="1:24" ht="15" hidden="1" customHeight="1">
      <c r="A904" s="161">
        <v>45957</v>
      </c>
      <c r="B904" s="200" t="s">
        <v>3703</v>
      </c>
      <c r="C904" s="158" t="s">
        <v>2697</v>
      </c>
      <c r="D904" s="210">
        <v>-17.64</v>
      </c>
      <c r="E904" s="179">
        <v>1</v>
      </c>
      <c r="F904" s="236">
        <f>Tabla5109[[#This Row],[Original Amount]]*Tabla5109[[#This Row],[ER to EUR]]</f>
        <v>-17.64</v>
      </c>
      <c r="G904" t="s">
        <v>3940</v>
      </c>
      <c r="H904" s="37" t="s">
        <v>3704</v>
      </c>
      <c r="I904" s="37" t="s">
        <v>2713</v>
      </c>
      <c r="J904" s="9" t="s">
        <v>2713</v>
      </c>
      <c r="K904" s="205" t="s">
        <v>2713</v>
      </c>
      <c r="L904" s="9" t="s">
        <v>2713</v>
      </c>
      <c r="M904" s="32" t="s">
        <v>125</v>
      </c>
      <c r="N904" s="122" t="s">
        <v>2748</v>
      </c>
      <c r="O904" s="129" t="s">
        <v>2748</v>
      </c>
      <c r="P904" s="123" t="str">
        <f t="shared" si="28"/>
        <v>C3-2025</v>
      </c>
      <c r="Q904" s="123" t="str">
        <f t="shared" si="29"/>
        <v>T4-2025</v>
      </c>
      <c r="R904" s="91" t="s">
        <v>2705</v>
      </c>
      <c r="S904" s="124" t="s">
        <v>2706</v>
      </c>
      <c r="T904" s="123" t="s">
        <v>2717</v>
      </c>
      <c r="U904" s="203" t="s">
        <v>2708</v>
      </c>
      <c r="V904" s="203" t="s">
        <v>56</v>
      </c>
      <c r="W904" s="237" t="s">
        <v>125</v>
      </c>
      <c r="X904" s="202" t="s">
        <v>2709</v>
      </c>
    </row>
    <row r="905" spans="1:24" ht="15" hidden="1" customHeight="1">
      <c r="A905" s="161">
        <v>45957</v>
      </c>
      <c r="B905" s="164">
        <v>202510182</v>
      </c>
      <c r="C905" s="38" t="s">
        <v>2697</v>
      </c>
      <c r="D905" s="409">
        <v>-648.54999999999995</v>
      </c>
      <c r="E905" s="159">
        <v>1</v>
      </c>
      <c r="F905" s="236">
        <f>Tabla5109[[#This Row],[Original Amount]]*Tabla5109[[#This Row],[ER to EUR]]</f>
        <v>-648.54999999999995</v>
      </c>
      <c r="G905" s="9" t="s">
        <v>3922</v>
      </c>
      <c r="H905" s="37" t="s">
        <v>3941</v>
      </c>
      <c r="I905" s="37" t="s">
        <v>2727</v>
      </c>
      <c r="J905" s="37" t="s">
        <v>2868</v>
      </c>
      <c r="K905" s="217" t="s">
        <v>2868</v>
      </c>
      <c r="L905" s="37" t="s">
        <v>2729</v>
      </c>
      <c r="M905" s="32" t="s">
        <v>125</v>
      </c>
      <c r="N905" s="158" t="s">
        <v>2704</v>
      </c>
      <c r="O905" s="156" t="s">
        <v>2704</v>
      </c>
      <c r="P905" s="123" t="str">
        <f t="shared" si="28"/>
        <v>C3-2025</v>
      </c>
      <c r="Q905" s="123" t="str">
        <f t="shared" si="29"/>
        <v>T4-2025</v>
      </c>
      <c r="R905" s="171" t="s">
        <v>2705</v>
      </c>
      <c r="S905" s="157" t="s">
        <v>2735</v>
      </c>
      <c r="T905" s="123" t="s">
        <v>2717</v>
      </c>
      <c r="U905" s="162" t="s">
        <v>2708</v>
      </c>
      <c r="V905" s="162" t="s">
        <v>56</v>
      </c>
      <c r="W905" s="237" t="s">
        <v>125</v>
      </c>
      <c r="X905" s="182" t="s">
        <v>2709</v>
      </c>
    </row>
    <row r="906" spans="1:24" ht="15" hidden="1" customHeight="1">
      <c r="A906" s="161">
        <v>45958</v>
      </c>
      <c r="B906" s="177">
        <v>38240284</v>
      </c>
      <c r="C906" s="38" t="s">
        <v>2697</v>
      </c>
      <c r="D906" s="409">
        <v>-2126.5300000000002</v>
      </c>
      <c r="E906" s="159">
        <v>1</v>
      </c>
      <c r="F906" s="236">
        <f>Tabla5109[[#This Row],[Original Amount]]*Tabla5109[[#This Row],[ER to EUR]]</f>
        <v>-2126.5300000000002</v>
      </c>
      <c r="G906" t="s">
        <v>2698</v>
      </c>
      <c r="H906" s="37" t="s">
        <v>3942</v>
      </c>
      <c r="I906" s="37" t="s">
        <v>3836</v>
      </c>
      <c r="J906" s="9" t="s">
        <v>2701</v>
      </c>
      <c r="K906" s="205" t="s">
        <v>2702</v>
      </c>
      <c r="L906" s="9" t="s">
        <v>2703</v>
      </c>
      <c r="M906" s="32" t="s">
        <v>125</v>
      </c>
      <c r="N906" s="122" t="s">
        <v>2704</v>
      </c>
      <c r="O906" s="129" t="s">
        <v>2704</v>
      </c>
      <c r="P906" s="123" t="str">
        <f t="shared" si="28"/>
        <v>C3-2025</v>
      </c>
      <c r="Q906" s="123" t="str">
        <f t="shared" si="29"/>
        <v>T4-2025</v>
      </c>
      <c r="R906" s="124" t="s">
        <v>2705</v>
      </c>
      <c r="S906" s="124" t="s">
        <v>2706</v>
      </c>
      <c r="T906" s="123" t="s">
        <v>2707</v>
      </c>
      <c r="U906" s="162" t="s">
        <v>2708</v>
      </c>
      <c r="V906" s="162" t="s">
        <v>54</v>
      </c>
      <c r="W906" s="237" t="s">
        <v>125</v>
      </c>
      <c r="X906" s="160" t="s">
        <v>2709</v>
      </c>
    </row>
    <row r="907" spans="1:24" ht="15" hidden="1" customHeight="1">
      <c r="A907" s="161">
        <v>45958</v>
      </c>
      <c r="B907" s="167" t="s">
        <v>3943</v>
      </c>
      <c r="C907" s="38" t="s">
        <v>2697</v>
      </c>
      <c r="D907" s="210">
        <v>-25.02</v>
      </c>
      <c r="E907" s="159">
        <v>1</v>
      </c>
      <c r="F907" s="236">
        <f>Tabla5109[[#This Row],[Original Amount]]*Tabla5109[[#This Row],[ER to EUR]]</f>
        <v>-25.02</v>
      </c>
      <c r="G907" t="s">
        <v>2830</v>
      </c>
      <c r="H907" s="37" t="s">
        <v>3944</v>
      </c>
      <c r="I907" s="9" t="s">
        <v>2739</v>
      </c>
      <c r="J907" s="9" t="s">
        <v>2817</v>
      </c>
      <c r="K907" s="205" t="s">
        <v>2702</v>
      </c>
      <c r="L907" s="9" t="s">
        <v>2818</v>
      </c>
      <c r="M907" s="32" t="s">
        <v>125</v>
      </c>
      <c r="N907" s="122" t="s">
        <v>2704</v>
      </c>
      <c r="O907" s="129" t="s">
        <v>2704</v>
      </c>
      <c r="P907" s="123" t="str">
        <f t="shared" si="28"/>
        <v>C3-2025</v>
      </c>
      <c r="Q907" s="123" t="str">
        <f t="shared" si="29"/>
        <v>T4-2025</v>
      </c>
      <c r="R907" s="124" t="s">
        <v>2722</v>
      </c>
      <c r="S907" s="123" t="s">
        <v>2723</v>
      </c>
      <c r="T907" s="123" t="s">
        <v>2724</v>
      </c>
      <c r="U907" s="162" t="s">
        <v>2708</v>
      </c>
      <c r="V907" s="162" t="s">
        <v>54</v>
      </c>
      <c r="W907" s="237" t="s">
        <v>125</v>
      </c>
      <c r="X907" s="173" t="s">
        <v>2709</v>
      </c>
    </row>
    <row r="908" spans="1:24" ht="15" hidden="1" customHeight="1">
      <c r="A908" s="161">
        <v>45959</v>
      </c>
      <c r="B908" s="167" t="s">
        <v>3945</v>
      </c>
      <c r="C908" s="38" t="s">
        <v>2697</v>
      </c>
      <c r="D908" s="210">
        <v>-62.49</v>
      </c>
      <c r="E908" s="159">
        <v>1</v>
      </c>
      <c r="F908" s="236">
        <f>Tabla5109[[#This Row],[Original Amount]]*Tabla5109[[#This Row],[ER to EUR]]</f>
        <v>-62.49</v>
      </c>
      <c r="G908" t="s">
        <v>2956</v>
      </c>
      <c r="H908" s="180" t="s">
        <v>3214</v>
      </c>
      <c r="I908" s="37" t="s">
        <v>2739</v>
      </c>
      <c r="J908" s="37" t="s">
        <v>2701</v>
      </c>
      <c r="K908" s="217" t="s">
        <v>2702</v>
      </c>
      <c r="L908" s="37" t="s">
        <v>2740</v>
      </c>
      <c r="M908" s="32" t="s">
        <v>125</v>
      </c>
      <c r="N908" s="158" t="s">
        <v>2704</v>
      </c>
      <c r="O908" s="156" t="s">
        <v>2704</v>
      </c>
      <c r="P908" s="123" t="str">
        <f t="shared" si="28"/>
        <v>C3-2025</v>
      </c>
      <c r="Q908" s="123" t="str">
        <f t="shared" si="29"/>
        <v>T4-2025</v>
      </c>
      <c r="R908" s="160" t="s">
        <v>2705</v>
      </c>
      <c r="S908" s="124" t="s">
        <v>2706</v>
      </c>
      <c r="T908" s="123" t="s">
        <v>2724</v>
      </c>
      <c r="U908" s="162" t="s">
        <v>2708</v>
      </c>
      <c r="V908" s="162" t="s">
        <v>54</v>
      </c>
      <c r="W908" s="237" t="s">
        <v>125</v>
      </c>
      <c r="X908" s="202" t="s">
        <v>2709</v>
      </c>
    </row>
    <row r="909" spans="1:24" ht="15" hidden="1" customHeight="1">
      <c r="A909" s="161">
        <v>45959</v>
      </c>
      <c r="B909" s="164">
        <v>323023</v>
      </c>
      <c r="C909" s="38" t="s">
        <v>2697</v>
      </c>
      <c r="D909" s="210">
        <v>-11</v>
      </c>
      <c r="E909" s="159">
        <v>1</v>
      </c>
      <c r="F909" s="121">
        <f>Tabla5109[[#This Row],[Original Amount]]*Tabla5109[[#This Row],[ER to EUR]]</f>
        <v>-11</v>
      </c>
      <c r="G909" t="s">
        <v>3690</v>
      </c>
      <c r="H909" s="37" t="s">
        <v>3708</v>
      </c>
      <c r="I909" s="37" t="s">
        <v>3692</v>
      </c>
      <c r="J909" s="37" t="s">
        <v>2701</v>
      </c>
      <c r="K909" s="217" t="s">
        <v>2702</v>
      </c>
      <c r="L909" s="37" t="s">
        <v>3693</v>
      </c>
      <c r="M909" s="32" t="s">
        <v>125</v>
      </c>
      <c r="N909" s="156" t="s">
        <v>2704</v>
      </c>
      <c r="O909" s="158" t="s">
        <v>2704</v>
      </c>
      <c r="P909" s="123" t="str">
        <f t="shared" si="28"/>
        <v>C3-2025</v>
      </c>
      <c r="Q909" s="123" t="str">
        <f t="shared" si="29"/>
        <v>T4-2025</v>
      </c>
      <c r="R909" s="124" t="s">
        <v>2705</v>
      </c>
      <c r="S909" s="157" t="s">
        <v>2735</v>
      </c>
      <c r="T909" s="123" t="s">
        <v>2724</v>
      </c>
      <c r="U909" s="162" t="s">
        <v>2708</v>
      </c>
      <c r="V909" s="162" t="s">
        <v>54</v>
      </c>
      <c r="W909" s="237" t="s">
        <v>125</v>
      </c>
      <c r="X909" s="202" t="s">
        <v>2709</v>
      </c>
    </row>
    <row r="910" spans="1:24" ht="15" hidden="1" customHeight="1">
      <c r="A910" s="161">
        <v>45959</v>
      </c>
      <c r="B910" s="167" t="s">
        <v>4451</v>
      </c>
      <c r="C910" s="38" t="s">
        <v>2548</v>
      </c>
      <c r="D910" s="136">
        <v>-228</v>
      </c>
      <c r="E910" s="223">
        <v>0.85199999999999998</v>
      </c>
      <c r="F910" s="236">
        <f>Tabla5109[[#This Row],[Original Amount]]*Tabla5109[[#This Row],[ER to EUR]]</f>
        <v>-194.256</v>
      </c>
      <c r="G910" s="37" t="s">
        <v>4136</v>
      </c>
      <c r="H910" s="37" t="s">
        <v>4452</v>
      </c>
      <c r="I910" s="37" t="s">
        <v>2713</v>
      </c>
      <c r="J910" s="37" t="s">
        <v>2701</v>
      </c>
      <c r="K910" s="217" t="s">
        <v>2702</v>
      </c>
      <c r="L910" s="212" t="s">
        <v>4138</v>
      </c>
      <c r="M910" s="32" t="s">
        <v>125</v>
      </c>
      <c r="N910" s="158" t="s">
        <v>2704</v>
      </c>
      <c r="O910" s="156" t="s">
        <v>2704</v>
      </c>
      <c r="P910" s="123" t="str">
        <f t="shared" si="28"/>
        <v>C3-2025</v>
      </c>
      <c r="Q910" s="123" t="str">
        <f t="shared" si="29"/>
        <v>T4-2025</v>
      </c>
      <c r="R910" s="91" t="s">
        <v>2705</v>
      </c>
      <c r="S910" s="160" t="s">
        <v>4206</v>
      </c>
      <c r="T910" s="123" t="s">
        <v>2724</v>
      </c>
      <c r="U910" s="162" t="s">
        <v>2708</v>
      </c>
      <c r="V910" s="162" t="s">
        <v>55</v>
      </c>
      <c r="W910" s="237" t="s">
        <v>125</v>
      </c>
      <c r="X910" s="202" t="s">
        <v>2709</v>
      </c>
    </row>
    <row r="911" spans="1:24" ht="15" hidden="1" customHeight="1">
      <c r="A911" s="161">
        <v>45960</v>
      </c>
      <c r="B911" s="133" t="s">
        <v>3946</v>
      </c>
      <c r="C911" s="32" t="s">
        <v>2548</v>
      </c>
      <c r="D911" s="136">
        <v>-248.14</v>
      </c>
      <c r="E911" s="221">
        <v>0.85200647524921191</v>
      </c>
      <c r="F911" s="236">
        <f>Tabla5109[[#This Row],[Original Amount]]*Tabla5109[[#This Row],[ER to EUR]]</f>
        <v>-211.41688676833942</v>
      </c>
      <c r="G911" s="9" t="s">
        <v>2766</v>
      </c>
      <c r="H911" s="9" t="s">
        <v>4308</v>
      </c>
      <c r="I911" s="37" t="s">
        <v>2713</v>
      </c>
      <c r="J911" s="9" t="s">
        <v>2701</v>
      </c>
      <c r="K911" s="205" t="s">
        <v>2702</v>
      </c>
      <c r="L911" s="9" t="s">
        <v>2760</v>
      </c>
      <c r="M911" s="32" t="s">
        <v>125</v>
      </c>
      <c r="N911" s="158" t="s">
        <v>2704</v>
      </c>
      <c r="O911" s="158" t="s">
        <v>2704</v>
      </c>
      <c r="P911" s="123" t="str">
        <f t="shared" si="28"/>
        <v>C3-2025</v>
      </c>
      <c r="Q911" s="123" t="str">
        <f t="shared" si="29"/>
        <v>T4-2025</v>
      </c>
      <c r="R911" s="124" t="s">
        <v>2705</v>
      </c>
      <c r="S911" s="123" t="s">
        <v>2735</v>
      </c>
      <c r="T911" s="123" t="s">
        <v>2724</v>
      </c>
      <c r="U911" s="162" t="s">
        <v>2708</v>
      </c>
      <c r="V911" s="162" t="s">
        <v>55</v>
      </c>
      <c r="W911" s="237" t="s">
        <v>125</v>
      </c>
      <c r="X911" s="173" t="s">
        <v>2709</v>
      </c>
    </row>
    <row r="912" spans="1:24" ht="15" hidden="1" customHeight="1">
      <c r="A912" s="161">
        <v>45961</v>
      </c>
      <c r="B912" s="195" t="s">
        <v>2871</v>
      </c>
      <c r="C912" s="38" t="s">
        <v>2543</v>
      </c>
      <c r="D912" s="152">
        <v>-1535766</v>
      </c>
      <c r="E912" s="159">
        <v>8.8599999999999996E-4</v>
      </c>
      <c r="F912" s="236">
        <f>Tabla5109[[#This Row],[Original Amount]]*Tabla5109[[#This Row],[ER to EUR]]</f>
        <v>-1360.688676</v>
      </c>
      <c r="G912" s="171" t="s">
        <v>2872</v>
      </c>
      <c r="H912" s="171" t="s">
        <v>3947</v>
      </c>
      <c r="I912" s="37" t="s">
        <v>2713</v>
      </c>
      <c r="J912" s="37" t="s">
        <v>2770</v>
      </c>
      <c r="K912" s="217" t="s">
        <v>2874</v>
      </c>
      <c r="L912" s="37" t="s">
        <v>2875</v>
      </c>
      <c r="M912" s="227" t="s">
        <v>2704</v>
      </c>
      <c r="N912" s="158" t="s">
        <v>2748</v>
      </c>
      <c r="O912" s="156" t="s">
        <v>2748</v>
      </c>
      <c r="P912" s="123" t="str">
        <f t="shared" si="28"/>
        <v>C3-2025</v>
      </c>
      <c r="Q912" s="123" t="str">
        <f t="shared" si="29"/>
        <v>T4-2025</v>
      </c>
      <c r="R912" s="171" t="s">
        <v>2749</v>
      </c>
      <c r="S912" s="123" t="s">
        <v>2750</v>
      </c>
      <c r="T912" s="123" t="s">
        <v>2724</v>
      </c>
      <c r="U912" s="162" t="s">
        <v>2708</v>
      </c>
      <c r="V912" s="162" t="s">
        <v>54</v>
      </c>
      <c r="W912" s="237" t="s">
        <v>125</v>
      </c>
      <c r="X912" s="202" t="s">
        <v>2751</v>
      </c>
    </row>
    <row r="913" spans="1:24" ht="15" hidden="1" customHeight="1">
      <c r="A913" s="161">
        <v>45961</v>
      </c>
      <c r="B913" s="195" t="s">
        <v>2871</v>
      </c>
      <c r="C913" s="38" t="s">
        <v>2543</v>
      </c>
      <c r="D913" s="242">
        <v>-7153721</v>
      </c>
      <c r="E913" s="159">
        <v>8.8599999999999996E-4</v>
      </c>
      <c r="F913" s="236">
        <f>Tabla5109[[#This Row],[Original Amount]]*Tabla5109[[#This Row],[ER to EUR]]</f>
        <v>-6338.1968059999999</v>
      </c>
      <c r="G913" s="37" t="s">
        <v>2876</v>
      </c>
      <c r="H913" s="171" t="s">
        <v>3947</v>
      </c>
      <c r="I913" s="37" t="s">
        <v>2713</v>
      </c>
      <c r="J913" s="37" t="s">
        <v>2770</v>
      </c>
      <c r="K913" s="217" t="s">
        <v>2874</v>
      </c>
      <c r="L913" s="37" t="s">
        <v>2875</v>
      </c>
      <c r="M913" s="227" t="s">
        <v>2704</v>
      </c>
      <c r="N913" s="158" t="s">
        <v>2748</v>
      </c>
      <c r="O913" s="156" t="s">
        <v>2748</v>
      </c>
      <c r="P913" s="123" t="str">
        <f t="shared" si="28"/>
        <v>C3-2025</v>
      </c>
      <c r="Q913" s="123" t="str">
        <f t="shared" si="29"/>
        <v>T4-2025</v>
      </c>
      <c r="R913" s="171" t="s">
        <v>2749</v>
      </c>
      <c r="S913" s="157" t="s">
        <v>2750</v>
      </c>
      <c r="T913" s="123" t="s">
        <v>2724</v>
      </c>
      <c r="U913" s="162" t="s">
        <v>2708</v>
      </c>
      <c r="V913" s="162" t="s">
        <v>56</v>
      </c>
      <c r="W913" s="237" t="s">
        <v>125</v>
      </c>
      <c r="X913" s="202" t="s">
        <v>2751</v>
      </c>
    </row>
    <row r="914" spans="1:24" ht="15" hidden="1" customHeight="1">
      <c r="A914" s="161">
        <v>45961</v>
      </c>
      <c r="B914" s="195" t="s">
        <v>2871</v>
      </c>
      <c r="C914" s="38" t="s">
        <v>2543</v>
      </c>
      <c r="D914" s="152">
        <v>-6781135</v>
      </c>
      <c r="E914" s="159">
        <v>8.8599999999999996E-4</v>
      </c>
      <c r="F914" s="236">
        <f>Tabla5109[[#This Row],[Original Amount]]*Tabla5109[[#This Row],[ER to EUR]]</f>
        <v>-6008.0856100000001</v>
      </c>
      <c r="G914" s="37" t="s">
        <v>3257</v>
      </c>
      <c r="H914" s="171" t="s">
        <v>3947</v>
      </c>
      <c r="I914" s="37" t="s">
        <v>2713</v>
      </c>
      <c r="J914" s="37" t="s">
        <v>2770</v>
      </c>
      <c r="K914" s="217" t="s">
        <v>2874</v>
      </c>
      <c r="L914" s="37" t="s">
        <v>2875</v>
      </c>
      <c r="M914" s="227" t="s">
        <v>2704</v>
      </c>
      <c r="N914" s="158" t="s">
        <v>2748</v>
      </c>
      <c r="O914" s="156" t="s">
        <v>2748</v>
      </c>
      <c r="P914" s="123" t="str">
        <f t="shared" si="28"/>
        <v>C3-2025</v>
      </c>
      <c r="Q914" s="123" t="str">
        <f t="shared" si="29"/>
        <v>T4-2025</v>
      </c>
      <c r="R914" s="171" t="s">
        <v>2749</v>
      </c>
      <c r="S914" s="157" t="s">
        <v>2750</v>
      </c>
      <c r="T914" s="123" t="s">
        <v>2717</v>
      </c>
      <c r="U914" s="162" t="s">
        <v>2708</v>
      </c>
      <c r="V914" s="162" t="s">
        <v>54</v>
      </c>
      <c r="W914" s="237" t="s">
        <v>125</v>
      </c>
      <c r="X914" s="202" t="s">
        <v>2751</v>
      </c>
    </row>
    <row r="915" spans="1:24" ht="15" hidden="1" customHeight="1">
      <c r="A915" s="161">
        <v>45961</v>
      </c>
      <c r="B915" s="195" t="s">
        <v>2871</v>
      </c>
      <c r="C915" s="38" t="s">
        <v>2543</v>
      </c>
      <c r="D915" s="152">
        <v>-6190480</v>
      </c>
      <c r="E915" s="159">
        <v>8.8599999999999996E-4</v>
      </c>
      <c r="F915" s="236">
        <f>Tabla5109[[#This Row],[Original Amount]]*Tabla5109[[#This Row],[ER to EUR]]</f>
        <v>-5484.7652799999996</v>
      </c>
      <c r="G915" s="37" t="s">
        <v>3436</v>
      </c>
      <c r="H915" s="171" t="s">
        <v>3947</v>
      </c>
      <c r="I915" s="37" t="s">
        <v>2713</v>
      </c>
      <c r="J915" s="37" t="s">
        <v>2770</v>
      </c>
      <c r="K915" s="217" t="s">
        <v>2874</v>
      </c>
      <c r="L915" s="37" t="s">
        <v>2875</v>
      </c>
      <c r="M915" s="227" t="s">
        <v>2704</v>
      </c>
      <c r="N915" s="158" t="s">
        <v>2748</v>
      </c>
      <c r="O915" s="156" t="s">
        <v>2748</v>
      </c>
      <c r="P915" s="123" t="str">
        <f t="shared" si="28"/>
        <v>C3-2025</v>
      </c>
      <c r="Q915" s="123" t="str">
        <f t="shared" si="29"/>
        <v>T4-2025</v>
      </c>
      <c r="R915" s="171" t="s">
        <v>2749</v>
      </c>
      <c r="S915" s="157" t="s">
        <v>2750</v>
      </c>
      <c r="T915" s="157" t="s">
        <v>2724</v>
      </c>
      <c r="U915" s="165" t="s">
        <v>2708</v>
      </c>
      <c r="V915" s="165" t="s">
        <v>57</v>
      </c>
      <c r="W915" s="237" t="s">
        <v>125</v>
      </c>
      <c r="X915" s="202" t="s">
        <v>2751</v>
      </c>
    </row>
    <row r="916" spans="1:24" ht="15" hidden="1" customHeight="1">
      <c r="A916" s="161">
        <v>45961</v>
      </c>
      <c r="B916" s="195" t="s">
        <v>2871</v>
      </c>
      <c r="C916" s="38" t="s">
        <v>2543</v>
      </c>
      <c r="D916" s="242">
        <v>-1912455</v>
      </c>
      <c r="E916" s="159">
        <v>8.8599999999999996E-4</v>
      </c>
      <c r="F916" s="236">
        <f>Tabla5109[[#This Row],[Original Amount]]*Tabla5109[[#This Row],[ER to EUR]]</f>
        <v>-1694.4351299999998</v>
      </c>
      <c r="G916" s="37" t="s">
        <v>2877</v>
      </c>
      <c r="H916" s="171" t="s">
        <v>3947</v>
      </c>
      <c r="I916" s="37" t="s">
        <v>2713</v>
      </c>
      <c r="J916" s="37" t="s">
        <v>2770</v>
      </c>
      <c r="K916" s="217" t="s">
        <v>2874</v>
      </c>
      <c r="L916" s="37" t="s">
        <v>2875</v>
      </c>
      <c r="M916" s="227" t="s">
        <v>2704</v>
      </c>
      <c r="N916" s="158" t="s">
        <v>2748</v>
      </c>
      <c r="O916" s="156" t="s">
        <v>2748</v>
      </c>
      <c r="P916" s="123" t="str">
        <f t="shared" si="28"/>
        <v>C3-2025</v>
      </c>
      <c r="Q916" s="123" t="str">
        <f t="shared" si="29"/>
        <v>T4-2025</v>
      </c>
      <c r="R916" s="171" t="s">
        <v>2749</v>
      </c>
      <c r="S916" s="157" t="s">
        <v>2750</v>
      </c>
      <c r="T916" s="157" t="s">
        <v>2724</v>
      </c>
      <c r="U916" s="165" t="s">
        <v>2708</v>
      </c>
      <c r="V916" s="165" t="s">
        <v>54</v>
      </c>
      <c r="W916" s="237" t="s">
        <v>125</v>
      </c>
      <c r="X916" s="202" t="s">
        <v>2751</v>
      </c>
    </row>
    <row r="917" spans="1:24" ht="15" hidden="1" customHeight="1">
      <c r="A917" s="161">
        <v>45961</v>
      </c>
      <c r="B917" s="195" t="s">
        <v>2871</v>
      </c>
      <c r="C917" s="38" t="s">
        <v>2697</v>
      </c>
      <c r="D917" s="409">
        <v>-8500</v>
      </c>
      <c r="E917" s="159">
        <v>1</v>
      </c>
      <c r="F917" s="236">
        <f>Tabla5109[[#This Row],[Original Amount]]*Tabla5109[[#This Row],[ER to EUR]]</f>
        <v>-8500</v>
      </c>
      <c r="G917" s="37" t="s">
        <v>3717</v>
      </c>
      <c r="H917" s="171" t="s">
        <v>3948</v>
      </c>
      <c r="I917" s="37" t="s">
        <v>2713</v>
      </c>
      <c r="J917" s="37" t="s">
        <v>2770</v>
      </c>
      <c r="K917" s="217" t="s">
        <v>2874</v>
      </c>
      <c r="L917" s="37" t="s">
        <v>2875</v>
      </c>
      <c r="M917" s="32" t="s">
        <v>125</v>
      </c>
      <c r="N917" s="158" t="s">
        <v>2748</v>
      </c>
      <c r="O917" s="156" t="s">
        <v>2748</v>
      </c>
      <c r="P917" s="123" t="str">
        <f t="shared" si="28"/>
        <v>C3-2025</v>
      </c>
      <c r="Q917" s="123" t="str">
        <f t="shared" si="29"/>
        <v>T4-2025</v>
      </c>
      <c r="R917" s="171" t="s">
        <v>2705</v>
      </c>
      <c r="S917" s="124" t="s">
        <v>2706</v>
      </c>
      <c r="T917" s="123" t="s">
        <v>2717</v>
      </c>
      <c r="U917" s="162" t="s">
        <v>2708</v>
      </c>
      <c r="V917" s="162" t="s">
        <v>56</v>
      </c>
      <c r="W917" s="237" t="s">
        <v>125</v>
      </c>
      <c r="X917" s="182" t="s">
        <v>2709</v>
      </c>
    </row>
    <row r="918" spans="1:24" ht="15" hidden="1" customHeight="1">
      <c r="A918" s="161">
        <v>45961</v>
      </c>
      <c r="B918" s="195" t="s">
        <v>2871</v>
      </c>
      <c r="C918" s="38" t="s">
        <v>2697</v>
      </c>
      <c r="D918" s="409">
        <v>-5679.43</v>
      </c>
      <c r="E918" s="159">
        <v>1</v>
      </c>
      <c r="F918" s="236">
        <f>Tabla5109[[#This Row],[Original Amount]]*Tabla5109[[#This Row],[ER to EUR]]</f>
        <v>-5679.43</v>
      </c>
      <c r="G918" s="37" t="s">
        <v>3257</v>
      </c>
      <c r="H918" s="171" t="s">
        <v>3948</v>
      </c>
      <c r="I918" s="37" t="s">
        <v>2713</v>
      </c>
      <c r="J918" s="37" t="s">
        <v>2770</v>
      </c>
      <c r="K918" s="217" t="s">
        <v>2874</v>
      </c>
      <c r="L918" s="37" t="s">
        <v>2875</v>
      </c>
      <c r="M918" s="32" t="s">
        <v>125</v>
      </c>
      <c r="N918" s="158" t="s">
        <v>2748</v>
      </c>
      <c r="O918" s="156" t="s">
        <v>2748</v>
      </c>
      <c r="P918" s="123" t="str">
        <f t="shared" si="28"/>
        <v>C3-2025</v>
      </c>
      <c r="Q918" s="123" t="str">
        <f t="shared" si="29"/>
        <v>T4-2025</v>
      </c>
      <c r="R918" s="171" t="s">
        <v>2705</v>
      </c>
      <c r="S918" s="160" t="s">
        <v>2706</v>
      </c>
      <c r="T918" s="123" t="s">
        <v>2717</v>
      </c>
      <c r="U918" s="162" t="s">
        <v>2708</v>
      </c>
      <c r="V918" s="162" t="s">
        <v>54</v>
      </c>
      <c r="W918" s="237" t="s">
        <v>125</v>
      </c>
      <c r="X918" s="182" t="s">
        <v>2709</v>
      </c>
    </row>
    <row r="919" spans="1:24" ht="15" hidden="1" customHeight="1">
      <c r="A919" s="161">
        <v>45961</v>
      </c>
      <c r="B919" s="195" t="s">
        <v>2871</v>
      </c>
      <c r="C919" s="38" t="s">
        <v>2697</v>
      </c>
      <c r="D919" s="409">
        <v>-11663.17</v>
      </c>
      <c r="E919" s="159">
        <v>1</v>
      </c>
      <c r="F919" s="236">
        <f>Tabla5109[[#This Row],[Original Amount]]*Tabla5109[[#This Row],[ER to EUR]]</f>
        <v>-11663.17</v>
      </c>
      <c r="G919" s="37" t="s">
        <v>3844</v>
      </c>
      <c r="H919" s="171" t="s">
        <v>3948</v>
      </c>
      <c r="I919" s="171" t="s">
        <v>2713</v>
      </c>
      <c r="J919" s="171" t="s">
        <v>2770</v>
      </c>
      <c r="K919" s="411" t="s">
        <v>2874</v>
      </c>
      <c r="L919" s="171" t="s">
        <v>2875</v>
      </c>
      <c r="M919" s="232" t="s">
        <v>125</v>
      </c>
      <c r="N919" s="156" t="s">
        <v>2748</v>
      </c>
      <c r="O919" s="156" t="s">
        <v>2748</v>
      </c>
      <c r="P919" s="123" t="str">
        <f t="shared" si="28"/>
        <v>C3-2025</v>
      </c>
      <c r="Q919" s="123" t="str">
        <f t="shared" si="29"/>
        <v>T4-2025</v>
      </c>
      <c r="R919" s="171" t="s">
        <v>2705</v>
      </c>
      <c r="S919" s="160" t="s">
        <v>2706</v>
      </c>
      <c r="T919" s="123" t="s">
        <v>2717</v>
      </c>
      <c r="U919" s="162" t="s">
        <v>2708</v>
      </c>
      <c r="V919" s="162" t="s">
        <v>56</v>
      </c>
      <c r="W919" s="237" t="s">
        <v>125</v>
      </c>
      <c r="X919" s="182" t="s">
        <v>2709</v>
      </c>
    </row>
    <row r="920" spans="1:24" ht="15" hidden="1" customHeight="1">
      <c r="A920" s="161">
        <v>45961</v>
      </c>
      <c r="B920" s="505">
        <v>5404298365</v>
      </c>
      <c r="C920" s="158" t="s">
        <v>2697</v>
      </c>
      <c r="D920" s="210">
        <v>-136.68</v>
      </c>
      <c r="E920" s="159">
        <v>1</v>
      </c>
      <c r="F920" s="236">
        <f>Tabla5109[[#This Row],[Original Amount]]*Tabla5109[[#This Row],[ER to EUR]]</f>
        <v>-136.68</v>
      </c>
      <c r="G920" s="37" t="s">
        <v>3035</v>
      </c>
      <c r="H920" s="37" t="s">
        <v>3949</v>
      </c>
      <c r="I920" s="37" t="s">
        <v>2784</v>
      </c>
      <c r="J920" s="37" t="s">
        <v>2723</v>
      </c>
      <c r="K920" s="217" t="s">
        <v>2792</v>
      </c>
      <c r="L920" s="37" t="s">
        <v>2793</v>
      </c>
      <c r="M920" s="32" t="s">
        <v>125</v>
      </c>
      <c r="N920" s="156" t="s">
        <v>2704</v>
      </c>
      <c r="O920" s="158" t="s">
        <v>2704</v>
      </c>
      <c r="P920" s="123" t="str">
        <f t="shared" si="28"/>
        <v>C3-2025</v>
      </c>
      <c r="Q920" s="123" t="str">
        <f t="shared" si="29"/>
        <v>T4-2025</v>
      </c>
      <c r="R920" s="160" t="s">
        <v>2741</v>
      </c>
      <c r="S920" s="123" t="s">
        <v>2723</v>
      </c>
      <c r="T920" s="157" t="s">
        <v>2707</v>
      </c>
      <c r="U920" s="162" t="s">
        <v>2708</v>
      </c>
      <c r="V920" s="165" t="s">
        <v>54</v>
      </c>
      <c r="W920" s="237" t="s">
        <v>125</v>
      </c>
      <c r="X920" s="202" t="s">
        <v>2709</v>
      </c>
    </row>
    <row r="921" spans="1:24" ht="15" hidden="1" customHeight="1">
      <c r="A921" s="161">
        <v>45962</v>
      </c>
      <c r="B921" s="164">
        <v>202500001616</v>
      </c>
      <c r="C921" s="38" t="s">
        <v>2697</v>
      </c>
      <c r="D921" s="126">
        <v>-313.20999999999998</v>
      </c>
      <c r="E921" s="159">
        <v>1</v>
      </c>
      <c r="F921" s="235">
        <f>Tabla5109[[#This Row],[Original Amount]]*Tabla5109[[#This Row],[ER to EUR]]</f>
        <v>-313.20999999999998</v>
      </c>
      <c r="G921" s="37" t="s">
        <v>2796</v>
      </c>
      <c r="H921" s="180" t="s">
        <v>2797</v>
      </c>
      <c r="I921" s="37" t="s">
        <v>2727</v>
      </c>
      <c r="J921" s="37" t="s">
        <v>2714</v>
      </c>
      <c r="K921" s="217" t="s">
        <v>2798</v>
      </c>
      <c r="L921" s="37" t="s">
        <v>2799</v>
      </c>
      <c r="M921" s="32" t="s">
        <v>125</v>
      </c>
      <c r="N921" s="158" t="s">
        <v>2704</v>
      </c>
      <c r="O921" s="156" t="s">
        <v>2704</v>
      </c>
      <c r="P921" s="123" t="str">
        <f t="shared" si="28"/>
        <v>C3-2025</v>
      </c>
      <c r="Q921" s="123" t="str">
        <f t="shared" si="29"/>
        <v>T4-2025</v>
      </c>
      <c r="R921" s="160" t="s">
        <v>2705</v>
      </c>
      <c r="S921" s="124" t="s">
        <v>2706</v>
      </c>
      <c r="T921" s="123" t="s">
        <v>2724</v>
      </c>
      <c r="U921" s="162" t="s">
        <v>2708</v>
      </c>
      <c r="V921" s="162" t="s">
        <v>56</v>
      </c>
      <c r="W921" s="237" t="s">
        <v>125</v>
      </c>
      <c r="X921" s="202" t="s">
        <v>2709</v>
      </c>
    </row>
    <row r="922" spans="1:24" ht="15" hidden="1" customHeight="1">
      <c r="A922" s="161">
        <v>45962</v>
      </c>
      <c r="B922" s="177">
        <v>248935402</v>
      </c>
      <c r="C922" s="38" t="s">
        <v>2697</v>
      </c>
      <c r="D922" s="239">
        <v>-17808.25</v>
      </c>
      <c r="E922" s="159">
        <v>1</v>
      </c>
      <c r="F922" s="235">
        <f>Tabla5109[[#This Row],[Original Amount]]*Tabla5109[[#This Row],[ER to EUR]]</f>
        <v>-17808.25</v>
      </c>
      <c r="G922" s="37" t="s">
        <v>2884</v>
      </c>
      <c r="H922" s="180" t="s">
        <v>2885</v>
      </c>
      <c r="I922" s="37" t="s">
        <v>2727</v>
      </c>
      <c r="J922" s="37" t="s">
        <v>2723</v>
      </c>
      <c r="K922" s="217" t="s">
        <v>2792</v>
      </c>
      <c r="L922" s="37" t="s">
        <v>2793</v>
      </c>
      <c r="M922" s="32" t="s">
        <v>125</v>
      </c>
      <c r="N922" s="156" t="s">
        <v>2704</v>
      </c>
      <c r="O922" s="158" t="s">
        <v>2704</v>
      </c>
      <c r="P922" s="123" t="str">
        <f t="shared" si="28"/>
        <v>C3-2025</v>
      </c>
      <c r="Q922" s="123" t="str">
        <f t="shared" si="29"/>
        <v>T4-2025</v>
      </c>
      <c r="R922" s="160" t="s">
        <v>2741</v>
      </c>
      <c r="S922" s="157" t="s">
        <v>2723</v>
      </c>
      <c r="T922" s="123" t="s">
        <v>2707</v>
      </c>
      <c r="U922" s="162" t="s">
        <v>2708</v>
      </c>
      <c r="V922" s="162" t="s">
        <v>54</v>
      </c>
      <c r="W922" s="237" t="s">
        <v>125</v>
      </c>
      <c r="X922" s="202" t="s">
        <v>2709</v>
      </c>
    </row>
    <row r="923" spans="1:24" ht="15" hidden="1" customHeight="1">
      <c r="A923" s="161">
        <v>45962</v>
      </c>
      <c r="B923" s="164">
        <v>12</v>
      </c>
      <c r="C923" s="38" t="s">
        <v>2543</v>
      </c>
      <c r="D923" s="147">
        <v>-935700</v>
      </c>
      <c r="E923" s="179">
        <v>9.1500000000000001E-4</v>
      </c>
      <c r="F923" s="127">
        <f>Tabla5109[[#This Row],[Original Amount]]*Tabla5109[[#This Row],[ER to EUR]]</f>
        <v>-856.16550000000007</v>
      </c>
      <c r="G923" s="9" t="s">
        <v>3566</v>
      </c>
      <c r="H923" s="9" t="s">
        <v>3950</v>
      </c>
      <c r="I923" s="9" t="s">
        <v>2713</v>
      </c>
      <c r="J923" s="9" t="s">
        <v>2714</v>
      </c>
      <c r="K923" s="205" t="s">
        <v>2747</v>
      </c>
      <c r="L923" s="9" t="s">
        <v>2864</v>
      </c>
      <c r="M923" s="226" t="s">
        <v>2748</v>
      </c>
      <c r="N923" s="156" t="s">
        <v>2704</v>
      </c>
      <c r="O923" s="158" t="s">
        <v>2704</v>
      </c>
      <c r="P923" s="123" t="str">
        <f t="shared" si="28"/>
        <v>C3-2025</v>
      </c>
      <c r="Q923" s="123" t="str">
        <f t="shared" si="29"/>
        <v>T4-2025</v>
      </c>
      <c r="R923" s="160" t="s">
        <v>2705</v>
      </c>
      <c r="S923" s="124" t="s">
        <v>2706</v>
      </c>
      <c r="T923" s="123" t="s">
        <v>2724</v>
      </c>
      <c r="U923" s="162" t="s">
        <v>2708</v>
      </c>
      <c r="V923" s="162" t="s">
        <v>56</v>
      </c>
      <c r="W923" s="237" t="s">
        <v>125</v>
      </c>
      <c r="X923" s="173" t="s">
        <v>2709</v>
      </c>
    </row>
    <row r="924" spans="1:24" ht="15" hidden="1" customHeight="1">
      <c r="A924" s="161">
        <v>45992</v>
      </c>
      <c r="B924" s="192" t="s">
        <v>6572</v>
      </c>
      <c r="C924" s="38" t="s">
        <v>2697</v>
      </c>
      <c r="D924" s="725">
        <v>-2027.26</v>
      </c>
      <c r="E924" s="159">
        <v>1</v>
      </c>
      <c r="F924" s="127">
        <f>Tabla5109[[#This Row],[Original Amount]]*Tabla5109[[#This Row],[ER to EUR]]</f>
        <v>-2027.26</v>
      </c>
      <c r="G924" s="37" t="s">
        <v>3692</v>
      </c>
      <c r="H924" s="37" t="s">
        <v>6576</v>
      </c>
      <c r="I924" s="37" t="s">
        <v>2713</v>
      </c>
      <c r="J924" s="37" t="s">
        <v>2701</v>
      </c>
      <c r="K924" s="217" t="s">
        <v>2702</v>
      </c>
      <c r="L924" s="37" t="s">
        <v>6577</v>
      </c>
      <c r="M924" s="227" t="s">
        <v>125</v>
      </c>
      <c r="N924" s="158" t="s">
        <v>2748</v>
      </c>
      <c r="O924" s="156" t="s">
        <v>2748</v>
      </c>
      <c r="P924" s="123" t="str">
        <f t="shared" si="28"/>
        <v>C3-2025</v>
      </c>
      <c r="Q924" s="123" t="str">
        <f t="shared" si="29"/>
        <v>T4-2025</v>
      </c>
      <c r="R924" s="171" t="s">
        <v>6009</v>
      </c>
      <c r="S924" s="123" t="s">
        <v>2750</v>
      </c>
      <c r="T924" s="157" t="s">
        <v>2724</v>
      </c>
      <c r="U924" s="165" t="s">
        <v>2708</v>
      </c>
      <c r="V924" s="165" t="s">
        <v>56</v>
      </c>
      <c r="W924" s="237" t="s">
        <v>125</v>
      </c>
      <c r="X924" s="182" t="s">
        <v>2709</v>
      </c>
    </row>
    <row r="925" spans="1:24" ht="15" hidden="1" customHeight="1">
      <c r="A925" s="161">
        <v>45964</v>
      </c>
      <c r="B925" s="405">
        <v>16051760</v>
      </c>
      <c r="C925" s="38" t="s">
        <v>2548</v>
      </c>
      <c r="D925" s="151">
        <v>-180</v>
      </c>
      <c r="E925" s="223">
        <v>0.86214299999999999</v>
      </c>
      <c r="F925" s="127">
        <f>Tabla5109[[#This Row],[Original Amount]]*Tabla5109[[#This Row],[ER to EUR]]</f>
        <v>-155.18574000000001</v>
      </c>
      <c r="G925" t="s">
        <v>2737</v>
      </c>
      <c r="H925" s="37" t="s">
        <v>3851</v>
      </c>
      <c r="I925" s="37" t="s">
        <v>2755</v>
      </c>
      <c r="J925" s="37" t="s">
        <v>2701</v>
      </c>
      <c r="K925" s="217" t="s">
        <v>2702</v>
      </c>
      <c r="L925" s="37" t="s">
        <v>2740</v>
      </c>
      <c r="M925" s="32" t="s">
        <v>125</v>
      </c>
      <c r="N925" s="156" t="s">
        <v>2704</v>
      </c>
      <c r="O925" s="156" t="s">
        <v>2704</v>
      </c>
      <c r="P925" s="123" t="str">
        <f t="shared" si="28"/>
        <v>C3-2025</v>
      </c>
      <c r="Q925" s="123" t="str">
        <f t="shared" si="29"/>
        <v>T4-2025</v>
      </c>
      <c r="R925" s="160" t="s">
        <v>2741</v>
      </c>
      <c r="S925" s="157" t="s">
        <v>2723</v>
      </c>
      <c r="T925" s="123" t="s">
        <v>2724</v>
      </c>
      <c r="U925" s="162" t="s">
        <v>2708</v>
      </c>
      <c r="V925" s="162" t="s">
        <v>54</v>
      </c>
      <c r="W925" s="237" t="s">
        <v>125</v>
      </c>
      <c r="X925" s="202" t="s">
        <v>2709</v>
      </c>
    </row>
    <row r="926" spans="1:24" ht="15" hidden="1" customHeight="1">
      <c r="A926" s="161">
        <v>45964</v>
      </c>
      <c r="B926" s="164">
        <v>84016199</v>
      </c>
      <c r="C926" s="38" t="s">
        <v>2697</v>
      </c>
      <c r="D926" s="126">
        <v>-3.3</v>
      </c>
      <c r="E926" s="159">
        <v>1</v>
      </c>
      <c r="F926" s="127">
        <f>Tabla5109[[#This Row],[Original Amount]]*Tabla5109[[#This Row],[ER to EUR]]</f>
        <v>-3.3</v>
      </c>
      <c r="G926" s="37" t="s">
        <v>3930</v>
      </c>
      <c r="H926" s="37" t="s">
        <v>3931</v>
      </c>
      <c r="I926" s="37" t="s">
        <v>2713</v>
      </c>
      <c r="J926" s="37" t="s">
        <v>3095</v>
      </c>
      <c r="K926" s="217" t="s">
        <v>3627</v>
      </c>
      <c r="L926" s="37" t="s">
        <v>3511</v>
      </c>
      <c r="M926" s="32" t="s">
        <v>125</v>
      </c>
      <c r="N926" s="158" t="s">
        <v>2704</v>
      </c>
      <c r="O926" s="156" t="s">
        <v>2704</v>
      </c>
      <c r="P926" s="123" t="str">
        <f t="shared" si="28"/>
        <v>C3-2025</v>
      </c>
      <c r="Q926" s="123" t="str">
        <f t="shared" si="29"/>
        <v>T4-2025</v>
      </c>
      <c r="R926" s="171" t="s">
        <v>2794</v>
      </c>
      <c r="S926" s="123" t="s">
        <v>2731</v>
      </c>
      <c r="T926" s="123" t="s">
        <v>2707</v>
      </c>
      <c r="U926" s="162" t="s">
        <v>51</v>
      </c>
      <c r="V926" s="162" t="s">
        <v>57</v>
      </c>
      <c r="W926" s="237" t="s">
        <v>125</v>
      </c>
      <c r="X926" s="173" t="s">
        <v>2709</v>
      </c>
    </row>
    <row r="927" spans="1:24" ht="15" hidden="1" customHeight="1">
      <c r="A927" s="161">
        <v>45964</v>
      </c>
      <c r="B927" s="164">
        <v>202510353</v>
      </c>
      <c r="C927" s="38" t="s">
        <v>2697</v>
      </c>
      <c r="D927" s="126">
        <v>-5176.5</v>
      </c>
      <c r="E927" s="159">
        <v>1</v>
      </c>
      <c r="F927" s="127">
        <f>Tabla5109[[#This Row],[Original Amount]]*Tabla5109[[#This Row],[ER to EUR]]</f>
        <v>-5176.5</v>
      </c>
      <c r="G927" s="37" t="s">
        <v>3683</v>
      </c>
      <c r="H927" s="37" t="s">
        <v>3951</v>
      </c>
      <c r="I927" s="37" t="s">
        <v>2727</v>
      </c>
      <c r="J927" s="37" t="s">
        <v>2714</v>
      </c>
      <c r="K927" s="217" t="s">
        <v>3510</v>
      </c>
      <c r="L927" s="37" t="s">
        <v>2799</v>
      </c>
      <c r="M927" s="32" t="s">
        <v>125</v>
      </c>
      <c r="N927" s="156" t="s">
        <v>2704</v>
      </c>
      <c r="O927" s="158" t="s">
        <v>2704</v>
      </c>
      <c r="P927" s="123" t="str">
        <f t="shared" si="28"/>
        <v>C3-2025</v>
      </c>
      <c r="Q927" s="123" t="str">
        <f t="shared" si="29"/>
        <v>T4-2025</v>
      </c>
      <c r="R927" s="160" t="s">
        <v>2705</v>
      </c>
      <c r="S927" s="160" t="s">
        <v>2706</v>
      </c>
      <c r="T927" s="123" t="s">
        <v>2724</v>
      </c>
      <c r="U927" s="162" t="s">
        <v>2708</v>
      </c>
      <c r="V927" s="162" t="s">
        <v>56</v>
      </c>
      <c r="W927" s="237" t="s">
        <v>125</v>
      </c>
      <c r="X927" s="202" t="s">
        <v>2709</v>
      </c>
    </row>
    <row r="928" spans="1:24" ht="15" hidden="1" customHeight="1">
      <c r="A928" s="161">
        <v>45964</v>
      </c>
      <c r="B928" s="167" t="s">
        <v>3952</v>
      </c>
      <c r="C928" s="38" t="s">
        <v>2548</v>
      </c>
      <c r="D928" s="151">
        <v>-10.01</v>
      </c>
      <c r="E928" s="224">
        <v>0.86214299999999999</v>
      </c>
      <c r="F928" s="127">
        <f>Tabla5109[[#This Row],[Original Amount]]*Tabla5109[[#This Row],[ER to EUR]]</f>
        <v>-8.63005143</v>
      </c>
      <c r="G928" s="37" t="s">
        <v>2884</v>
      </c>
      <c r="H928" s="37" t="s">
        <v>3199</v>
      </c>
      <c r="I928" s="37" t="s">
        <v>3480</v>
      </c>
      <c r="J928" s="37" t="s">
        <v>2723</v>
      </c>
      <c r="K928" s="217" t="s">
        <v>2792</v>
      </c>
      <c r="L928" s="37" t="s">
        <v>2793</v>
      </c>
      <c r="M928" s="32" t="s">
        <v>125</v>
      </c>
      <c r="N928" s="156" t="s">
        <v>2704</v>
      </c>
      <c r="O928" s="158" t="s">
        <v>2704</v>
      </c>
      <c r="P928" s="123" t="str">
        <f t="shared" si="28"/>
        <v>C3-2025</v>
      </c>
      <c r="Q928" s="123" t="str">
        <f t="shared" si="29"/>
        <v>T4-2025</v>
      </c>
      <c r="R928" s="160" t="s">
        <v>2741</v>
      </c>
      <c r="S928" s="157" t="s">
        <v>2723</v>
      </c>
      <c r="T928" s="123" t="s">
        <v>2707</v>
      </c>
      <c r="U928" s="162" t="s">
        <v>2708</v>
      </c>
      <c r="V928" s="162" t="s">
        <v>54</v>
      </c>
      <c r="W928" s="237" t="s">
        <v>125</v>
      </c>
      <c r="X928" s="202" t="s">
        <v>2709</v>
      </c>
    </row>
    <row r="929" spans="1:24" ht="15" hidden="1" customHeight="1">
      <c r="A929" s="161">
        <v>45965</v>
      </c>
      <c r="B929" s="167" t="s">
        <v>3953</v>
      </c>
      <c r="C929" s="158" t="s">
        <v>2697</v>
      </c>
      <c r="D929" s="126">
        <v>-23.99</v>
      </c>
      <c r="E929" s="159">
        <v>1</v>
      </c>
      <c r="F929" s="127">
        <f>Tabla5109[[#This Row],[Original Amount]]*Tabla5109[[#This Row],[ER to EUR]]</f>
        <v>-23.99</v>
      </c>
      <c r="G929" s="37" t="s">
        <v>3462</v>
      </c>
      <c r="H929" s="9" t="s">
        <v>3463</v>
      </c>
      <c r="I929" s="9" t="s">
        <v>2713</v>
      </c>
      <c r="J929" s="9" t="s">
        <v>2701</v>
      </c>
      <c r="K929" s="205" t="s">
        <v>2702</v>
      </c>
      <c r="L929" s="9" t="s">
        <v>2793</v>
      </c>
      <c r="M929" s="32" t="s">
        <v>125</v>
      </c>
      <c r="N929" s="156" t="s">
        <v>2704</v>
      </c>
      <c r="O929" s="158" t="s">
        <v>2704</v>
      </c>
      <c r="P929" s="123" t="str">
        <f t="shared" si="28"/>
        <v>C3-2025</v>
      </c>
      <c r="Q929" s="123" t="str">
        <f t="shared" si="29"/>
        <v>T4-2025</v>
      </c>
      <c r="R929" s="124" t="s">
        <v>2722</v>
      </c>
      <c r="S929" s="123" t="s">
        <v>2723</v>
      </c>
      <c r="T929" s="123" t="s">
        <v>2724</v>
      </c>
      <c r="U929" s="162" t="s">
        <v>2708</v>
      </c>
      <c r="V929" s="162" t="s">
        <v>54</v>
      </c>
      <c r="W929" s="237" t="s">
        <v>125</v>
      </c>
      <c r="X929" s="173" t="s">
        <v>2709</v>
      </c>
    </row>
    <row r="930" spans="1:24" ht="15" hidden="1" customHeight="1">
      <c r="A930" s="161">
        <v>45965</v>
      </c>
      <c r="B930" s="164">
        <v>16040</v>
      </c>
      <c r="C930" s="38" t="s">
        <v>2697</v>
      </c>
      <c r="D930" s="126">
        <v>-3600</v>
      </c>
      <c r="E930" s="159">
        <v>1</v>
      </c>
      <c r="F930" s="127">
        <f>Tabla5109[[#This Row],[Original Amount]]*Tabla5109[[#This Row],[ER to EUR]]</f>
        <v>-3600</v>
      </c>
      <c r="G930" s="9" t="s">
        <v>2725</v>
      </c>
      <c r="H930" s="37" t="s">
        <v>3377</v>
      </c>
      <c r="I930" s="9" t="s">
        <v>2727</v>
      </c>
      <c r="J930" s="37" t="s">
        <v>2701</v>
      </c>
      <c r="K930" s="217" t="s">
        <v>2728</v>
      </c>
      <c r="L930" s="37" t="s">
        <v>2729</v>
      </c>
      <c r="M930" s="32" t="s">
        <v>125</v>
      </c>
      <c r="N930" s="156" t="s">
        <v>2704</v>
      </c>
      <c r="O930" s="129" t="s">
        <v>2704</v>
      </c>
      <c r="P930" s="123" t="str">
        <f t="shared" si="28"/>
        <v>C3-2025</v>
      </c>
      <c r="Q930" s="123" t="str">
        <f t="shared" si="29"/>
        <v>T4-2025</v>
      </c>
      <c r="R930" s="124" t="s">
        <v>2730</v>
      </c>
      <c r="S930" s="123" t="s">
        <v>2731</v>
      </c>
      <c r="T930" s="123" t="s">
        <v>2707</v>
      </c>
      <c r="U930" s="162" t="s">
        <v>51</v>
      </c>
      <c r="V930" s="162" t="s">
        <v>57</v>
      </c>
      <c r="W930" s="237" t="s">
        <v>125</v>
      </c>
      <c r="X930" s="173" t="s">
        <v>2709</v>
      </c>
    </row>
    <row r="931" spans="1:24" ht="15" hidden="1" customHeight="1">
      <c r="A931" s="161">
        <v>45965</v>
      </c>
      <c r="B931" s="405">
        <v>55</v>
      </c>
      <c r="C931" s="158" t="s">
        <v>2543</v>
      </c>
      <c r="D931" s="147">
        <v>-1717500</v>
      </c>
      <c r="E931" s="179">
        <v>9.1500000000000001E-4</v>
      </c>
      <c r="F931" s="127">
        <f>Tabla5109[[#This Row],[Original Amount]]*Tabla5109[[#This Row],[ER to EUR]]</f>
        <v>-1571.5125</v>
      </c>
      <c r="G931" s="37" t="s">
        <v>3566</v>
      </c>
      <c r="H931" s="37" t="s">
        <v>3954</v>
      </c>
      <c r="I931" s="37" t="s">
        <v>2713</v>
      </c>
      <c r="J931" s="37" t="s">
        <v>2714</v>
      </c>
      <c r="K931" s="217" t="s">
        <v>2747</v>
      </c>
      <c r="L931" s="37" t="s">
        <v>2864</v>
      </c>
      <c r="M931" s="226" t="s">
        <v>2748</v>
      </c>
      <c r="N931" s="156" t="s">
        <v>2704</v>
      </c>
      <c r="O931" s="158" t="s">
        <v>2704</v>
      </c>
      <c r="P931" s="123" t="str">
        <f t="shared" si="28"/>
        <v>C3-2025</v>
      </c>
      <c r="Q931" s="123" t="str">
        <f t="shared" si="29"/>
        <v>T4-2025</v>
      </c>
      <c r="R931" s="160" t="s">
        <v>2705</v>
      </c>
      <c r="S931" s="160" t="s">
        <v>2706</v>
      </c>
      <c r="T931" s="123" t="s">
        <v>2724</v>
      </c>
      <c r="U931" s="162" t="s">
        <v>51</v>
      </c>
      <c r="V931" s="162" t="s">
        <v>57</v>
      </c>
      <c r="W931" s="237" t="s">
        <v>125</v>
      </c>
      <c r="X931" s="202" t="s">
        <v>2709</v>
      </c>
    </row>
    <row r="932" spans="1:24" ht="15" hidden="1" customHeight="1">
      <c r="A932" s="161">
        <v>45966</v>
      </c>
      <c r="B932" s="178" t="s">
        <v>3955</v>
      </c>
      <c r="C932" s="38" t="s">
        <v>2697</v>
      </c>
      <c r="D932" s="239">
        <v>-33.35</v>
      </c>
      <c r="E932" s="159">
        <v>1</v>
      </c>
      <c r="F932" s="127">
        <f>Tabla5109[[#This Row],[Original Amount]]*Tabla5109[[#This Row],[ER to EUR]]</f>
        <v>-33.35</v>
      </c>
      <c r="G932" t="s">
        <v>2839</v>
      </c>
      <c r="H932" s="37" t="s">
        <v>2840</v>
      </c>
      <c r="I932" s="37" t="s">
        <v>2784</v>
      </c>
      <c r="J932" s="37" t="s">
        <v>2701</v>
      </c>
      <c r="K932" s="217" t="s">
        <v>2702</v>
      </c>
      <c r="L932" s="37" t="s">
        <v>2703</v>
      </c>
      <c r="M932" s="32" t="s">
        <v>125</v>
      </c>
      <c r="N932" s="156" t="s">
        <v>2704</v>
      </c>
      <c r="O932" s="158" t="s">
        <v>2704</v>
      </c>
      <c r="P932" s="123" t="str">
        <f t="shared" si="28"/>
        <v>C3-2025</v>
      </c>
      <c r="Q932" s="123" t="str">
        <f t="shared" si="29"/>
        <v>T4-2025</v>
      </c>
      <c r="R932" s="124" t="s">
        <v>2705</v>
      </c>
      <c r="S932" s="160" t="s">
        <v>2706</v>
      </c>
      <c r="T932" s="123" t="s">
        <v>2707</v>
      </c>
      <c r="U932" s="162" t="s">
        <v>2708</v>
      </c>
      <c r="V932" s="162" t="s">
        <v>56</v>
      </c>
      <c r="W932" s="237" t="s">
        <v>125</v>
      </c>
      <c r="X932" s="202" t="s">
        <v>2709</v>
      </c>
    </row>
    <row r="933" spans="1:24" ht="15" hidden="1" customHeight="1">
      <c r="A933" s="161">
        <v>45966</v>
      </c>
      <c r="B933" s="178" t="s">
        <v>3956</v>
      </c>
      <c r="C933" s="38" t="s">
        <v>2548</v>
      </c>
      <c r="D933" s="151">
        <v>-25</v>
      </c>
      <c r="E933" s="224">
        <v>0.86214299999999999</v>
      </c>
      <c r="F933" s="127">
        <f>Tabla5109[[#This Row],[Original Amount]]*Tabla5109[[#This Row],[ER to EUR]]</f>
        <v>-21.553574999999999</v>
      </c>
      <c r="G933" s="9" t="s">
        <v>3068</v>
      </c>
      <c r="H933" s="180" t="s">
        <v>3857</v>
      </c>
      <c r="I933" s="37" t="s">
        <v>2755</v>
      </c>
      <c r="J933" s="37" t="s">
        <v>2701</v>
      </c>
      <c r="K933" s="217" t="s">
        <v>2792</v>
      </c>
      <c r="L933" s="37" t="s">
        <v>2740</v>
      </c>
      <c r="M933" s="32" t="s">
        <v>125</v>
      </c>
      <c r="N933" s="156" t="s">
        <v>2704</v>
      </c>
      <c r="O933" s="158" t="s">
        <v>2704</v>
      </c>
      <c r="P933" s="123" t="str">
        <f t="shared" si="28"/>
        <v>C3-2025</v>
      </c>
      <c r="Q933" s="123" t="str">
        <f t="shared" si="29"/>
        <v>T4-2025</v>
      </c>
      <c r="R933" s="124" t="s">
        <v>2722</v>
      </c>
      <c r="S933" s="157" t="s">
        <v>2723</v>
      </c>
      <c r="T933" s="123" t="s">
        <v>2724</v>
      </c>
      <c r="U933" s="162" t="s">
        <v>2708</v>
      </c>
      <c r="V933" s="162" t="s">
        <v>54</v>
      </c>
      <c r="W933" s="237" t="s">
        <v>125</v>
      </c>
      <c r="X933" s="202" t="s">
        <v>2709</v>
      </c>
    </row>
    <row r="934" spans="1:24" ht="15" hidden="1" customHeight="1">
      <c r="A934" s="161">
        <v>45966</v>
      </c>
      <c r="B934" s="178" t="s">
        <v>3957</v>
      </c>
      <c r="C934" s="38" t="s">
        <v>2697</v>
      </c>
      <c r="D934" s="126">
        <v>-48.55</v>
      </c>
      <c r="E934" s="159">
        <v>1</v>
      </c>
      <c r="F934" s="127">
        <f>Tabla5109[[#This Row],[Original Amount]]*Tabla5109[[#This Row],[ER to EUR]]</f>
        <v>-48.55</v>
      </c>
      <c r="G934" t="s">
        <v>3859</v>
      </c>
      <c r="H934" s="37" t="s">
        <v>3860</v>
      </c>
      <c r="I934" s="37" t="s">
        <v>3861</v>
      </c>
      <c r="J934" s="37" t="s">
        <v>2770</v>
      </c>
      <c r="K934" s="217" t="s">
        <v>2771</v>
      </c>
      <c r="L934" s="37" t="s">
        <v>2772</v>
      </c>
      <c r="M934" s="32" t="s">
        <v>125</v>
      </c>
      <c r="N934" s="156" t="s">
        <v>2704</v>
      </c>
      <c r="O934" s="158" t="s">
        <v>2704</v>
      </c>
      <c r="P934" s="123" t="str">
        <f t="shared" si="28"/>
        <v>C3-2025</v>
      </c>
      <c r="Q934" s="123" t="str">
        <f t="shared" si="29"/>
        <v>T4-2025</v>
      </c>
      <c r="R934" s="171" t="s">
        <v>2749</v>
      </c>
      <c r="S934" s="157" t="s">
        <v>2750</v>
      </c>
      <c r="T934" s="123" t="s">
        <v>2717</v>
      </c>
      <c r="U934" s="162" t="s">
        <v>2708</v>
      </c>
      <c r="V934" s="162" t="s">
        <v>56</v>
      </c>
      <c r="W934" s="237" t="s">
        <v>125</v>
      </c>
      <c r="X934" s="202" t="s">
        <v>2709</v>
      </c>
    </row>
    <row r="935" spans="1:24" ht="15" hidden="1" customHeight="1">
      <c r="A935" s="161">
        <v>45967</v>
      </c>
      <c r="B935" s="191">
        <v>781174991924</v>
      </c>
      <c r="C935" s="158" t="s">
        <v>2697</v>
      </c>
      <c r="D935" s="126">
        <v>-82.64</v>
      </c>
      <c r="E935" s="159">
        <v>1</v>
      </c>
      <c r="F935" s="127">
        <f>Tabla5109[[#This Row],[Original Amount]]*Tabla5109[[#This Row],[ER to EUR]]</f>
        <v>-82.64</v>
      </c>
      <c r="G935" t="s">
        <v>2718</v>
      </c>
      <c r="H935" s="9" t="s">
        <v>3868</v>
      </c>
      <c r="I935" s="9" t="s">
        <v>2755</v>
      </c>
      <c r="J935" s="9" t="s">
        <v>2714</v>
      </c>
      <c r="K935" s="205" t="s">
        <v>2721</v>
      </c>
      <c r="L935" s="9" t="s">
        <v>2716</v>
      </c>
      <c r="M935" s="32" t="s">
        <v>125</v>
      </c>
      <c r="N935" s="129" t="s">
        <v>2704</v>
      </c>
      <c r="O935" s="122" t="s">
        <v>2704</v>
      </c>
      <c r="P935" s="123" t="str">
        <f t="shared" si="28"/>
        <v>C3-2025</v>
      </c>
      <c r="Q935" s="123" t="str">
        <f t="shared" si="29"/>
        <v>T4-2025</v>
      </c>
      <c r="R935" s="124" t="s">
        <v>2722</v>
      </c>
      <c r="S935" s="123" t="s">
        <v>2723</v>
      </c>
      <c r="T935" s="123" t="s">
        <v>2724</v>
      </c>
      <c r="U935" s="162" t="s">
        <v>2708</v>
      </c>
      <c r="V935" s="162" t="s">
        <v>54</v>
      </c>
      <c r="W935" s="237" t="s">
        <v>125</v>
      </c>
      <c r="X935" s="202" t="s">
        <v>2709</v>
      </c>
    </row>
    <row r="936" spans="1:24" ht="15" hidden="1" customHeight="1">
      <c r="A936" s="161">
        <v>45967</v>
      </c>
      <c r="B936" s="167" t="s">
        <v>3958</v>
      </c>
      <c r="C936" s="38" t="s">
        <v>2548</v>
      </c>
      <c r="D936" s="151">
        <v>-349</v>
      </c>
      <c r="E936" s="224">
        <v>0.86214299999999999</v>
      </c>
      <c r="F936" s="127">
        <f>Tabla5109[[#This Row],[Original Amount]]*Tabla5109[[#This Row],[ER to EUR]]</f>
        <v>-300.88790699999998</v>
      </c>
      <c r="G936" s="37" t="s">
        <v>3864</v>
      </c>
      <c r="H936" s="9" t="s">
        <v>3959</v>
      </c>
      <c r="I936" s="9" t="s">
        <v>2755</v>
      </c>
      <c r="J936" s="9" t="s">
        <v>2701</v>
      </c>
      <c r="K936" s="205" t="s">
        <v>2702</v>
      </c>
      <c r="L936" s="9" t="s">
        <v>2703</v>
      </c>
      <c r="M936" s="32" t="s">
        <v>125</v>
      </c>
      <c r="N936" s="156" t="s">
        <v>2704</v>
      </c>
      <c r="O936" s="158" t="s">
        <v>2704</v>
      </c>
      <c r="P936" s="123" t="str">
        <f t="shared" si="28"/>
        <v>C3-2025</v>
      </c>
      <c r="Q936" s="123" t="str">
        <f t="shared" si="29"/>
        <v>T4-2025</v>
      </c>
      <c r="R936" s="124" t="s">
        <v>2705</v>
      </c>
      <c r="S936" s="124" t="s">
        <v>2706</v>
      </c>
      <c r="T936" s="123" t="s">
        <v>2717</v>
      </c>
      <c r="U936" s="162" t="s">
        <v>2708</v>
      </c>
      <c r="V936" s="162" t="s">
        <v>56</v>
      </c>
      <c r="W936" s="237" t="s">
        <v>125</v>
      </c>
      <c r="X936" s="173" t="s">
        <v>2709</v>
      </c>
    </row>
    <row r="937" spans="1:24" ht="15" hidden="1" customHeight="1">
      <c r="A937" s="161">
        <v>45967</v>
      </c>
      <c r="B937" s="191">
        <v>2588</v>
      </c>
      <c r="C937" s="38" t="s">
        <v>2697</v>
      </c>
      <c r="D937" s="239">
        <v>-46.41</v>
      </c>
      <c r="E937" s="159">
        <v>1</v>
      </c>
      <c r="F937" s="127">
        <f>Tabla5109[[#This Row],[Original Amount]]*Tabla5109[[#This Row],[ER to EUR]]</f>
        <v>-46.41</v>
      </c>
      <c r="G937" s="37" t="s">
        <v>2777</v>
      </c>
      <c r="H937" s="9" t="s">
        <v>2778</v>
      </c>
      <c r="I937" s="9" t="s">
        <v>2755</v>
      </c>
      <c r="J937" s="9" t="s">
        <v>2714</v>
      </c>
      <c r="K937" s="205" t="s">
        <v>2780</v>
      </c>
      <c r="L937" s="9" t="s">
        <v>2716</v>
      </c>
      <c r="M937" s="32" t="s">
        <v>125</v>
      </c>
      <c r="N937" s="129" t="s">
        <v>2704</v>
      </c>
      <c r="O937" s="122" t="s">
        <v>2704</v>
      </c>
      <c r="P937" s="123" t="str">
        <f t="shared" si="28"/>
        <v>C3-2025</v>
      </c>
      <c r="Q937" s="123" t="str">
        <f t="shared" si="29"/>
        <v>T4-2025</v>
      </c>
      <c r="R937" s="124" t="s">
        <v>2705</v>
      </c>
      <c r="S937" s="123" t="s">
        <v>2735</v>
      </c>
      <c r="T937" s="123" t="s">
        <v>2724</v>
      </c>
      <c r="U937" s="162" t="s">
        <v>2708</v>
      </c>
      <c r="V937" s="162" t="s">
        <v>54</v>
      </c>
      <c r="W937" s="237" t="s">
        <v>125</v>
      </c>
      <c r="X937" s="173" t="s">
        <v>2709</v>
      </c>
    </row>
    <row r="938" spans="1:24" ht="15" hidden="1" customHeight="1">
      <c r="A938" s="10">
        <v>45967</v>
      </c>
      <c r="B938" s="167" t="s">
        <v>3960</v>
      </c>
      <c r="C938" s="38" t="s">
        <v>2697</v>
      </c>
      <c r="D938" s="126">
        <v>-89</v>
      </c>
      <c r="E938" s="159">
        <v>1</v>
      </c>
      <c r="F938" s="127">
        <f>Tabla5109[[#This Row],[Original Amount]]*Tabla5109[[#This Row],[ER to EUR]]</f>
        <v>-89</v>
      </c>
      <c r="G938" s="37" t="s">
        <v>3269</v>
      </c>
      <c r="H938" s="37" t="s">
        <v>3270</v>
      </c>
      <c r="I938" s="9" t="s">
        <v>2755</v>
      </c>
      <c r="J938" s="9" t="s">
        <v>2701</v>
      </c>
      <c r="K938" s="205" t="s">
        <v>2702</v>
      </c>
      <c r="L938" s="9" t="s">
        <v>2703</v>
      </c>
      <c r="M938" s="32" t="s">
        <v>125</v>
      </c>
      <c r="N938" s="129" t="s">
        <v>2704</v>
      </c>
      <c r="O938" s="122" t="s">
        <v>2704</v>
      </c>
      <c r="P938" s="123" t="str">
        <f t="shared" si="28"/>
        <v>C3-2025</v>
      </c>
      <c r="Q938" s="123" t="str">
        <f t="shared" si="29"/>
        <v>T4-2025</v>
      </c>
      <c r="R938" s="160" t="s">
        <v>2741</v>
      </c>
      <c r="S938" s="123" t="s">
        <v>2723</v>
      </c>
      <c r="T938" s="157" t="s">
        <v>2724</v>
      </c>
      <c r="U938" s="165" t="s">
        <v>2708</v>
      </c>
      <c r="V938" s="165" t="s">
        <v>54</v>
      </c>
      <c r="W938" s="237" t="s">
        <v>125</v>
      </c>
      <c r="X938" s="202" t="s">
        <v>2709</v>
      </c>
    </row>
    <row r="939" spans="1:24" ht="15" hidden="1" customHeight="1">
      <c r="A939" s="10">
        <v>45967</v>
      </c>
      <c r="B939" s="191">
        <v>1735703</v>
      </c>
      <c r="C939" s="38" t="s">
        <v>2543</v>
      </c>
      <c r="D939" s="147">
        <v>-182855</v>
      </c>
      <c r="E939" s="159">
        <v>9.1500000000000001E-4</v>
      </c>
      <c r="F939" s="127">
        <f>Tabla5109[[#This Row],[Original Amount]]*Tabla5109[[#This Row],[ER to EUR]]</f>
        <v>-167.31232500000002</v>
      </c>
      <c r="G939" s="171" t="s">
        <v>3087</v>
      </c>
      <c r="H939" s="37" t="s">
        <v>3088</v>
      </c>
      <c r="I939" s="21" t="s">
        <v>2713</v>
      </c>
      <c r="J939" s="9" t="s">
        <v>2701</v>
      </c>
      <c r="K939" s="217" t="s">
        <v>2771</v>
      </c>
      <c r="L939" s="37" t="s">
        <v>2772</v>
      </c>
      <c r="M939" s="227" t="s">
        <v>2704</v>
      </c>
      <c r="N939" s="156" t="s">
        <v>2748</v>
      </c>
      <c r="O939" s="156" t="s">
        <v>2704</v>
      </c>
      <c r="P939" s="123" t="str">
        <f t="shared" si="28"/>
        <v>C3-2025</v>
      </c>
      <c r="Q939" s="123" t="str">
        <f t="shared" si="29"/>
        <v>T4-2025</v>
      </c>
      <c r="R939" s="171" t="s">
        <v>2749</v>
      </c>
      <c r="S939" s="123" t="s">
        <v>2750</v>
      </c>
      <c r="T939" s="157" t="s">
        <v>2707</v>
      </c>
      <c r="U939" s="165" t="s">
        <v>2708</v>
      </c>
      <c r="V939" s="165" t="s">
        <v>54</v>
      </c>
      <c r="W939" s="237" t="s">
        <v>125</v>
      </c>
      <c r="X939" s="173" t="s">
        <v>2751</v>
      </c>
    </row>
    <row r="940" spans="1:24" ht="15" hidden="1" customHeight="1">
      <c r="A940" s="10">
        <v>45968</v>
      </c>
      <c r="B940" s="167" t="s">
        <v>3961</v>
      </c>
      <c r="C940" s="158" t="s">
        <v>2697</v>
      </c>
      <c r="D940" s="126">
        <v>-124</v>
      </c>
      <c r="E940" s="159">
        <v>1</v>
      </c>
      <c r="F940" s="127">
        <f>Tabla5109[[#This Row],[Original Amount]]*Tabla5109[[#This Row],[ER to EUR]]</f>
        <v>-124</v>
      </c>
      <c r="G940" s="37" t="s">
        <v>3128</v>
      </c>
      <c r="H940" s="37" t="s">
        <v>2994</v>
      </c>
      <c r="I940" s="9" t="s">
        <v>2755</v>
      </c>
      <c r="J940" s="9" t="s">
        <v>2701</v>
      </c>
      <c r="K940" s="205" t="s">
        <v>2702</v>
      </c>
      <c r="L940" s="9" t="s">
        <v>2703</v>
      </c>
      <c r="M940" s="32" t="s">
        <v>125</v>
      </c>
      <c r="N940" s="156" t="s">
        <v>2704</v>
      </c>
      <c r="O940" s="158" t="s">
        <v>2704</v>
      </c>
      <c r="P940" s="123" t="str">
        <f t="shared" si="28"/>
        <v>C3-2025</v>
      </c>
      <c r="Q940" s="123" t="str">
        <f t="shared" si="29"/>
        <v>T4-2025</v>
      </c>
      <c r="R940" s="124" t="s">
        <v>2741</v>
      </c>
      <c r="S940" s="123" t="s">
        <v>2723</v>
      </c>
      <c r="T940" s="157" t="s">
        <v>2707</v>
      </c>
      <c r="U940" s="162" t="s">
        <v>2708</v>
      </c>
      <c r="V940" s="162" t="s">
        <v>54</v>
      </c>
      <c r="W940" s="237" t="s">
        <v>125</v>
      </c>
      <c r="X940" s="202" t="s">
        <v>2709</v>
      </c>
    </row>
    <row r="941" spans="1:24" ht="15" hidden="1" customHeight="1">
      <c r="A941" s="10">
        <v>45968</v>
      </c>
      <c r="B941" s="133" t="s">
        <v>3962</v>
      </c>
      <c r="C941" s="38" t="s">
        <v>2697</v>
      </c>
      <c r="D941" s="239">
        <v>-278.70999999999998</v>
      </c>
      <c r="E941" s="159">
        <v>1</v>
      </c>
      <c r="F941" s="127">
        <f>Tabla5109[[#This Row],[Original Amount]]*Tabla5109[[#This Row],[ER to EUR]]</f>
        <v>-278.70999999999998</v>
      </c>
      <c r="G941" s="37" t="s">
        <v>3873</v>
      </c>
      <c r="H941" s="37" t="s">
        <v>3963</v>
      </c>
      <c r="I941" s="37" t="s">
        <v>2755</v>
      </c>
      <c r="J941" s="37" t="s">
        <v>2701</v>
      </c>
      <c r="K941" s="217" t="s">
        <v>2702</v>
      </c>
      <c r="L941" t="s">
        <v>2740</v>
      </c>
      <c r="M941" s="32" t="s">
        <v>125</v>
      </c>
      <c r="N941" s="156" t="s">
        <v>2704</v>
      </c>
      <c r="O941" s="158" t="s">
        <v>2704</v>
      </c>
      <c r="P941" s="123" t="str">
        <f t="shared" si="28"/>
        <v>C3-2025</v>
      </c>
      <c r="Q941" s="123" t="str">
        <f t="shared" si="29"/>
        <v>T4-2025</v>
      </c>
      <c r="R941" s="124" t="s">
        <v>2705</v>
      </c>
      <c r="S941" s="124" t="s">
        <v>2706</v>
      </c>
      <c r="T941" s="123" t="s">
        <v>2724</v>
      </c>
      <c r="U941" s="162" t="s">
        <v>2708</v>
      </c>
      <c r="V941" s="162" t="s">
        <v>56</v>
      </c>
      <c r="W941" s="237" t="s">
        <v>125</v>
      </c>
      <c r="X941" s="124" t="s">
        <v>2709</v>
      </c>
    </row>
    <row r="942" spans="1:24" ht="15" hidden="1" customHeight="1">
      <c r="A942" s="10">
        <v>45969</v>
      </c>
      <c r="B942" s="167" t="s">
        <v>3964</v>
      </c>
      <c r="C942" s="158" t="s">
        <v>2697</v>
      </c>
      <c r="D942" s="126">
        <v>-236.81</v>
      </c>
      <c r="E942" s="159">
        <v>1</v>
      </c>
      <c r="F942" s="127">
        <f>Tabla5109[[#This Row],[Original Amount]]*Tabla5109[[#This Row],[ER to EUR]]</f>
        <v>-236.81</v>
      </c>
      <c r="G942" s="37" t="s">
        <v>3884</v>
      </c>
      <c r="H942" s="37" t="s">
        <v>3885</v>
      </c>
      <c r="I942" s="9" t="s">
        <v>3692</v>
      </c>
      <c r="J942" s="9" t="s">
        <v>2701</v>
      </c>
      <c r="K942" s="4" t="s">
        <v>2702</v>
      </c>
      <c r="L942" t="s">
        <v>2703</v>
      </c>
      <c r="M942" s="32" t="s">
        <v>125</v>
      </c>
      <c r="N942" s="129" t="s">
        <v>2704</v>
      </c>
      <c r="O942" s="122" t="s">
        <v>2704</v>
      </c>
      <c r="P942" s="123" t="str">
        <f t="shared" si="28"/>
        <v>C3-2025</v>
      </c>
      <c r="Q942" s="123" t="str">
        <f t="shared" si="29"/>
        <v>T4-2025</v>
      </c>
      <c r="R942" s="124" t="s">
        <v>2741</v>
      </c>
      <c r="S942" s="123" t="s">
        <v>2723</v>
      </c>
      <c r="T942" s="123" t="s">
        <v>2724</v>
      </c>
      <c r="U942" s="162" t="s">
        <v>2708</v>
      </c>
      <c r="V942" s="162" t="s">
        <v>54</v>
      </c>
      <c r="W942" s="237" t="s">
        <v>125</v>
      </c>
      <c r="X942" s="173" t="s">
        <v>2709</v>
      </c>
    </row>
    <row r="943" spans="1:24" ht="15" hidden="1" customHeight="1">
      <c r="A943" s="161">
        <v>45969</v>
      </c>
      <c r="B943" s="167" t="s">
        <v>3965</v>
      </c>
      <c r="C943" s="38" t="s">
        <v>2697</v>
      </c>
      <c r="D943" s="126">
        <v>-49.99</v>
      </c>
      <c r="E943" s="159">
        <v>1</v>
      </c>
      <c r="F943" s="127">
        <f>Tabla5109[[#This Row],[Original Amount]]*Tabla5109[[#This Row],[ER to EUR]]</f>
        <v>-49.99</v>
      </c>
      <c r="G943" t="s">
        <v>2830</v>
      </c>
      <c r="H943" s="37" t="s">
        <v>3966</v>
      </c>
      <c r="I943" s="37" t="s">
        <v>2739</v>
      </c>
      <c r="J943" s="37" t="s">
        <v>2817</v>
      </c>
      <c r="K943" s="217" t="s">
        <v>2702</v>
      </c>
      <c r="L943" s="37" t="s">
        <v>2818</v>
      </c>
      <c r="M943" s="32" t="s">
        <v>125</v>
      </c>
      <c r="N943" s="156" t="s">
        <v>2704</v>
      </c>
      <c r="O943" s="158" t="s">
        <v>2704</v>
      </c>
      <c r="P943" s="123" t="str">
        <f t="shared" si="28"/>
        <v>C3-2025</v>
      </c>
      <c r="Q943" s="123" t="str">
        <f t="shared" si="29"/>
        <v>T4-2025</v>
      </c>
      <c r="R943" s="160" t="s">
        <v>2722</v>
      </c>
      <c r="S943" s="123" t="s">
        <v>2723</v>
      </c>
      <c r="T943" s="123" t="s">
        <v>2724</v>
      </c>
      <c r="U943" s="162" t="s">
        <v>2708</v>
      </c>
      <c r="V943" s="162" t="s">
        <v>54</v>
      </c>
      <c r="W943" s="237" t="s">
        <v>125</v>
      </c>
      <c r="X943" s="202" t="s">
        <v>2709</v>
      </c>
    </row>
    <row r="944" spans="1:24" ht="15" hidden="1" customHeight="1">
      <c r="A944" s="161">
        <v>45970</v>
      </c>
      <c r="B944" s="167" t="s">
        <v>3967</v>
      </c>
      <c r="C944" s="158" t="s">
        <v>2697</v>
      </c>
      <c r="D944" s="126">
        <v>-119.15</v>
      </c>
      <c r="E944" s="159">
        <v>1</v>
      </c>
      <c r="F944" s="127">
        <f>Tabla5109[[#This Row],[Original Amount]]*Tabla5109[[#This Row],[ER to EUR]]</f>
        <v>-119.15</v>
      </c>
      <c r="G944" s="37" t="s">
        <v>3755</v>
      </c>
      <c r="H944" s="37" t="s">
        <v>3968</v>
      </c>
      <c r="I944" s="37" t="s">
        <v>2755</v>
      </c>
      <c r="J944" s="37" t="s">
        <v>2825</v>
      </c>
      <c r="K944" s="217" t="s">
        <v>2826</v>
      </c>
      <c r="L944" s="37" t="s">
        <v>2827</v>
      </c>
      <c r="M944" s="32" t="s">
        <v>125</v>
      </c>
      <c r="N944" s="156" t="s">
        <v>2704</v>
      </c>
      <c r="O944" s="158" t="s">
        <v>2704</v>
      </c>
      <c r="P944" s="123" t="str">
        <f t="shared" si="28"/>
        <v>C3-2025</v>
      </c>
      <c r="Q944" s="123" t="str">
        <f t="shared" si="29"/>
        <v>T4-2025</v>
      </c>
      <c r="R944" s="160" t="s">
        <v>2705</v>
      </c>
      <c r="S944" s="160" t="s">
        <v>2706</v>
      </c>
      <c r="T944" s="123" t="s">
        <v>2717</v>
      </c>
      <c r="U944" s="162" t="s">
        <v>2708</v>
      </c>
      <c r="V944" s="162" t="s">
        <v>56</v>
      </c>
      <c r="W944" s="237" t="s">
        <v>125</v>
      </c>
      <c r="X944" s="202" t="s">
        <v>2709</v>
      </c>
    </row>
    <row r="945" spans="1:24" ht="15" hidden="1" customHeight="1">
      <c r="A945" s="161">
        <v>45970</v>
      </c>
      <c r="B945" s="167" t="s">
        <v>4604</v>
      </c>
      <c r="C945" s="38" t="s">
        <v>2697</v>
      </c>
      <c r="D945" s="126">
        <v>-224.42</v>
      </c>
      <c r="E945" s="159">
        <v>1</v>
      </c>
      <c r="F945" s="127">
        <f>Tabla5109[[#This Row],[Original Amount]]*Tabla5109[[#This Row],[ER to EUR]]</f>
        <v>-224.42</v>
      </c>
      <c r="G945" s="37" t="s">
        <v>2839</v>
      </c>
      <c r="H945" s="37" t="s">
        <v>2840</v>
      </c>
      <c r="I945" t="s">
        <v>2784</v>
      </c>
      <c r="J945" s="37" t="s">
        <v>2701</v>
      </c>
      <c r="K945" s="217" t="s">
        <v>2702</v>
      </c>
      <c r="L945" s="37" t="s">
        <v>2703</v>
      </c>
      <c r="M945" s="32" t="s">
        <v>125</v>
      </c>
      <c r="N945" s="156" t="s">
        <v>2704</v>
      </c>
      <c r="O945" s="158" t="s">
        <v>2704</v>
      </c>
      <c r="P945" s="123" t="str">
        <f t="shared" si="28"/>
        <v>C3-2025</v>
      </c>
      <c r="Q945" s="123" t="str">
        <f t="shared" si="29"/>
        <v>T4-2025</v>
      </c>
      <c r="R945" s="160" t="s">
        <v>2705</v>
      </c>
      <c r="S945" s="160" t="s">
        <v>2706</v>
      </c>
      <c r="T945" s="157" t="s">
        <v>2707</v>
      </c>
      <c r="U945" s="162" t="s">
        <v>2708</v>
      </c>
      <c r="V945" s="162" t="s">
        <v>57</v>
      </c>
      <c r="W945" s="237" t="s">
        <v>125</v>
      </c>
      <c r="X945" s="202" t="s">
        <v>2709</v>
      </c>
    </row>
    <row r="946" spans="1:24" ht="15" hidden="1" customHeight="1">
      <c r="A946" s="161">
        <v>45971</v>
      </c>
      <c r="B946" s="167" t="s">
        <v>3969</v>
      </c>
      <c r="C946" s="158" t="s">
        <v>2697</v>
      </c>
      <c r="D946" s="126">
        <v>-134.69999999999999</v>
      </c>
      <c r="E946" s="159">
        <v>1</v>
      </c>
      <c r="F946" s="127">
        <f>Tabla5109[[#This Row],[Original Amount]]*Tabla5109[[#This Row],[ER to EUR]]</f>
        <v>-134.69999999999999</v>
      </c>
      <c r="G946" s="9" t="s">
        <v>3755</v>
      </c>
      <c r="H946" s="9" t="s">
        <v>3970</v>
      </c>
      <c r="I946" s="9" t="s">
        <v>3757</v>
      </c>
      <c r="J946" s="9" t="s">
        <v>2825</v>
      </c>
      <c r="K946" s="205" t="s">
        <v>2826</v>
      </c>
      <c r="L946" s="9" t="s">
        <v>2827</v>
      </c>
      <c r="M946" s="32" t="s">
        <v>125</v>
      </c>
      <c r="N946" s="129" t="s">
        <v>2704</v>
      </c>
      <c r="O946" s="122" t="s">
        <v>2704</v>
      </c>
      <c r="P946" s="123" t="str">
        <f t="shared" si="28"/>
        <v>C3-2025</v>
      </c>
      <c r="Q946" s="123" t="str">
        <f t="shared" si="29"/>
        <v>T4-2025</v>
      </c>
      <c r="R946" s="124" t="s">
        <v>2705</v>
      </c>
      <c r="S946" s="124" t="s">
        <v>2706</v>
      </c>
      <c r="T946" s="123" t="s">
        <v>2717</v>
      </c>
      <c r="U946" s="162" t="s">
        <v>2708</v>
      </c>
      <c r="V946" s="162" t="s">
        <v>56</v>
      </c>
      <c r="W946" s="237" t="s">
        <v>125</v>
      </c>
      <c r="X946" s="173" t="s">
        <v>2709</v>
      </c>
    </row>
    <row r="947" spans="1:24" ht="15" hidden="1" customHeight="1">
      <c r="A947" s="161">
        <v>45971</v>
      </c>
      <c r="B947" s="164">
        <v>2968933</v>
      </c>
      <c r="C947" s="158" t="s">
        <v>2548</v>
      </c>
      <c r="D947" s="151">
        <v>-499</v>
      </c>
      <c r="E947" s="224">
        <v>0.86214299999999999</v>
      </c>
      <c r="F947" s="127">
        <f>Tabla5109[[#This Row],[Original Amount]]*Tabla5109[[#This Row],[ER to EUR]]</f>
        <v>-430.20935700000001</v>
      </c>
      <c r="G947" s="37" t="s">
        <v>3193</v>
      </c>
      <c r="H947" s="37" t="s">
        <v>3194</v>
      </c>
      <c r="I947" s="37" t="s">
        <v>2739</v>
      </c>
      <c r="J947" s="9" t="s">
        <v>2701</v>
      </c>
      <c r="K947" s="217" t="s">
        <v>2702</v>
      </c>
      <c r="L947" s="9" t="s">
        <v>2793</v>
      </c>
      <c r="M947" s="32" t="s">
        <v>125</v>
      </c>
      <c r="N947" s="129" t="s">
        <v>2704</v>
      </c>
      <c r="O947" s="158" t="s">
        <v>2704</v>
      </c>
      <c r="P947" s="123" t="str">
        <f t="shared" si="28"/>
        <v>C3-2025</v>
      </c>
      <c r="Q947" s="123" t="str">
        <f t="shared" si="29"/>
        <v>T4-2025</v>
      </c>
      <c r="R947" s="160" t="s">
        <v>2722</v>
      </c>
      <c r="S947" s="157" t="s">
        <v>2723</v>
      </c>
      <c r="T947" s="123" t="s">
        <v>2724</v>
      </c>
      <c r="U947" s="162" t="s">
        <v>2708</v>
      </c>
      <c r="V947" s="162" t="s">
        <v>54</v>
      </c>
      <c r="W947" s="237" t="s">
        <v>125</v>
      </c>
      <c r="X947" s="173" t="s">
        <v>2709</v>
      </c>
    </row>
    <row r="948" spans="1:24" ht="15" hidden="1" customHeight="1">
      <c r="A948" s="161">
        <v>45971</v>
      </c>
      <c r="B948" s="167" t="s">
        <v>3971</v>
      </c>
      <c r="C948" s="38" t="s">
        <v>2697</v>
      </c>
      <c r="D948" s="126">
        <v>-731.4</v>
      </c>
      <c r="E948" s="159">
        <v>1</v>
      </c>
      <c r="F948" s="127">
        <f>Tabla5109[[#This Row],[Original Amount]]*Tabla5109[[#This Row],[ER to EUR]]</f>
        <v>-731.4</v>
      </c>
      <c r="G948" s="37" t="s">
        <v>2839</v>
      </c>
      <c r="H948" s="37" t="s">
        <v>2840</v>
      </c>
      <c r="I948" s="37" t="s">
        <v>2784</v>
      </c>
      <c r="J948" s="37" t="s">
        <v>2701</v>
      </c>
      <c r="K948" s="217" t="s">
        <v>2702</v>
      </c>
      <c r="L948" s="37" t="s">
        <v>2703</v>
      </c>
      <c r="M948" s="32" t="s">
        <v>125</v>
      </c>
      <c r="N948" s="156" t="s">
        <v>2704</v>
      </c>
      <c r="O948" s="158" t="s">
        <v>2704</v>
      </c>
      <c r="P948" s="123" t="str">
        <f t="shared" si="28"/>
        <v>C3-2025</v>
      </c>
      <c r="Q948" s="123" t="str">
        <f t="shared" si="29"/>
        <v>T4-2025</v>
      </c>
      <c r="R948" s="160" t="s">
        <v>2705</v>
      </c>
      <c r="S948" s="160" t="s">
        <v>2706</v>
      </c>
      <c r="T948" s="123" t="s">
        <v>2707</v>
      </c>
      <c r="U948" s="162" t="s">
        <v>2708</v>
      </c>
      <c r="V948" s="162" t="s">
        <v>57</v>
      </c>
      <c r="W948" s="237" t="s">
        <v>125</v>
      </c>
      <c r="X948" s="202" t="s">
        <v>2709</v>
      </c>
    </row>
    <row r="949" spans="1:24" ht="15" hidden="1" customHeight="1">
      <c r="A949" s="161">
        <v>45972</v>
      </c>
      <c r="B949" s="167" t="s">
        <v>4607</v>
      </c>
      <c r="C949" s="38" t="s">
        <v>2697</v>
      </c>
      <c r="D949" s="126">
        <v>-4000</v>
      </c>
      <c r="E949" s="159">
        <v>1</v>
      </c>
      <c r="F949" s="127">
        <f>Tabla5109[[#This Row],[Original Amount]]*Tabla5109[[#This Row],[ER to EUR]]</f>
        <v>-4000</v>
      </c>
      <c r="G949" s="9" t="s">
        <v>3710</v>
      </c>
      <c r="H949" s="9" t="s">
        <v>3711</v>
      </c>
      <c r="I949" s="9" t="s">
        <v>2713</v>
      </c>
      <c r="J949" s="9" t="s">
        <v>2701</v>
      </c>
      <c r="K949" s="205" t="s">
        <v>2702</v>
      </c>
      <c r="L949" s="9" t="s">
        <v>2703</v>
      </c>
      <c r="M949" s="32" t="s">
        <v>125</v>
      </c>
      <c r="N949" s="122" t="s">
        <v>2704</v>
      </c>
      <c r="O949" s="129" t="s">
        <v>2704</v>
      </c>
      <c r="P949" s="123" t="str">
        <f t="shared" si="28"/>
        <v>C3-2025</v>
      </c>
      <c r="Q949" s="123" t="str">
        <f t="shared" si="29"/>
        <v>T4-2025</v>
      </c>
      <c r="R949" s="124" t="s">
        <v>2705</v>
      </c>
      <c r="S949" s="124" t="s">
        <v>2706</v>
      </c>
      <c r="T949" s="123" t="s">
        <v>2717</v>
      </c>
      <c r="U949" s="203" t="s">
        <v>2708</v>
      </c>
      <c r="V949" s="203" t="s">
        <v>56</v>
      </c>
      <c r="W949" s="237" t="s">
        <v>125</v>
      </c>
      <c r="X949" s="173" t="s">
        <v>2709</v>
      </c>
    </row>
    <row r="950" spans="1:24" ht="15" hidden="1" customHeight="1">
      <c r="A950" s="161">
        <v>45973</v>
      </c>
      <c r="B950" s="164">
        <v>917</v>
      </c>
      <c r="C950" s="38" t="s">
        <v>2697</v>
      </c>
      <c r="D950" s="126">
        <v>-813.96</v>
      </c>
      <c r="E950" s="159">
        <v>1</v>
      </c>
      <c r="F950" s="127">
        <f>Tabla5109[[#This Row],[Original Amount]]*Tabla5109[[#This Row],[ER to EUR]]</f>
        <v>-813.96</v>
      </c>
      <c r="G950" s="37" t="s">
        <v>3271</v>
      </c>
      <c r="H950" s="37" t="s">
        <v>3972</v>
      </c>
      <c r="I950" s="37" t="s">
        <v>2727</v>
      </c>
      <c r="J950" s="9" t="s">
        <v>2770</v>
      </c>
      <c r="K950" s="205" t="s">
        <v>2747</v>
      </c>
      <c r="L950" s="9" t="s">
        <v>2772</v>
      </c>
      <c r="M950" s="32" t="s">
        <v>125</v>
      </c>
      <c r="N950" s="156" t="s">
        <v>2704</v>
      </c>
      <c r="O950" s="158" t="s">
        <v>2704</v>
      </c>
      <c r="P950" s="123" t="str">
        <f t="shared" si="28"/>
        <v>C3-2025</v>
      </c>
      <c r="Q950" s="123" t="str">
        <f t="shared" si="29"/>
        <v>T4-2025</v>
      </c>
      <c r="R950" s="160" t="s">
        <v>2705</v>
      </c>
      <c r="S950" s="124" t="s">
        <v>2706</v>
      </c>
      <c r="T950" s="123" t="s">
        <v>2707</v>
      </c>
      <c r="U950" s="162" t="s">
        <v>2708</v>
      </c>
      <c r="V950" s="162" t="s">
        <v>56</v>
      </c>
      <c r="W950" s="237" t="s">
        <v>125</v>
      </c>
      <c r="X950" s="202" t="s">
        <v>2709</v>
      </c>
    </row>
    <row r="951" spans="1:24" ht="15" hidden="1" customHeight="1">
      <c r="A951" s="161">
        <v>45973</v>
      </c>
      <c r="B951" s="167" t="s">
        <v>3973</v>
      </c>
      <c r="C951" s="38" t="s">
        <v>2697</v>
      </c>
      <c r="D951" s="139">
        <v>-900</v>
      </c>
      <c r="E951" s="159">
        <v>1</v>
      </c>
      <c r="F951" s="127">
        <f>Tabla5109[[#This Row],[Original Amount]]*Tabla5109[[#This Row],[ER to EUR]]</f>
        <v>-900</v>
      </c>
      <c r="G951" s="37" t="s">
        <v>3974</v>
      </c>
      <c r="H951" s="37" t="s">
        <v>3975</v>
      </c>
      <c r="I951" s="37" t="s">
        <v>2727</v>
      </c>
      <c r="J951" s="37" t="s">
        <v>2714</v>
      </c>
      <c r="K951" s="217" t="s">
        <v>2747</v>
      </c>
      <c r="L951" s="37" t="s">
        <v>2864</v>
      </c>
      <c r="M951" s="32" t="s">
        <v>125</v>
      </c>
      <c r="N951" s="158" t="s">
        <v>2704</v>
      </c>
      <c r="O951" s="156" t="s">
        <v>2704</v>
      </c>
      <c r="P951" s="123" t="str">
        <f t="shared" si="28"/>
        <v>C3-2025</v>
      </c>
      <c r="Q951" s="123" t="str">
        <f t="shared" si="29"/>
        <v>T4-2025</v>
      </c>
      <c r="R951" s="91" t="s">
        <v>2705</v>
      </c>
      <c r="S951" s="160" t="s">
        <v>2706</v>
      </c>
      <c r="T951" s="205" t="s">
        <v>2724</v>
      </c>
      <c r="U951" s="162" t="s">
        <v>2708</v>
      </c>
      <c r="V951" s="162" t="s">
        <v>56</v>
      </c>
      <c r="W951" s="237" t="s">
        <v>125</v>
      </c>
      <c r="X951" s="182" t="s">
        <v>2709</v>
      </c>
    </row>
    <row r="952" spans="1:24" ht="15" hidden="1" customHeight="1">
      <c r="A952" s="161">
        <v>45975</v>
      </c>
      <c r="B952" s="167" t="s">
        <v>3976</v>
      </c>
      <c r="C952" s="38" t="s">
        <v>2697</v>
      </c>
      <c r="D952" s="126">
        <v>-190.4</v>
      </c>
      <c r="E952" s="159">
        <v>1</v>
      </c>
      <c r="F952" s="127">
        <f>Tabla5109[[#This Row],[Original Amount]]*Tabla5109[[#This Row],[ER to EUR]]</f>
        <v>-190.4</v>
      </c>
      <c r="G952" s="9" t="s">
        <v>3770</v>
      </c>
      <c r="H952" s="37" t="s">
        <v>3977</v>
      </c>
      <c r="I952" s="37" t="s">
        <v>2713</v>
      </c>
      <c r="J952" s="37" t="s">
        <v>2714</v>
      </c>
      <c r="K952" s="217" t="s">
        <v>2747</v>
      </c>
      <c r="L952" s="37" t="s">
        <v>2716</v>
      </c>
      <c r="M952" s="32" t="s">
        <v>125</v>
      </c>
      <c r="N952" s="158" t="s">
        <v>2704</v>
      </c>
      <c r="O952" s="156" t="s">
        <v>2704</v>
      </c>
      <c r="P952" s="123" t="str">
        <f t="shared" si="28"/>
        <v>C3-2025</v>
      </c>
      <c r="Q952" s="123" t="str">
        <f t="shared" si="29"/>
        <v>T4-2025</v>
      </c>
      <c r="R952" s="171" t="s">
        <v>2794</v>
      </c>
      <c r="S952" s="157" t="s">
        <v>2731</v>
      </c>
      <c r="T952" s="123" t="s">
        <v>2707</v>
      </c>
      <c r="U952" s="162" t="s">
        <v>51</v>
      </c>
      <c r="V952" s="162" t="s">
        <v>57</v>
      </c>
      <c r="W952" s="237" t="s">
        <v>125</v>
      </c>
      <c r="X952" s="202" t="s">
        <v>2709</v>
      </c>
    </row>
    <row r="953" spans="1:24" ht="15" hidden="1" customHeight="1">
      <c r="A953" s="161">
        <v>45975</v>
      </c>
      <c r="B953" s="167" t="s">
        <v>3978</v>
      </c>
      <c r="C953" s="38" t="s">
        <v>2697</v>
      </c>
      <c r="D953" s="126">
        <v>-118.99</v>
      </c>
      <c r="E953" s="159">
        <v>1</v>
      </c>
      <c r="F953" s="127">
        <f>Tabla5109[[#This Row],[Original Amount]]*Tabla5109[[#This Row],[ER to EUR]]</f>
        <v>-118.99</v>
      </c>
      <c r="G953" s="37" t="s">
        <v>2812</v>
      </c>
      <c r="H953" s="171" t="s">
        <v>2813</v>
      </c>
      <c r="I953" s="9" t="s">
        <v>2727</v>
      </c>
      <c r="J953" s="9" t="s">
        <v>2714</v>
      </c>
      <c r="K953" s="196" t="s">
        <v>2814</v>
      </c>
      <c r="L953" s="9" t="s">
        <v>2799</v>
      </c>
      <c r="M953" s="32" t="s">
        <v>125</v>
      </c>
      <c r="N953" s="129" t="s">
        <v>2704</v>
      </c>
      <c r="O953" s="122" t="s">
        <v>2704</v>
      </c>
      <c r="P953" s="123" t="str">
        <f t="shared" si="28"/>
        <v>C3-2025</v>
      </c>
      <c r="Q953" s="123" t="str">
        <f t="shared" si="29"/>
        <v>T4-2025</v>
      </c>
      <c r="R953" s="124" t="s">
        <v>2705</v>
      </c>
      <c r="S953" s="124" t="s">
        <v>2706</v>
      </c>
      <c r="T953" s="123" t="s">
        <v>2724</v>
      </c>
      <c r="U953" s="162" t="s">
        <v>2708</v>
      </c>
      <c r="V953" s="162" t="s">
        <v>56</v>
      </c>
      <c r="W953" s="237" t="s">
        <v>125</v>
      </c>
      <c r="X953" s="173" t="s">
        <v>2709</v>
      </c>
    </row>
    <row r="954" spans="1:24" ht="15" hidden="1" customHeight="1">
      <c r="A954" s="161">
        <v>45975</v>
      </c>
      <c r="B954" s="167" t="s">
        <v>3979</v>
      </c>
      <c r="C954" s="158" t="s">
        <v>2697</v>
      </c>
      <c r="D954" s="126">
        <v>-163.72</v>
      </c>
      <c r="E954" s="159">
        <v>1</v>
      </c>
      <c r="F954" s="127">
        <f>Tabla5109[[#This Row],[Original Amount]]*Tabla5109[[#This Row],[ER to EUR]]</f>
        <v>-163.72</v>
      </c>
      <c r="G954" s="37" t="s">
        <v>2733</v>
      </c>
      <c r="H954" s="37" t="s">
        <v>2734</v>
      </c>
      <c r="I954" s="9" t="s">
        <v>2713</v>
      </c>
      <c r="J954" s="37" t="s">
        <v>2701</v>
      </c>
      <c r="K954" s="217" t="s">
        <v>2809</v>
      </c>
      <c r="L954" s="37" t="s">
        <v>2810</v>
      </c>
      <c r="M954" s="32" t="s">
        <v>125</v>
      </c>
      <c r="N954" s="158" t="s">
        <v>2704</v>
      </c>
      <c r="O954" s="156" t="s">
        <v>2704</v>
      </c>
      <c r="P954" s="123" t="str">
        <f t="shared" si="28"/>
        <v>C3-2025</v>
      </c>
      <c r="Q954" s="123" t="str">
        <f t="shared" si="29"/>
        <v>T4-2025</v>
      </c>
      <c r="R954" s="124" t="s">
        <v>2705</v>
      </c>
      <c r="S954" s="157" t="s">
        <v>2735</v>
      </c>
      <c r="T954" s="123" t="s">
        <v>2707</v>
      </c>
      <c r="U954" s="203" t="s">
        <v>2708</v>
      </c>
      <c r="V954" s="203" t="s">
        <v>56</v>
      </c>
      <c r="W954" s="237" t="s">
        <v>125</v>
      </c>
      <c r="X954" s="202" t="s">
        <v>2709</v>
      </c>
    </row>
    <row r="955" spans="1:24" ht="15" hidden="1" customHeight="1">
      <c r="A955" s="161">
        <v>45975</v>
      </c>
      <c r="B955" s="167" t="s">
        <v>3980</v>
      </c>
      <c r="C955" s="158" t="s">
        <v>2697</v>
      </c>
      <c r="D955" s="239">
        <v>-65.540000000000006</v>
      </c>
      <c r="E955" s="159">
        <v>1</v>
      </c>
      <c r="F955" s="127">
        <f>Tabla5109[[#This Row],[Original Amount]]*Tabla5109[[#This Row],[ER to EUR]]</f>
        <v>-65.540000000000006</v>
      </c>
      <c r="G955" s="9" t="s">
        <v>2830</v>
      </c>
      <c r="H955" s="37" t="s">
        <v>3981</v>
      </c>
      <c r="I955" s="37" t="s">
        <v>2784</v>
      </c>
      <c r="J955" s="9" t="s">
        <v>2817</v>
      </c>
      <c r="K955" s="205" t="s">
        <v>2702</v>
      </c>
      <c r="L955" s="9" t="s">
        <v>2818</v>
      </c>
      <c r="M955" s="32" t="s">
        <v>125</v>
      </c>
      <c r="N955" s="122" t="s">
        <v>2704</v>
      </c>
      <c r="O955" s="129" t="s">
        <v>2704</v>
      </c>
      <c r="P955" s="123" t="str">
        <f t="shared" si="28"/>
        <v>C3-2025</v>
      </c>
      <c r="Q955" s="123" t="str">
        <f t="shared" si="29"/>
        <v>T4-2025</v>
      </c>
      <c r="R955" s="124" t="s">
        <v>2722</v>
      </c>
      <c r="S955" s="123" t="s">
        <v>2723</v>
      </c>
      <c r="T955" s="157" t="s">
        <v>2724</v>
      </c>
      <c r="U955" s="165" t="s">
        <v>2708</v>
      </c>
      <c r="V955" s="165" t="s">
        <v>54</v>
      </c>
      <c r="W955" s="237" t="s">
        <v>125</v>
      </c>
      <c r="X955" s="202" t="s">
        <v>2709</v>
      </c>
    </row>
    <row r="956" spans="1:24" ht="15" hidden="1" customHeight="1">
      <c r="A956" s="161">
        <v>45975</v>
      </c>
      <c r="B956" s="164">
        <v>15298945</v>
      </c>
      <c r="C956" s="38" t="s">
        <v>2543</v>
      </c>
      <c r="D956" s="147">
        <v>-5990</v>
      </c>
      <c r="E956" s="179">
        <v>9.1500000000000001E-4</v>
      </c>
      <c r="F956" s="127">
        <f>Tabla5109[[#This Row],[Original Amount]]*Tabla5109[[#This Row],[ER to EUR]]</f>
        <v>-5.4808500000000002</v>
      </c>
      <c r="G956" s="37" t="s">
        <v>3982</v>
      </c>
      <c r="H956" t="s">
        <v>3983</v>
      </c>
      <c r="I956" s="9" t="s">
        <v>3288</v>
      </c>
      <c r="J956" s="9" t="s">
        <v>3095</v>
      </c>
      <c r="K956" s="205" t="s">
        <v>3510</v>
      </c>
      <c r="L956" s="9" t="s">
        <v>3097</v>
      </c>
      <c r="M956" s="227" t="s">
        <v>2704</v>
      </c>
      <c r="N956" s="156" t="s">
        <v>2748</v>
      </c>
      <c r="O956" s="156" t="s">
        <v>2704</v>
      </c>
      <c r="P956" s="123" t="str">
        <f t="shared" si="28"/>
        <v>C3-2025</v>
      </c>
      <c r="Q956" s="123" t="str">
        <f t="shared" si="29"/>
        <v>T4-2025</v>
      </c>
      <c r="R956" s="91" t="s">
        <v>2749</v>
      </c>
      <c r="S956" s="124" t="s">
        <v>2706</v>
      </c>
      <c r="T956" s="157" t="s">
        <v>2717</v>
      </c>
      <c r="U956" s="162" t="s">
        <v>2708</v>
      </c>
      <c r="V956" s="162" t="s">
        <v>56</v>
      </c>
      <c r="W956" s="237" t="s">
        <v>125</v>
      </c>
      <c r="X956" s="173" t="s">
        <v>2751</v>
      </c>
    </row>
    <row r="957" spans="1:24" ht="15" hidden="1" customHeight="1">
      <c r="A957" s="161">
        <v>45976</v>
      </c>
      <c r="B957" s="164">
        <v>1990317</v>
      </c>
      <c r="C957" s="38" t="s">
        <v>2697</v>
      </c>
      <c r="D957" s="126">
        <v>-239.68</v>
      </c>
      <c r="E957" s="159">
        <v>1</v>
      </c>
      <c r="F957" s="127">
        <f>Tabla5109[[#This Row],[Original Amount]]*Tabla5109[[#This Row],[ER to EUR]]</f>
        <v>-239.68</v>
      </c>
      <c r="G957" s="37" t="s">
        <v>2815</v>
      </c>
      <c r="H957" s="37" t="s">
        <v>3103</v>
      </c>
      <c r="I957" s="37" t="s">
        <v>2727</v>
      </c>
      <c r="J957" s="37" t="s">
        <v>2817</v>
      </c>
      <c r="K957" s="217" t="s">
        <v>2702</v>
      </c>
      <c r="L957" s="37" t="s">
        <v>2818</v>
      </c>
      <c r="M957" s="32" t="s">
        <v>125</v>
      </c>
      <c r="N957" s="158" t="s">
        <v>2704</v>
      </c>
      <c r="O957" s="156" t="s">
        <v>2704</v>
      </c>
      <c r="P957" s="123" t="str">
        <f t="shared" si="28"/>
        <v>C3-2025</v>
      </c>
      <c r="Q957" s="123" t="str">
        <f t="shared" si="29"/>
        <v>T4-2025</v>
      </c>
      <c r="R957" s="160" t="s">
        <v>2819</v>
      </c>
      <c r="S957" s="157" t="s">
        <v>2723</v>
      </c>
      <c r="T957" s="123" t="s">
        <v>2724</v>
      </c>
      <c r="U957" s="162" t="s">
        <v>2708</v>
      </c>
      <c r="V957" s="162" t="s">
        <v>54</v>
      </c>
      <c r="W957" s="237" t="s">
        <v>125</v>
      </c>
      <c r="X957" s="202" t="s">
        <v>2709</v>
      </c>
    </row>
    <row r="958" spans="1:24" ht="15" hidden="1" customHeight="1">
      <c r="A958" s="161">
        <v>45976</v>
      </c>
      <c r="B958" s="167" t="s">
        <v>3984</v>
      </c>
      <c r="C958" s="38" t="s">
        <v>2697</v>
      </c>
      <c r="D958" s="126">
        <v>-124</v>
      </c>
      <c r="E958" s="159">
        <v>1</v>
      </c>
      <c r="F958" s="127">
        <f>Tabla5109[[#This Row],[Original Amount]]*Tabla5109[[#This Row],[ER to EUR]]</f>
        <v>-124</v>
      </c>
      <c r="G958" s="37" t="s">
        <v>3492</v>
      </c>
      <c r="H958" s="91" t="s">
        <v>3636</v>
      </c>
      <c r="I958" s="91" t="s">
        <v>2784</v>
      </c>
      <c r="J958" s="9" t="s">
        <v>2701</v>
      </c>
      <c r="K958" s="205" t="s">
        <v>2702</v>
      </c>
      <c r="L958" s="9" t="s">
        <v>3494</v>
      </c>
      <c r="M958" s="32" t="s">
        <v>125</v>
      </c>
      <c r="N958" s="129" t="s">
        <v>2704</v>
      </c>
      <c r="O958" s="129" t="s">
        <v>2704</v>
      </c>
      <c r="P958" s="123" t="str">
        <f t="shared" si="28"/>
        <v>C3-2025</v>
      </c>
      <c r="Q958" s="123" t="str">
        <f t="shared" si="29"/>
        <v>T4-2025</v>
      </c>
      <c r="R958" s="124" t="s">
        <v>2705</v>
      </c>
      <c r="S958" s="123" t="s">
        <v>2735</v>
      </c>
      <c r="T958" s="123" t="s">
        <v>2707</v>
      </c>
      <c r="U958" s="162" t="s">
        <v>2708</v>
      </c>
      <c r="V958" s="162" t="s">
        <v>54</v>
      </c>
      <c r="W958" s="237" t="s">
        <v>125</v>
      </c>
      <c r="X958" s="202" t="s">
        <v>2709</v>
      </c>
    </row>
    <row r="959" spans="1:24" hidden="1">
      <c r="A959" s="161">
        <v>45976</v>
      </c>
      <c r="B959" s="164">
        <v>26</v>
      </c>
      <c r="C959" s="38" t="s">
        <v>2697</v>
      </c>
      <c r="D959" s="126">
        <v>-5057.5</v>
      </c>
      <c r="E959" s="159">
        <v>1</v>
      </c>
      <c r="F959" s="127">
        <f>Tabla5109[[#This Row],[Original Amount]]*Tabla5109[[#This Row],[ER to EUR]]</f>
        <v>-5057.5</v>
      </c>
      <c r="G959" s="37" t="s">
        <v>2790</v>
      </c>
      <c r="H959" s="91" t="s">
        <v>2791</v>
      </c>
      <c r="I959" s="9" t="s">
        <v>2727</v>
      </c>
      <c r="J959" s="37" t="s">
        <v>2723</v>
      </c>
      <c r="K959" s="217" t="s">
        <v>2792</v>
      </c>
      <c r="L959" s="37" t="s">
        <v>2793</v>
      </c>
      <c r="M959" s="38" t="s">
        <v>125</v>
      </c>
      <c r="N959" s="156" t="s">
        <v>2704</v>
      </c>
      <c r="O959" s="158" t="s">
        <v>2704</v>
      </c>
      <c r="P959" s="157" t="str">
        <f t="shared" si="28"/>
        <v>C3-2025</v>
      </c>
      <c r="Q959" s="157" t="str">
        <f t="shared" si="29"/>
        <v>T4-2025</v>
      </c>
      <c r="R959" s="160" t="s">
        <v>2794</v>
      </c>
      <c r="S959" s="157" t="s">
        <v>2731</v>
      </c>
      <c r="T959" s="157" t="s">
        <v>2724</v>
      </c>
      <c r="U959" s="165" t="s">
        <v>2708</v>
      </c>
      <c r="V959" s="165" t="s">
        <v>57</v>
      </c>
      <c r="W959" s="262" t="s">
        <v>125</v>
      </c>
      <c r="X959" s="202" t="s">
        <v>2709</v>
      </c>
    </row>
    <row r="960" spans="1:24" hidden="1">
      <c r="A960" s="161">
        <v>45976</v>
      </c>
      <c r="B960" s="164">
        <v>27</v>
      </c>
      <c r="C960" s="38" t="s">
        <v>2697</v>
      </c>
      <c r="D960" s="126">
        <v>-5355</v>
      </c>
      <c r="E960" s="159">
        <v>1</v>
      </c>
      <c r="F960" s="127">
        <f>Tabla5109[[#This Row],[Original Amount]]*Tabla5109[[#This Row],[ER to EUR]]</f>
        <v>-5355</v>
      </c>
      <c r="G960" t="s">
        <v>2790</v>
      </c>
      <c r="H960" s="171" t="s">
        <v>2791</v>
      </c>
      <c r="I960" s="37" t="s">
        <v>2727</v>
      </c>
      <c r="J960" s="37" t="s">
        <v>2723</v>
      </c>
      <c r="K960" s="217" t="s">
        <v>2792</v>
      </c>
      <c r="L960" s="37" t="s">
        <v>2793</v>
      </c>
      <c r="M960" s="32" t="s">
        <v>125</v>
      </c>
      <c r="N960" s="156" t="s">
        <v>2704</v>
      </c>
      <c r="O960" s="158" t="s">
        <v>2704</v>
      </c>
      <c r="P960" s="123" t="str">
        <f t="shared" si="28"/>
        <v>C3-2025</v>
      </c>
      <c r="Q960" s="123" t="str">
        <f t="shared" si="29"/>
        <v>T4-2025</v>
      </c>
      <c r="R960" s="160" t="s">
        <v>2794</v>
      </c>
      <c r="S960" s="123" t="s">
        <v>2731</v>
      </c>
      <c r="T960" s="123" t="s">
        <v>2724</v>
      </c>
      <c r="U960" s="162" t="s">
        <v>2708</v>
      </c>
      <c r="V960" s="162" t="s">
        <v>57</v>
      </c>
      <c r="W960" s="237" t="s">
        <v>125</v>
      </c>
      <c r="X960" s="202" t="s">
        <v>2709</v>
      </c>
    </row>
    <row r="961" spans="1:24" hidden="1">
      <c r="A961" s="161">
        <v>45978</v>
      </c>
      <c r="B961" s="164">
        <v>16096</v>
      </c>
      <c r="C961" s="158" t="s">
        <v>2697</v>
      </c>
      <c r="D961" s="126">
        <v>-1800</v>
      </c>
      <c r="E961" s="159">
        <v>1</v>
      </c>
      <c r="F961" s="127">
        <f>Tabla5109[[#This Row],[Original Amount]]*Tabla5109[[#This Row],[ER to EUR]]</f>
        <v>-1800</v>
      </c>
      <c r="G961" t="s">
        <v>2725</v>
      </c>
      <c r="H961" s="37" t="s">
        <v>3236</v>
      </c>
      <c r="I961" s="37" t="s">
        <v>2727</v>
      </c>
      <c r="J961" s="9" t="s">
        <v>2701</v>
      </c>
      <c r="K961" s="205" t="s">
        <v>2728</v>
      </c>
      <c r="L961" s="9" t="s">
        <v>2729</v>
      </c>
      <c r="M961" s="32" t="s">
        <v>125</v>
      </c>
      <c r="N961" s="129" t="s">
        <v>2704</v>
      </c>
      <c r="O961" s="122" t="s">
        <v>2704</v>
      </c>
      <c r="P961" s="123" t="str">
        <f t="shared" si="28"/>
        <v>C3-2025</v>
      </c>
      <c r="Q961" s="123" t="str">
        <f t="shared" si="29"/>
        <v>T4-2025</v>
      </c>
      <c r="R961" s="124" t="s">
        <v>2730</v>
      </c>
      <c r="S961" s="123" t="s">
        <v>2731</v>
      </c>
      <c r="T961" s="157" t="s">
        <v>2707</v>
      </c>
      <c r="U961" s="165" t="s">
        <v>51</v>
      </c>
      <c r="V961" s="165" t="s">
        <v>57</v>
      </c>
      <c r="W961" s="237" t="s">
        <v>125</v>
      </c>
      <c r="X961" s="160" t="s">
        <v>2709</v>
      </c>
    </row>
    <row r="962" spans="1:24" hidden="1">
      <c r="A962" s="161">
        <v>45978</v>
      </c>
      <c r="B962" s="167" t="s">
        <v>3985</v>
      </c>
      <c r="C962" s="158" t="s">
        <v>2697</v>
      </c>
      <c r="D962" s="126">
        <v>-134.26</v>
      </c>
      <c r="E962" s="159">
        <v>1</v>
      </c>
      <c r="F962" s="127">
        <f>Tabla5109[[#This Row],[Original Amount]]*Tabla5109[[#This Row],[ER to EUR]]</f>
        <v>-134.26</v>
      </c>
      <c r="G962" t="s">
        <v>3116</v>
      </c>
      <c r="H962" s="37" t="s">
        <v>3787</v>
      </c>
      <c r="I962" s="37" t="s">
        <v>2713</v>
      </c>
      <c r="J962" s="9" t="s">
        <v>2701</v>
      </c>
      <c r="K962" s="205" t="s">
        <v>2702</v>
      </c>
      <c r="L962" s="9" t="s">
        <v>2703</v>
      </c>
      <c r="M962" s="32" t="s">
        <v>125</v>
      </c>
      <c r="N962" s="158" t="s">
        <v>2704</v>
      </c>
      <c r="O962" s="156" t="s">
        <v>2704</v>
      </c>
      <c r="P962" s="123" t="str">
        <f t="shared" ref="P962:P1025" si="30">"C"&amp;INT((MONTH(A962)-1)/4)+1&amp;"-"&amp;YEAR(A962)</f>
        <v>C3-2025</v>
      </c>
      <c r="Q962" s="123" t="str">
        <f t="shared" ref="Q962:Q1025" si="31">"T"&amp;INT((MONTH(A962)-1)/3)+1&amp;"-"&amp;YEAR(A962)</f>
        <v>T4-2025</v>
      </c>
      <c r="R962" s="160" t="s">
        <v>2794</v>
      </c>
      <c r="S962" s="123" t="s">
        <v>3041</v>
      </c>
      <c r="T962" s="157" t="s">
        <v>2707</v>
      </c>
      <c r="U962" s="165" t="s">
        <v>51</v>
      </c>
      <c r="V962" s="165" t="s">
        <v>57</v>
      </c>
      <c r="W962" s="237" t="s">
        <v>125</v>
      </c>
      <c r="X962" s="173" t="s">
        <v>2709</v>
      </c>
    </row>
    <row r="963" spans="1:24" hidden="1">
      <c r="A963" s="161">
        <v>45978</v>
      </c>
      <c r="B963" s="167" t="s">
        <v>3986</v>
      </c>
      <c r="C963" s="38" t="s">
        <v>2548</v>
      </c>
      <c r="D963" s="151">
        <v>-300</v>
      </c>
      <c r="E963" s="224">
        <v>0.86214299999999999</v>
      </c>
      <c r="F963" s="127">
        <f>Tabla5109[[#This Row],[Original Amount]]*Tabla5109[[#This Row],[ER to EUR]]</f>
        <v>-258.6429</v>
      </c>
      <c r="G963" t="s">
        <v>2786</v>
      </c>
      <c r="H963" s="37" t="s">
        <v>3908</v>
      </c>
      <c r="I963" s="9" t="s">
        <v>2713</v>
      </c>
      <c r="J963" s="9" t="s">
        <v>2701</v>
      </c>
      <c r="K963" s="205" t="s">
        <v>2702</v>
      </c>
      <c r="L963" s="9" t="s">
        <v>2788</v>
      </c>
      <c r="M963" s="32" t="s">
        <v>125</v>
      </c>
      <c r="N963" s="122" t="s">
        <v>2704</v>
      </c>
      <c r="O963" s="129" t="s">
        <v>2704</v>
      </c>
      <c r="P963" s="123" t="str">
        <f t="shared" si="30"/>
        <v>C3-2025</v>
      </c>
      <c r="Q963" s="123" t="str">
        <f t="shared" si="31"/>
        <v>T4-2025</v>
      </c>
      <c r="R963" s="124" t="s">
        <v>2705</v>
      </c>
      <c r="S963" s="124" t="s">
        <v>2706</v>
      </c>
      <c r="T963" s="123" t="s">
        <v>2724</v>
      </c>
      <c r="U963" s="162" t="s">
        <v>2708</v>
      </c>
      <c r="V963" s="162" t="s">
        <v>56</v>
      </c>
      <c r="W963" s="237" t="s">
        <v>125</v>
      </c>
      <c r="X963" s="173" t="s">
        <v>2709</v>
      </c>
    </row>
    <row r="964" spans="1:24" hidden="1">
      <c r="A964" s="161">
        <v>45978</v>
      </c>
      <c r="B964" s="167" t="s">
        <v>3987</v>
      </c>
      <c r="C964" s="38" t="s">
        <v>2697</v>
      </c>
      <c r="D964" s="126">
        <v>-81</v>
      </c>
      <c r="E964" s="159">
        <v>1</v>
      </c>
      <c r="F964" s="127">
        <f>Tabla5109[[#This Row],[Original Amount]]*Tabla5109[[#This Row],[ER to EUR]]</f>
        <v>-81</v>
      </c>
      <c r="G964" t="s">
        <v>2833</v>
      </c>
      <c r="H964" s="37" t="s">
        <v>2834</v>
      </c>
      <c r="I964" s="37" t="s">
        <v>2713</v>
      </c>
      <c r="J964" s="9" t="s">
        <v>2701</v>
      </c>
      <c r="K964" s="205" t="s">
        <v>2771</v>
      </c>
      <c r="L964" s="211" t="s">
        <v>2818</v>
      </c>
      <c r="M964" s="32" t="s">
        <v>125</v>
      </c>
      <c r="N964" s="122" t="s">
        <v>2704</v>
      </c>
      <c r="O964" s="129" t="s">
        <v>2704</v>
      </c>
      <c r="P964" s="123" t="str">
        <f t="shared" si="30"/>
        <v>C3-2025</v>
      </c>
      <c r="Q964" s="123" t="str">
        <f t="shared" si="31"/>
        <v>T4-2025</v>
      </c>
      <c r="R964" s="91" t="s">
        <v>2819</v>
      </c>
      <c r="S964" s="123" t="s">
        <v>2817</v>
      </c>
      <c r="T964" s="123" t="s">
        <v>2724</v>
      </c>
      <c r="U964" s="162" t="s">
        <v>2708</v>
      </c>
      <c r="V964" s="162" t="s">
        <v>54</v>
      </c>
      <c r="W964" s="237" t="s">
        <v>125</v>
      </c>
      <c r="X964" s="202" t="s">
        <v>2709</v>
      </c>
    </row>
    <row r="965" spans="1:24" hidden="1">
      <c r="A965" s="161">
        <v>45979</v>
      </c>
      <c r="B965" s="167" t="s">
        <v>3988</v>
      </c>
      <c r="C965" s="38" t="s">
        <v>2697</v>
      </c>
      <c r="D965" s="126">
        <v>-538.54999999999995</v>
      </c>
      <c r="E965" s="159">
        <v>1</v>
      </c>
      <c r="F965" s="127">
        <f>Tabla5109[[#This Row],[Original Amount]]*Tabla5109[[#This Row],[ER to EUR]]</f>
        <v>-538.54999999999995</v>
      </c>
      <c r="G965" t="s">
        <v>2753</v>
      </c>
      <c r="H965" s="171" t="s">
        <v>3989</v>
      </c>
      <c r="I965" s="37" t="s">
        <v>2755</v>
      </c>
      <c r="J965" s="37" t="s">
        <v>2701</v>
      </c>
      <c r="K965" s="217" t="s">
        <v>2702</v>
      </c>
      <c r="L965" s="37" t="s">
        <v>2703</v>
      </c>
      <c r="M965" s="32" t="s">
        <v>125</v>
      </c>
      <c r="N965" s="156" t="s">
        <v>2704</v>
      </c>
      <c r="O965" s="156" t="s">
        <v>2704</v>
      </c>
      <c r="P965" s="123" t="str">
        <f t="shared" si="30"/>
        <v>C3-2025</v>
      </c>
      <c r="Q965" s="123" t="str">
        <f t="shared" si="31"/>
        <v>T4-2025</v>
      </c>
      <c r="R965" s="160" t="s">
        <v>2705</v>
      </c>
      <c r="S965" s="160" t="s">
        <v>2706</v>
      </c>
      <c r="T965" s="123" t="s">
        <v>2707</v>
      </c>
      <c r="U965" s="162" t="s">
        <v>2708</v>
      </c>
      <c r="V965" s="162" t="s">
        <v>56</v>
      </c>
      <c r="W965" s="237" t="s">
        <v>125</v>
      </c>
      <c r="X965" s="202" t="s">
        <v>2709</v>
      </c>
    </row>
    <row r="966" spans="1:24" hidden="1">
      <c r="A966" s="161">
        <v>45979</v>
      </c>
      <c r="B966" s="167" t="s">
        <v>3990</v>
      </c>
      <c r="C966" s="38" t="s">
        <v>2697</v>
      </c>
      <c r="D966" s="126">
        <v>-206.71</v>
      </c>
      <c r="E966" s="159">
        <v>1</v>
      </c>
      <c r="F966" s="127">
        <f>Tabla5109[[#This Row],[Original Amount]]*Tabla5109[[#This Row],[ER to EUR]]</f>
        <v>-206.71</v>
      </c>
      <c r="G966" t="s">
        <v>2839</v>
      </c>
      <c r="H966" s="9" t="s">
        <v>2840</v>
      </c>
      <c r="I966" s="9" t="s">
        <v>2784</v>
      </c>
      <c r="J966" s="9" t="s">
        <v>2701</v>
      </c>
      <c r="K966" s="205" t="s">
        <v>2702</v>
      </c>
      <c r="L966" s="9" t="s">
        <v>2703</v>
      </c>
      <c r="M966" s="32" t="s">
        <v>125</v>
      </c>
      <c r="N966" s="129" t="s">
        <v>2704</v>
      </c>
      <c r="O966" s="122" t="s">
        <v>2704</v>
      </c>
      <c r="P966" s="123" t="str">
        <f t="shared" si="30"/>
        <v>C3-2025</v>
      </c>
      <c r="Q966" s="123" t="str">
        <f t="shared" si="31"/>
        <v>T4-2025</v>
      </c>
      <c r="R966" s="124" t="s">
        <v>2705</v>
      </c>
      <c r="S966" s="124" t="s">
        <v>2706</v>
      </c>
      <c r="T966" s="123" t="s">
        <v>2707</v>
      </c>
      <c r="U966" s="162" t="s">
        <v>2708</v>
      </c>
      <c r="V966" s="162" t="s">
        <v>56</v>
      </c>
      <c r="W966" s="237" t="s">
        <v>125</v>
      </c>
      <c r="X966" s="173" t="s">
        <v>2709</v>
      </c>
    </row>
    <row r="967" spans="1:24" hidden="1">
      <c r="A967" s="161">
        <v>45980</v>
      </c>
      <c r="B967" s="167" t="s">
        <v>3991</v>
      </c>
      <c r="C967" s="38" t="s">
        <v>2697</v>
      </c>
      <c r="D967" s="126">
        <v>-192.44</v>
      </c>
      <c r="E967" s="159">
        <v>1</v>
      </c>
      <c r="F967" s="127">
        <f>Tabla5109[[#This Row],[Original Amount]]*Tabla5109[[#This Row],[ER to EUR]]</f>
        <v>-192.44</v>
      </c>
      <c r="G967" s="37" t="s">
        <v>2766</v>
      </c>
      <c r="H967" s="9" t="s">
        <v>3992</v>
      </c>
      <c r="I967" s="9" t="s">
        <v>2713</v>
      </c>
      <c r="J967" s="9" t="s">
        <v>2701</v>
      </c>
      <c r="K967" s="205" t="s">
        <v>2702</v>
      </c>
      <c r="L967" s="9" t="s">
        <v>2760</v>
      </c>
      <c r="M967" s="32" t="s">
        <v>125</v>
      </c>
      <c r="N967" s="158" t="s">
        <v>2704</v>
      </c>
      <c r="O967" s="158" t="s">
        <v>2704</v>
      </c>
      <c r="P967" s="123" t="str">
        <f t="shared" si="30"/>
        <v>C3-2025</v>
      </c>
      <c r="Q967" s="123" t="str">
        <f t="shared" si="31"/>
        <v>T4-2025</v>
      </c>
      <c r="R967" s="160" t="s">
        <v>2741</v>
      </c>
      <c r="S967" s="123" t="s">
        <v>2723</v>
      </c>
      <c r="T967" s="123" t="s">
        <v>2724</v>
      </c>
      <c r="U967" s="162" t="s">
        <v>2708</v>
      </c>
      <c r="V967" s="162" t="s">
        <v>55</v>
      </c>
      <c r="W967" s="237" t="s">
        <v>125</v>
      </c>
      <c r="X967" s="173" t="s">
        <v>2709</v>
      </c>
    </row>
    <row r="968" spans="1:24" hidden="1">
      <c r="A968" s="161">
        <v>45980</v>
      </c>
      <c r="B968" s="164">
        <v>71547</v>
      </c>
      <c r="C968" s="38" t="s">
        <v>2697</v>
      </c>
      <c r="D968" s="239">
        <v>-259</v>
      </c>
      <c r="E968" s="159">
        <v>1</v>
      </c>
      <c r="F968" s="127">
        <f>Tabla5109[[#This Row],[Original Amount]]*Tabla5109[[#This Row],[ER to EUR]]</f>
        <v>-259</v>
      </c>
      <c r="G968" t="s">
        <v>3993</v>
      </c>
      <c r="H968" s="9" t="s">
        <v>3994</v>
      </c>
      <c r="I968" s="9" t="s">
        <v>2713</v>
      </c>
      <c r="J968" s="9" t="s">
        <v>2825</v>
      </c>
      <c r="K968" s="205" t="s">
        <v>2826</v>
      </c>
      <c r="L968" s="211" t="s">
        <v>2827</v>
      </c>
      <c r="M968" s="32" t="s">
        <v>125</v>
      </c>
      <c r="N968" s="122" t="s">
        <v>2704</v>
      </c>
      <c r="O968" s="129" t="s">
        <v>2704</v>
      </c>
      <c r="P968" s="123" t="str">
        <f t="shared" si="30"/>
        <v>C3-2025</v>
      </c>
      <c r="Q968" s="123" t="str">
        <f t="shared" si="31"/>
        <v>T4-2025</v>
      </c>
      <c r="R968" s="91" t="s">
        <v>2705</v>
      </c>
      <c r="S968" s="124" t="s">
        <v>2706</v>
      </c>
      <c r="T968" s="123" t="s">
        <v>2717</v>
      </c>
      <c r="U968" s="162" t="s">
        <v>2708</v>
      </c>
      <c r="V968" s="162" t="s">
        <v>56</v>
      </c>
      <c r="W968" s="237" t="s">
        <v>125</v>
      </c>
      <c r="X968" s="201" t="s">
        <v>2709</v>
      </c>
    </row>
    <row r="969" spans="1:24" hidden="1">
      <c r="A969" s="161">
        <v>45981</v>
      </c>
      <c r="B969" s="167" t="s">
        <v>3995</v>
      </c>
      <c r="C969" s="38" t="s">
        <v>2548</v>
      </c>
      <c r="D969" s="151">
        <v>-12.5</v>
      </c>
      <c r="E969" s="224">
        <v>0.86214299999999999</v>
      </c>
      <c r="F969" s="127">
        <f>Tabla5109[[#This Row],[Original Amount]]*Tabla5109[[#This Row],[ER to EUR]]</f>
        <v>-10.776787499999999</v>
      </c>
      <c r="G969" t="s">
        <v>3920</v>
      </c>
      <c r="H969" s="9" t="s">
        <v>3921</v>
      </c>
      <c r="I969" s="9" t="s">
        <v>2755</v>
      </c>
      <c r="J969" s="37" t="s">
        <v>2701</v>
      </c>
      <c r="K969" s="217" t="s">
        <v>2702</v>
      </c>
      <c r="L969" s="37" t="s">
        <v>2788</v>
      </c>
      <c r="M969" s="32" t="s">
        <v>125</v>
      </c>
      <c r="N969" s="122" t="s">
        <v>2704</v>
      </c>
      <c r="O969" s="129" t="s">
        <v>2704</v>
      </c>
      <c r="P969" s="123" t="str">
        <f t="shared" si="30"/>
        <v>C3-2025</v>
      </c>
      <c r="Q969" s="123" t="str">
        <f t="shared" si="31"/>
        <v>T4-2025</v>
      </c>
      <c r="R969" s="91" t="s">
        <v>2705</v>
      </c>
      <c r="S969" s="123" t="s">
        <v>2735</v>
      </c>
      <c r="T969" s="123" t="s">
        <v>2724</v>
      </c>
      <c r="U969" s="162" t="s">
        <v>2708</v>
      </c>
      <c r="V969" s="162" t="s">
        <v>56</v>
      </c>
      <c r="W969" s="237" t="s">
        <v>125</v>
      </c>
      <c r="X969" s="124" t="s">
        <v>2709</v>
      </c>
    </row>
    <row r="970" spans="1:24" hidden="1">
      <c r="A970" s="161">
        <v>45981</v>
      </c>
      <c r="B970" s="164">
        <v>1043385615</v>
      </c>
      <c r="C970" s="38" t="s">
        <v>2697</v>
      </c>
      <c r="D970" s="126">
        <v>-76.38</v>
      </c>
      <c r="E970" s="159">
        <v>1</v>
      </c>
      <c r="F970" s="127">
        <f>Tabla5109[[#This Row],[Original Amount]]*Tabla5109[[#This Row],[ER to EUR]]</f>
        <v>-76.38</v>
      </c>
      <c r="G970" s="37" t="s">
        <v>3892</v>
      </c>
      <c r="H970" s="73" t="s">
        <v>3893</v>
      </c>
      <c r="I970" s="9" t="s">
        <v>3288</v>
      </c>
      <c r="J970" s="37" t="s">
        <v>3095</v>
      </c>
      <c r="K970" s="217" t="s">
        <v>3627</v>
      </c>
      <c r="L970" s="37" t="s">
        <v>3511</v>
      </c>
      <c r="M970" s="38" t="s">
        <v>125</v>
      </c>
      <c r="N970" s="158" t="s">
        <v>2704</v>
      </c>
      <c r="O970" s="156" t="s">
        <v>2704</v>
      </c>
      <c r="P970" s="157" t="str">
        <f t="shared" si="30"/>
        <v>C3-2025</v>
      </c>
      <c r="Q970" s="157" t="str">
        <f t="shared" si="31"/>
        <v>T4-2025</v>
      </c>
      <c r="R970" s="171" t="s">
        <v>2794</v>
      </c>
      <c r="S970" s="160" t="s">
        <v>2706</v>
      </c>
      <c r="T970" s="157" t="s">
        <v>2707</v>
      </c>
      <c r="U970" s="165" t="s">
        <v>51</v>
      </c>
      <c r="V970" s="165" t="s">
        <v>57</v>
      </c>
      <c r="W970" s="262" t="s">
        <v>125</v>
      </c>
      <c r="X970" s="202" t="s">
        <v>2709</v>
      </c>
    </row>
    <row r="971" spans="1:24" hidden="1">
      <c r="A971" s="161">
        <v>45981</v>
      </c>
      <c r="B971" s="164">
        <v>4014969290859</v>
      </c>
      <c r="C971" s="38" t="s">
        <v>2697</v>
      </c>
      <c r="D971" s="126">
        <v>-26.04</v>
      </c>
      <c r="E971" s="159">
        <v>1</v>
      </c>
      <c r="F971" s="127">
        <f>Tabla5109[[#This Row],[Original Amount]]*Tabla5109[[#This Row],[ER to EUR]]</f>
        <v>-26.04</v>
      </c>
      <c r="G971" s="37" t="s">
        <v>3996</v>
      </c>
      <c r="H971" s="9" t="s">
        <v>3997</v>
      </c>
      <c r="I971" s="9" t="s">
        <v>2713</v>
      </c>
      <c r="J971" s="37" t="s">
        <v>3095</v>
      </c>
      <c r="K971" s="217" t="s">
        <v>3510</v>
      </c>
      <c r="L971" s="37" t="s">
        <v>3511</v>
      </c>
      <c r="M971" s="38" t="s">
        <v>125</v>
      </c>
      <c r="N971" s="158" t="s">
        <v>2704</v>
      </c>
      <c r="O971" s="156" t="s">
        <v>2704</v>
      </c>
      <c r="P971" s="157" t="str">
        <f t="shared" si="30"/>
        <v>C3-2025</v>
      </c>
      <c r="Q971" s="157" t="str">
        <f t="shared" si="31"/>
        <v>T4-2025</v>
      </c>
      <c r="R971" s="171" t="s">
        <v>2794</v>
      </c>
      <c r="S971" s="157" t="s">
        <v>2731</v>
      </c>
      <c r="T971" s="157" t="s">
        <v>2717</v>
      </c>
      <c r="U971" s="165" t="s">
        <v>2708</v>
      </c>
      <c r="V971" s="165" t="s">
        <v>56</v>
      </c>
      <c r="W971" s="262" t="s">
        <v>125</v>
      </c>
      <c r="X971" s="202" t="s">
        <v>2709</v>
      </c>
    </row>
    <row r="972" spans="1:24" hidden="1">
      <c r="A972" s="161">
        <v>45981</v>
      </c>
      <c r="B972" s="200" t="s">
        <v>3703</v>
      </c>
      <c r="C972" s="38" t="s">
        <v>2697</v>
      </c>
      <c r="D972" s="126">
        <v>-4.54</v>
      </c>
      <c r="E972" s="159">
        <v>1</v>
      </c>
      <c r="F972" s="127">
        <f>Tabla5109[[#This Row],[Original Amount]]*Tabla5109[[#This Row],[ER to EUR]]</f>
        <v>-4.54</v>
      </c>
      <c r="G972" t="s">
        <v>3930</v>
      </c>
      <c r="H972" s="9" t="s">
        <v>3931</v>
      </c>
      <c r="I972" s="9" t="s">
        <v>2713</v>
      </c>
      <c r="J972" s="37" t="s">
        <v>3095</v>
      </c>
      <c r="K972" s="217" t="s">
        <v>3627</v>
      </c>
      <c r="L972" s="37" t="s">
        <v>3511</v>
      </c>
      <c r="M972" s="38" t="s">
        <v>125</v>
      </c>
      <c r="N972" s="158" t="s">
        <v>2748</v>
      </c>
      <c r="O972" s="156" t="s">
        <v>2748</v>
      </c>
      <c r="P972" s="157" t="str">
        <f t="shared" si="30"/>
        <v>C3-2025</v>
      </c>
      <c r="Q972" s="157" t="str">
        <f t="shared" si="31"/>
        <v>T4-2025</v>
      </c>
      <c r="R972" s="171" t="s">
        <v>2794</v>
      </c>
      <c r="S972" s="157" t="s">
        <v>2731</v>
      </c>
      <c r="T972" s="157" t="s">
        <v>2707</v>
      </c>
      <c r="U972" s="165" t="s">
        <v>51</v>
      </c>
      <c r="V972" s="165" t="s">
        <v>57</v>
      </c>
      <c r="W972" s="262" t="s">
        <v>125</v>
      </c>
      <c r="X972" s="202" t="s">
        <v>2709</v>
      </c>
    </row>
    <row r="973" spans="1:24" hidden="1">
      <c r="A973" s="161">
        <v>45981</v>
      </c>
      <c r="B973" s="167" t="s">
        <v>3998</v>
      </c>
      <c r="C973" s="156" t="s">
        <v>2697</v>
      </c>
      <c r="D973" s="126">
        <v>-19.329999999999998</v>
      </c>
      <c r="E973" s="408">
        <v>1</v>
      </c>
      <c r="F973" s="127">
        <v>-19.329999999999998</v>
      </c>
      <c r="G973" s="171" t="s">
        <v>2996</v>
      </c>
      <c r="H973" s="91" t="s">
        <v>2997</v>
      </c>
      <c r="I973" s="91" t="s">
        <v>2727</v>
      </c>
      <c r="J973" s="171" t="s">
        <v>2701</v>
      </c>
      <c r="K973" s="411" t="s">
        <v>2702</v>
      </c>
      <c r="L973" s="171" t="s">
        <v>2703</v>
      </c>
      <c r="M973" s="38" t="s">
        <v>125</v>
      </c>
      <c r="N973" s="156" t="s">
        <v>2704</v>
      </c>
      <c r="O973" s="156" t="s">
        <v>2704</v>
      </c>
      <c r="P973" s="157" t="str">
        <f t="shared" si="30"/>
        <v>C3-2025</v>
      </c>
      <c r="Q973" s="157" t="str">
        <f t="shared" si="31"/>
        <v>T4-2025</v>
      </c>
      <c r="R973" s="160" t="s">
        <v>2705</v>
      </c>
      <c r="S973" s="157" t="s">
        <v>2735</v>
      </c>
      <c r="T973" s="157" t="s">
        <v>2724</v>
      </c>
      <c r="U973" s="165" t="s">
        <v>2708</v>
      </c>
      <c r="V973" s="165" t="s">
        <v>56</v>
      </c>
      <c r="W973" s="262" t="s">
        <v>125</v>
      </c>
      <c r="X973" s="202" t="s">
        <v>2709</v>
      </c>
    </row>
    <row r="974" spans="1:24" hidden="1">
      <c r="A974" s="161">
        <v>45981</v>
      </c>
      <c r="B974" s="164">
        <v>1993234</v>
      </c>
      <c r="C974" s="38" t="s">
        <v>2697</v>
      </c>
      <c r="D974" s="126">
        <v>-187.25</v>
      </c>
      <c r="E974" s="159">
        <v>1</v>
      </c>
      <c r="F974" s="127">
        <f>Tabla5109[[#This Row],[Original Amount]]*Tabla5109[[#This Row],[ER to EUR]]</f>
        <v>-187.25</v>
      </c>
      <c r="G974" s="91" t="s">
        <v>2815</v>
      </c>
      <c r="H974" s="171" t="s">
        <v>2816</v>
      </c>
      <c r="I974" s="91" t="s">
        <v>2727</v>
      </c>
      <c r="J974" s="171" t="s">
        <v>2817</v>
      </c>
      <c r="K974" s="411" t="s">
        <v>2702</v>
      </c>
      <c r="L974" s="171" t="s">
        <v>2818</v>
      </c>
      <c r="M974" s="32" t="s">
        <v>125</v>
      </c>
      <c r="N974" s="158" t="s">
        <v>2704</v>
      </c>
      <c r="O974" s="156" t="s">
        <v>2704</v>
      </c>
      <c r="P974" s="123" t="str">
        <f t="shared" si="30"/>
        <v>C3-2025</v>
      </c>
      <c r="Q974" s="123" t="str">
        <f t="shared" si="31"/>
        <v>T4-2025</v>
      </c>
      <c r="R974" s="160" t="s">
        <v>2819</v>
      </c>
      <c r="S974" s="157" t="s">
        <v>2723</v>
      </c>
      <c r="T974" s="123" t="s">
        <v>2724</v>
      </c>
      <c r="U974" s="162" t="s">
        <v>2708</v>
      </c>
      <c r="V974" s="162" t="s">
        <v>54</v>
      </c>
      <c r="W974" s="237" t="s">
        <v>125</v>
      </c>
      <c r="X974" s="202" t="s">
        <v>2709</v>
      </c>
    </row>
    <row r="975" spans="1:24" hidden="1">
      <c r="A975" s="161">
        <v>45982</v>
      </c>
      <c r="B975" s="404" t="s">
        <v>3999</v>
      </c>
      <c r="C975" s="38" t="s">
        <v>2697</v>
      </c>
      <c r="D975" s="239">
        <v>-8.99</v>
      </c>
      <c r="E975" s="159">
        <v>1</v>
      </c>
      <c r="F975" s="127">
        <f>Tabla5109[[#This Row],[Original Amount]]*Tabla5109[[#This Row],[ER to EUR]]</f>
        <v>-8.99</v>
      </c>
      <c r="G975" t="s">
        <v>3809</v>
      </c>
      <c r="H975" s="37" t="s">
        <v>3810</v>
      </c>
      <c r="I975" s="37" t="s">
        <v>3752</v>
      </c>
      <c r="J975" s="9" t="s">
        <v>2701</v>
      </c>
      <c r="K975" s="4" t="s">
        <v>2702</v>
      </c>
      <c r="L975" t="s">
        <v>2703</v>
      </c>
      <c r="M975" s="32" t="s">
        <v>125</v>
      </c>
      <c r="N975" s="156" t="s">
        <v>2704</v>
      </c>
      <c r="O975" s="158" t="s">
        <v>2704</v>
      </c>
      <c r="P975" s="123" t="str">
        <f t="shared" si="30"/>
        <v>C3-2025</v>
      </c>
      <c r="Q975" s="123" t="str">
        <f t="shared" si="31"/>
        <v>T4-2025</v>
      </c>
      <c r="R975" s="160" t="s">
        <v>2730</v>
      </c>
      <c r="S975" s="157" t="s">
        <v>2731</v>
      </c>
      <c r="T975" s="123" t="s">
        <v>2724</v>
      </c>
      <c r="U975" s="162" t="s">
        <v>2708</v>
      </c>
      <c r="V975" s="162" t="s">
        <v>55</v>
      </c>
      <c r="W975" s="237" t="s">
        <v>125</v>
      </c>
      <c r="X975" s="202" t="s">
        <v>2709</v>
      </c>
    </row>
    <row r="976" spans="1:24" hidden="1">
      <c r="A976" s="161">
        <v>45982</v>
      </c>
      <c r="B976" s="716">
        <v>781178168600</v>
      </c>
      <c r="C976" s="38" t="s">
        <v>2697</v>
      </c>
      <c r="D976" s="239">
        <v>-43.38</v>
      </c>
      <c r="E976" s="159">
        <v>1</v>
      </c>
      <c r="F976" s="127">
        <f>Tabla5109[[#This Row],[Original Amount]]*Tabla5109[[#This Row],[ER to EUR]]</f>
        <v>-43.38</v>
      </c>
      <c r="G976" s="37" t="s">
        <v>2718</v>
      </c>
      <c r="H976" t="s">
        <v>3924</v>
      </c>
      <c r="I976" s="37" t="s">
        <v>2755</v>
      </c>
      <c r="J976" t="s">
        <v>2714</v>
      </c>
      <c r="K976" s="4" t="s">
        <v>2721</v>
      </c>
      <c r="L976" t="s">
        <v>2716</v>
      </c>
      <c r="M976" s="32" t="s">
        <v>125</v>
      </c>
      <c r="N976" s="156" t="s">
        <v>2704</v>
      </c>
      <c r="O976" s="158" t="s">
        <v>2704</v>
      </c>
      <c r="P976" s="123" t="str">
        <f t="shared" si="30"/>
        <v>C3-2025</v>
      </c>
      <c r="Q976" s="123" t="str">
        <f t="shared" si="31"/>
        <v>T4-2025</v>
      </c>
      <c r="R976" s="160" t="s">
        <v>2722</v>
      </c>
      <c r="S976" s="157" t="s">
        <v>2723</v>
      </c>
      <c r="T976" s="123" t="s">
        <v>2724</v>
      </c>
      <c r="U976" s="162" t="s">
        <v>2708</v>
      </c>
      <c r="V976" s="162" t="s">
        <v>54</v>
      </c>
      <c r="W976" s="237" t="s">
        <v>125</v>
      </c>
      <c r="X976" s="202" t="s">
        <v>2709</v>
      </c>
    </row>
    <row r="977" spans="1:24" hidden="1">
      <c r="A977" s="161">
        <v>45982</v>
      </c>
      <c r="B977" s="177">
        <v>25</v>
      </c>
      <c r="C977" s="38" t="s">
        <v>2543</v>
      </c>
      <c r="D977" s="243">
        <v>-1456000</v>
      </c>
      <c r="E977" s="179">
        <v>9.1500000000000001E-4</v>
      </c>
      <c r="F977" s="127">
        <f>Tabla5109[[#This Row],[Original Amount]]*Tabla5109[[#This Row],[ER to EUR]]</f>
        <v>-1332.24</v>
      </c>
      <c r="G977" s="37" t="s">
        <v>3566</v>
      </c>
      <c r="H977" t="s">
        <v>4000</v>
      </c>
      <c r="I977" s="37" t="s">
        <v>2713</v>
      </c>
      <c r="J977" t="s">
        <v>2714</v>
      </c>
      <c r="K977" s="4" t="s">
        <v>2747</v>
      </c>
      <c r="L977" t="s">
        <v>2864</v>
      </c>
      <c r="M977" s="226" t="s">
        <v>2748</v>
      </c>
      <c r="N977" s="156" t="s">
        <v>2704</v>
      </c>
      <c r="O977" s="158" t="s">
        <v>2704</v>
      </c>
      <c r="P977" s="123" t="str">
        <f t="shared" si="30"/>
        <v>C3-2025</v>
      </c>
      <c r="Q977" s="123" t="str">
        <f t="shared" si="31"/>
        <v>T4-2025</v>
      </c>
      <c r="R977" s="160" t="s">
        <v>2705</v>
      </c>
      <c r="S977" s="160" t="s">
        <v>2706</v>
      </c>
      <c r="T977" s="123" t="s">
        <v>2724</v>
      </c>
      <c r="U977" s="162" t="s">
        <v>2708</v>
      </c>
      <c r="V977" s="162" t="s">
        <v>56</v>
      </c>
      <c r="W977" s="237" t="s">
        <v>125</v>
      </c>
      <c r="X977" s="202" t="s">
        <v>2709</v>
      </c>
    </row>
    <row r="978" spans="1:24" hidden="1">
      <c r="A978" s="10">
        <v>45983</v>
      </c>
      <c r="B978" s="216" t="s">
        <v>4001</v>
      </c>
      <c r="C978" s="158" t="s">
        <v>2697</v>
      </c>
      <c r="D978" s="239">
        <v>-83.18</v>
      </c>
      <c r="E978" s="159">
        <v>1</v>
      </c>
      <c r="F978" s="127">
        <f>Tabla5109[[#This Row],[Original Amount]]*Tabla5109[[#This Row],[ER to EUR]]</f>
        <v>-83.18</v>
      </c>
      <c r="G978" s="37" t="s">
        <v>3534</v>
      </c>
      <c r="H978" t="s">
        <v>2852</v>
      </c>
      <c r="I978" s="37" t="s">
        <v>2713</v>
      </c>
      <c r="J978" t="s">
        <v>2701</v>
      </c>
      <c r="K978" s="4" t="s">
        <v>2702</v>
      </c>
      <c r="L978" t="s">
        <v>2788</v>
      </c>
      <c r="M978" s="32" t="s">
        <v>125</v>
      </c>
      <c r="N978" s="158" t="s">
        <v>2704</v>
      </c>
      <c r="O978" s="156" t="s">
        <v>2704</v>
      </c>
      <c r="P978" s="123" t="str">
        <f t="shared" si="30"/>
        <v>C3-2025</v>
      </c>
      <c r="Q978" s="123" t="str">
        <f t="shared" si="31"/>
        <v>T4-2025</v>
      </c>
      <c r="R978" s="160" t="s">
        <v>2794</v>
      </c>
      <c r="S978" s="157" t="s">
        <v>2731</v>
      </c>
      <c r="T978" s="123" t="s">
        <v>2724</v>
      </c>
      <c r="U978" s="162" t="s">
        <v>2708</v>
      </c>
      <c r="V978" s="162" t="s">
        <v>55</v>
      </c>
      <c r="W978" s="237" t="s">
        <v>125</v>
      </c>
      <c r="X978" s="202" t="s">
        <v>2709</v>
      </c>
    </row>
    <row r="979" spans="1:24" hidden="1">
      <c r="A979" s="161">
        <v>45984</v>
      </c>
      <c r="B979" s="167" t="s">
        <v>4002</v>
      </c>
      <c r="C979" s="38" t="s">
        <v>2697</v>
      </c>
      <c r="D979" s="239">
        <v>-110.62</v>
      </c>
      <c r="E979" s="120">
        <v>1</v>
      </c>
      <c r="F979" s="127">
        <f>Tabla5109[[#This Row],[Original Amount]]*Tabla5109[[#This Row],[ER to EUR]]</f>
        <v>-110.62</v>
      </c>
      <c r="G979" s="37" t="s">
        <v>3128</v>
      </c>
      <c r="H979" t="s">
        <v>4003</v>
      </c>
      <c r="I979" s="37" t="s">
        <v>2755</v>
      </c>
      <c r="J979" t="s">
        <v>2701</v>
      </c>
      <c r="K979" s="4" t="s">
        <v>2702</v>
      </c>
      <c r="L979" t="s">
        <v>2703</v>
      </c>
      <c r="M979" s="32" t="s">
        <v>125</v>
      </c>
      <c r="N979" s="156" t="s">
        <v>2704</v>
      </c>
      <c r="O979" s="158" t="s">
        <v>2704</v>
      </c>
      <c r="P979" s="123" t="str">
        <f t="shared" si="30"/>
        <v>C3-2025</v>
      </c>
      <c r="Q979" s="123" t="str">
        <f t="shared" si="31"/>
        <v>T4-2025</v>
      </c>
      <c r="R979" s="160" t="s">
        <v>2741</v>
      </c>
      <c r="S979" s="157" t="s">
        <v>2723</v>
      </c>
      <c r="T979" s="123" t="s">
        <v>2707</v>
      </c>
      <c r="U979" s="162" t="s">
        <v>2708</v>
      </c>
      <c r="V979" s="162" t="s">
        <v>54</v>
      </c>
      <c r="W979" s="237" t="s">
        <v>125</v>
      </c>
      <c r="X979" s="202" t="s">
        <v>2709</v>
      </c>
    </row>
    <row r="980" spans="1:24" hidden="1">
      <c r="A980" s="161">
        <v>45984</v>
      </c>
      <c r="B980" s="164">
        <v>16128</v>
      </c>
      <c r="C980" s="38" t="s">
        <v>2697</v>
      </c>
      <c r="D980" s="239">
        <v>-3000</v>
      </c>
      <c r="E980" s="159">
        <v>1</v>
      </c>
      <c r="F980" s="127">
        <f>Tabla5109[[#This Row],[Original Amount]]*Tabla5109[[#This Row],[ER to EUR]]</f>
        <v>-3000</v>
      </c>
      <c r="G980" s="37" t="s">
        <v>2725</v>
      </c>
      <c r="H980" t="s">
        <v>3389</v>
      </c>
      <c r="I980" s="37" t="s">
        <v>2727</v>
      </c>
      <c r="J980" t="s">
        <v>2701</v>
      </c>
      <c r="K980" s="4" t="s">
        <v>2728</v>
      </c>
      <c r="L980" t="s">
        <v>2729</v>
      </c>
      <c r="M980" s="32" t="s">
        <v>125</v>
      </c>
      <c r="N980" s="156" t="s">
        <v>2704</v>
      </c>
      <c r="O980" s="156" t="s">
        <v>2704</v>
      </c>
      <c r="P980" s="123" t="str">
        <f t="shared" si="30"/>
        <v>C3-2025</v>
      </c>
      <c r="Q980" s="123" t="str">
        <f t="shared" si="31"/>
        <v>T4-2025</v>
      </c>
      <c r="R980" s="160" t="s">
        <v>2730</v>
      </c>
      <c r="S980" s="123" t="s">
        <v>2731</v>
      </c>
      <c r="T980" s="123" t="s">
        <v>2707</v>
      </c>
      <c r="U980" s="162" t="s">
        <v>51</v>
      </c>
      <c r="V980" s="162" t="s">
        <v>57</v>
      </c>
      <c r="W980" s="237" t="s">
        <v>125</v>
      </c>
      <c r="X980" s="202" t="s">
        <v>2709</v>
      </c>
    </row>
    <row r="981" spans="1:24" hidden="1">
      <c r="A981" s="161">
        <v>45984</v>
      </c>
      <c r="B981" s="167" t="s">
        <v>4004</v>
      </c>
      <c r="C981" s="158" t="s">
        <v>2697</v>
      </c>
      <c r="D981" s="239">
        <v>-379</v>
      </c>
      <c r="E981" s="179">
        <v>1</v>
      </c>
      <c r="F981" s="127">
        <f>Tabla5109[[#This Row],[Original Amount]]*Tabla5109[[#This Row],[ER to EUR]]</f>
        <v>-379</v>
      </c>
      <c r="G981" s="37" t="s">
        <v>3140</v>
      </c>
      <c r="H981" t="s">
        <v>4005</v>
      </c>
      <c r="I981" s="37" t="s">
        <v>2727</v>
      </c>
      <c r="J981" t="s">
        <v>2770</v>
      </c>
      <c r="K981" s="4" t="s">
        <v>2702</v>
      </c>
      <c r="L981" t="s">
        <v>3142</v>
      </c>
      <c r="M981" s="32" t="s">
        <v>125</v>
      </c>
      <c r="N981" s="156" t="s">
        <v>2704</v>
      </c>
      <c r="O981" s="158" t="s">
        <v>2704</v>
      </c>
      <c r="P981" s="123" t="str">
        <f t="shared" si="30"/>
        <v>C3-2025</v>
      </c>
      <c r="Q981" s="123" t="str">
        <f t="shared" si="31"/>
        <v>T4-2025</v>
      </c>
      <c r="R981" s="171" t="s">
        <v>2749</v>
      </c>
      <c r="S981" s="123" t="s">
        <v>2750</v>
      </c>
      <c r="T981" s="123" t="s">
        <v>2724</v>
      </c>
      <c r="U981" s="162" t="s">
        <v>2708</v>
      </c>
      <c r="V981" s="162" t="s">
        <v>54</v>
      </c>
      <c r="W981" s="237" t="s">
        <v>125</v>
      </c>
      <c r="X981" s="202" t="s">
        <v>2709</v>
      </c>
    </row>
    <row r="982" spans="1:24" hidden="1">
      <c r="A982" s="161">
        <v>45984</v>
      </c>
      <c r="B982" s="192" t="s">
        <v>4006</v>
      </c>
      <c r="C982" s="38" t="s">
        <v>2697</v>
      </c>
      <c r="D982" s="239">
        <v>-2000</v>
      </c>
      <c r="E982" s="159">
        <v>1</v>
      </c>
      <c r="F982" s="127">
        <f>Tabla5109[[#This Row],[Original Amount]]*Tabla5109[[#This Row],[ER to EUR]]</f>
        <v>-2000</v>
      </c>
      <c r="G982" s="37" t="s">
        <v>3527</v>
      </c>
      <c r="H982" s="37" t="s">
        <v>4007</v>
      </c>
      <c r="I982" s="171" t="s">
        <v>2713</v>
      </c>
      <c r="J982" s="37" t="s">
        <v>2714</v>
      </c>
      <c r="K982" s="217" t="s">
        <v>2747</v>
      </c>
      <c r="L982" s="212" t="s">
        <v>2864</v>
      </c>
      <c r="M982" s="32" t="s">
        <v>125</v>
      </c>
      <c r="N982" s="158" t="s">
        <v>2704</v>
      </c>
      <c r="O982" s="156" t="s">
        <v>2704</v>
      </c>
      <c r="P982" s="123" t="str">
        <f t="shared" si="30"/>
        <v>C3-2025</v>
      </c>
      <c r="Q982" s="123" t="str">
        <f t="shared" si="31"/>
        <v>T4-2025</v>
      </c>
      <c r="R982" s="171" t="s">
        <v>2705</v>
      </c>
      <c r="S982" s="123" t="s">
        <v>2735</v>
      </c>
      <c r="T982" s="123" t="s">
        <v>2724</v>
      </c>
      <c r="U982" s="162" t="s">
        <v>2708</v>
      </c>
      <c r="V982" s="162" t="s">
        <v>56</v>
      </c>
      <c r="W982" s="237" t="s">
        <v>125</v>
      </c>
      <c r="X982" s="182" t="s">
        <v>2709</v>
      </c>
    </row>
    <row r="983" spans="1:24" hidden="1">
      <c r="A983" s="161">
        <v>45986</v>
      </c>
      <c r="B983" s="164">
        <v>16136</v>
      </c>
      <c r="C983" s="38" t="s">
        <v>2697</v>
      </c>
      <c r="D983" s="239">
        <v>-3000</v>
      </c>
      <c r="E983" s="159">
        <v>1</v>
      </c>
      <c r="F983" s="127">
        <f>Tabla5109[[#This Row],[Original Amount]]*Tabla5109[[#This Row],[ER to EUR]]</f>
        <v>-3000</v>
      </c>
      <c r="G983" s="37" t="s">
        <v>2725</v>
      </c>
      <c r="H983" s="37" t="s">
        <v>3389</v>
      </c>
      <c r="I983" s="37" t="s">
        <v>2727</v>
      </c>
      <c r="J983" s="37" t="s">
        <v>2701</v>
      </c>
      <c r="K983" s="217" t="s">
        <v>2728</v>
      </c>
      <c r="L983" s="37" t="s">
        <v>2729</v>
      </c>
      <c r="M983" s="32" t="s">
        <v>125</v>
      </c>
      <c r="N983" s="156" t="s">
        <v>2704</v>
      </c>
      <c r="O983" s="156" t="s">
        <v>2704</v>
      </c>
      <c r="P983" s="123" t="str">
        <f t="shared" si="30"/>
        <v>C3-2025</v>
      </c>
      <c r="Q983" s="123" t="str">
        <f t="shared" si="31"/>
        <v>T4-2025</v>
      </c>
      <c r="R983" s="160" t="s">
        <v>2730</v>
      </c>
      <c r="S983" s="157" t="s">
        <v>2731</v>
      </c>
      <c r="T983" s="123" t="s">
        <v>2707</v>
      </c>
      <c r="U983" s="162" t="s">
        <v>51</v>
      </c>
      <c r="V983" s="162" t="s">
        <v>57</v>
      </c>
      <c r="W983" s="237" t="s">
        <v>125</v>
      </c>
      <c r="X983" s="202" t="s">
        <v>2709</v>
      </c>
    </row>
    <row r="984" spans="1:24" hidden="1">
      <c r="A984" s="161">
        <v>45986</v>
      </c>
      <c r="B984" s="167" t="s">
        <v>4008</v>
      </c>
      <c r="C984" s="38" t="s">
        <v>2548</v>
      </c>
      <c r="D984" s="245">
        <v>-238</v>
      </c>
      <c r="E984" s="224">
        <v>0.86214299999999999</v>
      </c>
      <c r="F984" s="127">
        <f>Tabla5109[[#This Row],[Original Amount]]*Tabla5109[[#This Row],[ER to EUR]]</f>
        <v>-205.190034</v>
      </c>
      <c r="G984" s="9" t="s">
        <v>3248</v>
      </c>
      <c r="H984" s="9" t="s">
        <v>3938</v>
      </c>
      <c r="I984" s="9" t="s">
        <v>2713</v>
      </c>
      <c r="J984" s="9" t="s">
        <v>2714</v>
      </c>
      <c r="K984" s="205" t="s">
        <v>2702</v>
      </c>
      <c r="L984" s="9" t="s">
        <v>2799</v>
      </c>
      <c r="M984" s="32" t="s">
        <v>125</v>
      </c>
      <c r="N984" s="122" t="s">
        <v>2704</v>
      </c>
      <c r="O984" s="129" t="s">
        <v>2704</v>
      </c>
      <c r="P984" s="123" t="str">
        <f t="shared" si="30"/>
        <v>C3-2025</v>
      </c>
      <c r="Q984" s="123" t="str">
        <f t="shared" si="31"/>
        <v>T4-2025</v>
      </c>
      <c r="R984" s="124" t="s">
        <v>2730</v>
      </c>
      <c r="S984" s="123" t="s">
        <v>2731</v>
      </c>
      <c r="T984" s="123" t="s">
        <v>2724</v>
      </c>
      <c r="U984" s="162" t="s">
        <v>51</v>
      </c>
      <c r="V984" s="162" t="s">
        <v>57</v>
      </c>
      <c r="W984" s="237" t="s">
        <v>125</v>
      </c>
      <c r="X984" s="173" t="s">
        <v>2709</v>
      </c>
    </row>
    <row r="985" spans="1:24" hidden="1">
      <c r="A985" s="161">
        <v>45987</v>
      </c>
      <c r="B985" s="220">
        <v>681683623</v>
      </c>
      <c r="C985" s="38" t="s">
        <v>2697</v>
      </c>
      <c r="D985" s="126">
        <v>-1.88</v>
      </c>
      <c r="E985" s="159">
        <v>1</v>
      </c>
      <c r="F985" s="127">
        <f>Tabla5109[[#This Row],[Original Amount]]*Tabla5109[[#This Row],[ER to EUR]]</f>
        <v>-1.88</v>
      </c>
      <c r="G985" s="9" t="s">
        <v>2698</v>
      </c>
      <c r="H985" s="73" t="s">
        <v>4010</v>
      </c>
      <c r="I985" s="9" t="s">
        <v>3836</v>
      </c>
      <c r="J985" s="9" t="s">
        <v>2701</v>
      </c>
      <c r="K985" s="205" t="s">
        <v>2702</v>
      </c>
      <c r="L985" s="9" t="s">
        <v>2703</v>
      </c>
      <c r="M985" s="32" t="s">
        <v>125</v>
      </c>
      <c r="N985" s="129" t="s">
        <v>2704</v>
      </c>
      <c r="O985" s="122" t="s">
        <v>2704</v>
      </c>
      <c r="P985" s="123" t="str">
        <f t="shared" si="30"/>
        <v>C3-2025</v>
      </c>
      <c r="Q985" s="123" t="str">
        <f t="shared" si="31"/>
        <v>T4-2025</v>
      </c>
      <c r="R985" s="124" t="s">
        <v>2705</v>
      </c>
      <c r="S985" s="124" t="s">
        <v>2706</v>
      </c>
      <c r="T985" s="123" t="s">
        <v>2707</v>
      </c>
      <c r="U985" s="162" t="s">
        <v>2708</v>
      </c>
      <c r="V985" s="162" t="s">
        <v>54</v>
      </c>
      <c r="W985" s="237" t="s">
        <v>125</v>
      </c>
      <c r="X985" s="173" t="s">
        <v>2709</v>
      </c>
    </row>
    <row r="986" spans="1:24" hidden="1">
      <c r="A986" s="161">
        <v>45987</v>
      </c>
      <c r="B986" s="135" t="s">
        <v>4011</v>
      </c>
      <c r="C986" s="32" t="s">
        <v>2697</v>
      </c>
      <c r="D986" s="126">
        <v>-72.900000000000006</v>
      </c>
      <c r="E986" s="159">
        <v>1</v>
      </c>
      <c r="F986" s="127">
        <f>Tabla5109[[#This Row],[Original Amount]]*Tabla5109[[#This Row],[ER to EUR]]</f>
        <v>-72.900000000000006</v>
      </c>
      <c r="G986" s="9" t="s">
        <v>3755</v>
      </c>
      <c r="H986" s="9" t="s">
        <v>4012</v>
      </c>
      <c r="I986" s="9" t="s">
        <v>2784</v>
      </c>
      <c r="J986" s="9" t="s">
        <v>2825</v>
      </c>
      <c r="K986" s="205" t="s">
        <v>2826</v>
      </c>
      <c r="L986" s="9" t="s">
        <v>2827</v>
      </c>
      <c r="M986" s="32" t="s">
        <v>125</v>
      </c>
      <c r="N986" s="129" t="s">
        <v>2704</v>
      </c>
      <c r="O986" s="122" t="s">
        <v>2704</v>
      </c>
      <c r="P986" s="123" t="str">
        <f t="shared" si="30"/>
        <v>C3-2025</v>
      </c>
      <c r="Q986" s="123" t="str">
        <f t="shared" si="31"/>
        <v>T4-2025</v>
      </c>
      <c r="R986" s="124" t="s">
        <v>2705</v>
      </c>
      <c r="S986" s="124" t="s">
        <v>2706</v>
      </c>
      <c r="T986" s="123" t="s">
        <v>2717</v>
      </c>
      <c r="U986" s="162" t="s">
        <v>2708</v>
      </c>
      <c r="V986" s="162" t="s">
        <v>56</v>
      </c>
      <c r="W986" s="237" t="s">
        <v>125</v>
      </c>
      <c r="X986" s="173" t="s">
        <v>2709</v>
      </c>
    </row>
    <row r="987" spans="1:24" hidden="1">
      <c r="A987" s="161">
        <v>45987</v>
      </c>
      <c r="B987" s="216" t="s">
        <v>4013</v>
      </c>
      <c r="C987" s="38" t="s">
        <v>2697</v>
      </c>
      <c r="D987" s="126">
        <v>-173.08</v>
      </c>
      <c r="E987" s="159">
        <v>1</v>
      </c>
      <c r="F987" s="127">
        <f>Tabla5109[[#This Row],[Original Amount]]*Tabla5109[[#This Row],[ER to EUR]]</f>
        <v>-173.08</v>
      </c>
      <c r="G987" s="37" t="s">
        <v>3755</v>
      </c>
      <c r="H987" s="37" t="s">
        <v>4014</v>
      </c>
      <c r="I987" s="37" t="s">
        <v>2784</v>
      </c>
      <c r="J987" s="37" t="s">
        <v>2825</v>
      </c>
      <c r="K987" s="217" t="s">
        <v>2826</v>
      </c>
      <c r="L987" s="37" t="s">
        <v>2827</v>
      </c>
      <c r="M987" s="32" t="s">
        <v>125</v>
      </c>
      <c r="N987" s="156" t="s">
        <v>2704</v>
      </c>
      <c r="O987" s="158" t="s">
        <v>2704</v>
      </c>
      <c r="P987" s="123" t="str">
        <f t="shared" si="30"/>
        <v>C3-2025</v>
      </c>
      <c r="Q987" s="123" t="str">
        <f t="shared" si="31"/>
        <v>T4-2025</v>
      </c>
      <c r="R987" s="160" t="s">
        <v>2705</v>
      </c>
      <c r="S987" s="160" t="s">
        <v>2706</v>
      </c>
      <c r="T987" s="123" t="s">
        <v>2717</v>
      </c>
      <c r="U987" s="162" t="s">
        <v>2708</v>
      </c>
      <c r="V987" s="162" t="s">
        <v>56</v>
      </c>
      <c r="W987" s="237" t="s">
        <v>125</v>
      </c>
      <c r="X987" s="202" t="s">
        <v>2709</v>
      </c>
    </row>
    <row r="988" spans="1:24" hidden="1">
      <c r="A988" s="161">
        <v>45988</v>
      </c>
      <c r="B988" s="177">
        <v>682335404</v>
      </c>
      <c r="C988" s="38" t="s">
        <v>2697</v>
      </c>
      <c r="D988" s="126">
        <v>-2184.84</v>
      </c>
      <c r="E988" s="159">
        <v>1</v>
      </c>
      <c r="F988" s="127">
        <f>Tabla5109[[#This Row],[Original Amount]]*Tabla5109[[#This Row],[ER to EUR]]</f>
        <v>-2184.84</v>
      </c>
      <c r="G988" t="s">
        <v>2698</v>
      </c>
      <c r="H988" s="37" t="s">
        <v>3942</v>
      </c>
      <c r="I988" s="37" t="s">
        <v>3836</v>
      </c>
      <c r="J988" s="37" t="s">
        <v>2701</v>
      </c>
      <c r="K988" s="217" t="s">
        <v>2702</v>
      </c>
      <c r="L988" s="37" t="s">
        <v>2703</v>
      </c>
      <c r="M988" s="32" t="s">
        <v>125</v>
      </c>
      <c r="N988" s="158" t="s">
        <v>2704</v>
      </c>
      <c r="O988" s="156" t="s">
        <v>2704</v>
      </c>
      <c r="P988" s="123" t="str">
        <f t="shared" si="30"/>
        <v>C3-2025</v>
      </c>
      <c r="Q988" s="123" t="str">
        <f t="shared" si="31"/>
        <v>T4-2025</v>
      </c>
      <c r="R988" s="160" t="s">
        <v>2705</v>
      </c>
      <c r="S988" s="124" t="s">
        <v>2706</v>
      </c>
      <c r="T988" s="123" t="s">
        <v>2707</v>
      </c>
      <c r="U988" s="162" t="s">
        <v>2708</v>
      </c>
      <c r="V988" s="162" t="s">
        <v>54</v>
      </c>
      <c r="W988" s="237" t="s">
        <v>125</v>
      </c>
      <c r="X988" s="202" t="s">
        <v>2709</v>
      </c>
    </row>
    <row r="989" spans="1:24" hidden="1">
      <c r="A989" s="161">
        <v>45989</v>
      </c>
      <c r="B989" s="177">
        <v>324507</v>
      </c>
      <c r="C989" s="408" t="s">
        <v>2697</v>
      </c>
      <c r="D989" s="126">
        <v>-11</v>
      </c>
      <c r="E989" s="179">
        <v>1</v>
      </c>
      <c r="F989" s="127">
        <f>Tabla5109[[#This Row],[Original Amount]]*Tabla5109[[#This Row],[ER to EUR]]</f>
        <v>-11</v>
      </c>
      <c r="G989" t="s">
        <v>3690</v>
      </c>
      <c r="H989" s="37" t="s">
        <v>3708</v>
      </c>
      <c r="I989" s="37" t="s">
        <v>3692</v>
      </c>
      <c r="J989" s="37" t="s">
        <v>2701</v>
      </c>
      <c r="K989" s="217" t="s">
        <v>2702</v>
      </c>
      <c r="L989" s="37" t="s">
        <v>3693</v>
      </c>
      <c r="M989" s="32" t="s">
        <v>125</v>
      </c>
      <c r="N989" s="156" t="s">
        <v>2704</v>
      </c>
      <c r="O989" s="158" t="s">
        <v>2704</v>
      </c>
      <c r="P989" s="123" t="str">
        <f t="shared" si="30"/>
        <v>C3-2025</v>
      </c>
      <c r="Q989" s="123" t="str">
        <f t="shared" si="31"/>
        <v>T4-2025</v>
      </c>
      <c r="R989" s="160" t="s">
        <v>2705</v>
      </c>
      <c r="S989" s="123" t="s">
        <v>2735</v>
      </c>
      <c r="T989" s="123" t="s">
        <v>2724</v>
      </c>
      <c r="U989" s="162" t="s">
        <v>2708</v>
      </c>
      <c r="V989" s="162" t="s">
        <v>54</v>
      </c>
      <c r="W989" s="237" t="s">
        <v>125</v>
      </c>
      <c r="X989" s="202" t="s">
        <v>2709</v>
      </c>
    </row>
    <row r="990" spans="1:24" hidden="1">
      <c r="A990" s="161">
        <v>45989</v>
      </c>
      <c r="B990" s="167" t="s">
        <v>4015</v>
      </c>
      <c r="C990" s="38" t="s">
        <v>2697</v>
      </c>
      <c r="D990" s="126">
        <v>-25.02</v>
      </c>
      <c r="E990" s="159">
        <v>1</v>
      </c>
      <c r="F990" s="127">
        <f>Tabla5109[[#This Row],[Original Amount]]*Tabla5109[[#This Row],[ER to EUR]]</f>
        <v>-25.02</v>
      </c>
      <c r="G990" s="9" t="s">
        <v>2830</v>
      </c>
      <c r="H990" s="37" t="s">
        <v>3944</v>
      </c>
      <c r="I990" s="9" t="s">
        <v>2739</v>
      </c>
      <c r="J990" s="9" t="s">
        <v>2817</v>
      </c>
      <c r="K990" s="205" t="s">
        <v>2702</v>
      </c>
      <c r="L990" s="9" t="s">
        <v>2818</v>
      </c>
      <c r="M990" s="32" t="s">
        <v>125</v>
      </c>
      <c r="N990" s="122" t="s">
        <v>2704</v>
      </c>
      <c r="O990" s="129" t="s">
        <v>2704</v>
      </c>
      <c r="P990" s="123" t="str">
        <f t="shared" si="30"/>
        <v>C3-2025</v>
      </c>
      <c r="Q990" s="123" t="str">
        <f t="shared" si="31"/>
        <v>T4-2025</v>
      </c>
      <c r="R990" s="124" t="s">
        <v>2722</v>
      </c>
      <c r="S990" s="123" t="s">
        <v>2723</v>
      </c>
      <c r="T990" s="123" t="s">
        <v>2724</v>
      </c>
      <c r="U990" s="162" t="s">
        <v>2708</v>
      </c>
      <c r="V990" s="162" t="s">
        <v>54</v>
      </c>
      <c r="W990" s="237" t="s">
        <v>125</v>
      </c>
      <c r="X990" s="173" t="s">
        <v>2709</v>
      </c>
    </row>
    <row r="991" spans="1:24" ht="15" hidden="1" customHeight="1">
      <c r="A991" s="161">
        <v>45989</v>
      </c>
      <c r="B991" s="167" t="s">
        <v>4016</v>
      </c>
      <c r="C991" s="38" t="s">
        <v>2697</v>
      </c>
      <c r="D991" s="139">
        <v>-1800</v>
      </c>
      <c r="E991" s="159">
        <v>1</v>
      </c>
      <c r="F991" s="127">
        <f>Tabla5109[[#This Row],[Original Amount]]*Tabla5109[[#This Row],[ER to EUR]]</f>
        <v>-1800</v>
      </c>
      <c r="G991" t="s">
        <v>3974</v>
      </c>
      <c r="H991" s="37" t="s">
        <v>3975</v>
      </c>
      <c r="I991" s="37" t="s">
        <v>2727</v>
      </c>
      <c r="J991" s="37" t="s">
        <v>2714</v>
      </c>
      <c r="K991" s="217" t="s">
        <v>2747</v>
      </c>
      <c r="L991" s="37" t="s">
        <v>2864</v>
      </c>
      <c r="M991" s="32" t="s">
        <v>125</v>
      </c>
      <c r="N991" s="158" t="s">
        <v>2704</v>
      </c>
      <c r="O991" s="156" t="s">
        <v>2704</v>
      </c>
      <c r="P991" s="123" t="str">
        <f t="shared" si="30"/>
        <v>C3-2025</v>
      </c>
      <c r="Q991" s="123" t="str">
        <f t="shared" si="31"/>
        <v>T4-2025</v>
      </c>
      <c r="R991" s="171" t="s">
        <v>2705</v>
      </c>
      <c r="S991" s="160" t="s">
        <v>2706</v>
      </c>
      <c r="T991" s="205" t="s">
        <v>2724</v>
      </c>
      <c r="U991" s="162" t="s">
        <v>2708</v>
      </c>
      <c r="V991" s="162" t="s">
        <v>56</v>
      </c>
      <c r="W991" s="237" t="s">
        <v>125</v>
      </c>
      <c r="X991" s="182" t="s">
        <v>2709</v>
      </c>
    </row>
    <row r="992" spans="1:24" hidden="1">
      <c r="A992" s="161">
        <v>45990</v>
      </c>
      <c r="B992" s="216" t="s">
        <v>4017</v>
      </c>
      <c r="C992" s="38" t="s">
        <v>2548</v>
      </c>
      <c r="D992" s="245">
        <v>-238</v>
      </c>
      <c r="E992" s="224">
        <v>0.86214299999999999</v>
      </c>
      <c r="F992" s="127">
        <f>Tabla5109[[#This Row],[Original Amount]]*Tabla5109[[#This Row],[ER to EUR]]</f>
        <v>-205.190034</v>
      </c>
      <c r="G992" s="37" t="s">
        <v>3349</v>
      </c>
      <c r="H992" s="37" t="s">
        <v>3350</v>
      </c>
      <c r="I992" s="9" t="s">
        <v>2784</v>
      </c>
      <c r="J992" s="37" t="s">
        <v>2701</v>
      </c>
      <c r="K992" s="217" t="s">
        <v>2702</v>
      </c>
      <c r="L992" s="37" t="s">
        <v>2760</v>
      </c>
      <c r="M992" s="32" t="s">
        <v>125</v>
      </c>
      <c r="N992" s="156" t="s">
        <v>2704</v>
      </c>
      <c r="O992" s="158" t="s">
        <v>2704</v>
      </c>
      <c r="P992" s="123" t="str">
        <f t="shared" si="30"/>
        <v>C3-2025</v>
      </c>
      <c r="Q992" s="123" t="str">
        <f t="shared" si="31"/>
        <v>T4-2025</v>
      </c>
      <c r="R992" s="160" t="s">
        <v>2705</v>
      </c>
      <c r="S992" s="157" t="s">
        <v>2735</v>
      </c>
      <c r="T992" s="123" t="s">
        <v>2724</v>
      </c>
      <c r="U992" s="162" t="s">
        <v>2708</v>
      </c>
      <c r="V992" s="162" t="s">
        <v>55</v>
      </c>
      <c r="W992" s="237" t="s">
        <v>125</v>
      </c>
      <c r="X992" s="202" t="s">
        <v>2709</v>
      </c>
    </row>
    <row r="993" spans="1:24" hidden="1">
      <c r="A993" s="161">
        <v>45990</v>
      </c>
      <c r="B993" s="133" t="s">
        <v>4018</v>
      </c>
      <c r="C993" s="38" t="s">
        <v>2697</v>
      </c>
      <c r="D993" s="126">
        <v>-205.42</v>
      </c>
      <c r="E993" s="159">
        <v>1</v>
      </c>
      <c r="F993" s="127">
        <f>Tabla5109[[#This Row],[Original Amount]]*Tabla5109[[#This Row],[ER to EUR]]</f>
        <v>-205.42</v>
      </c>
      <c r="G993" s="37" t="s">
        <v>4019</v>
      </c>
      <c r="H993" s="37" t="s">
        <v>4020</v>
      </c>
      <c r="I993" s="9" t="s">
        <v>2784</v>
      </c>
      <c r="J993" s="37" t="s">
        <v>2825</v>
      </c>
      <c r="K993" s="217" t="s">
        <v>2826</v>
      </c>
      <c r="L993" s="212" t="s">
        <v>2827</v>
      </c>
      <c r="M993" s="32" t="s">
        <v>125</v>
      </c>
      <c r="N993" s="158" t="s">
        <v>2704</v>
      </c>
      <c r="O993" s="156" t="s">
        <v>2704</v>
      </c>
      <c r="P993" s="123" t="str">
        <f t="shared" si="30"/>
        <v>C3-2025</v>
      </c>
      <c r="Q993" s="123" t="str">
        <f t="shared" si="31"/>
        <v>T4-2025</v>
      </c>
      <c r="R993" s="171" t="s">
        <v>2705</v>
      </c>
      <c r="S993" s="124" t="s">
        <v>2706</v>
      </c>
      <c r="T993" s="123" t="s">
        <v>2724</v>
      </c>
      <c r="U993" s="203" t="s">
        <v>2708</v>
      </c>
      <c r="V993" s="203" t="s">
        <v>56</v>
      </c>
      <c r="W993" s="237" t="s">
        <v>125</v>
      </c>
      <c r="X993" s="182" t="s">
        <v>2709</v>
      </c>
    </row>
    <row r="994" spans="1:24" hidden="1">
      <c r="A994" s="161">
        <v>45990</v>
      </c>
      <c r="B994" s="164">
        <v>6845711894</v>
      </c>
      <c r="C994" s="38" t="s">
        <v>2697</v>
      </c>
      <c r="D994" s="239">
        <v>-607</v>
      </c>
      <c r="E994" s="159">
        <v>1</v>
      </c>
      <c r="F994" s="235">
        <f>Tabla5109[[#This Row],[Original Amount]]*Tabla5109[[#This Row],[ER to EUR]]</f>
        <v>-607</v>
      </c>
      <c r="G994" t="s">
        <v>4021</v>
      </c>
      <c r="H994" t="s">
        <v>4022</v>
      </c>
      <c r="I994" t="s">
        <v>2713</v>
      </c>
      <c r="J994" t="s">
        <v>2825</v>
      </c>
      <c r="K994" s="4" t="s">
        <v>2826</v>
      </c>
      <c r="L994" s="62" t="s">
        <v>2827</v>
      </c>
      <c r="M994" s="44" t="s">
        <v>125</v>
      </c>
      <c r="N994" s="42" t="s">
        <v>2704</v>
      </c>
      <c r="O994" s="719" t="s">
        <v>2704</v>
      </c>
      <c r="P994" s="123" t="str">
        <f t="shared" si="30"/>
        <v>C3-2025</v>
      </c>
      <c r="Q994" s="123" t="str">
        <f t="shared" si="31"/>
        <v>T4-2025</v>
      </c>
      <c r="R994" s="21" t="s">
        <v>2705</v>
      </c>
      <c r="S994" s="124" t="s">
        <v>2706</v>
      </c>
      <c r="T994" s="123" t="s">
        <v>2717</v>
      </c>
      <c r="U994" s="203" t="s">
        <v>2708</v>
      </c>
      <c r="V994" s="203" t="s">
        <v>56</v>
      </c>
      <c r="W994" s="237" t="s">
        <v>125</v>
      </c>
      <c r="X994" s="720" t="s">
        <v>2709</v>
      </c>
    </row>
    <row r="995" spans="1:24" hidden="1">
      <c r="A995" s="161">
        <v>45990</v>
      </c>
      <c r="B995" s="216" t="s">
        <v>4023</v>
      </c>
      <c r="C995" s="38" t="s">
        <v>2697</v>
      </c>
      <c r="D995" s="126">
        <v>-62.49</v>
      </c>
      <c r="E995" s="159">
        <v>1</v>
      </c>
      <c r="F995" s="235">
        <f>Tabla5109[[#This Row],[Original Amount]]*Tabla5109[[#This Row],[ER to EUR]]</f>
        <v>-62.49</v>
      </c>
      <c r="G995" s="37" t="s">
        <v>2956</v>
      </c>
      <c r="H995" s="180" t="s">
        <v>3214</v>
      </c>
      <c r="I995" t="s">
        <v>2739</v>
      </c>
      <c r="J995" s="37" t="s">
        <v>2701</v>
      </c>
      <c r="K995" s="217" t="s">
        <v>2702</v>
      </c>
      <c r="L995" s="37" t="s">
        <v>2740</v>
      </c>
      <c r="M995" s="38" t="s">
        <v>125</v>
      </c>
      <c r="N995" s="158" t="s">
        <v>2704</v>
      </c>
      <c r="O995" s="156" t="s">
        <v>2704</v>
      </c>
      <c r="P995" s="123" t="str">
        <f t="shared" si="30"/>
        <v>C3-2025</v>
      </c>
      <c r="Q995" s="123" t="str">
        <f t="shared" si="31"/>
        <v>T4-2025</v>
      </c>
      <c r="R995" s="160" t="s">
        <v>2705</v>
      </c>
      <c r="S995" s="124" t="s">
        <v>2706</v>
      </c>
      <c r="T995" s="123" t="s">
        <v>2724</v>
      </c>
      <c r="U995" s="162" t="s">
        <v>2708</v>
      </c>
      <c r="V995" s="162" t="s">
        <v>54</v>
      </c>
      <c r="W995" s="237" t="s">
        <v>125</v>
      </c>
      <c r="X995" s="202" t="s">
        <v>2709</v>
      </c>
    </row>
    <row r="996" spans="1:24" hidden="1">
      <c r="A996" s="161">
        <v>45990</v>
      </c>
      <c r="B996" s="178" t="s">
        <v>4612</v>
      </c>
      <c r="C996" s="38" t="s">
        <v>2548</v>
      </c>
      <c r="D996" s="151">
        <v>-41.65</v>
      </c>
      <c r="E996" s="224">
        <v>0.86214299999999999</v>
      </c>
      <c r="F996" s="235">
        <f>Tabla5109[[#This Row],[Original Amount]]*Tabla5109[[#This Row],[ER to EUR]]</f>
        <v>-35.908255949999997</v>
      </c>
      <c r="G996" s="37" t="s">
        <v>2884</v>
      </c>
      <c r="H996" s="37" t="s">
        <v>4009</v>
      </c>
      <c r="I996" s="37" t="s">
        <v>2755</v>
      </c>
      <c r="J996" s="37" t="s">
        <v>2723</v>
      </c>
      <c r="K996" s="217" t="s">
        <v>2792</v>
      </c>
      <c r="L996" s="37" t="s">
        <v>2793</v>
      </c>
      <c r="M996" s="38" t="s">
        <v>125</v>
      </c>
      <c r="N996" s="156" t="s">
        <v>2704</v>
      </c>
      <c r="O996" s="158" t="s">
        <v>2704</v>
      </c>
      <c r="P996" s="123" t="str">
        <f t="shared" si="30"/>
        <v>C3-2025</v>
      </c>
      <c r="Q996" s="123" t="str">
        <f t="shared" si="31"/>
        <v>T4-2025</v>
      </c>
      <c r="R996" s="124" t="s">
        <v>2741</v>
      </c>
      <c r="S996" s="157" t="s">
        <v>2723</v>
      </c>
      <c r="T996" s="123" t="s">
        <v>2707</v>
      </c>
      <c r="U996" s="162" t="s">
        <v>2708</v>
      </c>
      <c r="V996" s="162" t="s">
        <v>54</v>
      </c>
      <c r="W996" s="237" t="s">
        <v>125</v>
      </c>
      <c r="X996" s="202" t="s">
        <v>2709</v>
      </c>
    </row>
    <row r="997" spans="1:24" ht="15" hidden="1" customHeight="1">
      <c r="A997" s="161">
        <v>45990</v>
      </c>
      <c r="B997" s="178" t="s">
        <v>4613</v>
      </c>
      <c r="C997" s="38" t="s">
        <v>2548</v>
      </c>
      <c r="D997" s="245">
        <v>-89.25</v>
      </c>
      <c r="E997" s="224">
        <v>0.86214299999999999</v>
      </c>
      <c r="F997" s="235">
        <f>Tabla5109[[#This Row],[Original Amount]]*Tabla5109[[#This Row],[ER to EUR]]</f>
        <v>-76.946262750000002</v>
      </c>
      <c r="G997" s="37" t="s">
        <v>2884</v>
      </c>
      <c r="H997" t="s">
        <v>4009</v>
      </c>
      <c r="I997" s="37" t="s">
        <v>2755</v>
      </c>
      <c r="J997" s="37" t="s">
        <v>2723</v>
      </c>
      <c r="K997" s="217" t="s">
        <v>2792</v>
      </c>
      <c r="L997" t="s">
        <v>2793</v>
      </c>
      <c r="M997" s="44" t="s">
        <v>125</v>
      </c>
      <c r="N997" s="719" t="s">
        <v>2704</v>
      </c>
      <c r="O997" s="158" t="s">
        <v>2704</v>
      </c>
      <c r="P997" s="123" t="str">
        <f t="shared" si="30"/>
        <v>C3-2025</v>
      </c>
      <c r="Q997" s="123" t="str">
        <f t="shared" si="31"/>
        <v>T4-2025</v>
      </c>
      <c r="R997" s="124" t="s">
        <v>2741</v>
      </c>
      <c r="S997" s="157" t="s">
        <v>2723</v>
      </c>
      <c r="T997" s="123" t="s">
        <v>2707</v>
      </c>
      <c r="U997" s="162" t="s">
        <v>2708</v>
      </c>
      <c r="V997" s="162" t="s">
        <v>54</v>
      </c>
      <c r="W997" s="237" t="s">
        <v>125</v>
      </c>
      <c r="X997" s="720" t="s">
        <v>2709</v>
      </c>
    </row>
    <row r="998" spans="1:24" hidden="1">
      <c r="A998" s="161">
        <v>45990</v>
      </c>
      <c r="B998" s="167" t="s">
        <v>4614</v>
      </c>
      <c r="C998" s="38" t="s">
        <v>2548</v>
      </c>
      <c r="D998" s="151">
        <v>-41.65</v>
      </c>
      <c r="E998" s="224">
        <v>0.86214299999999999</v>
      </c>
      <c r="F998" s="235">
        <f>Tabla5109[[#This Row],[Original Amount]]*Tabla5109[[#This Row],[ER to EUR]]</f>
        <v>-35.908255949999997</v>
      </c>
      <c r="G998" s="37" t="s">
        <v>2884</v>
      </c>
      <c r="H998" s="37" t="s">
        <v>4009</v>
      </c>
      <c r="I998" s="9" t="s">
        <v>2755</v>
      </c>
      <c r="J998" s="37" t="s">
        <v>2723</v>
      </c>
      <c r="K998" s="217" t="s">
        <v>2792</v>
      </c>
      <c r="L998" s="37" t="s">
        <v>2793</v>
      </c>
      <c r="M998" s="32" t="s">
        <v>125</v>
      </c>
      <c r="N998" s="156" t="s">
        <v>2704</v>
      </c>
      <c r="O998" s="158" t="s">
        <v>2704</v>
      </c>
      <c r="P998" s="123" t="str">
        <f t="shared" si="30"/>
        <v>C3-2025</v>
      </c>
      <c r="Q998" s="123" t="str">
        <f t="shared" si="31"/>
        <v>T4-2025</v>
      </c>
      <c r="R998" s="124" t="s">
        <v>2741</v>
      </c>
      <c r="S998" s="123" t="s">
        <v>2723</v>
      </c>
      <c r="T998" s="123" t="s">
        <v>2707</v>
      </c>
      <c r="U998" s="162" t="s">
        <v>2708</v>
      </c>
      <c r="V998" s="162" t="s">
        <v>54</v>
      </c>
      <c r="W998" s="237" t="s">
        <v>125</v>
      </c>
      <c r="X998" s="202" t="s">
        <v>2709</v>
      </c>
    </row>
    <row r="999" spans="1:24" hidden="1">
      <c r="A999" s="161">
        <v>45990</v>
      </c>
      <c r="B999" s="167" t="s">
        <v>4617</v>
      </c>
      <c r="C999" s="38" t="s">
        <v>2548</v>
      </c>
      <c r="D999" s="151">
        <v>-42.78</v>
      </c>
      <c r="E999" s="224">
        <v>0.86214299999999999</v>
      </c>
      <c r="F999" s="235">
        <f>Tabla5109[[#This Row],[Original Amount]]*Tabla5109[[#This Row],[ER to EUR]]</f>
        <v>-36.882477540000004</v>
      </c>
      <c r="G999" s="37" t="s">
        <v>2884</v>
      </c>
      <c r="H999" s="37" t="s">
        <v>4009</v>
      </c>
      <c r="I999" s="9" t="s">
        <v>4618</v>
      </c>
      <c r="J999" s="9" t="s">
        <v>2723</v>
      </c>
      <c r="K999" s="205" t="s">
        <v>2792</v>
      </c>
      <c r="L999" s="9" t="s">
        <v>2793</v>
      </c>
      <c r="M999" s="38" t="s">
        <v>125</v>
      </c>
      <c r="N999" s="156" t="s">
        <v>2704</v>
      </c>
      <c r="O999" s="158" t="s">
        <v>2704</v>
      </c>
      <c r="P999" s="123" t="str">
        <f t="shared" si="30"/>
        <v>C3-2025</v>
      </c>
      <c r="Q999" s="123" t="str">
        <f t="shared" si="31"/>
        <v>T4-2025</v>
      </c>
      <c r="R999" s="160" t="s">
        <v>2741</v>
      </c>
      <c r="S999" s="157" t="s">
        <v>2723</v>
      </c>
      <c r="T999" s="123" t="s">
        <v>2707</v>
      </c>
      <c r="U999" s="162" t="s">
        <v>2708</v>
      </c>
      <c r="V999" s="162" t="s">
        <v>54</v>
      </c>
      <c r="W999" s="237" t="s">
        <v>125</v>
      </c>
      <c r="X999" s="173" t="s">
        <v>2709</v>
      </c>
    </row>
    <row r="1000" spans="1:24" ht="15" hidden="1" customHeight="1">
      <c r="A1000" s="161">
        <v>45991</v>
      </c>
      <c r="B1000" s="167" t="s">
        <v>4024</v>
      </c>
      <c r="C1000" s="38" t="s">
        <v>2548</v>
      </c>
      <c r="D1000" s="151">
        <v>-210</v>
      </c>
      <c r="E1000" s="221">
        <v>0.86214299999999999</v>
      </c>
      <c r="F1000" s="127">
        <f>Tabla5109[[#This Row],[Original Amount]]*Tabla5109[[#This Row],[ER to EUR]]</f>
        <v>-181.05002999999999</v>
      </c>
      <c r="G1000" s="37" t="s">
        <v>2766</v>
      </c>
      <c r="H1000" s="9" t="s">
        <v>4874</v>
      </c>
      <c r="I1000" s="37" t="s">
        <v>2713</v>
      </c>
      <c r="J1000" s="37" t="s">
        <v>2701</v>
      </c>
      <c r="K1000" s="217" t="s">
        <v>2702</v>
      </c>
      <c r="L1000" s="37" t="s">
        <v>2760</v>
      </c>
      <c r="M1000" s="38" t="s">
        <v>125</v>
      </c>
      <c r="N1000" s="158" t="s">
        <v>2704</v>
      </c>
      <c r="O1000" s="158" t="s">
        <v>2704</v>
      </c>
      <c r="P1000" s="123" t="str">
        <f t="shared" si="30"/>
        <v>C3-2025</v>
      </c>
      <c r="Q1000" s="123" t="str">
        <f t="shared" si="31"/>
        <v>T4-2025</v>
      </c>
      <c r="R1000" s="160" t="s">
        <v>2705</v>
      </c>
      <c r="S1000" s="123" t="s">
        <v>2735</v>
      </c>
      <c r="T1000" s="157" t="s">
        <v>2724</v>
      </c>
      <c r="U1000" s="162" t="s">
        <v>2708</v>
      </c>
      <c r="V1000" s="165" t="s">
        <v>55</v>
      </c>
      <c r="W1000" s="237" t="s">
        <v>125</v>
      </c>
      <c r="X1000" s="202" t="s">
        <v>2709</v>
      </c>
    </row>
    <row r="1001" spans="1:24" hidden="1">
      <c r="A1001" s="161">
        <v>45991</v>
      </c>
      <c r="B1001" s="195" t="s">
        <v>2871</v>
      </c>
      <c r="C1001" s="38" t="s">
        <v>2543</v>
      </c>
      <c r="D1001" s="243">
        <v>-1683140</v>
      </c>
      <c r="E1001" s="120">
        <v>9.1500000000000001E-4</v>
      </c>
      <c r="F1001" s="127">
        <f>Tabla5109[[#This Row],[Original Amount]]*Tabla5109[[#This Row],[ER to EUR]]</f>
        <v>-1540.0731000000001</v>
      </c>
      <c r="G1001" s="171" t="s">
        <v>2872</v>
      </c>
      <c r="H1001" s="91" t="s">
        <v>4025</v>
      </c>
      <c r="I1001" s="37" t="s">
        <v>2713</v>
      </c>
      <c r="J1001" s="37" t="s">
        <v>2770</v>
      </c>
      <c r="K1001" s="217" t="s">
        <v>2874</v>
      </c>
      <c r="L1001" s="37" t="s">
        <v>2875</v>
      </c>
      <c r="M1001" s="231" t="s">
        <v>2704</v>
      </c>
      <c r="N1001" s="158" t="s">
        <v>2748</v>
      </c>
      <c r="O1001" s="156" t="s">
        <v>2748</v>
      </c>
      <c r="P1001" s="123" t="str">
        <f t="shared" si="30"/>
        <v>C3-2025</v>
      </c>
      <c r="Q1001" s="123" t="str">
        <f t="shared" si="31"/>
        <v>T4-2025</v>
      </c>
      <c r="R1001" s="171" t="s">
        <v>2749</v>
      </c>
      <c r="S1001" s="157" t="s">
        <v>2750</v>
      </c>
      <c r="T1001" s="123" t="s">
        <v>2724</v>
      </c>
      <c r="U1001" s="162" t="s">
        <v>2708</v>
      </c>
      <c r="V1001" s="162" t="s">
        <v>54</v>
      </c>
      <c r="W1001" s="237" t="s">
        <v>125</v>
      </c>
      <c r="X1001" s="202" t="s">
        <v>2751</v>
      </c>
    </row>
    <row r="1002" spans="1:24" hidden="1">
      <c r="A1002" s="161">
        <v>45991</v>
      </c>
      <c r="B1002" s="195" t="s">
        <v>2871</v>
      </c>
      <c r="C1002" s="38" t="s">
        <v>2543</v>
      </c>
      <c r="D1002" s="147">
        <v>-8130046</v>
      </c>
      <c r="E1002" s="120">
        <v>9.1500000000000001E-4</v>
      </c>
      <c r="F1002" s="127">
        <f>Tabla5109[[#This Row],[Original Amount]]*Tabla5109[[#This Row],[ER to EUR]]</f>
        <v>-7438.9920899999997</v>
      </c>
      <c r="G1002" s="37" t="s">
        <v>2876</v>
      </c>
      <c r="H1002" s="91" t="s">
        <v>4025</v>
      </c>
      <c r="I1002" s="37" t="s">
        <v>2713</v>
      </c>
      <c r="J1002" s="37" t="s">
        <v>2770</v>
      </c>
      <c r="K1002" s="217" t="s">
        <v>2874</v>
      </c>
      <c r="L1002" s="37" t="s">
        <v>2875</v>
      </c>
      <c r="M1002" s="231" t="s">
        <v>2704</v>
      </c>
      <c r="N1002" s="158" t="s">
        <v>2748</v>
      </c>
      <c r="O1002" s="156" t="s">
        <v>2748</v>
      </c>
      <c r="P1002" s="123" t="str">
        <f t="shared" si="30"/>
        <v>C3-2025</v>
      </c>
      <c r="Q1002" s="123" t="str">
        <f t="shared" si="31"/>
        <v>T4-2025</v>
      </c>
      <c r="R1002" s="171" t="s">
        <v>2749</v>
      </c>
      <c r="S1002" s="157" t="s">
        <v>2750</v>
      </c>
      <c r="T1002" s="123" t="s">
        <v>2724</v>
      </c>
      <c r="U1002" s="162" t="s">
        <v>2708</v>
      </c>
      <c r="V1002" s="162" t="s">
        <v>56</v>
      </c>
      <c r="W1002" s="237" t="s">
        <v>125</v>
      </c>
      <c r="X1002" s="202" t="s">
        <v>2751</v>
      </c>
    </row>
    <row r="1003" spans="1:24" ht="15" hidden="1" customHeight="1">
      <c r="A1003" s="161">
        <v>45991</v>
      </c>
      <c r="B1003" s="195" t="s">
        <v>2871</v>
      </c>
      <c r="C1003" s="38" t="s">
        <v>2543</v>
      </c>
      <c r="D1003" s="147">
        <v>-6781135</v>
      </c>
      <c r="E1003" s="120">
        <v>9.1500000000000001E-4</v>
      </c>
      <c r="F1003" s="127">
        <f>Tabla5109[[#This Row],[Original Amount]]*Tabla5109[[#This Row],[ER to EUR]]</f>
        <v>-6204.7385249999998</v>
      </c>
      <c r="G1003" s="37" t="s">
        <v>3257</v>
      </c>
      <c r="H1003" s="91" t="s">
        <v>4025</v>
      </c>
      <c r="I1003" s="37" t="s">
        <v>2713</v>
      </c>
      <c r="J1003" s="37" t="s">
        <v>2770</v>
      </c>
      <c r="K1003" s="217" t="s">
        <v>2874</v>
      </c>
      <c r="L1003" s="37" t="s">
        <v>2875</v>
      </c>
      <c r="M1003" s="231" t="s">
        <v>2704</v>
      </c>
      <c r="N1003" s="158" t="s">
        <v>2748</v>
      </c>
      <c r="O1003" s="156" t="s">
        <v>2748</v>
      </c>
      <c r="P1003" s="123" t="str">
        <f t="shared" si="30"/>
        <v>C3-2025</v>
      </c>
      <c r="Q1003" s="123" t="str">
        <f t="shared" si="31"/>
        <v>T4-2025</v>
      </c>
      <c r="R1003" s="171" t="s">
        <v>2749</v>
      </c>
      <c r="S1003" s="157" t="s">
        <v>2750</v>
      </c>
      <c r="T1003" s="123" t="s">
        <v>2717</v>
      </c>
      <c r="U1003" s="165" t="s">
        <v>2708</v>
      </c>
      <c r="V1003" s="165" t="s">
        <v>54</v>
      </c>
      <c r="W1003" s="237" t="s">
        <v>125</v>
      </c>
      <c r="X1003" s="202" t="s">
        <v>2751</v>
      </c>
    </row>
    <row r="1004" spans="1:24" hidden="1">
      <c r="A1004" s="161">
        <v>45991</v>
      </c>
      <c r="B1004" s="195" t="s">
        <v>2871</v>
      </c>
      <c r="C1004" s="38" t="s">
        <v>2543</v>
      </c>
      <c r="D1004" s="147">
        <v>-6190480</v>
      </c>
      <c r="E1004" s="120">
        <v>9.1500000000000001E-4</v>
      </c>
      <c r="F1004" s="127">
        <f>Tabla5109[[#This Row],[Original Amount]]*Tabla5109[[#This Row],[ER to EUR]]</f>
        <v>-5664.2892000000002</v>
      </c>
      <c r="G1004" s="37" t="s">
        <v>3436</v>
      </c>
      <c r="H1004" s="91" t="s">
        <v>4025</v>
      </c>
      <c r="I1004" s="37" t="s">
        <v>2713</v>
      </c>
      <c r="J1004" s="37" t="s">
        <v>2770</v>
      </c>
      <c r="K1004" s="217" t="s">
        <v>2874</v>
      </c>
      <c r="L1004" s="37" t="s">
        <v>2875</v>
      </c>
      <c r="M1004" s="231" t="s">
        <v>2704</v>
      </c>
      <c r="N1004" s="158" t="s">
        <v>2748</v>
      </c>
      <c r="O1004" s="156" t="s">
        <v>2748</v>
      </c>
      <c r="P1004" s="123" t="str">
        <f t="shared" si="30"/>
        <v>C3-2025</v>
      </c>
      <c r="Q1004" s="123" t="str">
        <f t="shared" si="31"/>
        <v>T4-2025</v>
      </c>
      <c r="R1004" s="171" t="s">
        <v>2749</v>
      </c>
      <c r="S1004" s="123" t="s">
        <v>2750</v>
      </c>
      <c r="T1004" s="123" t="s">
        <v>2724</v>
      </c>
      <c r="U1004" s="162" t="s">
        <v>2708</v>
      </c>
      <c r="V1004" s="162" t="s">
        <v>57</v>
      </c>
      <c r="W1004" s="237" t="s">
        <v>125</v>
      </c>
      <c r="X1004" s="202" t="s">
        <v>2751</v>
      </c>
    </row>
    <row r="1005" spans="1:24" ht="15" hidden="1" customHeight="1">
      <c r="A1005" s="161">
        <v>45991</v>
      </c>
      <c r="B1005" s="195" t="s">
        <v>2871</v>
      </c>
      <c r="C1005" s="38" t="s">
        <v>2543</v>
      </c>
      <c r="D1005" s="147">
        <v>-8252674</v>
      </c>
      <c r="E1005" s="120">
        <v>9.1500000000000001E-4</v>
      </c>
      <c r="F1005" s="127">
        <f>Tabla5109[[#This Row],[Original Amount]]*Tabla5109[[#This Row],[ER to EUR]]</f>
        <v>-7551.1967100000002</v>
      </c>
      <c r="G1005" s="37" t="s">
        <v>2877</v>
      </c>
      <c r="H1005" s="91" t="s">
        <v>4025</v>
      </c>
      <c r="I1005" s="37" t="s">
        <v>2713</v>
      </c>
      <c r="J1005" s="37" t="s">
        <v>2770</v>
      </c>
      <c r="K1005" s="217" t="s">
        <v>2874</v>
      </c>
      <c r="L1005" s="37" t="s">
        <v>2875</v>
      </c>
      <c r="M1005" s="231" t="s">
        <v>2704</v>
      </c>
      <c r="N1005" s="158" t="s">
        <v>2748</v>
      </c>
      <c r="O1005" s="156" t="s">
        <v>2748</v>
      </c>
      <c r="P1005" s="123" t="str">
        <f t="shared" si="30"/>
        <v>C3-2025</v>
      </c>
      <c r="Q1005" s="123" t="str">
        <f t="shared" si="31"/>
        <v>T4-2025</v>
      </c>
      <c r="R1005" s="171" t="s">
        <v>2749</v>
      </c>
      <c r="S1005" s="123" t="s">
        <v>2750</v>
      </c>
      <c r="T1005" s="123" t="s">
        <v>2724</v>
      </c>
      <c r="U1005" s="162" t="s">
        <v>2708</v>
      </c>
      <c r="V1005" s="162" t="s">
        <v>54</v>
      </c>
      <c r="W1005" s="237" t="s">
        <v>125</v>
      </c>
      <c r="X1005" s="202" t="s">
        <v>2751</v>
      </c>
    </row>
    <row r="1006" spans="1:24" hidden="1">
      <c r="A1006" s="161">
        <v>45991</v>
      </c>
      <c r="B1006" s="195" t="s">
        <v>2871</v>
      </c>
      <c r="C1006" s="38" t="s">
        <v>2697</v>
      </c>
      <c r="D1006" s="126">
        <v>-8500</v>
      </c>
      <c r="E1006" s="120">
        <v>1</v>
      </c>
      <c r="F1006" s="127">
        <f>Tabla5109[[#This Row],[Original Amount]]*Tabla5109[[#This Row],[ER to EUR]]</f>
        <v>-8500</v>
      </c>
      <c r="G1006" s="37" t="s">
        <v>3717</v>
      </c>
      <c r="H1006" s="9" t="s">
        <v>4026</v>
      </c>
      <c r="I1006" s="171" t="s">
        <v>2713</v>
      </c>
      <c r="J1006" s="171" t="s">
        <v>2770</v>
      </c>
      <c r="K1006" s="411" t="s">
        <v>2874</v>
      </c>
      <c r="L1006" s="171" t="s">
        <v>2875</v>
      </c>
      <c r="M1006" s="408" t="s">
        <v>125</v>
      </c>
      <c r="N1006" s="156" t="s">
        <v>2748</v>
      </c>
      <c r="O1006" s="156" t="s">
        <v>2748</v>
      </c>
      <c r="P1006" s="123" t="str">
        <f t="shared" si="30"/>
        <v>C3-2025</v>
      </c>
      <c r="Q1006" s="123" t="str">
        <f t="shared" si="31"/>
        <v>T4-2025</v>
      </c>
      <c r="R1006" s="171" t="s">
        <v>2705</v>
      </c>
      <c r="S1006" s="160" t="s">
        <v>2706</v>
      </c>
      <c r="T1006" s="157" t="s">
        <v>2717</v>
      </c>
      <c r="U1006" s="165" t="s">
        <v>2708</v>
      </c>
      <c r="V1006" s="165" t="s">
        <v>56</v>
      </c>
      <c r="W1006" s="237" t="s">
        <v>125</v>
      </c>
      <c r="X1006" s="182" t="s">
        <v>2709</v>
      </c>
    </row>
    <row r="1007" spans="1:24" hidden="1">
      <c r="A1007" s="161">
        <v>45991</v>
      </c>
      <c r="B1007" s="195" t="s">
        <v>2871</v>
      </c>
      <c r="C1007" s="38" t="s">
        <v>2697</v>
      </c>
      <c r="D1007" s="126">
        <v>-5679.43</v>
      </c>
      <c r="E1007" s="120">
        <v>1</v>
      </c>
      <c r="F1007" s="127">
        <f>Tabla5109[[#This Row],[Original Amount]]*Tabla5109[[#This Row],[ER to EUR]]</f>
        <v>-5679.43</v>
      </c>
      <c r="G1007" s="37" t="s">
        <v>3257</v>
      </c>
      <c r="H1007" s="9" t="s">
        <v>4026</v>
      </c>
      <c r="I1007" s="171" t="s">
        <v>2713</v>
      </c>
      <c r="J1007" s="171" t="s">
        <v>2770</v>
      </c>
      <c r="K1007" s="411" t="s">
        <v>2874</v>
      </c>
      <c r="L1007" s="171" t="s">
        <v>2875</v>
      </c>
      <c r="M1007" s="408" t="s">
        <v>125</v>
      </c>
      <c r="N1007" s="156" t="s">
        <v>2748</v>
      </c>
      <c r="O1007" s="156" t="s">
        <v>2748</v>
      </c>
      <c r="P1007" s="123" t="str">
        <f t="shared" si="30"/>
        <v>C3-2025</v>
      </c>
      <c r="Q1007" s="123" t="str">
        <f t="shared" si="31"/>
        <v>T4-2025</v>
      </c>
      <c r="R1007" s="171" t="s">
        <v>2705</v>
      </c>
      <c r="S1007" s="124" t="s">
        <v>2706</v>
      </c>
      <c r="T1007" s="123" t="s">
        <v>2717</v>
      </c>
      <c r="U1007" s="162" t="s">
        <v>2708</v>
      </c>
      <c r="V1007" s="162" t="s">
        <v>54</v>
      </c>
      <c r="W1007" s="237" t="s">
        <v>125</v>
      </c>
      <c r="X1007" s="182" t="s">
        <v>2709</v>
      </c>
    </row>
    <row r="1008" spans="1:24" hidden="1">
      <c r="A1008" s="161">
        <v>45991</v>
      </c>
      <c r="B1008" s="195" t="s">
        <v>2871</v>
      </c>
      <c r="C1008" s="38" t="s">
        <v>2697</v>
      </c>
      <c r="D1008" s="126">
        <v>-11663.17</v>
      </c>
      <c r="E1008" s="120">
        <v>1</v>
      </c>
      <c r="F1008" s="235">
        <f>Tabla5109[[#This Row],[Original Amount]]*Tabla5109[[#This Row],[ER to EUR]]</f>
        <v>-11663.17</v>
      </c>
      <c r="G1008" s="37" t="s">
        <v>3844</v>
      </c>
      <c r="H1008" s="9" t="s">
        <v>4026</v>
      </c>
      <c r="I1008" s="171" t="s">
        <v>2713</v>
      </c>
      <c r="J1008" s="171" t="s">
        <v>2770</v>
      </c>
      <c r="K1008" s="411" t="s">
        <v>2874</v>
      </c>
      <c r="L1008" s="171" t="s">
        <v>2875</v>
      </c>
      <c r="M1008" s="408" t="s">
        <v>125</v>
      </c>
      <c r="N1008" s="156" t="s">
        <v>2748</v>
      </c>
      <c r="O1008" s="156" t="s">
        <v>2748</v>
      </c>
      <c r="P1008" s="123" t="str">
        <f t="shared" si="30"/>
        <v>C3-2025</v>
      </c>
      <c r="Q1008" s="123" t="str">
        <f t="shared" si="31"/>
        <v>T4-2025</v>
      </c>
      <c r="R1008" s="171" t="s">
        <v>2705</v>
      </c>
      <c r="S1008" s="124" t="s">
        <v>2706</v>
      </c>
      <c r="T1008" s="123" t="s">
        <v>2717</v>
      </c>
      <c r="U1008" s="162" t="s">
        <v>2708</v>
      </c>
      <c r="V1008" s="162" t="s">
        <v>56</v>
      </c>
      <c r="W1008" s="237" t="s">
        <v>125</v>
      </c>
      <c r="X1008" s="182" t="s">
        <v>2709</v>
      </c>
    </row>
    <row r="1009" spans="1:24" hidden="1">
      <c r="A1009" s="161">
        <v>45991</v>
      </c>
      <c r="B1009" s="177">
        <v>5432900345</v>
      </c>
      <c r="C1009" s="158" t="s">
        <v>2697</v>
      </c>
      <c r="D1009" s="126">
        <v>-4.93</v>
      </c>
      <c r="E1009" s="120">
        <v>1</v>
      </c>
      <c r="F1009" s="235">
        <f>Tabla5109[[#This Row],[Original Amount]]*Tabla5109[[#This Row],[ER to EUR]]</f>
        <v>-4.93</v>
      </c>
      <c r="G1009" s="37" t="s">
        <v>3035</v>
      </c>
      <c r="H1009" s="9" t="s">
        <v>4027</v>
      </c>
      <c r="I1009" s="37" t="s">
        <v>2784</v>
      </c>
      <c r="J1009" s="37" t="s">
        <v>2723</v>
      </c>
      <c r="K1009" s="217" t="s">
        <v>2792</v>
      </c>
      <c r="L1009" s="37" t="s">
        <v>2793</v>
      </c>
      <c r="M1009" s="38" t="s">
        <v>125</v>
      </c>
      <c r="N1009" s="156" t="s">
        <v>2704</v>
      </c>
      <c r="O1009" s="158" t="s">
        <v>2704</v>
      </c>
      <c r="P1009" s="123" t="str">
        <f t="shared" si="30"/>
        <v>C3-2025</v>
      </c>
      <c r="Q1009" s="123" t="str">
        <f t="shared" si="31"/>
        <v>T4-2025</v>
      </c>
      <c r="R1009" s="160" t="s">
        <v>2741</v>
      </c>
      <c r="S1009" s="157" t="s">
        <v>2723</v>
      </c>
      <c r="T1009" s="123" t="s">
        <v>2707</v>
      </c>
      <c r="U1009" s="162" t="s">
        <v>2708</v>
      </c>
      <c r="V1009" s="162" t="s">
        <v>54</v>
      </c>
      <c r="W1009" s="237" t="s">
        <v>125</v>
      </c>
      <c r="X1009" s="202" t="s">
        <v>2709</v>
      </c>
    </row>
    <row r="1010" spans="1:24" hidden="1">
      <c r="A1010" s="161">
        <v>45991</v>
      </c>
      <c r="B1010" s="167" t="s">
        <v>6546</v>
      </c>
      <c r="C1010" s="38" t="s">
        <v>2697</v>
      </c>
      <c r="D1010" s="126">
        <v>-12261.76</v>
      </c>
      <c r="E1010" s="120">
        <v>1</v>
      </c>
      <c r="F1010" s="235">
        <f>Tabla5109[[#This Row],[Original Amount]]*Tabla5109[[#This Row],[ER to EUR]]</f>
        <v>-12261.76</v>
      </c>
      <c r="G1010" s="37" t="s">
        <v>3557</v>
      </c>
      <c r="H1010" s="9" t="s">
        <v>3558</v>
      </c>
      <c r="I1010" s="37" t="s">
        <v>2727</v>
      </c>
      <c r="J1010" s="37" t="s">
        <v>2714</v>
      </c>
      <c r="K1010" s="217" t="s">
        <v>2747</v>
      </c>
      <c r="L1010" s="37" t="s">
        <v>2716</v>
      </c>
      <c r="M1010" s="38" t="s">
        <v>125</v>
      </c>
      <c r="N1010" s="156" t="s">
        <v>2704</v>
      </c>
      <c r="O1010" s="158" t="s">
        <v>2704</v>
      </c>
      <c r="P1010" s="123" t="str">
        <f t="shared" si="30"/>
        <v>C3-2025</v>
      </c>
      <c r="Q1010" s="123" t="str">
        <f t="shared" si="31"/>
        <v>T4-2025</v>
      </c>
      <c r="R1010" s="160" t="s">
        <v>2794</v>
      </c>
      <c r="S1010" s="123" t="s">
        <v>2731</v>
      </c>
      <c r="T1010" s="123" t="s">
        <v>2707</v>
      </c>
      <c r="U1010" s="162" t="s">
        <v>51</v>
      </c>
      <c r="V1010" s="162" t="s">
        <v>57</v>
      </c>
      <c r="W1010" s="237" t="s">
        <v>125</v>
      </c>
      <c r="X1010" s="202" t="s">
        <v>2709</v>
      </c>
    </row>
    <row r="1011" spans="1:24" hidden="1">
      <c r="A1011" s="161">
        <v>45992</v>
      </c>
      <c r="B1011" s="167" t="s">
        <v>4028</v>
      </c>
      <c r="C1011" s="38" t="s">
        <v>2697</v>
      </c>
      <c r="D1011" s="210">
        <v>-4527</v>
      </c>
      <c r="E1011" s="120">
        <v>1</v>
      </c>
      <c r="F1011" s="236">
        <f>Tabla5109[[#This Row],[Original Amount]]*Tabla5109[[#This Row],[ER to EUR]]</f>
        <v>-4527</v>
      </c>
      <c r="G1011" s="37" t="s">
        <v>3723</v>
      </c>
      <c r="H1011" s="73" t="s">
        <v>3724</v>
      </c>
      <c r="I1011" s="37" t="s">
        <v>2727</v>
      </c>
      <c r="J1011" s="37" t="s">
        <v>2723</v>
      </c>
      <c r="K1011" s="217" t="s">
        <v>2792</v>
      </c>
      <c r="L1011" s="37" t="s">
        <v>2793</v>
      </c>
      <c r="M1011" s="38" t="s">
        <v>125</v>
      </c>
      <c r="N1011" s="156" t="s">
        <v>2704</v>
      </c>
      <c r="O1011" s="158" t="s">
        <v>2704</v>
      </c>
      <c r="P1011" s="123" t="str">
        <f t="shared" si="30"/>
        <v>C3-2025</v>
      </c>
      <c r="Q1011" s="123" t="str">
        <f t="shared" si="31"/>
        <v>T4-2025</v>
      </c>
      <c r="R1011" s="160" t="s">
        <v>2794</v>
      </c>
      <c r="S1011" s="123" t="s">
        <v>2731</v>
      </c>
      <c r="T1011" s="123" t="s">
        <v>2717</v>
      </c>
      <c r="U1011" s="162" t="s">
        <v>2708</v>
      </c>
      <c r="V1011" s="162" t="s">
        <v>57</v>
      </c>
      <c r="W1011" s="237" t="s">
        <v>125</v>
      </c>
      <c r="X1011" s="202" t="s">
        <v>2709</v>
      </c>
    </row>
    <row r="1012" spans="1:24" hidden="1">
      <c r="A1012" s="161">
        <v>45992</v>
      </c>
      <c r="B1012" s="164">
        <v>202500001808</v>
      </c>
      <c r="C1012" s="38" t="s">
        <v>2697</v>
      </c>
      <c r="D1012" s="210">
        <v>-313.20999999999998</v>
      </c>
      <c r="E1012" s="120">
        <v>1</v>
      </c>
      <c r="F1012" s="236">
        <f>Tabla5109[[#This Row],[Original Amount]]*Tabla5109[[#This Row],[ER to EUR]]</f>
        <v>-313.20999999999998</v>
      </c>
      <c r="G1012" s="37" t="s">
        <v>2796</v>
      </c>
      <c r="H1012" s="73" t="s">
        <v>2797</v>
      </c>
      <c r="I1012" s="37" t="s">
        <v>2727</v>
      </c>
      <c r="J1012" s="37" t="s">
        <v>2714</v>
      </c>
      <c r="K1012" s="217" t="s">
        <v>2798</v>
      </c>
      <c r="L1012" s="37" t="s">
        <v>2799</v>
      </c>
      <c r="M1012" s="38" t="s">
        <v>125</v>
      </c>
      <c r="N1012" s="158" t="s">
        <v>2704</v>
      </c>
      <c r="O1012" s="156" t="s">
        <v>2704</v>
      </c>
      <c r="P1012" s="123" t="str">
        <f t="shared" si="30"/>
        <v>C3-2025</v>
      </c>
      <c r="Q1012" s="123" t="str">
        <f t="shared" si="31"/>
        <v>T4-2025</v>
      </c>
      <c r="R1012" s="160" t="s">
        <v>2705</v>
      </c>
      <c r="S1012" s="124" t="s">
        <v>2706</v>
      </c>
      <c r="T1012" s="123" t="s">
        <v>2724</v>
      </c>
      <c r="U1012" s="162" t="s">
        <v>2708</v>
      </c>
      <c r="V1012" s="162" t="s">
        <v>56</v>
      </c>
      <c r="W1012" s="237" t="s">
        <v>125</v>
      </c>
      <c r="X1012" s="202" t="s">
        <v>2709</v>
      </c>
    </row>
    <row r="1013" spans="1:24" hidden="1">
      <c r="A1013" s="161">
        <v>45992</v>
      </c>
      <c r="B1013" s="401">
        <v>202511358</v>
      </c>
      <c r="C1013" s="158" t="s">
        <v>2697</v>
      </c>
      <c r="D1013" s="210">
        <v>-5176.5</v>
      </c>
      <c r="E1013" s="120">
        <v>1</v>
      </c>
      <c r="F1013" s="236">
        <f>Tabla5109[[#This Row],[Original Amount]]*Tabla5109[[#This Row],[ER to EUR]]</f>
        <v>-5176.5</v>
      </c>
      <c r="G1013" s="37" t="s">
        <v>3683</v>
      </c>
      <c r="H1013" s="73" t="s">
        <v>4029</v>
      </c>
      <c r="I1013" s="37" t="s">
        <v>2727</v>
      </c>
      <c r="J1013" s="37" t="s">
        <v>2714</v>
      </c>
      <c r="K1013" s="217" t="s">
        <v>3510</v>
      </c>
      <c r="L1013" s="37" t="s">
        <v>2799</v>
      </c>
      <c r="M1013" s="38" t="s">
        <v>125</v>
      </c>
      <c r="N1013" s="156" t="s">
        <v>2704</v>
      </c>
      <c r="O1013" s="156" t="s">
        <v>2704</v>
      </c>
      <c r="P1013" s="123" t="str">
        <f t="shared" si="30"/>
        <v>C3-2025</v>
      </c>
      <c r="Q1013" s="123" t="str">
        <f t="shared" si="31"/>
        <v>T4-2025</v>
      </c>
      <c r="R1013" s="124" t="s">
        <v>2705</v>
      </c>
      <c r="S1013" s="160" t="s">
        <v>2706</v>
      </c>
      <c r="T1013" s="123" t="s">
        <v>2724</v>
      </c>
      <c r="U1013" s="162" t="s">
        <v>2708</v>
      </c>
      <c r="V1013" s="162" t="s">
        <v>56</v>
      </c>
      <c r="W1013" s="237" t="s">
        <v>125</v>
      </c>
      <c r="X1013" s="182" t="s">
        <v>2709</v>
      </c>
    </row>
    <row r="1014" spans="1:24" ht="15" hidden="1" customHeight="1">
      <c r="A1014" s="161">
        <v>45992</v>
      </c>
      <c r="B1014" s="164">
        <v>23456</v>
      </c>
      <c r="C1014" s="38" t="s">
        <v>2697</v>
      </c>
      <c r="D1014" s="409">
        <v>-68.760000000000005</v>
      </c>
      <c r="E1014" s="120">
        <v>1</v>
      </c>
      <c r="F1014" s="236">
        <f>Tabla5109[[#This Row],[Original Amount]]*Tabla5109[[#This Row],[ER to EUR]]</f>
        <v>-68.760000000000005</v>
      </c>
      <c r="G1014" s="37" t="s">
        <v>4030</v>
      </c>
      <c r="H1014" s="9" t="s">
        <v>4031</v>
      </c>
      <c r="I1014" s="37" t="s">
        <v>2713</v>
      </c>
      <c r="J1014" s="37" t="s">
        <v>2825</v>
      </c>
      <c r="K1014" s="217" t="s">
        <v>2826</v>
      </c>
      <c r="L1014" s="212" t="s">
        <v>3511</v>
      </c>
      <c r="M1014" s="38" t="s">
        <v>125</v>
      </c>
      <c r="N1014" s="158" t="s">
        <v>2704</v>
      </c>
      <c r="O1014" s="156" t="s">
        <v>2704</v>
      </c>
      <c r="P1014" s="123" t="str">
        <f t="shared" si="30"/>
        <v>C3-2025</v>
      </c>
      <c r="Q1014" s="123" t="str">
        <f t="shared" si="31"/>
        <v>T4-2025</v>
      </c>
      <c r="R1014" s="171" t="s">
        <v>2705</v>
      </c>
      <c r="S1014" s="160" t="s">
        <v>2706</v>
      </c>
      <c r="T1014" s="123" t="s">
        <v>2717</v>
      </c>
      <c r="U1014" s="162" t="s">
        <v>2708</v>
      </c>
      <c r="V1014" s="162" t="s">
        <v>56</v>
      </c>
      <c r="W1014" s="237" t="s">
        <v>125</v>
      </c>
      <c r="X1014" s="202" t="s">
        <v>2709</v>
      </c>
    </row>
    <row r="1015" spans="1:24" hidden="1">
      <c r="A1015" s="161">
        <v>45992</v>
      </c>
      <c r="B1015" s="400">
        <v>3292</v>
      </c>
      <c r="C1015" s="38" t="s">
        <v>2697</v>
      </c>
      <c r="D1015" s="409">
        <v>-59</v>
      </c>
      <c r="E1015" s="120">
        <v>1</v>
      </c>
      <c r="F1015" s="121">
        <f>Tabla5109[[#This Row],[Original Amount]]*Tabla5109[[#This Row],[ER to EUR]]</f>
        <v>-59</v>
      </c>
      <c r="G1015" s="37" t="s">
        <v>4032</v>
      </c>
      <c r="H1015" s="9" t="s">
        <v>4033</v>
      </c>
      <c r="I1015" s="37" t="s">
        <v>2713</v>
      </c>
      <c r="J1015" s="37" t="s">
        <v>2825</v>
      </c>
      <c r="K1015" s="217" t="s">
        <v>3505</v>
      </c>
      <c r="L1015" s="212" t="s">
        <v>3506</v>
      </c>
      <c r="M1015" s="231" t="s">
        <v>125</v>
      </c>
      <c r="N1015" s="158" t="s">
        <v>2704</v>
      </c>
      <c r="O1015" s="158" t="s">
        <v>2704</v>
      </c>
      <c r="P1015" s="123" t="str">
        <f t="shared" si="30"/>
        <v>C3-2025</v>
      </c>
      <c r="Q1015" s="123" t="str">
        <f t="shared" si="31"/>
        <v>T4-2025</v>
      </c>
      <c r="R1015" s="160" t="s">
        <v>2705</v>
      </c>
      <c r="S1015" s="160" t="s">
        <v>2706</v>
      </c>
      <c r="T1015" s="123" t="s">
        <v>2717</v>
      </c>
      <c r="U1015" s="162" t="s">
        <v>2708</v>
      </c>
      <c r="V1015" s="162" t="s">
        <v>56</v>
      </c>
      <c r="W1015" s="237" t="s">
        <v>125</v>
      </c>
      <c r="X1015" s="202" t="s">
        <v>2709</v>
      </c>
    </row>
    <row r="1016" spans="1:24" hidden="1">
      <c r="A1016" s="161">
        <v>45992</v>
      </c>
      <c r="B1016" s="164">
        <v>249291404</v>
      </c>
      <c r="C1016" s="38" t="s">
        <v>2697</v>
      </c>
      <c r="D1016" s="409">
        <v>-14788.26</v>
      </c>
      <c r="E1016" s="120">
        <v>1</v>
      </c>
      <c r="F1016" s="121">
        <f>Tabla5109[[#This Row],[Original Amount]]*Tabla5109[[#This Row],[ER to EUR]]</f>
        <v>-14788.26</v>
      </c>
      <c r="G1016" s="9" t="s">
        <v>2884</v>
      </c>
      <c r="H1016" s="9" t="s">
        <v>2885</v>
      </c>
      <c r="I1016" s="37" t="s">
        <v>2727</v>
      </c>
      <c r="J1016" s="171" t="s">
        <v>2723</v>
      </c>
      <c r="K1016" s="411" t="s">
        <v>2792</v>
      </c>
      <c r="L1016" s="171" t="s">
        <v>2793</v>
      </c>
      <c r="M1016" s="38" t="s">
        <v>125</v>
      </c>
      <c r="N1016" s="156" t="s">
        <v>2704</v>
      </c>
      <c r="O1016" s="156" t="s">
        <v>2704</v>
      </c>
      <c r="P1016" s="123" t="str">
        <f t="shared" si="30"/>
        <v>C3-2025</v>
      </c>
      <c r="Q1016" s="123" t="str">
        <f t="shared" si="31"/>
        <v>T4-2025</v>
      </c>
      <c r="R1016" s="160" t="s">
        <v>2741</v>
      </c>
      <c r="S1016" s="157" t="s">
        <v>2723</v>
      </c>
      <c r="T1016" s="157" t="s">
        <v>2707</v>
      </c>
      <c r="U1016" s="162" t="s">
        <v>2708</v>
      </c>
      <c r="V1016" s="162" t="s">
        <v>54</v>
      </c>
      <c r="W1016" s="237" t="s">
        <v>125</v>
      </c>
      <c r="X1016" s="202" t="s">
        <v>2709</v>
      </c>
    </row>
    <row r="1017" spans="1:24" hidden="1">
      <c r="A1017" s="161">
        <v>45992</v>
      </c>
      <c r="B1017" s="167" t="s">
        <v>4616</v>
      </c>
      <c r="C1017" s="38" t="s">
        <v>2548</v>
      </c>
      <c r="D1017" s="240">
        <v>-48.16</v>
      </c>
      <c r="E1017" s="181">
        <v>0.86140099999999997</v>
      </c>
      <c r="F1017" s="121">
        <f>Tabla5109[[#This Row],[Original Amount]]*Tabla5109[[#This Row],[ER to EUR]]</f>
        <v>-41.485072159999994</v>
      </c>
      <c r="G1017" s="37" t="s">
        <v>2884</v>
      </c>
      <c r="H1017" s="9" t="s">
        <v>4009</v>
      </c>
      <c r="I1017" s="37" t="s">
        <v>2755</v>
      </c>
      <c r="J1017" s="37" t="s">
        <v>2723</v>
      </c>
      <c r="K1017" s="217" t="s">
        <v>2792</v>
      </c>
      <c r="L1017" s="37" t="s">
        <v>2793</v>
      </c>
      <c r="M1017" s="38" t="s">
        <v>125</v>
      </c>
      <c r="N1017" s="156" t="s">
        <v>2704</v>
      </c>
      <c r="O1017" s="158" t="s">
        <v>2704</v>
      </c>
      <c r="P1017" s="123" t="str">
        <f t="shared" si="30"/>
        <v>C3-2025</v>
      </c>
      <c r="Q1017" s="123" t="str">
        <f t="shared" si="31"/>
        <v>T4-2025</v>
      </c>
      <c r="R1017" s="160" t="s">
        <v>2741</v>
      </c>
      <c r="S1017" s="157" t="s">
        <v>2723</v>
      </c>
      <c r="T1017" s="123" t="s">
        <v>2707</v>
      </c>
      <c r="U1017" s="162" t="s">
        <v>2708</v>
      </c>
      <c r="V1017" s="162" t="s">
        <v>54</v>
      </c>
      <c r="W1017" s="237" t="s">
        <v>125</v>
      </c>
      <c r="X1017" s="202" t="s">
        <v>2709</v>
      </c>
    </row>
    <row r="1018" spans="1:24">
      <c r="A1018" s="161">
        <v>46023</v>
      </c>
      <c r="B1018" s="192" t="s">
        <v>6573</v>
      </c>
      <c r="C1018" s="38" t="s">
        <v>2697</v>
      </c>
      <c r="D1018" s="139">
        <v>-1962.4</v>
      </c>
      <c r="E1018" s="120">
        <v>1</v>
      </c>
      <c r="F1018" s="127">
        <f>Tabla5109[[#This Row],[Original Amount]]*Tabla5109[[#This Row],[ER to EUR]]</f>
        <v>-1962.4</v>
      </c>
      <c r="G1018" s="37" t="s">
        <v>3692</v>
      </c>
      <c r="H1018" s="9" t="s">
        <v>6576</v>
      </c>
      <c r="I1018" s="37" t="s">
        <v>2713</v>
      </c>
      <c r="J1018" s="37" t="s">
        <v>2701</v>
      </c>
      <c r="K1018" s="217" t="s">
        <v>2702</v>
      </c>
      <c r="L1018" s="37" t="s">
        <v>6577</v>
      </c>
      <c r="M1018" s="231" t="s">
        <v>125</v>
      </c>
      <c r="N1018" s="158" t="s">
        <v>2748</v>
      </c>
      <c r="O1018" s="156" t="s">
        <v>2748</v>
      </c>
      <c r="P1018" s="123" t="str">
        <f>"C"&amp;INT((MONTH(A1018)-1)/4)+1&amp;"-"&amp;YEAR(A1018)</f>
        <v>C1-2026</v>
      </c>
      <c r="Q1018" s="123" t="str">
        <f>"T"&amp;INT((MONTH(A1018)-1)/3)+1&amp;"-"&amp;YEAR(A1018)</f>
        <v>T1-2026</v>
      </c>
      <c r="R1018" s="171" t="s">
        <v>6009</v>
      </c>
      <c r="S1018" s="157" t="s">
        <v>2750</v>
      </c>
      <c r="T1018" s="123" t="s">
        <v>2724</v>
      </c>
      <c r="U1018" s="162" t="s">
        <v>2708</v>
      </c>
      <c r="V1018" s="162" t="s">
        <v>56</v>
      </c>
      <c r="W1018" s="237" t="s">
        <v>125</v>
      </c>
      <c r="X1018" s="182" t="s">
        <v>2709</v>
      </c>
    </row>
    <row r="1019" spans="1:24" hidden="1">
      <c r="A1019" s="161">
        <v>45993</v>
      </c>
      <c r="B1019" s="167" t="s">
        <v>4034</v>
      </c>
      <c r="C1019" s="38" t="s">
        <v>2697</v>
      </c>
      <c r="D1019" s="409">
        <v>0</v>
      </c>
      <c r="E1019" s="120">
        <v>1</v>
      </c>
      <c r="F1019" s="236">
        <f>Tabla5109[[#This Row],[Original Amount]]*Tabla5109[[#This Row],[ER to EUR]]</f>
        <v>0</v>
      </c>
      <c r="G1019" s="37" t="s">
        <v>4035</v>
      </c>
      <c r="H1019" s="9" t="s">
        <v>4036</v>
      </c>
      <c r="I1019" s="37" t="s">
        <v>2727</v>
      </c>
      <c r="J1019" s="37" t="s">
        <v>2770</v>
      </c>
      <c r="K1019" s="217" t="s">
        <v>2874</v>
      </c>
      <c r="L1019" s="212" t="s">
        <v>2875</v>
      </c>
      <c r="M1019" s="38" t="s">
        <v>125</v>
      </c>
      <c r="N1019" s="158" t="s">
        <v>2704</v>
      </c>
      <c r="O1019" s="156" t="s">
        <v>2704</v>
      </c>
      <c r="P1019" s="123" t="str">
        <f>"C"&amp;INT((MONTH(A1019)-1)/4)+1&amp;"-"&amp;YEAR(A1019)</f>
        <v>C3-2025</v>
      </c>
      <c r="Q1019" s="123" t="str">
        <f>"T"&amp;INT((MONTH(A1019)-1)/3)+1&amp;"-"&amp;YEAR(A1019)</f>
        <v>T4-2025</v>
      </c>
      <c r="R1019" s="171" t="s">
        <v>2749</v>
      </c>
      <c r="S1019" s="123" t="s">
        <v>2750</v>
      </c>
      <c r="T1019" s="123" t="s">
        <v>2717</v>
      </c>
      <c r="U1019" s="162" t="s">
        <v>2708</v>
      </c>
      <c r="V1019" s="162" t="s">
        <v>56</v>
      </c>
      <c r="W1019" s="237" t="s">
        <v>125</v>
      </c>
      <c r="X1019" s="182" t="s">
        <v>2709</v>
      </c>
    </row>
    <row r="1020" spans="1:24" hidden="1">
      <c r="A1020" s="161">
        <v>45993</v>
      </c>
      <c r="B1020" s="167" t="s">
        <v>4037</v>
      </c>
      <c r="C1020" s="38" t="s">
        <v>2697</v>
      </c>
      <c r="D1020" s="409">
        <v>-504</v>
      </c>
      <c r="E1020" s="120">
        <v>1</v>
      </c>
      <c r="F1020" s="236">
        <f>Tabla5109[[#This Row],[Original Amount]]*Tabla5109[[#This Row],[ER to EUR]]</f>
        <v>-504</v>
      </c>
      <c r="G1020" s="37" t="s">
        <v>4038</v>
      </c>
      <c r="H1020" s="9" t="s">
        <v>4039</v>
      </c>
      <c r="I1020" s="37" t="s">
        <v>2784</v>
      </c>
      <c r="J1020" s="37" t="s">
        <v>2825</v>
      </c>
      <c r="K1020" s="217" t="s">
        <v>2826</v>
      </c>
      <c r="L1020" s="212" t="s">
        <v>2827</v>
      </c>
      <c r="M1020" s="38" t="s">
        <v>125</v>
      </c>
      <c r="N1020" s="158" t="s">
        <v>2704</v>
      </c>
      <c r="O1020" s="156" t="s">
        <v>2704</v>
      </c>
      <c r="P1020" s="123" t="str">
        <f>"C"&amp;INT((MONTH(A1020)-1)/4)+1&amp;"-"&amp;YEAR(A1020)</f>
        <v>C3-2025</v>
      </c>
      <c r="Q1020" s="123" t="str">
        <f>"T"&amp;INT((MONTH(A1020)-1)/3)+1&amp;"-"&amp;YEAR(A1020)</f>
        <v>T4-2025</v>
      </c>
      <c r="R1020" s="171" t="s">
        <v>2705</v>
      </c>
      <c r="S1020" s="124" t="s">
        <v>2706</v>
      </c>
      <c r="T1020" s="123" t="s">
        <v>2717</v>
      </c>
      <c r="U1020" s="162" t="s">
        <v>2708</v>
      </c>
      <c r="V1020" s="162" t="s">
        <v>56</v>
      </c>
      <c r="W1020" s="237" t="s">
        <v>125</v>
      </c>
      <c r="X1020" s="182" t="s">
        <v>2709</v>
      </c>
    </row>
    <row r="1021" spans="1:24" hidden="1">
      <c r="A1021" s="161">
        <v>45993</v>
      </c>
      <c r="B1021" s="220">
        <v>16170</v>
      </c>
      <c r="C1021" s="38" t="s">
        <v>2697</v>
      </c>
      <c r="D1021" s="409">
        <v>-3000</v>
      </c>
      <c r="E1021" s="120">
        <v>1</v>
      </c>
      <c r="F1021" s="236">
        <f>Tabla5109[[#This Row],[Original Amount]]*Tabla5109[[#This Row],[ER to EUR]]</f>
        <v>-3000</v>
      </c>
      <c r="G1021" s="37" t="s">
        <v>2725</v>
      </c>
      <c r="H1021" s="9" t="s">
        <v>3389</v>
      </c>
      <c r="I1021" s="37" t="s">
        <v>2727</v>
      </c>
      <c r="J1021" s="37" t="s">
        <v>2701</v>
      </c>
      <c r="K1021" s="217" t="s">
        <v>2728</v>
      </c>
      <c r="L1021" s="37" t="s">
        <v>2729</v>
      </c>
      <c r="M1021" s="38" t="s">
        <v>125</v>
      </c>
      <c r="N1021" s="156" t="s">
        <v>2704</v>
      </c>
      <c r="O1021" s="156" t="s">
        <v>2704</v>
      </c>
      <c r="P1021" s="123" t="str">
        <f>"C"&amp;INT((MONTH(A1021)-1)/4)+1&amp;"-"&amp;YEAR(A1021)</f>
        <v>C3-2025</v>
      </c>
      <c r="Q1021" s="123" t="str">
        <f>"T"&amp;INT((MONTH(A1021)-1)/3)+1&amp;"-"&amp;YEAR(A1021)</f>
        <v>T4-2025</v>
      </c>
      <c r="R1021" s="160" t="s">
        <v>2730</v>
      </c>
      <c r="S1021" s="123" t="s">
        <v>2731</v>
      </c>
      <c r="T1021" s="157" t="s">
        <v>2707</v>
      </c>
      <c r="U1021" s="165" t="s">
        <v>51</v>
      </c>
      <c r="V1021" s="165" t="s">
        <v>57</v>
      </c>
      <c r="W1021" s="237" t="s">
        <v>125</v>
      </c>
      <c r="X1021" s="202" t="s">
        <v>2709</v>
      </c>
    </row>
    <row r="1022" spans="1:24" hidden="1">
      <c r="A1022" s="161">
        <v>45993</v>
      </c>
      <c r="B1022" s="402">
        <v>70572</v>
      </c>
      <c r="C1022" s="38" t="s">
        <v>2697</v>
      </c>
      <c r="D1022" s="409">
        <v>-110.1</v>
      </c>
      <c r="E1022" s="120">
        <v>1</v>
      </c>
      <c r="F1022" s="236">
        <f>Tabla5109[[#This Row],[Original Amount]]*Tabla5109[[#This Row],[ER to EUR]]</f>
        <v>-110.1</v>
      </c>
      <c r="G1022" s="37" t="s">
        <v>3579</v>
      </c>
      <c r="H1022" s="9" t="s">
        <v>4040</v>
      </c>
      <c r="I1022" s="37" t="s">
        <v>2713</v>
      </c>
      <c r="J1022" s="37" t="s">
        <v>2825</v>
      </c>
      <c r="K1022" s="217" t="s">
        <v>2826</v>
      </c>
      <c r="L1022" s="37" t="s">
        <v>2827</v>
      </c>
      <c r="M1022" s="38" t="s">
        <v>125</v>
      </c>
      <c r="N1022" s="156" t="s">
        <v>2748</v>
      </c>
      <c r="O1022" s="158" t="s">
        <v>2748</v>
      </c>
      <c r="P1022" s="123" t="str">
        <f>"C"&amp;INT((MONTH(A1022)-1)/4)+1&amp;"-"&amp;YEAR(A1022)</f>
        <v>C3-2025</v>
      </c>
      <c r="Q1022" s="123" t="str">
        <f>"T"&amp;INT((MONTH(A1022)-1)/3)+1&amp;"-"&amp;YEAR(A1022)</f>
        <v>T4-2025</v>
      </c>
      <c r="R1022" s="160" t="s">
        <v>2705</v>
      </c>
      <c r="S1022" s="160" t="s">
        <v>2706</v>
      </c>
      <c r="T1022" s="123" t="s">
        <v>2717</v>
      </c>
      <c r="U1022" s="162" t="s">
        <v>2708</v>
      </c>
      <c r="V1022" s="162" t="s">
        <v>56</v>
      </c>
      <c r="W1022" s="237" t="s">
        <v>125</v>
      </c>
      <c r="X1022" s="202" t="s">
        <v>2709</v>
      </c>
    </row>
    <row r="1023" spans="1:24" hidden="1">
      <c r="A1023" s="161">
        <v>45993</v>
      </c>
      <c r="B1023" s="167" t="s">
        <v>4041</v>
      </c>
      <c r="C1023" s="38" t="s">
        <v>2697</v>
      </c>
      <c r="D1023" s="409">
        <v>-43.15</v>
      </c>
      <c r="E1023" s="120">
        <v>1</v>
      </c>
      <c r="F1023" s="236">
        <f>Tabla5109[[#This Row],[Original Amount]]*Tabla5109[[#This Row],[ER to EUR]]</f>
        <v>-43.15</v>
      </c>
      <c r="G1023" s="37" t="s">
        <v>4042</v>
      </c>
      <c r="H1023" s="9" t="s">
        <v>4043</v>
      </c>
      <c r="I1023" s="37" t="s">
        <v>2713</v>
      </c>
      <c r="J1023" s="37" t="s">
        <v>2825</v>
      </c>
      <c r="K1023" s="217" t="s">
        <v>3505</v>
      </c>
      <c r="L1023" s="212" t="s">
        <v>3506</v>
      </c>
      <c r="M1023" s="231" t="s">
        <v>125</v>
      </c>
      <c r="N1023" s="158" t="s">
        <v>2704</v>
      </c>
      <c r="O1023" s="158" t="s">
        <v>2704</v>
      </c>
      <c r="P1023" s="123" t="str">
        <f>"C"&amp;INT((MONTH(A1023)-1)/4)+1&amp;"-"&amp;YEAR(A1023)</f>
        <v>C3-2025</v>
      </c>
      <c r="Q1023" s="123" t="str">
        <f>"T"&amp;INT((MONTH(A1023)-1)/3)+1&amp;"-"&amp;YEAR(A1023)</f>
        <v>T4-2025</v>
      </c>
      <c r="R1023" s="160" t="s">
        <v>2705</v>
      </c>
      <c r="S1023" s="160" t="s">
        <v>2706</v>
      </c>
      <c r="T1023" s="123" t="s">
        <v>2717</v>
      </c>
      <c r="U1023" s="162" t="s">
        <v>2708</v>
      </c>
      <c r="V1023" s="162" t="s">
        <v>56</v>
      </c>
      <c r="W1023" s="237" t="s">
        <v>125</v>
      </c>
      <c r="X1023" s="202" t="s">
        <v>2709</v>
      </c>
    </row>
    <row r="1024" spans="1:24" hidden="1">
      <c r="A1024" s="161">
        <v>45993</v>
      </c>
      <c r="B1024" s="167" t="s">
        <v>4044</v>
      </c>
      <c r="C1024" s="38" t="s">
        <v>2697</v>
      </c>
      <c r="D1024" s="409">
        <v>-42.2</v>
      </c>
      <c r="E1024" s="120">
        <v>1</v>
      </c>
      <c r="F1024" s="236">
        <f>Tabla5109[[#This Row],[Original Amount]]*Tabla5109[[#This Row],[ER to EUR]]</f>
        <v>-42.2</v>
      </c>
      <c r="G1024" s="37" t="s">
        <v>3579</v>
      </c>
      <c r="H1024" s="9" t="s">
        <v>4045</v>
      </c>
      <c r="I1024" s="37" t="s">
        <v>2784</v>
      </c>
      <c r="J1024" s="37" t="s">
        <v>2825</v>
      </c>
      <c r="K1024" s="217" t="s">
        <v>2826</v>
      </c>
      <c r="L1024" s="37" t="s">
        <v>2827</v>
      </c>
      <c r="M1024" s="38" t="s">
        <v>125</v>
      </c>
      <c r="N1024" s="156" t="s">
        <v>2748</v>
      </c>
      <c r="O1024" s="158" t="s">
        <v>2748</v>
      </c>
      <c r="P1024" s="123" t="str">
        <f>"C"&amp;INT((MONTH(A1024)-1)/4)+1&amp;"-"&amp;YEAR(A1024)</f>
        <v>C3-2025</v>
      </c>
      <c r="Q1024" s="123" t="str">
        <f>"T"&amp;INT((MONTH(A1024)-1)/3)+1&amp;"-"&amp;YEAR(A1024)</f>
        <v>T4-2025</v>
      </c>
      <c r="R1024" s="160" t="s">
        <v>2705</v>
      </c>
      <c r="S1024" s="160" t="s">
        <v>2706</v>
      </c>
      <c r="T1024" s="123" t="s">
        <v>2717</v>
      </c>
      <c r="U1024" s="162" t="s">
        <v>2708</v>
      </c>
      <c r="V1024" s="162" t="s">
        <v>56</v>
      </c>
      <c r="W1024" s="237" t="s">
        <v>125</v>
      </c>
      <c r="X1024" s="202" t="s">
        <v>2709</v>
      </c>
    </row>
    <row r="1025" spans="1:24" hidden="1">
      <c r="A1025" s="161">
        <v>45994</v>
      </c>
      <c r="B1025" s="164">
        <v>16399701</v>
      </c>
      <c r="C1025" s="38" t="s">
        <v>2548</v>
      </c>
      <c r="D1025" s="240">
        <v>-180</v>
      </c>
      <c r="E1025" s="181">
        <v>0.86140099999999997</v>
      </c>
      <c r="F1025" s="236">
        <f>Tabla5109[[#This Row],[Original Amount]]*Tabla5109[[#This Row],[ER to EUR]]</f>
        <v>-155.05217999999999</v>
      </c>
      <c r="G1025" s="37" t="s">
        <v>2737</v>
      </c>
      <c r="H1025" s="9" t="s">
        <v>3851</v>
      </c>
      <c r="I1025" s="37" t="s">
        <v>2755</v>
      </c>
      <c r="J1025" s="37" t="s">
        <v>2701</v>
      </c>
      <c r="K1025" s="217" t="s">
        <v>2702</v>
      </c>
      <c r="L1025" s="37" t="s">
        <v>2740</v>
      </c>
      <c r="M1025" s="38" t="s">
        <v>125</v>
      </c>
      <c r="N1025" s="156" t="s">
        <v>2704</v>
      </c>
      <c r="O1025" s="156" t="s">
        <v>2704</v>
      </c>
      <c r="P1025" s="123" t="str">
        <f>"C"&amp;INT((MONTH(A1025)-1)/4)+1&amp;"-"&amp;YEAR(A1025)</f>
        <v>C3-2025</v>
      </c>
      <c r="Q1025" s="123" t="str">
        <f>"T"&amp;INT((MONTH(A1025)-1)/3)+1&amp;"-"&amp;YEAR(A1025)</f>
        <v>T4-2025</v>
      </c>
      <c r="R1025" s="124" t="s">
        <v>2741</v>
      </c>
      <c r="S1025" s="157" t="s">
        <v>2723</v>
      </c>
      <c r="T1025" s="123" t="s">
        <v>2724</v>
      </c>
      <c r="U1025" s="162" t="s">
        <v>2708</v>
      </c>
      <c r="V1025" s="162" t="s">
        <v>54</v>
      </c>
      <c r="W1025" s="237" t="s">
        <v>125</v>
      </c>
      <c r="X1025" s="202" t="s">
        <v>2709</v>
      </c>
    </row>
    <row r="1026" spans="1:24" hidden="1">
      <c r="A1026" s="161">
        <v>45994</v>
      </c>
      <c r="B1026" s="167" t="s">
        <v>4046</v>
      </c>
      <c r="C1026" s="38" t="s">
        <v>2697</v>
      </c>
      <c r="D1026" s="210">
        <v>-23.99</v>
      </c>
      <c r="E1026" s="120">
        <v>1</v>
      </c>
      <c r="F1026" s="121">
        <f>Tabla5109[[#This Row],[Original Amount]]*Tabla5109[[#This Row],[ER to EUR]]</f>
        <v>-23.99</v>
      </c>
      <c r="G1026" s="37" t="s">
        <v>3462</v>
      </c>
      <c r="H1026" s="9" t="s">
        <v>3463</v>
      </c>
      <c r="I1026" s="37" t="s">
        <v>2713</v>
      </c>
      <c r="J1026" s="37" t="s">
        <v>2701</v>
      </c>
      <c r="K1026" s="217" t="s">
        <v>2702</v>
      </c>
      <c r="L1026" s="37" t="s">
        <v>2793</v>
      </c>
      <c r="M1026" s="38" t="s">
        <v>125</v>
      </c>
      <c r="N1026" s="156" t="s">
        <v>2704</v>
      </c>
      <c r="O1026" s="122" t="s">
        <v>2704</v>
      </c>
      <c r="P1026" s="123" t="str">
        <f>"C"&amp;INT((MONTH(A1026)-1)/4)+1&amp;"-"&amp;YEAR(A1026)</f>
        <v>C3-2025</v>
      </c>
      <c r="Q1026" s="123" t="str">
        <f>"T"&amp;INT((MONTH(A1026)-1)/3)+1&amp;"-"&amp;YEAR(A1026)</f>
        <v>T4-2025</v>
      </c>
      <c r="R1026" s="124" t="s">
        <v>2722</v>
      </c>
      <c r="S1026" s="123" t="s">
        <v>2723</v>
      </c>
      <c r="T1026" s="123" t="s">
        <v>2724</v>
      </c>
      <c r="U1026" s="162" t="s">
        <v>2708</v>
      </c>
      <c r="V1026" s="162" t="s">
        <v>54</v>
      </c>
      <c r="W1026" s="237" t="s">
        <v>125</v>
      </c>
      <c r="X1026" s="202" t="s">
        <v>2709</v>
      </c>
    </row>
    <row r="1027" spans="1:24" ht="15" hidden="1" customHeight="1">
      <c r="A1027" s="161">
        <v>45995</v>
      </c>
      <c r="B1027" s="164">
        <v>332025</v>
      </c>
      <c r="C1027" s="38" t="s">
        <v>2697</v>
      </c>
      <c r="D1027" s="210">
        <v>-2000</v>
      </c>
      <c r="E1027" s="120">
        <v>1</v>
      </c>
      <c r="F1027" s="121">
        <f>Tabla5109[[#This Row],[Original Amount]]*Tabla5109[[#This Row],[ER to EUR]]</f>
        <v>-2000</v>
      </c>
      <c r="G1027" s="37" t="s">
        <v>3694</v>
      </c>
      <c r="H1027" s="9" t="s">
        <v>3695</v>
      </c>
      <c r="I1027" s="37" t="s">
        <v>2727</v>
      </c>
      <c r="J1027" s="37" t="s">
        <v>2714</v>
      </c>
      <c r="K1027" s="217" t="s">
        <v>2747</v>
      </c>
      <c r="L1027" s="37" t="s">
        <v>2716</v>
      </c>
      <c r="M1027" s="38" t="s">
        <v>125</v>
      </c>
      <c r="N1027" s="158" t="s">
        <v>2704</v>
      </c>
      <c r="O1027" s="156" t="s">
        <v>2704</v>
      </c>
      <c r="P1027" s="123" t="str">
        <f>"C"&amp;INT((MONTH(A1027)-1)/4)+1&amp;"-"&amp;YEAR(A1027)</f>
        <v>C3-2025</v>
      </c>
      <c r="Q1027" s="123" t="str">
        <f>"T"&amp;INT((MONTH(A1027)-1)/3)+1&amp;"-"&amp;YEAR(A1027)</f>
        <v>T4-2025</v>
      </c>
      <c r="R1027" s="171" t="s">
        <v>2705</v>
      </c>
      <c r="S1027" s="124" t="s">
        <v>2706</v>
      </c>
      <c r="T1027" s="123" t="s">
        <v>2724</v>
      </c>
      <c r="U1027" s="162" t="s">
        <v>51</v>
      </c>
      <c r="V1027" s="162" t="s">
        <v>57</v>
      </c>
      <c r="W1027" s="237" t="s">
        <v>125</v>
      </c>
      <c r="X1027" s="202" t="s">
        <v>2709</v>
      </c>
    </row>
    <row r="1028" spans="1:24" hidden="1">
      <c r="A1028" s="161">
        <v>45996</v>
      </c>
      <c r="B1028" s="164">
        <v>40342096</v>
      </c>
      <c r="C1028" s="38" t="s">
        <v>2697</v>
      </c>
      <c r="D1028" s="210">
        <v>-87.28</v>
      </c>
      <c r="E1028" s="120">
        <v>1</v>
      </c>
      <c r="F1028" s="121">
        <f>Tabla5109[[#This Row],[Original Amount]]*Tabla5109[[#This Row],[ER to EUR]]</f>
        <v>-87.28</v>
      </c>
      <c r="G1028" s="9" t="s">
        <v>2698</v>
      </c>
      <c r="H1028" s="9" t="s">
        <v>4047</v>
      </c>
      <c r="I1028" s="37" t="s">
        <v>3836</v>
      </c>
      <c r="J1028" s="37" t="s">
        <v>2701</v>
      </c>
      <c r="K1028" s="217" t="s">
        <v>2702</v>
      </c>
      <c r="L1028" s="37" t="s">
        <v>2703</v>
      </c>
      <c r="M1028" s="38" t="s">
        <v>125</v>
      </c>
      <c r="N1028" s="158" t="s">
        <v>2704</v>
      </c>
      <c r="O1028" s="156" t="s">
        <v>2704</v>
      </c>
      <c r="P1028" s="123" t="str">
        <f>"C"&amp;INT((MONTH(A1028)-1)/4)+1&amp;"-"&amp;YEAR(A1028)</f>
        <v>C3-2025</v>
      </c>
      <c r="Q1028" s="123" t="str">
        <f>"T"&amp;INT((MONTH(A1028)-1)/3)+1&amp;"-"&amp;YEAR(A1028)</f>
        <v>T4-2025</v>
      </c>
      <c r="R1028" s="160" t="s">
        <v>2705</v>
      </c>
      <c r="S1028" s="160" t="s">
        <v>2706</v>
      </c>
      <c r="T1028" s="123" t="s">
        <v>2707</v>
      </c>
      <c r="U1028" s="162" t="s">
        <v>2708</v>
      </c>
      <c r="V1028" s="162" t="s">
        <v>54</v>
      </c>
      <c r="W1028" s="237" t="s">
        <v>125</v>
      </c>
      <c r="X1028" s="202" t="s">
        <v>2709</v>
      </c>
    </row>
    <row r="1029" spans="1:24" hidden="1">
      <c r="A1029" s="161">
        <v>45996</v>
      </c>
      <c r="B1029" s="167" t="s">
        <v>4048</v>
      </c>
      <c r="C1029" s="38" t="s">
        <v>2697</v>
      </c>
      <c r="D1029" s="210">
        <v>-5.42</v>
      </c>
      <c r="E1029" s="159">
        <v>1</v>
      </c>
      <c r="F1029" s="121">
        <f>Tabla5109[[#This Row],[Original Amount]]*Tabla5109[[#This Row],[ER to EUR]]</f>
        <v>-5.42</v>
      </c>
      <c r="G1029" s="37" t="s">
        <v>2839</v>
      </c>
      <c r="H1029" s="9" t="s">
        <v>2840</v>
      </c>
      <c r="I1029" s="37" t="s">
        <v>2784</v>
      </c>
      <c r="J1029" s="37" t="s">
        <v>2701</v>
      </c>
      <c r="K1029" s="217" t="s">
        <v>2702</v>
      </c>
      <c r="L1029" s="37" t="s">
        <v>2703</v>
      </c>
      <c r="M1029" s="38" t="s">
        <v>125</v>
      </c>
      <c r="N1029" s="156" t="s">
        <v>2704</v>
      </c>
      <c r="O1029" s="158" t="s">
        <v>2704</v>
      </c>
      <c r="P1029" s="123" t="str">
        <f>"C"&amp;INT((MONTH(A1029)-1)/4)+1&amp;"-"&amp;YEAR(A1029)</f>
        <v>C3-2025</v>
      </c>
      <c r="Q1029" s="123" t="str">
        <f>"T"&amp;INT((MONTH(A1029)-1)/3)+1&amp;"-"&amp;YEAR(A1029)</f>
        <v>T4-2025</v>
      </c>
      <c r="R1029" s="160" t="s">
        <v>2705</v>
      </c>
      <c r="S1029" s="160" t="s">
        <v>2706</v>
      </c>
      <c r="T1029" s="123" t="s">
        <v>2707</v>
      </c>
      <c r="U1029" s="162" t="s">
        <v>2708</v>
      </c>
      <c r="V1029" s="162" t="s">
        <v>56</v>
      </c>
      <c r="W1029" s="237" t="s">
        <v>125</v>
      </c>
      <c r="X1029" s="202" t="s">
        <v>2709</v>
      </c>
    </row>
    <row r="1030" spans="1:24" hidden="1">
      <c r="A1030" s="161">
        <v>45996</v>
      </c>
      <c r="B1030" s="167" t="s">
        <v>4049</v>
      </c>
      <c r="C1030" s="38" t="s">
        <v>2548</v>
      </c>
      <c r="D1030" s="240">
        <v>-25</v>
      </c>
      <c r="E1030" s="224">
        <v>0.86140099999999997</v>
      </c>
      <c r="F1030" s="236">
        <f>Tabla5109[[#This Row],[Original Amount]]*Tabla5109[[#This Row],[ER to EUR]]</f>
        <v>-21.535025000000001</v>
      </c>
      <c r="G1030" s="37" t="s">
        <v>3068</v>
      </c>
      <c r="H1030" s="9" t="s">
        <v>3857</v>
      </c>
      <c r="I1030" s="37" t="s">
        <v>2755</v>
      </c>
      <c r="J1030" s="37" t="s">
        <v>2701</v>
      </c>
      <c r="K1030" s="217" t="s">
        <v>2792</v>
      </c>
      <c r="L1030" s="37" t="s">
        <v>2740</v>
      </c>
      <c r="M1030" s="38" t="s">
        <v>125</v>
      </c>
      <c r="N1030" s="156" t="s">
        <v>2704</v>
      </c>
      <c r="O1030" s="158" t="s">
        <v>2704</v>
      </c>
      <c r="P1030" s="123" t="str">
        <f>"C"&amp;INT((MONTH(A1030)-1)/4)+1&amp;"-"&amp;YEAR(A1030)</f>
        <v>C3-2025</v>
      </c>
      <c r="Q1030" s="123" t="str">
        <f>"T"&amp;INT((MONTH(A1030)-1)/3)+1&amp;"-"&amp;YEAR(A1030)</f>
        <v>T4-2025</v>
      </c>
      <c r="R1030" s="124" t="s">
        <v>2722</v>
      </c>
      <c r="S1030" s="157" t="s">
        <v>2723</v>
      </c>
      <c r="T1030" s="157" t="s">
        <v>2724</v>
      </c>
      <c r="U1030" s="165" t="s">
        <v>2708</v>
      </c>
      <c r="V1030" s="165" t="s">
        <v>54</v>
      </c>
      <c r="W1030" s="237" t="s">
        <v>125</v>
      </c>
      <c r="X1030" s="202" t="s">
        <v>2709</v>
      </c>
    </row>
    <row r="1031" spans="1:24" hidden="1">
      <c r="A1031" s="161">
        <v>45996</v>
      </c>
      <c r="B1031" s="216" t="s">
        <v>4050</v>
      </c>
      <c r="C1031" s="38" t="s">
        <v>2697</v>
      </c>
      <c r="D1031" s="409">
        <v>-48.55</v>
      </c>
      <c r="E1031" s="159">
        <v>1</v>
      </c>
      <c r="F1031" s="236">
        <f>Tabla5109[[#This Row],[Original Amount]]*Tabla5109[[#This Row],[ER to EUR]]</f>
        <v>-48.55</v>
      </c>
      <c r="G1031" s="37" t="s">
        <v>3859</v>
      </c>
      <c r="H1031" s="73" t="s">
        <v>3860</v>
      </c>
      <c r="I1031" s="37" t="s">
        <v>3861</v>
      </c>
      <c r="J1031" s="37" t="s">
        <v>2770</v>
      </c>
      <c r="K1031" s="217" t="s">
        <v>2771</v>
      </c>
      <c r="L1031" s="37" t="s">
        <v>2772</v>
      </c>
      <c r="M1031" s="38" t="s">
        <v>125</v>
      </c>
      <c r="N1031" s="156" t="s">
        <v>2748</v>
      </c>
      <c r="O1031" s="158" t="s">
        <v>2748</v>
      </c>
      <c r="P1031" s="123" t="str">
        <f>"C"&amp;INT((MONTH(A1031)-1)/4)+1&amp;"-"&amp;YEAR(A1031)</f>
        <v>C3-2025</v>
      </c>
      <c r="Q1031" s="123" t="str">
        <f>"T"&amp;INT((MONTH(A1031)-1)/3)+1&amp;"-"&amp;YEAR(A1031)</f>
        <v>T4-2025</v>
      </c>
      <c r="R1031" s="171" t="s">
        <v>2749</v>
      </c>
      <c r="S1031" s="123" t="s">
        <v>2750</v>
      </c>
      <c r="T1031" s="123" t="s">
        <v>2717</v>
      </c>
      <c r="U1031" s="162" t="s">
        <v>2708</v>
      </c>
      <c r="V1031" s="162" t="s">
        <v>56</v>
      </c>
      <c r="W1031" s="237" t="s">
        <v>125</v>
      </c>
      <c r="X1031" s="202" t="s">
        <v>2709</v>
      </c>
    </row>
    <row r="1032" spans="1:24" hidden="1">
      <c r="A1032" s="161">
        <v>45997</v>
      </c>
      <c r="B1032" s="167" t="s">
        <v>4051</v>
      </c>
      <c r="C1032" s="38" t="s">
        <v>2697</v>
      </c>
      <c r="D1032" s="409">
        <v>-150.26</v>
      </c>
      <c r="E1032" s="159">
        <v>1</v>
      </c>
      <c r="F1032" s="236">
        <f>Tabla5109[[#This Row],[Original Amount]]*Tabla5109[[#This Row],[ER to EUR]]</f>
        <v>-150.26</v>
      </c>
      <c r="G1032" s="9" t="s">
        <v>2839</v>
      </c>
      <c r="H1032" s="9" t="s">
        <v>2840</v>
      </c>
      <c r="I1032" s="37" t="s">
        <v>2784</v>
      </c>
      <c r="J1032" s="37" t="s">
        <v>2701</v>
      </c>
      <c r="K1032" s="217" t="s">
        <v>2702</v>
      </c>
      <c r="L1032" s="37" t="s">
        <v>2703</v>
      </c>
      <c r="M1032" s="38" t="s">
        <v>125</v>
      </c>
      <c r="N1032" s="156" t="s">
        <v>2704</v>
      </c>
      <c r="O1032" s="158" t="s">
        <v>2704</v>
      </c>
      <c r="P1032" s="123" t="str">
        <f>"C"&amp;INT((MONTH(A1032)-1)/4)+1&amp;"-"&amp;YEAR(A1032)</f>
        <v>C3-2025</v>
      </c>
      <c r="Q1032" s="123" t="str">
        <f>"T"&amp;INT((MONTH(A1032)-1)/3)+1&amp;"-"&amp;YEAR(A1032)</f>
        <v>T4-2025</v>
      </c>
      <c r="R1032" s="160" t="s">
        <v>2705</v>
      </c>
      <c r="S1032" s="124" t="s">
        <v>2706</v>
      </c>
      <c r="T1032" s="123" t="s">
        <v>2707</v>
      </c>
      <c r="U1032" s="162" t="s">
        <v>2708</v>
      </c>
      <c r="V1032" s="162" t="s">
        <v>56</v>
      </c>
      <c r="W1032" s="237" t="s">
        <v>125</v>
      </c>
      <c r="X1032" s="202" t="s">
        <v>2709</v>
      </c>
    </row>
    <row r="1033" spans="1:24" hidden="1">
      <c r="A1033" s="161">
        <v>45997</v>
      </c>
      <c r="B1033" s="167" t="s">
        <v>4052</v>
      </c>
      <c r="C1033" s="38" t="s">
        <v>2697</v>
      </c>
      <c r="D1033" s="210">
        <v>-89</v>
      </c>
      <c r="E1033" s="159">
        <v>1</v>
      </c>
      <c r="F1033" s="236">
        <f>Tabla5109[[#This Row],[Original Amount]]*Tabla5109[[#This Row],[ER to EUR]]</f>
        <v>-89</v>
      </c>
      <c r="G1033" s="37" t="s">
        <v>3269</v>
      </c>
      <c r="H1033" s="9" t="s">
        <v>3270</v>
      </c>
      <c r="I1033" s="37" t="s">
        <v>2755</v>
      </c>
      <c r="J1033" s="37" t="s">
        <v>2701</v>
      </c>
      <c r="K1033" s="217" t="s">
        <v>2702</v>
      </c>
      <c r="L1033" s="37" t="s">
        <v>2703</v>
      </c>
      <c r="M1033" s="38" t="s">
        <v>125</v>
      </c>
      <c r="N1033" s="156" t="s">
        <v>2704</v>
      </c>
      <c r="O1033" s="158" t="s">
        <v>2704</v>
      </c>
      <c r="P1033" s="123" t="str">
        <f>"C"&amp;INT((MONTH(A1033)-1)/4)+1&amp;"-"&amp;YEAR(A1033)</f>
        <v>C3-2025</v>
      </c>
      <c r="Q1033" s="123" t="str">
        <f>"T"&amp;INT((MONTH(A1033)-1)/3)+1&amp;"-"&amp;YEAR(A1033)</f>
        <v>T4-2025</v>
      </c>
      <c r="R1033" s="160" t="s">
        <v>2741</v>
      </c>
      <c r="S1033" s="157" t="s">
        <v>2723</v>
      </c>
      <c r="T1033" s="123" t="s">
        <v>2724</v>
      </c>
      <c r="U1033" s="162" t="s">
        <v>2708</v>
      </c>
      <c r="V1033" s="162" t="s">
        <v>54</v>
      </c>
      <c r="W1033" s="237" t="s">
        <v>125</v>
      </c>
      <c r="X1033" s="202" t="s">
        <v>2709</v>
      </c>
    </row>
    <row r="1034" spans="1:24" hidden="1">
      <c r="A1034" s="161">
        <v>45997</v>
      </c>
      <c r="B1034" s="167" t="s">
        <v>4053</v>
      </c>
      <c r="C1034" s="38" t="s">
        <v>2548</v>
      </c>
      <c r="D1034" s="240">
        <v>-349</v>
      </c>
      <c r="E1034" s="224">
        <v>0.86140099999999997</v>
      </c>
      <c r="F1034" s="236">
        <f>Tabla5109[[#This Row],[Original Amount]]*Tabla5109[[#This Row],[ER to EUR]]</f>
        <v>-300.62894899999998</v>
      </c>
      <c r="G1034" s="37" t="s">
        <v>3864</v>
      </c>
      <c r="H1034" s="37" t="s">
        <v>4054</v>
      </c>
      <c r="I1034" s="37" t="s">
        <v>2755</v>
      </c>
      <c r="J1034" s="37" t="s">
        <v>2701</v>
      </c>
      <c r="K1034" s="217" t="s">
        <v>2702</v>
      </c>
      <c r="L1034" s="37" t="s">
        <v>2703</v>
      </c>
      <c r="M1034" s="38" t="s">
        <v>125</v>
      </c>
      <c r="N1034" s="156" t="s">
        <v>2704</v>
      </c>
      <c r="O1034" s="158" t="s">
        <v>2704</v>
      </c>
      <c r="P1034" s="123" t="str">
        <f>"C"&amp;INT((MONTH(A1034)-1)/4)+1&amp;"-"&amp;YEAR(A1034)</f>
        <v>C3-2025</v>
      </c>
      <c r="Q1034" s="123" t="str">
        <f>"T"&amp;INT((MONTH(A1034)-1)/3)+1&amp;"-"&amp;YEAR(A1034)</f>
        <v>T4-2025</v>
      </c>
      <c r="R1034" s="160" t="s">
        <v>2705</v>
      </c>
      <c r="S1034" s="124" t="s">
        <v>2706</v>
      </c>
      <c r="T1034" s="123" t="s">
        <v>2717</v>
      </c>
      <c r="U1034" s="162" t="s">
        <v>2708</v>
      </c>
      <c r="V1034" s="162" t="s">
        <v>56</v>
      </c>
      <c r="W1034" s="237" t="s">
        <v>125</v>
      </c>
      <c r="X1034" s="202" t="s">
        <v>2709</v>
      </c>
    </row>
    <row r="1035" spans="1:24" hidden="1">
      <c r="A1035" s="161">
        <v>45997</v>
      </c>
      <c r="B1035" s="164">
        <v>781182680764</v>
      </c>
      <c r="C1035" s="158" t="s">
        <v>2697</v>
      </c>
      <c r="D1035" s="409">
        <v>-82.64</v>
      </c>
      <c r="E1035" s="159">
        <v>1</v>
      </c>
      <c r="F1035" s="236">
        <f>Tabla5109[[#This Row],[Original Amount]]*Tabla5109[[#This Row],[ER to EUR]]</f>
        <v>-82.64</v>
      </c>
      <c r="G1035" s="37" t="s">
        <v>2718</v>
      </c>
      <c r="H1035" s="37" t="s">
        <v>3868</v>
      </c>
      <c r="I1035" s="37" t="s">
        <v>2755</v>
      </c>
      <c r="J1035" s="37" t="s">
        <v>2714</v>
      </c>
      <c r="K1035" s="217" t="s">
        <v>2721</v>
      </c>
      <c r="L1035" s="37" t="s">
        <v>2716</v>
      </c>
      <c r="M1035" s="38" t="s">
        <v>125</v>
      </c>
      <c r="N1035" s="156" t="s">
        <v>2748</v>
      </c>
      <c r="O1035" s="158" t="s">
        <v>2748</v>
      </c>
      <c r="P1035" s="123" t="str">
        <f>"C"&amp;INT((MONTH(A1035)-1)/4)+1&amp;"-"&amp;YEAR(A1035)</f>
        <v>C3-2025</v>
      </c>
      <c r="Q1035" s="123" t="str">
        <f>"T"&amp;INT((MONTH(A1035)-1)/3)+1&amp;"-"&amp;YEAR(A1035)</f>
        <v>T4-2025</v>
      </c>
      <c r="R1035" s="160" t="s">
        <v>2722</v>
      </c>
      <c r="S1035" s="157" t="s">
        <v>2723</v>
      </c>
      <c r="T1035" s="123" t="s">
        <v>2724</v>
      </c>
      <c r="U1035" s="162" t="s">
        <v>2708</v>
      </c>
      <c r="V1035" s="162" t="s">
        <v>54</v>
      </c>
      <c r="W1035" s="237" t="s">
        <v>125</v>
      </c>
      <c r="X1035" s="202" t="s">
        <v>2709</v>
      </c>
    </row>
    <row r="1036" spans="1:24" ht="15" hidden="1" customHeight="1">
      <c r="A1036" s="161">
        <v>45997</v>
      </c>
      <c r="B1036" s="220">
        <v>2699</v>
      </c>
      <c r="C1036" s="158" t="s">
        <v>2697</v>
      </c>
      <c r="D1036" s="409">
        <v>-46.41</v>
      </c>
      <c r="E1036" s="159">
        <v>1</v>
      </c>
      <c r="F1036" s="236">
        <f>Tabla5109[[#This Row],[Original Amount]]*Tabla5109[[#This Row],[ER to EUR]]</f>
        <v>-46.41</v>
      </c>
      <c r="G1036" s="37" t="s">
        <v>2777</v>
      </c>
      <c r="H1036" s="37" t="s">
        <v>2778</v>
      </c>
      <c r="I1036" s="37" t="s">
        <v>2755</v>
      </c>
      <c r="J1036" s="37" t="s">
        <v>2714</v>
      </c>
      <c r="K1036" s="217" t="s">
        <v>2780</v>
      </c>
      <c r="L1036" s="37" t="s">
        <v>2716</v>
      </c>
      <c r="M1036" s="38" t="s">
        <v>125</v>
      </c>
      <c r="N1036" s="156" t="s">
        <v>2704</v>
      </c>
      <c r="O1036" s="158" t="s">
        <v>2704</v>
      </c>
      <c r="P1036" s="123" t="str">
        <f>"C"&amp;INT((MONTH(A1036)-1)/4)+1&amp;"-"&amp;YEAR(A1036)</f>
        <v>C3-2025</v>
      </c>
      <c r="Q1036" s="123" t="str">
        <f>"T"&amp;INT((MONTH(A1036)-1)/3)+1&amp;"-"&amp;YEAR(A1036)</f>
        <v>T4-2025</v>
      </c>
      <c r="R1036" s="160" t="s">
        <v>2705</v>
      </c>
      <c r="S1036" s="157" t="s">
        <v>2735</v>
      </c>
      <c r="T1036" s="123" t="s">
        <v>2724</v>
      </c>
      <c r="U1036" s="162" t="s">
        <v>2708</v>
      </c>
      <c r="V1036" s="162" t="s">
        <v>54</v>
      </c>
      <c r="W1036" s="237" t="s">
        <v>125</v>
      </c>
      <c r="X1036" s="202" t="s">
        <v>2709</v>
      </c>
    </row>
    <row r="1037" spans="1:24" ht="15" hidden="1" customHeight="1">
      <c r="A1037" s="161">
        <v>45997</v>
      </c>
      <c r="B1037" s="164">
        <v>1752028</v>
      </c>
      <c r="C1037" s="38" t="s">
        <v>2543</v>
      </c>
      <c r="D1037" s="242">
        <v>-183040</v>
      </c>
      <c r="E1037" s="159">
        <v>9.2599999999999996E-4</v>
      </c>
      <c r="F1037" s="236">
        <f>Tabla5109[[#This Row],[Original Amount]]*Tabla5109[[#This Row],[ER to EUR]]</f>
        <v>-169.49503999999999</v>
      </c>
      <c r="G1037" s="91" t="s">
        <v>3087</v>
      </c>
      <c r="H1037" s="37" t="s">
        <v>3088</v>
      </c>
      <c r="I1037" s="171" t="s">
        <v>2713</v>
      </c>
      <c r="J1037" s="37" t="s">
        <v>2701</v>
      </c>
      <c r="K1037" s="217" t="s">
        <v>2771</v>
      </c>
      <c r="L1037" s="37" t="s">
        <v>2772</v>
      </c>
      <c r="M1037" s="231" t="s">
        <v>2704</v>
      </c>
      <c r="N1037" s="156" t="s">
        <v>2748</v>
      </c>
      <c r="O1037" s="156" t="s">
        <v>2704</v>
      </c>
      <c r="P1037" s="123" t="str">
        <f>"C"&amp;INT((MONTH(A1037)-1)/4)+1&amp;"-"&amp;YEAR(A1037)</f>
        <v>C3-2025</v>
      </c>
      <c r="Q1037" s="123" t="str">
        <f>"T"&amp;INT((MONTH(A1037)-1)/3)+1&amp;"-"&amp;YEAR(A1037)</f>
        <v>T4-2025</v>
      </c>
      <c r="R1037" s="171" t="s">
        <v>2749</v>
      </c>
      <c r="S1037" s="157" t="s">
        <v>2750</v>
      </c>
      <c r="T1037" s="123" t="s">
        <v>2707</v>
      </c>
      <c r="U1037" s="162" t="s">
        <v>2708</v>
      </c>
      <c r="V1037" s="162" t="s">
        <v>54</v>
      </c>
      <c r="W1037" s="237" t="s">
        <v>125</v>
      </c>
      <c r="X1037" s="182" t="s">
        <v>2751</v>
      </c>
    </row>
    <row r="1038" spans="1:24" hidden="1">
      <c r="A1038" s="161">
        <v>45998</v>
      </c>
      <c r="B1038" s="167" t="s">
        <v>4055</v>
      </c>
      <c r="C1038" s="38" t="s">
        <v>2697</v>
      </c>
      <c r="D1038" s="409">
        <v>-303</v>
      </c>
      <c r="E1038" s="159">
        <v>1</v>
      </c>
      <c r="F1038" s="236">
        <f>Tabla5109[[#This Row],[Original Amount]]*Tabla5109[[#This Row],[ER to EUR]]</f>
        <v>-303</v>
      </c>
      <c r="G1038" s="37" t="s">
        <v>3873</v>
      </c>
      <c r="H1038" s="37" t="s">
        <v>3963</v>
      </c>
      <c r="I1038" s="37" t="s">
        <v>2755</v>
      </c>
      <c r="J1038" s="37" t="s">
        <v>2701</v>
      </c>
      <c r="K1038" s="217" t="s">
        <v>2702</v>
      </c>
      <c r="L1038" s="37" t="s">
        <v>2740</v>
      </c>
      <c r="M1038" s="38" t="s">
        <v>125</v>
      </c>
      <c r="N1038" s="156" t="s">
        <v>2704</v>
      </c>
      <c r="O1038" s="158" t="s">
        <v>2704</v>
      </c>
      <c r="P1038" s="123" t="str">
        <f>"C"&amp;INT((MONTH(A1038)-1)/4)+1&amp;"-"&amp;YEAR(A1038)</f>
        <v>C3-2025</v>
      </c>
      <c r="Q1038" s="123" t="str">
        <f>"T"&amp;INT((MONTH(A1038)-1)/3)+1&amp;"-"&amp;YEAR(A1038)</f>
        <v>T4-2025</v>
      </c>
      <c r="R1038" s="160" t="s">
        <v>2705</v>
      </c>
      <c r="S1038" s="160" t="s">
        <v>2706</v>
      </c>
      <c r="T1038" s="157" t="s">
        <v>2724</v>
      </c>
      <c r="U1038" s="162" t="s">
        <v>2708</v>
      </c>
      <c r="V1038" s="162" t="s">
        <v>56</v>
      </c>
      <c r="W1038" s="237" t="s">
        <v>125</v>
      </c>
      <c r="X1038" s="202" t="s">
        <v>2709</v>
      </c>
    </row>
    <row r="1039" spans="1:24" hidden="1">
      <c r="A1039" s="161">
        <v>45998</v>
      </c>
      <c r="B1039" s="164">
        <v>56</v>
      </c>
      <c r="C1039" s="38" t="s">
        <v>2543</v>
      </c>
      <c r="D1039" s="242">
        <v>-1717500</v>
      </c>
      <c r="E1039" s="159">
        <v>9.2599999999999996E-4</v>
      </c>
      <c r="F1039" s="236">
        <f>Tabla5109[[#This Row],[Original Amount]]*Tabla5109[[#This Row],[ER to EUR]]</f>
        <v>-1590.405</v>
      </c>
      <c r="G1039" s="37" t="s">
        <v>3566</v>
      </c>
      <c r="H1039" s="9" t="s">
        <v>4056</v>
      </c>
      <c r="I1039" s="37" t="s">
        <v>2713</v>
      </c>
      <c r="J1039" s="37" t="s">
        <v>2714</v>
      </c>
      <c r="K1039" s="217" t="s">
        <v>2747</v>
      </c>
      <c r="L1039" s="37" t="s">
        <v>2864</v>
      </c>
      <c r="M1039" s="412" t="s">
        <v>2748</v>
      </c>
      <c r="N1039" s="156" t="s">
        <v>2704</v>
      </c>
      <c r="O1039" s="158" t="s">
        <v>2704</v>
      </c>
      <c r="P1039" s="123" t="str">
        <f>"C"&amp;INT((MONTH(A1039)-1)/4)+1&amp;"-"&amp;YEAR(A1039)</f>
        <v>C3-2025</v>
      </c>
      <c r="Q1039" s="123" t="str">
        <f>"T"&amp;INT((MONTH(A1039)-1)/3)+1&amp;"-"&amp;YEAR(A1039)</f>
        <v>T4-2025</v>
      </c>
      <c r="R1039" s="160" t="s">
        <v>2705</v>
      </c>
      <c r="S1039" s="124" t="s">
        <v>2706</v>
      </c>
      <c r="T1039" s="157" t="s">
        <v>2707</v>
      </c>
      <c r="U1039" s="162" t="s">
        <v>51</v>
      </c>
      <c r="V1039" s="162" t="s">
        <v>57</v>
      </c>
      <c r="W1039" s="237" t="s">
        <v>125</v>
      </c>
      <c r="X1039" s="202" t="s">
        <v>2709</v>
      </c>
    </row>
    <row r="1040" spans="1:24" ht="15" hidden="1" customHeight="1">
      <c r="A1040" s="161">
        <v>45999</v>
      </c>
      <c r="B1040" s="164">
        <v>659525087795</v>
      </c>
      <c r="C1040" s="38" t="s">
        <v>2697</v>
      </c>
      <c r="D1040" s="409">
        <v>-226.1</v>
      </c>
      <c r="E1040" s="159">
        <v>1</v>
      </c>
      <c r="F1040" s="121">
        <f>Tabla5109[[#This Row],[Original Amount]]*Tabla5109[[#This Row],[ER to EUR]]</f>
        <v>-226.1</v>
      </c>
      <c r="G1040" s="37" t="s">
        <v>6000</v>
      </c>
      <c r="H1040" s="9" t="s">
        <v>4058</v>
      </c>
      <c r="I1040" s="37" t="s">
        <v>3831</v>
      </c>
      <c r="J1040" s="37" t="s">
        <v>2825</v>
      </c>
      <c r="K1040" s="217" t="s">
        <v>2826</v>
      </c>
      <c r="L1040" s="37" t="s">
        <v>2827</v>
      </c>
      <c r="M1040" s="38" t="s">
        <v>125</v>
      </c>
      <c r="N1040" s="156" t="s">
        <v>2704</v>
      </c>
      <c r="O1040" s="158" t="s">
        <v>2704</v>
      </c>
      <c r="P1040" s="123" t="str">
        <f>"C"&amp;INT((MONTH(A1040)-1)/4)+1&amp;"-"&amp;YEAR(A1040)</f>
        <v>C3-2025</v>
      </c>
      <c r="Q1040" s="123" t="str">
        <f>"T"&amp;INT((MONTH(A1040)-1)/3)+1&amp;"-"&amp;YEAR(A1040)</f>
        <v>T4-2025</v>
      </c>
      <c r="R1040" s="160" t="s">
        <v>2705</v>
      </c>
      <c r="S1040" s="160" t="s">
        <v>2706</v>
      </c>
      <c r="T1040" s="123" t="s">
        <v>2717</v>
      </c>
      <c r="U1040" s="162" t="s">
        <v>2708</v>
      </c>
      <c r="V1040" s="162" t="s">
        <v>56</v>
      </c>
      <c r="W1040" s="237" t="s">
        <v>125</v>
      </c>
      <c r="X1040" s="202" t="s">
        <v>2709</v>
      </c>
    </row>
    <row r="1041" spans="1:24" ht="15" hidden="1" customHeight="1">
      <c r="A1041" s="161">
        <v>45999</v>
      </c>
      <c r="B1041" s="167" t="s">
        <v>4059</v>
      </c>
      <c r="C1041" s="38" t="s">
        <v>2697</v>
      </c>
      <c r="D1041" s="409">
        <v>-100.99</v>
      </c>
      <c r="E1041" s="159">
        <v>1</v>
      </c>
      <c r="F1041" s="121">
        <f>Tabla5109[[#This Row],[Original Amount]]*Tabla5109[[#This Row],[ER to EUR]]</f>
        <v>-100.99</v>
      </c>
      <c r="G1041" s="37" t="s">
        <v>3776</v>
      </c>
      <c r="H1041" s="73" t="s">
        <v>3777</v>
      </c>
      <c r="I1041" s="37" t="s">
        <v>4060</v>
      </c>
      <c r="J1041" s="37" t="s">
        <v>2825</v>
      </c>
      <c r="K1041" s="217" t="s">
        <v>2826</v>
      </c>
      <c r="L1041" s="37" t="s">
        <v>2827</v>
      </c>
      <c r="M1041" s="38" t="s">
        <v>125</v>
      </c>
      <c r="N1041" s="156" t="s">
        <v>2704</v>
      </c>
      <c r="O1041" s="156" t="s">
        <v>2704</v>
      </c>
      <c r="P1041" s="123" t="str">
        <f>"C"&amp;INT((MONTH(A1041)-1)/4)+1&amp;"-"&amp;YEAR(A1041)</f>
        <v>C3-2025</v>
      </c>
      <c r="Q1041" s="123" t="str">
        <f>"T"&amp;INT((MONTH(A1041)-1)/3)+1&amp;"-"&amp;YEAR(A1041)</f>
        <v>T4-2025</v>
      </c>
      <c r="R1041" s="160" t="s">
        <v>2705</v>
      </c>
      <c r="S1041" s="160" t="s">
        <v>2706</v>
      </c>
      <c r="T1041" s="123" t="s">
        <v>2717</v>
      </c>
      <c r="U1041" s="203" t="s">
        <v>2708</v>
      </c>
      <c r="V1041" s="203" t="s">
        <v>56</v>
      </c>
      <c r="W1041" s="237" t="s">
        <v>125</v>
      </c>
      <c r="X1041" s="202" t="s">
        <v>2709</v>
      </c>
    </row>
    <row r="1042" spans="1:24" hidden="1">
      <c r="A1042" s="161">
        <v>45999</v>
      </c>
      <c r="B1042" s="167" t="s">
        <v>4061</v>
      </c>
      <c r="C1042" s="38" t="s">
        <v>2697</v>
      </c>
      <c r="D1042" s="409">
        <v>-49.99</v>
      </c>
      <c r="E1042" s="159">
        <v>1</v>
      </c>
      <c r="F1042" s="121">
        <f>Tabla5109[[#This Row],[Original Amount]]*Tabla5109[[#This Row],[ER to EUR]]</f>
        <v>-49.99</v>
      </c>
      <c r="G1042" s="9" t="s">
        <v>2830</v>
      </c>
      <c r="H1042" s="9" t="s">
        <v>3966</v>
      </c>
      <c r="I1042" s="37" t="s">
        <v>2739</v>
      </c>
      <c r="J1042" s="37" t="s">
        <v>2817</v>
      </c>
      <c r="K1042" s="217" t="s">
        <v>2702</v>
      </c>
      <c r="L1042" s="37" t="s">
        <v>2818</v>
      </c>
      <c r="M1042" s="38" t="s">
        <v>125</v>
      </c>
      <c r="N1042" s="158" t="s">
        <v>2704</v>
      </c>
      <c r="O1042" s="156" t="s">
        <v>2704</v>
      </c>
      <c r="P1042" s="123" t="str">
        <f>"C"&amp;INT((MONTH(A1042)-1)/4)+1&amp;"-"&amp;YEAR(A1042)</f>
        <v>C3-2025</v>
      </c>
      <c r="Q1042" s="123" t="str">
        <f>"T"&amp;INT((MONTH(A1042)-1)/3)+1&amp;"-"&amp;YEAR(A1042)</f>
        <v>T4-2025</v>
      </c>
      <c r="R1042" s="160" t="s">
        <v>2722</v>
      </c>
      <c r="S1042" s="157" t="s">
        <v>2723</v>
      </c>
      <c r="T1042" s="123" t="s">
        <v>2724</v>
      </c>
      <c r="U1042" s="162" t="s">
        <v>2708</v>
      </c>
      <c r="V1042" s="162" t="s">
        <v>54</v>
      </c>
      <c r="W1042" s="237" t="s">
        <v>125</v>
      </c>
      <c r="X1042" s="202" t="s">
        <v>2709</v>
      </c>
    </row>
    <row r="1043" spans="1:24" hidden="1">
      <c r="A1043" s="161">
        <v>45999</v>
      </c>
      <c r="B1043" s="167" t="s">
        <v>4057</v>
      </c>
      <c r="C1043" s="38" t="s">
        <v>2697</v>
      </c>
      <c r="D1043" s="409">
        <v>-236.81</v>
      </c>
      <c r="E1043" s="159">
        <v>1</v>
      </c>
      <c r="F1043" s="121">
        <f>Tabla5109[[#This Row],[Original Amount]]*Tabla5109[[#This Row],[ER to EUR]]</f>
        <v>-236.81</v>
      </c>
      <c r="G1043" s="37" t="s">
        <v>3884</v>
      </c>
      <c r="H1043" s="9" t="s">
        <v>3885</v>
      </c>
      <c r="I1043" s="37" t="s">
        <v>3692</v>
      </c>
      <c r="J1043" s="37" t="s">
        <v>2701</v>
      </c>
      <c r="K1043" s="217" t="s">
        <v>2702</v>
      </c>
      <c r="L1043" s="37" t="s">
        <v>2703</v>
      </c>
      <c r="M1043" s="38" t="s">
        <v>125</v>
      </c>
      <c r="N1043" s="156" t="s">
        <v>2704</v>
      </c>
      <c r="O1043" s="158" t="s">
        <v>2704</v>
      </c>
      <c r="P1043" s="123" t="str">
        <f>"C"&amp;INT((MONTH(A1043)-1)/4)+1&amp;"-"&amp;YEAR(A1043)</f>
        <v>C3-2025</v>
      </c>
      <c r="Q1043" s="123" t="str">
        <f>"T"&amp;INT((MONTH(A1043)-1)/3)+1&amp;"-"&amp;YEAR(A1043)</f>
        <v>T4-2025</v>
      </c>
      <c r="R1043" s="160" t="s">
        <v>2741</v>
      </c>
      <c r="S1043" s="123" t="s">
        <v>2723</v>
      </c>
      <c r="T1043" s="123" t="s">
        <v>2724</v>
      </c>
      <c r="U1043" s="162" t="s">
        <v>2708</v>
      </c>
      <c r="V1043" s="162" t="s">
        <v>54</v>
      </c>
      <c r="W1043" s="237" t="s">
        <v>125</v>
      </c>
      <c r="X1043" s="202" t="s">
        <v>2709</v>
      </c>
    </row>
    <row r="1044" spans="1:24" ht="15" hidden="1" customHeight="1">
      <c r="A1044" s="161">
        <v>46000</v>
      </c>
      <c r="B1044" s="164">
        <v>14712497</v>
      </c>
      <c r="C1044" s="38" t="s">
        <v>2697</v>
      </c>
      <c r="D1044" s="409">
        <v>-99</v>
      </c>
      <c r="E1044" s="159">
        <v>1</v>
      </c>
      <c r="F1044" s="121">
        <f>Tabla5109[[#This Row],[Original Amount]]*Tabla5109[[#This Row],[ER to EUR]]</f>
        <v>-99</v>
      </c>
      <c r="G1044" s="37" t="s">
        <v>4062</v>
      </c>
      <c r="H1044" s="37" t="s">
        <v>4063</v>
      </c>
      <c r="I1044" s="37" t="s">
        <v>2784</v>
      </c>
      <c r="J1044" s="37" t="s">
        <v>2825</v>
      </c>
      <c r="K1044" s="217" t="s">
        <v>2826</v>
      </c>
      <c r="L1044" s="212" t="s">
        <v>2827</v>
      </c>
      <c r="M1044" s="38" t="s">
        <v>125</v>
      </c>
      <c r="N1044" s="158" t="s">
        <v>2704</v>
      </c>
      <c r="O1044" s="156" t="s">
        <v>2704</v>
      </c>
      <c r="P1044" s="123" t="str">
        <f>"C"&amp;INT((MONTH(A1044)-1)/4)+1&amp;"-"&amp;YEAR(A1044)</f>
        <v>C3-2025</v>
      </c>
      <c r="Q1044" s="123" t="str">
        <f>"T"&amp;INT((MONTH(A1044)-1)/3)+1&amp;"-"&amp;YEAR(A1044)</f>
        <v>T4-2025</v>
      </c>
      <c r="R1044" s="171" t="s">
        <v>2705</v>
      </c>
      <c r="S1044" s="124" t="s">
        <v>2706</v>
      </c>
      <c r="T1044" s="123" t="s">
        <v>2717</v>
      </c>
      <c r="U1044" s="162" t="s">
        <v>2708</v>
      </c>
      <c r="V1044" s="162" t="s">
        <v>56</v>
      </c>
      <c r="W1044" s="237" t="s">
        <v>125</v>
      </c>
      <c r="X1044" s="182" t="s">
        <v>2709</v>
      </c>
    </row>
    <row r="1045" spans="1:24" hidden="1">
      <c r="A1045" s="161">
        <v>46000</v>
      </c>
      <c r="B1045" s="220">
        <v>2338</v>
      </c>
      <c r="C1045" s="38" t="s">
        <v>2697</v>
      </c>
      <c r="D1045" s="409">
        <v>-112.9</v>
      </c>
      <c r="E1045" s="159">
        <v>1</v>
      </c>
      <c r="F1045" s="121">
        <f>Tabla5109[[#This Row],[Original Amount]]*Tabla5109[[#This Row],[ER to EUR]]</f>
        <v>-112.9</v>
      </c>
      <c r="G1045" s="37" t="s">
        <v>3579</v>
      </c>
      <c r="H1045" s="37" t="s">
        <v>4064</v>
      </c>
      <c r="I1045" s="37" t="s">
        <v>3288</v>
      </c>
      <c r="J1045" s="37" t="s">
        <v>2825</v>
      </c>
      <c r="K1045" s="217" t="s">
        <v>2826</v>
      </c>
      <c r="L1045" s="37" t="s">
        <v>2827</v>
      </c>
      <c r="M1045" s="38" t="s">
        <v>125</v>
      </c>
      <c r="N1045" s="156" t="s">
        <v>2748</v>
      </c>
      <c r="O1045" s="158" t="s">
        <v>2748</v>
      </c>
      <c r="P1045" s="123" t="str">
        <f>"C"&amp;INT((MONTH(A1045)-1)/4)+1&amp;"-"&amp;YEAR(A1045)</f>
        <v>C3-2025</v>
      </c>
      <c r="Q1045" s="123" t="str">
        <f>"T"&amp;INT((MONTH(A1045)-1)/3)+1&amp;"-"&amp;YEAR(A1045)</f>
        <v>T4-2025</v>
      </c>
      <c r="R1045" s="160" t="s">
        <v>2705</v>
      </c>
      <c r="S1045" s="160" t="s">
        <v>2706</v>
      </c>
      <c r="T1045" s="123" t="s">
        <v>2717</v>
      </c>
      <c r="U1045" s="162" t="s">
        <v>2708</v>
      </c>
      <c r="V1045" s="162" t="s">
        <v>56</v>
      </c>
      <c r="W1045" s="237" t="s">
        <v>125</v>
      </c>
      <c r="X1045" s="202" t="s">
        <v>2709</v>
      </c>
    </row>
    <row r="1046" spans="1:24" hidden="1">
      <c r="A1046" s="161">
        <v>46000</v>
      </c>
      <c r="B1046" s="167" t="s">
        <v>4605</v>
      </c>
      <c r="C1046" s="38" t="s">
        <v>2697</v>
      </c>
      <c r="D1046" s="409">
        <v>-331.42</v>
      </c>
      <c r="E1046" s="159">
        <v>1</v>
      </c>
      <c r="F1046" s="121">
        <f>Tabla5109[[#This Row],[Original Amount]]*Tabla5109[[#This Row],[ER to EUR]]</f>
        <v>-331.42</v>
      </c>
      <c r="G1046" s="37" t="s">
        <v>2839</v>
      </c>
      <c r="H1046" s="37" t="s">
        <v>2840</v>
      </c>
      <c r="I1046" s="37" t="s">
        <v>2784</v>
      </c>
      <c r="J1046" s="37" t="s">
        <v>2701</v>
      </c>
      <c r="K1046" s="217" t="s">
        <v>2702</v>
      </c>
      <c r="L1046" s="37" t="s">
        <v>2703</v>
      </c>
      <c r="M1046" s="38" t="s">
        <v>125</v>
      </c>
      <c r="N1046" s="156" t="s">
        <v>2704</v>
      </c>
      <c r="O1046" s="158" t="s">
        <v>2704</v>
      </c>
      <c r="P1046" s="123" t="str">
        <f>"C"&amp;INT((MONTH(A1046)-1)/4)+1&amp;"-"&amp;YEAR(A1046)</f>
        <v>C3-2025</v>
      </c>
      <c r="Q1046" s="123" t="str">
        <f>"T"&amp;INT((MONTH(A1046)-1)/3)+1&amp;"-"&amp;YEAR(A1046)</f>
        <v>T4-2025</v>
      </c>
      <c r="R1046" s="160" t="s">
        <v>2705</v>
      </c>
      <c r="S1046" s="160" t="s">
        <v>2706</v>
      </c>
      <c r="T1046" s="123" t="s">
        <v>2707</v>
      </c>
      <c r="U1046" s="162" t="s">
        <v>2708</v>
      </c>
      <c r="V1046" s="162" t="s">
        <v>57</v>
      </c>
      <c r="W1046" s="237" t="s">
        <v>125</v>
      </c>
      <c r="X1046" s="202" t="s">
        <v>2709</v>
      </c>
    </row>
    <row r="1047" spans="1:24" hidden="1">
      <c r="A1047" s="161">
        <v>46001</v>
      </c>
      <c r="B1047" s="167" t="s">
        <v>4065</v>
      </c>
      <c r="C1047" s="38" t="s">
        <v>2697</v>
      </c>
      <c r="D1047" s="409">
        <v>-763.8</v>
      </c>
      <c r="E1047" s="159">
        <v>1</v>
      </c>
      <c r="F1047" s="121">
        <f>Tabla5109[[#This Row],[Original Amount]]*Tabla5109[[#This Row],[ER to EUR]]</f>
        <v>-763.8</v>
      </c>
      <c r="G1047" s="9" t="s">
        <v>2839</v>
      </c>
      <c r="H1047" s="37" t="s">
        <v>2840</v>
      </c>
      <c r="I1047" s="37" t="s">
        <v>2784</v>
      </c>
      <c r="J1047" s="37" t="s">
        <v>2701</v>
      </c>
      <c r="K1047" s="217" t="s">
        <v>2702</v>
      </c>
      <c r="L1047" s="37" t="s">
        <v>2703</v>
      </c>
      <c r="M1047" s="38" t="s">
        <v>125</v>
      </c>
      <c r="N1047" s="156" t="s">
        <v>2704</v>
      </c>
      <c r="O1047" s="158" t="s">
        <v>2704</v>
      </c>
      <c r="P1047" s="123" t="str">
        <f>"C"&amp;INT((MONTH(A1047)-1)/4)+1&amp;"-"&amp;YEAR(A1047)</f>
        <v>C3-2025</v>
      </c>
      <c r="Q1047" s="123" t="str">
        <f>"T"&amp;INT((MONTH(A1047)-1)/3)+1&amp;"-"&amp;YEAR(A1047)</f>
        <v>T4-2025</v>
      </c>
      <c r="R1047" s="124" t="s">
        <v>2705</v>
      </c>
      <c r="S1047" s="160" t="s">
        <v>2706</v>
      </c>
      <c r="T1047" s="123" t="s">
        <v>2707</v>
      </c>
      <c r="U1047" s="162" t="s">
        <v>2708</v>
      </c>
      <c r="V1047" s="162" t="s">
        <v>57</v>
      </c>
      <c r="W1047" s="237" t="s">
        <v>125</v>
      </c>
      <c r="X1047" s="202" t="s">
        <v>2709</v>
      </c>
    </row>
    <row r="1048" spans="1:24" hidden="1">
      <c r="A1048" s="161">
        <v>46001</v>
      </c>
      <c r="B1048" s="167" t="s">
        <v>4066</v>
      </c>
      <c r="C1048" s="38" t="s">
        <v>2697</v>
      </c>
      <c r="D1048" s="409">
        <v>-213.01</v>
      </c>
      <c r="E1048" s="159">
        <v>1</v>
      </c>
      <c r="F1048" s="121">
        <f>Tabla5109[[#This Row],[Original Amount]]*Tabla5109[[#This Row],[ER to EUR]]</f>
        <v>-213.01</v>
      </c>
      <c r="G1048" s="37" t="s">
        <v>4067</v>
      </c>
      <c r="H1048" s="37" t="s">
        <v>4068</v>
      </c>
      <c r="I1048" s="37" t="s">
        <v>2784</v>
      </c>
      <c r="J1048" s="37" t="s">
        <v>2701</v>
      </c>
      <c r="K1048" s="217" t="s">
        <v>2771</v>
      </c>
      <c r="L1048" s="212" t="s">
        <v>3494</v>
      </c>
      <c r="M1048" s="38" t="s">
        <v>125</v>
      </c>
      <c r="N1048" s="158" t="s">
        <v>2704</v>
      </c>
      <c r="O1048" s="156" t="s">
        <v>2704</v>
      </c>
      <c r="P1048" s="123" t="str">
        <f>"C"&amp;INT((MONTH(A1048)-1)/4)+1&amp;"-"&amp;YEAR(A1048)</f>
        <v>C3-2025</v>
      </c>
      <c r="Q1048" s="123" t="str">
        <f>"T"&amp;INT((MONTH(A1048)-1)/3)+1&amp;"-"&amp;YEAR(A1048)</f>
        <v>T4-2025</v>
      </c>
      <c r="R1048" s="171" t="s">
        <v>2749</v>
      </c>
      <c r="S1048" s="157" t="s">
        <v>2750</v>
      </c>
      <c r="T1048" s="123" t="s">
        <v>2717</v>
      </c>
      <c r="U1048" s="162" t="s">
        <v>2708</v>
      </c>
      <c r="V1048" s="162" t="s">
        <v>56</v>
      </c>
      <c r="W1048" s="237" t="s">
        <v>125</v>
      </c>
      <c r="X1048" s="182" t="s">
        <v>2709</v>
      </c>
    </row>
    <row r="1049" spans="1:24" hidden="1">
      <c r="A1049" s="161">
        <v>46001</v>
      </c>
      <c r="B1049" s="134">
        <v>2982576</v>
      </c>
      <c r="C1049" s="158" t="s">
        <v>2548</v>
      </c>
      <c r="D1049" s="136">
        <v>-499</v>
      </c>
      <c r="E1049" s="224">
        <v>0.86140099999999997</v>
      </c>
      <c r="F1049" s="121">
        <f>Tabla5109[[#This Row],[Original Amount]]*Tabla5109[[#This Row],[ER to EUR]]</f>
        <v>-429.83909899999998</v>
      </c>
      <c r="G1049" s="37" t="s">
        <v>3193</v>
      </c>
      <c r="H1049" s="180" t="s">
        <v>3194</v>
      </c>
      <c r="I1049" s="9" t="s">
        <v>2739</v>
      </c>
      <c r="J1049" s="9" t="s">
        <v>2701</v>
      </c>
      <c r="K1049" s="205" t="s">
        <v>2702</v>
      </c>
      <c r="L1049" s="9" t="s">
        <v>2793</v>
      </c>
      <c r="M1049" s="32" t="s">
        <v>125</v>
      </c>
      <c r="N1049" s="129" t="s">
        <v>2704</v>
      </c>
      <c r="O1049" s="122" t="s">
        <v>2704</v>
      </c>
      <c r="P1049" s="123" t="str">
        <f>"C"&amp;INT((MONTH(A1049)-1)/4)+1&amp;"-"&amp;YEAR(A1049)</f>
        <v>C3-2025</v>
      </c>
      <c r="Q1049" s="123" t="str">
        <f>"T"&amp;INT((MONTH(A1049)-1)/3)+1&amp;"-"&amp;YEAR(A1049)</f>
        <v>T4-2025</v>
      </c>
      <c r="R1049" s="124" t="s">
        <v>2722</v>
      </c>
      <c r="S1049" s="123" t="s">
        <v>2723</v>
      </c>
      <c r="T1049" s="123" t="s">
        <v>2724</v>
      </c>
      <c r="U1049" s="162" t="s">
        <v>2708</v>
      </c>
      <c r="V1049" s="162" t="s">
        <v>54</v>
      </c>
      <c r="W1049" s="237" t="s">
        <v>125</v>
      </c>
      <c r="X1049" s="173" t="s">
        <v>2709</v>
      </c>
    </row>
    <row r="1050" spans="1:24" ht="15" hidden="1" customHeight="1">
      <c r="A1050" s="161">
        <v>46002</v>
      </c>
      <c r="B1050" s="132" t="s">
        <v>4069</v>
      </c>
      <c r="C1050" s="158" t="s">
        <v>2697</v>
      </c>
      <c r="D1050" s="210">
        <v>-20</v>
      </c>
      <c r="E1050" s="159">
        <v>1</v>
      </c>
      <c r="F1050" s="234">
        <f>Tabla5109[[#This Row],[Original Amount]]*Tabla5109[[#This Row],[ER to EUR]]</f>
        <v>-20</v>
      </c>
      <c r="G1050" s="37" t="s">
        <v>4070</v>
      </c>
      <c r="H1050" s="37" t="s">
        <v>4071</v>
      </c>
      <c r="I1050" s="9" t="s">
        <v>4072</v>
      </c>
      <c r="J1050" s="9" t="s">
        <v>2701</v>
      </c>
      <c r="K1050" s="205" t="s">
        <v>2771</v>
      </c>
      <c r="L1050" s="9" t="s">
        <v>2788</v>
      </c>
      <c r="M1050" s="32" t="s">
        <v>125</v>
      </c>
      <c r="N1050" s="129" t="s">
        <v>2704</v>
      </c>
      <c r="O1050" s="122" t="s">
        <v>2704</v>
      </c>
      <c r="P1050" s="123" t="str">
        <f>"C"&amp;INT((MONTH(A1050)-1)/4)+1&amp;"-"&amp;YEAR(A1050)</f>
        <v>C3-2025</v>
      </c>
      <c r="Q1050" s="123" t="str">
        <f>"T"&amp;INT((MONTH(A1050)-1)/3)+1&amp;"-"&amp;YEAR(A1050)</f>
        <v>T4-2025</v>
      </c>
      <c r="R1050" s="124" t="s">
        <v>2819</v>
      </c>
      <c r="S1050" s="123" t="s">
        <v>2817</v>
      </c>
      <c r="T1050" s="123" t="s">
        <v>2717</v>
      </c>
      <c r="U1050" s="162" t="s">
        <v>2708</v>
      </c>
      <c r="V1050" s="162" t="s">
        <v>56</v>
      </c>
      <c r="W1050" s="237" t="s">
        <v>125</v>
      </c>
      <c r="X1050" s="173" t="s">
        <v>2709</v>
      </c>
    </row>
    <row r="1051" spans="1:24" ht="15" hidden="1" customHeight="1">
      <c r="A1051" s="161">
        <v>46002</v>
      </c>
      <c r="B1051" s="125">
        <v>16185</v>
      </c>
      <c r="C1051" s="38" t="s">
        <v>2697</v>
      </c>
      <c r="D1051" s="210">
        <v>-3000</v>
      </c>
      <c r="E1051" s="159">
        <v>1</v>
      </c>
      <c r="F1051" s="234">
        <f>Tabla5109[[#This Row],[Original Amount]]*Tabla5109[[#This Row],[ER to EUR]]</f>
        <v>-3000</v>
      </c>
      <c r="G1051" s="37" t="s">
        <v>2725</v>
      </c>
      <c r="H1051" s="37" t="s">
        <v>3389</v>
      </c>
      <c r="I1051" s="9" t="s">
        <v>2727</v>
      </c>
      <c r="J1051" s="9" t="s">
        <v>2701</v>
      </c>
      <c r="K1051" s="205" t="s">
        <v>2728</v>
      </c>
      <c r="L1051" s="9" t="s">
        <v>2729</v>
      </c>
      <c r="M1051" s="32" t="s">
        <v>125</v>
      </c>
      <c r="N1051" s="129" t="s">
        <v>2704</v>
      </c>
      <c r="O1051" s="129" t="s">
        <v>2704</v>
      </c>
      <c r="P1051" s="123" t="str">
        <f>"C"&amp;INT((MONTH(A1051)-1)/4)+1&amp;"-"&amp;YEAR(A1051)</f>
        <v>C3-2025</v>
      </c>
      <c r="Q1051" s="123" t="str">
        <f>"T"&amp;INT((MONTH(A1051)-1)/3)+1&amp;"-"&amp;YEAR(A1051)</f>
        <v>T4-2025</v>
      </c>
      <c r="R1051" s="124" t="s">
        <v>2730</v>
      </c>
      <c r="S1051" s="123" t="s">
        <v>2731</v>
      </c>
      <c r="T1051" s="123" t="s">
        <v>2707</v>
      </c>
      <c r="U1051" s="162" t="s">
        <v>51</v>
      </c>
      <c r="V1051" s="162" t="s">
        <v>57</v>
      </c>
      <c r="W1051" s="237" t="s">
        <v>125</v>
      </c>
      <c r="X1051" s="173" t="s">
        <v>2709</v>
      </c>
    </row>
    <row r="1052" spans="1:24" hidden="1">
      <c r="A1052" s="161">
        <v>46003</v>
      </c>
      <c r="B1052" s="131" t="s">
        <v>4073</v>
      </c>
      <c r="C1052" s="38" t="s">
        <v>2697</v>
      </c>
      <c r="D1052" s="210">
        <v>-49.18</v>
      </c>
      <c r="E1052" s="159">
        <v>1</v>
      </c>
      <c r="F1052" s="234">
        <f>Tabla5109[[#This Row],[Original Amount]]*Tabla5109[[#This Row],[ER to EUR]]</f>
        <v>-49.18</v>
      </c>
      <c r="G1052" s="37" t="s">
        <v>2733</v>
      </c>
      <c r="H1052" s="37" t="s">
        <v>2734</v>
      </c>
      <c r="I1052" s="9" t="s">
        <v>2713</v>
      </c>
      <c r="J1052" s="9" t="s">
        <v>2701</v>
      </c>
      <c r="K1052" s="205" t="s">
        <v>2809</v>
      </c>
      <c r="L1052" s="9" t="s">
        <v>2810</v>
      </c>
      <c r="M1052" s="32" t="s">
        <v>125</v>
      </c>
      <c r="N1052" s="122" t="s">
        <v>2748</v>
      </c>
      <c r="O1052" s="129" t="s">
        <v>2748</v>
      </c>
      <c r="P1052" s="123" t="str">
        <f>"C"&amp;INT((MONTH(A1052)-1)/4)+1&amp;"-"&amp;YEAR(A1052)</f>
        <v>C3-2025</v>
      </c>
      <c r="Q1052" s="123" t="str">
        <f>"T"&amp;INT((MONTH(A1052)-1)/3)+1&amp;"-"&amp;YEAR(A1052)</f>
        <v>T4-2025</v>
      </c>
      <c r="R1052" s="124" t="s">
        <v>2705</v>
      </c>
      <c r="S1052" s="123" t="s">
        <v>2735</v>
      </c>
      <c r="T1052" s="123" t="s">
        <v>2707</v>
      </c>
      <c r="U1052" s="203" t="s">
        <v>2708</v>
      </c>
      <c r="V1052" s="203" t="s">
        <v>56</v>
      </c>
      <c r="W1052" s="237" t="s">
        <v>125</v>
      </c>
      <c r="X1052" s="173" t="s">
        <v>2709</v>
      </c>
    </row>
    <row r="1053" spans="1:24" hidden="1">
      <c r="A1053" s="161">
        <v>46005</v>
      </c>
      <c r="B1053" s="133" t="s">
        <v>4074</v>
      </c>
      <c r="C1053" s="38" t="s">
        <v>2697</v>
      </c>
      <c r="D1053" s="210">
        <v>-65.540000000000006</v>
      </c>
      <c r="E1053" s="159">
        <v>1</v>
      </c>
      <c r="F1053" s="121">
        <f>Tabla5109[[#This Row],[Original Amount]]*Tabla5109[[#This Row],[ER to EUR]]</f>
        <v>-65.540000000000006</v>
      </c>
      <c r="G1053" s="37" t="s">
        <v>2830</v>
      </c>
      <c r="H1053" s="37" t="s">
        <v>4075</v>
      </c>
      <c r="I1053" s="9" t="s">
        <v>2784</v>
      </c>
      <c r="J1053" s="9" t="s">
        <v>2817</v>
      </c>
      <c r="K1053" s="205" t="s">
        <v>2702</v>
      </c>
      <c r="L1053" s="9" t="s">
        <v>2818</v>
      </c>
      <c r="M1053" s="32" t="s">
        <v>125</v>
      </c>
      <c r="N1053" s="122" t="s">
        <v>2704</v>
      </c>
      <c r="O1053" s="129" t="s">
        <v>2704</v>
      </c>
      <c r="P1053" s="123" t="str">
        <f>"C"&amp;INT((MONTH(A1053)-1)/4)+1&amp;"-"&amp;YEAR(A1053)</f>
        <v>C3-2025</v>
      </c>
      <c r="Q1053" s="123" t="str">
        <f>"T"&amp;INT((MONTH(A1053)-1)/3)+1&amp;"-"&amp;YEAR(A1053)</f>
        <v>T4-2025</v>
      </c>
      <c r="R1053" s="124" t="s">
        <v>2722</v>
      </c>
      <c r="S1053" s="123" t="s">
        <v>2723</v>
      </c>
      <c r="T1053" s="123" t="s">
        <v>2724</v>
      </c>
      <c r="U1053" s="162" t="s">
        <v>2708</v>
      </c>
      <c r="V1053" s="162" t="s">
        <v>54</v>
      </c>
      <c r="W1053" s="237" t="s">
        <v>125</v>
      </c>
      <c r="X1053" s="173" t="s">
        <v>2709</v>
      </c>
    </row>
    <row r="1054" spans="1:24" hidden="1">
      <c r="A1054" s="161">
        <v>46005</v>
      </c>
      <c r="B1054" s="133" t="s">
        <v>4076</v>
      </c>
      <c r="C1054" s="38" t="s">
        <v>2697</v>
      </c>
      <c r="D1054" s="210">
        <v>-118.99</v>
      </c>
      <c r="E1054" s="159">
        <v>1</v>
      </c>
      <c r="F1054" s="121">
        <f>Tabla5109[[#This Row],[Original Amount]]*Tabla5109[[#This Row],[ER to EUR]]</f>
        <v>-118.99</v>
      </c>
      <c r="G1054" s="37" t="s">
        <v>2812</v>
      </c>
      <c r="H1054" s="171" t="s">
        <v>2813</v>
      </c>
      <c r="I1054" s="9" t="s">
        <v>2727</v>
      </c>
      <c r="J1054" s="9" t="s">
        <v>2714</v>
      </c>
      <c r="K1054" s="196" t="s">
        <v>2814</v>
      </c>
      <c r="L1054" s="9" t="s">
        <v>2799</v>
      </c>
      <c r="M1054" s="32" t="s">
        <v>125</v>
      </c>
      <c r="N1054" s="129" t="s">
        <v>2704</v>
      </c>
      <c r="O1054" s="122" t="s">
        <v>2704</v>
      </c>
      <c r="P1054" s="123" t="str">
        <f>"C"&amp;INT((MONTH(A1054)-1)/4)+1&amp;"-"&amp;YEAR(A1054)</f>
        <v>C3-2025</v>
      </c>
      <c r="Q1054" s="123" t="str">
        <f>"T"&amp;INT((MONTH(A1054)-1)/3)+1&amp;"-"&amp;YEAR(A1054)</f>
        <v>T4-2025</v>
      </c>
      <c r="R1054" s="124" t="s">
        <v>2705</v>
      </c>
      <c r="S1054" s="124" t="s">
        <v>2706</v>
      </c>
      <c r="T1054" s="123" t="s">
        <v>2724</v>
      </c>
      <c r="U1054" s="162" t="s">
        <v>2708</v>
      </c>
      <c r="V1054" s="162" t="s">
        <v>56</v>
      </c>
      <c r="W1054" s="237" t="s">
        <v>125</v>
      </c>
      <c r="X1054" s="173" t="s">
        <v>2709</v>
      </c>
    </row>
    <row r="1055" spans="1:24" ht="15" hidden="1" customHeight="1">
      <c r="A1055" s="161">
        <v>46006</v>
      </c>
      <c r="B1055" s="133" t="s">
        <v>4077</v>
      </c>
      <c r="C1055" s="38" t="s">
        <v>2697</v>
      </c>
      <c r="D1055" s="210">
        <v>-28.56</v>
      </c>
      <c r="E1055" s="159">
        <v>1</v>
      </c>
      <c r="F1055" s="121">
        <f>Tabla5109[[#This Row],[Original Amount]]*Tabla5109[[#This Row],[ER to EUR]]</f>
        <v>-28.56</v>
      </c>
      <c r="G1055" s="37" t="s">
        <v>4078</v>
      </c>
      <c r="H1055" s="37" t="s">
        <v>4079</v>
      </c>
      <c r="I1055" s="9" t="s">
        <v>2755</v>
      </c>
      <c r="J1055" s="9" t="s">
        <v>2701</v>
      </c>
      <c r="K1055" s="205" t="s">
        <v>2702</v>
      </c>
      <c r="L1055" s="211" t="s">
        <v>3693</v>
      </c>
      <c r="M1055" s="32" t="s">
        <v>125</v>
      </c>
      <c r="N1055" s="122" t="s">
        <v>2704</v>
      </c>
      <c r="O1055" s="129" t="s">
        <v>2704</v>
      </c>
      <c r="P1055" s="123" t="str">
        <f>"C"&amp;INT((MONTH(A1055)-1)/4)+1&amp;"-"&amp;YEAR(A1055)</f>
        <v>C3-2025</v>
      </c>
      <c r="Q1055" s="123" t="str">
        <f>"T"&amp;INT((MONTH(A1055)-1)/3)+1&amp;"-"&amp;YEAR(A1055)</f>
        <v>T4-2025</v>
      </c>
      <c r="R1055" s="91" t="s">
        <v>2705</v>
      </c>
      <c r="S1055" s="124" t="s">
        <v>2706</v>
      </c>
      <c r="T1055" s="123" t="s">
        <v>2717</v>
      </c>
      <c r="U1055" s="162" t="s">
        <v>2708</v>
      </c>
      <c r="V1055" s="162" t="s">
        <v>56</v>
      </c>
      <c r="W1055" s="237" t="s">
        <v>125</v>
      </c>
      <c r="X1055" s="123" t="s">
        <v>2709</v>
      </c>
    </row>
    <row r="1056" spans="1:24" hidden="1">
      <c r="A1056" s="161">
        <v>46006</v>
      </c>
      <c r="B1056" s="133" t="s">
        <v>4080</v>
      </c>
      <c r="C1056" s="38" t="s">
        <v>2697</v>
      </c>
      <c r="D1056" s="210">
        <v>-155.65</v>
      </c>
      <c r="E1056" s="159">
        <v>1</v>
      </c>
      <c r="F1056" s="121">
        <f>Tabla5109[[#This Row],[Original Amount]]*Tabla5109[[#This Row],[ER to EUR]]</f>
        <v>-155.65</v>
      </c>
      <c r="G1056" s="37" t="s">
        <v>3755</v>
      </c>
      <c r="H1056" s="37" t="s">
        <v>4081</v>
      </c>
      <c r="I1056" s="9" t="s">
        <v>3757</v>
      </c>
      <c r="J1056" s="9" t="s">
        <v>2825</v>
      </c>
      <c r="K1056" s="205" t="s">
        <v>2826</v>
      </c>
      <c r="L1056" s="9" t="s">
        <v>2827</v>
      </c>
      <c r="M1056" s="32" t="s">
        <v>125</v>
      </c>
      <c r="N1056" s="129" t="s">
        <v>2704</v>
      </c>
      <c r="O1056" s="122" t="s">
        <v>2704</v>
      </c>
      <c r="P1056" s="123" t="str">
        <f>"C"&amp;INT((MONTH(A1056)-1)/4)+1&amp;"-"&amp;YEAR(A1056)</f>
        <v>C3-2025</v>
      </c>
      <c r="Q1056" s="123" t="str">
        <f>"T"&amp;INT((MONTH(A1056)-1)/3)+1&amp;"-"&amp;YEAR(A1056)</f>
        <v>T4-2025</v>
      </c>
      <c r="R1056" s="124" t="s">
        <v>2705</v>
      </c>
      <c r="S1056" s="124" t="s">
        <v>2706</v>
      </c>
      <c r="T1056" s="123" t="s">
        <v>2717</v>
      </c>
      <c r="U1056" s="162" t="s">
        <v>2708</v>
      </c>
      <c r="V1056" s="162" t="s">
        <v>56</v>
      </c>
      <c r="W1056" s="237" t="s">
        <v>125</v>
      </c>
      <c r="X1056" s="124" t="s">
        <v>2709</v>
      </c>
    </row>
    <row r="1057" spans="1:24" hidden="1">
      <c r="A1057" s="161">
        <v>46006</v>
      </c>
      <c r="B1057" s="125">
        <v>2004861</v>
      </c>
      <c r="C1057" s="38" t="s">
        <v>2697</v>
      </c>
      <c r="D1057" s="210">
        <v>-239.68</v>
      </c>
      <c r="E1057" s="159">
        <v>1</v>
      </c>
      <c r="F1057" s="121">
        <f>Tabla5109[[#This Row],[Original Amount]]*Tabla5109[[#This Row],[ER to EUR]]</f>
        <v>-239.68</v>
      </c>
      <c r="G1057" s="171" t="s">
        <v>2815</v>
      </c>
      <c r="H1057" s="171" t="s">
        <v>3103</v>
      </c>
      <c r="I1057" s="91" t="s">
        <v>2727</v>
      </c>
      <c r="J1057" s="91" t="s">
        <v>2817</v>
      </c>
      <c r="K1057" s="196" t="s">
        <v>2702</v>
      </c>
      <c r="L1057" s="91" t="s">
        <v>2818</v>
      </c>
      <c r="M1057" s="32" t="s">
        <v>125</v>
      </c>
      <c r="N1057" s="122" t="s">
        <v>2704</v>
      </c>
      <c r="O1057" s="129" t="s">
        <v>2704</v>
      </c>
      <c r="P1057" s="123" t="str">
        <f>"C"&amp;INT((MONTH(A1057)-1)/4)+1&amp;"-"&amp;YEAR(A1057)</f>
        <v>C3-2025</v>
      </c>
      <c r="Q1057" s="123" t="str">
        <f>"T"&amp;INT((MONTH(A1057)-1)/3)+1&amp;"-"&amp;YEAR(A1057)</f>
        <v>T4-2025</v>
      </c>
      <c r="R1057" s="124" t="s">
        <v>2819</v>
      </c>
      <c r="S1057" s="123" t="s">
        <v>2723</v>
      </c>
      <c r="T1057" s="123" t="s">
        <v>2724</v>
      </c>
      <c r="U1057" s="162" t="s">
        <v>2708</v>
      </c>
      <c r="V1057" s="162" t="s">
        <v>54</v>
      </c>
      <c r="W1057" s="237" t="s">
        <v>125</v>
      </c>
      <c r="X1057" s="124" t="s">
        <v>2709</v>
      </c>
    </row>
    <row r="1058" spans="1:24" hidden="1">
      <c r="A1058" s="161">
        <v>46006</v>
      </c>
      <c r="B1058" s="131" t="s">
        <v>4082</v>
      </c>
      <c r="C1058" s="38" t="s">
        <v>2697</v>
      </c>
      <c r="D1058" s="210">
        <v>-124</v>
      </c>
      <c r="E1058" s="159">
        <v>1</v>
      </c>
      <c r="F1058" s="121">
        <f>Tabla5109[[#This Row],[Original Amount]]*Tabla5109[[#This Row],[ER to EUR]]</f>
        <v>-124</v>
      </c>
      <c r="G1058" s="37" t="s">
        <v>3492</v>
      </c>
      <c r="H1058" s="9" t="s">
        <v>3636</v>
      </c>
      <c r="I1058" s="9" t="s">
        <v>2784</v>
      </c>
      <c r="J1058" s="9" t="s">
        <v>2701</v>
      </c>
      <c r="K1058" s="205" t="s">
        <v>2702</v>
      </c>
      <c r="L1058" s="9" t="s">
        <v>3494</v>
      </c>
      <c r="M1058" s="32" t="s">
        <v>125</v>
      </c>
      <c r="N1058" s="129" t="s">
        <v>2748</v>
      </c>
      <c r="O1058" s="122" t="s">
        <v>2748</v>
      </c>
      <c r="P1058" s="123" t="str">
        <f>"C"&amp;INT((MONTH(A1058)-1)/4)+1&amp;"-"&amp;YEAR(A1058)</f>
        <v>C3-2025</v>
      </c>
      <c r="Q1058" s="123" t="str">
        <f>"T"&amp;INT((MONTH(A1058)-1)/3)+1&amp;"-"&amp;YEAR(A1058)</f>
        <v>T4-2025</v>
      </c>
      <c r="R1058" s="124" t="s">
        <v>2705</v>
      </c>
      <c r="S1058" s="123" t="s">
        <v>2735</v>
      </c>
      <c r="T1058" s="123" t="s">
        <v>2707</v>
      </c>
      <c r="U1058" s="162" t="s">
        <v>2708</v>
      </c>
      <c r="V1058" s="162" t="s">
        <v>54</v>
      </c>
      <c r="W1058" s="237" t="s">
        <v>125</v>
      </c>
      <c r="X1058" s="124" t="s">
        <v>2709</v>
      </c>
    </row>
    <row r="1059" spans="1:24" hidden="1">
      <c r="A1059" s="161">
        <v>46006</v>
      </c>
      <c r="B1059" s="125">
        <v>28</v>
      </c>
      <c r="C1059" s="38" t="s">
        <v>2697</v>
      </c>
      <c r="D1059" s="210">
        <v>-5057.5</v>
      </c>
      <c r="E1059" s="159">
        <v>1</v>
      </c>
      <c r="F1059" s="121">
        <f>Tabla5109[[#This Row],[Original Amount]]*Tabla5109[[#This Row],[ER to EUR]]</f>
        <v>-5057.5</v>
      </c>
      <c r="G1059" s="37" t="s">
        <v>2790</v>
      </c>
      <c r="H1059" s="171" t="s">
        <v>2791</v>
      </c>
      <c r="I1059" s="9" t="s">
        <v>2727</v>
      </c>
      <c r="J1059" s="9" t="s">
        <v>2723</v>
      </c>
      <c r="K1059" s="205" t="s">
        <v>2792</v>
      </c>
      <c r="L1059" s="9" t="s">
        <v>2793</v>
      </c>
      <c r="M1059" s="32" t="s">
        <v>125</v>
      </c>
      <c r="N1059" s="129" t="s">
        <v>2748</v>
      </c>
      <c r="O1059" s="122" t="s">
        <v>2748</v>
      </c>
      <c r="P1059" s="123" t="str">
        <f>"C"&amp;INT((MONTH(A1059)-1)/4)+1&amp;"-"&amp;YEAR(A1059)</f>
        <v>C3-2025</v>
      </c>
      <c r="Q1059" s="123" t="str">
        <f>"T"&amp;INT((MONTH(A1059)-1)/3)+1&amp;"-"&amp;YEAR(A1059)</f>
        <v>T4-2025</v>
      </c>
      <c r="R1059" s="124" t="s">
        <v>2794</v>
      </c>
      <c r="S1059" s="123" t="s">
        <v>2731</v>
      </c>
      <c r="T1059" s="123" t="s">
        <v>2724</v>
      </c>
      <c r="U1059" s="162" t="s">
        <v>2708</v>
      </c>
      <c r="V1059" s="162" t="s">
        <v>57</v>
      </c>
      <c r="W1059" s="237" t="s">
        <v>125</v>
      </c>
      <c r="X1059" s="124" t="s">
        <v>2709</v>
      </c>
    </row>
    <row r="1060" spans="1:24" ht="15" hidden="1" customHeight="1">
      <c r="A1060" s="161">
        <v>46006</v>
      </c>
      <c r="B1060" s="125">
        <v>29</v>
      </c>
      <c r="C1060" s="38" t="s">
        <v>2697</v>
      </c>
      <c r="D1060" s="210">
        <v>-5355</v>
      </c>
      <c r="E1060" s="159">
        <v>1</v>
      </c>
      <c r="F1060" s="121">
        <f>Tabla5109[[#This Row],[Original Amount]]*Tabla5109[[#This Row],[ER to EUR]]</f>
        <v>-5355</v>
      </c>
      <c r="G1060" s="37" t="s">
        <v>2790</v>
      </c>
      <c r="H1060" s="171" t="s">
        <v>2791</v>
      </c>
      <c r="I1060" s="9" t="s">
        <v>2727</v>
      </c>
      <c r="J1060" s="9" t="s">
        <v>2723</v>
      </c>
      <c r="K1060" s="205" t="s">
        <v>2792</v>
      </c>
      <c r="L1060" s="9" t="s">
        <v>2793</v>
      </c>
      <c r="M1060" s="32" t="s">
        <v>125</v>
      </c>
      <c r="N1060" s="129" t="s">
        <v>2748</v>
      </c>
      <c r="O1060" s="122" t="s">
        <v>2748</v>
      </c>
      <c r="P1060" s="123" t="str">
        <f>"C"&amp;INT((MONTH(A1060)-1)/4)+1&amp;"-"&amp;YEAR(A1060)</f>
        <v>C3-2025</v>
      </c>
      <c r="Q1060" s="123" t="str">
        <f>"T"&amp;INT((MONTH(A1060)-1)/3)+1&amp;"-"&amp;YEAR(A1060)</f>
        <v>T4-2025</v>
      </c>
      <c r="R1060" s="124" t="s">
        <v>2794</v>
      </c>
      <c r="S1060" s="123" t="s">
        <v>2731</v>
      </c>
      <c r="T1060" s="123" t="s">
        <v>2724</v>
      </c>
      <c r="U1060" s="162" t="s">
        <v>2708</v>
      </c>
      <c r="V1060" s="162" t="s">
        <v>57</v>
      </c>
      <c r="W1060" s="237" t="s">
        <v>125</v>
      </c>
      <c r="X1060" s="124" t="s">
        <v>2709</v>
      </c>
    </row>
    <row r="1061" spans="1:24" hidden="1">
      <c r="A1061" s="161">
        <v>46007</v>
      </c>
      <c r="B1061" s="177">
        <v>40837</v>
      </c>
      <c r="C1061" s="38" t="s">
        <v>2697</v>
      </c>
      <c r="D1061" s="409">
        <v>-14</v>
      </c>
      <c r="E1061" s="159">
        <v>1</v>
      </c>
      <c r="F1061" s="236">
        <f>Tabla5109[[#This Row],[Original Amount]]*Tabla5109[[#This Row],[ER to EUR]]</f>
        <v>-14</v>
      </c>
      <c r="G1061" s="9" t="s">
        <v>3755</v>
      </c>
      <c r="H1061" s="9" t="s">
        <v>4083</v>
      </c>
      <c r="I1061" s="9" t="s">
        <v>2784</v>
      </c>
      <c r="J1061" s="9" t="s">
        <v>2825</v>
      </c>
      <c r="K1061" s="205" t="s">
        <v>2826</v>
      </c>
      <c r="L1061" s="9" t="s">
        <v>2827</v>
      </c>
      <c r="M1061" s="32" t="s">
        <v>125</v>
      </c>
      <c r="N1061" s="129" t="s">
        <v>2704</v>
      </c>
      <c r="O1061" s="122" t="s">
        <v>2704</v>
      </c>
      <c r="P1061" s="123" t="str">
        <f>"C"&amp;INT((MONTH(A1061)-1)/4)+1&amp;"-"&amp;YEAR(A1061)</f>
        <v>C3-2025</v>
      </c>
      <c r="Q1061" s="123" t="str">
        <f>"T"&amp;INT((MONTH(A1061)-1)/3)+1&amp;"-"&amp;YEAR(A1061)</f>
        <v>T4-2025</v>
      </c>
      <c r="R1061" s="124" t="s">
        <v>2705</v>
      </c>
      <c r="S1061" s="124" t="s">
        <v>2706</v>
      </c>
      <c r="T1061" s="123" t="s">
        <v>2717</v>
      </c>
      <c r="U1061" s="162" t="s">
        <v>2708</v>
      </c>
      <c r="V1061" s="162" t="s">
        <v>56</v>
      </c>
      <c r="W1061" s="237" t="s">
        <v>125</v>
      </c>
      <c r="X1061" s="173" t="s">
        <v>2709</v>
      </c>
    </row>
    <row r="1062" spans="1:24" hidden="1">
      <c r="A1062" s="161">
        <v>46008</v>
      </c>
      <c r="B1062" s="213" t="s">
        <v>4084</v>
      </c>
      <c r="C1062" s="38" t="s">
        <v>2548</v>
      </c>
      <c r="D1062" s="136">
        <v>-300</v>
      </c>
      <c r="E1062" s="224">
        <v>0.86140099999999997</v>
      </c>
      <c r="F1062" s="236">
        <f>Tabla5109[[#This Row],[Original Amount]]*Tabla5109[[#This Row],[ER to EUR]]</f>
        <v>-258.4203</v>
      </c>
      <c r="G1062" s="37" t="s">
        <v>2786</v>
      </c>
      <c r="H1062" s="37" t="s">
        <v>3908</v>
      </c>
      <c r="I1062" s="9" t="s">
        <v>2713</v>
      </c>
      <c r="J1062" s="9" t="s">
        <v>2701</v>
      </c>
      <c r="K1062" s="205" t="s">
        <v>2702</v>
      </c>
      <c r="L1062" s="9" t="s">
        <v>2788</v>
      </c>
      <c r="M1062" s="32" t="s">
        <v>125</v>
      </c>
      <c r="N1062" s="158" t="s">
        <v>2704</v>
      </c>
      <c r="O1062" s="156" t="s">
        <v>2704</v>
      </c>
      <c r="P1062" s="123" t="str">
        <f>"C"&amp;INT((MONTH(A1062)-1)/4)+1&amp;"-"&amp;YEAR(A1062)</f>
        <v>C3-2025</v>
      </c>
      <c r="Q1062" s="123" t="str">
        <f>"T"&amp;INT((MONTH(A1062)-1)/3)+1&amp;"-"&amp;YEAR(A1062)</f>
        <v>T4-2025</v>
      </c>
      <c r="R1062" s="160" t="s">
        <v>2705</v>
      </c>
      <c r="S1062" s="160" t="s">
        <v>2706</v>
      </c>
      <c r="T1062" s="123" t="s">
        <v>2724</v>
      </c>
      <c r="U1062" s="162" t="s">
        <v>2708</v>
      </c>
      <c r="V1062" s="162" t="s">
        <v>56</v>
      </c>
      <c r="W1062" s="237" t="s">
        <v>125</v>
      </c>
      <c r="X1062" s="202" t="s">
        <v>2709</v>
      </c>
    </row>
    <row r="1063" spans="1:24" ht="15" hidden="1" customHeight="1">
      <c r="A1063" s="161">
        <v>46008</v>
      </c>
      <c r="B1063" s="220">
        <v>16232</v>
      </c>
      <c r="C1063" s="38" t="s">
        <v>2697</v>
      </c>
      <c r="D1063" s="210">
        <v>-3000</v>
      </c>
      <c r="E1063" s="159">
        <v>1</v>
      </c>
      <c r="F1063" s="236">
        <f>Tabla5109[[#This Row],[Original Amount]]*Tabla5109[[#This Row],[ER to EUR]]</f>
        <v>-3000</v>
      </c>
      <c r="G1063" s="37" t="s">
        <v>2725</v>
      </c>
      <c r="H1063" s="9" t="s">
        <v>3389</v>
      </c>
      <c r="I1063" s="37" t="s">
        <v>2727</v>
      </c>
      <c r="J1063" s="37" t="s">
        <v>2701</v>
      </c>
      <c r="K1063" s="217" t="s">
        <v>2728</v>
      </c>
      <c r="L1063" s="37" t="s">
        <v>2729</v>
      </c>
      <c r="M1063" s="32" t="s">
        <v>125</v>
      </c>
      <c r="N1063" s="156" t="s">
        <v>2704</v>
      </c>
      <c r="O1063" s="156" t="s">
        <v>2704</v>
      </c>
      <c r="P1063" s="123" t="str">
        <f>"C"&amp;INT((MONTH(A1063)-1)/4)+1&amp;"-"&amp;YEAR(A1063)</f>
        <v>C3-2025</v>
      </c>
      <c r="Q1063" s="123" t="str">
        <f>"T"&amp;INT((MONTH(A1063)-1)/3)+1&amp;"-"&amp;YEAR(A1063)</f>
        <v>T4-2025</v>
      </c>
      <c r="R1063" s="160" t="s">
        <v>2730</v>
      </c>
      <c r="S1063" s="157" t="s">
        <v>2731</v>
      </c>
      <c r="T1063" s="123" t="s">
        <v>2707</v>
      </c>
      <c r="U1063" s="162" t="s">
        <v>51</v>
      </c>
      <c r="V1063" s="162" t="s">
        <v>57</v>
      </c>
      <c r="W1063" s="237" t="s">
        <v>125</v>
      </c>
      <c r="X1063" s="202" t="s">
        <v>2709</v>
      </c>
    </row>
    <row r="1064" spans="1:24" ht="15" hidden="1" customHeight="1">
      <c r="A1064" s="161">
        <v>46008</v>
      </c>
      <c r="B1064" s="167" t="s">
        <v>4085</v>
      </c>
      <c r="C1064" s="38" t="s">
        <v>2697</v>
      </c>
      <c r="D1064" s="210">
        <v>-133.44999999999999</v>
      </c>
      <c r="E1064" s="159">
        <v>1</v>
      </c>
      <c r="F1064" s="121">
        <f>Tabla5109[[#This Row],[Original Amount]]*Tabla5109[[#This Row],[ER to EUR]]</f>
        <v>-133.44999999999999</v>
      </c>
      <c r="G1064" t="s">
        <v>3116</v>
      </c>
      <c r="H1064" s="37" t="s">
        <v>4086</v>
      </c>
      <c r="I1064" s="37" t="s">
        <v>2713</v>
      </c>
      <c r="J1064" s="37" t="s">
        <v>2701</v>
      </c>
      <c r="K1064" s="217" t="s">
        <v>2702</v>
      </c>
      <c r="L1064" s="37" t="s">
        <v>2703</v>
      </c>
      <c r="M1064" s="32" t="s">
        <v>125</v>
      </c>
      <c r="N1064" s="158" t="s">
        <v>2704</v>
      </c>
      <c r="O1064" s="129" t="s">
        <v>2704</v>
      </c>
      <c r="P1064" s="123" t="str">
        <f>"C"&amp;INT((MONTH(A1064)-1)/4)+1&amp;"-"&amp;YEAR(A1064)</f>
        <v>C3-2025</v>
      </c>
      <c r="Q1064" s="123" t="str">
        <f>"T"&amp;INT((MONTH(A1064)-1)/3)+1&amp;"-"&amp;YEAR(A1064)</f>
        <v>T4-2025</v>
      </c>
      <c r="R1064" s="160" t="s">
        <v>2794</v>
      </c>
      <c r="S1064" s="157" t="s">
        <v>3041</v>
      </c>
      <c r="T1064" s="123" t="s">
        <v>2707</v>
      </c>
      <c r="U1064" s="162" t="s">
        <v>51</v>
      </c>
      <c r="V1064" s="162" t="s">
        <v>57</v>
      </c>
      <c r="W1064" s="237" t="s">
        <v>125</v>
      </c>
      <c r="X1064" s="202" t="s">
        <v>2709</v>
      </c>
    </row>
    <row r="1065" spans="1:24" ht="15" hidden="1" customHeight="1">
      <c r="A1065" s="161">
        <v>46008</v>
      </c>
      <c r="B1065" s="167" t="s">
        <v>4087</v>
      </c>
      <c r="C1065" s="38" t="s">
        <v>2697</v>
      </c>
      <c r="D1065" s="210">
        <v>-81</v>
      </c>
      <c r="E1065" s="159">
        <v>1</v>
      </c>
      <c r="F1065" s="121">
        <f>Tabla5109[[#This Row],[Original Amount]]*Tabla5109[[#This Row],[ER to EUR]]</f>
        <v>-81</v>
      </c>
      <c r="G1065" s="37" t="s">
        <v>2833</v>
      </c>
      <c r="H1065" s="9" t="s">
        <v>2834</v>
      </c>
      <c r="I1065" s="37" t="s">
        <v>2713</v>
      </c>
      <c r="J1065" s="37" t="s">
        <v>2701</v>
      </c>
      <c r="K1065" s="217" t="s">
        <v>2771</v>
      </c>
      <c r="L1065" s="212" t="s">
        <v>2818</v>
      </c>
      <c r="M1065" s="38" t="s">
        <v>125</v>
      </c>
      <c r="N1065" s="158" t="s">
        <v>2704</v>
      </c>
      <c r="O1065" s="156" t="s">
        <v>2704</v>
      </c>
      <c r="P1065" s="123" t="str">
        <f>"C"&amp;INT((MONTH(A1065)-1)/4)+1&amp;"-"&amp;YEAR(A1065)</f>
        <v>C3-2025</v>
      </c>
      <c r="Q1065" s="123" t="str">
        <f>"T"&amp;INT((MONTH(A1065)-1)/3)+1&amp;"-"&amp;YEAR(A1065)</f>
        <v>T4-2025</v>
      </c>
      <c r="R1065" s="171" t="s">
        <v>2819</v>
      </c>
      <c r="S1065" s="157" t="s">
        <v>2817</v>
      </c>
      <c r="T1065" s="157" t="s">
        <v>2724</v>
      </c>
      <c r="U1065" s="165" t="s">
        <v>2708</v>
      </c>
      <c r="V1065" s="165" t="s">
        <v>54</v>
      </c>
      <c r="W1065" s="237" t="s">
        <v>125</v>
      </c>
      <c r="X1065" s="202" t="s">
        <v>2709</v>
      </c>
    </row>
    <row r="1066" spans="1:24" ht="15" hidden="1" customHeight="1">
      <c r="A1066" s="161">
        <v>46009</v>
      </c>
      <c r="B1066" s="167" t="s">
        <v>1237</v>
      </c>
      <c r="C1066" s="38" t="s">
        <v>2697</v>
      </c>
      <c r="D1066" s="210">
        <v>-360</v>
      </c>
      <c r="E1066" s="159">
        <v>1</v>
      </c>
      <c r="F1066" s="121">
        <f>Tabla5109[[#This Row],[Original Amount]]*Tabla5109[[#This Row],[ER to EUR]]</f>
        <v>-360</v>
      </c>
      <c r="G1066" s="37" t="s">
        <v>3237</v>
      </c>
      <c r="H1066" s="9" t="s">
        <v>4088</v>
      </c>
      <c r="I1066" s="37" t="s">
        <v>2713</v>
      </c>
      <c r="J1066" s="37" t="s">
        <v>2770</v>
      </c>
      <c r="K1066" s="217" t="s">
        <v>2803</v>
      </c>
      <c r="L1066" s="37" t="s">
        <v>57</v>
      </c>
      <c r="M1066" s="38" t="s">
        <v>125</v>
      </c>
      <c r="N1066" s="156" t="s">
        <v>2704</v>
      </c>
      <c r="O1066" s="158" t="s">
        <v>2704</v>
      </c>
      <c r="P1066" s="123" t="str">
        <f>"C"&amp;INT((MONTH(A1066)-1)/4)+1&amp;"-"&amp;YEAR(A1066)</f>
        <v>C3-2025</v>
      </c>
      <c r="Q1066" s="123" t="str">
        <f>"T"&amp;INT((MONTH(A1066)-1)/3)+1&amp;"-"&amp;YEAR(A1066)</f>
        <v>T4-2025</v>
      </c>
      <c r="R1066" s="171" t="s">
        <v>2749</v>
      </c>
      <c r="S1066" s="157" t="s">
        <v>2750</v>
      </c>
      <c r="T1066" s="157" t="s">
        <v>2717</v>
      </c>
      <c r="U1066" s="165" t="s">
        <v>2708</v>
      </c>
      <c r="V1066" s="165" t="s">
        <v>56</v>
      </c>
      <c r="W1066" s="237" t="s">
        <v>125</v>
      </c>
      <c r="X1066" s="202" t="s">
        <v>2709</v>
      </c>
    </row>
    <row r="1067" spans="1:24" ht="15" hidden="1" customHeight="1">
      <c r="A1067" s="161">
        <v>46009</v>
      </c>
      <c r="B1067" s="167" t="s">
        <v>4089</v>
      </c>
      <c r="C1067" s="38" t="s">
        <v>2697</v>
      </c>
      <c r="D1067" s="409">
        <v>-215.29</v>
      </c>
      <c r="E1067" s="159">
        <v>1</v>
      </c>
      <c r="F1067" s="236">
        <f>Tabla5109[[#This Row],[Original Amount]]*Tabla5109[[#This Row],[ER to EUR]]</f>
        <v>-215.29</v>
      </c>
      <c r="G1067" s="218" t="s">
        <v>2839</v>
      </c>
      <c r="H1067" s="37" t="s">
        <v>2840</v>
      </c>
      <c r="I1067" s="37" t="s">
        <v>2784</v>
      </c>
      <c r="J1067" s="37" t="s">
        <v>2701</v>
      </c>
      <c r="K1067" s="217" t="s">
        <v>2702</v>
      </c>
      <c r="L1067" s="37" t="s">
        <v>2703</v>
      </c>
      <c r="M1067" s="32" t="s">
        <v>125</v>
      </c>
      <c r="N1067" s="156" t="s">
        <v>2704</v>
      </c>
      <c r="O1067" s="158" t="s">
        <v>2704</v>
      </c>
      <c r="P1067" s="123" t="str">
        <f>"C"&amp;INT((MONTH(A1067)-1)/4)+1&amp;"-"&amp;YEAR(A1067)</f>
        <v>C3-2025</v>
      </c>
      <c r="Q1067" s="123" t="str">
        <f>"T"&amp;INT((MONTH(A1067)-1)/3)+1&amp;"-"&amp;YEAR(A1067)</f>
        <v>T4-2025</v>
      </c>
      <c r="R1067" s="160" t="s">
        <v>2705</v>
      </c>
      <c r="S1067" s="124" t="s">
        <v>2706</v>
      </c>
      <c r="T1067" s="123" t="s">
        <v>2707</v>
      </c>
      <c r="U1067" s="162" t="s">
        <v>2708</v>
      </c>
      <c r="V1067" s="162" t="s">
        <v>56</v>
      </c>
      <c r="W1067" s="237" t="s">
        <v>125</v>
      </c>
      <c r="X1067" s="202" t="s">
        <v>2709</v>
      </c>
    </row>
    <row r="1068" spans="1:24" hidden="1">
      <c r="A1068" s="161">
        <v>46009</v>
      </c>
      <c r="B1068" s="167" t="s">
        <v>4090</v>
      </c>
      <c r="C1068" s="38" t="s">
        <v>2697</v>
      </c>
      <c r="D1068" s="409">
        <v>-543.9</v>
      </c>
      <c r="E1068" s="159">
        <v>1</v>
      </c>
      <c r="F1068" s="121">
        <f>Tabla5109[[#This Row],[Original Amount]]*Tabla5109[[#This Row],[ER to EUR]]</f>
        <v>-543.9</v>
      </c>
      <c r="G1068" s="9" t="s">
        <v>2753</v>
      </c>
      <c r="H1068" s="91" t="s">
        <v>3989</v>
      </c>
      <c r="I1068" s="9" t="s">
        <v>2755</v>
      </c>
      <c r="J1068" s="9" t="s">
        <v>2701</v>
      </c>
      <c r="K1068" s="205" t="s">
        <v>2702</v>
      </c>
      <c r="L1068" s="9" t="s">
        <v>2703</v>
      </c>
      <c r="M1068" s="32" t="s">
        <v>125</v>
      </c>
      <c r="N1068" s="129" t="s">
        <v>2704</v>
      </c>
      <c r="O1068" s="129" t="s">
        <v>2704</v>
      </c>
      <c r="P1068" s="123" t="str">
        <f>"C"&amp;INT((MONTH(A1068)-1)/4)+1&amp;"-"&amp;YEAR(A1068)</f>
        <v>C3-2025</v>
      </c>
      <c r="Q1068" s="123" t="str">
        <f>"T"&amp;INT((MONTH(A1068)-1)/3)+1&amp;"-"&amp;YEAR(A1068)</f>
        <v>T4-2025</v>
      </c>
      <c r="R1068" s="124" t="s">
        <v>2705</v>
      </c>
      <c r="S1068" s="124" t="s">
        <v>2706</v>
      </c>
      <c r="T1068" s="123" t="s">
        <v>2707</v>
      </c>
      <c r="U1068" s="162" t="s">
        <v>2708</v>
      </c>
      <c r="V1068" s="162" t="s">
        <v>56</v>
      </c>
      <c r="W1068" s="237" t="s">
        <v>125</v>
      </c>
      <c r="X1068" s="173" t="s">
        <v>2709</v>
      </c>
    </row>
    <row r="1069" spans="1:24" hidden="1">
      <c r="A1069" s="161">
        <v>46009</v>
      </c>
      <c r="B1069" s="164">
        <v>2006767</v>
      </c>
      <c r="C1069" s="38" t="s">
        <v>2697</v>
      </c>
      <c r="D1069" s="210">
        <v>-187.25</v>
      </c>
      <c r="E1069" s="159">
        <v>1</v>
      </c>
      <c r="F1069" s="236">
        <f>Tabla5109[[#This Row],[Original Amount]]*Tabla5109[[#This Row],[ER to EUR]]</f>
        <v>-187.25</v>
      </c>
      <c r="G1069" s="9" t="s">
        <v>2815</v>
      </c>
      <c r="H1069" s="21" t="s">
        <v>2816</v>
      </c>
      <c r="I1069" s="717" t="s">
        <v>2727</v>
      </c>
      <c r="J1069" s="91" t="s">
        <v>2817</v>
      </c>
      <c r="K1069" s="196" t="s">
        <v>2702</v>
      </c>
      <c r="L1069" s="91" t="s">
        <v>2818</v>
      </c>
      <c r="M1069" s="32" t="s">
        <v>125</v>
      </c>
      <c r="N1069" s="122" t="s">
        <v>2704</v>
      </c>
      <c r="O1069" s="129" t="s">
        <v>2704</v>
      </c>
      <c r="P1069" s="123" t="str">
        <f>"C"&amp;INT((MONTH(A1069)-1)/4)+1&amp;"-"&amp;YEAR(A1069)</f>
        <v>C3-2025</v>
      </c>
      <c r="Q1069" s="123" t="str">
        <f>"T"&amp;INT((MONTH(A1069)-1)/3)+1&amp;"-"&amp;YEAR(A1069)</f>
        <v>T4-2025</v>
      </c>
      <c r="R1069" s="124" t="s">
        <v>2819</v>
      </c>
      <c r="S1069" s="123" t="s">
        <v>2723</v>
      </c>
      <c r="T1069" s="123" t="s">
        <v>2724</v>
      </c>
      <c r="U1069" s="162" t="s">
        <v>2708</v>
      </c>
      <c r="V1069" s="162" t="s">
        <v>54</v>
      </c>
      <c r="W1069" s="237" t="s">
        <v>125</v>
      </c>
      <c r="X1069" s="173" t="s">
        <v>2709</v>
      </c>
    </row>
    <row r="1070" spans="1:24" hidden="1">
      <c r="A1070" s="161">
        <v>46009</v>
      </c>
      <c r="B1070" s="167" t="s">
        <v>4091</v>
      </c>
      <c r="C1070" s="38" t="s">
        <v>2697</v>
      </c>
      <c r="D1070" s="210">
        <v>-291.55</v>
      </c>
      <c r="E1070" s="159">
        <v>1</v>
      </c>
      <c r="F1070" s="121">
        <f>Tabla5109[[#This Row],[Original Amount]]*Tabla5109[[#This Row],[ER to EUR]]</f>
        <v>-291.55</v>
      </c>
      <c r="G1070" s="9" t="s">
        <v>3414</v>
      </c>
      <c r="H1070" s="180" t="s">
        <v>3415</v>
      </c>
      <c r="I1070" s="37" t="s">
        <v>2727</v>
      </c>
      <c r="J1070" s="37" t="s">
        <v>2825</v>
      </c>
      <c r="K1070" s="217" t="s">
        <v>2826</v>
      </c>
      <c r="L1070" s="37" t="s">
        <v>2827</v>
      </c>
      <c r="M1070" s="38" t="s">
        <v>125</v>
      </c>
      <c r="N1070" s="156" t="s">
        <v>2704</v>
      </c>
      <c r="O1070" s="158" t="s">
        <v>2704</v>
      </c>
      <c r="P1070" s="123" t="str">
        <f>"C"&amp;INT((MONTH(A1070)-1)/4)+1&amp;"-"&amp;YEAR(A1070)</f>
        <v>C3-2025</v>
      </c>
      <c r="Q1070" s="123" t="str">
        <f>"T"&amp;INT((MONTH(A1070)-1)/3)+1&amp;"-"&amp;YEAR(A1070)</f>
        <v>T4-2025</v>
      </c>
      <c r="R1070" s="160" t="s">
        <v>2705</v>
      </c>
      <c r="S1070" s="160" t="s">
        <v>2706</v>
      </c>
      <c r="T1070" s="123" t="s">
        <v>2707</v>
      </c>
      <c r="U1070" s="162" t="s">
        <v>2708</v>
      </c>
      <c r="V1070" s="162" t="s">
        <v>56</v>
      </c>
      <c r="W1070" s="237" t="s">
        <v>125</v>
      </c>
      <c r="X1070" s="202" t="s">
        <v>2709</v>
      </c>
    </row>
    <row r="1071" spans="1:24" ht="15" hidden="1" customHeight="1">
      <c r="A1071" s="161">
        <v>46010</v>
      </c>
      <c r="B1071" s="192" t="s">
        <v>4092</v>
      </c>
      <c r="C1071" s="38" t="s">
        <v>2548</v>
      </c>
      <c r="D1071" s="415">
        <v>-192</v>
      </c>
      <c r="E1071" s="224">
        <v>0.86140099999999997</v>
      </c>
      <c r="F1071" s="234">
        <f>Tabla5109[[#This Row],[Original Amount]]*Tabla5109[[#This Row],[ER to EUR]]</f>
        <v>-165.388992</v>
      </c>
      <c r="G1071" s="37" t="s">
        <v>4093</v>
      </c>
      <c r="H1071" s="37" t="s">
        <v>4094</v>
      </c>
      <c r="I1071" s="9" t="s">
        <v>2713</v>
      </c>
      <c r="J1071" s="37" t="s">
        <v>2701</v>
      </c>
      <c r="K1071" s="217" t="s">
        <v>2771</v>
      </c>
      <c r="L1071" s="212" t="s">
        <v>2818</v>
      </c>
      <c r="M1071" s="38" t="s">
        <v>125</v>
      </c>
      <c r="N1071" s="158" t="s">
        <v>2704</v>
      </c>
      <c r="O1071" s="156" t="s">
        <v>2704</v>
      </c>
      <c r="P1071" s="123" t="str">
        <f>"C"&amp;INT((MONTH(A1071)-1)/4)+1&amp;"-"&amp;YEAR(A1071)</f>
        <v>C3-2025</v>
      </c>
      <c r="Q1071" s="123" t="str">
        <f>"T"&amp;INT((MONTH(A1071)-1)/3)+1&amp;"-"&amp;YEAR(A1071)</f>
        <v>T4-2025</v>
      </c>
      <c r="R1071" s="171" t="s">
        <v>2819</v>
      </c>
      <c r="S1071" s="157" t="s">
        <v>2817</v>
      </c>
      <c r="T1071" s="157" t="s">
        <v>2724</v>
      </c>
      <c r="U1071" s="165" t="s">
        <v>2708</v>
      </c>
      <c r="V1071" s="165" t="s">
        <v>55</v>
      </c>
      <c r="W1071" s="237" t="s">
        <v>125</v>
      </c>
      <c r="X1071" s="182" t="s">
        <v>2709</v>
      </c>
    </row>
    <row r="1072" spans="1:24" ht="15" hidden="1" customHeight="1">
      <c r="A1072" s="161">
        <v>46010</v>
      </c>
      <c r="B1072" s="216" t="s">
        <v>4095</v>
      </c>
      <c r="C1072" s="38" t="s">
        <v>2548</v>
      </c>
      <c r="D1072" s="415">
        <v>-100</v>
      </c>
      <c r="E1072" s="224">
        <v>0.86140099999999997</v>
      </c>
      <c r="F1072" s="234">
        <f>Tabla5109[[#This Row],[Original Amount]]*Tabla5109[[#This Row],[ER to EUR]]</f>
        <v>-86.140100000000004</v>
      </c>
      <c r="G1072" s="37" t="s">
        <v>4096</v>
      </c>
      <c r="H1072" s="37" t="s">
        <v>4097</v>
      </c>
      <c r="I1072" s="9" t="s">
        <v>2713</v>
      </c>
      <c r="J1072" s="9" t="s">
        <v>2701</v>
      </c>
      <c r="K1072" s="205" t="s">
        <v>2702</v>
      </c>
      <c r="L1072" s="9" t="s">
        <v>2760</v>
      </c>
      <c r="M1072" s="38" t="s">
        <v>125</v>
      </c>
      <c r="N1072" s="158" t="s">
        <v>2704</v>
      </c>
      <c r="O1072" s="158" t="s">
        <v>2704</v>
      </c>
      <c r="P1072" s="123" t="str">
        <f>"C"&amp;INT((MONTH(A1072)-1)/4)+1&amp;"-"&amp;YEAR(A1072)</f>
        <v>C3-2025</v>
      </c>
      <c r="Q1072" s="123" t="str">
        <f>"T"&amp;INT((MONTH(A1072)-1)/3)+1&amp;"-"&amp;YEAR(A1072)</f>
        <v>T4-2025</v>
      </c>
      <c r="R1072" s="160" t="s">
        <v>2705</v>
      </c>
      <c r="S1072" s="123" t="s">
        <v>2735</v>
      </c>
      <c r="T1072" s="123" t="s">
        <v>2717</v>
      </c>
      <c r="U1072" s="162" t="s">
        <v>2708</v>
      </c>
      <c r="V1072" s="162" t="s">
        <v>56</v>
      </c>
      <c r="W1072" s="237" t="s">
        <v>125</v>
      </c>
      <c r="X1072" s="202" t="s">
        <v>2709</v>
      </c>
    </row>
    <row r="1073" spans="1:24" hidden="1">
      <c r="A1073" s="161">
        <v>46010</v>
      </c>
      <c r="B1073" s="228" t="s">
        <v>4098</v>
      </c>
      <c r="C1073" s="38" t="s">
        <v>2697</v>
      </c>
      <c r="D1073" s="392">
        <v>-192.44</v>
      </c>
      <c r="E1073" s="159">
        <v>1</v>
      </c>
      <c r="F1073" s="234">
        <f>Tabla5109[[#This Row],[Original Amount]]*Tabla5109[[#This Row],[ER to EUR]]</f>
        <v>-192.44</v>
      </c>
      <c r="G1073" s="37" t="s">
        <v>2766</v>
      </c>
      <c r="H1073" s="37" t="s">
        <v>4306</v>
      </c>
      <c r="I1073" s="9" t="s">
        <v>2713</v>
      </c>
      <c r="J1073" s="9" t="s">
        <v>2701</v>
      </c>
      <c r="K1073" s="205" t="s">
        <v>2702</v>
      </c>
      <c r="L1073" s="9" t="s">
        <v>2760</v>
      </c>
      <c r="M1073" s="38" t="s">
        <v>125</v>
      </c>
      <c r="N1073" s="158" t="s">
        <v>2704</v>
      </c>
      <c r="O1073" s="158" t="s">
        <v>2704</v>
      </c>
      <c r="P1073" s="123" t="str">
        <f>"C"&amp;INT((MONTH(A1073)-1)/4)+1&amp;"-"&amp;YEAR(A1073)</f>
        <v>C3-2025</v>
      </c>
      <c r="Q1073" s="123" t="str">
        <f>"T"&amp;INT((MONTH(A1073)-1)/3)+1&amp;"-"&amp;YEAR(A1073)</f>
        <v>T4-2025</v>
      </c>
      <c r="R1073" s="160" t="s">
        <v>2741</v>
      </c>
      <c r="S1073" s="123" t="s">
        <v>2723</v>
      </c>
      <c r="T1073" s="123" t="s">
        <v>2724</v>
      </c>
      <c r="U1073" s="162" t="s">
        <v>2708</v>
      </c>
      <c r="V1073" s="162" t="s">
        <v>55</v>
      </c>
      <c r="W1073" s="237" t="s">
        <v>125</v>
      </c>
      <c r="X1073" s="202" t="s">
        <v>2709</v>
      </c>
    </row>
    <row r="1074" spans="1:24" ht="15" hidden="1" customHeight="1">
      <c r="A1074" s="161">
        <v>46010</v>
      </c>
      <c r="B1074" s="167" t="s">
        <v>4099</v>
      </c>
      <c r="C1074" s="38" t="s">
        <v>2697</v>
      </c>
      <c r="D1074" s="392">
        <v>-54</v>
      </c>
      <c r="E1074" s="159">
        <v>1</v>
      </c>
      <c r="F1074" s="234">
        <f>Tabla5109[[#This Row],[Original Amount]]*Tabla5109[[#This Row],[ER to EUR]]</f>
        <v>-54</v>
      </c>
      <c r="G1074" s="37" t="s">
        <v>3492</v>
      </c>
      <c r="H1074" s="37" t="s">
        <v>4100</v>
      </c>
      <c r="I1074" s="37" t="s">
        <v>2784</v>
      </c>
      <c r="J1074" s="37" t="s">
        <v>2701</v>
      </c>
      <c r="K1074" s="217" t="s">
        <v>2702</v>
      </c>
      <c r="L1074" s="37" t="s">
        <v>3494</v>
      </c>
      <c r="M1074" s="38" t="s">
        <v>125</v>
      </c>
      <c r="N1074" s="156" t="s">
        <v>2748</v>
      </c>
      <c r="O1074" s="158" t="s">
        <v>2748</v>
      </c>
      <c r="P1074" s="123" t="str">
        <f>"C"&amp;INT((MONTH(A1074)-1)/4)+1&amp;"-"&amp;YEAR(A1074)</f>
        <v>C3-2025</v>
      </c>
      <c r="Q1074" s="123" t="str">
        <f>"T"&amp;INT((MONTH(A1074)-1)/3)+1&amp;"-"&amp;YEAR(A1074)</f>
        <v>T4-2025</v>
      </c>
      <c r="R1074" s="160" t="s">
        <v>2705</v>
      </c>
      <c r="S1074" s="123" t="s">
        <v>2735</v>
      </c>
      <c r="T1074" s="123" t="s">
        <v>2707</v>
      </c>
      <c r="U1074" s="162" t="s">
        <v>2708</v>
      </c>
      <c r="V1074" s="162" t="s">
        <v>54</v>
      </c>
      <c r="W1074" s="237" t="s">
        <v>125</v>
      </c>
      <c r="X1074" s="202" t="s">
        <v>2709</v>
      </c>
    </row>
    <row r="1075" spans="1:24" ht="15" hidden="1" customHeight="1">
      <c r="A1075" s="161">
        <v>46010</v>
      </c>
      <c r="B1075" s="164">
        <v>53966128</v>
      </c>
      <c r="C1075" s="38" t="s">
        <v>2543</v>
      </c>
      <c r="D1075" s="242">
        <v>-20238</v>
      </c>
      <c r="E1075" s="159">
        <v>9.2599999999999996E-4</v>
      </c>
      <c r="F1075" s="236">
        <f>Tabla5109[[#This Row],[Original Amount]]*Tabla5109[[#This Row],[ER to EUR]]</f>
        <v>-18.740387999999999</v>
      </c>
      <c r="G1075" s="37" t="s">
        <v>4101</v>
      </c>
      <c r="H1075" s="9" t="s">
        <v>4102</v>
      </c>
      <c r="I1075" s="37" t="s">
        <v>3288</v>
      </c>
      <c r="J1075" s="37" t="s">
        <v>2701</v>
      </c>
      <c r="K1075" s="217" t="s">
        <v>2809</v>
      </c>
      <c r="L1075" s="37" t="s">
        <v>2810</v>
      </c>
      <c r="M1075" s="231" t="s">
        <v>2704</v>
      </c>
      <c r="N1075" s="158" t="s">
        <v>2748</v>
      </c>
      <c r="O1075" s="156" t="s">
        <v>2704</v>
      </c>
      <c r="P1075" s="123" t="str">
        <f>"C"&amp;INT((MONTH(A1075)-1)/4)+1&amp;"-"&amp;YEAR(A1075)</f>
        <v>C3-2025</v>
      </c>
      <c r="Q1075" s="123" t="str">
        <f>"T"&amp;INT((MONTH(A1075)-1)/3)+1&amp;"-"&amp;YEAR(A1075)</f>
        <v>T4-2025</v>
      </c>
      <c r="R1075" s="160" t="s">
        <v>2828</v>
      </c>
      <c r="S1075" s="124" t="s">
        <v>2706</v>
      </c>
      <c r="T1075" s="123" t="s">
        <v>2724</v>
      </c>
      <c r="U1075" s="162" t="s">
        <v>2708</v>
      </c>
      <c r="V1075" s="162" t="s">
        <v>56</v>
      </c>
      <c r="W1075" s="237" t="s">
        <v>125</v>
      </c>
      <c r="X1075" s="202" t="s">
        <v>2751</v>
      </c>
    </row>
    <row r="1076" spans="1:24" ht="15" hidden="1" customHeight="1">
      <c r="A1076" s="161">
        <v>46011</v>
      </c>
      <c r="B1076" s="167" t="s">
        <v>4103</v>
      </c>
      <c r="C1076" s="38" t="s">
        <v>2548</v>
      </c>
      <c r="D1076" s="240">
        <v>-12.5</v>
      </c>
      <c r="E1076" s="224">
        <v>0.86140099999999997</v>
      </c>
      <c r="F1076" s="236">
        <f>Tabla5109[[#This Row],[Original Amount]]*Tabla5109[[#This Row],[ER to EUR]]</f>
        <v>-10.7675125</v>
      </c>
      <c r="G1076" s="37" t="s">
        <v>3920</v>
      </c>
      <c r="H1076" s="37" t="s">
        <v>3921</v>
      </c>
      <c r="I1076" s="37" t="s">
        <v>2755</v>
      </c>
      <c r="J1076" s="37" t="s">
        <v>2701</v>
      </c>
      <c r="K1076" s="217" t="s">
        <v>2702</v>
      </c>
      <c r="L1076" s="37" t="s">
        <v>2788</v>
      </c>
      <c r="M1076" s="38" t="s">
        <v>125</v>
      </c>
      <c r="N1076" s="158" t="s">
        <v>2704</v>
      </c>
      <c r="O1076" s="156" t="s">
        <v>2704</v>
      </c>
      <c r="P1076" s="123" t="str">
        <f>"C"&amp;INT((MONTH(A1076)-1)/4)+1&amp;"-"&amp;YEAR(A1076)</f>
        <v>C3-2025</v>
      </c>
      <c r="Q1076" s="123" t="str">
        <f>"T"&amp;INT((MONTH(A1076)-1)/3)+1&amp;"-"&amp;YEAR(A1076)</f>
        <v>T4-2025</v>
      </c>
      <c r="R1076" s="171" t="s">
        <v>2705</v>
      </c>
      <c r="S1076" s="123" t="s">
        <v>2735</v>
      </c>
      <c r="T1076" s="123" t="s">
        <v>2724</v>
      </c>
      <c r="U1076" s="162" t="s">
        <v>2708</v>
      </c>
      <c r="V1076" s="162" t="s">
        <v>56</v>
      </c>
      <c r="W1076" s="237" t="s">
        <v>125</v>
      </c>
      <c r="X1076" s="202" t="s">
        <v>2709</v>
      </c>
    </row>
    <row r="1077" spans="1:24" hidden="1">
      <c r="A1077" s="161">
        <v>46011</v>
      </c>
      <c r="B1077" s="213" t="s">
        <v>4104</v>
      </c>
      <c r="C1077" s="38" t="s">
        <v>2697</v>
      </c>
      <c r="D1077" s="210">
        <v>-19.329999999999998</v>
      </c>
      <c r="E1077" s="159">
        <v>1</v>
      </c>
      <c r="F1077" s="234">
        <f>Tabla5109[[#This Row],[Original Amount]]*Tabla5109[[#This Row],[ER to EUR]]</f>
        <v>-19.329999999999998</v>
      </c>
      <c r="G1077" s="37" t="s">
        <v>2996</v>
      </c>
      <c r="H1077" s="37" t="s">
        <v>2997</v>
      </c>
      <c r="I1077" s="37" t="s">
        <v>2727</v>
      </c>
      <c r="J1077" s="9" t="s">
        <v>2701</v>
      </c>
      <c r="K1077" s="205" t="s">
        <v>2702</v>
      </c>
      <c r="L1077" s="9" t="s">
        <v>2703</v>
      </c>
      <c r="M1077" s="32" t="s">
        <v>125</v>
      </c>
      <c r="N1077" s="129" t="s">
        <v>2704</v>
      </c>
      <c r="O1077" s="122" t="s">
        <v>2704</v>
      </c>
      <c r="P1077" s="123" t="str">
        <f>"C"&amp;INT((MONTH(A1077)-1)/4)+1&amp;"-"&amp;YEAR(A1077)</f>
        <v>C3-2025</v>
      </c>
      <c r="Q1077" s="123" t="str">
        <f>"T"&amp;INT((MONTH(A1077)-1)/3)+1&amp;"-"&amp;YEAR(A1077)</f>
        <v>T4-2025</v>
      </c>
      <c r="R1077" s="124" t="s">
        <v>2705</v>
      </c>
      <c r="S1077" s="123" t="s">
        <v>2735</v>
      </c>
      <c r="T1077" s="123" t="s">
        <v>2724</v>
      </c>
      <c r="U1077" s="162" t="s">
        <v>2708</v>
      </c>
      <c r="V1077" s="162" t="s">
        <v>56</v>
      </c>
      <c r="W1077" s="237" t="s">
        <v>125</v>
      </c>
      <c r="X1077" s="173" t="s">
        <v>2709</v>
      </c>
    </row>
    <row r="1078" spans="1:24" ht="15" hidden="1" customHeight="1">
      <c r="A1078" s="161">
        <v>46012</v>
      </c>
      <c r="B1078" s="220">
        <v>781165616791</v>
      </c>
      <c r="C1078" s="158" t="s">
        <v>2697</v>
      </c>
      <c r="D1078" s="409">
        <v>-43.38</v>
      </c>
      <c r="E1078" s="159">
        <v>1</v>
      </c>
      <c r="F1078" s="234">
        <f>Tabla5109[[#This Row],[Original Amount]]*Tabla5109[[#This Row],[ER to EUR]]</f>
        <v>-43.38</v>
      </c>
      <c r="G1078" s="37" t="s">
        <v>2718</v>
      </c>
      <c r="H1078" s="37" t="s">
        <v>3924</v>
      </c>
      <c r="I1078" s="37" t="s">
        <v>2755</v>
      </c>
      <c r="J1078" s="9" t="s">
        <v>2714</v>
      </c>
      <c r="K1078" s="205" t="s">
        <v>2721</v>
      </c>
      <c r="L1078" s="9" t="s">
        <v>2716</v>
      </c>
      <c r="M1078" s="32" t="s">
        <v>125</v>
      </c>
      <c r="N1078" s="129" t="s">
        <v>2748</v>
      </c>
      <c r="O1078" s="122" t="s">
        <v>2748</v>
      </c>
      <c r="P1078" s="123" t="str">
        <f>"C"&amp;INT((MONTH(A1078)-1)/4)+1&amp;"-"&amp;YEAR(A1078)</f>
        <v>C3-2025</v>
      </c>
      <c r="Q1078" s="123" t="str">
        <f>"T"&amp;INT((MONTH(A1078)-1)/3)+1&amp;"-"&amp;YEAR(A1078)</f>
        <v>T4-2025</v>
      </c>
      <c r="R1078" s="124" t="s">
        <v>2722</v>
      </c>
      <c r="S1078" s="123" t="s">
        <v>2723</v>
      </c>
      <c r="T1078" s="123" t="s">
        <v>2724</v>
      </c>
      <c r="U1078" s="162" t="s">
        <v>2708</v>
      </c>
      <c r="V1078" s="162" t="s">
        <v>54</v>
      </c>
      <c r="W1078" s="237" t="s">
        <v>125</v>
      </c>
      <c r="X1078" s="173" t="s">
        <v>2709</v>
      </c>
    </row>
    <row r="1079" spans="1:24" hidden="1">
      <c r="A1079" s="161">
        <v>46012</v>
      </c>
      <c r="B1079" s="164">
        <v>26</v>
      </c>
      <c r="C1079" s="38" t="s">
        <v>2543</v>
      </c>
      <c r="D1079" s="242">
        <v>-1456000</v>
      </c>
      <c r="E1079" s="159">
        <v>9.2599999999999996E-4</v>
      </c>
      <c r="F1079" s="234">
        <f>Tabla5109[[#This Row],[Original Amount]]*Tabla5109[[#This Row],[ER to EUR]]</f>
        <v>-1348.2559999999999</v>
      </c>
      <c r="G1079" s="37" t="s">
        <v>3566</v>
      </c>
      <c r="H1079" s="37" t="s">
        <v>4000</v>
      </c>
      <c r="I1079" s="37" t="s">
        <v>2713</v>
      </c>
      <c r="J1079" s="9" t="s">
        <v>2714</v>
      </c>
      <c r="K1079" s="205" t="s">
        <v>2747</v>
      </c>
      <c r="L1079" s="9" t="s">
        <v>2864</v>
      </c>
      <c r="M1079" s="226" t="s">
        <v>2748</v>
      </c>
      <c r="N1079" s="129" t="s">
        <v>2704</v>
      </c>
      <c r="O1079" s="129" t="s">
        <v>2704</v>
      </c>
      <c r="P1079" s="123" t="str">
        <f>"C"&amp;INT((MONTH(A1079)-1)/4)+1&amp;"-"&amp;YEAR(A1079)</f>
        <v>C3-2025</v>
      </c>
      <c r="Q1079" s="123" t="str">
        <f>"T"&amp;INT((MONTH(A1079)-1)/3)+1&amp;"-"&amp;YEAR(A1079)</f>
        <v>T4-2025</v>
      </c>
      <c r="R1079" s="124" t="s">
        <v>2705</v>
      </c>
      <c r="S1079" s="124" t="s">
        <v>2706</v>
      </c>
      <c r="T1079" s="123" t="s">
        <v>2724</v>
      </c>
      <c r="U1079" s="162" t="s">
        <v>2708</v>
      </c>
      <c r="V1079" s="162" t="s">
        <v>56</v>
      </c>
      <c r="W1079" s="237" t="s">
        <v>125</v>
      </c>
      <c r="X1079" s="173" t="s">
        <v>2709</v>
      </c>
    </row>
    <row r="1080" spans="1:24" hidden="1">
      <c r="A1080" s="161">
        <v>46013</v>
      </c>
      <c r="B1080" s="167" t="s">
        <v>4105</v>
      </c>
      <c r="C1080" s="38" t="s">
        <v>2697</v>
      </c>
      <c r="D1080" s="210">
        <v>-2700</v>
      </c>
      <c r="E1080" s="159">
        <v>1</v>
      </c>
      <c r="F1080" s="234">
        <f>Tabla5109[[#This Row],[Original Amount]]*Tabla5109[[#This Row],[ER to EUR]]</f>
        <v>-2700</v>
      </c>
      <c r="G1080" s="37" t="s">
        <v>3974</v>
      </c>
      <c r="H1080" s="37" t="s">
        <v>4106</v>
      </c>
      <c r="I1080" s="37" t="s">
        <v>2727</v>
      </c>
      <c r="J1080" s="9" t="s">
        <v>2714</v>
      </c>
      <c r="K1080" s="205" t="s">
        <v>2747</v>
      </c>
      <c r="L1080" s="9" t="s">
        <v>2864</v>
      </c>
      <c r="M1080" s="32" t="s">
        <v>125</v>
      </c>
      <c r="N1080" s="122" t="s">
        <v>2704</v>
      </c>
      <c r="O1080" s="129" t="s">
        <v>2704</v>
      </c>
      <c r="P1080" s="123" t="str">
        <f>"C"&amp;INT((MONTH(A1080)-1)/4)+1&amp;"-"&amp;YEAR(A1080)</f>
        <v>C3-2025</v>
      </c>
      <c r="Q1080" s="123" t="str">
        <f>"T"&amp;INT((MONTH(A1080)-1)/3)+1&amp;"-"&amp;YEAR(A1080)</f>
        <v>T4-2025</v>
      </c>
      <c r="R1080" s="91" t="s">
        <v>2705</v>
      </c>
      <c r="S1080" s="124" t="s">
        <v>2706</v>
      </c>
      <c r="T1080" s="205" t="s">
        <v>2724</v>
      </c>
      <c r="U1080" s="162" t="s">
        <v>2708</v>
      </c>
      <c r="V1080" s="162" t="s">
        <v>56</v>
      </c>
      <c r="W1080" s="237" t="s">
        <v>125</v>
      </c>
      <c r="X1080" s="201" t="s">
        <v>2709</v>
      </c>
    </row>
    <row r="1081" spans="1:24" ht="15" hidden="1" customHeight="1">
      <c r="A1081" s="161">
        <v>46013</v>
      </c>
      <c r="B1081" s="167" t="s">
        <v>4107</v>
      </c>
      <c r="C1081" s="38" t="s">
        <v>2697</v>
      </c>
      <c r="D1081" s="210">
        <v>-83.18</v>
      </c>
      <c r="E1081" s="159">
        <v>1</v>
      </c>
      <c r="F1081" s="234">
        <f>Tabla5109[[#This Row],[Original Amount]]*Tabla5109[[#This Row],[ER to EUR]]</f>
        <v>-83.18</v>
      </c>
      <c r="G1081" s="37" t="s">
        <v>3534</v>
      </c>
      <c r="H1081" s="37" t="s">
        <v>2852</v>
      </c>
      <c r="I1081" s="37" t="s">
        <v>2713</v>
      </c>
      <c r="J1081" s="9" t="s">
        <v>2701</v>
      </c>
      <c r="K1081" s="205" t="s">
        <v>2702</v>
      </c>
      <c r="L1081" s="9" t="s">
        <v>2788</v>
      </c>
      <c r="M1081" s="32" t="s">
        <v>125</v>
      </c>
      <c r="N1081" s="122" t="s">
        <v>2704</v>
      </c>
      <c r="O1081" s="129" t="s">
        <v>2704</v>
      </c>
      <c r="P1081" s="123" t="str">
        <f>"C"&amp;INT((MONTH(A1081)-1)/4)+1&amp;"-"&amp;YEAR(A1081)</f>
        <v>C3-2025</v>
      </c>
      <c r="Q1081" s="123" t="str">
        <f>"T"&amp;INT((MONTH(A1081)-1)/3)+1&amp;"-"&amp;YEAR(A1081)</f>
        <v>T4-2025</v>
      </c>
      <c r="R1081" s="124" t="s">
        <v>2794</v>
      </c>
      <c r="S1081" s="123" t="s">
        <v>2731</v>
      </c>
      <c r="T1081" s="123" t="s">
        <v>2724</v>
      </c>
      <c r="U1081" s="162" t="s">
        <v>2708</v>
      </c>
      <c r="V1081" s="162" t="s">
        <v>55</v>
      </c>
      <c r="W1081" s="237" t="s">
        <v>125</v>
      </c>
      <c r="X1081" s="173" t="s">
        <v>2709</v>
      </c>
    </row>
    <row r="1082" spans="1:24" hidden="1">
      <c r="A1082" s="161">
        <v>46014</v>
      </c>
      <c r="B1082" s="167" t="s">
        <v>4108</v>
      </c>
      <c r="C1082" s="38" t="s">
        <v>2697</v>
      </c>
      <c r="D1082" s="210">
        <v>-238.65</v>
      </c>
      <c r="E1082" s="159">
        <v>1</v>
      </c>
      <c r="F1082" s="236">
        <f>Tabla5109[[#This Row],[Original Amount]]*Tabla5109[[#This Row],[ER to EUR]]</f>
        <v>-238.65</v>
      </c>
      <c r="G1082" s="9" t="s">
        <v>3128</v>
      </c>
      <c r="H1082" t="s">
        <v>4003</v>
      </c>
      <c r="I1082" s="116" t="s">
        <v>2755</v>
      </c>
      <c r="J1082" s="9" t="s">
        <v>2701</v>
      </c>
      <c r="K1082" s="205" t="s">
        <v>2702</v>
      </c>
      <c r="L1082" s="9" t="s">
        <v>2703</v>
      </c>
      <c r="M1082" s="32" t="s">
        <v>125</v>
      </c>
      <c r="N1082" s="129" t="s">
        <v>2704</v>
      </c>
      <c r="O1082" s="122" t="s">
        <v>2704</v>
      </c>
      <c r="P1082" s="123" t="str">
        <f>"C"&amp;INT((MONTH(A1082)-1)/4)+1&amp;"-"&amp;YEAR(A1082)</f>
        <v>C3-2025</v>
      </c>
      <c r="Q1082" s="123" t="str">
        <f>"T"&amp;INT((MONTH(A1082)-1)/3)+1&amp;"-"&amp;YEAR(A1082)</f>
        <v>T4-2025</v>
      </c>
      <c r="R1082" s="124" t="s">
        <v>2741</v>
      </c>
      <c r="S1082" s="123" t="s">
        <v>2723</v>
      </c>
      <c r="T1082" s="123" t="s">
        <v>2707</v>
      </c>
      <c r="U1082" s="162" t="s">
        <v>2708</v>
      </c>
      <c r="V1082" s="162" t="s">
        <v>54</v>
      </c>
      <c r="W1082" s="237" t="s">
        <v>125</v>
      </c>
      <c r="X1082" s="173" t="s">
        <v>2709</v>
      </c>
    </row>
    <row r="1083" spans="1:24" hidden="1">
      <c r="A1083" s="161">
        <v>46014</v>
      </c>
      <c r="B1083" s="167" t="s">
        <v>4109</v>
      </c>
      <c r="C1083" s="38" t="s">
        <v>2697</v>
      </c>
      <c r="D1083" s="210">
        <v>-379</v>
      </c>
      <c r="E1083" s="159">
        <v>1</v>
      </c>
      <c r="F1083" s="236">
        <f>Tabla5109[[#This Row],[Original Amount]]*Tabla5109[[#This Row],[ER to EUR]]</f>
        <v>-379</v>
      </c>
      <c r="G1083" s="9" t="s">
        <v>3140</v>
      </c>
      <c r="H1083" t="s">
        <v>4110</v>
      </c>
      <c r="I1083" s="116" t="s">
        <v>2727</v>
      </c>
      <c r="J1083" s="9" t="s">
        <v>2770</v>
      </c>
      <c r="K1083" s="205" t="s">
        <v>2702</v>
      </c>
      <c r="L1083" s="9" t="s">
        <v>3142</v>
      </c>
      <c r="M1083" s="32" t="s">
        <v>125</v>
      </c>
      <c r="N1083" s="129" t="s">
        <v>2704</v>
      </c>
      <c r="O1083" s="122" t="s">
        <v>2704</v>
      </c>
      <c r="P1083" s="123" t="str">
        <f>"C"&amp;INT((MONTH(A1083)-1)/4)+1&amp;"-"&amp;YEAR(A1083)</f>
        <v>C3-2025</v>
      </c>
      <c r="Q1083" s="123" t="str">
        <f>"T"&amp;INT((MONTH(A1083)-1)/3)+1&amp;"-"&amp;YEAR(A1083)</f>
        <v>T4-2025</v>
      </c>
      <c r="R1083" s="91" t="s">
        <v>2749</v>
      </c>
      <c r="S1083" s="123" t="s">
        <v>2750</v>
      </c>
      <c r="T1083" s="123" t="s">
        <v>2724</v>
      </c>
      <c r="U1083" s="162" t="s">
        <v>2708</v>
      </c>
      <c r="V1083" s="162" t="s">
        <v>54</v>
      </c>
      <c r="W1083" s="237" t="s">
        <v>125</v>
      </c>
      <c r="X1083" s="173" t="s">
        <v>2709</v>
      </c>
    </row>
    <row r="1084" spans="1:24" hidden="1">
      <c r="A1084" s="161">
        <v>46014</v>
      </c>
      <c r="B1084" s="167" t="s">
        <v>4111</v>
      </c>
      <c r="C1084" s="38" t="s">
        <v>2697</v>
      </c>
      <c r="D1084" s="409">
        <v>-2000</v>
      </c>
      <c r="E1084" s="159">
        <v>1</v>
      </c>
      <c r="F1084" s="236">
        <f>Tabla5109[[#This Row],[Original Amount]]*Tabla5109[[#This Row],[ER to EUR]]</f>
        <v>-2000</v>
      </c>
      <c r="G1084" s="37" t="s">
        <v>3527</v>
      </c>
      <c r="H1084" s="9" t="s">
        <v>4112</v>
      </c>
      <c r="I1084" s="171" t="s">
        <v>2713</v>
      </c>
      <c r="J1084" s="37" t="s">
        <v>2714</v>
      </c>
      <c r="K1084" s="217" t="s">
        <v>2747</v>
      </c>
      <c r="L1084" s="212" t="s">
        <v>2864</v>
      </c>
      <c r="M1084" s="38" t="s">
        <v>125</v>
      </c>
      <c r="N1084" s="158" t="s">
        <v>2704</v>
      </c>
      <c r="O1084" s="156" t="s">
        <v>2704</v>
      </c>
      <c r="P1084" s="123" t="str">
        <f>"C"&amp;INT((MONTH(A1084)-1)/4)+1&amp;"-"&amp;YEAR(A1084)</f>
        <v>C3-2025</v>
      </c>
      <c r="Q1084" s="123" t="str">
        <f>"T"&amp;INT((MONTH(A1084)-1)/3)+1&amp;"-"&amp;YEAR(A1084)</f>
        <v>T4-2025</v>
      </c>
      <c r="R1084" s="91" t="s">
        <v>2705</v>
      </c>
      <c r="S1084" s="157" t="s">
        <v>2735</v>
      </c>
      <c r="T1084" s="123" t="s">
        <v>2724</v>
      </c>
      <c r="U1084" s="162" t="s">
        <v>2708</v>
      </c>
      <c r="V1084" s="162" t="s">
        <v>56</v>
      </c>
      <c r="W1084" s="237" t="s">
        <v>125</v>
      </c>
      <c r="X1084" s="182" t="s">
        <v>2709</v>
      </c>
    </row>
    <row r="1085" spans="1:24" hidden="1">
      <c r="A1085" s="161">
        <v>46016</v>
      </c>
      <c r="B1085" s="216" t="s">
        <v>4113</v>
      </c>
      <c r="C1085" s="38" t="s">
        <v>2548</v>
      </c>
      <c r="D1085" s="240">
        <v>-238</v>
      </c>
      <c r="E1085" s="224">
        <v>0.86140099999999997</v>
      </c>
      <c r="F1085" s="121">
        <f>Tabla5109[[#This Row],[Original Amount]]*Tabla5109[[#This Row],[ER to EUR]]</f>
        <v>-205.01343799999998</v>
      </c>
      <c r="G1085" s="9" t="s">
        <v>3248</v>
      </c>
      <c r="H1085" s="37" t="s">
        <v>3938</v>
      </c>
      <c r="I1085" s="37" t="s">
        <v>2713</v>
      </c>
      <c r="J1085" s="9" t="s">
        <v>2714</v>
      </c>
      <c r="K1085" s="205" t="s">
        <v>2702</v>
      </c>
      <c r="L1085" s="9" t="s">
        <v>2799</v>
      </c>
      <c r="M1085" s="32" t="s">
        <v>125</v>
      </c>
      <c r="N1085" s="158" t="s">
        <v>2704</v>
      </c>
      <c r="O1085" s="156" t="s">
        <v>2704</v>
      </c>
      <c r="P1085" s="123" t="str">
        <f>"C"&amp;INT((MONTH(A1085)-1)/4)+1&amp;"-"&amp;YEAR(A1085)</f>
        <v>C3-2025</v>
      </c>
      <c r="Q1085" s="123" t="str">
        <f>"T"&amp;INT((MONTH(A1085)-1)/3)+1&amp;"-"&amp;YEAR(A1085)</f>
        <v>T4-2025</v>
      </c>
      <c r="R1085" s="160" t="s">
        <v>2730</v>
      </c>
      <c r="S1085" s="123" t="s">
        <v>2731</v>
      </c>
      <c r="T1085" s="123" t="s">
        <v>2724</v>
      </c>
      <c r="U1085" s="162" t="s">
        <v>51</v>
      </c>
      <c r="V1085" s="162" t="s">
        <v>57</v>
      </c>
      <c r="W1085" s="237" t="s">
        <v>125</v>
      </c>
      <c r="X1085" s="202" t="s">
        <v>2709</v>
      </c>
    </row>
    <row r="1086" spans="1:24" ht="15" hidden="1" customHeight="1">
      <c r="A1086" s="161">
        <v>46018</v>
      </c>
      <c r="B1086" s="167" t="s">
        <v>4114</v>
      </c>
      <c r="C1086" s="38" t="s">
        <v>2548</v>
      </c>
      <c r="D1086" s="415">
        <v>-140</v>
      </c>
      <c r="E1086" s="224">
        <v>0.86140099999999997</v>
      </c>
      <c r="F1086" s="234">
        <f>Tabla5109[[#This Row],[Original Amount]]*Tabla5109[[#This Row],[ER to EUR]]</f>
        <v>-120.59613999999999</v>
      </c>
      <c r="G1086" s="37" t="s">
        <v>2766</v>
      </c>
      <c r="H1086" s="37" t="s">
        <v>4115</v>
      </c>
      <c r="I1086" s="37" t="s">
        <v>2713</v>
      </c>
      <c r="J1086" s="37" t="s">
        <v>2701</v>
      </c>
      <c r="K1086" s="217" t="s">
        <v>2702</v>
      </c>
      <c r="L1086" s="37" t="s">
        <v>2760</v>
      </c>
      <c r="M1086" s="38" t="s">
        <v>125</v>
      </c>
      <c r="N1086" s="158" t="s">
        <v>2704</v>
      </c>
      <c r="O1086" s="158" t="s">
        <v>2704</v>
      </c>
      <c r="P1086" s="123" t="str">
        <f>"C"&amp;INT((MONTH(A1086)-1)/4)+1&amp;"-"&amp;YEAR(A1086)</f>
        <v>C3-2025</v>
      </c>
      <c r="Q1086" s="123" t="str">
        <f>"T"&amp;INT((MONTH(A1086)-1)/3)+1&amp;"-"&amp;YEAR(A1086)</f>
        <v>T4-2025</v>
      </c>
      <c r="R1086" s="160" t="s">
        <v>2705</v>
      </c>
      <c r="S1086" s="157" t="s">
        <v>2735</v>
      </c>
      <c r="T1086" s="123" t="s">
        <v>2724</v>
      </c>
      <c r="U1086" s="162" t="s">
        <v>2708</v>
      </c>
      <c r="V1086" s="162" t="s">
        <v>55</v>
      </c>
      <c r="W1086" s="237" t="s">
        <v>125</v>
      </c>
      <c r="X1086" s="202" t="s">
        <v>2709</v>
      </c>
    </row>
    <row r="1087" spans="1:24" hidden="1">
      <c r="A1087" s="161">
        <v>46019</v>
      </c>
      <c r="B1087" s="228" t="s">
        <v>4116</v>
      </c>
      <c r="C1087" s="38" t="s">
        <v>2697</v>
      </c>
      <c r="D1087" s="210">
        <v>-25.02</v>
      </c>
      <c r="E1087" s="120">
        <v>1</v>
      </c>
      <c r="F1087" s="121">
        <f>Tabla5109[[#This Row],[Original Amount]]*Tabla5109[[#This Row],[ER to EUR]]</f>
        <v>-25.02</v>
      </c>
      <c r="G1087" s="37" t="s">
        <v>2830</v>
      </c>
      <c r="H1087" s="9" t="s">
        <v>4117</v>
      </c>
      <c r="I1087" s="37" t="s">
        <v>2784</v>
      </c>
      <c r="J1087" s="37" t="s">
        <v>2817</v>
      </c>
      <c r="K1087" s="217" t="s">
        <v>2702</v>
      </c>
      <c r="L1087" s="37" t="s">
        <v>2818</v>
      </c>
      <c r="M1087" s="38" t="s">
        <v>125</v>
      </c>
      <c r="N1087" s="158" t="s">
        <v>2704</v>
      </c>
      <c r="O1087" s="156" t="s">
        <v>2704</v>
      </c>
      <c r="P1087" s="123" t="str">
        <f>"C"&amp;INT((MONTH(A1087)-1)/4)+1&amp;"-"&amp;YEAR(A1087)</f>
        <v>C3-2025</v>
      </c>
      <c r="Q1087" s="123" t="str">
        <f>"T"&amp;INT((MONTH(A1087)-1)/3)+1&amp;"-"&amp;YEAR(A1087)</f>
        <v>T4-2025</v>
      </c>
      <c r="R1087" s="160" t="s">
        <v>2722</v>
      </c>
      <c r="S1087" s="123" t="s">
        <v>2723</v>
      </c>
      <c r="T1087" s="157" t="s">
        <v>2724</v>
      </c>
      <c r="U1087" s="165" t="s">
        <v>2708</v>
      </c>
      <c r="V1087" s="165" t="s">
        <v>54</v>
      </c>
      <c r="W1087" s="262" t="s">
        <v>125</v>
      </c>
      <c r="X1087" s="202" t="s">
        <v>2709</v>
      </c>
    </row>
    <row r="1088" spans="1:24" hidden="1">
      <c r="A1088" s="161">
        <v>46019</v>
      </c>
      <c r="B1088" s="164">
        <v>41253637</v>
      </c>
      <c r="C1088" s="38" t="s">
        <v>2697</v>
      </c>
      <c r="D1088" s="210">
        <v>-2303.84</v>
      </c>
      <c r="E1088" s="159">
        <v>1</v>
      </c>
      <c r="F1088" s="121">
        <f>Tabla5109[[#This Row],[Original Amount]]*Tabla5109[[#This Row],[ER to EUR]]</f>
        <v>-2303.84</v>
      </c>
      <c r="G1088" s="37" t="s">
        <v>2698</v>
      </c>
      <c r="H1088" s="9" t="s">
        <v>3942</v>
      </c>
      <c r="I1088" s="37" t="s">
        <v>3836</v>
      </c>
      <c r="J1088" s="37" t="s">
        <v>2701</v>
      </c>
      <c r="K1088" s="217" t="s">
        <v>2702</v>
      </c>
      <c r="L1088" s="37" t="s">
        <v>2703</v>
      </c>
      <c r="M1088" s="38" t="s">
        <v>125</v>
      </c>
      <c r="N1088" s="158" t="s">
        <v>2704</v>
      </c>
      <c r="O1088" s="156" t="s">
        <v>2704</v>
      </c>
      <c r="P1088" s="123" t="str">
        <f>"C"&amp;INT((MONTH(A1088)-1)/4)+1&amp;"-"&amp;YEAR(A1088)</f>
        <v>C3-2025</v>
      </c>
      <c r="Q1088" s="123" t="str">
        <f>"T"&amp;INT((MONTH(A1088)-1)/3)+1&amp;"-"&amp;YEAR(A1088)</f>
        <v>T4-2025</v>
      </c>
      <c r="R1088" s="160" t="s">
        <v>2705</v>
      </c>
      <c r="S1088" s="124" t="s">
        <v>2706</v>
      </c>
      <c r="T1088" s="157" t="s">
        <v>2707</v>
      </c>
      <c r="U1088" s="165" t="s">
        <v>2708</v>
      </c>
      <c r="V1088" s="165" t="s">
        <v>54</v>
      </c>
      <c r="W1088" s="262" t="s">
        <v>125</v>
      </c>
      <c r="X1088" s="202" t="s">
        <v>2709</v>
      </c>
    </row>
    <row r="1089" spans="1:24" hidden="1">
      <c r="A1089" s="161">
        <v>46020</v>
      </c>
      <c r="B1089" s="216" t="s">
        <v>4118</v>
      </c>
      <c r="C1089" s="38" t="s">
        <v>2697</v>
      </c>
      <c r="D1089" s="210">
        <v>-62.49</v>
      </c>
      <c r="E1089" s="159">
        <v>1</v>
      </c>
      <c r="F1089" s="121">
        <f>Tabla5109[[#This Row],[Original Amount]]*Tabla5109[[#This Row],[ER to EUR]]</f>
        <v>-62.49</v>
      </c>
      <c r="G1089" s="37" t="s">
        <v>2956</v>
      </c>
      <c r="H1089" s="73" t="s">
        <v>3214</v>
      </c>
      <c r="I1089" s="37" t="s">
        <v>2739</v>
      </c>
      <c r="J1089" s="37" t="s">
        <v>2701</v>
      </c>
      <c r="K1089" s="217" t="s">
        <v>2702</v>
      </c>
      <c r="L1089" s="37" t="s">
        <v>2740</v>
      </c>
      <c r="M1089" s="38" t="s">
        <v>125</v>
      </c>
      <c r="N1089" s="158" t="s">
        <v>2748</v>
      </c>
      <c r="O1089" s="156" t="s">
        <v>2748</v>
      </c>
      <c r="P1089" s="123" t="str">
        <f>"C"&amp;INT((MONTH(A1089)-1)/4)+1&amp;"-"&amp;YEAR(A1089)</f>
        <v>C3-2025</v>
      </c>
      <c r="Q1089" s="123" t="str">
        <f>"T"&amp;INT((MONTH(A1089)-1)/3)+1&amp;"-"&amp;YEAR(A1089)</f>
        <v>T4-2025</v>
      </c>
      <c r="R1089" s="160" t="s">
        <v>2705</v>
      </c>
      <c r="S1089" s="124" t="s">
        <v>2706</v>
      </c>
      <c r="T1089" s="157" t="s">
        <v>2724</v>
      </c>
      <c r="U1089" s="165" t="s">
        <v>2708</v>
      </c>
      <c r="V1089" s="165" t="s">
        <v>54</v>
      </c>
      <c r="W1089" s="262" t="s">
        <v>125</v>
      </c>
      <c r="X1089" s="202" t="s">
        <v>2709</v>
      </c>
    </row>
    <row r="1090" spans="1:24" hidden="1">
      <c r="A1090" s="161">
        <v>46020</v>
      </c>
      <c r="B1090" s="216" t="s">
        <v>4119</v>
      </c>
      <c r="C1090" s="38" t="s">
        <v>2548</v>
      </c>
      <c r="D1090" s="136">
        <v>-238</v>
      </c>
      <c r="E1090" s="224">
        <v>0.86140099999999997</v>
      </c>
      <c r="F1090" s="121">
        <f>Tabla5109[[#This Row],[Original Amount]]*Tabla5109[[#This Row],[ER to EUR]]</f>
        <v>-205.01343799999998</v>
      </c>
      <c r="G1090" s="37" t="s">
        <v>3349</v>
      </c>
      <c r="H1090" s="9" t="s">
        <v>3350</v>
      </c>
      <c r="I1090" s="37" t="s">
        <v>2784</v>
      </c>
      <c r="J1090" s="37" t="s">
        <v>2701</v>
      </c>
      <c r="K1090" s="217" t="s">
        <v>2702</v>
      </c>
      <c r="L1090" s="37" t="s">
        <v>2760</v>
      </c>
      <c r="M1090" s="38" t="s">
        <v>125</v>
      </c>
      <c r="N1090" s="156" t="s">
        <v>2704</v>
      </c>
      <c r="O1090" s="158" t="s">
        <v>2704</v>
      </c>
      <c r="P1090" s="123" t="str">
        <f>"C"&amp;INT((MONTH(A1090)-1)/4)+1&amp;"-"&amp;YEAR(A1090)</f>
        <v>C3-2025</v>
      </c>
      <c r="Q1090" s="123" t="str">
        <f>"T"&amp;INT((MONTH(A1090)-1)/3)+1&amp;"-"&amp;YEAR(A1090)</f>
        <v>T4-2025</v>
      </c>
      <c r="R1090" s="160" t="s">
        <v>2705</v>
      </c>
      <c r="S1090" s="123" t="s">
        <v>2735</v>
      </c>
      <c r="T1090" s="123" t="s">
        <v>2724</v>
      </c>
      <c r="U1090" s="162" t="s">
        <v>2708</v>
      </c>
      <c r="V1090" s="162" t="s">
        <v>55</v>
      </c>
      <c r="W1090" s="237" t="s">
        <v>125</v>
      </c>
      <c r="X1090" s="202" t="s">
        <v>2709</v>
      </c>
    </row>
    <row r="1091" spans="1:24" ht="14.5" hidden="1" customHeight="1">
      <c r="A1091" s="161">
        <v>46020</v>
      </c>
      <c r="B1091" s="216" t="s">
        <v>4120</v>
      </c>
      <c r="C1091" s="38" t="s">
        <v>2697</v>
      </c>
      <c r="D1091" s="210">
        <v>-319</v>
      </c>
      <c r="E1091" s="159">
        <v>1</v>
      </c>
      <c r="F1091" s="234">
        <f>Tabla5109[[#This Row],[Original Amount]]*Tabla5109[[#This Row],[ER to EUR]]</f>
        <v>-319</v>
      </c>
      <c r="G1091" s="37" t="s">
        <v>3092</v>
      </c>
      <c r="H1091" s="37" t="s">
        <v>4121</v>
      </c>
      <c r="I1091" s="37" t="s">
        <v>3831</v>
      </c>
      <c r="J1091" s="9" t="s">
        <v>3095</v>
      </c>
      <c r="K1091" s="205" t="s">
        <v>3096</v>
      </c>
      <c r="L1091" s="9" t="s">
        <v>3097</v>
      </c>
      <c r="M1091" s="32" t="s">
        <v>125</v>
      </c>
      <c r="N1091" s="129" t="s">
        <v>2748</v>
      </c>
      <c r="O1091" s="122" t="s">
        <v>2748</v>
      </c>
      <c r="P1091" s="123" t="str">
        <f>"C"&amp;INT((MONTH(A1091)-1)/4)+1&amp;"-"&amp;YEAR(A1091)</f>
        <v>C3-2025</v>
      </c>
      <c r="Q1091" s="123" t="str">
        <f>"T"&amp;INT((MONTH(A1091)-1)/3)+1&amp;"-"&amp;YEAR(A1091)</f>
        <v>T4-2025</v>
      </c>
      <c r="R1091" s="124" t="s">
        <v>2705</v>
      </c>
      <c r="S1091" s="124" t="s">
        <v>2706</v>
      </c>
      <c r="T1091" s="123" t="s">
        <v>2717</v>
      </c>
      <c r="U1091" s="162" t="s">
        <v>3098</v>
      </c>
      <c r="V1091" s="162" t="s">
        <v>56</v>
      </c>
      <c r="W1091" s="237" t="s">
        <v>125</v>
      </c>
      <c r="X1091" s="173" t="s">
        <v>2709</v>
      </c>
    </row>
    <row r="1092" spans="1:24" ht="15" hidden="1" customHeight="1">
      <c r="A1092" s="161">
        <v>46021</v>
      </c>
      <c r="B1092" s="216" t="s">
        <v>4122</v>
      </c>
      <c r="C1092" s="38" t="s">
        <v>2548</v>
      </c>
      <c r="D1092" s="136">
        <v>-210</v>
      </c>
      <c r="E1092" s="224">
        <v>0.86140099999999997</v>
      </c>
      <c r="F1092" s="121">
        <f>Tabla5109[[#This Row],[Original Amount]]*Tabla5109[[#This Row],[ER to EUR]]</f>
        <v>-180.89420999999999</v>
      </c>
      <c r="G1092" s="37" t="s">
        <v>2766</v>
      </c>
      <c r="H1092" s="37" t="s">
        <v>4308</v>
      </c>
      <c r="I1092" s="37" t="s">
        <v>2713</v>
      </c>
      <c r="J1092" s="9" t="s">
        <v>2701</v>
      </c>
      <c r="K1092" s="205" t="s">
        <v>2702</v>
      </c>
      <c r="L1092" s="9" t="s">
        <v>2760</v>
      </c>
      <c r="M1092" s="32" t="s">
        <v>125</v>
      </c>
      <c r="N1092" s="122" t="s">
        <v>2704</v>
      </c>
      <c r="O1092" s="122" t="s">
        <v>2704</v>
      </c>
      <c r="P1092" s="123" t="str">
        <f>"C"&amp;INT((MONTH(A1092)-1)/4)+1&amp;"-"&amp;YEAR(A1092)</f>
        <v>C3-2025</v>
      </c>
      <c r="Q1092" s="123" t="str">
        <f>"T"&amp;INT((MONTH(A1092)-1)/3)+1&amp;"-"&amp;YEAR(A1092)</f>
        <v>T4-2025</v>
      </c>
      <c r="R1092" s="124" t="s">
        <v>2705</v>
      </c>
      <c r="S1092" s="123" t="s">
        <v>2735</v>
      </c>
      <c r="T1092" s="123" t="s">
        <v>2724</v>
      </c>
      <c r="U1092" s="162" t="s">
        <v>2708</v>
      </c>
      <c r="V1092" s="162" t="s">
        <v>55</v>
      </c>
      <c r="W1092" s="237" t="s">
        <v>125</v>
      </c>
      <c r="X1092" s="173" t="s">
        <v>2709</v>
      </c>
    </row>
    <row r="1093" spans="1:24" hidden="1">
      <c r="A1093" s="163">
        <v>46021</v>
      </c>
      <c r="B1093" s="167" t="s">
        <v>4123</v>
      </c>
      <c r="C1093" s="38" t="s">
        <v>2697</v>
      </c>
      <c r="D1093" s="392">
        <v>-33.68</v>
      </c>
      <c r="E1093" s="159">
        <v>1</v>
      </c>
      <c r="F1093" s="234">
        <f>Tabla5109[[#This Row],[Original Amount]]*Tabla5109[[#This Row],[ER to EUR]]</f>
        <v>-33.68</v>
      </c>
      <c r="G1093" s="37" t="s">
        <v>3116</v>
      </c>
      <c r="H1093" s="37" t="s">
        <v>4124</v>
      </c>
      <c r="I1093" s="37" t="s">
        <v>2713</v>
      </c>
      <c r="J1093" s="37" t="s">
        <v>2701</v>
      </c>
      <c r="K1093" s="217" t="s">
        <v>2702</v>
      </c>
      <c r="L1093" s="37" t="s">
        <v>2703</v>
      </c>
      <c r="M1093" s="38" t="s">
        <v>125</v>
      </c>
      <c r="N1093" s="158" t="s">
        <v>2704</v>
      </c>
      <c r="O1093" s="156" t="s">
        <v>2704</v>
      </c>
      <c r="P1093" s="157" t="str">
        <f>"C"&amp;INT((MONTH(A1093)-1)/4)+1&amp;"-"&amp;YEAR(A1093)</f>
        <v>C3-2025</v>
      </c>
      <c r="Q1093" s="157" t="str">
        <f>"T"&amp;INT((MONTH(A1093)-1)/3)+1&amp;"-"&amp;YEAR(A1093)</f>
        <v>T4-2025</v>
      </c>
      <c r="R1093" s="160" t="s">
        <v>2794</v>
      </c>
      <c r="S1093" s="157" t="s">
        <v>3041</v>
      </c>
      <c r="T1093" s="157" t="s">
        <v>2707</v>
      </c>
      <c r="U1093" s="165" t="s">
        <v>51</v>
      </c>
      <c r="V1093" s="165" t="s">
        <v>57</v>
      </c>
      <c r="W1093" s="262" t="s">
        <v>125</v>
      </c>
      <c r="X1093" s="202" t="s">
        <v>2709</v>
      </c>
    </row>
    <row r="1094" spans="1:24" hidden="1">
      <c r="A1094" s="548">
        <v>46021</v>
      </c>
      <c r="B1094" s="194" t="s">
        <v>2871</v>
      </c>
      <c r="C1094" s="32" t="s">
        <v>2697</v>
      </c>
      <c r="D1094" s="210">
        <v>-8500</v>
      </c>
      <c r="E1094" s="120">
        <v>1</v>
      </c>
      <c r="F1094" s="121">
        <f>Tabla5109[[#This Row],[Original Amount]]*Tabla5109[[#This Row],[ER to EUR]]</f>
        <v>-8500</v>
      </c>
      <c r="G1094" s="9" t="s">
        <v>3717</v>
      </c>
      <c r="H1094" s="9" t="s">
        <v>4125</v>
      </c>
      <c r="I1094" s="91" t="s">
        <v>2713</v>
      </c>
      <c r="J1094" s="91" t="s">
        <v>2770</v>
      </c>
      <c r="K1094" s="196" t="s">
        <v>2874</v>
      </c>
      <c r="L1094" s="91" t="s">
        <v>2875</v>
      </c>
      <c r="M1094" s="232" t="s">
        <v>125</v>
      </c>
      <c r="N1094" s="129" t="s">
        <v>2748</v>
      </c>
      <c r="O1094" s="129" t="s">
        <v>2748</v>
      </c>
      <c r="P1094" s="123" t="str">
        <f>"C"&amp;INT((MONTH(A1094)-1)/4)+1&amp;"-"&amp;YEAR(A1094)</f>
        <v>C3-2025</v>
      </c>
      <c r="Q1094" s="123" t="str">
        <f>"T"&amp;INT((MONTH(A1094)-1)/3)+1&amp;"-"&amp;YEAR(A1094)</f>
        <v>T4-2025</v>
      </c>
      <c r="R1094" s="91" t="s">
        <v>2705</v>
      </c>
      <c r="S1094" s="124" t="s">
        <v>2706</v>
      </c>
      <c r="T1094" s="123" t="s">
        <v>2717</v>
      </c>
      <c r="U1094" s="9" t="s">
        <v>2708</v>
      </c>
      <c r="V1094" s="9" t="s">
        <v>56</v>
      </c>
      <c r="W1094" s="122" t="s">
        <v>125</v>
      </c>
      <c r="X1094" s="123" t="s">
        <v>2709</v>
      </c>
    </row>
    <row r="1095" spans="1:24" ht="15" hidden="1" customHeight="1">
      <c r="A1095" s="548">
        <v>46021</v>
      </c>
      <c r="B1095" s="194" t="s">
        <v>2871</v>
      </c>
      <c r="C1095" s="32" t="s">
        <v>2697</v>
      </c>
      <c r="D1095" s="210">
        <v>-5679.43</v>
      </c>
      <c r="E1095" s="120">
        <v>1</v>
      </c>
      <c r="F1095" s="121">
        <f>Tabla5109[[#This Row],[Original Amount]]*Tabla5109[[#This Row],[ER to EUR]]</f>
        <v>-5679.43</v>
      </c>
      <c r="G1095" s="9" t="s">
        <v>3257</v>
      </c>
      <c r="H1095" s="9" t="s">
        <v>4125</v>
      </c>
      <c r="I1095" s="91" t="s">
        <v>2713</v>
      </c>
      <c r="J1095" s="91" t="s">
        <v>2770</v>
      </c>
      <c r="K1095" s="196" t="s">
        <v>2874</v>
      </c>
      <c r="L1095" s="91" t="s">
        <v>2875</v>
      </c>
      <c r="M1095" s="232" t="s">
        <v>125</v>
      </c>
      <c r="N1095" s="129" t="s">
        <v>2748</v>
      </c>
      <c r="O1095" s="129" t="s">
        <v>2748</v>
      </c>
      <c r="P1095" s="123" t="str">
        <f>"C"&amp;INT((MONTH(A1095)-1)/4)+1&amp;"-"&amp;YEAR(A1095)</f>
        <v>C3-2025</v>
      </c>
      <c r="Q1095" s="123" t="str">
        <f>"T"&amp;INT((MONTH(A1095)-1)/3)+1&amp;"-"&amp;YEAR(A1095)</f>
        <v>T4-2025</v>
      </c>
      <c r="R1095" s="91" t="s">
        <v>2705</v>
      </c>
      <c r="S1095" s="124" t="s">
        <v>2706</v>
      </c>
      <c r="T1095" s="123" t="s">
        <v>2717</v>
      </c>
      <c r="U1095" s="9" t="s">
        <v>2708</v>
      </c>
      <c r="V1095" s="9" t="s">
        <v>54</v>
      </c>
      <c r="W1095" s="122" t="s">
        <v>125</v>
      </c>
      <c r="X1095" s="123" t="s">
        <v>2709</v>
      </c>
    </row>
    <row r="1096" spans="1:24" hidden="1">
      <c r="A1096" s="548">
        <v>46021</v>
      </c>
      <c r="B1096" s="194" t="s">
        <v>2871</v>
      </c>
      <c r="C1096" s="32" t="s">
        <v>2697</v>
      </c>
      <c r="D1096" s="210">
        <v>-11663.17</v>
      </c>
      <c r="E1096" s="120">
        <v>1</v>
      </c>
      <c r="F1096" s="121">
        <f>Tabla5109[[#This Row],[Original Amount]]*Tabla5109[[#This Row],[ER to EUR]]</f>
        <v>-11663.17</v>
      </c>
      <c r="G1096" s="9" t="s">
        <v>3844</v>
      </c>
      <c r="H1096" s="9" t="s">
        <v>4125</v>
      </c>
      <c r="I1096" s="91" t="s">
        <v>2713</v>
      </c>
      <c r="J1096" s="91" t="s">
        <v>2770</v>
      </c>
      <c r="K1096" s="196" t="s">
        <v>2874</v>
      </c>
      <c r="L1096" s="91" t="s">
        <v>2875</v>
      </c>
      <c r="M1096" s="232" t="s">
        <v>125</v>
      </c>
      <c r="N1096" s="129" t="s">
        <v>2748</v>
      </c>
      <c r="O1096" s="129" t="s">
        <v>2748</v>
      </c>
      <c r="P1096" s="123" t="str">
        <f>"C"&amp;INT((MONTH(A1096)-1)/4)+1&amp;"-"&amp;YEAR(A1096)</f>
        <v>C3-2025</v>
      </c>
      <c r="Q1096" s="123" t="str">
        <f>"T"&amp;INT((MONTH(A1096)-1)/3)+1&amp;"-"&amp;YEAR(A1096)</f>
        <v>T4-2025</v>
      </c>
      <c r="R1096" s="91" t="s">
        <v>2705</v>
      </c>
      <c r="S1096" s="124" t="s">
        <v>2706</v>
      </c>
      <c r="T1096" s="123" t="s">
        <v>2717</v>
      </c>
      <c r="U1096" s="9" t="s">
        <v>2708</v>
      </c>
      <c r="V1096" s="9" t="s">
        <v>56</v>
      </c>
      <c r="W1096" s="122" t="s">
        <v>125</v>
      </c>
      <c r="X1096" s="123" t="s">
        <v>2709</v>
      </c>
    </row>
    <row r="1097" spans="1:24" hidden="1">
      <c r="A1097" s="548">
        <v>46021</v>
      </c>
      <c r="B1097" s="125">
        <v>372025</v>
      </c>
      <c r="C1097" s="32" t="s">
        <v>2697</v>
      </c>
      <c r="D1097" s="210">
        <v>-2000</v>
      </c>
      <c r="E1097" s="120">
        <v>1</v>
      </c>
      <c r="F1097" s="121">
        <f>Tabla5109[[#This Row],[Original Amount]]*Tabla5109[[#This Row],[ER to EUR]]</f>
        <v>-2000</v>
      </c>
      <c r="G1097" s="9" t="s">
        <v>3694</v>
      </c>
      <c r="H1097" s="9" t="s">
        <v>3695</v>
      </c>
      <c r="I1097" s="9" t="s">
        <v>2727</v>
      </c>
      <c r="J1097" s="9" t="s">
        <v>2714</v>
      </c>
      <c r="K1097" s="205" t="s">
        <v>2747</v>
      </c>
      <c r="L1097" s="9" t="s">
        <v>2716</v>
      </c>
      <c r="M1097" s="32" t="s">
        <v>125</v>
      </c>
      <c r="N1097" s="122" t="s">
        <v>2704</v>
      </c>
      <c r="O1097" s="129" t="s">
        <v>2704</v>
      </c>
      <c r="P1097" s="123" t="str">
        <f>"C"&amp;INT((MONTH(A1097)-1)/4)+1&amp;"-"&amp;YEAR(A1097)</f>
        <v>C3-2025</v>
      </c>
      <c r="Q1097" s="123" t="str">
        <f>"T"&amp;INT((MONTH(A1097)-1)/3)+1&amp;"-"&amp;YEAR(A1097)</f>
        <v>T4-2025</v>
      </c>
      <c r="R1097" s="91" t="s">
        <v>2705</v>
      </c>
      <c r="S1097" s="124" t="s">
        <v>2706</v>
      </c>
      <c r="T1097" s="123" t="s">
        <v>2724</v>
      </c>
      <c r="U1097" s="9" t="s">
        <v>51</v>
      </c>
      <c r="V1097" s="9" t="s">
        <v>57</v>
      </c>
      <c r="W1097" s="122" t="s">
        <v>125</v>
      </c>
      <c r="X1097" s="124" t="s">
        <v>2709</v>
      </c>
    </row>
    <row r="1098" spans="1:24" hidden="1">
      <c r="A1098" s="548">
        <v>46022</v>
      </c>
      <c r="B1098" s="194" t="s">
        <v>2871</v>
      </c>
      <c r="C1098" s="32" t="s">
        <v>2543</v>
      </c>
      <c r="D1098" s="152">
        <v>-1763140</v>
      </c>
      <c r="E1098" s="120">
        <v>9.2599999999999996E-4</v>
      </c>
      <c r="F1098" s="121">
        <f>Tabla5109[[#This Row],[Original Amount]]*Tabla5109[[#This Row],[ER to EUR]]</f>
        <v>-1632.6676399999999</v>
      </c>
      <c r="G1098" s="91" t="s">
        <v>2872</v>
      </c>
      <c r="H1098" s="91" t="s">
        <v>4126</v>
      </c>
      <c r="I1098" s="9" t="s">
        <v>2713</v>
      </c>
      <c r="J1098" s="9" t="s">
        <v>2770</v>
      </c>
      <c r="K1098" s="205" t="s">
        <v>2874</v>
      </c>
      <c r="L1098" s="9" t="s">
        <v>2875</v>
      </c>
      <c r="M1098" s="227" t="s">
        <v>2704</v>
      </c>
      <c r="N1098" s="122" t="s">
        <v>2748</v>
      </c>
      <c r="O1098" s="129" t="s">
        <v>2748</v>
      </c>
      <c r="P1098" s="123" t="str">
        <f>"C"&amp;INT((MONTH(A1098)-1)/4)+1&amp;"-"&amp;YEAR(A1098)</f>
        <v>C3-2025</v>
      </c>
      <c r="Q1098" s="123" t="str">
        <f>"T"&amp;INT((MONTH(A1098)-1)/3)+1&amp;"-"&amp;YEAR(A1098)</f>
        <v>T4-2025</v>
      </c>
      <c r="R1098" s="91" t="s">
        <v>2749</v>
      </c>
      <c r="S1098" s="123" t="s">
        <v>2750</v>
      </c>
      <c r="T1098" s="123" t="s">
        <v>2724</v>
      </c>
      <c r="U1098" s="9" t="s">
        <v>2708</v>
      </c>
      <c r="V1098" s="9" t="s">
        <v>54</v>
      </c>
      <c r="W1098" s="122" t="s">
        <v>125</v>
      </c>
      <c r="X1098" s="124" t="s">
        <v>2751</v>
      </c>
    </row>
    <row r="1099" spans="1:24" hidden="1">
      <c r="A1099" s="548">
        <v>46022</v>
      </c>
      <c r="B1099" s="194" t="s">
        <v>2871</v>
      </c>
      <c r="C1099" s="32" t="s">
        <v>2543</v>
      </c>
      <c r="D1099" s="152">
        <v>-8304177</v>
      </c>
      <c r="E1099" s="120">
        <v>9.2599999999999996E-4</v>
      </c>
      <c r="F1099" s="121">
        <f>Tabla5109[[#This Row],[Original Amount]]*Tabla5109[[#This Row],[ER to EUR]]</f>
        <v>-7689.6679019999992</v>
      </c>
      <c r="G1099" s="9" t="s">
        <v>2876</v>
      </c>
      <c r="H1099" s="91" t="s">
        <v>4126</v>
      </c>
      <c r="I1099" s="9" t="s">
        <v>2713</v>
      </c>
      <c r="J1099" s="9" t="s">
        <v>2770</v>
      </c>
      <c r="K1099" s="205" t="s">
        <v>2874</v>
      </c>
      <c r="L1099" s="9" t="s">
        <v>2875</v>
      </c>
      <c r="M1099" s="227" t="s">
        <v>2704</v>
      </c>
      <c r="N1099" s="122" t="s">
        <v>2748</v>
      </c>
      <c r="O1099" s="129" t="s">
        <v>2748</v>
      </c>
      <c r="P1099" s="123" t="str">
        <f>"C"&amp;INT((MONTH(A1099)-1)/4)+1&amp;"-"&amp;YEAR(A1099)</f>
        <v>C3-2025</v>
      </c>
      <c r="Q1099" s="123" t="str">
        <f>"T"&amp;INT((MONTH(A1099)-1)/3)+1&amp;"-"&amp;YEAR(A1099)</f>
        <v>T4-2025</v>
      </c>
      <c r="R1099" s="91" t="s">
        <v>2749</v>
      </c>
      <c r="S1099" s="123" t="s">
        <v>2750</v>
      </c>
      <c r="T1099" s="123" t="s">
        <v>2724</v>
      </c>
      <c r="U1099" s="9" t="s">
        <v>2708</v>
      </c>
      <c r="V1099" s="9" t="s">
        <v>56</v>
      </c>
      <c r="W1099" s="122" t="s">
        <v>125</v>
      </c>
      <c r="X1099" s="124" t="s">
        <v>2751</v>
      </c>
    </row>
    <row r="1100" spans="1:24" ht="14.75" hidden="1" customHeight="1">
      <c r="A1100" s="548">
        <v>46022</v>
      </c>
      <c r="B1100" s="194" t="s">
        <v>2871</v>
      </c>
      <c r="C1100" s="32" t="s">
        <v>2543</v>
      </c>
      <c r="D1100" s="152">
        <v>-7021135</v>
      </c>
      <c r="E1100" s="120">
        <v>9.2599999999999996E-4</v>
      </c>
      <c r="F1100" s="121">
        <f>Tabla5109[[#This Row],[Original Amount]]*Tabla5109[[#This Row],[ER to EUR]]</f>
        <v>-6501.5710099999997</v>
      </c>
      <c r="G1100" s="9" t="s">
        <v>3257</v>
      </c>
      <c r="H1100" s="91" t="s">
        <v>4126</v>
      </c>
      <c r="I1100" s="9" t="s">
        <v>2713</v>
      </c>
      <c r="J1100" s="9" t="s">
        <v>2770</v>
      </c>
      <c r="K1100" s="205" t="s">
        <v>2874</v>
      </c>
      <c r="L1100" s="9" t="s">
        <v>2875</v>
      </c>
      <c r="M1100" s="227" t="s">
        <v>2704</v>
      </c>
      <c r="N1100" s="122" t="s">
        <v>2748</v>
      </c>
      <c r="O1100" s="129" t="s">
        <v>2748</v>
      </c>
      <c r="P1100" s="123" t="str">
        <f>"C"&amp;INT((MONTH(A1100)-1)/4)+1&amp;"-"&amp;YEAR(A1100)</f>
        <v>C3-2025</v>
      </c>
      <c r="Q1100" s="123" t="str">
        <f>"T"&amp;INT((MONTH(A1100)-1)/3)+1&amp;"-"&amp;YEAR(A1100)</f>
        <v>T4-2025</v>
      </c>
      <c r="R1100" s="91" t="s">
        <v>2749</v>
      </c>
      <c r="S1100" s="123" t="s">
        <v>2750</v>
      </c>
      <c r="T1100" s="123" t="s">
        <v>2717</v>
      </c>
      <c r="U1100" s="9" t="s">
        <v>2708</v>
      </c>
      <c r="V1100" s="9" t="s">
        <v>54</v>
      </c>
      <c r="W1100" s="122" t="s">
        <v>125</v>
      </c>
      <c r="X1100" s="124" t="s">
        <v>2751</v>
      </c>
    </row>
    <row r="1101" spans="1:24" hidden="1">
      <c r="A1101" s="548">
        <v>46022</v>
      </c>
      <c r="B1101" s="194" t="s">
        <v>2871</v>
      </c>
      <c r="C1101" s="32" t="s">
        <v>2543</v>
      </c>
      <c r="D1101" s="152">
        <v>-6190480</v>
      </c>
      <c r="E1101" s="120">
        <v>9.2599999999999996E-4</v>
      </c>
      <c r="F1101" s="121">
        <f>Tabla5109[[#This Row],[Original Amount]]*Tabla5109[[#This Row],[ER to EUR]]</f>
        <v>-5732.3844799999997</v>
      </c>
      <c r="G1101" s="9" t="s">
        <v>3436</v>
      </c>
      <c r="H1101" s="91" t="s">
        <v>4126</v>
      </c>
      <c r="I1101" s="9" t="s">
        <v>2713</v>
      </c>
      <c r="J1101" s="9" t="s">
        <v>2770</v>
      </c>
      <c r="K1101" s="205" t="s">
        <v>2874</v>
      </c>
      <c r="L1101" s="9" t="s">
        <v>2875</v>
      </c>
      <c r="M1101" s="227" t="s">
        <v>2704</v>
      </c>
      <c r="N1101" s="122" t="s">
        <v>2748</v>
      </c>
      <c r="O1101" s="129" t="s">
        <v>2748</v>
      </c>
      <c r="P1101" s="123" t="str">
        <f>"C"&amp;INT((MONTH(A1101)-1)/4)+1&amp;"-"&amp;YEAR(A1101)</f>
        <v>C3-2025</v>
      </c>
      <c r="Q1101" s="123" t="str">
        <f>"T"&amp;INT((MONTH(A1101)-1)/3)+1&amp;"-"&amp;YEAR(A1101)</f>
        <v>T4-2025</v>
      </c>
      <c r="R1101" s="91" t="s">
        <v>2749</v>
      </c>
      <c r="S1101" s="123" t="s">
        <v>2750</v>
      </c>
      <c r="T1101" s="123" t="s">
        <v>2724</v>
      </c>
      <c r="U1101" s="9" t="s">
        <v>2708</v>
      </c>
      <c r="V1101" s="9" t="s">
        <v>57</v>
      </c>
      <c r="W1101" s="122" t="s">
        <v>125</v>
      </c>
      <c r="X1101" s="124" t="s">
        <v>2751</v>
      </c>
    </row>
    <row r="1102" spans="1:24" hidden="1">
      <c r="A1102" s="548">
        <v>46022</v>
      </c>
      <c r="B1102" s="194" t="s">
        <v>2871</v>
      </c>
      <c r="C1102" s="32" t="s">
        <v>2543</v>
      </c>
      <c r="D1102" s="152">
        <v>-8463097</v>
      </c>
      <c r="E1102" s="120">
        <v>9.2599999999999996E-4</v>
      </c>
      <c r="F1102" s="121">
        <f>Tabla5109[[#This Row],[Original Amount]]*Tabla5109[[#This Row],[ER to EUR]]</f>
        <v>-7836.8278219999993</v>
      </c>
      <c r="G1102" s="9" t="s">
        <v>2877</v>
      </c>
      <c r="H1102" s="91" t="s">
        <v>4126</v>
      </c>
      <c r="I1102" s="9" t="s">
        <v>2713</v>
      </c>
      <c r="J1102" s="9" t="s">
        <v>2770</v>
      </c>
      <c r="K1102" s="205" t="s">
        <v>2874</v>
      </c>
      <c r="L1102" s="9" t="s">
        <v>2875</v>
      </c>
      <c r="M1102" s="227" t="s">
        <v>2704</v>
      </c>
      <c r="N1102" s="122" t="s">
        <v>2748</v>
      </c>
      <c r="O1102" s="129" t="s">
        <v>2748</v>
      </c>
      <c r="P1102" s="123" t="str">
        <f>"C"&amp;INT((MONTH(A1102)-1)/4)+1&amp;"-"&amp;YEAR(A1102)</f>
        <v>C3-2025</v>
      </c>
      <c r="Q1102" s="123" t="str">
        <f>"T"&amp;INT((MONTH(A1102)-1)/3)+1&amp;"-"&amp;YEAR(A1102)</f>
        <v>T4-2025</v>
      </c>
      <c r="R1102" s="91" t="s">
        <v>2749</v>
      </c>
      <c r="S1102" s="123" t="s">
        <v>2750</v>
      </c>
      <c r="T1102" s="123" t="s">
        <v>2724</v>
      </c>
      <c r="U1102" s="9" t="s">
        <v>2708</v>
      </c>
      <c r="V1102" s="9" t="s">
        <v>54</v>
      </c>
      <c r="W1102" s="122" t="s">
        <v>125</v>
      </c>
      <c r="X1102" s="124" t="s">
        <v>2751</v>
      </c>
    </row>
    <row r="1103" spans="1:24" hidden="1">
      <c r="A1103" s="548">
        <v>46022</v>
      </c>
      <c r="B1103" s="194" t="s">
        <v>4127</v>
      </c>
      <c r="C1103" s="32" t="s">
        <v>2543</v>
      </c>
      <c r="D1103" s="152">
        <v>-770000</v>
      </c>
      <c r="E1103" s="120">
        <v>9.2599999999999996E-4</v>
      </c>
      <c r="F1103" s="121">
        <f>Tabla5109[[#This Row],[Original Amount]]*Tabla5109[[#This Row],[ER to EUR]]</f>
        <v>-713.02</v>
      </c>
      <c r="G1103" s="9" t="s">
        <v>4128</v>
      </c>
      <c r="H1103" s="9" t="s">
        <v>4129</v>
      </c>
      <c r="I1103" s="9" t="s">
        <v>2713</v>
      </c>
      <c r="J1103" s="9" t="s">
        <v>2770</v>
      </c>
      <c r="K1103" s="205" t="s">
        <v>2874</v>
      </c>
      <c r="L1103" s="9" t="s">
        <v>2875</v>
      </c>
      <c r="M1103" s="227" t="s">
        <v>2704</v>
      </c>
      <c r="N1103" s="122" t="s">
        <v>2748</v>
      </c>
      <c r="O1103" s="129" t="s">
        <v>2748</v>
      </c>
      <c r="P1103" s="123" t="str">
        <f>"C"&amp;INT((MONTH(A1103)-1)/4)+1&amp;"-"&amp;YEAR(A1103)</f>
        <v>C3-2025</v>
      </c>
      <c r="Q1103" s="123" t="str">
        <f>"T"&amp;INT((MONTH(A1103)-1)/3)+1&amp;"-"&amp;YEAR(A1103)</f>
        <v>T4-2025</v>
      </c>
      <c r="R1103" s="91" t="s">
        <v>2749</v>
      </c>
      <c r="S1103" s="123" t="s">
        <v>2750</v>
      </c>
      <c r="T1103" s="123" t="s">
        <v>2724</v>
      </c>
      <c r="U1103" s="9" t="s">
        <v>2708</v>
      </c>
      <c r="V1103" s="9" t="s">
        <v>54</v>
      </c>
      <c r="W1103" s="122" t="s">
        <v>125</v>
      </c>
      <c r="X1103" s="124" t="s">
        <v>2751</v>
      </c>
    </row>
    <row r="1104" spans="1:24" hidden="1">
      <c r="A1104" s="548">
        <v>46022</v>
      </c>
      <c r="B1104" s="125">
        <v>5457939010</v>
      </c>
      <c r="C1104" s="32" t="s">
        <v>2697</v>
      </c>
      <c r="D1104" s="210">
        <v>-960.32</v>
      </c>
      <c r="E1104" s="120">
        <v>1</v>
      </c>
      <c r="F1104" s="121">
        <f>Tabla5109[[#This Row],[Original Amount]]*Tabla5109[[#This Row],[ER to EUR]]</f>
        <v>-960.32</v>
      </c>
      <c r="G1104" s="9" t="s">
        <v>3035</v>
      </c>
      <c r="H1104" s="9" t="s">
        <v>4130</v>
      </c>
      <c r="I1104" s="9" t="s">
        <v>2784</v>
      </c>
      <c r="J1104" s="9" t="s">
        <v>2723</v>
      </c>
      <c r="K1104" s="205" t="s">
        <v>2792</v>
      </c>
      <c r="L1104" s="9" t="s">
        <v>2793</v>
      </c>
      <c r="M1104" s="32" t="s">
        <v>125</v>
      </c>
      <c r="N1104" s="129" t="s">
        <v>2704</v>
      </c>
      <c r="O1104" s="122" t="s">
        <v>2704</v>
      </c>
      <c r="P1104" s="123" t="str">
        <f>"C"&amp;INT((MONTH(A1104)-1)/4)+1&amp;"-"&amp;YEAR(A1104)</f>
        <v>C3-2025</v>
      </c>
      <c r="Q1104" s="123" t="str">
        <f>"T"&amp;INT((MONTH(A1104)-1)/3)+1&amp;"-"&amp;YEAR(A1104)</f>
        <v>T4-2025</v>
      </c>
      <c r="R1104" s="124" t="s">
        <v>2741</v>
      </c>
      <c r="S1104" s="123" t="s">
        <v>2723</v>
      </c>
      <c r="T1104" s="123" t="s">
        <v>2707</v>
      </c>
      <c r="U1104" s="9" t="s">
        <v>2708</v>
      </c>
      <c r="V1104" s="9" t="s">
        <v>54</v>
      </c>
      <c r="W1104" s="122" t="s">
        <v>125</v>
      </c>
      <c r="X1104" s="124" t="s">
        <v>2709</v>
      </c>
    </row>
    <row r="1105" spans="1:24" hidden="1">
      <c r="A1105" s="548">
        <v>46022</v>
      </c>
      <c r="B1105" s="133" t="s">
        <v>6547</v>
      </c>
      <c r="C1105" s="32" t="s">
        <v>2697</v>
      </c>
      <c r="D1105" s="146">
        <v>-10624.32</v>
      </c>
      <c r="E1105" s="120">
        <v>1</v>
      </c>
      <c r="F1105" s="121">
        <f>Tabla5109[[#This Row],[Original Amount]]*Tabla5109[[#This Row],[ER to EUR]]</f>
        <v>-10624.32</v>
      </c>
      <c r="G1105" s="9" t="s">
        <v>3557</v>
      </c>
      <c r="H1105" s="9" t="s">
        <v>3558</v>
      </c>
      <c r="I1105" s="9" t="s">
        <v>2727</v>
      </c>
      <c r="J1105" s="9" t="s">
        <v>2714</v>
      </c>
      <c r="K1105" s="205" t="s">
        <v>2747</v>
      </c>
      <c r="L1105" s="9" t="s">
        <v>2716</v>
      </c>
      <c r="M1105" s="32" t="s">
        <v>125</v>
      </c>
      <c r="N1105" s="129" t="s">
        <v>2704</v>
      </c>
      <c r="O1105" s="122" t="s">
        <v>2704</v>
      </c>
      <c r="P1105" s="123" t="str">
        <f>"C"&amp;INT((MONTH(A1105)-1)/4)+1&amp;"-"&amp;YEAR(A1105)</f>
        <v>C3-2025</v>
      </c>
      <c r="Q1105" s="123" t="str">
        <f>"T"&amp;INT((MONTH(A1105)-1)/3)+1&amp;"-"&amp;YEAR(A1105)</f>
        <v>T4-2025</v>
      </c>
      <c r="R1105" s="124" t="s">
        <v>2794</v>
      </c>
      <c r="S1105" s="123" t="s">
        <v>2731</v>
      </c>
      <c r="T1105" s="123" t="s">
        <v>2707</v>
      </c>
      <c r="U1105" s="9" t="s">
        <v>51</v>
      </c>
      <c r="V1105" s="9" t="s">
        <v>57</v>
      </c>
      <c r="W1105" s="122" t="s">
        <v>125</v>
      </c>
      <c r="X1105" s="124" t="s">
        <v>2709</v>
      </c>
    </row>
    <row r="1106" spans="1:24">
      <c r="A1106" s="548">
        <v>46023</v>
      </c>
      <c r="B1106" s="125">
        <v>202600000065</v>
      </c>
      <c r="C1106" s="32" t="s">
        <v>2697</v>
      </c>
      <c r="D1106" s="139">
        <v>-313.20999999999998</v>
      </c>
      <c r="E1106" s="120">
        <v>1</v>
      </c>
      <c r="F1106" s="127">
        <f>Tabla5109[[#This Row],[Original Amount]]*Tabla5109[[#This Row],[ER to EUR]]</f>
        <v>-313.20999999999998</v>
      </c>
      <c r="G1106" s="9" t="s">
        <v>2796</v>
      </c>
      <c r="H1106" s="9" t="s">
        <v>2797</v>
      </c>
      <c r="I1106" s="9" t="s">
        <v>2727</v>
      </c>
      <c r="J1106" s="9" t="s">
        <v>2714</v>
      </c>
      <c r="K1106" s="205" t="s">
        <v>2798</v>
      </c>
      <c r="L1106" s="9" t="s">
        <v>2799</v>
      </c>
      <c r="M1106" s="32" t="s">
        <v>125</v>
      </c>
      <c r="N1106" s="122" t="s">
        <v>2704</v>
      </c>
      <c r="O1106" s="129" t="s">
        <v>2704</v>
      </c>
      <c r="P1106" s="123" t="str">
        <f>"C"&amp;INT((MONTH(A1106)-1)/4)+1&amp;"-"&amp;YEAR(A1106)</f>
        <v>C1-2026</v>
      </c>
      <c r="Q1106" s="124" t="str">
        <f>"T"&amp;INT((MONTH(A1106)-1)/3)+1&amp;"-"&amp;YEAR(A1106)</f>
        <v>T1-2026</v>
      </c>
      <c r="R1106" s="124" t="s">
        <v>2705</v>
      </c>
      <c r="S1106" s="124" t="s">
        <v>2706</v>
      </c>
      <c r="T1106" s="124" t="s">
        <v>2724</v>
      </c>
      <c r="U1106" s="9" t="s">
        <v>2708</v>
      </c>
      <c r="V1106" s="205" t="s">
        <v>56</v>
      </c>
      <c r="W1106" s="122" t="s">
        <v>125</v>
      </c>
      <c r="X1106" s="124" t="s">
        <v>2709</v>
      </c>
    </row>
    <row r="1107" spans="1:24">
      <c r="A1107" s="548">
        <v>46023</v>
      </c>
      <c r="B1107" s="132">
        <v>250054318</v>
      </c>
      <c r="C1107" s="32" t="s">
        <v>2697</v>
      </c>
      <c r="D1107" s="139">
        <v>-15490.79</v>
      </c>
      <c r="E1107" s="120">
        <v>1</v>
      </c>
      <c r="F1107" s="127">
        <f>Tabla5109[[#This Row],[Original Amount]]*Tabla5109[[#This Row],[ER to EUR]]</f>
        <v>-15490.79</v>
      </c>
      <c r="G1107" s="9" t="s">
        <v>2884</v>
      </c>
      <c r="H1107" s="9" t="s">
        <v>2885</v>
      </c>
      <c r="I1107" s="9" t="s">
        <v>2727</v>
      </c>
      <c r="J1107" s="91" t="s">
        <v>2723</v>
      </c>
      <c r="K1107" s="196" t="s">
        <v>2792</v>
      </c>
      <c r="L1107" s="91" t="s">
        <v>2793</v>
      </c>
      <c r="M1107" s="32" t="s">
        <v>125</v>
      </c>
      <c r="N1107" s="129" t="s">
        <v>2704</v>
      </c>
      <c r="O1107" s="129" t="s">
        <v>2704</v>
      </c>
      <c r="P1107" s="123" t="str">
        <f>"C"&amp;INT((MONTH(A1107)-1)/4)+1&amp;"-"&amp;YEAR(A1107)</f>
        <v>C1-2026</v>
      </c>
      <c r="Q1107" s="124" t="str">
        <f>"T"&amp;INT((MONTH(A1107)-1)/3)+1&amp;"-"&amp;YEAR(A1107)</f>
        <v>T1-2026</v>
      </c>
      <c r="R1107" s="124" t="s">
        <v>2741</v>
      </c>
      <c r="S1107" s="124" t="s">
        <v>2723</v>
      </c>
      <c r="T1107" s="124" t="s">
        <v>2707</v>
      </c>
      <c r="U1107" s="9" t="s">
        <v>2708</v>
      </c>
      <c r="V1107" s="205" t="s">
        <v>54</v>
      </c>
      <c r="W1107" s="122" t="s">
        <v>125</v>
      </c>
      <c r="X1107" s="124" t="s">
        <v>2709</v>
      </c>
    </row>
    <row r="1108" spans="1:24">
      <c r="A1108" s="548">
        <v>46023</v>
      </c>
      <c r="B1108" s="133" t="s">
        <v>4615</v>
      </c>
      <c r="C1108" s="32" t="s">
        <v>2548</v>
      </c>
      <c r="D1108" s="151">
        <v>-36.5</v>
      </c>
      <c r="E1108" s="181">
        <v>0.85128099999999995</v>
      </c>
      <c r="F1108" s="127">
        <f>Tabla5109[[#This Row],[Original Amount]]*Tabla5109[[#This Row],[ER to EUR]]</f>
        <v>-31.071756499999999</v>
      </c>
      <c r="G1108" s="9" t="s">
        <v>2884</v>
      </c>
      <c r="H1108" s="9" t="s">
        <v>4009</v>
      </c>
      <c r="I1108" s="9" t="s">
        <v>2755</v>
      </c>
      <c r="J1108" s="9" t="s">
        <v>2723</v>
      </c>
      <c r="K1108" s="205" t="s">
        <v>2792</v>
      </c>
      <c r="L1108" s="9" t="s">
        <v>2793</v>
      </c>
      <c r="M1108" s="32" t="s">
        <v>125</v>
      </c>
      <c r="N1108" s="129" t="s">
        <v>2704</v>
      </c>
      <c r="O1108" s="122" t="s">
        <v>2704</v>
      </c>
      <c r="P1108" s="123" t="str">
        <f>"C"&amp;INT((MONTH(A1108)-1)/4)+1&amp;"-"&amp;YEAR(A1108)</f>
        <v>C1-2026</v>
      </c>
      <c r="Q1108" s="124" t="str">
        <f>"T"&amp;INT((MONTH(A1108)-1)/3)+1&amp;"-"&amp;YEAR(A1108)</f>
        <v>T1-2026</v>
      </c>
      <c r="R1108" s="124" t="s">
        <v>2741</v>
      </c>
      <c r="S1108" s="124" t="s">
        <v>2723</v>
      </c>
      <c r="T1108" s="124" t="s">
        <v>2707</v>
      </c>
      <c r="U1108" s="9" t="s">
        <v>2708</v>
      </c>
      <c r="V1108" s="205" t="s">
        <v>54</v>
      </c>
      <c r="W1108" s="122" t="s">
        <v>125</v>
      </c>
      <c r="X1108" s="124" t="s">
        <v>2709</v>
      </c>
    </row>
    <row r="1109" spans="1:24">
      <c r="A1109" s="548">
        <v>46024</v>
      </c>
      <c r="B1109" s="125">
        <v>202600613</v>
      </c>
      <c r="C1109" s="32" t="s">
        <v>2697</v>
      </c>
      <c r="D1109" s="139">
        <v>-5176.5</v>
      </c>
      <c r="E1109" s="120">
        <v>1</v>
      </c>
      <c r="F1109" s="127">
        <f>Tabla5109[[#This Row],[Original Amount]]*Tabla5109[[#This Row],[ER to EUR]]</f>
        <v>-5176.5</v>
      </c>
      <c r="G1109" s="9" t="s">
        <v>3683</v>
      </c>
      <c r="H1109" s="9" t="s">
        <v>4131</v>
      </c>
      <c r="I1109" s="9" t="s">
        <v>2727</v>
      </c>
      <c r="J1109" s="9" t="s">
        <v>2714</v>
      </c>
      <c r="K1109" s="205" t="s">
        <v>3510</v>
      </c>
      <c r="L1109" s="9" t="s">
        <v>2799</v>
      </c>
      <c r="M1109" s="32" t="s">
        <v>125</v>
      </c>
      <c r="N1109" s="129" t="s">
        <v>2704</v>
      </c>
      <c r="O1109" s="129" t="s">
        <v>2704</v>
      </c>
      <c r="P1109" s="123" t="str">
        <f>"C"&amp;INT((MONTH(A1109)-1)/4)+1&amp;"-"&amp;YEAR(A1109)</f>
        <v>C1-2026</v>
      </c>
      <c r="Q1109" s="124" t="str">
        <f>"T"&amp;INT((MONTH(A1109)-1)/3)+1&amp;"-"&amp;YEAR(A1109)</f>
        <v>T1-2026</v>
      </c>
      <c r="R1109" s="124" t="s">
        <v>2705</v>
      </c>
      <c r="S1109" s="124" t="s">
        <v>2706</v>
      </c>
      <c r="T1109" s="124" t="s">
        <v>2724</v>
      </c>
      <c r="U1109" s="9" t="s">
        <v>2708</v>
      </c>
      <c r="V1109" s="205" t="s">
        <v>56</v>
      </c>
      <c r="W1109" s="122" t="s">
        <v>125</v>
      </c>
      <c r="X1109" s="123" t="s">
        <v>2709</v>
      </c>
    </row>
    <row r="1110" spans="1:24">
      <c r="A1110" s="548">
        <v>46024</v>
      </c>
      <c r="B1110" s="130" t="s">
        <v>4132</v>
      </c>
      <c r="C1110" s="32" t="s">
        <v>2548</v>
      </c>
      <c r="D1110" s="151">
        <v>-30.88</v>
      </c>
      <c r="E1110" s="221">
        <v>0.85128099999999995</v>
      </c>
      <c r="F1110" s="127">
        <f>Tabla5109[[#This Row],[Original Amount]]*Tabla5109[[#This Row],[ER to EUR]]</f>
        <v>-26.287557279999998</v>
      </c>
      <c r="G1110" s="9" t="s">
        <v>2786</v>
      </c>
      <c r="H1110" s="9" t="s">
        <v>4133</v>
      </c>
      <c r="I1110" s="9" t="s">
        <v>4072</v>
      </c>
      <c r="J1110" s="9" t="s">
        <v>2701</v>
      </c>
      <c r="K1110" s="205" t="s">
        <v>2702</v>
      </c>
      <c r="L1110" s="9" t="s">
        <v>2788</v>
      </c>
      <c r="M1110" s="32" t="s">
        <v>125</v>
      </c>
      <c r="N1110" s="122" t="s">
        <v>2704</v>
      </c>
      <c r="O1110" s="129" t="s">
        <v>2704</v>
      </c>
      <c r="P1110" s="123" t="str">
        <f>"C"&amp;INT((MONTH(A1110)-1)/4)+1&amp;"-"&amp;YEAR(A1110)</f>
        <v>C1-2026</v>
      </c>
      <c r="Q1110" s="124" t="str">
        <f>"T"&amp;INT((MONTH(A1110)-1)/3)+1&amp;"-"&amp;YEAR(A1110)</f>
        <v>T1-2026</v>
      </c>
      <c r="R1110" s="124" t="s">
        <v>2705</v>
      </c>
      <c r="S1110" s="124" t="s">
        <v>2706</v>
      </c>
      <c r="T1110" s="124" t="s">
        <v>2724</v>
      </c>
      <c r="U1110" s="9" t="s">
        <v>2708</v>
      </c>
      <c r="V1110" s="205" t="s">
        <v>56</v>
      </c>
      <c r="W1110" s="122" t="s">
        <v>125</v>
      </c>
      <c r="X1110" s="123" t="s">
        <v>2709</v>
      </c>
    </row>
    <row r="1111" spans="1:24">
      <c r="A1111" s="548">
        <v>46025</v>
      </c>
      <c r="B1111" s="125">
        <v>16719341</v>
      </c>
      <c r="C1111" s="32" t="s">
        <v>2548</v>
      </c>
      <c r="D1111" s="151">
        <v>-180</v>
      </c>
      <c r="E1111" s="181">
        <v>0.85128099999999995</v>
      </c>
      <c r="F1111" s="127">
        <f>Tabla5109[[#This Row],[Original Amount]]*Tabla5109[[#This Row],[ER to EUR]]</f>
        <v>-153.23058</v>
      </c>
      <c r="G1111" s="9" t="s">
        <v>2737</v>
      </c>
      <c r="H1111" s="9" t="s">
        <v>3851</v>
      </c>
      <c r="I1111" s="9" t="s">
        <v>2755</v>
      </c>
      <c r="J1111" s="9" t="s">
        <v>2701</v>
      </c>
      <c r="K1111" s="205" t="s">
        <v>2702</v>
      </c>
      <c r="L1111" s="9" t="s">
        <v>2740</v>
      </c>
      <c r="M1111" s="32" t="s">
        <v>125</v>
      </c>
      <c r="N1111" s="129" t="s">
        <v>2704</v>
      </c>
      <c r="O1111" s="129" t="s">
        <v>2704</v>
      </c>
      <c r="P1111" s="123" t="str">
        <f>"C"&amp;INT((MONTH(A1111)-1)/4)+1&amp;"-"&amp;YEAR(A1111)</f>
        <v>C1-2026</v>
      </c>
      <c r="Q1111" s="124" t="str">
        <f>"T"&amp;INT((MONTH(A1111)-1)/3)+1&amp;"-"&amp;YEAR(A1111)</f>
        <v>T1-2026</v>
      </c>
      <c r="R1111" s="124" t="s">
        <v>2741</v>
      </c>
      <c r="S1111" s="124" t="s">
        <v>2723</v>
      </c>
      <c r="T1111" s="124" t="s">
        <v>2724</v>
      </c>
      <c r="U1111" s="9" t="s">
        <v>2708</v>
      </c>
      <c r="V1111" s="205" t="s">
        <v>54</v>
      </c>
      <c r="W1111" s="122" t="s">
        <v>125</v>
      </c>
      <c r="X1111" s="124" t="s">
        <v>2709</v>
      </c>
    </row>
    <row r="1112" spans="1:24">
      <c r="A1112" s="548">
        <v>46025</v>
      </c>
      <c r="B1112" s="133" t="s">
        <v>4134</v>
      </c>
      <c r="C1112" s="32" t="s">
        <v>2697</v>
      </c>
      <c r="D1112" s="126">
        <v>-23.99</v>
      </c>
      <c r="E1112" s="120">
        <v>1</v>
      </c>
      <c r="F1112" s="127">
        <f>Tabla5109[[#This Row],[Original Amount]]*Tabla5109[[#This Row],[ER to EUR]]</f>
        <v>-23.99</v>
      </c>
      <c r="G1112" s="9" t="s">
        <v>3462</v>
      </c>
      <c r="H1112" s="9" t="s">
        <v>3463</v>
      </c>
      <c r="I1112" s="9" t="s">
        <v>6008</v>
      </c>
      <c r="J1112" s="9" t="s">
        <v>2701</v>
      </c>
      <c r="K1112" s="205" t="s">
        <v>2702</v>
      </c>
      <c r="L1112" s="9" t="s">
        <v>2793</v>
      </c>
      <c r="M1112" s="32" t="s">
        <v>125</v>
      </c>
      <c r="N1112" s="129" t="s">
        <v>2704</v>
      </c>
      <c r="O1112" s="122" t="s">
        <v>2704</v>
      </c>
      <c r="P1112" s="123" t="str">
        <f>"C"&amp;INT((MONTH(A1112)-1)/4)+1&amp;"-"&amp;YEAR(A1112)</f>
        <v>C1-2026</v>
      </c>
      <c r="Q1112" s="124" t="str">
        <f>"T"&amp;INT((MONTH(A1112)-1)/3)+1&amp;"-"&amp;YEAR(A1112)</f>
        <v>T1-2026</v>
      </c>
      <c r="R1112" s="124" t="s">
        <v>2741</v>
      </c>
      <c r="S1112" s="123" t="s">
        <v>2723</v>
      </c>
      <c r="T1112" s="124" t="s">
        <v>2724</v>
      </c>
      <c r="U1112" s="9" t="s">
        <v>2708</v>
      </c>
      <c r="V1112" s="205" t="s">
        <v>54</v>
      </c>
      <c r="W1112" s="122" t="s">
        <v>125</v>
      </c>
      <c r="X1112" s="124" t="s">
        <v>2709</v>
      </c>
    </row>
    <row r="1113" spans="1:24">
      <c r="A1113" s="548">
        <v>46026</v>
      </c>
      <c r="B1113" s="133" t="s">
        <v>4139</v>
      </c>
      <c r="C1113" s="32" t="s">
        <v>2548</v>
      </c>
      <c r="D1113" s="151">
        <v>-1140</v>
      </c>
      <c r="E1113" s="181">
        <v>0.85128099999999995</v>
      </c>
      <c r="F1113" s="127">
        <f>Tabla5109[[#This Row],[Original Amount]]*Tabla5109[[#This Row],[ER to EUR]]</f>
        <v>-970.46033999999997</v>
      </c>
      <c r="G1113" s="9" t="s">
        <v>4140</v>
      </c>
      <c r="H1113" s="9" t="s">
        <v>4141</v>
      </c>
      <c r="I1113" s="9" t="s">
        <v>2713</v>
      </c>
      <c r="J1113" s="9" t="s">
        <v>2714</v>
      </c>
      <c r="K1113" s="205" t="s">
        <v>2747</v>
      </c>
      <c r="L1113" s="211" t="s">
        <v>2864</v>
      </c>
      <c r="M1113" s="227" t="s">
        <v>125</v>
      </c>
      <c r="N1113" s="122" t="s">
        <v>2704</v>
      </c>
      <c r="O1113" s="129" t="s">
        <v>2704</v>
      </c>
      <c r="P1113" s="123" t="str">
        <f>"C"&amp;INT((MONTH(A1113)-1)/4)+1&amp;"-"&amp;YEAR(A1113)</f>
        <v>C1-2026</v>
      </c>
      <c r="Q1113" s="124" t="str">
        <f>"T"&amp;INT((MONTH(A1113)-1)/3)+1&amp;"-"&amp;YEAR(A1113)</f>
        <v>T1-2026</v>
      </c>
      <c r="R1113" s="91" t="s">
        <v>2705</v>
      </c>
      <c r="S1113" s="124" t="s">
        <v>2706</v>
      </c>
      <c r="T1113" s="124" t="s">
        <v>2717</v>
      </c>
      <c r="U1113" s="9" t="s">
        <v>2708</v>
      </c>
      <c r="V1113" s="205" t="s">
        <v>56</v>
      </c>
      <c r="W1113" s="122" t="s">
        <v>125</v>
      </c>
      <c r="X1113" s="124" t="s">
        <v>2709</v>
      </c>
    </row>
    <row r="1114" spans="1:24">
      <c r="A1114" s="548">
        <v>46026</v>
      </c>
      <c r="B1114" s="133" t="s">
        <v>4135</v>
      </c>
      <c r="C1114" s="32" t="s">
        <v>2548</v>
      </c>
      <c r="D1114" s="151">
        <v>-87</v>
      </c>
      <c r="E1114" s="181">
        <v>0.85128099999999995</v>
      </c>
      <c r="F1114" s="127">
        <f>Tabla5109[[#This Row],[Original Amount]]*Tabla5109[[#This Row],[ER to EUR]]</f>
        <v>-74.061447000000001</v>
      </c>
      <c r="G1114" s="9" t="s">
        <v>4136</v>
      </c>
      <c r="H1114" s="9" t="s">
        <v>4137</v>
      </c>
      <c r="I1114" s="9" t="s">
        <v>2713</v>
      </c>
      <c r="J1114" s="9" t="s">
        <v>2701</v>
      </c>
      <c r="K1114" s="205" t="s">
        <v>2702</v>
      </c>
      <c r="L1114" s="211" t="s">
        <v>4138</v>
      </c>
      <c r="M1114" s="32" t="s">
        <v>125</v>
      </c>
      <c r="N1114" s="122" t="s">
        <v>2704</v>
      </c>
      <c r="O1114" s="129" t="s">
        <v>2704</v>
      </c>
      <c r="P1114" s="123" t="str">
        <f>"C"&amp;INT((MONTH(A1114)-1)/4)+1&amp;"-"&amp;YEAR(A1114)</f>
        <v>C1-2026</v>
      </c>
      <c r="Q1114" s="124" t="str">
        <f>"T"&amp;INT((MONTH(A1114)-1)/3)+1&amp;"-"&amp;YEAR(A1114)</f>
        <v>T1-2026</v>
      </c>
      <c r="R1114" s="91" t="s">
        <v>2705</v>
      </c>
      <c r="S1114" s="124" t="s">
        <v>4206</v>
      </c>
      <c r="T1114" s="124" t="s">
        <v>2724</v>
      </c>
      <c r="U1114" s="9" t="s">
        <v>2708</v>
      </c>
      <c r="V1114" s="205" t="s">
        <v>55</v>
      </c>
      <c r="W1114" s="122" t="s">
        <v>125</v>
      </c>
      <c r="X1114" s="124" t="s">
        <v>2709</v>
      </c>
    </row>
    <row r="1115" spans="1:24">
      <c r="A1115" s="548">
        <v>46027</v>
      </c>
      <c r="B1115" s="130" t="s">
        <v>4142</v>
      </c>
      <c r="C1115" s="32" t="s">
        <v>2548</v>
      </c>
      <c r="D1115" s="151">
        <v>-25</v>
      </c>
      <c r="E1115" s="221">
        <v>0.85128099999999995</v>
      </c>
      <c r="F1115" s="127">
        <f>Tabla5109[[#This Row],[Original Amount]]*Tabla5109[[#This Row],[ER to EUR]]</f>
        <v>-21.282024999999997</v>
      </c>
      <c r="G1115" s="9" t="s">
        <v>3068</v>
      </c>
      <c r="H1115" s="9" t="s">
        <v>3857</v>
      </c>
      <c r="I1115" s="9" t="s">
        <v>6008</v>
      </c>
      <c r="J1115" s="9" t="s">
        <v>2701</v>
      </c>
      <c r="K1115" s="205" t="s">
        <v>2702</v>
      </c>
      <c r="L1115" s="9" t="s">
        <v>2793</v>
      </c>
      <c r="M1115" s="32" t="s">
        <v>125</v>
      </c>
      <c r="N1115" s="129" t="s">
        <v>2704</v>
      </c>
      <c r="O1115" s="122" t="s">
        <v>2704</v>
      </c>
      <c r="P1115" s="123" t="str">
        <f>"C"&amp;INT((MONTH(A1115)-1)/4)+1&amp;"-"&amp;YEAR(A1115)</f>
        <v>C1-2026</v>
      </c>
      <c r="Q1115" s="124" t="str">
        <f>"T"&amp;INT((MONTH(A1115)-1)/3)+1&amp;"-"&amp;YEAR(A1115)</f>
        <v>T1-2026</v>
      </c>
      <c r="R1115" s="124" t="s">
        <v>2741</v>
      </c>
      <c r="S1115" s="123" t="s">
        <v>2723</v>
      </c>
      <c r="T1115" s="124" t="s">
        <v>2724</v>
      </c>
      <c r="U1115" s="9" t="s">
        <v>2708</v>
      </c>
      <c r="V1115" s="205" t="s">
        <v>54</v>
      </c>
      <c r="W1115" s="122" t="s">
        <v>125</v>
      </c>
      <c r="X1115" s="124" t="s">
        <v>2709</v>
      </c>
    </row>
    <row r="1116" spans="1:24">
      <c r="A1116" s="548">
        <v>46027</v>
      </c>
      <c r="B1116" s="133" t="s">
        <v>4143</v>
      </c>
      <c r="C1116" s="32" t="s">
        <v>2548</v>
      </c>
      <c r="D1116" s="151">
        <v>-99</v>
      </c>
      <c r="E1116" s="181">
        <v>0.85128099999999995</v>
      </c>
      <c r="F1116" s="127">
        <f>Tabla5109[[#This Row],[Original Amount]]*Tabla5109[[#This Row],[ER to EUR]]</f>
        <v>-84.276818999999989</v>
      </c>
      <c r="G1116" s="9" t="s">
        <v>4144</v>
      </c>
      <c r="H1116" s="9" t="s">
        <v>4145</v>
      </c>
      <c r="I1116" s="9" t="s">
        <v>2713</v>
      </c>
      <c r="J1116" s="9" t="s">
        <v>2701</v>
      </c>
      <c r="K1116" s="205" t="s">
        <v>2702</v>
      </c>
      <c r="L1116" s="211" t="s">
        <v>4138</v>
      </c>
      <c r="M1116" s="32" t="s">
        <v>125</v>
      </c>
      <c r="N1116" s="122" t="s">
        <v>2704</v>
      </c>
      <c r="O1116" s="129" t="s">
        <v>2704</v>
      </c>
      <c r="P1116" s="123" t="str">
        <f>"C"&amp;INT((MONTH(A1116)-1)/4)+1&amp;"-"&amp;YEAR(A1116)</f>
        <v>C1-2026</v>
      </c>
      <c r="Q1116" s="124" t="str">
        <f>"T"&amp;INT((MONTH(A1116)-1)/3)+1&amp;"-"&amp;YEAR(A1116)</f>
        <v>T1-2026</v>
      </c>
      <c r="R1116" s="91" t="s">
        <v>4205</v>
      </c>
      <c r="S1116" s="124" t="s">
        <v>4206</v>
      </c>
      <c r="T1116" s="124" t="s">
        <v>2724</v>
      </c>
      <c r="U1116" s="9" t="s">
        <v>2708</v>
      </c>
      <c r="V1116" s="205" t="s">
        <v>55</v>
      </c>
      <c r="W1116" s="122" t="s">
        <v>125</v>
      </c>
      <c r="X1116" s="124" t="s">
        <v>2709</v>
      </c>
    </row>
    <row r="1117" spans="1:24">
      <c r="A1117" s="548">
        <v>46027</v>
      </c>
      <c r="B1117" s="133" t="s">
        <v>4146</v>
      </c>
      <c r="C1117" s="32" t="s">
        <v>2697</v>
      </c>
      <c r="D1117" s="126">
        <v>-29.66</v>
      </c>
      <c r="E1117" s="120">
        <v>1</v>
      </c>
      <c r="F1117" s="127">
        <f>Tabla5109[[#This Row],[Original Amount]]*Tabla5109[[#This Row],[ER to EUR]]</f>
        <v>-29.66</v>
      </c>
      <c r="G1117" s="9" t="s">
        <v>2839</v>
      </c>
      <c r="H1117" s="9" t="s">
        <v>2840</v>
      </c>
      <c r="I1117" s="9" t="s">
        <v>2784</v>
      </c>
      <c r="J1117" s="9" t="s">
        <v>2701</v>
      </c>
      <c r="K1117" s="205" t="s">
        <v>2702</v>
      </c>
      <c r="L1117" s="9" t="s">
        <v>2703</v>
      </c>
      <c r="M1117" s="32" t="s">
        <v>125</v>
      </c>
      <c r="N1117" s="129" t="s">
        <v>2704</v>
      </c>
      <c r="O1117" s="122" t="s">
        <v>2704</v>
      </c>
      <c r="P1117" s="123" t="str">
        <f>"C"&amp;INT((MONTH(A1117)-1)/4)+1&amp;"-"&amp;YEAR(A1117)</f>
        <v>C1-2026</v>
      </c>
      <c r="Q1117" s="124" t="str">
        <f>"T"&amp;INT((MONTH(A1117)-1)/3)+1&amp;"-"&amp;YEAR(A1117)</f>
        <v>T1-2026</v>
      </c>
      <c r="R1117" s="124" t="s">
        <v>2705</v>
      </c>
      <c r="S1117" s="124" t="s">
        <v>2706</v>
      </c>
      <c r="T1117" s="124" t="s">
        <v>2707</v>
      </c>
      <c r="U1117" s="9" t="s">
        <v>2708</v>
      </c>
      <c r="V1117" s="205" t="s">
        <v>56</v>
      </c>
      <c r="W1117" s="122" t="s">
        <v>125</v>
      </c>
      <c r="X1117" s="124" t="s">
        <v>2709</v>
      </c>
    </row>
    <row r="1118" spans="1:24">
      <c r="A1118" s="548">
        <v>46028</v>
      </c>
      <c r="B1118" s="133" t="s">
        <v>4147</v>
      </c>
      <c r="C1118" s="32" t="s">
        <v>2548</v>
      </c>
      <c r="D1118" s="151">
        <v>-349</v>
      </c>
      <c r="E1118" s="181">
        <v>0.85128099999999995</v>
      </c>
      <c r="F1118" s="127">
        <f>Tabla5109[[#This Row],[Original Amount]]*Tabla5109[[#This Row],[ER to EUR]]</f>
        <v>-297.09706899999998</v>
      </c>
      <c r="G1118" s="9" t="s">
        <v>3864</v>
      </c>
      <c r="H1118" s="9" t="s">
        <v>4148</v>
      </c>
      <c r="I1118" s="9" t="s">
        <v>2755</v>
      </c>
      <c r="J1118" s="9" t="s">
        <v>2701</v>
      </c>
      <c r="K1118" s="205" t="s">
        <v>2702</v>
      </c>
      <c r="L1118" s="9" t="s">
        <v>2703</v>
      </c>
      <c r="M1118" s="32" t="s">
        <v>125</v>
      </c>
      <c r="N1118" s="129" t="s">
        <v>2704</v>
      </c>
      <c r="O1118" s="122" t="s">
        <v>2704</v>
      </c>
      <c r="P1118" s="123" t="str">
        <f>"C"&amp;INT((MONTH(A1118)-1)/4)+1&amp;"-"&amp;YEAR(A1118)</f>
        <v>C1-2026</v>
      </c>
      <c r="Q1118" s="124" t="str">
        <f>"T"&amp;INT((MONTH(A1118)-1)/3)+1&amp;"-"&amp;YEAR(A1118)</f>
        <v>T1-2026</v>
      </c>
      <c r="R1118" s="124" t="s">
        <v>2705</v>
      </c>
      <c r="S1118" s="124" t="s">
        <v>2706</v>
      </c>
      <c r="T1118" s="124" t="s">
        <v>2717</v>
      </c>
      <c r="U1118" s="9" t="s">
        <v>2708</v>
      </c>
      <c r="V1118" s="205" t="s">
        <v>56</v>
      </c>
      <c r="W1118" s="122" t="s">
        <v>125</v>
      </c>
      <c r="X1118" s="124" t="s">
        <v>2709</v>
      </c>
    </row>
    <row r="1119" spans="1:24">
      <c r="A1119" s="548">
        <v>46028</v>
      </c>
      <c r="B1119" s="133" t="s">
        <v>4149</v>
      </c>
      <c r="C1119" s="32" t="s">
        <v>2697</v>
      </c>
      <c r="D1119" s="126">
        <v>-145.6</v>
      </c>
      <c r="E1119" s="120">
        <v>1</v>
      </c>
      <c r="F1119" s="127">
        <f>Tabla5109[[#This Row],[Original Amount]]*Tabla5109[[#This Row],[ER to EUR]]</f>
        <v>-145.6</v>
      </c>
      <c r="G1119" s="9" t="s">
        <v>2839</v>
      </c>
      <c r="H1119" s="9" t="s">
        <v>2840</v>
      </c>
      <c r="I1119" s="9" t="s">
        <v>2784</v>
      </c>
      <c r="J1119" s="9" t="s">
        <v>2701</v>
      </c>
      <c r="K1119" s="205" t="s">
        <v>2702</v>
      </c>
      <c r="L1119" s="9" t="s">
        <v>2703</v>
      </c>
      <c r="M1119" s="32" t="s">
        <v>125</v>
      </c>
      <c r="N1119" s="129" t="s">
        <v>2704</v>
      </c>
      <c r="O1119" s="122" t="s">
        <v>2704</v>
      </c>
      <c r="P1119" s="123" t="str">
        <f>"C"&amp;INT((MONTH(A1119)-1)/4)+1&amp;"-"&amp;YEAR(A1119)</f>
        <v>C1-2026</v>
      </c>
      <c r="Q1119" s="124" t="str">
        <f>"T"&amp;INT((MONTH(A1119)-1)/3)+1&amp;"-"&amp;YEAR(A1119)</f>
        <v>T1-2026</v>
      </c>
      <c r="R1119" s="124" t="s">
        <v>2705</v>
      </c>
      <c r="S1119" s="124" t="s">
        <v>2706</v>
      </c>
      <c r="T1119" s="124" t="s">
        <v>2707</v>
      </c>
      <c r="U1119" s="9" t="s">
        <v>2708</v>
      </c>
      <c r="V1119" s="205" t="s">
        <v>56</v>
      </c>
      <c r="W1119" s="122" t="s">
        <v>125</v>
      </c>
      <c r="X1119" s="124" t="s">
        <v>2709</v>
      </c>
    </row>
    <row r="1120" spans="1:24">
      <c r="A1120" s="548">
        <v>46028</v>
      </c>
      <c r="B1120" s="133" t="s">
        <v>4150</v>
      </c>
      <c r="C1120" s="32" t="s">
        <v>2697</v>
      </c>
      <c r="D1120" s="126">
        <v>-48.55</v>
      </c>
      <c r="E1120" s="120">
        <v>1</v>
      </c>
      <c r="F1120" s="127">
        <f>Tabla5109[[#This Row],[Original Amount]]*Tabla5109[[#This Row],[ER to EUR]]</f>
        <v>-48.55</v>
      </c>
      <c r="G1120" s="9" t="s">
        <v>3859</v>
      </c>
      <c r="H1120" s="73" t="s">
        <v>3860</v>
      </c>
      <c r="I1120" s="9" t="s">
        <v>3861</v>
      </c>
      <c r="J1120" s="9" t="s">
        <v>2770</v>
      </c>
      <c r="K1120" s="205" t="s">
        <v>2702</v>
      </c>
      <c r="L1120" s="9" t="s">
        <v>2772</v>
      </c>
      <c r="M1120" s="32" t="s">
        <v>125</v>
      </c>
      <c r="N1120" s="129" t="s">
        <v>2748</v>
      </c>
      <c r="O1120" s="122" t="s">
        <v>2748</v>
      </c>
      <c r="P1120" s="123" t="str">
        <f>"C"&amp;INT((MONTH(A1120)-1)/4)+1&amp;"-"&amp;YEAR(A1120)</f>
        <v>C1-2026</v>
      </c>
      <c r="Q1120" s="124" t="str">
        <f>"T"&amp;INT((MONTH(A1120)-1)/3)+1&amp;"-"&amp;YEAR(A1120)</f>
        <v>T1-2026</v>
      </c>
      <c r="R1120" s="91" t="s">
        <v>2749</v>
      </c>
      <c r="S1120" s="124" t="s">
        <v>2750</v>
      </c>
      <c r="T1120" s="124" t="s">
        <v>2717</v>
      </c>
      <c r="U1120" s="9" t="s">
        <v>2708</v>
      </c>
      <c r="V1120" s="205" t="s">
        <v>56</v>
      </c>
      <c r="W1120" s="122" t="s">
        <v>125</v>
      </c>
      <c r="X1120" s="124" t="s">
        <v>2709</v>
      </c>
    </row>
    <row r="1121" spans="1:24">
      <c r="A1121" s="548">
        <v>46028</v>
      </c>
      <c r="B1121" s="133" t="s">
        <v>4151</v>
      </c>
      <c r="C1121" s="32" t="s">
        <v>2548</v>
      </c>
      <c r="D1121" s="151">
        <v>-69</v>
      </c>
      <c r="E1121" s="181">
        <v>0.85128099999999995</v>
      </c>
      <c r="F1121" s="127">
        <f>Tabla5109[[#This Row],[Original Amount]]*Tabla5109[[#This Row],[ER to EUR]]</f>
        <v>-58.738388999999998</v>
      </c>
      <c r="G1121" s="9" t="s">
        <v>2782</v>
      </c>
      <c r="H1121" s="73" t="s">
        <v>4152</v>
      </c>
      <c r="I1121" s="9" t="s">
        <v>2784</v>
      </c>
      <c r="J1121" s="9" t="s">
        <v>2714</v>
      </c>
      <c r="K1121" s="205" t="s">
        <v>2702</v>
      </c>
      <c r="L1121" s="9" t="s">
        <v>2716</v>
      </c>
      <c r="M1121" s="32" t="s">
        <v>125</v>
      </c>
      <c r="N1121" s="129" t="s">
        <v>2704</v>
      </c>
      <c r="O1121" s="122" t="s">
        <v>2704</v>
      </c>
      <c r="P1121" s="123" t="str">
        <f>"C"&amp;INT((MONTH(A1121)-1)/4)+1&amp;"-"&amp;YEAR(A1121)</f>
        <v>C1-2026</v>
      </c>
      <c r="Q1121" s="124" t="str">
        <f>"T"&amp;INT((MONTH(A1121)-1)/3)+1&amp;"-"&amp;YEAR(A1121)</f>
        <v>T1-2026</v>
      </c>
      <c r="R1121" s="124" t="s">
        <v>2705</v>
      </c>
      <c r="S1121" s="124" t="s">
        <v>2735</v>
      </c>
      <c r="T1121" s="124" t="s">
        <v>2724</v>
      </c>
      <c r="U1121" s="9" t="s">
        <v>2708</v>
      </c>
      <c r="V1121" s="205" t="s">
        <v>56</v>
      </c>
      <c r="W1121" s="122" t="s">
        <v>125</v>
      </c>
      <c r="X1121" s="124" t="s">
        <v>2709</v>
      </c>
    </row>
    <row r="1122" spans="1:24">
      <c r="A1122" s="548">
        <v>46028</v>
      </c>
      <c r="B1122" s="133" t="s">
        <v>4153</v>
      </c>
      <c r="C1122" s="32" t="s">
        <v>2697</v>
      </c>
      <c r="D1122" s="126">
        <v>-89</v>
      </c>
      <c r="E1122" s="120">
        <v>1</v>
      </c>
      <c r="F1122" s="127">
        <f>Tabla5109[[#This Row],[Original Amount]]*Tabla5109[[#This Row],[ER to EUR]]</f>
        <v>-89</v>
      </c>
      <c r="G1122" s="9" t="s">
        <v>3269</v>
      </c>
      <c r="H1122" s="9" t="s">
        <v>3270</v>
      </c>
      <c r="I1122" s="9" t="s">
        <v>2755</v>
      </c>
      <c r="J1122" s="9" t="s">
        <v>2701</v>
      </c>
      <c r="K1122" s="205" t="s">
        <v>2702</v>
      </c>
      <c r="L1122" s="9" t="s">
        <v>2703</v>
      </c>
      <c r="M1122" s="32" t="s">
        <v>125</v>
      </c>
      <c r="N1122" s="129" t="s">
        <v>2704</v>
      </c>
      <c r="O1122" s="122" t="s">
        <v>2704</v>
      </c>
      <c r="P1122" s="123" t="str">
        <f>"C"&amp;INT((MONTH(A1122)-1)/4)+1&amp;"-"&amp;YEAR(A1122)</f>
        <v>C1-2026</v>
      </c>
      <c r="Q1122" s="124" t="str">
        <f>"T"&amp;INT((MONTH(A1122)-1)/3)+1&amp;"-"&amp;YEAR(A1122)</f>
        <v>T1-2026</v>
      </c>
      <c r="R1122" s="124" t="s">
        <v>2741</v>
      </c>
      <c r="S1122" s="124" t="s">
        <v>2723</v>
      </c>
      <c r="T1122" s="124" t="s">
        <v>2724</v>
      </c>
      <c r="U1122" s="9" t="s">
        <v>2708</v>
      </c>
      <c r="V1122" s="205" t="s">
        <v>54</v>
      </c>
      <c r="W1122" s="122" t="s">
        <v>125</v>
      </c>
      <c r="X1122" s="124" t="s">
        <v>2709</v>
      </c>
    </row>
    <row r="1123" spans="1:24">
      <c r="A1123" s="548">
        <v>46028</v>
      </c>
      <c r="B1123" s="125">
        <v>781188632474</v>
      </c>
      <c r="C1123" s="32" t="s">
        <v>2697</v>
      </c>
      <c r="D1123" s="126">
        <v>-82.64</v>
      </c>
      <c r="E1123" s="120">
        <v>1</v>
      </c>
      <c r="F1123" s="127">
        <f>Tabla5109[[#This Row],[Original Amount]]*Tabla5109[[#This Row],[ER to EUR]]</f>
        <v>-82.64</v>
      </c>
      <c r="G1123" s="9" t="s">
        <v>2718</v>
      </c>
      <c r="H1123" s="9" t="s">
        <v>3924</v>
      </c>
      <c r="I1123" s="9" t="s">
        <v>2755</v>
      </c>
      <c r="J1123" s="9" t="s">
        <v>2714</v>
      </c>
      <c r="K1123" s="205" t="s">
        <v>2721</v>
      </c>
      <c r="L1123" s="9" t="s">
        <v>2716</v>
      </c>
      <c r="M1123" s="32" t="s">
        <v>125</v>
      </c>
      <c r="N1123" s="129" t="s">
        <v>2748</v>
      </c>
      <c r="O1123" s="122" t="s">
        <v>2748</v>
      </c>
      <c r="P1123" s="123" t="str">
        <f>"C"&amp;INT((MONTH(A1123)-1)/4)+1&amp;"-"&amp;YEAR(A1123)</f>
        <v>C1-2026</v>
      </c>
      <c r="Q1123" s="124" t="str">
        <f>"T"&amp;INT((MONTH(A1123)-1)/3)+1&amp;"-"&amp;YEAR(A1123)</f>
        <v>T1-2026</v>
      </c>
      <c r="R1123" s="124" t="s">
        <v>2722</v>
      </c>
      <c r="S1123" s="124" t="s">
        <v>2723</v>
      </c>
      <c r="T1123" s="124" t="s">
        <v>2724</v>
      </c>
      <c r="U1123" s="9" t="s">
        <v>2708</v>
      </c>
      <c r="V1123" s="205" t="s">
        <v>54</v>
      </c>
      <c r="W1123" s="122" t="s">
        <v>125</v>
      </c>
      <c r="X1123" s="124" t="s">
        <v>2709</v>
      </c>
    </row>
    <row r="1124" spans="1:24">
      <c r="A1124" s="548">
        <v>46028</v>
      </c>
      <c r="B1124" s="144">
        <v>12026</v>
      </c>
      <c r="C1124" s="32" t="s">
        <v>2697</v>
      </c>
      <c r="D1124" s="126">
        <v>-2000</v>
      </c>
      <c r="E1124" s="120">
        <v>1</v>
      </c>
      <c r="F1124" s="127">
        <f>Tabla5109[[#This Row],[Original Amount]]*Tabla5109[[#This Row],[ER to EUR]]</f>
        <v>-2000</v>
      </c>
      <c r="G1124" s="9" t="s">
        <v>3694</v>
      </c>
      <c r="H1124" s="9" t="s">
        <v>3695</v>
      </c>
      <c r="I1124" s="9" t="s">
        <v>2727</v>
      </c>
      <c r="J1124" s="9" t="s">
        <v>2714</v>
      </c>
      <c r="K1124" s="205" t="s">
        <v>2747</v>
      </c>
      <c r="L1124" s="9" t="s">
        <v>2716</v>
      </c>
      <c r="M1124" s="32" t="s">
        <v>125</v>
      </c>
      <c r="N1124" s="122" t="s">
        <v>2704</v>
      </c>
      <c r="O1124" s="129" t="s">
        <v>2704</v>
      </c>
      <c r="P1124" s="123" t="str">
        <f>"C"&amp;INT((MONTH(A1124)-1)/4)+1&amp;"-"&amp;YEAR(A1124)</f>
        <v>C1-2026</v>
      </c>
      <c r="Q1124" s="124" t="str">
        <f>"T"&amp;INT((MONTH(A1124)-1)/3)+1&amp;"-"&amp;YEAR(A1124)</f>
        <v>T1-2026</v>
      </c>
      <c r="R1124" s="91" t="s">
        <v>2705</v>
      </c>
      <c r="S1124" s="124" t="s">
        <v>2706</v>
      </c>
      <c r="T1124" s="124" t="s">
        <v>2724</v>
      </c>
      <c r="U1124" s="9" t="s">
        <v>51</v>
      </c>
      <c r="V1124" s="205" t="s">
        <v>57</v>
      </c>
      <c r="W1124" s="122" t="s">
        <v>125</v>
      </c>
      <c r="X1124" s="124" t="s">
        <v>2709</v>
      </c>
    </row>
    <row r="1125" spans="1:24">
      <c r="A1125" s="548">
        <v>46029</v>
      </c>
      <c r="B1125" s="133" t="s">
        <v>4154</v>
      </c>
      <c r="C1125" s="32" t="s">
        <v>2697</v>
      </c>
      <c r="D1125" s="126">
        <v>-272.32</v>
      </c>
      <c r="E1125" s="120">
        <v>1</v>
      </c>
      <c r="F1125" s="127">
        <f>Tabla5109[[#This Row],[Original Amount]]*Tabla5109[[#This Row],[ER to EUR]]</f>
        <v>-272.32</v>
      </c>
      <c r="G1125" s="9" t="s">
        <v>3873</v>
      </c>
      <c r="H1125" s="9" t="s">
        <v>3963</v>
      </c>
      <c r="I1125" s="9" t="s">
        <v>2755</v>
      </c>
      <c r="J1125" s="9" t="s">
        <v>2701</v>
      </c>
      <c r="K1125" s="205" t="s">
        <v>2702</v>
      </c>
      <c r="L1125" s="9" t="s">
        <v>2740</v>
      </c>
      <c r="M1125" s="32" t="s">
        <v>125</v>
      </c>
      <c r="N1125" s="129" t="s">
        <v>2704</v>
      </c>
      <c r="O1125" s="122" t="s">
        <v>2704</v>
      </c>
      <c r="P1125" s="123" t="str">
        <f>"C"&amp;INT((MONTH(A1125)-1)/4)+1&amp;"-"&amp;YEAR(A1125)</f>
        <v>C1-2026</v>
      </c>
      <c r="Q1125" s="124" t="str">
        <f>"T"&amp;INT((MONTH(A1125)-1)/3)+1&amp;"-"&amp;YEAR(A1125)</f>
        <v>T1-2026</v>
      </c>
      <c r="R1125" s="124" t="s">
        <v>2705</v>
      </c>
      <c r="S1125" s="124" t="s">
        <v>2706</v>
      </c>
      <c r="T1125" s="124" t="s">
        <v>2724</v>
      </c>
      <c r="U1125" s="9" t="s">
        <v>2708</v>
      </c>
      <c r="V1125" s="205" t="s">
        <v>56</v>
      </c>
      <c r="W1125" s="122" t="s">
        <v>125</v>
      </c>
      <c r="X1125" s="124" t="s">
        <v>2709</v>
      </c>
    </row>
    <row r="1126" spans="1:24">
      <c r="A1126" s="548">
        <v>46029</v>
      </c>
      <c r="B1126" s="134">
        <v>16276</v>
      </c>
      <c r="C1126" s="32" t="s">
        <v>2697</v>
      </c>
      <c r="D1126" s="126">
        <v>-3000</v>
      </c>
      <c r="E1126" s="120">
        <v>1</v>
      </c>
      <c r="F1126" s="127">
        <f>Tabla5109[[#This Row],[Original Amount]]*Tabla5109[[#This Row],[ER to EUR]]</f>
        <v>-3000</v>
      </c>
      <c r="G1126" s="9" t="s">
        <v>2725</v>
      </c>
      <c r="H1126" s="9" t="s">
        <v>3389</v>
      </c>
      <c r="I1126" s="9" t="s">
        <v>2727</v>
      </c>
      <c r="J1126" s="9" t="s">
        <v>2701</v>
      </c>
      <c r="K1126" s="205" t="s">
        <v>2702</v>
      </c>
      <c r="L1126" s="9" t="s">
        <v>2729</v>
      </c>
      <c r="M1126" s="32" t="s">
        <v>125</v>
      </c>
      <c r="N1126" s="129" t="s">
        <v>2704</v>
      </c>
      <c r="O1126" s="129" t="s">
        <v>2704</v>
      </c>
      <c r="P1126" s="123" t="str">
        <f>"C"&amp;INT((MONTH(A1126)-1)/4)+1&amp;"-"&amp;YEAR(A1126)</f>
        <v>C1-2026</v>
      </c>
      <c r="Q1126" s="124" t="str">
        <f>"T"&amp;INT((MONTH(A1126)-1)/3)+1&amp;"-"&amp;YEAR(A1126)</f>
        <v>T1-2026</v>
      </c>
      <c r="R1126" s="124" t="s">
        <v>2730</v>
      </c>
      <c r="S1126" s="124" t="s">
        <v>2731</v>
      </c>
      <c r="T1126" s="124" t="s">
        <v>2707</v>
      </c>
      <c r="U1126" s="9" t="s">
        <v>51</v>
      </c>
      <c r="V1126" s="205" t="s">
        <v>57</v>
      </c>
      <c r="W1126" s="122" t="s">
        <v>125</v>
      </c>
      <c r="X1126" s="124" t="s">
        <v>2709</v>
      </c>
    </row>
    <row r="1127" spans="1:24">
      <c r="A1127" s="548">
        <v>46029</v>
      </c>
      <c r="B1127" s="134" t="s">
        <v>4449</v>
      </c>
      <c r="C1127" s="32" t="s">
        <v>2697</v>
      </c>
      <c r="D1127" s="126">
        <v>-37.61</v>
      </c>
      <c r="E1127" s="120">
        <v>1</v>
      </c>
      <c r="F1127" s="127">
        <f>Tabla5109[[#This Row],[Original Amount]]*Tabla5109[[#This Row],[ER to EUR]]</f>
        <v>-37.61</v>
      </c>
      <c r="G1127" s="9" t="s">
        <v>2698</v>
      </c>
      <c r="H1127" s="9" t="s">
        <v>4155</v>
      </c>
      <c r="I1127" s="9" t="s">
        <v>3836</v>
      </c>
      <c r="J1127" s="9" t="s">
        <v>2701</v>
      </c>
      <c r="K1127" s="205" t="s">
        <v>2702</v>
      </c>
      <c r="L1127" s="9" t="s">
        <v>2703</v>
      </c>
      <c r="M1127" s="32" t="s">
        <v>125</v>
      </c>
      <c r="N1127" s="122" t="s">
        <v>2704</v>
      </c>
      <c r="O1127" s="129" t="s">
        <v>2704</v>
      </c>
      <c r="P1127" s="123" t="str">
        <f>"C"&amp;INT((MONTH(A1127)-1)/4)+1&amp;"-"&amp;YEAR(A1127)</f>
        <v>C1-2026</v>
      </c>
      <c r="Q1127" s="124" t="str">
        <f>"T"&amp;INT((MONTH(A1127)-1)/3)+1&amp;"-"&amp;YEAR(A1127)</f>
        <v>T1-2026</v>
      </c>
      <c r="R1127" s="124" t="s">
        <v>2741</v>
      </c>
      <c r="S1127" s="124" t="s">
        <v>2723</v>
      </c>
      <c r="T1127" s="124" t="s">
        <v>2707</v>
      </c>
      <c r="U1127" s="9" t="s">
        <v>2708</v>
      </c>
      <c r="V1127" s="205" t="s">
        <v>54</v>
      </c>
      <c r="W1127" s="122" t="s">
        <v>125</v>
      </c>
      <c r="X1127" s="124" t="s">
        <v>2709</v>
      </c>
    </row>
    <row r="1128" spans="1:24">
      <c r="A1128" s="548">
        <v>46029</v>
      </c>
      <c r="B1128" s="134">
        <v>57</v>
      </c>
      <c r="C1128" s="32" t="s">
        <v>2543</v>
      </c>
      <c r="D1128" s="147">
        <v>-1747750</v>
      </c>
      <c r="E1128" s="120">
        <v>9.4499999999999998E-4</v>
      </c>
      <c r="F1128" s="127">
        <f>Tabla5109[[#This Row],[Original Amount]]*Tabla5109[[#This Row],[ER to EUR]]</f>
        <v>-1651.62375</v>
      </c>
      <c r="G1128" s="9" t="s">
        <v>3566</v>
      </c>
      <c r="H1128" s="9" t="s">
        <v>4156</v>
      </c>
      <c r="I1128" s="9" t="s">
        <v>2713</v>
      </c>
      <c r="J1128" s="9" t="s">
        <v>2714</v>
      </c>
      <c r="K1128" s="205" t="s">
        <v>2747</v>
      </c>
      <c r="L1128" s="9" t="s">
        <v>2864</v>
      </c>
      <c r="M1128" s="226" t="s">
        <v>2748</v>
      </c>
      <c r="N1128" s="129" t="s">
        <v>2704</v>
      </c>
      <c r="O1128" s="122" t="s">
        <v>2704</v>
      </c>
      <c r="P1128" s="123" t="str">
        <f>"C"&amp;INT((MONTH(A1128)-1)/4)+1&amp;"-"&amp;YEAR(A1128)</f>
        <v>C1-2026</v>
      </c>
      <c r="Q1128" s="124" t="str">
        <f>"T"&amp;INT((MONTH(A1128)-1)/3)+1&amp;"-"&amp;YEAR(A1128)</f>
        <v>T1-2026</v>
      </c>
      <c r="R1128" s="124" t="s">
        <v>2705</v>
      </c>
      <c r="S1128" s="124" t="s">
        <v>2706</v>
      </c>
      <c r="T1128" s="124" t="s">
        <v>2707</v>
      </c>
      <c r="U1128" s="9" t="s">
        <v>51</v>
      </c>
      <c r="V1128" s="205" t="s">
        <v>57</v>
      </c>
      <c r="W1128" s="122" t="s">
        <v>125</v>
      </c>
      <c r="X1128" s="124" t="s">
        <v>2709</v>
      </c>
    </row>
    <row r="1129" spans="1:24">
      <c r="A1129" s="548">
        <v>46030</v>
      </c>
      <c r="B1129" s="134">
        <v>702757483</v>
      </c>
      <c r="C1129" s="32" t="s">
        <v>2697</v>
      </c>
      <c r="D1129" s="126">
        <v>-35.74</v>
      </c>
      <c r="E1129" s="120">
        <v>1</v>
      </c>
      <c r="F1129" s="127">
        <f>Tabla5109[[#This Row],[Original Amount]]*Tabla5109[[#This Row],[ER to EUR]]</f>
        <v>-35.74</v>
      </c>
      <c r="G1129" s="9" t="s">
        <v>2698</v>
      </c>
      <c r="H1129" s="9" t="s">
        <v>4158</v>
      </c>
      <c r="I1129" s="9" t="s">
        <v>3836</v>
      </c>
      <c r="J1129" s="9" t="s">
        <v>2701</v>
      </c>
      <c r="K1129" s="205" t="s">
        <v>2702</v>
      </c>
      <c r="L1129" s="9" t="s">
        <v>2703</v>
      </c>
      <c r="M1129" s="32" t="s">
        <v>125</v>
      </c>
      <c r="N1129" s="122" t="s">
        <v>2704</v>
      </c>
      <c r="O1129" s="129" t="s">
        <v>2704</v>
      </c>
      <c r="P1129" s="123" t="str">
        <f>"C"&amp;INT((MONTH(A1129)-1)/4)+1&amp;"-"&amp;YEAR(A1129)</f>
        <v>C1-2026</v>
      </c>
      <c r="Q1129" s="124" t="str">
        <f>"T"&amp;INT((MONTH(A1129)-1)/3)+1&amp;"-"&amp;YEAR(A1129)</f>
        <v>T1-2026</v>
      </c>
      <c r="R1129" s="124" t="s">
        <v>2741</v>
      </c>
      <c r="S1129" s="124" t="s">
        <v>2723</v>
      </c>
      <c r="T1129" s="124" t="s">
        <v>2707</v>
      </c>
      <c r="U1129" s="9" t="s">
        <v>2708</v>
      </c>
      <c r="V1129" s="205" t="s">
        <v>54</v>
      </c>
      <c r="W1129" s="122" t="s">
        <v>125</v>
      </c>
      <c r="X1129" s="124" t="s">
        <v>2709</v>
      </c>
    </row>
    <row r="1130" spans="1:24">
      <c r="A1130" s="548">
        <v>46030</v>
      </c>
      <c r="B1130" s="134" t="s">
        <v>4159</v>
      </c>
      <c r="C1130" s="32" t="s">
        <v>2697</v>
      </c>
      <c r="D1130" s="126">
        <v>-49.99</v>
      </c>
      <c r="E1130" s="120">
        <v>1</v>
      </c>
      <c r="F1130" s="127">
        <f>Tabla5109[[#This Row],[Original Amount]]*Tabla5109[[#This Row],[ER to EUR]]</f>
        <v>-49.99</v>
      </c>
      <c r="G1130" s="9" t="s">
        <v>2830</v>
      </c>
      <c r="H1130" s="9" t="s">
        <v>4160</v>
      </c>
      <c r="I1130" s="91" t="s">
        <v>2784</v>
      </c>
      <c r="J1130" s="9" t="s">
        <v>2817</v>
      </c>
      <c r="K1130" s="205" t="s">
        <v>2702</v>
      </c>
      <c r="L1130" s="9" t="s">
        <v>2818</v>
      </c>
      <c r="M1130" s="32" t="s">
        <v>125</v>
      </c>
      <c r="N1130" s="122" t="s">
        <v>2704</v>
      </c>
      <c r="O1130" s="129" t="s">
        <v>2704</v>
      </c>
      <c r="P1130" s="123" t="str">
        <f>"C"&amp;INT((MONTH(A1130)-1)/4)+1&amp;"-"&amp;YEAR(A1130)</f>
        <v>C1-2026</v>
      </c>
      <c r="Q1130" s="124" t="str">
        <f>"T"&amp;INT((MONTH(A1130)-1)/3)+1&amp;"-"&amp;YEAR(A1130)</f>
        <v>T1-2026</v>
      </c>
      <c r="R1130" s="124" t="s">
        <v>2722</v>
      </c>
      <c r="S1130" s="124" t="s">
        <v>2723</v>
      </c>
      <c r="T1130" s="124" t="s">
        <v>2724</v>
      </c>
      <c r="U1130" s="9" t="s">
        <v>2708</v>
      </c>
      <c r="V1130" s="205" t="s">
        <v>54</v>
      </c>
      <c r="W1130" s="122" t="s">
        <v>125</v>
      </c>
      <c r="X1130" s="124" t="s">
        <v>2709</v>
      </c>
    </row>
    <row r="1131" spans="1:24">
      <c r="A1131" s="548">
        <v>46030</v>
      </c>
      <c r="B1131" s="134" t="s">
        <v>4157</v>
      </c>
      <c r="C1131" s="32" t="s">
        <v>2697</v>
      </c>
      <c r="D1131" s="126">
        <v>-236.81</v>
      </c>
      <c r="E1131" s="120">
        <v>1</v>
      </c>
      <c r="F1131" s="127">
        <f>Tabla5109[[#This Row],[Original Amount]]*Tabla5109[[#This Row],[ER to EUR]]</f>
        <v>-236.81</v>
      </c>
      <c r="G1131" s="9" t="s">
        <v>3884</v>
      </c>
      <c r="H1131" s="9" t="s">
        <v>3885</v>
      </c>
      <c r="I1131" s="9" t="s">
        <v>3692</v>
      </c>
      <c r="J1131" s="9" t="s">
        <v>2701</v>
      </c>
      <c r="K1131" s="205" t="s">
        <v>2702</v>
      </c>
      <c r="L1131" s="9" t="s">
        <v>2703</v>
      </c>
      <c r="M1131" s="32" t="s">
        <v>125</v>
      </c>
      <c r="N1131" s="129" t="s">
        <v>2704</v>
      </c>
      <c r="O1131" s="122" t="s">
        <v>2704</v>
      </c>
      <c r="P1131" s="123" t="str">
        <f>"C"&amp;INT((MONTH(A1131)-1)/4)+1&amp;"-"&amp;YEAR(A1131)</f>
        <v>C1-2026</v>
      </c>
      <c r="Q1131" s="124" t="str">
        <f>"T"&amp;INT((MONTH(A1131)-1)/3)+1&amp;"-"&amp;YEAR(A1131)</f>
        <v>T1-2026</v>
      </c>
      <c r="R1131" s="124" t="s">
        <v>2741</v>
      </c>
      <c r="S1131" s="124" t="s">
        <v>2723</v>
      </c>
      <c r="T1131" s="124" t="s">
        <v>2724</v>
      </c>
      <c r="U1131" s="9" t="s">
        <v>2708</v>
      </c>
      <c r="V1131" s="205" t="s">
        <v>54</v>
      </c>
      <c r="W1131" s="122" t="s">
        <v>125</v>
      </c>
      <c r="X1131" s="124" t="s">
        <v>2709</v>
      </c>
    </row>
    <row r="1132" spans="1:24">
      <c r="A1132" s="548">
        <v>46031</v>
      </c>
      <c r="B1132" s="134" t="s">
        <v>4161</v>
      </c>
      <c r="C1132" s="32" t="s">
        <v>2697</v>
      </c>
      <c r="D1132" s="126">
        <v>-213.01</v>
      </c>
      <c r="E1132" s="120">
        <v>1</v>
      </c>
      <c r="F1132" s="127">
        <f>Tabla5109[[#This Row],[Original Amount]]*Tabla5109[[#This Row],[ER to EUR]]</f>
        <v>-213.01</v>
      </c>
      <c r="G1132" s="9" t="s">
        <v>4067</v>
      </c>
      <c r="H1132" s="9" t="s">
        <v>4162</v>
      </c>
      <c r="I1132" s="9" t="s">
        <v>2784</v>
      </c>
      <c r="J1132" s="9" t="s">
        <v>2701</v>
      </c>
      <c r="K1132" s="205" t="s">
        <v>2702</v>
      </c>
      <c r="L1132" s="211" t="s">
        <v>3494</v>
      </c>
      <c r="M1132" s="32" t="s">
        <v>125</v>
      </c>
      <c r="N1132" s="122" t="s">
        <v>2704</v>
      </c>
      <c r="O1132" s="129" t="s">
        <v>2704</v>
      </c>
      <c r="P1132" s="123" t="str">
        <f>"C"&amp;INT((MONTH(A1132)-1)/4)+1&amp;"-"&amp;YEAR(A1132)</f>
        <v>C1-2026</v>
      </c>
      <c r="Q1132" s="124" t="str">
        <f>"T"&amp;INT((MONTH(A1132)-1)/3)+1&amp;"-"&amp;YEAR(A1132)</f>
        <v>T1-2026</v>
      </c>
      <c r="R1132" s="91" t="s">
        <v>2749</v>
      </c>
      <c r="S1132" s="124" t="s">
        <v>2750</v>
      </c>
      <c r="T1132" s="124" t="s">
        <v>2717</v>
      </c>
      <c r="U1132" s="9" t="s">
        <v>2708</v>
      </c>
      <c r="V1132" s="205" t="s">
        <v>56</v>
      </c>
      <c r="W1132" s="122" t="s">
        <v>125</v>
      </c>
      <c r="X1132" s="123" t="s">
        <v>2709</v>
      </c>
    </row>
    <row r="1133" spans="1:24">
      <c r="A1133" s="548">
        <v>46031</v>
      </c>
      <c r="B1133" s="134" t="s">
        <v>4603</v>
      </c>
      <c r="C1133" s="32" t="s">
        <v>2697</v>
      </c>
      <c r="D1133" s="126">
        <v>-948.14</v>
      </c>
      <c r="E1133" s="120">
        <v>1</v>
      </c>
      <c r="F1133" s="127">
        <f>Tabla5109[[#This Row],[Original Amount]]*Tabla5109[[#This Row],[ER to EUR]]</f>
        <v>-948.14</v>
      </c>
      <c r="G1133" s="9" t="s">
        <v>2839</v>
      </c>
      <c r="H1133" s="9" t="s">
        <v>2840</v>
      </c>
      <c r="I1133" s="9" t="s">
        <v>2784</v>
      </c>
      <c r="J1133" s="9" t="s">
        <v>2701</v>
      </c>
      <c r="K1133" s="205" t="s">
        <v>2702</v>
      </c>
      <c r="L1133" s="9" t="s">
        <v>2703</v>
      </c>
      <c r="M1133" s="32" t="s">
        <v>125</v>
      </c>
      <c r="N1133" s="129" t="s">
        <v>2704</v>
      </c>
      <c r="O1133" s="122" t="s">
        <v>2704</v>
      </c>
      <c r="P1133" s="123" t="str">
        <f>"C"&amp;INT((MONTH(A1133)-1)/4)+1&amp;"-"&amp;YEAR(A1133)</f>
        <v>C1-2026</v>
      </c>
      <c r="Q1133" s="124" t="str">
        <f>"T"&amp;INT((MONTH(A1133)-1)/3)+1&amp;"-"&amp;YEAR(A1133)</f>
        <v>T1-2026</v>
      </c>
      <c r="R1133" s="124" t="s">
        <v>2705</v>
      </c>
      <c r="S1133" s="124" t="s">
        <v>2706</v>
      </c>
      <c r="T1133" s="124" t="s">
        <v>2707</v>
      </c>
      <c r="U1133" s="9" t="s">
        <v>2708</v>
      </c>
      <c r="V1133" s="205" t="s">
        <v>57</v>
      </c>
      <c r="W1133" s="122" t="s">
        <v>125</v>
      </c>
      <c r="X1133" s="124" t="s">
        <v>2709</v>
      </c>
    </row>
    <row r="1134" spans="1:24">
      <c r="A1134" s="548">
        <v>46032</v>
      </c>
      <c r="B1134" s="134" t="s">
        <v>4163</v>
      </c>
      <c r="C1134" s="32" t="s">
        <v>2697</v>
      </c>
      <c r="D1134" s="126">
        <v>-805.46</v>
      </c>
      <c r="E1134" s="120">
        <v>1</v>
      </c>
      <c r="F1134" s="127">
        <f>Tabla5109[[#This Row],[Original Amount]]*Tabla5109[[#This Row],[ER to EUR]]</f>
        <v>-805.46</v>
      </c>
      <c r="G1134" s="9" t="s">
        <v>2839</v>
      </c>
      <c r="H1134" s="9" t="s">
        <v>2840</v>
      </c>
      <c r="I1134" s="9" t="s">
        <v>2784</v>
      </c>
      <c r="J1134" s="9" t="s">
        <v>2701</v>
      </c>
      <c r="K1134" s="205" t="s">
        <v>2702</v>
      </c>
      <c r="L1134" s="9" t="s">
        <v>2703</v>
      </c>
      <c r="M1134" s="32" t="s">
        <v>125</v>
      </c>
      <c r="N1134" s="129" t="s">
        <v>2704</v>
      </c>
      <c r="O1134" s="122" t="s">
        <v>2704</v>
      </c>
      <c r="P1134" s="123" t="str">
        <f>"C"&amp;INT((MONTH(A1134)-1)/4)+1&amp;"-"&amp;YEAR(A1134)</f>
        <v>C1-2026</v>
      </c>
      <c r="Q1134" s="124" t="str">
        <f>"T"&amp;INT((MONTH(A1134)-1)/3)+1&amp;"-"&amp;YEAR(A1134)</f>
        <v>T1-2026</v>
      </c>
      <c r="R1134" s="124" t="s">
        <v>2705</v>
      </c>
      <c r="S1134" s="124" t="s">
        <v>2706</v>
      </c>
      <c r="T1134" s="124" t="s">
        <v>2707</v>
      </c>
      <c r="U1134" s="9" t="s">
        <v>2708</v>
      </c>
      <c r="V1134" s="205" t="s">
        <v>57</v>
      </c>
      <c r="W1134" s="122" t="s">
        <v>125</v>
      </c>
      <c r="X1134" s="124" t="s">
        <v>2709</v>
      </c>
    </row>
    <row r="1135" spans="1:24">
      <c r="A1135" s="548">
        <v>46032</v>
      </c>
      <c r="B1135" s="134">
        <v>2995732</v>
      </c>
      <c r="C1135" s="122" t="s">
        <v>2548</v>
      </c>
      <c r="D1135" s="151">
        <v>-499</v>
      </c>
      <c r="E1135" s="181">
        <v>0.85128099999999995</v>
      </c>
      <c r="F1135" s="127">
        <f>Tabla5109[[#This Row],[Original Amount]]*Tabla5109[[#This Row],[ER to EUR]]</f>
        <v>-424.789219</v>
      </c>
      <c r="G1135" s="9" t="s">
        <v>3193</v>
      </c>
      <c r="H1135" s="73" t="s">
        <v>3194</v>
      </c>
      <c r="I1135" s="9" t="s">
        <v>2739</v>
      </c>
      <c r="J1135" s="9" t="s">
        <v>2701</v>
      </c>
      <c r="K1135" s="205" t="s">
        <v>2702</v>
      </c>
      <c r="L1135" s="9" t="s">
        <v>2793</v>
      </c>
      <c r="M1135" s="32" t="s">
        <v>125</v>
      </c>
      <c r="N1135" s="129" t="s">
        <v>2704</v>
      </c>
      <c r="O1135" s="122" t="s">
        <v>2704</v>
      </c>
      <c r="P1135" s="123" t="str">
        <f>"C"&amp;INT((MONTH(A1135)-1)/4)+1&amp;"-"&amp;YEAR(A1135)</f>
        <v>C1-2026</v>
      </c>
      <c r="Q1135" s="124" t="str">
        <f>"T"&amp;INT((MONTH(A1135)-1)/3)+1&amp;"-"&amp;YEAR(A1135)</f>
        <v>T1-2026</v>
      </c>
      <c r="R1135" s="124" t="s">
        <v>2722</v>
      </c>
      <c r="S1135" s="124" t="s">
        <v>2723</v>
      </c>
      <c r="T1135" s="124" t="s">
        <v>2724</v>
      </c>
      <c r="U1135" s="9" t="s">
        <v>2708</v>
      </c>
      <c r="V1135" s="205" t="s">
        <v>54</v>
      </c>
      <c r="W1135" s="122" t="s">
        <v>125</v>
      </c>
      <c r="X1135" s="124" t="s">
        <v>2709</v>
      </c>
    </row>
    <row r="1136" spans="1:24">
      <c r="A1136" s="548">
        <v>46032</v>
      </c>
      <c r="B1136" s="134">
        <v>9004876</v>
      </c>
      <c r="C1136" s="32" t="s">
        <v>2543</v>
      </c>
      <c r="D1136" s="147">
        <v>-55220</v>
      </c>
      <c r="E1136" s="120">
        <v>9.4499999999999998E-4</v>
      </c>
      <c r="F1136" s="127">
        <f>Tabla5109[[#This Row],[Original Amount]]*Tabla5109[[#This Row],[ER to EUR]]</f>
        <v>-52.182899999999997</v>
      </c>
      <c r="G1136" s="9" t="s">
        <v>4619</v>
      </c>
      <c r="H1136" s="9" t="s">
        <v>4621</v>
      </c>
      <c r="I1136" s="9" t="s">
        <v>3288</v>
      </c>
      <c r="J1136" s="9" t="s">
        <v>3095</v>
      </c>
      <c r="K1136" s="205" t="s">
        <v>3510</v>
      </c>
      <c r="L1136" s="211" t="s">
        <v>4623</v>
      </c>
      <c r="M1136" s="227" t="s">
        <v>2748</v>
      </c>
      <c r="N1136" s="122" t="s">
        <v>2748</v>
      </c>
      <c r="O1136" s="129" t="s">
        <v>2704</v>
      </c>
      <c r="P1136" s="123" t="str">
        <f>"C"&amp;INT((MONTH(A1136)-1)/4)+1&amp;"-"&amp;YEAR(A1136)</f>
        <v>C1-2026</v>
      </c>
      <c r="Q1136" s="124" t="str">
        <f>"T"&amp;INT((MONTH(A1136)-1)/3)+1&amp;"-"&amp;YEAR(A1136)</f>
        <v>T1-2026</v>
      </c>
      <c r="R1136" s="124" t="s">
        <v>2828</v>
      </c>
      <c r="S1136" s="124" t="s">
        <v>2706</v>
      </c>
      <c r="T1136" s="124" t="s">
        <v>2724</v>
      </c>
      <c r="U1136" s="9" t="s">
        <v>2708</v>
      </c>
      <c r="V1136" s="205" t="s">
        <v>56</v>
      </c>
      <c r="W1136" s="122" t="s">
        <v>125</v>
      </c>
      <c r="X1136" s="124" t="s">
        <v>2751</v>
      </c>
    </row>
    <row r="1137" spans="1:24">
      <c r="A1137" s="548">
        <v>46033</v>
      </c>
      <c r="B1137" s="134" t="s">
        <v>4164</v>
      </c>
      <c r="C1137" s="32" t="s">
        <v>2697</v>
      </c>
      <c r="D1137" s="126">
        <v>-4.4800000000000004</v>
      </c>
      <c r="E1137" s="120">
        <v>1</v>
      </c>
      <c r="F1137" s="127">
        <f>Tabla5109[[#This Row],[Original Amount]]*Tabla5109[[#This Row],[ER to EUR]]</f>
        <v>-4.4800000000000004</v>
      </c>
      <c r="G1137" s="9" t="s">
        <v>2839</v>
      </c>
      <c r="H1137" s="9" t="s">
        <v>2840</v>
      </c>
      <c r="I1137" s="9" t="s">
        <v>2784</v>
      </c>
      <c r="J1137" s="9" t="s">
        <v>2701</v>
      </c>
      <c r="K1137" s="205" t="s">
        <v>2702</v>
      </c>
      <c r="L1137" s="9" t="s">
        <v>2703</v>
      </c>
      <c r="M1137" s="32" t="s">
        <v>125</v>
      </c>
      <c r="N1137" s="129" t="s">
        <v>2704</v>
      </c>
      <c r="O1137" s="122" t="s">
        <v>2704</v>
      </c>
      <c r="P1137" s="123" t="str">
        <f>"C"&amp;INT((MONTH(A1137)-1)/4)+1&amp;"-"&amp;YEAR(A1137)</f>
        <v>C1-2026</v>
      </c>
      <c r="Q1137" s="124" t="str">
        <f>"T"&amp;INT((MONTH(A1137)-1)/3)+1&amp;"-"&amp;YEAR(A1137)</f>
        <v>T1-2026</v>
      </c>
      <c r="R1137" s="124" t="s">
        <v>2705</v>
      </c>
      <c r="S1137" s="124" t="s">
        <v>2706</v>
      </c>
      <c r="T1137" s="124" t="s">
        <v>2707</v>
      </c>
      <c r="U1137" s="9" t="s">
        <v>2708</v>
      </c>
      <c r="V1137" s="205" t="s">
        <v>56</v>
      </c>
      <c r="W1137" s="122" t="s">
        <v>125</v>
      </c>
      <c r="X1137" s="124" t="s">
        <v>2709</v>
      </c>
    </row>
    <row r="1138" spans="1:24">
      <c r="A1138" s="548">
        <v>46033</v>
      </c>
      <c r="B1138" s="134" t="s">
        <v>4165</v>
      </c>
      <c r="C1138" s="32" t="s">
        <v>2697</v>
      </c>
      <c r="D1138" s="126">
        <v>-781.83</v>
      </c>
      <c r="E1138" s="120">
        <v>1</v>
      </c>
      <c r="F1138" s="127">
        <f>Tabla5109[[#This Row],[Original Amount]]*Tabla5109[[#This Row],[ER to EUR]]</f>
        <v>-781.83</v>
      </c>
      <c r="G1138" s="9" t="s">
        <v>4166</v>
      </c>
      <c r="H1138" s="9" t="s">
        <v>4167</v>
      </c>
      <c r="I1138" s="9" t="s">
        <v>2727</v>
      </c>
      <c r="J1138" s="9" t="s">
        <v>2701</v>
      </c>
      <c r="K1138" s="205" t="s">
        <v>2702</v>
      </c>
      <c r="L1138" s="9" t="s">
        <v>2703</v>
      </c>
      <c r="M1138" s="32" t="s">
        <v>125</v>
      </c>
      <c r="N1138" s="129" t="s">
        <v>2704</v>
      </c>
      <c r="O1138" s="122" t="s">
        <v>2704</v>
      </c>
      <c r="P1138" s="123" t="str">
        <f>"C"&amp;INT((MONTH(A1138)-1)/4)+1&amp;"-"&amp;YEAR(A1138)</f>
        <v>C1-2026</v>
      </c>
      <c r="Q1138" s="124" t="str">
        <f>"T"&amp;INT((MONTH(A1138)-1)/3)+1&amp;"-"&amp;YEAR(A1138)</f>
        <v>T1-2026</v>
      </c>
      <c r="R1138" s="124" t="s">
        <v>2794</v>
      </c>
      <c r="S1138" s="124" t="s">
        <v>2731</v>
      </c>
      <c r="T1138" s="124" t="s">
        <v>2724</v>
      </c>
      <c r="U1138" s="9" t="s">
        <v>2708</v>
      </c>
      <c r="V1138" s="205" t="s">
        <v>55</v>
      </c>
      <c r="W1138" s="122" t="s">
        <v>125</v>
      </c>
      <c r="X1138" s="124" t="s">
        <v>2709</v>
      </c>
    </row>
    <row r="1139" spans="1:24">
      <c r="A1139" s="548">
        <v>46033</v>
      </c>
      <c r="B1139" s="134" t="s">
        <v>4168</v>
      </c>
      <c r="C1139" s="32" t="s">
        <v>2548</v>
      </c>
      <c r="D1139" s="151">
        <v>-1380</v>
      </c>
      <c r="E1139" s="181">
        <v>0.85128099999999995</v>
      </c>
      <c r="F1139" s="127">
        <f>Tabla5109[[#This Row],[Original Amount]]*Tabla5109[[#This Row],[ER to EUR]]</f>
        <v>-1174.7677799999999</v>
      </c>
      <c r="G1139" s="9" t="s">
        <v>4140</v>
      </c>
      <c r="H1139" s="9" t="s">
        <v>4141</v>
      </c>
      <c r="I1139" s="9" t="s">
        <v>2713</v>
      </c>
      <c r="J1139" s="9" t="s">
        <v>2714</v>
      </c>
      <c r="K1139" s="205" t="s">
        <v>2747</v>
      </c>
      <c r="L1139" s="211" t="s">
        <v>2864</v>
      </c>
      <c r="M1139" s="227" t="s">
        <v>125</v>
      </c>
      <c r="N1139" s="122" t="s">
        <v>2704</v>
      </c>
      <c r="O1139" s="129" t="s">
        <v>2704</v>
      </c>
      <c r="P1139" s="123" t="str">
        <f>"C"&amp;INT((MONTH(A1139)-1)/4)+1&amp;"-"&amp;YEAR(A1139)</f>
        <v>C1-2026</v>
      </c>
      <c r="Q1139" s="124" t="str">
        <f>"T"&amp;INT((MONTH(A1139)-1)/3)+1&amp;"-"&amp;YEAR(A1139)</f>
        <v>T1-2026</v>
      </c>
      <c r="R1139" s="91" t="s">
        <v>2705</v>
      </c>
      <c r="S1139" s="124" t="s">
        <v>2706</v>
      </c>
      <c r="T1139" s="124" t="s">
        <v>2717</v>
      </c>
      <c r="U1139" s="9" t="s">
        <v>2708</v>
      </c>
      <c r="V1139" s="205" t="s">
        <v>56</v>
      </c>
      <c r="W1139" s="122" t="s">
        <v>125</v>
      </c>
      <c r="X1139" s="124" t="s">
        <v>2709</v>
      </c>
    </row>
    <row r="1140" spans="1:24">
      <c r="A1140" s="548">
        <v>46033</v>
      </c>
      <c r="B1140" s="134" t="s">
        <v>4169</v>
      </c>
      <c r="C1140" s="32" t="s">
        <v>2697</v>
      </c>
      <c r="D1140" s="126">
        <v>-93.59</v>
      </c>
      <c r="E1140" s="120">
        <v>1</v>
      </c>
      <c r="F1140" s="127">
        <f>Tabla5109[[#This Row],[Original Amount]]*Tabla5109[[#This Row],[ER to EUR]]</f>
        <v>-93.59</v>
      </c>
      <c r="G1140" s="9" t="s">
        <v>4070</v>
      </c>
      <c r="H1140" s="9" t="s">
        <v>4170</v>
      </c>
      <c r="I1140" s="9" t="s">
        <v>4072</v>
      </c>
      <c r="J1140" s="9" t="s">
        <v>2701</v>
      </c>
      <c r="K1140" s="205" t="s">
        <v>2702</v>
      </c>
      <c r="L1140" s="9" t="s">
        <v>2788</v>
      </c>
      <c r="M1140" s="32" t="s">
        <v>125</v>
      </c>
      <c r="N1140" s="129" t="s">
        <v>2704</v>
      </c>
      <c r="O1140" s="122" t="s">
        <v>2704</v>
      </c>
      <c r="P1140" s="123" t="str">
        <f>"C"&amp;INT((MONTH(A1140)-1)/4)+1&amp;"-"&amp;YEAR(A1140)</f>
        <v>C1-2026</v>
      </c>
      <c r="Q1140" s="124" t="str">
        <f>"T"&amp;INT((MONTH(A1140)-1)/3)+1&amp;"-"&amp;YEAR(A1140)</f>
        <v>T1-2026</v>
      </c>
      <c r="R1140" s="124" t="s">
        <v>2819</v>
      </c>
      <c r="S1140" s="124" t="s">
        <v>2817</v>
      </c>
      <c r="T1140" s="124" t="s">
        <v>2717</v>
      </c>
      <c r="U1140" s="9" t="s">
        <v>2708</v>
      </c>
      <c r="V1140" s="205" t="s">
        <v>56</v>
      </c>
      <c r="W1140" s="122" t="s">
        <v>125</v>
      </c>
      <c r="X1140" s="124" t="s">
        <v>2709</v>
      </c>
    </row>
    <row r="1141" spans="1:24">
      <c r="A1141" s="548">
        <v>46035</v>
      </c>
      <c r="B1141" s="134" t="s">
        <v>4171</v>
      </c>
      <c r="C1141" s="32" t="s">
        <v>2697</v>
      </c>
      <c r="D1141" s="126">
        <v>-4.18</v>
      </c>
      <c r="E1141" s="120">
        <v>1</v>
      </c>
      <c r="F1141" s="127">
        <f>Tabla5109[[#This Row],[Original Amount]]*Tabla5109[[#This Row],[ER to EUR]]</f>
        <v>-4.18</v>
      </c>
      <c r="G1141" s="9" t="s">
        <v>2839</v>
      </c>
      <c r="H1141" s="9" t="s">
        <v>2840</v>
      </c>
      <c r="I1141" s="9" t="s">
        <v>2784</v>
      </c>
      <c r="J1141" s="9" t="s">
        <v>2701</v>
      </c>
      <c r="K1141" s="205" t="s">
        <v>2702</v>
      </c>
      <c r="L1141" s="9" t="s">
        <v>2703</v>
      </c>
      <c r="M1141" s="32" t="s">
        <v>125</v>
      </c>
      <c r="N1141" s="129" t="s">
        <v>2704</v>
      </c>
      <c r="O1141" s="122" t="s">
        <v>2704</v>
      </c>
      <c r="P1141" s="123" t="str">
        <f>"C"&amp;INT((MONTH(A1141)-1)/4)+1&amp;"-"&amp;YEAR(A1141)</f>
        <v>C1-2026</v>
      </c>
      <c r="Q1141" s="124" t="str">
        <f>"T"&amp;INT((MONTH(A1141)-1)/3)+1&amp;"-"&amp;YEAR(A1141)</f>
        <v>T1-2026</v>
      </c>
      <c r="R1141" s="124" t="s">
        <v>2705</v>
      </c>
      <c r="S1141" s="124" t="s">
        <v>2706</v>
      </c>
      <c r="T1141" s="124" t="s">
        <v>2707</v>
      </c>
      <c r="U1141" s="9" t="s">
        <v>2708</v>
      </c>
      <c r="V1141" s="205" t="s">
        <v>56</v>
      </c>
      <c r="W1141" s="122" t="s">
        <v>125</v>
      </c>
      <c r="X1141" s="124" t="s">
        <v>2709</v>
      </c>
    </row>
    <row r="1142" spans="1:24">
      <c r="A1142" s="548">
        <v>46035</v>
      </c>
      <c r="B1142" s="134">
        <v>910204</v>
      </c>
      <c r="C1142" s="32" t="s">
        <v>2543</v>
      </c>
      <c r="D1142" s="147">
        <v>-15375</v>
      </c>
      <c r="E1142" s="120">
        <v>9.4499999999999998E-4</v>
      </c>
      <c r="F1142" s="127">
        <f>Tabla5109[[#This Row],[Original Amount]]*Tabla5109[[#This Row],[ER to EUR]]</f>
        <v>-14.529375</v>
      </c>
      <c r="G1142" s="9" t="s">
        <v>4172</v>
      </c>
      <c r="H1142" s="9" t="s">
        <v>4173</v>
      </c>
      <c r="I1142" s="9" t="s">
        <v>2713</v>
      </c>
      <c r="J1142" s="9" t="s">
        <v>3095</v>
      </c>
      <c r="K1142" s="9" t="s">
        <v>3510</v>
      </c>
      <c r="L1142" s="9" t="s">
        <v>3097</v>
      </c>
      <c r="M1142" s="32" t="s">
        <v>125</v>
      </c>
      <c r="N1142" s="122" t="s">
        <v>2748</v>
      </c>
      <c r="O1142" s="122" t="s">
        <v>2704</v>
      </c>
      <c r="P1142" s="123" t="str">
        <f>"C"&amp;INT((MONTH(A1142)-1)/4)+1&amp;"-"&amp;YEAR(A1142)</f>
        <v>C1-2026</v>
      </c>
      <c r="Q1142" s="124" t="str">
        <f>"T"&amp;INT((MONTH(A1142)-1)/3)+1&amp;"-"&amp;YEAR(A1142)</f>
        <v>T1-2026</v>
      </c>
      <c r="R1142" s="91" t="s">
        <v>2828</v>
      </c>
      <c r="S1142" s="124" t="s">
        <v>2735</v>
      </c>
      <c r="T1142" s="124" t="s">
        <v>2717</v>
      </c>
      <c r="U1142" s="9" t="s">
        <v>2708</v>
      </c>
      <c r="V1142" s="205" t="s">
        <v>56</v>
      </c>
      <c r="W1142" s="122" t="s">
        <v>125</v>
      </c>
      <c r="X1142" s="123" t="s">
        <v>2751</v>
      </c>
    </row>
    <row r="1143" spans="1:24">
      <c r="A1143" s="548">
        <v>46036</v>
      </c>
      <c r="B1143" s="134" t="s">
        <v>4174</v>
      </c>
      <c r="C1143" s="32" t="s">
        <v>2697</v>
      </c>
      <c r="D1143" s="126">
        <v>-4.03</v>
      </c>
      <c r="E1143" s="120">
        <v>1</v>
      </c>
      <c r="F1143" s="127">
        <f>Tabla5109[[#This Row],[Original Amount]]*Tabla5109[[#This Row],[ER to EUR]]</f>
        <v>-4.03</v>
      </c>
      <c r="G1143" s="9" t="s">
        <v>2839</v>
      </c>
      <c r="H1143" s="9" t="s">
        <v>2840</v>
      </c>
      <c r="I1143" s="9" t="s">
        <v>2784</v>
      </c>
      <c r="J1143" s="9" t="s">
        <v>2701</v>
      </c>
      <c r="K1143" s="205" t="s">
        <v>2702</v>
      </c>
      <c r="L1143" s="9" t="s">
        <v>2703</v>
      </c>
      <c r="M1143" s="32" t="s">
        <v>125</v>
      </c>
      <c r="N1143" s="129" t="s">
        <v>2704</v>
      </c>
      <c r="O1143" s="122" t="s">
        <v>2704</v>
      </c>
      <c r="P1143" s="123" t="str">
        <f>"C"&amp;INT((MONTH(A1143)-1)/4)+1&amp;"-"&amp;YEAR(A1143)</f>
        <v>C1-2026</v>
      </c>
      <c r="Q1143" s="124" t="str">
        <f>"T"&amp;INT((MONTH(A1143)-1)/3)+1&amp;"-"&amp;YEAR(A1143)</f>
        <v>T1-2026</v>
      </c>
      <c r="R1143" s="124" t="s">
        <v>2705</v>
      </c>
      <c r="S1143" s="124" t="s">
        <v>2706</v>
      </c>
      <c r="T1143" s="124" t="s">
        <v>2707</v>
      </c>
      <c r="U1143" s="9" t="s">
        <v>2708</v>
      </c>
      <c r="V1143" s="205" t="s">
        <v>56</v>
      </c>
      <c r="W1143" s="122" t="s">
        <v>125</v>
      </c>
      <c r="X1143" s="124" t="s">
        <v>2709</v>
      </c>
    </row>
    <row r="1144" spans="1:24">
      <c r="A1144" s="548">
        <v>46036</v>
      </c>
      <c r="B1144" s="134" t="s">
        <v>4175</v>
      </c>
      <c r="C1144" s="32" t="s">
        <v>2697</v>
      </c>
      <c r="D1144" s="126">
        <v>-65.540000000000006</v>
      </c>
      <c r="E1144" s="120">
        <v>1</v>
      </c>
      <c r="F1144" s="127">
        <f>Tabla5109[[#This Row],[Original Amount]]*Tabla5109[[#This Row],[ER to EUR]]</f>
        <v>-65.540000000000006</v>
      </c>
      <c r="G1144" s="9" t="s">
        <v>2830</v>
      </c>
      <c r="H1144" s="9" t="s">
        <v>4176</v>
      </c>
      <c r="I1144" s="91" t="s">
        <v>6008</v>
      </c>
      <c r="J1144" s="9" t="s">
        <v>2817</v>
      </c>
      <c r="K1144" s="205" t="s">
        <v>2702</v>
      </c>
      <c r="L1144" s="9" t="s">
        <v>2818</v>
      </c>
      <c r="M1144" s="32" t="s">
        <v>125</v>
      </c>
      <c r="N1144" s="122" t="s">
        <v>2704</v>
      </c>
      <c r="O1144" s="129" t="s">
        <v>2704</v>
      </c>
      <c r="P1144" s="123" t="str">
        <f>"C"&amp;INT((MONTH(A1144)-1)/4)+1&amp;"-"&amp;YEAR(A1144)</f>
        <v>C1-2026</v>
      </c>
      <c r="Q1144" s="124" t="str">
        <f>"T"&amp;INT((MONTH(A1144)-1)/3)+1&amp;"-"&amp;YEAR(A1144)</f>
        <v>T1-2026</v>
      </c>
      <c r="R1144" s="124" t="s">
        <v>2741</v>
      </c>
      <c r="S1144" s="123" t="s">
        <v>2723</v>
      </c>
      <c r="T1144" s="124" t="s">
        <v>2724</v>
      </c>
      <c r="U1144" s="9" t="s">
        <v>2708</v>
      </c>
      <c r="V1144" s="205" t="s">
        <v>54</v>
      </c>
      <c r="W1144" s="122" t="s">
        <v>125</v>
      </c>
      <c r="X1144" s="124" t="s">
        <v>2709</v>
      </c>
    </row>
    <row r="1145" spans="1:24">
      <c r="A1145" s="548">
        <v>46037</v>
      </c>
      <c r="B1145" s="134">
        <v>16298</v>
      </c>
      <c r="C1145" s="32" t="s">
        <v>2697</v>
      </c>
      <c r="D1145" s="126">
        <v>-3000</v>
      </c>
      <c r="E1145" s="120">
        <v>1</v>
      </c>
      <c r="F1145" s="127">
        <f>Tabla5109[[#This Row],[Original Amount]]*Tabla5109[[#This Row],[ER to EUR]]</f>
        <v>-3000</v>
      </c>
      <c r="G1145" s="9" t="s">
        <v>2725</v>
      </c>
      <c r="H1145" s="9" t="s">
        <v>3389</v>
      </c>
      <c r="I1145" s="9" t="s">
        <v>2727</v>
      </c>
      <c r="J1145" s="9" t="s">
        <v>2701</v>
      </c>
      <c r="K1145" s="205" t="s">
        <v>2702</v>
      </c>
      <c r="L1145" s="9" t="s">
        <v>2729</v>
      </c>
      <c r="M1145" s="32" t="s">
        <v>125</v>
      </c>
      <c r="N1145" s="129" t="s">
        <v>2704</v>
      </c>
      <c r="O1145" s="129" t="s">
        <v>2704</v>
      </c>
      <c r="P1145" s="123" t="str">
        <f>"C"&amp;INT((MONTH(A1145)-1)/4)+1&amp;"-"&amp;YEAR(A1145)</f>
        <v>C1-2026</v>
      </c>
      <c r="Q1145" s="124" t="str">
        <f>"T"&amp;INT((MONTH(A1145)-1)/3)+1&amp;"-"&amp;YEAR(A1145)</f>
        <v>T1-2026</v>
      </c>
      <c r="R1145" s="124" t="s">
        <v>2730</v>
      </c>
      <c r="S1145" s="124" t="s">
        <v>2731</v>
      </c>
      <c r="T1145" s="124" t="s">
        <v>2707</v>
      </c>
      <c r="U1145" s="9" t="s">
        <v>51</v>
      </c>
      <c r="V1145" s="205" t="s">
        <v>57</v>
      </c>
      <c r="W1145" s="122" t="s">
        <v>125</v>
      </c>
      <c r="X1145" s="124" t="s">
        <v>2709</v>
      </c>
    </row>
    <row r="1146" spans="1:24">
      <c r="A1146" s="548">
        <v>46037</v>
      </c>
      <c r="B1146" s="134" t="s">
        <v>4177</v>
      </c>
      <c r="C1146" s="32" t="s">
        <v>2697</v>
      </c>
      <c r="D1146" s="126">
        <v>-140</v>
      </c>
      <c r="E1146" s="120">
        <v>1</v>
      </c>
      <c r="F1146" s="127">
        <f>Tabla5109[[#This Row],[Original Amount]]*Tabla5109[[#This Row],[ER to EUR]]</f>
        <v>-140</v>
      </c>
      <c r="G1146" s="9" t="s">
        <v>4096</v>
      </c>
      <c r="H1146" s="9" t="s">
        <v>4178</v>
      </c>
      <c r="I1146" s="9" t="s">
        <v>2713</v>
      </c>
      <c r="J1146" s="9" t="s">
        <v>2701</v>
      </c>
      <c r="K1146" s="205" t="s">
        <v>2702</v>
      </c>
      <c r="L1146" s="9" t="s">
        <v>2760</v>
      </c>
      <c r="M1146" s="32" t="s">
        <v>125</v>
      </c>
      <c r="N1146" s="122" t="s">
        <v>2704</v>
      </c>
      <c r="O1146" s="122" t="s">
        <v>2704</v>
      </c>
      <c r="P1146" s="123" t="str">
        <f>"C"&amp;INT((MONTH(A1146)-1)/4)+1&amp;"-"&amp;YEAR(A1146)</f>
        <v>C1-2026</v>
      </c>
      <c r="Q1146" s="124" t="str">
        <f>"T"&amp;INT((MONTH(A1146)-1)/3)+1&amp;"-"&amp;YEAR(A1146)</f>
        <v>T1-2026</v>
      </c>
      <c r="R1146" s="124" t="s">
        <v>2705</v>
      </c>
      <c r="S1146" s="124" t="s">
        <v>2735</v>
      </c>
      <c r="T1146" s="124" t="s">
        <v>2717</v>
      </c>
      <c r="U1146" s="9" t="s">
        <v>2708</v>
      </c>
      <c r="V1146" s="205" t="s">
        <v>56</v>
      </c>
      <c r="W1146" s="122" t="s">
        <v>125</v>
      </c>
      <c r="X1146" s="124" t="s">
        <v>2709</v>
      </c>
    </row>
    <row r="1147" spans="1:24">
      <c r="A1147" s="548">
        <v>46037</v>
      </c>
      <c r="B1147" s="134" t="s">
        <v>4179</v>
      </c>
      <c r="C1147" s="32" t="s">
        <v>2697</v>
      </c>
      <c r="D1147" s="126">
        <v>-40.46</v>
      </c>
      <c r="E1147" s="120">
        <v>1</v>
      </c>
      <c r="F1147" s="127">
        <f>Tabla5109[[#This Row],[Original Amount]]*Tabla5109[[#This Row],[ER to EUR]]</f>
        <v>-40.46</v>
      </c>
      <c r="G1147" s="9" t="s">
        <v>3770</v>
      </c>
      <c r="H1147" s="9" t="s">
        <v>4180</v>
      </c>
      <c r="I1147" s="9" t="s">
        <v>4905</v>
      </c>
      <c r="J1147" s="9" t="s">
        <v>2714</v>
      </c>
      <c r="K1147" s="205" t="s">
        <v>2747</v>
      </c>
      <c r="L1147" s="9" t="s">
        <v>2716</v>
      </c>
      <c r="M1147" s="32" t="s">
        <v>125</v>
      </c>
      <c r="N1147" s="122" t="s">
        <v>2704</v>
      </c>
      <c r="O1147" s="129" t="s">
        <v>2704</v>
      </c>
      <c r="P1147" s="123" t="str">
        <f>"C"&amp;INT((MONTH(A1147)-1)/4)+1&amp;"-"&amp;YEAR(A1147)</f>
        <v>C1-2026</v>
      </c>
      <c r="Q1147" s="124" t="str">
        <f>"T"&amp;INT((MONTH(A1147)-1)/3)+1&amp;"-"&amp;YEAR(A1147)</f>
        <v>T1-2026</v>
      </c>
      <c r="R1147" s="91" t="s">
        <v>2794</v>
      </c>
      <c r="S1147" s="124" t="s">
        <v>2731</v>
      </c>
      <c r="T1147" s="124" t="s">
        <v>2707</v>
      </c>
      <c r="U1147" s="9" t="s">
        <v>51</v>
      </c>
      <c r="V1147" s="205" t="s">
        <v>57</v>
      </c>
      <c r="W1147" s="122" t="s">
        <v>125</v>
      </c>
      <c r="X1147" s="124" t="s">
        <v>2709</v>
      </c>
    </row>
    <row r="1148" spans="1:24">
      <c r="A1148" s="548">
        <v>46037</v>
      </c>
      <c r="B1148" s="134" t="s">
        <v>4181</v>
      </c>
      <c r="C1148" s="32" t="s">
        <v>2697</v>
      </c>
      <c r="D1148" s="126">
        <v>-46.3</v>
      </c>
      <c r="E1148" s="120">
        <v>1</v>
      </c>
      <c r="F1148" s="127">
        <f>Tabla5109[[#This Row],[Original Amount]]*Tabla5109[[#This Row],[ER to EUR]]</f>
        <v>-46.3</v>
      </c>
      <c r="G1148" s="9" t="s">
        <v>2733</v>
      </c>
      <c r="H1148" s="9" t="s">
        <v>2734</v>
      </c>
      <c r="I1148" s="9" t="s">
        <v>2713</v>
      </c>
      <c r="J1148" s="9" t="s">
        <v>2701</v>
      </c>
      <c r="K1148" s="205" t="s">
        <v>2809</v>
      </c>
      <c r="L1148" s="9" t="s">
        <v>2810</v>
      </c>
      <c r="M1148" s="32" t="s">
        <v>125</v>
      </c>
      <c r="N1148" s="122" t="s">
        <v>2748</v>
      </c>
      <c r="O1148" s="129" t="s">
        <v>2704</v>
      </c>
      <c r="P1148" s="123" t="str">
        <f>"C"&amp;INT((MONTH(A1148)-1)/4)+1&amp;"-"&amp;YEAR(A1148)</f>
        <v>C1-2026</v>
      </c>
      <c r="Q1148" s="124" t="str">
        <f>"T"&amp;INT((MONTH(A1148)-1)/3)+1&amp;"-"&amp;YEAR(A1148)</f>
        <v>T1-2026</v>
      </c>
      <c r="R1148" s="124" t="s">
        <v>2705</v>
      </c>
      <c r="S1148" s="124" t="s">
        <v>2735</v>
      </c>
      <c r="T1148" s="124" t="s">
        <v>2707</v>
      </c>
      <c r="U1148" s="91" t="s">
        <v>2708</v>
      </c>
      <c r="V1148" s="196" t="s">
        <v>56</v>
      </c>
      <c r="W1148" s="122" t="s">
        <v>125</v>
      </c>
      <c r="X1148" s="124" t="s">
        <v>2709</v>
      </c>
    </row>
    <row r="1149" spans="1:24">
      <c r="A1149" s="548">
        <v>46037</v>
      </c>
      <c r="B1149" s="134">
        <v>30</v>
      </c>
      <c r="C1149" s="32" t="s">
        <v>2697</v>
      </c>
      <c r="D1149" s="126">
        <v>-5057.5</v>
      </c>
      <c r="E1149" s="120">
        <v>1</v>
      </c>
      <c r="F1149" s="127">
        <f>Tabla5109[[#This Row],[Original Amount]]*Tabla5109[[#This Row],[ER to EUR]]</f>
        <v>-5057.5</v>
      </c>
      <c r="G1149" s="9" t="s">
        <v>2790</v>
      </c>
      <c r="H1149" s="91" t="s">
        <v>2791</v>
      </c>
      <c r="I1149" s="9" t="s">
        <v>2727</v>
      </c>
      <c r="J1149" s="9" t="s">
        <v>2723</v>
      </c>
      <c r="K1149" s="205" t="s">
        <v>2792</v>
      </c>
      <c r="L1149" s="9" t="s">
        <v>2793</v>
      </c>
      <c r="M1149" s="32" t="s">
        <v>125</v>
      </c>
      <c r="N1149" s="129" t="s">
        <v>2748</v>
      </c>
      <c r="O1149" s="122" t="s">
        <v>2748</v>
      </c>
      <c r="P1149" s="123" t="str">
        <f>"C"&amp;INT((MONTH(A1149)-1)/4)+1&amp;"-"&amp;YEAR(A1149)</f>
        <v>C1-2026</v>
      </c>
      <c r="Q1149" s="124" t="str">
        <f>"T"&amp;INT((MONTH(A1149)-1)/3)+1&amp;"-"&amp;YEAR(A1149)</f>
        <v>T1-2026</v>
      </c>
      <c r="R1149" s="124" t="s">
        <v>2794</v>
      </c>
      <c r="S1149" s="124" t="s">
        <v>2731</v>
      </c>
      <c r="T1149" s="124" t="s">
        <v>2724</v>
      </c>
      <c r="U1149" s="9" t="s">
        <v>2708</v>
      </c>
      <c r="V1149" s="205" t="s">
        <v>57</v>
      </c>
      <c r="W1149" s="122" t="s">
        <v>125</v>
      </c>
      <c r="X1149" s="124" t="s">
        <v>2709</v>
      </c>
    </row>
    <row r="1150" spans="1:24">
      <c r="A1150" s="548">
        <v>46037</v>
      </c>
      <c r="B1150" s="134">
        <v>31</v>
      </c>
      <c r="C1150" s="32" t="s">
        <v>2697</v>
      </c>
      <c r="D1150" s="126">
        <v>-5355</v>
      </c>
      <c r="E1150" s="120">
        <v>1</v>
      </c>
      <c r="F1150" s="127">
        <f>Tabla5109[[#This Row],[Original Amount]]*Tabla5109[[#This Row],[ER to EUR]]</f>
        <v>-5355</v>
      </c>
      <c r="G1150" s="9" t="s">
        <v>2790</v>
      </c>
      <c r="H1150" s="91" t="s">
        <v>2791</v>
      </c>
      <c r="I1150" s="9" t="s">
        <v>2727</v>
      </c>
      <c r="J1150" s="9" t="s">
        <v>2723</v>
      </c>
      <c r="K1150" s="205" t="s">
        <v>2792</v>
      </c>
      <c r="L1150" s="9" t="s">
        <v>2793</v>
      </c>
      <c r="M1150" s="32" t="s">
        <v>125</v>
      </c>
      <c r="N1150" s="129" t="s">
        <v>2748</v>
      </c>
      <c r="O1150" s="122" t="s">
        <v>2748</v>
      </c>
      <c r="P1150" s="123" t="str">
        <f>"C"&amp;INT((MONTH(A1150)-1)/4)+1&amp;"-"&amp;YEAR(A1150)</f>
        <v>C1-2026</v>
      </c>
      <c r="Q1150" s="124" t="str">
        <f>"T"&amp;INT((MONTH(A1150)-1)/3)+1&amp;"-"&amp;YEAR(A1150)</f>
        <v>T1-2026</v>
      </c>
      <c r="R1150" s="124" t="s">
        <v>2794</v>
      </c>
      <c r="S1150" s="124" t="s">
        <v>2731</v>
      </c>
      <c r="T1150" s="124" t="s">
        <v>2724</v>
      </c>
      <c r="U1150" s="9" t="s">
        <v>2708</v>
      </c>
      <c r="V1150" s="205" t="s">
        <v>57</v>
      </c>
      <c r="W1150" s="122" t="s">
        <v>125</v>
      </c>
      <c r="X1150" s="124" t="s">
        <v>2709</v>
      </c>
    </row>
    <row r="1151" spans="1:24">
      <c r="A1151" s="548">
        <v>46037</v>
      </c>
      <c r="B1151" s="134">
        <v>2015735</v>
      </c>
      <c r="C1151" s="32" t="s">
        <v>2697</v>
      </c>
      <c r="D1151" s="126">
        <v>-239.68</v>
      </c>
      <c r="E1151" s="120">
        <v>1</v>
      </c>
      <c r="F1151" s="127">
        <f>Tabla5109[[#This Row],[Original Amount]]*Tabla5109[[#This Row],[ER to EUR]]</f>
        <v>-239.68</v>
      </c>
      <c r="G1151" s="9" t="s">
        <v>2815</v>
      </c>
      <c r="H1151" s="91" t="s">
        <v>3103</v>
      </c>
      <c r="I1151" s="91" t="s">
        <v>2727</v>
      </c>
      <c r="J1151" s="91" t="s">
        <v>2817</v>
      </c>
      <c r="K1151" s="196" t="s">
        <v>2702</v>
      </c>
      <c r="L1151" s="91" t="s">
        <v>2818</v>
      </c>
      <c r="M1151" s="32" t="s">
        <v>125</v>
      </c>
      <c r="N1151" s="122" t="s">
        <v>2704</v>
      </c>
      <c r="O1151" s="129" t="s">
        <v>2704</v>
      </c>
      <c r="P1151" s="123" t="str">
        <f>"C"&amp;INT((MONTH(A1151)-1)/4)+1&amp;"-"&amp;YEAR(A1151)</f>
        <v>C1-2026</v>
      </c>
      <c r="Q1151" s="124" t="str">
        <f>"T"&amp;INT((MONTH(A1151)-1)/3)+1&amp;"-"&amp;YEAR(A1151)</f>
        <v>T1-2026</v>
      </c>
      <c r="R1151" s="124" t="s">
        <v>2819</v>
      </c>
      <c r="S1151" s="124" t="s">
        <v>2723</v>
      </c>
      <c r="T1151" s="124" t="s">
        <v>2724</v>
      </c>
      <c r="U1151" s="9" t="s">
        <v>2708</v>
      </c>
      <c r="V1151" s="205" t="s">
        <v>54</v>
      </c>
      <c r="W1151" s="122" t="s">
        <v>125</v>
      </c>
      <c r="X1151" s="124" t="s">
        <v>2709</v>
      </c>
    </row>
    <row r="1152" spans="1:24">
      <c r="A1152" s="548">
        <v>46037</v>
      </c>
      <c r="B1152" s="134" t="s">
        <v>4182</v>
      </c>
      <c r="C1152" s="32" t="s">
        <v>2697</v>
      </c>
      <c r="D1152" s="126">
        <v>-186</v>
      </c>
      <c r="E1152" s="120">
        <v>1</v>
      </c>
      <c r="F1152" s="127">
        <f>Tabla5109[[#This Row],[Original Amount]]*Tabla5109[[#This Row],[ER to EUR]]</f>
        <v>-186</v>
      </c>
      <c r="G1152" s="9" t="s">
        <v>3492</v>
      </c>
      <c r="H1152" s="9" t="s">
        <v>4183</v>
      </c>
      <c r="I1152" s="9" t="s">
        <v>2784</v>
      </c>
      <c r="J1152" s="9" t="s">
        <v>2701</v>
      </c>
      <c r="K1152" s="205" t="s">
        <v>2702</v>
      </c>
      <c r="L1152" s="9" t="s">
        <v>3494</v>
      </c>
      <c r="M1152" s="32" t="s">
        <v>125</v>
      </c>
      <c r="N1152" s="129" t="s">
        <v>2748</v>
      </c>
      <c r="O1152" s="122" t="s">
        <v>2748</v>
      </c>
      <c r="P1152" s="123" t="str">
        <f>"C"&amp;INT((MONTH(A1152)-1)/4)+1&amp;"-"&amp;YEAR(A1152)</f>
        <v>C1-2026</v>
      </c>
      <c r="Q1152" s="124" t="str">
        <f>"T"&amp;INT((MONTH(A1152)-1)/3)+1&amp;"-"&amp;YEAR(A1152)</f>
        <v>T1-2026</v>
      </c>
      <c r="R1152" s="124" t="s">
        <v>2705</v>
      </c>
      <c r="S1152" s="124" t="s">
        <v>2735</v>
      </c>
      <c r="T1152" s="124" t="s">
        <v>2707</v>
      </c>
      <c r="U1152" s="9" t="s">
        <v>2708</v>
      </c>
      <c r="V1152" s="205" t="s">
        <v>54</v>
      </c>
      <c r="W1152" s="122" t="s">
        <v>125</v>
      </c>
      <c r="X1152" s="124" t="s">
        <v>2709</v>
      </c>
    </row>
    <row r="1153" spans="1:24">
      <c r="A1153" s="548">
        <v>46037</v>
      </c>
      <c r="B1153" s="134" t="s">
        <v>4184</v>
      </c>
      <c r="C1153" s="32" t="s">
        <v>2697</v>
      </c>
      <c r="D1153" s="126">
        <v>-144</v>
      </c>
      <c r="E1153" s="120">
        <v>1</v>
      </c>
      <c r="F1153" s="127">
        <f>Tabla5109[[#This Row],[Original Amount]]*Tabla5109[[#This Row],[ER to EUR]]</f>
        <v>-144</v>
      </c>
      <c r="G1153" s="9" t="s">
        <v>4078</v>
      </c>
      <c r="H1153" s="9" t="s">
        <v>4185</v>
      </c>
      <c r="I1153" s="9" t="s">
        <v>2755</v>
      </c>
      <c r="J1153" s="9" t="s">
        <v>2701</v>
      </c>
      <c r="K1153" s="205" t="s">
        <v>2702</v>
      </c>
      <c r="L1153" s="211" t="s">
        <v>3693</v>
      </c>
      <c r="M1153" s="32" t="s">
        <v>125</v>
      </c>
      <c r="N1153" s="122" t="s">
        <v>2704</v>
      </c>
      <c r="O1153" s="129" t="s">
        <v>2704</v>
      </c>
      <c r="P1153" s="123" t="str">
        <f>"C"&amp;INT((MONTH(A1153)-1)/4)+1&amp;"-"&amp;YEAR(A1153)</f>
        <v>C1-2026</v>
      </c>
      <c r="Q1153" s="124" t="str">
        <f>"T"&amp;INT((MONTH(A1153)-1)/3)+1&amp;"-"&amp;YEAR(A1153)</f>
        <v>T1-2026</v>
      </c>
      <c r="R1153" s="91" t="s">
        <v>2705</v>
      </c>
      <c r="S1153" s="124" t="s">
        <v>2706</v>
      </c>
      <c r="T1153" s="124" t="s">
        <v>2717</v>
      </c>
      <c r="U1153" s="9" t="s">
        <v>2708</v>
      </c>
      <c r="V1153" s="205" t="s">
        <v>56</v>
      </c>
      <c r="W1153" s="122" t="s">
        <v>125</v>
      </c>
      <c r="X1153" s="123" t="s">
        <v>2709</v>
      </c>
    </row>
    <row r="1154" spans="1:24">
      <c r="A1154" s="548">
        <v>46038</v>
      </c>
      <c r="B1154" s="134" t="s">
        <v>4186</v>
      </c>
      <c r="C1154" s="32" t="s">
        <v>2697</v>
      </c>
      <c r="D1154" s="126">
        <v>-12.88</v>
      </c>
      <c r="E1154" s="120">
        <v>1</v>
      </c>
      <c r="F1154" s="127">
        <f>Tabla5109[[#This Row],[Original Amount]]*Tabla5109[[#This Row],[ER to EUR]]</f>
        <v>-12.88</v>
      </c>
      <c r="G1154" s="9" t="s">
        <v>2839</v>
      </c>
      <c r="H1154" s="9" t="s">
        <v>2840</v>
      </c>
      <c r="I1154" s="9" t="s">
        <v>2784</v>
      </c>
      <c r="J1154" s="9" t="s">
        <v>2701</v>
      </c>
      <c r="K1154" s="205" t="s">
        <v>2702</v>
      </c>
      <c r="L1154" s="9" t="s">
        <v>2703</v>
      </c>
      <c r="M1154" s="32" t="s">
        <v>125</v>
      </c>
      <c r="N1154" s="129" t="s">
        <v>2704</v>
      </c>
      <c r="O1154" s="122" t="s">
        <v>2704</v>
      </c>
      <c r="P1154" s="123" t="str">
        <f>"C"&amp;INT((MONTH(A1154)-1)/4)+1&amp;"-"&amp;YEAR(A1154)</f>
        <v>C1-2026</v>
      </c>
      <c r="Q1154" s="124" t="str">
        <f>"T"&amp;INT((MONTH(A1154)-1)/3)+1&amp;"-"&amp;YEAR(A1154)</f>
        <v>T1-2026</v>
      </c>
      <c r="R1154" s="124" t="s">
        <v>2705</v>
      </c>
      <c r="S1154" s="124" t="s">
        <v>2706</v>
      </c>
      <c r="T1154" s="124" t="s">
        <v>2707</v>
      </c>
      <c r="U1154" s="9" t="s">
        <v>2708</v>
      </c>
      <c r="V1154" s="205" t="s">
        <v>56</v>
      </c>
      <c r="W1154" s="122" t="s">
        <v>125</v>
      </c>
      <c r="X1154" s="124" t="s">
        <v>2709</v>
      </c>
    </row>
    <row r="1155" spans="1:24">
      <c r="A1155" s="548">
        <v>46039</v>
      </c>
      <c r="B1155" s="134" t="s">
        <v>4187</v>
      </c>
      <c r="C1155" s="32" t="s">
        <v>2697</v>
      </c>
      <c r="D1155" s="126">
        <v>-250.91</v>
      </c>
      <c r="E1155" s="120">
        <v>1</v>
      </c>
      <c r="F1155" s="127">
        <f>Tabla5109[[#This Row],[Original Amount]]*Tabla5109[[#This Row],[ER to EUR]]</f>
        <v>-250.91</v>
      </c>
      <c r="G1155" s="9" t="s">
        <v>3116</v>
      </c>
      <c r="H1155" s="9" t="s">
        <v>4188</v>
      </c>
      <c r="I1155" s="9" t="s">
        <v>2713</v>
      </c>
      <c r="J1155" s="9" t="s">
        <v>2701</v>
      </c>
      <c r="K1155" s="205" t="s">
        <v>2702</v>
      </c>
      <c r="L1155" s="9" t="s">
        <v>2703</v>
      </c>
      <c r="M1155" s="32" t="s">
        <v>125</v>
      </c>
      <c r="N1155" s="122" t="s">
        <v>2704</v>
      </c>
      <c r="O1155" s="129" t="s">
        <v>2704</v>
      </c>
      <c r="P1155" s="123" t="str">
        <f>"C"&amp;INT((MONTH(A1155)-1)/4)+1&amp;"-"&amp;YEAR(A1155)</f>
        <v>C1-2026</v>
      </c>
      <c r="Q1155" s="124" t="str">
        <f>"T"&amp;INT((MONTH(A1155)-1)/3)+1&amp;"-"&amp;YEAR(A1155)</f>
        <v>T1-2026</v>
      </c>
      <c r="R1155" s="124" t="s">
        <v>2794</v>
      </c>
      <c r="S1155" s="124" t="s">
        <v>3041</v>
      </c>
      <c r="T1155" s="124" t="s">
        <v>2707</v>
      </c>
      <c r="U1155" s="9" t="s">
        <v>51</v>
      </c>
      <c r="V1155" s="205" t="s">
        <v>57</v>
      </c>
      <c r="W1155" s="122" t="s">
        <v>125</v>
      </c>
      <c r="X1155" s="124" t="s">
        <v>2709</v>
      </c>
    </row>
    <row r="1156" spans="1:24">
      <c r="A1156" s="548">
        <v>46039</v>
      </c>
      <c r="B1156" s="134" t="s">
        <v>4189</v>
      </c>
      <c r="C1156" s="32" t="s">
        <v>2548</v>
      </c>
      <c r="D1156" s="151">
        <v>-360</v>
      </c>
      <c r="E1156" s="221">
        <v>0.85128099999999995</v>
      </c>
      <c r="F1156" s="127">
        <f>Tabla5109[[#This Row],[Original Amount]]*Tabla5109[[#This Row],[ER to EUR]]</f>
        <v>-306.46116000000001</v>
      </c>
      <c r="G1156" s="9" t="s">
        <v>2786</v>
      </c>
      <c r="H1156" s="9" t="s">
        <v>4190</v>
      </c>
      <c r="I1156" s="9" t="s">
        <v>4072</v>
      </c>
      <c r="J1156" s="9" t="s">
        <v>2701</v>
      </c>
      <c r="K1156" s="205" t="s">
        <v>2702</v>
      </c>
      <c r="L1156" s="9" t="s">
        <v>2788</v>
      </c>
      <c r="M1156" s="32" t="s">
        <v>125</v>
      </c>
      <c r="N1156" s="122" t="s">
        <v>2704</v>
      </c>
      <c r="O1156" s="129" t="s">
        <v>2704</v>
      </c>
      <c r="P1156" s="123" t="str">
        <f>"C"&amp;INT((MONTH(A1156)-1)/4)+1&amp;"-"&amp;YEAR(A1156)</f>
        <v>C1-2026</v>
      </c>
      <c r="Q1156" s="124" t="str">
        <f>"T"&amp;INT((MONTH(A1156)-1)/3)+1&amp;"-"&amp;YEAR(A1156)</f>
        <v>T1-2026</v>
      </c>
      <c r="R1156" s="124" t="s">
        <v>2705</v>
      </c>
      <c r="S1156" s="124" t="s">
        <v>2706</v>
      </c>
      <c r="T1156" s="124" t="s">
        <v>2724</v>
      </c>
      <c r="U1156" s="9" t="s">
        <v>2708</v>
      </c>
      <c r="V1156" s="205" t="s">
        <v>56</v>
      </c>
      <c r="W1156" s="122" t="s">
        <v>125</v>
      </c>
      <c r="X1156" s="123" t="s">
        <v>2709</v>
      </c>
    </row>
    <row r="1157" spans="1:24">
      <c r="A1157" s="548">
        <v>46039</v>
      </c>
      <c r="B1157" s="134" t="s">
        <v>4191</v>
      </c>
      <c r="C1157" s="32" t="s">
        <v>2697</v>
      </c>
      <c r="D1157" s="126">
        <v>-81</v>
      </c>
      <c r="E1157" s="120">
        <v>1</v>
      </c>
      <c r="F1157" s="127">
        <f>Tabla5109[[#This Row],[Original Amount]]*Tabla5109[[#This Row],[ER to EUR]]</f>
        <v>-81</v>
      </c>
      <c r="G1157" s="9" t="s">
        <v>2833</v>
      </c>
      <c r="H1157" s="9" t="s">
        <v>2834</v>
      </c>
      <c r="I1157" s="9" t="s">
        <v>2713</v>
      </c>
      <c r="J1157" s="9" t="s">
        <v>2701</v>
      </c>
      <c r="K1157" s="205" t="s">
        <v>2702</v>
      </c>
      <c r="L1157" s="211" t="s">
        <v>2818</v>
      </c>
      <c r="M1157" s="32" t="s">
        <v>125</v>
      </c>
      <c r="N1157" s="122" t="s">
        <v>2704</v>
      </c>
      <c r="O1157" s="129" t="s">
        <v>2704</v>
      </c>
      <c r="P1157" s="123" t="str">
        <f>"C"&amp;INT((MONTH(A1157)-1)/4)+1&amp;"-"&amp;YEAR(A1157)</f>
        <v>C1-2026</v>
      </c>
      <c r="Q1157" s="124" t="str">
        <f>"T"&amp;INT((MONTH(A1157)-1)/3)+1&amp;"-"&amp;YEAR(A1157)</f>
        <v>T1-2026</v>
      </c>
      <c r="R1157" s="91" t="s">
        <v>2819</v>
      </c>
      <c r="S1157" s="124" t="s">
        <v>2817</v>
      </c>
      <c r="T1157" s="124" t="s">
        <v>2724</v>
      </c>
      <c r="U1157" s="9" t="s">
        <v>2708</v>
      </c>
      <c r="V1157" s="205" t="s">
        <v>54</v>
      </c>
      <c r="W1157" s="122" t="s">
        <v>125</v>
      </c>
      <c r="X1157" s="124" t="s">
        <v>2709</v>
      </c>
    </row>
    <row r="1158" spans="1:24">
      <c r="A1158" s="548">
        <v>46040</v>
      </c>
      <c r="B1158" s="134" t="s">
        <v>4192</v>
      </c>
      <c r="C1158" s="32" t="s">
        <v>2697</v>
      </c>
      <c r="D1158" s="126">
        <v>-241.03</v>
      </c>
      <c r="E1158" s="120">
        <v>1</v>
      </c>
      <c r="F1158" s="127">
        <f>Tabla5109[[#This Row],[Original Amount]]*Tabla5109[[#This Row],[ER to EUR]]</f>
        <v>-241.03</v>
      </c>
      <c r="G1158" s="9" t="s">
        <v>2839</v>
      </c>
      <c r="H1158" s="9" t="s">
        <v>2840</v>
      </c>
      <c r="I1158" s="9" t="s">
        <v>2784</v>
      </c>
      <c r="J1158" s="9" t="s">
        <v>2701</v>
      </c>
      <c r="K1158" s="205" t="s">
        <v>2702</v>
      </c>
      <c r="L1158" s="9" t="s">
        <v>2703</v>
      </c>
      <c r="M1158" s="32" t="s">
        <v>125</v>
      </c>
      <c r="N1158" s="129" t="s">
        <v>2704</v>
      </c>
      <c r="O1158" s="122" t="s">
        <v>2704</v>
      </c>
      <c r="P1158" s="123" t="str">
        <f>"C"&amp;INT((MONTH(A1158)-1)/4)+1&amp;"-"&amp;YEAR(A1158)</f>
        <v>C1-2026</v>
      </c>
      <c r="Q1158" s="124" t="str">
        <f>"T"&amp;INT((MONTH(A1158)-1)/3)+1&amp;"-"&amp;YEAR(A1158)</f>
        <v>T1-2026</v>
      </c>
      <c r="R1158" s="124" t="s">
        <v>2705</v>
      </c>
      <c r="S1158" s="124" t="s">
        <v>2706</v>
      </c>
      <c r="T1158" s="124" t="s">
        <v>2707</v>
      </c>
      <c r="U1158" s="9" t="s">
        <v>2708</v>
      </c>
      <c r="V1158" s="205" t="s">
        <v>56</v>
      </c>
      <c r="W1158" s="122" t="s">
        <v>125</v>
      </c>
      <c r="X1158" s="124" t="s">
        <v>2709</v>
      </c>
    </row>
    <row r="1159" spans="1:24">
      <c r="A1159" s="548">
        <v>46040</v>
      </c>
      <c r="B1159" s="134">
        <v>2016881</v>
      </c>
      <c r="C1159" s="32" t="s">
        <v>2697</v>
      </c>
      <c r="D1159" s="126">
        <v>-187.25</v>
      </c>
      <c r="E1159" s="120">
        <v>1</v>
      </c>
      <c r="F1159" s="127">
        <f>Tabla5109[[#This Row],[Original Amount]]*Tabla5109[[#This Row],[ER to EUR]]</f>
        <v>-187.25</v>
      </c>
      <c r="G1159" s="9" t="s">
        <v>2815</v>
      </c>
      <c r="H1159" s="91" t="s">
        <v>2816</v>
      </c>
      <c r="I1159" s="91" t="s">
        <v>2727</v>
      </c>
      <c r="J1159" s="91" t="s">
        <v>2817</v>
      </c>
      <c r="K1159" s="196" t="s">
        <v>2702</v>
      </c>
      <c r="L1159" s="91" t="s">
        <v>2818</v>
      </c>
      <c r="M1159" s="32" t="s">
        <v>125</v>
      </c>
      <c r="N1159" s="122" t="s">
        <v>2704</v>
      </c>
      <c r="O1159" s="129" t="s">
        <v>2704</v>
      </c>
      <c r="P1159" s="123" t="str">
        <f>"C"&amp;INT((MONTH(A1159)-1)/4)+1&amp;"-"&amp;YEAR(A1159)</f>
        <v>C1-2026</v>
      </c>
      <c r="Q1159" s="124" t="str">
        <f>"T"&amp;INT((MONTH(A1159)-1)/3)+1&amp;"-"&amp;YEAR(A1159)</f>
        <v>T1-2026</v>
      </c>
      <c r="R1159" s="124" t="s">
        <v>2819</v>
      </c>
      <c r="S1159" s="124" t="s">
        <v>2723</v>
      </c>
      <c r="T1159" s="124" t="s">
        <v>2724</v>
      </c>
      <c r="U1159" s="9" t="s">
        <v>2708</v>
      </c>
      <c r="V1159" s="205" t="s">
        <v>54</v>
      </c>
      <c r="W1159" s="122" t="s">
        <v>125</v>
      </c>
      <c r="X1159" s="124" t="s">
        <v>2709</v>
      </c>
    </row>
    <row r="1160" spans="1:24">
      <c r="A1160" s="548">
        <v>46040</v>
      </c>
      <c r="B1160" s="134" t="s">
        <v>4193</v>
      </c>
      <c r="C1160" s="32" t="s">
        <v>2697</v>
      </c>
      <c r="D1160" s="126">
        <v>-598.5</v>
      </c>
      <c r="E1160" s="120">
        <v>1</v>
      </c>
      <c r="F1160" s="127">
        <f>Tabla5109[[#This Row],[Original Amount]]*Tabla5109[[#This Row],[ER to EUR]]</f>
        <v>-598.5</v>
      </c>
      <c r="G1160" s="9" t="s">
        <v>2753</v>
      </c>
      <c r="H1160" s="91" t="s">
        <v>4194</v>
      </c>
      <c r="I1160" s="9" t="s">
        <v>2755</v>
      </c>
      <c r="J1160" s="9" t="s">
        <v>2701</v>
      </c>
      <c r="K1160" s="205" t="s">
        <v>2702</v>
      </c>
      <c r="L1160" s="9" t="s">
        <v>2703</v>
      </c>
      <c r="M1160" s="32" t="s">
        <v>125</v>
      </c>
      <c r="N1160" s="129" t="s">
        <v>2704</v>
      </c>
      <c r="O1160" s="129" t="s">
        <v>2704</v>
      </c>
      <c r="P1160" s="123" t="str">
        <f>"C"&amp;INT((MONTH(A1160)-1)/4)+1&amp;"-"&amp;YEAR(A1160)</f>
        <v>C1-2026</v>
      </c>
      <c r="Q1160" s="124" t="str">
        <f>"T"&amp;INT((MONTH(A1160)-1)/3)+1&amp;"-"&amp;YEAR(A1160)</f>
        <v>T1-2026</v>
      </c>
      <c r="R1160" s="124" t="s">
        <v>2705</v>
      </c>
      <c r="S1160" s="124" t="s">
        <v>2706</v>
      </c>
      <c r="T1160" s="124" t="s">
        <v>2707</v>
      </c>
      <c r="U1160" s="9" t="s">
        <v>2708</v>
      </c>
      <c r="V1160" s="205" t="s">
        <v>56</v>
      </c>
      <c r="W1160" s="122" t="s">
        <v>125</v>
      </c>
      <c r="X1160" s="124" t="s">
        <v>2709</v>
      </c>
    </row>
    <row r="1161" spans="1:24">
      <c r="A1161" s="548">
        <v>46041</v>
      </c>
      <c r="B1161" s="134" t="s">
        <v>4195</v>
      </c>
      <c r="C1161" s="32" t="s">
        <v>2697</v>
      </c>
      <c r="D1161" s="126">
        <v>-192.44</v>
      </c>
      <c r="E1161" s="120">
        <v>1</v>
      </c>
      <c r="F1161" s="127">
        <f>Tabla5109[[#This Row],[Original Amount]]*Tabla5109[[#This Row],[ER to EUR]]</f>
        <v>-192.44</v>
      </c>
      <c r="G1161" s="9" t="s">
        <v>2766</v>
      </c>
      <c r="H1161" s="9" t="s">
        <v>4878</v>
      </c>
      <c r="I1161" s="9" t="s">
        <v>2713</v>
      </c>
      <c r="J1161" s="9" t="s">
        <v>2701</v>
      </c>
      <c r="K1161" s="205" t="s">
        <v>2702</v>
      </c>
      <c r="L1161" s="9" t="s">
        <v>2760</v>
      </c>
      <c r="M1161" s="32" t="s">
        <v>125</v>
      </c>
      <c r="N1161" s="122" t="s">
        <v>2704</v>
      </c>
      <c r="O1161" s="122" t="s">
        <v>2704</v>
      </c>
      <c r="P1161" s="123" t="str">
        <f>"C"&amp;INT((MONTH(A1161)-1)/4)+1&amp;"-"&amp;YEAR(A1161)</f>
        <v>C1-2026</v>
      </c>
      <c r="Q1161" s="124" t="str">
        <f>"T"&amp;INT((MONTH(A1161)-1)/3)+1&amp;"-"&amp;YEAR(A1161)</f>
        <v>T1-2026</v>
      </c>
      <c r="R1161" s="124" t="s">
        <v>2705</v>
      </c>
      <c r="S1161" s="124" t="s">
        <v>2735</v>
      </c>
      <c r="T1161" s="124" t="s">
        <v>2724</v>
      </c>
      <c r="U1161" s="9" t="s">
        <v>2708</v>
      </c>
      <c r="V1161" s="205" t="s">
        <v>55</v>
      </c>
      <c r="W1161" s="122" t="s">
        <v>125</v>
      </c>
      <c r="X1161" s="124" t="s">
        <v>2709</v>
      </c>
    </row>
    <row r="1162" spans="1:24">
      <c r="A1162" s="548">
        <v>46041</v>
      </c>
      <c r="B1162" s="134">
        <v>54072146</v>
      </c>
      <c r="C1162" s="32" t="s">
        <v>2543</v>
      </c>
      <c r="D1162" s="147">
        <v>-20266</v>
      </c>
      <c r="E1162" s="120">
        <v>9.4499999999999998E-4</v>
      </c>
      <c r="F1162" s="127">
        <f>Tabla5109[[#This Row],[Original Amount]]*Tabla5109[[#This Row],[ER to EUR]]</f>
        <v>-19.15137</v>
      </c>
      <c r="G1162" s="9" t="s">
        <v>4101</v>
      </c>
      <c r="H1162" s="9" t="s">
        <v>4102</v>
      </c>
      <c r="I1162" s="9" t="s">
        <v>3288</v>
      </c>
      <c r="J1162" s="9" t="s">
        <v>2701</v>
      </c>
      <c r="K1162" s="205" t="s">
        <v>2809</v>
      </c>
      <c r="L1162" s="9" t="s">
        <v>2810</v>
      </c>
      <c r="M1162" s="227" t="s">
        <v>2748</v>
      </c>
      <c r="N1162" s="122" t="s">
        <v>2748</v>
      </c>
      <c r="O1162" s="129" t="s">
        <v>2704</v>
      </c>
      <c r="P1162" s="123" t="str">
        <f>"C"&amp;INT((MONTH(A1162)-1)/4)+1&amp;"-"&amp;YEAR(A1162)</f>
        <v>C1-2026</v>
      </c>
      <c r="Q1162" s="124" t="str">
        <f>"T"&amp;INT((MONTH(A1162)-1)/3)+1&amp;"-"&amp;YEAR(A1162)</f>
        <v>T1-2026</v>
      </c>
      <c r="R1162" s="124" t="s">
        <v>2828</v>
      </c>
      <c r="S1162" s="124" t="s">
        <v>2706</v>
      </c>
      <c r="T1162" s="124" t="s">
        <v>2724</v>
      </c>
      <c r="U1162" s="9" t="s">
        <v>2708</v>
      </c>
      <c r="V1162" s="205" t="s">
        <v>56</v>
      </c>
      <c r="W1162" s="122" t="s">
        <v>125</v>
      </c>
      <c r="X1162" s="124" t="s">
        <v>2751</v>
      </c>
    </row>
    <row r="1163" spans="1:24">
      <c r="A1163" s="548">
        <v>46042</v>
      </c>
      <c r="B1163" s="134">
        <v>31222</v>
      </c>
      <c r="C1163" s="32" t="s">
        <v>2697</v>
      </c>
      <c r="D1163" s="126">
        <v>-10</v>
      </c>
      <c r="E1163" s="120">
        <v>1</v>
      </c>
      <c r="F1163" s="127">
        <f>Tabla5109[[#This Row],[Original Amount]]*Tabla5109[[#This Row],[ER to EUR]]</f>
        <v>-10</v>
      </c>
      <c r="G1163" s="9" t="s">
        <v>3755</v>
      </c>
      <c r="H1163" s="9" t="s">
        <v>4196</v>
      </c>
      <c r="I1163" s="9" t="s">
        <v>3831</v>
      </c>
      <c r="J1163" s="9" t="s">
        <v>2825</v>
      </c>
      <c r="K1163" s="205" t="s">
        <v>2826</v>
      </c>
      <c r="L1163" s="9" t="s">
        <v>2827</v>
      </c>
      <c r="M1163" s="32" t="s">
        <v>125</v>
      </c>
      <c r="N1163" s="129" t="s">
        <v>2704</v>
      </c>
      <c r="O1163" s="122" t="s">
        <v>2704</v>
      </c>
      <c r="P1163" s="123" t="str">
        <f>"C"&amp;INT((MONTH(A1163)-1)/4)+1&amp;"-"&amp;YEAR(A1163)</f>
        <v>C1-2026</v>
      </c>
      <c r="Q1163" s="124" t="str">
        <f>"T"&amp;INT((MONTH(A1163)-1)/3)+1&amp;"-"&amp;YEAR(A1163)</f>
        <v>T1-2026</v>
      </c>
      <c r="R1163" s="124" t="s">
        <v>2705</v>
      </c>
      <c r="S1163" s="124" t="s">
        <v>2706</v>
      </c>
      <c r="T1163" s="124" t="s">
        <v>2717</v>
      </c>
      <c r="U1163" s="9" t="s">
        <v>2708</v>
      </c>
      <c r="V1163" s="205" t="s">
        <v>56</v>
      </c>
      <c r="W1163" s="122" t="s">
        <v>125</v>
      </c>
      <c r="X1163" s="124" t="s">
        <v>2709</v>
      </c>
    </row>
    <row r="1164" spans="1:24">
      <c r="A1164" s="548">
        <v>46042</v>
      </c>
      <c r="B1164" s="134">
        <v>1117</v>
      </c>
      <c r="C1164" s="32" t="s">
        <v>2697</v>
      </c>
      <c r="D1164" s="126">
        <v>-59.4</v>
      </c>
      <c r="E1164" s="120">
        <v>1</v>
      </c>
      <c r="F1164" s="127">
        <f>Tabla5109[[#This Row],[Original Amount]]*Tabla5109[[#This Row],[ER to EUR]]</f>
        <v>-59.4</v>
      </c>
      <c r="G1164" s="9" t="s">
        <v>4197</v>
      </c>
      <c r="H1164" s="9" t="s">
        <v>4198</v>
      </c>
      <c r="I1164" s="9" t="s">
        <v>2713</v>
      </c>
      <c r="J1164" s="9" t="s">
        <v>2825</v>
      </c>
      <c r="K1164" s="205" t="s">
        <v>2826</v>
      </c>
      <c r="L1164" s="9" t="s">
        <v>2827</v>
      </c>
      <c r="M1164" s="32" t="s">
        <v>125</v>
      </c>
      <c r="N1164" s="129" t="s">
        <v>2704</v>
      </c>
      <c r="O1164" s="122" t="s">
        <v>2704</v>
      </c>
      <c r="P1164" s="123" t="str">
        <f>"C"&amp;INT((MONTH(A1164)-1)/4)+1&amp;"-"&amp;YEAR(A1164)</f>
        <v>C1-2026</v>
      </c>
      <c r="Q1164" s="124" t="str">
        <f>"T"&amp;INT((MONTH(A1164)-1)/3)+1&amp;"-"&amp;YEAR(A1164)</f>
        <v>T1-2026</v>
      </c>
      <c r="R1164" s="124" t="s">
        <v>2705</v>
      </c>
      <c r="S1164" s="124" t="s">
        <v>2706</v>
      </c>
      <c r="T1164" s="124" t="s">
        <v>2717</v>
      </c>
      <c r="U1164" s="9" t="s">
        <v>2708</v>
      </c>
      <c r="V1164" s="205" t="s">
        <v>56</v>
      </c>
      <c r="W1164" s="122" t="s">
        <v>125</v>
      </c>
      <c r="X1164" s="124" t="s">
        <v>2709</v>
      </c>
    </row>
    <row r="1165" spans="1:24">
      <c r="A1165" s="548">
        <v>46042</v>
      </c>
      <c r="B1165" s="134" t="s">
        <v>4199</v>
      </c>
      <c r="C1165" s="129" t="s">
        <v>2697</v>
      </c>
      <c r="D1165" s="126">
        <v>-19.329999999999998</v>
      </c>
      <c r="E1165" s="232">
        <v>1</v>
      </c>
      <c r="F1165" s="127">
        <v>-19.329999999999998</v>
      </c>
      <c r="G1165" s="91" t="s">
        <v>2996</v>
      </c>
      <c r="H1165" s="91" t="s">
        <v>2997</v>
      </c>
      <c r="I1165" s="91" t="s">
        <v>2727</v>
      </c>
      <c r="J1165" s="91" t="s">
        <v>2701</v>
      </c>
      <c r="K1165" s="196" t="s">
        <v>2702</v>
      </c>
      <c r="L1165" s="91" t="s">
        <v>2703</v>
      </c>
      <c r="M1165" s="32" t="s">
        <v>125</v>
      </c>
      <c r="N1165" s="129" t="s">
        <v>2704</v>
      </c>
      <c r="O1165" s="129" t="s">
        <v>2704</v>
      </c>
      <c r="P1165" s="123" t="str">
        <f>"C"&amp;INT((MONTH(A1165)-1)/4)+1&amp;"-"&amp;YEAR(A1165)</f>
        <v>C1-2026</v>
      </c>
      <c r="Q1165" s="124" t="str">
        <f>"T"&amp;INT((MONTH(A1165)-1)/3)+1&amp;"-"&amp;YEAR(A1165)</f>
        <v>T1-2026</v>
      </c>
      <c r="R1165" s="124" t="s">
        <v>2705</v>
      </c>
      <c r="S1165" s="124" t="s">
        <v>2735</v>
      </c>
      <c r="T1165" s="124" t="s">
        <v>2724</v>
      </c>
      <c r="U1165" s="9" t="s">
        <v>2708</v>
      </c>
      <c r="V1165" s="205" t="s">
        <v>56</v>
      </c>
      <c r="W1165" s="122" t="s">
        <v>125</v>
      </c>
      <c r="X1165" s="124" t="s">
        <v>2709</v>
      </c>
    </row>
    <row r="1166" spans="1:24">
      <c r="A1166" s="548">
        <v>46043</v>
      </c>
      <c r="B1166" s="134" t="s">
        <v>4200</v>
      </c>
      <c r="C1166" s="32" t="s">
        <v>2697</v>
      </c>
      <c r="D1166" s="126">
        <v>-1435.3</v>
      </c>
      <c r="E1166" s="120">
        <v>1</v>
      </c>
      <c r="F1166" s="127">
        <f>Tabla5109[[#This Row],[Original Amount]]*Tabla5109[[#This Row],[ER to EUR]]</f>
        <v>-1435.3</v>
      </c>
      <c r="G1166" s="9" t="s">
        <v>4140</v>
      </c>
      <c r="H1166" s="9" t="s">
        <v>4141</v>
      </c>
      <c r="I1166" s="9" t="s">
        <v>2713</v>
      </c>
      <c r="J1166" s="9" t="s">
        <v>2714</v>
      </c>
      <c r="K1166" s="205" t="s">
        <v>2747</v>
      </c>
      <c r="L1166" s="211" t="s">
        <v>2864</v>
      </c>
      <c r="M1166" s="227" t="s">
        <v>125</v>
      </c>
      <c r="N1166" s="122" t="s">
        <v>2704</v>
      </c>
      <c r="O1166" s="129" t="s">
        <v>2704</v>
      </c>
      <c r="P1166" s="123" t="str">
        <f>"C"&amp;INT((MONTH(A1166)-1)/4)+1&amp;"-"&amp;YEAR(A1166)</f>
        <v>C1-2026</v>
      </c>
      <c r="Q1166" s="124" t="str">
        <f>"T"&amp;INT((MONTH(A1166)-1)/3)+1&amp;"-"&amp;YEAR(A1166)</f>
        <v>T1-2026</v>
      </c>
      <c r="R1166" s="91" t="s">
        <v>2705</v>
      </c>
      <c r="S1166" s="124" t="s">
        <v>2706</v>
      </c>
      <c r="T1166" s="124" t="s">
        <v>2717</v>
      </c>
      <c r="U1166" s="9" t="s">
        <v>2708</v>
      </c>
      <c r="V1166" s="205" t="s">
        <v>56</v>
      </c>
      <c r="W1166" s="122" t="s">
        <v>125</v>
      </c>
      <c r="X1166" s="124" t="s">
        <v>2709</v>
      </c>
    </row>
    <row r="1167" spans="1:24">
      <c r="A1167" s="548">
        <v>46043</v>
      </c>
      <c r="B1167" s="134">
        <v>22626</v>
      </c>
      <c r="C1167" s="32" t="s">
        <v>2697</v>
      </c>
      <c r="D1167" s="126">
        <v>-8.4</v>
      </c>
      <c r="E1167" s="120">
        <v>1</v>
      </c>
      <c r="F1167" s="127">
        <f>Tabla5109[[#This Row],[Original Amount]]*Tabla5109[[#This Row],[ER to EUR]]</f>
        <v>-8.4</v>
      </c>
      <c r="G1167" s="9" t="s">
        <v>3755</v>
      </c>
      <c r="H1167" s="9" t="s">
        <v>4201</v>
      </c>
      <c r="I1167" s="9" t="s">
        <v>3831</v>
      </c>
      <c r="J1167" s="9" t="s">
        <v>2825</v>
      </c>
      <c r="K1167" s="205" t="s">
        <v>2826</v>
      </c>
      <c r="L1167" s="9" t="s">
        <v>2827</v>
      </c>
      <c r="M1167" s="32" t="s">
        <v>125</v>
      </c>
      <c r="N1167" s="129" t="s">
        <v>2704</v>
      </c>
      <c r="O1167" s="122" t="s">
        <v>2704</v>
      </c>
      <c r="P1167" s="123" t="str">
        <f>"C"&amp;INT((MONTH(A1167)-1)/4)+1&amp;"-"&amp;YEAR(A1167)</f>
        <v>C1-2026</v>
      </c>
      <c r="Q1167" s="124" t="str">
        <f>"T"&amp;INT((MONTH(A1167)-1)/3)+1&amp;"-"&amp;YEAR(A1167)</f>
        <v>T1-2026</v>
      </c>
      <c r="R1167" s="124" t="s">
        <v>2705</v>
      </c>
      <c r="S1167" s="124" t="s">
        <v>2706</v>
      </c>
      <c r="T1167" s="124" t="s">
        <v>2717</v>
      </c>
      <c r="U1167" s="9" t="s">
        <v>2708</v>
      </c>
      <c r="V1167" s="205" t="s">
        <v>56</v>
      </c>
      <c r="W1167" s="122" t="s">
        <v>125</v>
      </c>
      <c r="X1167" s="124" t="s">
        <v>2709</v>
      </c>
    </row>
    <row r="1168" spans="1:24">
      <c r="A1168" s="548">
        <v>46043</v>
      </c>
      <c r="B1168" s="134">
        <v>781192599415</v>
      </c>
      <c r="C1168" s="32" t="s">
        <v>2697</v>
      </c>
      <c r="D1168" s="126">
        <v>-43.38</v>
      </c>
      <c r="E1168" s="120">
        <v>1</v>
      </c>
      <c r="F1168" s="127">
        <f>Tabla5109[[#This Row],[Original Amount]]*Tabla5109[[#This Row],[ER to EUR]]</f>
        <v>-43.38</v>
      </c>
      <c r="G1168" s="9" t="s">
        <v>2718</v>
      </c>
      <c r="H1168" s="9" t="s">
        <v>3868</v>
      </c>
      <c r="I1168" s="9" t="s">
        <v>2755</v>
      </c>
      <c r="J1168" s="9" t="s">
        <v>2714</v>
      </c>
      <c r="K1168" s="205" t="s">
        <v>2721</v>
      </c>
      <c r="L1168" s="9" t="s">
        <v>2716</v>
      </c>
      <c r="M1168" s="32" t="s">
        <v>125</v>
      </c>
      <c r="N1168" s="129" t="s">
        <v>2748</v>
      </c>
      <c r="O1168" s="122" t="s">
        <v>2748</v>
      </c>
      <c r="P1168" s="123" t="str">
        <f>"C"&amp;INT((MONTH(A1168)-1)/4)+1&amp;"-"&amp;YEAR(A1168)</f>
        <v>C1-2026</v>
      </c>
      <c r="Q1168" s="124" t="str">
        <f>"T"&amp;INT((MONTH(A1168)-1)/3)+1&amp;"-"&amp;YEAR(A1168)</f>
        <v>T1-2026</v>
      </c>
      <c r="R1168" s="124" t="s">
        <v>2722</v>
      </c>
      <c r="S1168" s="124" t="s">
        <v>2723</v>
      </c>
      <c r="T1168" s="124" t="s">
        <v>2724</v>
      </c>
      <c r="U1168" s="9" t="s">
        <v>2708</v>
      </c>
      <c r="V1168" s="205" t="s">
        <v>54</v>
      </c>
      <c r="W1168" s="122" t="s">
        <v>125</v>
      </c>
      <c r="X1168" s="124" t="s">
        <v>2709</v>
      </c>
    </row>
    <row r="1169" spans="1:24">
      <c r="A1169" s="548">
        <v>46043</v>
      </c>
      <c r="B1169" s="134">
        <v>27</v>
      </c>
      <c r="C1169" s="32" t="s">
        <v>2543</v>
      </c>
      <c r="D1169" s="147">
        <v>-1456000</v>
      </c>
      <c r="E1169" s="120">
        <v>9.4499999999999998E-4</v>
      </c>
      <c r="F1169" s="127">
        <f>Tabla5109[[#This Row],[Original Amount]]*Tabla5109[[#This Row],[ER to EUR]]</f>
        <v>-1375.92</v>
      </c>
      <c r="G1169" s="9" t="s">
        <v>3566</v>
      </c>
      <c r="H1169" s="9" t="s">
        <v>4000</v>
      </c>
      <c r="I1169" s="9" t="s">
        <v>2713</v>
      </c>
      <c r="J1169" s="9" t="s">
        <v>2714</v>
      </c>
      <c r="K1169" s="205" t="s">
        <v>2747</v>
      </c>
      <c r="L1169" s="9" t="s">
        <v>2864</v>
      </c>
      <c r="M1169" s="226" t="s">
        <v>2748</v>
      </c>
      <c r="N1169" s="129" t="s">
        <v>2704</v>
      </c>
      <c r="O1169" s="129" t="s">
        <v>2704</v>
      </c>
      <c r="P1169" s="123" t="str">
        <f>"C"&amp;INT((MONTH(A1169)-1)/4)+1&amp;"-"&amp;YEAR(A1169)</f>
        <v>C1-2026</v>
      </c>
      <c r="Q1169" s="124" t="str">
        <f>"T"&amp;INT((MONTH(A1169)-1)/3)+1&amp;"-"&amp;YEAR(A1169)</f>
        <v>T1-2026</v>
      </c>
      <c r="R1169" s="124" t="s">
        <v>2705</v>
      </c>
      <c r="S1169" s="124" t="s">
        <v>2706</v>
      </c>
      <c r="T1169" s="124" t="s">
        <v>2724</v>
      </c>
      <c r="U1169" s="9" t="s">
        <v>2708</v>
      </c>
      <c r="V1169" s="205" t="s">
        <v>56</v>
      </c>
      <c r="W1169" s="122" t="s">
        <v>125</v>
      </c>
      <c r="X1169" s="123" t="s">
        <v>2709</v>
      </c>
    </row>
    <row r="1170" spans="1:24">
      <c r="A1170" s="548">
        <v>46044</v>
      </c>
      <c r="B1170" s="134">
        <v>192723339</v>
      </c>
      <c r="C1170" s="32" t="s">
        <v>2548</v>
      </c>
      <c r="D1170" s="151">
        <v>-39.840000000000003</v>
      </c>
      <c r="E1170" s="181">
        <v>0.85128099999999995</v>
      </c>
      <c r="F1170" s="127">
        <f>Tabla5109[[#This Row],[Original Amount]]*Tabla5109[[#This Row],[ER to EUR]]</f>
        <v>-33.915035039999999</v>
      </c>
      <c r="G1170" s="9" t="s">
        <v>4202</v>
      </c>
      <c r="H1170" s="9" t="s">
        <v>4203</v>
      </c>
      <c r="I1170" s="9" t="s">
        <v>4204</v>
      </c>
      <c r="J1170" s="9" t="s">
        <v>2701</v>
      </c>
      <c r="K1170" s="205" t="s">
        <v>2702</v>
      </c>
      <c r="L1170" s="211" t="s">
        <v>3693</v>
      </c>
      <c r="M1170" s="32" t="s">
        <v>125</v>
      </c>
      <c r="N1170" s="129" t="s">
        <v>2704</v>
      </c>
      <c r="O1170" s="122" t="s">
        <v>2704</v>
      </c>
      <c r="P1170" s="123" t="str">
        <f>"C"&amp;INT((MONTH(A1170)-1)/4)+1&amp;"-"&amp;YEAR(A1170)</f>
        <v>C1-2026</v>
      </c>
      <c r="Q1170" s="124" t="str">
        <f>"T"&amp;INT((MONTH(A1170)-1)/3)+1&amp;"-"&amp;YEAR(A1170)</f>
        <v>T1-2026</v>
      </c>
      <c r="R1170" s="124" t="s">
        <v>6006</v>
      </c>
      <c r="S1170" s="124" t="s">
        <v>4206</v>
      </c>
      <c r="T1170" s="124" t="s">
        <v>2717</v>
      </c>
      <c r="U1170" s="9" t="s">
        <v>2708</v>
      </c>
      <c r="V1170" s="205" t="s">
        <v>54</v>
      </c>
      <c r="W1170" s="122" t="s">
        <v>4207</v>
      </c>
      <c r="X1170" s="124" t="s">
        <v>2709</v>
      </c>
    </row>
    <row r="1171" spans="1:24">
      <c r="A1171" s="548">
        <v>46044</v>
      </c>
      <c r="B1171" s="506" t="s">
        <v>3999</v>
      </c>
      <c r="C1171" s="32" t="s">
        <v>2697</v>
      </c>
      <c r="D1171" s="126">
        <v>-4.1500000000000004</v>
      </c>
      <c r="E1171" s="120">
        <v>1</v>
      </c>
      <c r="F1171" s="127">
        <f>Tabla5109[[#This Row],[Original Amount]]*Tabla5109[[#This Row],[ER to EUR]]</f>
        <v>-4.1500000000000004</v>
      </c>
      <c r="G1171" s="9" t="s">
        <v>3930</v>
      </c>
      <c r="H1171" s="9" t="s">
        <v>4819</v>
      </c>
      <c r="I1171" s="9" t="s">
        <v>4820</v>
      </c>
      <c r="J1171" s="9" t="s">
        <v>3095</v>
      </c>
      <c r="K1171" s="205" t="s">
        <v>3627</v>
      </c>
      <c r="L1171" s="9" t="s">
        <v>3511</v>
      </c>
      <c r="M1171" s="32" t="s">
        <v>125</v>
      </c>
      <c r="N1171" s="122" t="s">
        <v>2748</v>
      </c>
      <c r="O1171" s="129" t="s">
        <v>2748</v>
      </c>
      <c r="P1171" s="123" t="str">
        <f>"C"&amp;INT((MONTH(A1171)-1)/4)+1&amp;"-"&amp;YEAR(A1171)</f>
        <v>C1-2026</v>
      </c>
      <c r="Q1171" s="124" t="str">
        <f>"T"&amp;INT((MONTH(A1171)-1)/3)+1&amp;"-"&amp;YEAR(A1171)</f>
        <v>T1-2026</v>
      </c>
      <c r="R1171" s="91" t="s">
        <v>2794</v>
      </c>
      <c r="S1171" s="124" t="s">
        <v>2731</v>
      </c>
      <c r="T1171" s="124" t="s">
        <v>2707</v>
      </c>
      <c r="U1171" s="9" t="s">
        <v>51</v>
      </c>
      <c r="V1171" s="205" t="s">
        <v>57</v>
      </c>
      <c r="W1171" s="122" t="s">
        <v>125</v>
      </c>
      <c r="X1171" s="124" t="s">
        <v>2709</v>
      </c>
    </row>
    <row r="1172" spans="1:24">
      <c r="A1172" s="548">
        <v>46045</v>
      </c>
      <c r="B1172" s="134" t="s">
        <v>4208</v>
      </c>
      <c r="C1172" s="32" t="s">
        <v>2697</v>
      </c>
      <c r="D1172" s="126">
        <v>-160.04</v>
      </c>
      <c r="E1172" s="120">
        <v>1</v>
      </c>
      <c r="F1172" s="127">
        <f>Tabla5109[[#This Row],[Original Amount]]*Tabla5109[[#This Row],[ER to EUR]]</f>
        <v>-160.04</v>
      </c>
      <c r="G1172" s="9" t="s">
        <v>3128</v>
      </c>
      <c r="H1172" s="9" t="s">
        <v>4003</v>
      </c>
      <c r="I1172" s="9" t="s">
        <v>2755</v>
      </c>
      <c r="J1172" s="9" t="s">
        <v>2701</v>
      </c>
      <c r="K1172" s="205" t="s">
        <v>2702</v>
      </c>
      <c r="L1172" s="9" t="s">
        <v>2703</v>
      </c>
      <c r="M1172" s="32" t="s">
        <v>125</v>
      </c>
      <c r="N1172" s="129" t="s">
        <v>2704</v>
      </c>
      <c r="O1172" s="122" t="s">
        <v>2704</v>
      </c>
      <c r="P1172" s="123" t="str">
        <f>"C"&amp;INT((MONTH(A1172)-1)/4)+1&amp;"-"&amp;YEAR(A1172)</f>
        <v>C1-2026</v>
      </c>
      <c r="Q1172" s="124" t="str">
        <f>"T"&amp;INT((MONTH(A1172)-1)/3)+1&amp;"-"&amp;YEAR(A1172)</f>
        <v>T1-2026</v>
      </c>
      <c r="R1172" s="124" t="s">
        <v>2741</v>
      </c>
      <c r="S1172" s="124" t="s">
        <v>2723</v>
      </c>
      <c r="T1172" s="124" t="s">
        <v>2707</v>
      </c>
      <c r="U1172" s="9" t="s">
        <v>2708</v>
      </c>
      <c r="V1172" s="205" t="s">
        <v>54</v>
      </c>
      <c r="W1172" s="122" t="s">
        <v>125</v>
      </c>
      <c r="X1172" s="124" t="s">
        <v>2709</v>
      </c>
    </row>
    <row r="1173" spans="1:24">
      <c r="A1173" s="548">
        <v>46045</v>
      </c>
      <c r="B1173" s="134" t="s">
        <v>4209</v>
      </c>
      <c r="C1173" s="32" t="s">
        <v>2697</v>
      </c>
      <c r="D1173" s="126">
        <v>-379</v>
      </c>
      <c r="E1173" s="120">
        <v>1</v>
      </c>
      <c r="F1173" s="127">
        <f>Tabla5109[[#This Row],[Original Amount]]*Tabla5109[[#This Row],[ER to EUR]]</f>
        <v>-379</v>
      </c>
      <c r="G1173" s="9" t="s">
        <v>3140</v>
      </c>
      <c r="H1173" s="9" t="s">
        <v>4210</v>
      </c>
      <c r="I1173" s="9" t="s">
        <v>2727</v>
      </c>
      <c r="J1173" s="9" t="s">
        <v>2770</v>
      </c>
      <c r="K1173" s="205" t="s">
        <v>2702</v>
      </c>
      <c r="L1173" s="9" t="s">
        <v>3142</v>
      </c>
      <c r="M1173" s="32" t="s">
        <v>125</v>
      </c>
      <c r="N1173" s="129" t="s">
        <v>2704</v>
      </c>
      <c r="O1173" s="122" t="s">
        <v>2704</v>
      </c>
      <c r="P1173" s="123" t="str">
        <f>"C"&amp;INT((MONTH(A1173)-1)/4)+1&amp;"-"&amp;YEAR(A1173)</f>
        <v>C1-2026</v>
      </c>
      <c r="Q1173" s="124" t="str">
        <f>"T"&amp;INT((MONTH(A1173)-1)/3)+1&amp;"-"&amp;YEAR(A1173)</f>
        <v>T1-2026</v>
      </c>
      <c r="R1173" s="91" t="s">
        <v>2749</v>
      </c>
      <c r="S1173" s="124" t="s">
        <v>2750</v>
      </c>
      <c r="T1173" s="124" t="s">
        <v>2724</v>
      </c>
      <c r="U1173" s="9" t="s">
        <v>2708</v>
      </c>
      <c r="V1173" s="205" t="s">
        <v>54</v>
      </c>
      <c r="W1173" s="122" t="s">
        <v>125</v>
      </c>
      <c r="X1173" s="124" t="s">
        <v>2709</v>
      </c>
    </row>
    <row r="1174" spans="1:24">
      <c r="A1174" s="548">
        <v>46045</v>
      </c>
      <c r="B1174" s="506" t="s">
        <v>4211</v>
      </c>
      <c r="C1174" s="32" t="s">
        <v>2697</v>
      </c>
      <c r="D1174" s="126">
        <v>-2000</v>
      </c>
      <c r="E1174" s="120">
        <v>1</v>
      </c>
      <c r="F1174" s="127">
        <f>Tabla5109[[#This Row],[Original Amount]]*Tabla5109[[#This Row],[ER to EUR]]</f>
        <v>-2000</v>
      </c>
      <c r="G1174" s="205" t="s">
        <v>3527</v>
      </c>
      <c r="H1174" s="205" t="s">
        <v>4212</v>
      </c>
      <c r="I1174" s="196" t="s">
        <v>2713</v>
      </c>
      <c r="J1174" s="205" t="s">
        <v>2714</v>
      </c>
      <c r="K1174" s="205" t="s">
        <v>2747</v>
      </c>
      <c r="L1174" s="547" t="s">
        <v>2864</v>
      </c>
      <c r="M1174" s="32" t="s">
        <v>125</v>
      </c>
      <c r="N1174" s="122" t="s">
        <v>2704</v>
      </c>
      <c r="O1174" s="129" t="s">
        <v>2704</v>
      </c>
      <c r="P1174" s="123" t="str">
        <f>"C"&amp;INT((MONTH(A1174)-1)/4)+1&amp;"-"&amp;YEAR(A1174)</f>
        <v>C1-2026</v>
      </c>
      <c r="Q1174" s="124" t="str">
        <f>"T"&amp;INT((MONTH(A1174)-1)/3)+1&amp;"-"&amp;YEAR(A1174)</f>
        <v>T1-2026</v>
      </c>
      <c r="R1174" s="91" t="s">
        <v>2705</v>
      </c>
      <c r="S1174" s="124" t="s">
        <v>2735</v>
      </c>
      <c r="T1174" s="124" t="s">
        <v>2724</v>
      </c>
      <c r="U1174" s="205" t="s">
        <v>2708</v>
      </c>
      <c r="V1174" s="205" t="s">
        <v>56</v>
      </c>
      <c r="W1174" s="122" t="s">
        <v>125</v>
      </c>
      <c r="X1174" s="123" t="s">
        <v>2709</v>
      </c>
    </row>
    <row r="1175" spans="1:24">
      <c r="A1175" s="548">
        <v>46047</v>
      </c>
      <c r="B1175" s="716" t="s">
        <v>4213</v>
      </c>
      <c r="C1175" s="32" t="s">
        <v>2548</v>
      </c>
      <c r="D1175" s="151">
        <v>-238</v>
      </c>
      <c r="E1175" s="181">
        <v>0.85128099999999995</v>
      </c>
      <c r="F1175" s="127">
        <f>Tabla5109[[#This Row],[Original Amount]]*Tabla5109[[#This Row],[ER to EUR]]</f>
        <v>-202.60487799999999</v>
      </c>
      <c r="G1175" s="9" t="s">
        <v>3248</v>
      </c>
      <c r="H1175" s="9" t="s">
        <v>4532</v>
      </c>
      <c r="I1175" s="9" t="s">
        <v>2713</v>
      </c>
      <c r="J1175" s="9" t="s">
        <v>2714</v>
      </c>
      <c r="K1175" s="205" t="s">
        <v>2702</v>
      </c>
      <c r="L1175" s="9" t="s">
        <v>2799</v>
      </c>
      <c r="M1175" s="32" t="s">
        <v>125</v>
      </c>
      <c r="N1175" s="122" t="s">
        <v>2704</v>
      </c>
      <c r="O1175" s="129" t="s">
        <v>2704</v>
      </c>
      <c r="P1175" s="123" t="str">
        <f>"C"&amp;INT((MONTH(A1175)-1)/4)+1&amp;"-"&amp;YEAR(A1175)</f>
        <v>C1-2026</v>
      </c>
      <c r="Q1175" s="124" t="str">
        <f>"T"&amp;INT((MONTH(A1175)-1)/3)+1&amp;"-"&amp;YEAR(A1175)</f>
        <v>T1-2026</v>
      </c>
      <c r="R1175" s="124" t="s">
        <v>2730</v>
      </c>
      <c r="S1175" s="124" t="s">
        <v>2731</v>
      </c>
      <c r="T1175" s="124" t="s">
        <v>2724</v>
      </c>
      <c r="U1175" s="9" t="s">
        <v>51</v>
      </c>
      <c r="V1175" s="205" t="s">
        <v>57</v>
      </c>
      <c r="W1175" s="122" t="s">
        <v>125</v>
      </c>
      <c r="X1175" s="124" t="s">
        <v>2709</v>
      </c>
    </row>
    <row r="1176" spans="1:24">
      <c r="A1176" s="548">
        <v>46048</v>
      </c>
      <c r="B1176" s="134">
        <v>32153952</v>
      </c>
      <c r="C1176" s="32" t="s">
        <v>2697</v>
      </c>
      <c r="D1176" s="126">
        <v>-155</v>
      </c>
      <c r="E1176" s="120">
        <v>1</v>
      </c>
      <c r="F1176" s="127">
        <f>Tabla5109[[#This Row],[Original Amount]]*Tabla5109[[#This Row],[ER to EUR]]</f>
        <v>-155</v>
      </c>
      <c r="G1176" s="9" t="s">
        <v>4214</v>
      </c>
      <c r="H1176" s="9" t="s">
        <v>4215</v>
      </c>
      <c r="I1176" s="9" t="s">
        <v>2713</v>
      </c>
      <c r="J1176" s="9" t="s">
        <v>2868</v>
      </c>
      <c r="K1176" s="205" t="s">
        <v>2868</v>
      </c>
      <c r="L1176" s="211" t="s">
        <v>2729</v>
      </c>
      <c r="M1176" s="387" t="s">
        <v>125</v>
      </c>
      <c r="N1176" s="122" t="s">
        <v>2704</v>
      </c>
      <c r="O1176" s="129" t="s">
        <v>2704</v>
      </c>
      <c r="P1176" s="123" t="str">
        <f>"C"&amp;INT((MONTH(A1176)-1)/4)+1&amp;"-"&amp;YEAR(A1176)</f>
        <v>C1-2026</v>
      </c>
      <c r="Q1176" s="124" t="str">
        <f>"T"&amp;INT((MONTH(A1176)-1)/3)+1&amp;"-"&amp;YEAR(A1176)</f>
        <v>T1-2026</v>
      </c>
      <c r="R1176" s="124" t="s">
        <v>2705</v>
      </c>
      <c r="S1176" s="124" t="s">
        <v>2735</v>
      </c>
      <c r="T1176" s="124" t="s">
        <v>2717</v>
      </c>
      <c r="U1176" s="9" t="s">
        <v>2708</v>
      </c>
      <c r="V1176" s="205" t="s">
        <v>54</v>
      </c>
      <c r="W1176" s="122" t="s">
        <v>125</v>
      </c>
      <c r="X1176" s="123" t="s">
        <v>2709</v>
      </c>
    </row>
    <row r="1177" spans="1:24">
      <c r="A1177" s="548">
        <v>46049</v>
      </c>
      <c r="B1177" s="134" t="s">
        <v>4216</v>
      </c>
      <c r="C1177" s="32" t="s">
        <v>2697</v>
      </c>
      <c r="D1177" s="139">
        <v>-2700</v>
      </c>
      <c r="E1177" s="120">
        <v>1</v>
      </c>
      <c r="F1177" s="127">
        <f>Tabla5109[[#This Row],[Original Amount]]*Tabla5109[[#This Row],[ER to EUR]]</f>
        <v>-2700</v>
      </c>
      <c r="G1177" s="9" t="s">
        <v>3974</v>
      </c>
      <c r="H1177" s="9" t="s">
        <v>4217</v>
      </c>
      <c r="I1177" s="9" t="s">
        <v>2727</v>
      </c>
      <c r="J1177" s="9" t="s">
        <v>2714</v>
      </c>
      <c r="K1177" s="205" t="s">
        <v>2747</v>
      </c>
      <c r="L1177" s="9" t="s">
        <v>2864</v>
      </c>
      <c r="M1177" s="32" t="s">
        <v>125</v>
      </c>
      <c r="N1177" s="122" t="s">
        <v>2704</v>
      </c>
      <c r="O1177" s="129" t="s">
        <v>2704</v>
      </c>
      <c r="P1177" s="123" t="str">
        <f>"C"&amp;INT((MONTH(A1177)-1)/4)+1&amp;"-"&amp;YEAR(A1177)</f>
        <v>C1-2026</v>
      </c>
      <c r="Q1177" s="124" t="str">
        <f>"T"&amp;INT((MONTH(A1177)-1)/3)+1&amp;"-"&amp;YEAR(A1177)</f>
        <v>T1-2026</v>
      </c>
      <c r="R1177" s="91" t="s">
        <v>2705</v>
      </c>
      <c r="S1177" s="124" t="s">
        <v>2706</v>
      </c>
      <c r="T1177" s="9" t="s">
        <v>2724</v>
      </c>
      <c r="U1177" s="9" t="s">
        <v>2708</v>
      </c>
      <c r="V1177" s="205" t="s">
        <v>56</v>
      </c>
      <c r="W1177" s="122" t="s">
        <v>125</v>
      </c>
      <c r="X1177" s="123" t="s">
        <v>2709</v>
      </c>
    </row>
    <row r="1178" spans="1:24">
      <c r="A1178" s="548">
        <v>46049</v>
      </c>
      <c r="B1178" s="134">
        <v>712289382</v>
      </c>
      <c r="C1178" s="32" t="s">
        <v>2697</v>
      </c>
      <c r="D1178" s="126">
        <v>-2420.46</v>
      </c>
      <c r="E1178" s="120">
        <v>1</v>
      </c>
      <c r="F1178" s="127">
        <f>Tabla5109[[#This Row],[Original Amount]]*Tabla5109[[#This Row],[ER to EUR]]</f>
        <v>-2420.46</v>
      </c>
      <c r="G1178" s="9" t="s">
        <v>2698</v>
      </c>
      <c r="H1178" s="9" t="s">
        <v>4218</v>
      </c>
      <c r="I1178" s="9" t="s">
        <v>3836</v>
      </c>
      <c r="J1178" s="9" t="s">
        <v>2701</v>
      </c>
      <c r="K1178" s="205" t="s">
        <v>2702</v>
      </c>
      <c r="L1178" s="9" t="s">
        <v>2703</v>
      </c>
      <c r="M1178" s="32" t="s">
        <v>125</v>
      </c>
      <c r="N1178" s="122" t="s">
        <v>2704</v>
      </c>
      <c r="O1178" s="129" t="s">
        <v>2704</v>
      </c>
      <c r="P1178" s="123" t="str">
        <f>"C"&amp;INT((MONTH(A1178)-1)/4)+1&amp;"-"&amp;YEAR(A1178)</f>
        <v>C1-2026</v>
      </c>
      <c r="Q1178" s="124" t="str">
        <f>"T"&amp;INT((MONTH(A1178)-1)/3)+1&amp;"-"&amp;YEAR(A1178)</f>
        <v>T1-2026</v>
      </c>
      <c r="R1178" s="124" t="s">
        <v>2741</v>
      </c>
      <c r="S1178" s="124" t="s">
        <v>2723</v>
      </c>
      <c r="T1178" s="124" t="s">
        <v>2707</v>
      </c>
      <c r="U1178" s="9" t="s">
        <v>2708</v>
      </c>
      <c r="V1178" s="205" t="s">
        <v>54</v>
      </c>
      <c r="W1178" s="122" t="s">
        <v>125</v>
      </c>
      <c r="X1178" s="124" t="s">
        <v>2709</v>
      </c>
    </row>
    <row r="1179" spans="1:24">
      <c r="A1179" s="548">
        <v>46049</v>
      </c>
      <c r="B1179" s="134">
        <v>32153972</v>
      </c>
      <c r="C1179" s="32" t="s">
        <v>2697</v>
      </c>
      <c r="D1179" s="126">
        <v>-155</v>
      </c>
      <c r="E1179" s="120">
        <v>1</v>
      </c>
      <c r="F1179" s="127">
        <f>Tabla5109[[#This Row],[Original Amount]]*Tabla5109[[#This Row],[ER to EUR]]</f>
        <v>-155</v>
      </c>
      <c r="G1179" s="9" t="s">
        <v>4214</v>
      </c>
      <c r="H1179" s="9" t="s">
        <v>4219</v>
      </c>
      <c r="I1179" s="9" t="s">
        <v>2713</v>
      </c>
      <c r="J1179" s="9" t="s">
        <v>2868</v>
      </c>
      <c r="K1179" s="205" t="s">
        <v>2868</v>
      </c>
      <c r="L1179" s="211" t="s">
        <v>2729</v>
      </c>
      <c r="M1179" s="387" t="s">
        <v>125</v>
      </c>
      <c r="N1179" s="122" t="s">
        <v>2704</v>
      </c>
      <c r="O1179" s="129" t="s">
        <v>2704</v>
      </c>
      <c r="P1179" s="123" t="str">
        <f>"C"&amp;INT((MONTH(A1179)-1)/4)+1&amp;"-"&amp;YEAR(A1179)</f>
        <v>C1-2026</v>
      </c>
      <c r="Q1179" s="124" t="str">
        <f>"T"&amp;INT((MONTH(A1179)-1)/3)+1&amp;"-"&amp;YEAR(A1179)</f>
        <v>T1-2026</v>
      </c>
      <c r="R1179" s="124" t="s">
        <v>2705</v>
      </c>
      <c r="S1179" s="124" t="s">
        <v>2735</v>
      </c>
      <c r="T1179" s="124" t="s">
        <v>2717</v>
      </c>
      <c r="U1179" s="9" t="s">
        <v>2708</v>
      </c>
      <c r="V1179" s="205" t="s">
        <v>54</v>
      </c>
      <c r="W1179" s="122" t="s">
        <v>125</v>
      </c>
      <c r="X1179" s="123" t="s">
        <v>2709</v>
      </c>
    </row>
    <row r="1180" spans="1:24">
      <c r="A1180" s="548">
        <v>46049</v>
      </c>
      <c r="B1180" s="507">
        <v>16368</v>
      </c>
      <c r="C1180" s="32" t="s">
        <v>2697</v>
      </c>
      <c r="D1180" s="126">
        <v>-1800</v>
      </c>
      <c r="E1180" s="120">
        <v>1</v>
      </c>
      <c r="F1180" s="127">
        <f>Tabla5109[[#This Row],[Original Amount]]*Tabla5109[[#This Row],[ER to EUR]]</f>
        <v>-1800</v>
      </c>
      <c r="G1180" s="9" t="s">
        <v>2725</v>
      </c>
      <c r="H1180" s="9" t="s">
        <v>3236</v>
      </c>
      <c r="I1180" s="9" t="s">
        <v>2727</v>
      </c>
      <c r="J1180" s="9" t="s">
        <v>2701</v>
      </c>
      <c r="K1180" s="205" t="s">
        <v>2702</v>
      </c>
      <c r="L1180" s="9" t="s">
        <v>2729</v>
      </c>
      <c r="M1180" s="32" t="s">
        <v>125</v>
      </c>
      <c r="N1180" s="129" t="s">
        <v>2704</v>
      </c>
      <c r="O1180" s="129" t="s">
        <v>2704</v>
      </c>
      <c r="P1180" s="123" t="str">
        <f>"C"&amp;INT((MONTH(A1180)-1)/4)+1&amp;"-"&amp;YEAR(A1180)</f>
        <v>C1-2026</v>
      </c>
      <c r="Q1180" s="124" t="str">
        <f>"T"&amp;INT((MONTH(A1180)-1)/3)+1&amp;"-"&amp;YEAR(A1180)</f>
        <v>T1-2026</v>
      </c>
      <c r="R1180" s="124" t="s">
        <v>2730</v>
      </c>
      <c r="S1180" s="124" t="s">
        <v>2731</v>
      </c>
      <c r="T1180" s="124" t="s">
        <v>2707</v>
      </c>
      <c r="U1180" s="9" t="s">
        <v>51</v>
      </c>
      <c r="V1180" s="205" t="s">
        <v>57</v>
      </c>
      <c r="W1180" s="122" t="s">
        <v>125</v>
      </c>
      <c r="X1180" s="124" t="s">
        <v>2709</v>
      </c>
    </row>
    <row r="1181" spans="1:24">
      <c r="A1181" s="548">
        <v>46049</v>
      </c>
      <c r="B1181" s="133" t="s">
        <v>4220</v>
      </c>
      <c r="C1181" s="32" t="s">
        <v>2548</v>
      </c>
      <c r="D1181" s="151">
        <v>-100</v>
      </c>
      <c r="E1181" s="221">
        <v>0.85128099999999995</v>
      </c>
      <c r="F1181" s="127">
        <f>Tabla5109[[#This Row],[Original Amount]]*Tabla5109[[#This Row],[ER to EUR]]</f>
        <v>-85.128099999999989</v>
      </c>
      <c r="G1181" s="9" t="s">
        <v>2766</v>
      </c>
      <c r="H1181" s="9" t="s">
        <v>4221</v>
      </c>
      <c r="I1181" s="9" t="s">
        <v>2713</v>
      </c>
      <c r="J1181" s="9" t="s">
        <v>2701</v>
      </c>
      <c r="K1181" s="205" t="s">
        <v>2702</v>
      </c>
      <c r="L1181" s="9" t="s">
        <v>2760</v>
      </c>
      <c r="M1181" s="32" t="s">
        <v>125</v>
      </c>
      <c r="N1181" s="122" t="s">
        <v>2704</v>
      </c>
      <c r="O1181" s="122" t="s">
        <v>2704</v>
      </c>
      <c r="P1181" s="123" t="str">
        <f>"C"&amp;INT((MONTH(A1181)-1)/4)+1&amp;"-"&amp;YEAR(A1181)</f>
        <v>C1-2026</v>
      </c>
      <c r="Q1181" s="124" t="str">
        <f>"T"&amp;INT((MONTH(A1181)-1)/3)+1&amp;"-"&amp;YEAR(A1181)</f>
        <v>T1-2026</v>
      </c>
      <c r="R1181" s="124" t="s">
        <v>2705</v>
      </c>
      <c r="S1181" s="124" t="s">
        <v>2735</v>
      </c>
      <c r="T1181" s="124" t="s">
        <v>2724</v>
      </c>
      <c r="U1181" s="9" t="s">
        <v>2708</v>
      </c>
      <c r="V1181" s="205" t="s">
        <v>55</v>
      </c>
      <c r="W1181" s="122" t="s">
        <v>125</v>
      </c>
      <c r="X1181" s="124" t="s">
        <v>2709</v>
      </c>
    </row>
    <row r="1182" spans="1:24">
      <c r="A1182" s="548">
        <v>46050</v>
      </c>
      <c r="B1182" s="130" t="s">
        <v>4222</v>
      </c>
      <c r="C1182" s="32" t="s">
        <v>2697</v>
      </c>
      <c r="D1182" s="126">
        <v>-25.02</v>
      </c>
      <c r="E1182" s="120">
        <v>1</v>
      </c>
      <c r="F1182" s="127">
        <f>Tabla5109[[#This Row],[Original Amount]]*Tabla5109[[#This Row],[ER to EUR]]</f>
        <v>-25.02</v>
      </c>
      <c r="G1182" s="9" t="s">
        <v>2830</v>
      </c>
      <c r="H1182" s="9" t="s">
        <v>4117</v>
      </c>
      <c r="I1182" s="9" t="s">
        <v>2784</v>
      </c>
      <c r="J1182" s="9" t="s">
        <v>2817</v>
      </c>
      <c r="K1182" s="205" t="s">
        <v>2702</v>
      </c>
      <c r="L1182" s="9" t="s">
        <v>2818</v>
      </c>
      <c r="M1182" s="32" t="s">
        <v>125</v>
      </c>
      <c r="N1182" s="122" t="s">
        <v>2704</v>
      </c>
      <c r="O1182" s="129" t="s">
        <v>2704</v>
      </c>
      <c r="P1182" s="123" t="str">
        <f>"C"&amp;INT((MONTH(A1182)-1)/4)+1&amp;"-"&amp;YEAR(A1182)</f>
        <v>C1-2026</v>
      </c>
      <c r="Q1182" s="124" t="str">
        <f>"T"&amp;INT((MONTH(A1182)-1)/3)+1&amp;"-"&amp;YEAR(A1182)</f>
        <v>T1-2026</v>
      </c>
      <c r="R1182" s="124" t="s">
        <v>2722</v>
      </c>
      <c r="S1182" s="124" t="s">
        <v>2723</v>
      </c>
      <c r="T1182" s="124" t="s">
        <v>2724</v>
      </c>
      <c r="U1182" s="9" t="s">
        <v>2708</v>
      </c>
      <c r="V1182" s="205" t="s">
        <v>54</v>
      </c>
      <c r="W1182" s="122" t="s">
        <v>125</v>
      </c>
      <c r="X1182" s="124" t="s">
        <v>2709</v>
      </c>
    </row>
    <row r="1183" spans="1:24">
      <c r="A1183" s="548">
        <v>46050</v>
      </c>
      <c r="B1183" s="133" t="s">
        <v>4223</v>
      </c>
      <c r="C1183" s="32" t="s">
        <v>2697</v>
      </c>
      <c r="D1183" s="126">
        <v>-190.84</v>
      </c>
      <c r="E1183" s="120">
        <v>1</v>
      </c>
      <c r="F1183" s="127">
        <f>Tabla5109[[#This Row],[Original Amount]]*Tabla5109[[#This Row],[ER to EUR]]</f>
        <v>-190.84</v>
      </c>
      <c r="G1183" s="9" t="s">
        <v>4224</v>
      </c>
      <c r="H1183" s="9" t="s">
        <v>4225</v>
      </c>
      <c r="I1183" s="9" t="s">
        <v>4072</v>
      </c>
      <c r="J1183" s="9" t="s">
        <v>2701</v>
      </c>
      <c r="K1183" s="205" t="s">
        <v>2702</v>
      </c>
      <c r="L1183" s="211" t="s">
        <v>2793</v>
      </c>
      <c r="M1183" s="387" t="s">
        <v>125</v>
      </c>
      <c r="N1183" s="122" t="s">
        <v>2704</v>
      </c>
      <c r="O1183" s="129" t="s">
        <v>2704</v>
      </c>
      <c r="P1183" s="123" t="str">
        <f>"C"&amp;INT((MONTH(A1183)-1)/4)+1&amp;"-"&amp;YEAR(A1183)</f>
        <v>C1-2026</v>
      </c>
      <c r="Q1183" s="124" t="str">
        <f>"T"&amp;INT((MONTH(A1183)-1)/3)+1&amp;"-"&amp;YEAR(A1183)</f>
        <v>T1-2026</v>
      </c>
      <c r="R1183" s="91" t="s">
        <v>2794</v>
      </c>
      <c r="S1183" s="124" t="s">
        <v>2731</v>
      </c>
      <c r="T1183" s="124" t="s">
        <v>2724</v>
      </c>
      <c r="U1183" s="9" t="s">
        <v>2708</v>
      </c>
      <c r="V1183" s="205" t="s">
        <v>54</v>
      </c>
      <c r="W1183" s="122" t="s">
        <v>125</v>
      </c>
      <c r="X1183" s="123" t="s">
        <v>2709</v>
      </c>
    </row>
    <row r="1184" spans="1:24">
      <c r="A1184" s="548">
        <v>46050</v>
      </c>
      <c r="B1184" s="140" t="s">
        <v>4490</v>
      </c>
      <c r="C1184" s="32" t="s">
        <v>2697</v>
      </c>
      <c r="D1184" s="126">
        <v>-3025.01</v>
      </c>
      <c r="E1184" s="120">
        <v>1</v>
      </c>
      <c r="F1184" s="127">
        <f>Tabla5109[[#This Row],[Original Amount]]*Tabla5109[[#This Row],[ER to EUR]]</f>
        <v>-3025.01</v>
      </c>
      <c r="G1184" s="9" t="s">
        <v>4489</v>
      </c>
      <c r="H1184" s="9" t="s">
        <v>4488</v>
      </c>
      <c r="I1184" s="91" t="s">
        <v>2727</v>
      </c>
      <c r="J1184" s="91" t="s">
        <v>2714</v>
      </c>
      <c r="K1184" s="196" t="s">
        <v>2747</v>
      </c>
      <c r="L1184" s="91" t="s">
        <v>2716</v>
      </c>
      <c r="M1184" s="232" t="s">
        <v>125</v>
      </c>
      <c r="N1184" s="129" t="s">
        <v>2704</v>
      </c>
      <c r="O1184" s="129" t="s">
        <v>2704</v>
      </c>
      <c r="P1184" s="123" t="str">
        <f>"C"&amp;INT((MONTH(A1184)-1)/4)+1&amp;"-"&amp;YEAR(A1184)</f>
        <v>C1-2026</v>
      </c>
      <c r="Q1184" s="124" t="str">
        <f>"T"&amp;INT((MONTH(A1184)-1)/3)+1&amp;"-"&amp;YEAR(A1184)</f>
        <v>T1-2026</v>
      </c>
      <c r="R1184" s="91" t="s">
        <v>2705</v>
      </c>
      <c r="S1184" s="124" t="s">
        <v>2706</v>
      </c>
      <c r="T1184" s="124" t="s">
        <v>2724</v>
      </c>
      <c r="U1184" s="91" t="s">
        <v>51</v>
      </c>
      <c r="V1184" s="196" t="s">
        <v>57</v>
      </c>
      <c r="W1184" s="129" t="s">
        <v>125</v>
      </c>
      <c r="X1184" s="124" t="s">
        <v>2709</v>
      </c>
    </row>
    <row r="1185" spans="1:24">
      <c r="A1185" s="548">
        <v>46051</v>
      </c>
      <c r="B1185" s="125">
        <v>41829</v>
      </c>
      <c r="C1185" s="32" t="s">
        <v>2697</v>
      </c>
      <c r="D1185" s="126">
        <v>-4.2</v>
      </c>
      <c r="E1185" s="120">
        <v>1</v>
      </c>
      <c r="F1185" s="127">
        <f>Tabla5109[[#This Row],[Original Amount]]*Tabla5109[[#This Row],[ER to EUR]]</f>
        <v>-4.2</v>
      </c>
      <c r="G1185" s="9" t="s">
        <v>3755</v>
      </c>
      <c r="H1185" s="9" t="s">
        <v>4226</v>
      </c>
      <c r="I1185" s="9" t="s">
        <v>3831</v>
      </c>
      <c r="J1185" s="9" t="s">
        <v>2825</v>
      </c>
      <c r="K1185" s="205" t="s">
        <v>2826</v>
      </c>
      <c r="L1185" s="9" t="s">
        <v>2827</v>
      </c>
      <c r="M1185" s="32" t="s">
        <v>125</v>
      </c>
      <c r="N1185" s="129" t="s">
        <v>2704</v>
      </c>
      <c r="O1185" s="122" t="s">
        <v>2704</v>
      </c>
      <c r="P1185" s="123" t="str">
        <f>"C"&amp;INT((MONTH(A1185)-1)/4)+1&amp;"-"&amp;YEAR(A1185)</f>
        <v>C1-2026</v>
      </c>
      <c r="Q1185" s="124" t="str">
        <f>"T"&amp;INT((MONTH(A1185)-1)/3)+1&amp;"-"&amp;YEAR(A1185)</f>
        <v>T1-2026</v>
      </c>
      <c r="R1185" s="124" t="s">
        <v>2705</v>
      </c>
      <c r="S1185" s="124" t="s">
        <v>2706</v>
      </c>
      <c r="T1185" s="124" t="s">
        <v>2717</v>
      </c>
      <c r="U1185" s="9" t="s">
        <v>2708</v>
      </c>
      <c r="V1185" s="205" t="s">
        <v>56</v>
      </c>
      <c r="W1185" s="122" t="s">
        <v>125</v>
      </c>
      <c r="X1185" s="124" t="s">
        <v>2709</v>
      </c>
    </row>
    <row r="1186" spans="1:24">
      <c r="A1186" s="548">
        <v>46051</v>
      </c>
      <c r="B1186" s="133" t="s">
        <v>4227</v>
      </c>
      <c r="C1186" s="32" t="s">
        <v>2697</v>
      </c>
      <c r="D1186" s="126">
        <v>-62.49</v>
      </c>
      <c r="E1186" s="120">
        <v>1</v>
      </c>
      <c r="F1186" s="127">
        <f>Tabla5109[[#This Row],[Original Amount]]*Tabla5109[[#This Row],[ER to EUR]]</f>
        <v>-62.49</v>
      </c>
      <c r="G1186" s="9" t="s">
        <v>2956</v>
      </c>
      <c r="H1186" s="73" t="s">
        <v>3214</v>
      </c>
      <c r="I1186" s="9" t="s">
        <v>2739</v>
      </c>
      <c r="J1186" s="9" t="s">
        <v>2701</v>
      </c>
      <c r="K1186" s="205" t="s">
        <v>2702</v>
      </c>
      <c r="L1186" s="9" t="s">
        <v>2740</v>
      </c>
      <c r="M1186" s="32" t="s">
        <v>125</v>
      </c>
      <c r="N1186" s="122" t="s">
        <v>2748</v>
      </c>
      <c r="O1186" s="129" t="s">
        <v>2748</v>
      </c>
      <c r="P1186" s="123" t="str">
        <f>"C"&amp;INT((MONTH(A1186)-1)/4)+1&amp;"-"&amp;YEAR(A1186)</f>
        <v>C1-2026</v>
      </c>
      <c r="Q1186" s="124" t="str">
        <f>"T"&amp;INT((MONTH(A1186)-1)/3)+1&amp;"-"&amp;YEAR(A1186)</f>
        <v>T1-2026</v>
      </c>
      <c r="R1186" s="124" t="s">
        <v>2705</v>
      </c>
      <c r="S1186" s="124" t="s">
        <v>2706</v>
      </c>
      <c r="T1186" s="124" t="s">
        <v>2724</v>
      </c>
      <c r="U1186" s="9" t="s">
        <v>2708</v>
      </c>
      <c r="V1186" s="205" t="s">
        <v>54</v>
      </c>
      <c r="W1186" s="122" t="s">
        <v>125</v>
      </c>
      <c r="X1186" s="124" t="s">
        <v>2709</v>
      </c>
    </row>
    <row r="1187" spans="1:24">
      <c r="A1187" s="548">
        <v>46051</v>
      </c>
      <c r="B1187" s="125" t="s">
        <v>4228</v>
      </c>
      <c r="C1187" s="32" t="s">
        <v>2697</v>
      </c>
      <c r="D1187" s="126">
        <v>-127.45</v>
      </c>
      <c r="E1187" s="120">
        <v>1</v>
      </c>
      <c r="F1187" s="127">
        <f>Tabla5109[[#This Row],[Original Amount]]*Tabla5109[[#This Row],[ER to EUR]]</f>
        <v>-127.45</v>
      </c>
      <c r="G1187" s="9" t="s">
        <v>3755</v>
      </c>
      <c r="H1187" s="9" t="s">
        <v>4229</v>
      </c>
      <c r="I1187" s="9" t="s">
        <v>3831</v>
      </c>
      <c r="J1187" s="9" t="s">
        <v>2825</v>
      </c>
      <c r="K1187" s="205" t="s">
        <v>2826</v>
      </c>
      <c r="L1187" s="9" t="s">
        <v>2827</v>
      </c>
      <c r="M1187" s="32" t="s">
        <v>125</v>
      </c>
      <c r="N1187" s="129" t="s">
        <v>2704</v>
      </c>
      <c r="O1187" s="122" t="s">
        <v>2704</v>
      </c>
      <c r="P1187" s="123" t="str">
        <f>"C"&amp;INT((MONTH(A1187)-1)/4)+1&amp;"-"&amp;YEAR(A1187)</f>
        <v>C1-2026</v>
      </c>
      <c r="Q1187" s="124" t="str">
        <f>"T"&amp;INT((MONTH(A1187)-1)/3)+1&amp;"-"&amp;YEAR(A1187)</f>
        <v>T1-2026</v>
      </c>
      <c r="R1187" s="124" t="s">
        <v>2705</v>
      </c>
      <c r="S1187" s="124" t="s">
        <v>2706</v>
      </c>
      <c r="T1187" s="124" t="s">
        <v>2717</v>
      </c>
      <c r="U1187" s="9" t="s">
        <v>2708</v>
      </c>
      <c r="V1187" s="205" t="s">
        <v>56</v>
      </c>
      <c r="W1187" s="122" t="s">
        <v>125</v>
      </c>
      <c r="X1187" s="124" t="s">
        <v>2709</v>
      </c>
    </row>
    <row r="1188" spans="1:24">
      <c r="A1188" s="548">
        <v>46051</v>
      </c>
      <c r="B1188" s="133" t="s">
        <v>4230</v>
      </c>
      <c r="C1188" s="32" t="s">
        <v>2697</v>
      </c>
      <c r="D1188" s="126">
        <v>-80.06</v>
      </c>
      <c r="E1188" s="120">
        <v>1</v>
      </c>
      <c r="F1188" s="127">
        <f>Tabla5109[[#This Row],[Original Amount]]*Tabla5109[[#This Row],[ER to EUR]]</f>
        <v>-80.06</v>
      </c>
      <c r="G1188" s="9" t="s">
        <v>4096</v>
      </c>
      <c r="H1188" s="9" t="s">
        <v>4231</v>
      </c>
      <c r="I1188" s="9" t="s">
        <v>2713</v>
      </c>
      <c r="J1188" s="9" t="s">
        <v>2701</v>
      </c>
      <c r="K1188" s="205" t="s">
        <v>2702</v>
      </c>
      <c r="L1188" s="9" t="s">
        <v>2760</v>
      </c>
      <c r="M1188" s="32" t="s">
        <v>125</v>
      </c>
      <c r="N1188" s="122" t="s">
        <v>2704</v>
      </c>
      <c r="O1188" s="122" t="s">
        <v>2704</v>
      </c>
      <c r="P1188" s="123" t="str">
        <f>"C"&amp;INT((MONTH(A1188)-1)/4)+1&amp;"-"&amp;YEAR(A1188)</f>
        <v>C1-2026</v>
      </c>
      <c r="Q1188" s="124" t="str">
        <f>"T"&amp;INT((MONTH(A1188)-1)/3)+1&amp;"-"&amp;YEAR(A1188)</f>
        <v>T1-2026</v>
      </c>
      <c r="R1188" s="124" t="s">
        <v>2705</v>
      </c>
      <c r="S1188" s="124" t="s">
        <v>2735</v>
      </c>
      <c r="T1188" s="124" t="s">
        <v>2717</v>
      </c>
      <c r="U1188" s="9" t="s">
        <v>2708</v>
      </c>
      <c r="V1188" s="205" t="s">
        <v>56</v>
      </c>
      <c r="W1188" s="122" t="s">
        <v>125</v>
      </c>
      <c r="X1188" s="124" t="s">
        <v>2709</v>
      </c>
    </row>
    <row r="1189" spans="1:24">
      <c r="A1189" s="548">
        <v>46051</v>
      </c>
      <c r="B1189" s="133" t="s">
        <v>4232</v>
      </c>
      <c r="C1189" s="32" t="s">
        <v>2548</v>
      </c>
      <c r="D1189" s="151">
        <v>-238</v>
      </c>
      <c r="E1189" s="221">
        <v>0.85128099999999995</v>
      </c>
      <c r="F1189" s="127">
        <f>Tabla5109[[#This Row],[Original Amount]]*Tabla5109[[#This Row],[ER to EUR]]</f>
        <v>-202.60487799999999</v>
      </c>
      <c r="G1189" s="9" t="s">
        <v>3349</v>
      </c>
      <c r="H1189" s="9" t="s">
        <v>3350</v>
      </c>
      <c r="I1189" s="9" t="s">
        <v>2784</v>
      </c>
      <c r="J1189" s="9" t="s">
        <v>2701</v>
      </c>
      <c r="K1189" s="205" t="s">
        <v>2702</v>
      </c>
      <c r="L1189" s="9" t="s">
        <v>2760</v>
      </c>
      <c r="M1189" s="32" t="s">
        <v>125</v>
      </c>
      <c r="N1189" s="129" t="s">
        <v>2704</v>
      </c>
      <c r="O1189" s="122" t="s">
        <v>2704</v>
      </c>
      <c r="P1189" s="123" t="str">
        <f>"C"&amp;INT((MONTH(A1189)-1)/4)+1&amp;"-"&amp;YEAR(A1189)</f>
        <v>C1-2026</v>
      </c>
      <c r="Q1189" s="124" t="str">
        <f>"T"&amp;INT((MONTH(A1189)-1)/3)+1&amp;"-"&amp;YEAR(A1189)</f>
        <v>T1-2026</v>
      </c>
      <c r="R1189" s="124" t="s">
        <v>2705</v>
      </c>
      <c r="S1189" s="124" t="s">
        <v>2735</v>
      </c>
      <c r="T1189" s="124" t="s">
        <v>2724</v>
      </c>
      <c r="U1189" s="9" t="s">
        <v>2708</v>
      </c>
      <c r="V1189" s="205" t="s">
        <v>55</v>
      </c>
      <c r="W1189" s="122" t="s">
        <v>125</v>
      </c>
      <c r="X1189" s="124" t="s">
        <v>2709</v>
      </c>
    </row>
    <row r="1190" spans="1:24">
      <c r="A1190" s="548">
        <v>46051</v>
      </c>
      <c r="B1190" s="133" t="s">
        <v>4233</v>
      </c>
      <c r="C1190" s="32" t="s">
        <v>2697</v>
      </c>
      <c r="D1190" s="126">
        <v>-127.45</v>
      </c>
      <c r="E1190" s="120">
        <v>1</v>
      </c>
      <c r="F1190" s="127">
        <f>Tabla5109[[#This Row],[Original Amount]]*Tabla5109[[#This Row],[ER to EUR]]</f>
        <v>-127.45</v>
      </c>
      <c r="G1190" s="9" t="s">
        <v>3755</v>
      </c>
      <c r="H1190" s="9" t="s">
        <v>4234</v>
      </c>
      <c r="I1190" s="9" t="s">
        <v>3831</v>
      </c>
      <c r="J1190" s="9" t="s">
        <v>2825</v>
      </c>
      <c r="K1190" s="205" t="s">
        <v>2826</v>
      </c>
      <c r="L1190" s="9" t="s">
        <v>2827</v>
      </c>
      <c r="M1190" s="32" t="s">
        <v>125</v>
      </c>
      <c r="N1190" s="129" t="s">
        <v>2704</v>
      </c>
      <c r="O1190" s="122" t="s">
        <v>2704</v>
      </c>
      <c r="P1190" s="123" t="str">
        <f>"C"&amp;INT((MONTH(A1190)-1)/4)+1&amp;"-"&amp;YEAR(A1190)</f>
        <v>C1-2026</v>
      </c>
      <c r="Q1190" s="124" t="str">
        <f>"T"&amp;INT((MONTH(A1190)-1)/3)+1&amp;"-"&amp;YEAR(A1190)</f>
        <v>T1-2026</v>
      </c>
      <c r="R1190" s="124" t="s">
        <v>2705</v>
      </c>
      <c r="S1190" s="124" t="s">
        <v>2706</v>
      </c>
      <c r="T1190" s="124" t="s">
        <v>2717</v>
      </c>
      <c r="U1190" s="9" t="s">
        <v>2708</v>
      </c>
      <c r="V1190" s="205" t="s">
        <v>56</v>
      </c>
      <c r="W1190" s="122" t="s">
        <v>125</v>
      </c>
      <c r="X1190" s="124" t="s">
        <v>2709</v>
      </c>
    </row>
    <row r="1191" spans="1:24">
      <c r="A1191" s="548">
        <v>46051</v>
      </c>
      <c r="B1191" s="125">
        <v>910977</v>
      </c>
      <c r="C1191" s="32" t="s">
        <v>2543</v>
      </c>
      <c r="D1191" s="147">
        <v>-260020</v>
      </c>
      <c r="E1191" s="120">
        <v>9.4499999999999998E-4</v>
      </c>
      <c r="F1191" s="127">
        <f>Tabla5109[[#This Row],[Original Amount]]*Tabla5109[[#This Row],[ER to EUR]]</f>
        <v>-245.71889999999999</v>
      </c>
      <c r="G1191" s="9" t="s">
        <v>4172</v>
      </c>
      <c r="H1191" s="9" t="s">
        <v>4235</v>
      </c>
      <c r="I1191" s="9" t="s">
        <v>4236</v>
      </c>
      <c r="J1191" s="9" t="s">
        <v>3095</v>
      </c>
      <c r="K1191" s="9" t="s">
        <v>3510</v>
      </c>
      <c r="L1191" s="9" t="s">
        <v>3097</v>
      </c>
      <c r="M1191" s="32" t="s">
        <v>125</v>
      </c>
      <c r="N1191" s="122" t="s">
        <v>2748</v>
      </c>
      <c r="O1191" s="122" t="s">
        <v>2704</v>
      </c>
      <c r="P1191" s="123" t="str">
        <f>"C"&amp;INT((MONTH(A1191)-1)/4)+1&amp;"-"&amp;YEAR(A1191)</f>
        <v>C1-2026</v>
      </c>
      <c r="Q1191" s="124" t="str">
        <f>"T"&amp;INT((MONTH(A1191)-1)/3)+1&amp;"-"&amp;YEAR(A1191)</f>
        <v>T1-2026</v>
      </c>
      <c r="R1191" s="91" t="s">
        <v>2828</v>
      </c>
      <c r="S1191" s="124" t="s">
        <v>2735</v>
      </c>
      <c r="T1191" s="124" t="s">
        <v>2717</v>
      </c>
      <c r="U1191" s="9" t="s">
        <v>2708</v>
      </c>
      <c r="V1191" s="205" t="s">
        <v>56</v>
      </c>
      <c r="W1191" s="122" t="s">
        <v>125</v>
      </c>
      <c r="X1191" s="123" t="s">
        <v>2751</v>
      </c>
    </row>
    <row r="1192" spans="1:24">
      <c r="A1192" s="548">
        <v>46051</v>
      </c>
      <c r="B1192" s="125">
        <v>1046951</v>
      </c>
      <c r="C1192" s="32" t="s">
        <v>2543</v>
      </c>
      <c r="D1192" s="147">
        <v>-2071</v>
      </c>
      <c r="E1192" s="120">
        <v>9.4499999999999998E-4</v>
      </c>
      <c r="F1192" s="127">
        <f>Tabla5109[[#This Row],[Original Amount]]*Tabla5109[[#This Row],[ER to EUR]]</f>
        <v>-1.957095</v>
      </c>
      <c r="G1192" s="9" t="s">
        <v>4237</v>
      </c>
      <c r="H1192" s="9" t="s">
        <v>4238</v>
      </c>
      <c r="I1192" s="9" t="s">
        <v>4236</v>
      </c>
      <c r="J1192" s="9" t="s">
        <v>3095</v>
      </c>
      <c r="K1192" s="9" t="s">
        <v>3510</v>
      </c>
      <c r="L1192" s="9" t="s">
        <v>3097</v>
      </c>
      <c r="M1192" s="32" t="s">
        <v>125</v>
      </c>
      <c r="N1192" s="122" t="s">
        <v>2748</v>
      </c>
      <c r="O1192" s="122" t="s">
        <v>2704</v>
      </c>
      <c r="P1192" s="123" t="str">
        <f>"C"&amp;INT((MONTH(A1192)-1)/4)+1&amp;"-"&amp;YEAR(A1192)</f>
        <v>C1-2026</v>
      </c>
      <c r="Q1192" s="124" t="str">
        <f>"T"&amp;INT((MONTH(A1192)-1)/3)+1&amp;"-"&amp;YEAR(A1192)</f>
        <v>T1-2026</v>
      </c>
      <c r="R1192" s="91" t="s">
        <v>2828</v>
      </c>
      <c r="S1192" s="124" t="s">
        <v>2735</v>
      </c>
      <c r="T1192" s="124" t="s">
        <v>2717</v>
      </c>
      <c r="U1192" s="9" t="s">
        <v>2708</v>
      </c>
      <c r="V1192" s="205" t="s">
        <v>56</v>
      </c>
      <c r="W1192" s="122" t="s">
        <v>125</v>
      </c>
      <c r="X1192" s="123" t="s">
        <v>2751</v>
      </c>
    </row>
    <row r="1193" spans="1:24">
      <c r="A1193" s="548">
        <v>46051</v>
      </c>
      <c r="B1193" s="132">
        <v>63183</v>
      </c>
      <c r="C1193" s="32" t="s">
        <v>2543</v>
      </c>
      <c r="D1193" s="147">
        <v>-59771</v>
      </c>
      <c r="E1193" s="120">
        <v>9.4499999999999998E-4</v>
      </c>
      <c r="F1193" s="127">
        <f>Tabla5109[[#This Row],[Original Amount]]*Tabla5109[[#This Row],[ER to EUR]]</f>
        <v>-56.483595000000001</v>
      </c>
      <c r="G1193" s="9" t="s">
        <v>4239</v>
      </c>
      <c r="H1193" s="9" t="s">
        <v>4240</v>
      </c>
      <c r="I1193" s="9" t="s">
        <v>4236</v>
      </c>
      <c r="J1193" s="9" t="s">
        <v>3095</v>
      </c>
      <c r="K1193" s="9" t="s">
        <v>3510</v>
      </c>
      <c r="L1193" s="9" t="s">
        <v>3097</v>
      </c>
      <c r="M1193" s="32" t="s">
        <v>125</v>
      </c>
      <c r="N1193" s="122" t="s">
        <v>2748</v>
      </c>
      <c r="O1193" s="122" t="s">
        <v>2704</v>
      </c>
      <c r="P1193" s="123" t="str">
        <f>"C"&amp;INT((MONTH(A1193)-1)/4)+1&amp;"-"&amp;YEAR(A1193)</f>
        <v>C1-2026</v>
      </c>
      <c r="Q1193" s="124" t="str">
        <f>"T"&amp;INT((MONTH(A1193)-1)/3)+1&amp;"-"&amp;YEAR(A1193)</f>
        <v>T1-2026</v>
      </c>
      <c r="R1193" s="91" t="s">
        <v>2828</v>
      </c>
      <c r="S1193" s="124" t="s">
        <v>2735</v>
      </c>
      <c r="T1193" s="124" t="s">
        <v>2717</v>
      </c>
      <c r="U1193" s="9" t="s">
        <v>2708</v>
      </c>
      <c r="V1193" s="205" t="s">
        <v>56</v>
      </c>
      <c r="W1193" s="122" t="s">
        <v>125</v>
      </c>
      <c r="X1193" s="123" t="s">
        <v>2751</v>
      </c>
    </row>
    <row r="1194" spans="1:24">
      <c r="A1194" s="548">
        <v>46052</v>
      </c>
      <c r="B1194" s="133" t="s">
        <v>4241</v>
      </c>
      <c r="C1194" s="32" t="s">
        <v>2548</v>
      </c>
      <c r="D1194" s="151">
        <v>-283.95999999999998</v>
      </c>
      <c r="E1194" s="221">
        <v>0.85128099999999995</v>
      </c>
      <c r="F1194" s="127">
        <f>Tabla5109[[#This Row],[Original Amount]]*Tabla5109[[#This Row],[ER to EUR]]</f>
        <v>-241.72975275999997</v>
      </c>
      <c r="G1194" s="9" t="s">
        <v>2766</v>
      </c>
      <c r="H1194" s="9" t="s">
        <v>4873</v>
      </c>
      <c r="I1194" s="9" t="s">
        <v>2713</v>
      </c>
      <c r="J1194" s="9" t="s">
        <v>2701</v>
      </c>
      <c r="K1194" s="205" t="s">
        <v>2702</v>
      </c>
      <c r="L1194" s="9" t="s">
        <v>2760</v>
      </c>
      <c r="M1194" s="32" t="s">
        <v>125</v>
      </c>
      <c r="N1194" s="122" t="s">
        <v>2704</v>
      </c>
      <c r="O1194" s="122" t="s">
        <v>2704</v>
      </c>
      <c r="P1194" s="123" t="str">
        <f>"C"&amp;INT((MONTH(A1194)-1)/4)+1&amp;"-"&amp;YEAR(A1194)</f>
        <v>C1-2026</v>
      </c>
      <c r="Q1194" s="124" t="str">
        <f>"T"&amp;INT((MONTH(A1194)-1)/3)+1&amp;"-"&amp;YEAR(A1194)</f>
        <v>T1-2026</v>
      </c>
      <c r="R1194" s="124" t="s">
        <v>2705</v>
      </c>
      <c r="S1194" s="124" t="s">
        <v>2735</v>
      </c>
      <c r="T1194" s="124" t="s">
        <v>2724</v>
      </c>
      <c r="U1194" s="9" t="s">
        <v>2708</v>
      </c>
      <c r="V1194" s="205" t="s">
        <v>55</v>
      </c>
      <c r="W1194" s="122" t="s">
        <v>125</v>
      </c>
      <c r="X1194" s="124" t="s">
        <v>2709</v>
      </c>
    </row>
    <row r="1195" spans="1:24">
      <c r="A1195" s="548">
        <v>46052</v>
      </c>
      <c r="B1195" s="133" t="s">
        <v>4242</v>
      </c>
      <c r="C1195" s="32" t="s">
        <v>2697</v>
      </c>
      <c r="D1195" s="126">
        <v>-15.77</v>
      </c>
      <c r="E1195" s="120">
        <v>1</v>
      </c>
      <c r="F1195" s="127">
        <f>Tabla5109[[#This Row],[Original Amount]]*Tabla5109[[#This Row],[ER to EUR]]</f>
        <v>-15.77</v>
      </c>
      <c r="G1195" s="9" t="s">
        <v>2839</v>
      </c>
      <c r="H1195" s="9" t="s">
        <v>2840</v>
      </c>
      <c r="I1195" s="9" t="s">
        <v>2784</v>
      </c>
      <c r="J1195" s="9" t="s">
        <v>2701</v>
      </c>
      <c r="K1195" s="205" t="s">
        <v>2702</v>
      </c>
      <c r="L1195" s="9" t="s">
        <v>2703</v>
      </c>
      <c r="M1195" s="32" t="s">
        <v>125</v>
      </c>
      <c r="N1195" s="129" t="s">
        <v>2704</v>
      </c>
      <c r="O1195" s="122" t="s">
        <v>2704</v>
      </c>
      <c r="P1195" s="123" t="str">
        <f>"C"&amp;INT((MONTH(A1195)-1)/4)+1&amp;"-"&amp;YEAR(A1195)</f>
        <v>C1-2026</v>
      </c>
      <c r="Q1195" s="124" t="str">
        <f>"T"&amp;INT((MONTH(A1195)-1)/3)+1&amp;"-"&amp;YEAR(A1195)</f>
        <v>T1-2026</v>
      </c>
      <c r="R1195" s="124" t="s">
        <v>2705</v>
      </c>
      <c r="S1195" s="124" t="s">
        <v>2706</v>
      </c>
      <c r="T1195" s="124" t="s">
        <v>2707</v>
      </c>
      <c r="U1195" s="9" t="s">
        <v>2708</v>
      </c>
      <c r="V1195" s="205" t="s">
        <v>56</v>
      </c>
      <c r="W1195" s="122" t="s">
        <v>125</v>
      </c>
      <c r="X1195" s="124" t="s">
        <v>2709</v>
      </c>
    </row>
    <row r="1196" spans="1:24">
      <c r="A1196" s="548">
        <v>46053</v>
      </c>
      <c r="B1196" s="130" t="s">
        <v>6574</v>
      </c>
      <c r="C1196" s="32" t="s">
        <v>2697</v>
      </c>
      <c r="D1196" s="139">
        <v>-2209.14</v>
      </c>
      <c r="E1196" s="120">
        <v>1</v>
      </c>
      <c r="F1196" s="127">
        <f>Tabla5109[[#This Row],[Original Amount]]*Tabla5109[[#This Row],[ER to EUR]]</f>
        <v>-2209.14</v>
      </c>
      <c r="G1196" s="9" t="s">
        <v>3692</v>
      </c>
      <c r="H1196" s="9" t="s">
        <v>6576</v>
      </c>
      <c r="I1196" s="9" t="s">
        <v>2713</v>
      </c>
      <c r="J1196" s="9" t="s">
        <v>2701</v>
      </c>
      <c r="K1196" s="205" t="s">
        <v>2702</v>
      </c>
      <c r="L1196" s="9" t="s">
        <v>6577</v>
      </c>
      <c r="M1196" s="227" t="s">
        <v>125</v>
      </c>
      <c r="N1196" s="122" t="s">
        <v>2748</v>
      </c>
      <c r="O1196" s="129" t="s">
        <v>2748</v>
      </c>
      <c r="P1196" s="123" t="str">
        <f>"C"&amp;INT((MONTH(A1196)-1)/4)+1&amp;"-"&amp;YEAR(A1196)</f>
        <v>C1-2026</v>
      </c>
      <c r="Q1196" s="123" t="str">
        <f>"T"&amp;INT((MONTH(A1196)-1)/3)+1&amp;"-"&amp;YEAR(A1196)</f>
        <v>T1-2026</v>
      </c>
      <c r="R1196" s="91" t="s">
        <v>6009</v>
      </c>
      <c r="S1196" s="123" t="s">
        <v>2750</v>
      </c>
      <c r="T1196" s="123" t="s">
        <v>2724</v>
      </c>
      <c r="U1196" s="9" t="s">
        <v>2708</v>
      </c>
      <c r="V1196" s="9" t="s">
        <v>56</v>
      </c>
      <c r="W1196" s="122" t="s">
        <v>125</v>
      </c>
      <c r="X1196" s="123" t="s">
        <v>2709</v>
      </c>
    </row>
    <row r="1197" spans="1:24">
      <c r="A1197" s="548">
        <v>46053</v>
      </c>
      <c r="B1197" s="194" t="s">
        <v>2871</v>
      </c>
      <c r="C1197" s="32" t="s">
        <v>2697</v>
      </c>
      <c r="D1197" s="126">
        <v>-9065</v>
      </c>
      <c r="E1197" s="120">
        <v>1</v>
      </c>
      <c r="F1197" s="127">
        <f>Tabla5109[[#This Row],[Original Amount]]*Tabla5109[[#This Row],[ER to EUR]]</f>
        <v>-9065</v>
      </c>
      <c r="G1197" s="9" t="s">
        <v>3717</v>
      </c>
      <c r="H1197" s="9" t="s">
        <v>4243</v>
      </c>
      <c r="I1197" s="91" t="s">
        <v>2713</v>
      </c>
      <c r="J1197" s="91" t="s">
        <v>2770</v>
      </c>
      <c r="K1197" s="196" t="s">
        <v>2874</v>
      </c>
      <c r="L1197" s="91" t="s">
        <v>2875</v>
      </c>
      <c r="M1197" s="232" t="s">
        <v>125</v>
      </c>
      <c r="N1197" s="129" t="s">
        <v>2748</v>
      </c>
      <c r="O1197" s="129" t="s">
        <v>2748</v>
      </c>
      <c r="P1197" s="123" t="str">
        <f>"C"&amp;INT((MONTH(A1197)-1)/4)+1&amp;"-"&amp;YEAR(A1197)</f>
        <v>C1-2026</v>
      </c>
      <c r="Q1197" s="124" t="str">
        <f>"T"&amp;INT((MONTH(A1197)-1)/3)+1&amp;"-"&amp;YEAR(A1197)</f>
        <v>T1-2026</v>
      </c>
      <c r="R1197" s="91" t="s">
        <v>2705</v>
      </c>
      <c r="S1197" s="124" t="s">
        <v>2706</v>
      </c>
      <c r="T1197" s="124" t="s">
        <v>2717</v>
      </c>
      <c r="U1197" s="9" t="s">
        <v>2708</v>
      </c>
      <c r="V1197" s="205" t="s">
        <v>56</v>
      </c>
      <c r="W1197" s="122" t="s">
        <v>125</v>
      </c>
      <c r="X1197" s="123" t="s">
        <v>2709</v>
      </c>
    </row>
    <row r="1198" spans="1:24">
      <c r="A1198" s="548">
        <v>46053</v>
      </c>
      <c r="B1198" s="194" t="s">
        <v>2871</v>
      </c>
      <c r="C1198" s="32" t="s">
        <v>2697</v>
      </c>
      <c r="D1198" s="126">
        <v>-5671.18</v>
      </c>
      <c r="E1198" s="120">
        <v>1</v>
      </c>
      <c r="F1198" s="127">
        <f>Tabla5109[[#This Row],[Original Amount]]*Tabla5109[[#This Row],[ER to EUR]]</f>
        <v>-5671.18</v>
      </c>
      <c r="G1198" s="9" t="s">
        <v>3257</v>
      </c>
      <c r="H1198" s="9" t="s">
        <v>4243</v>
      </c>
      <c r="I1198" s="91" t="s">
        <v>2713</v>
      </c>
      <c r="J1198" s="91" t="s">
        <v>2770</v>
      </c>
      <c r="K1198" s="196" t="s">
        <v>2874</v>
      </c>
      <c r="L1198" s="91" t="s">
        <v>2875</v>
      </c>
      <c r="M1198" s="232" t="s">
        <v>125</v>
      </c>
      <c r="N1198" s="129" t="s">
        <v>2748</v>
      </c>
      <c r="O1198" s="129" t="s">
        <v>2748</v>
      </c>
      <c r="P1198" s="123" t="str">
        <f>"C"&amp;INT((MONTH(A1198)-1)/4)+1&amp;"-"&amp;YEAR(A1198)</f>
        <v>C1-2026</v>
      </c>
      <c r="Q1198" s="124" t="str">
        <f>"T"&amp;INT((MONTH(A1198)-1)/3)+1&amp;"-"&amp;YEAR(A1198)</f>
        <v>T1-2026</v>
      </c>
      <c r="R1198" s="91" t="s">
        <v>2705</v>
      </c>
      <c r="S1198" s="124" t="s">
        <v>2706</v>
      </c>
      <c r="T1198" s="124" t="s">
        <v>2717</v>
      </c>
      <c r="U1198" s="9" t="s">
        <v>2708</v>
      </c>
      <c r="V1198" s="205" t="s">
        <v>54</v>
      </c>
      <c r="W1198" s="122" t="s">
        <v>125</v>
      </c>
      <c r="X1198" s="123" t="s">
        <v>2709</v>
      </c>
    </row>
    <row r="1199" spans="1:24">
      <c r="A1199" s="548">
        <v>46053</v>
      </c>
      <c r="B1199" s="194" t="s">
        <v>2871</v>
      </c>
      <c r="C1199" s="32" t="s">
        <v>2697</v>
      </c>
      <c r="D1199" s="126">
        <v>-11730.13</v>
      </c>
      <c r="E1199" s="120">
        <v>1</v>
      </c>
      <c r="F1199" s="127">
        <f>Tabla5109[[#This Row],[Original Amount]]*Tabla5109[[#This Row],[ER to EUR]]</f>
        <v>-11730.13</v>
      </c>
      <c r="G1199" s="9" t="s">
        <v>3844</v>
      </c>
      <c r="H1199" s="9" t="s">
        <v>4243</v>
      </c>
      <c r="I1199" s="91" t="s">
        <v>2713</v>
      </c>
      <c r="J1199" s="91" t="s">
        <v>2770</v>
      </c>
      <c r="K1199" s="196" t="s">
        <v>2874</v>
      </c>
      <c r="L1199" s="91" t="s">
        <v>2875</v>
      </c>
      <c r="M1199" s="232" t="s">
        <v>125</v>
      </c>
      <c r="N1199" s="129" t="s">
        <v>2748</v>
      </c>
      <c r="O1199" s="129" t="s">
        <v>2748</v>
      </c>
      <c r="P1199" s="123" t="str">
        <f>"C"&amp;INT((MONTH(A1199)-1)/4)+1&amp;"-"&amp;YEAR(A1199)</f>
        <v>C1-2026</v>
      </c>
      <c r="Q1199" s="124" t="str">
        <f>"T"&amp;INT((MONTH(A1199)-1)/3)+1&amp;"-"&amp;YEAR(A1199)</f>
        <v>T1-2026</v>
      </c>
      <c r="R1199" s="91" t="s">
        <v>2705</v>
      </c>
      <c r="S1199" s="124" t="s">
        <v>2706</v>
      </c>
      <c r="T1199" s="124" t="s">
        <v>2717</v>
      </c>
      <c r="U1199" s="9" t="s">
        <v>2708</v>
      </c>
      <c r="V1199" s="205" t="s">
        <v>56</v>
      </c>
      <c r="W1199" s="122" t="s">
        <v>125</v>
      </c>
      <c r="X1199" s="123" t="s">
        <v>2709</v>
      </c>
    </row>
    <row r="1200" spans="1:24">
      <c r="A1200" s="548">
        <v>46053</v>
      </c>
      <c r="B1200" s="194" t="s">
        <v>2871</v>
      </c>
      <c r="C1200" s="32" t="s">
        <v>2543</v>
      </c>
      <c r="D1200" s="147">
        <v>-1687098</v>
      </c>
      <c r="E1200" s="120">
        <v>9.4499999999999998E-4</v>
      </c>
      <c r="F1200" s="127">
        <f>Tabla5109[[#This Row],[Original Amount]]*Tabla5109[[#This Row],[ER to EUR]]</f>
        <v>-1594.3076100000001</v>
      </c>
      <c r="G1200" s="91" t="s">
        <v>2872</v>
      </c>
      <c r="H1200" s="9" t="s">
        <v>4244</v>
      </c>
      <c r="I1200" s="9" t="s">
        <v>2713</v>
      </c>
      <c r="J1200" s="9" t="s">
        <v>2770</v>
      </c>
      <c r="K1200" s="205" t="s">
        <v>2874</v>
      </c>
      <c r="L1200" s="9" t="s">
        <v>2875</v>
      </c>
      <c r="M1200" s="227" t="s">
        <v>2748</v>
      </c>
      <c r="N1200" s="122" t="s">
        <v>2748</v>
      </c>
      <c r="O1200" s="129" t="s">
        <v>2748</v>
      </c>
      <c r="P1200" s="123" t="str">
        <f>"C"&amp;INT((MONTH(A1200)-1)/4)+1&amp;"-"&amp;YEAR(A1200)</f>
        <v>C1-2026</v>
      </c>
      <c r="Q1200" s="124" t="str">
        <f>"T"&amp;INT((MONTH(A1200)-1)/3)+1&amp;"-"&amp;YEAR(A1200)</f>
        <v>T1-2026</v>
      </c>
      <c r="R1200" s="91" t="s">
        <v>2749</v>
      </c>
      <c r="S1200" s="124" t="s">
        <v>2750</v>
      </c>
      <c r="T1200" s="124" t="s">
        <v>2724</v>
      </c>
      <c r="U1200" s="9" t="s">
        <v>2708</v>
      </c>
      <c r="V1200" s="205" t="s">
        <v>54</v>
      </c>
      <c r="W1200" s="122" t="s">
        <v>125</v>
      </c>
      <c r="X1200" s="123" t="s">
        <v>2751</v>
      </c>
    </row>
    <row r="1201" spans="1:24">
      <c r="A1201" s="548">
        <v>46053</v>
      </c>
      <c r="B1201" s="194" t="s">
        <v>2871</v>
      </c>
      <c r="C1201" s="32" t="s">
        <v>2543</v>
      </c>
      <c r="D1201" s="147">
        <v>-10208452</v>
      </c>
      <c r="E1201" s="120">
        <v>9.4499999999999998E-4</v>
      </c>
      <c r="F1201" s="127">
        <f>Tabla5109[[#This Row],[Original Amount]]*Tabla5109[[#This Row],[ER to EUR]]</f>
        <v>-9646.9871399999993</v>
      </c>
      <c r="G1201" s="9" t="s">
        <v>2876</v>
      </c>
      <c r="H1201" s="9" t="s">
        <v>4244</v>
      </c>
      <c r="I1201" s="9" t="s">
        <v>2713</v>
      </c>
      <c r="J1201" s="9" t="s">
        <v>2770</v>
      </c>
      <c r="K1201" s="205" t="s">
        <v>2874</v>
      </c>
      <c r="L1201" s="9" t="s">
        <v>2875</v>
      </c>
      <c r="M1201" s="227" t="s">
        <v>2748</v>
      </c>
      <c r="N1201" s="122" t="s">
        <v>2748</v>
      </c>
      <c r="O1201" s="129" t="s">
        <v>2748</v>
      </c>
      <c r="P1201" s="123" t="str">
        <f>"C"&amp;INT((MONTH(A1201)-1)/4)+1&amp;"-"&amp;YEAR(A1201)</f>
        <v>C1-2026</v>
      </c>
      <c r="Q1201" s="124" t="str">
        <f>"T"&amp;INT((MONTH(A1201)-1)/3)+1&amp;"-"&amp;YEAR(A1201)</f>
        <v>T1-2026</v>
      </c>
      <c r="R1201" s="91" t="s">
        <v>2749</v>
      </c>
      <c r="S1201" s="124" t="s">
        <v>2750</v>
      </c>
      <c r="T1201" s="124" t="s">
        <v>2724</v>
      </c>
      <c r="U1201" s="9" t="s">
        <v>2708</v>
      </c>
      <c r="V1201" s="205" t="s">
        <v>56</v>
      </c>
      <c r="W1201" s="122" t="s">
        <v>125</v>
      </c>
      <c r="X1201" s="123" t="s">
        <v>2751</v>
      </c>
    </row>
    <row r="1202" spans="1:24">
      <c r="A1202" s="548">
        <v>46053</v>
      </c>
      <c r="B1202" s="194" t="s">
        <v>2871</v>
      </c>
      <c r="C1202" s="32" t="s">
        <v>2543</v>
      </c>
      <c r="D1202" s="147">
        <v>-7834263</v>
      </c>
      <c r="E1202" s="120">
        <v>9.4499999999999998E-4</v>
      </c>
      <c r="F1202" s="127">
        <f>Tabla5109[[#This Row],[Original Amount]]*Tabla5109[[#This Row],[ER to EUR]]</f>
        <v>-7403.3785349999998</v>
      </c>
      <c r="G1202" s="9" t="s">
        <v>3257</v>
      </c>
      <c r="H1202" s="9" t="s">
        <v>4244</v>
      </c>
      <c r="I1202" s="9" t="s">
        <v>2713</v>
      </c>
      <c r="J1202" s="9" t="s">
        <v>2770</v>
      </c>
      <c r="K1202" s="205" t="s">
        <v>2874</v>
      </c>
      <c r="L1202" s="9" t="s">
        <v>2875</v>
      </c>
      <c r="M1202" s="227" t="s">
        <v>2748</v>
      </c>
      <c r="N1202" s="122" t="s">
        <v>2748</v>
      </c>
      <c r="O1202" s="129" t="s">
        <v>2748</v>
      </c>
      <c r="P1202" s="123" t="str">
        <f>"C"&amp;INT((MONTH(A1202)-1)/4)+1&amp;"-"&amp;YEAR(A1202)</f>
        <v>C1-2026</v>
      </c>
      <c r="Q1202" s="124" t="str">
        <f>"T"&amp;INT((MONTH(A1202)-1)/3)+1&amp;"-"&amp;YEAR(A1202)</f>
        <v>T1-2026</v>
      </c>
      <c r="R1202" s="91" t="s">
        <v>2749</v>
      </c>
      <c r="S1202" s="124" t="s">
        <v>2750</v>
      </c>
      <c r="T1202" s="124" t="s">
        <v>2717</v>
      </c>
      <c r="U1202" s="9" t="s">
        <v>2708</v>
      </c>
      <c r="V1202" s="205" t="s">
        <v>54</v>
      </c>
      <c r="W1202" s="122" t="s">
        <v>125</v>
      </c>
      <c r="X1202" s="123" t="s">
        <v>2751</v>
      </c>
    </row>
    <row r="1203" spans="1:24">
      <c r="A1203" s="548">
        <v>46053</v>
      </c>
      <c r="B1203" s="194" t="s">
        <v>2871</v>
      </c>
      <c r="C1203" s="32" t="s">
        <v>2543</v>
      </c>
      <c r="D1203" s="147">
        <v>-2520418</v>
      </c>
      <c r="E1203" s="120">
        <v>9.4499999999999998E-4</v>
      </c>
      <c r="F1203" s="127">
        <f>Tabla5109[[#This Row],[Original Amount]]*Tabla5109[[#This Row],[ER to EUR]]</f>
        <v>-2381.7950099999998</v>
      </c>
      <c r="G1203" s="9" t="s">
        <v>3436</v>
      </c>
      <c r="H1203" s="9" t="s">
        <v>4244</v>
      </c>
      <c r="I1203" s="9" t="s">
        <v>2713</v>
      </c>
      <c r="J1203" s="9" t="s">
        <v>2770</v>
      </c>
      <c r="K1203" s="205" t="s">
        <v>2874</v>
      </c>
      <c r="L1203" s="9" t="s">
        <v>2875</v>
      </c>
      <c r="M1203" s="227" t="s">
        <v>2748</v>
      </c>
      <c r="N1203" s="122" t="s">
        <v>2748</v>
      </c>
      <c r="O1203" s="129" t="s">
        <v>2748</v>
      </c>
      <c r="P1203" s="123" t="str">
        <f>"C"&amp;INT((MONTH(A1203)-1)/4)+1&amp;"-"&amp;YEAR(A1203)</f>
        <v>C1-2026</v>
      </c>
      <c r="Q1203" s="124" t="str">
        <f>"T"&amp;INT((MONTH(A1203)-1)/3)+1&amp;"-"&amp;YEAR(A1203)</f>
        <v>T1-2026</v>
      </c>
      <c r="R1203" s="91" t="s">
        <v>2749</v>
      </c>
      <c r="S1203" s="124" t="s">
        <v>2750</v>
      </c>
      <c r="T1203" s="124" t="s">
        <v>2724</v>
      </c>
      <c r="U1203" s="9" t="s">
        <v>2708</v>
      </c>
      <c r="V1203" s="205" t="s">
        <v>57</v>
      </c>
      <c r="W1203" s="122" t="s">
        <v>125</v>
      </c>
      <c r="X1203" s="123" t="s">
        <v>2751</v>
      </c>
    </row>
    <row r="1204" spans="1:24">
      <c r="A1204" s="548">
        <v>46053</v>
      </c>
      <c r="B1204" s="194" t="s">
        <v>2871</v>
      </c>
      <c r="C1204" s="32" t="s">
        <v>2543</v>
      </c>
      <c r="D1204" s="147">
        <v>-8256632</v>
      </c>
      <c r="E1204" s="120">
        <v>9.4499999999999998E-4</v>
      </c>
      <c r="F1204" s="127">
        <f>Tabla5109[[#This Row],[Original Amount]]*Tabla5109[[#This Row],[ER to EUR]]</f>
        <v>-7802.5172400000001</v>
      </c>
      <c r="G1204" s="9" t="s">
        <v>2877</v>
      </c>
      <c r="H1204" s="9" t="s">
        <v>4244</v>
      </c>
      <c r="I1204" s="9" t="s">
        <v>2713</v>
      </c>
      <c r="J1204" s="9" t="s">
        <v>2770</v>
      </c>
      <c r="K1204" s="205" t="s">
        <v>2874</v>
      </c>
      <c r="L1204" s="9" t="s">
        <v>2875</v>
      </c>
      <c r="M1204" s="227" t="s">
        <v>2748</v>
      </c>
      <c r="N1204" s="122" t="s">
        <v>2748</v>
      </c>
      <c r="O1204" s="129" t="s">
        <v>2748</v>
      </c>
      <c r="P1204" s="123" t="str">
        <f>"C"&amp;INT((MONTH(A1204)-1)/4)+1&amp;"-"&amp;YEAR(A1204)</f>
        <v>C1-2026</v>
      </c>
      <c r="Q1204" s="124" t="str">
        <f>"T"&amp;INT((MONTH(A1204)-1)/3)+1&amp;"-"&amp;YEAR(A1204)</f>
        <v>T1-2026</v>
      </c>
      <c r="R1204" s="91" t="s">
        <v>2749</v>
      </c>
      <c r="S1204" s="124" t="s">
        <v>2750</v>
      </c>
      <c r="T1204" s="124" t="s">
        <v>2724</v>
      </c>
      <c r="U1204" s="9" t="s">
        <v>2708</v>
      </c>
      <c r="V1204" s="205" t="s">
        <v>54</v>
      </c>
      <c r="W1204" s="122" t="s">
        <v>125</v>
      </c>
      <c r="X1204" s="123" t="s">
        <v>2751</v>
      </c>
    </row>
    <row r="1205" spans="1:24">
      <c r="A1205" s="548">
        <v>46053</v>
      </c>
      <c r="B1205" s="125">
        <v>25651</v>
      </c>
      <c r="C1205" s="32" t="s">
        <v>2543</v>
      </c>
      <c r="D1205" s="147">
        <v>-30000</v>
      </c>
      <c r="E1205" s="120">
        <v>9.4499999999999998E-4</v>
      </c>
      <c r="F1205" s="127">
        <f>Tabla5109[[#This Row],[Original Amount]]*Tabla5109[[#This Row],[ER to EUR]]</f>
        <v>-28.349999999999998</v>
      </c>
      <c r="G1205" s="9" t="s">
        <v>4245</v>
      </c>
      <c r="H1205" s="9" t="s">
        <v>4246</v>
      </c>
      <c r="I1205" s="9" t="s">
        <v>4236</v>
      </c>
      <c r="J1205" s="9" t="s">
        <v>3095</v>
      </c>
      <c r="K1205" s="9" t="s">
        <v>3510</v>
      </c>
      <c r="L1205" s="9" t="s">
        <v>3097</v>
      </c>
      <c r="M1205" s="549" t="s">
        <v>2748</v>
      </c>
      <c r="N1205" s="122" t="s">
        <v>2748</v>
      </c>
      <c r="O1205" s="122" t="s">
        <v>2704</v>
      </c>
      <c r="P1205" s="123" t="str">
        <f>"C"&amp;INT((MONTH(A1205)-1)/4)+1&amp;"-"&amp;YEAR(A1205)</f>
        <v>C1-2026</v>
      </c>
      <c r="Q1205" s="124" t="str">
        <f>"T"&amp;INT((MONTH(A1205)-1)/3)+1&amp;"-"&amp;YEAR(A1205)</f>
        <v>T1-2026</v>
      </c>
      <c r="R1205" s="91" t="s">
        <v>2828</v>
      </c>
      <c r="S1205" s="124" t="s">
        <v>2735</v>
      </c>
      <c r="T1205" s="124" t="s">
        <v>2717</v>
      </c>
      <c r="U1205" s="9" t="s">
        <v>2708</v>
      </c>
      <c r="V1205" s="205" t="s">
        <v>56</v>
      </c>
      <c r="W1205" s="122" t="s">
        <v>125</v>
      </c>
      <c r="X1205" s="123" t="s">
        <v>2751</v>
      </c>
    </row>
    <row r="1206" spans="1:24">
      <c r="A1206" s="548">
        <v>46053</v>
      </c>
      <c r="B1206" s="125">
        <v>5487145232</v>
      </c>
      <c r="C1206" s="32" t="s">
        <v>2697</v>
      </c>
      <c r="D1206" s="126">
        <v>-2582.06</v>
      </c>
      <c r="E1206" s="120">
        <v>1</v>
      </c>
      <c r="F1206" s="127">
        <f>Tabla5109[[#This Row],[Original Amount]]*Tabla5109[[#This Row],[ER to EUR]]</f>
        <v>-2582.06</v>
      </c>
      <c r="G1206" s="9" t="s">
        <v>3035</v>
      </c>
      <c r="H1206" s="9" t="s">
        <v>4247</v>
      </c>
      <c r="I1206" s="9" t="s">
        <v>2784</v>
      </c>
      <c r="J1206" s="9" t="s">
        <v>2723</v>
      </c>
      <c r="K1206" s="205" t="s">
        <v>2792</v>
      </c>
      <c r="L1206" s="9" t="s">
        <v>2793</v>
      </c>
      <c r="M1206" s="32" t="s">
        <v>125</v>
      </c>
      <c r="N1206" s="129" t="s">
        <v>2704</v>
      </c>
      <c r="O1206" s="122" t="s">
        <v>2704</v>
      </c>
      <c r="P1206" s="123" t="str">
        <f>"C"&amp;INT((MONTH(A1206)-1)/4)+1&amp;"-"&amp;YEAR(A1206)</f>
        <v>C1-2026</v>
      </c>
      <c r="Q1206" s="124" t="str">
        <f>"T"&amp;INT((MONTH(A1206)-1)/3)+1&amp;"-"&amp;YEAR(A1206)</f>
        <v>T1-2026</v>
      </c>
      <c r="R1206" s="124" t="s">
        <v>2741</v>
      </c>
      <c r="S1206" s="124" t="s">
        <v>2723</v>
      </c>
      <c r="T1206" s="124" t="s">
        <v>2707</v>
      </c>
      <c r="U1206" s="9" t="s">
        <v>2708</v>
      </c>
      <c r="V1206" s="205" t="s">
        <v>54</v>
      </c>
      <c r="W1206" s="122" t="s">
        <v>125</v>
      </c>
      <c r="X1206" s="124" t="s">
        <v>2709</v>
      </c>
    </row>
    <row r="1207" spans="1:24">
      <c r="A1207" s="548">
        <v>46054</v>
      </c>
      <c r="B1207" s="132">
        <v>250696114</v>
      </c>
      <c r="C1207" s="232" t="s">
        <v>2697</v>
      </c>
      <c r="D1207" s="757">
        <v>-15490.79</v>
      </c>
      <c r="E1207" s="32">
        <v>1</v>
      </c>
      <c r="F1207" s="759">
        <f>Tabla5109[[#This Row],[Original Amount]]*Tabla5109[[#This Row],[ER to EUR]]</f>
        <v>-15490.79</v>
      </c>
      <c r="G1207" s="91" t="s">
        <v>2884</v>
      </c>
      <c r="H1207" s="91" t="s">
        <v>2885</v>
      </c>
      <c r="I1207" s="9" t="s">
        <v>2727</v>
      </c>
      <c r="J1207" s="91" t="s">
        <v>2723</v>
      </c>
      <c r="K1207" s="196" t="s">
        <v>2792</v>
      </c>
      <c r="L1207" s="91" t="s">
        <v>2793</v>
      </c>
      <c r="M1207" s="32" t="s">
        <v>125</v>
      </c>
      <c r="N1207" s="129" t="s">
        <v>2704</v>
      </c>
      <c r="O1207" s="129" t="s">
        <v>2704</v>
      </c>
      <c r="P1207" s="123" t="str">
        <f>"C"&amp;INT((MONTH(A1207)-1)/4)+1&amp;"-"&amp;YEAR(A1207)</f>
        <v>C1-2026</v>
      </c>
      <c r="Q1207" s="124" t="str">
        <f>"T"&amp;INT((MONTH(A1207)-1)/3)+1&amp;"-"&amp;YEAR(A1207)</f>
        <v>T1-2026</v>
      </c>
      <c r="R1207" s="124" t="s">
        <v>2741</v>
      </c>
      <c r="S1207" s="124" t="s">
        <v>2723</v>
      </c>
      <c r="T1207" s="124" t="s">
        <v>2707</v>
      </c>
      <c r="U1207" s="9" t="s">
        <v>2708</v>
      </c>
      <c r="V1207" s="205" t="s">
        <v>54</v>
      </c>
      <c r="W1207" s="122" t="s">
        <v>125</v>
      </c>
      <c r="X1207" s="124" t="s">
        <v>2709</v>
      </c>
    </row>
    <row r="1208" spans="1:24">
      <c r="A1208" s="548">
        <v>46054</v>
      </c>
      <c r="B1208" s="133" t="s">
        <v>4248</v>
      </c>
      <c r="C1208" s="32" t="s">
        <v>2548</v>
      </c>
      <c r="D1208" s="136">
        <v>-75.540000000000006</v>
      </c>
      <c r="E1208" s="221">
        <v>0.84359700000000004</v>
      </c>
      <c r="F1208" s="121">
        <f>Tabla5109[[#This Row],[Original Amount]]*Tabla5109[[#This Row],[ER to EUR]]</f>
        <v>-63.725317380000007</v>
      </c>
      <c r="G1208" s="9" t="s">
        <v>2884</v>
      </c>
      <c r="H1208" s="9" t="s">
        <v>4009</v>
      </c>
      <c r="I1208" s="9" t="s">
        <v>2755</v>
      </c>
      <c r="J1208" s="9" t="s">
        <v>2723</v>
      </c>
      <c r="K1208" s="205" t="s">
        <v>2792</v>
      </c>
      <c r="L1208" s="9" t="s">
        <v>2793</v>
      </c>
      <c r="M1208" s="32" t="s">
        <v>125</v>
      </c>
      <c r="N1208" s="129" t="s">
        <v>2704</v>
      </c>
      <c r="O1208" s="122" t="s">
        <v>2704</v>
      </c>
      <c r="P1208" s="123" t="str">
        <f>"C"&amp;INT((MONTH(A1208)-1)/4)+1&amp;"-"&amp;YEAR(A1208)</f>
        <v>C1-2026</v>
      </c>
      <c r="Q1208" s="124" t="str">
        <f>"T"&amp;INT((MONTH(A1208)-1)/3)+1&amp;"-"&amp;YEAR(A1208)</f>
        <v>T1-2026</v>
      </c>
      <c r="R1208" s="124" t="s">
        <v>2741</v>
      </c>
      <c r="S1208" s="124" t="s">
        <v>2723</v>
      </c>
      <c r="T1208" s="124" t="s">
        <v>2707</v>
      </c>
      <c r="U1208" s="9" t="s">
        <v>2708</v>
      </c>
      <c r="V1208" s="205" t="s">
        <v>54</v>
      </c>
      <c r="W1208" s="122" t="s">
        <v>125</v>
      </c>
      <c r="X1208" s="124" t="s">
        <v>2709</v>
      </c>
    </row>
    <row r="1209" spans="1:24">
      <c r="A1209" s="548">
        <v>46055</v>
      </c>
      <c r="B1209" s="132">
        <v>202601536</v>
      </c>
      <c r="C1209" s="232" t="s">
        <v>2697</v>
      </c>
      <c r="D1209" s="210">
        <v>-5176.5</v>
      </c>
      <c r="E1209" s="32">
        <v>1</v>
      </c>
      <c r="F1209" s="121">
        <f>Tabla5109[[#This Row],[Original Amount]]*Tabla5109[[#This Row],[ER to EUR]]</f>
        <v>-5176.5</v>
      </c>
      <c r="G1209" s="91" t="s">
        <v>3683</v>
      </c>
      <c r="H1209" s="91" t="s">
        <v>4131</v>
      </c>
      <c r="I1209" s="9" t="s">
        <v>2727</v>
      </c>
      <c r="J1209" s="9" t="s">
        <v>2714</v>
      </c>
      <c r="K1209" s="205" t="s">
        <v>3510</v>
      </c>
      <c r="L1209" s="9" t="s">
        <v>2799</v>
      </c>
      <c r="M1209" s="32" t="s">
        <v>125</v>
      </c>
      <c r="N1209" s="129" t="s">
        <v>2704</v>
      </c>
      <c r="O1209" s="129" t="s">
        <v>2704</v>
      </c>
      <c r="P1209" s="123" t="str">
        <f>"C"&amp;INT((MONTH(A1209)-1)/4)+1&amp;"-"&amp;YEAR(A1209)</f>
        <v>C1-2026</v>
      </c>
      <c r="Q1209" s="124" t="str">
        <f>"T"&amp;INT((MONTH(A1209)-1)/3)+1&amp;"-"&amp;YEAR(A1209)</f>
        <v>T1-2026</v>
      </c>
      <c r="R1209" s="124" t="s">
        <v>2705</v>
      </c>
      <c r="S1209" s="124" t="s">
        <v>2706</v>
      </c>
      <c r="T1209" s="124" t="s">
        <v>2724</v>
      </c>
      <c r="U1209" s="9" t="s">
        <v>2708</v>
      </c>
      <c r="V1209" s="205" t="s">
        <v>56</v>
      </c>
      <c r="W1209" s="122" t="s">
        <v>125</v>
      </c>
      <c r="X1209" s="123" t="s">
        <v>2709</v>
      </c>
    </row>
    <row r="1210" spans="1:24">
      <c r="A1210" s="548">
        <v>46055</v>
      </c>
      <c r="B1210" s="125">
        <v>715776849</v>
      </c>
      <c r="C1210" s="32" t="s">
        <v>2697</v>
      </c>
      <c r="D1210" s="210">
        <v>-47.02</v>
      </c>
      <c r="E1210" s="120">
        <v>1</v>
      </c>
      <c r="F1210" s="121">
        <f>Tabla5109[[#This Row],[Original Amount]]*Tabla5109[[#This Row],[ER to EUR]]</f>
        <v>-47.02</v>
      </c>
      <c r="G1210" s="9" t="s">
        <v>2698</v>
      </c>
      <c r="H1210" s="9" t="s">
        <v>4505</v>
      </c>
      <c r="I1210" s="9" t="s">
        <v>3836</v>
      </c>
      <c r="J1210" s="9" t="s">
        <v>2701</v>
      </c>
      <c r="K1210" s="205" t="s">
        <v>2702</v>
      </c>
      <c r="L1210" s="9" t="s">
        <v>2703</v>
      </c>
      <c r="M1210" s="32" t="s">
        <v>125</v>
      </c>
      <c r="N1210" s="122" t="s">
        <v>2704</v>
      </c>
      <c r="O1210" s="129" t="s">
        <v>2704</v>
      </c>
      <c r="P1210" s="123" t="str">
        <f>"C"&amp;INT((MONTH(A1210)-1)/4)+1&amp;"-"&amp;YEAR(A1210)</f>
        <v>C1-2026</v>
      </c>
      <c r="Q1210" s="124" t="str">
        <f>"T"&amp;INT((MONTH(A1210)-1)/3)+1&amp;"-"&amp;YEAR(A1210)</f>
        <v>T1-2026</v>
      </c>
      <c r="R1210" s="124" t="s">
        <v>2741</v>
      </c>
      <c r="S1210" s="124" t="s">
        <v>2723</v>
      </c>
      <c r="T1210" s="124" t="s">
        <v>2707</v>
      </c>
      <c r="U1210" s="9" t="s">
        <v>2708</v>
      </c>
      <c r="V1210" s="205" t="s">
        <v>54</v>
      </c>
      <c r="W1210" s="122" t="s">
        <v>125</v>
      </c>
      <c r="X1210" s="124" t="s">
        <v>2709</v>
      </c>
    </row>
    <row r="1211" spans="1:24">
      <c r="A1211" s="548">
        <v>46055</v>
      </c>
      <c r="B1211" s="125">
        <v>34009766</v>
      </c>
      <c r="C1211" s="32" t="s">
        <v>2543</v>
      </c>
      <c r="D1211" s="152">
        <v>-475469</v>
      </c>
      <c r="E1211" s="32">
        <v>9.7400000000000004E-4</v>
      </c>
      <c r="F1211" s="121">
        <f>Tabla5109[[#This Row],[Original Amount]]*Tabla5109[[#This Row],[ER to EUR]]</f>
        <v>-463.10680600000001</v>
      </c>
      <c r="G1211" s="9" t="s">
        <v>4620</v>
      </c>
      <c r="H1211" s="9" t="s">
        <v>4622</v>
      </c>
      <c r="I1211" s="9" t="s">
        <v>3288</v>
      </c>
      <c r="J1211" s="9" t="s">
        <v>3095</v>
      </c>
      <c r="K1211" s="205" t="s">
        <v>3510</v>
      </c>
      <c r="L1211" s="211" t="s">
        <v>4623</v>
      </c>
      <c r="M1211" s="227" t="s">
        <v>2748</v>
      </c>
      <c r="N1211" s="122" t="s">
        <v>2748</v>
      </c>
      <c r="O1211" s="129" t="s">
        <v>2704</v>
      </c>
      <c r="P1211" s="123" t="str">
        <f>"C"&amp;INT((MONTH(A1211)-1)/4)+1&amp;"-"&amp;YEAR(A1211)</f>
        <v>C1-2026</v>
      </c>
      <c r="Q1211" s="124" t="str">
        <f>"T"&amp;INT((MONTH(A1211)-1)/3)+1&amp;"-"&amp;YEAR(A1211)</f>
        <v>T1-2026</v>
      </c>
      <c r="R1211" s="124" t="s">
        <v>2828</v>
      </c>
      <c r="S1211" s="124" t="s">
        <v>2706</v>
      </c>
      <c r="T1211" s="124" t="s">
        <v>2724</v>
      </c>
      <c r="U1211" s="9" t="s">
        <v>2708</v>
      </c>
      <c r="V1211" s="205" t="s">
        <v>56</v>
      </c>
      <c r="W1211" s="122" t="s">
        <v>125</v>
      </c>
      <c r="X1211" s="124" t="s">
        <v>2751</v>
      </c>
    </row>
    <row r="1212" spans="1:24">
      <c r="A1212" s="548">
        <v>46055</v>
      </c>
      <c r="B1212" s="133" t="s">
        <v>4868</v>
      </c>
      <c r="C1212" s="32" t="s">
        <v>2548</v>
      </c>
      <c r="D1212" s="136">
        <v>-200</v>
      </c>
      <c r="E1212" s="569">
        <v>0.84360000000000002</v>
      </c>
      <c r="F1212" s="121">
        <f>Tabla5109[[#This Row],[Original Amount]]*Tabla5109[[#This Row],[ER to EUR]]</f>
        <v>-168.72</v>
      </c>
      <c r="G1212" s="9" t="s">
        <v>2766</v>
      </c>
      <c r="H1212" s="9" t="s">
        <v>4870</v>
      </c>
      <c r="I1212" s="9" t="s">
        <v>2713</v>
      </c>
      <c r="J1212" s="9" t="s">
        <v>2701</v>
      </c>
      <c r="K1212" s="205" t="s">
        <v>2702</v>
      </c>
      <c r="L1212" s="9" t="s">
        <v>2760</v>
      </c>
      <c r="M1212" s="32" t="s">
        <v>125</v>
      </c>
      <c r="N1212" s="122" t="s">
        <v>2704</v>
      </c>
      <c r="O1212" s="122" t="s">
        <v>2704</v>
      </c>
      <c r="P1212" s="123" t="str">
        <f>"C"&amp;INT((MONTH(A1212)-1)/4)+1&amp;"-"&amp;YEAR(A1212)</f>
        <v>C1-2026</v>
      </c>
      <c r="Q1212" s="124" t="str">
        <f>"T"&amp;INT((MONTH(A1212)-1)/3)+1&amp;"-"&amp;YEAR(A1212)</f>
        <v>T1-2026</v>
      </c>
      <c r="R1212" s="124" t="s">
        <v>2705</v>
      </c>
      <c r="S1212" s="124" t="s">
        <v>2735</v>
      </c>
      <c r="T1212" s="124" t="s">
        <v>2724</v>
      </c>
      <c r="U1212" s="9" t="s">
        <v>2708</v>
      </c>
      <c r="V1212" s="205" t="s">
        <v>55</v>
      </c>
      <c r="W1212" s="122" t="s">
        <v>125</v>
      </c>
      <c r="X1212" s="124" t="s">
        <v>2709</v>
      </c>
    </row>
    <row r="1213" spans="1:24">
      <c r="A1213" s="548">
        <v>46056</v>
      </c>
      <c r="B1213" s="132" t="s">
        <v>4249</v>
      </c>
      <c r="C1213" s="232" t="s">
        <v>2697</v>
      </c>
      <c r="D1213" s="210">
        <v>-23.99</v>
      </c>
      <c r="E1213" s="32">
        <v>1</v>
      </c>
      <c r="F1213" s="121">
        <f>Tabla5109[[#This Row],[Original Amount]]*Tabla5109[[#This Row],[ER to EUR]]</f>
        <v>-23.99</v>
      </c>
      <c r="G1213" s="91" t="s">
        <v>3462</v>
      </c>
      <c r="H1213" s="91" t="s">
        <v>3463</v>
      </c>
      <c r="I1213" s="9" t="s">
        <v>6008</v>
      </c>
      <c r="J1213" s="9" t="s">
        <v>2701</v>
      </c>
      <c r="K1213" s="205" t="s">
        <v>2702</v>
      </c>
      <c r="L1213" s="9" t="s">
        <v>2793</v>
      </c>
      <c r="M1213" s="32" t="s">
        <v>125</v>
      </c>
      <c r="N1213" s="129" t="s">
        <v>2704</v>
      </c>
      <c r="O1213" s="122" t="s">
        <v>2704</v>
      </c>
      <c r="P1213" s="123" t="str">
        <f>"C"&amp;INT((MONTH(A1213)-1)/4)+1&amp;"-"&amp;YEAR(A1213)</f>
        <v>C1-2026</v>
      </c>
      <c r="Q1213" s="124" t="str">
        <f>"T"&amp;INT((MONTH(A1213)-1)/3)+1&amp;"-"&amp;YEAR(A1213)</f>
        <v>T1-2026</v>
      </c>
      <c r="R1213" s="124" t="s">
        <v>2741</v>
      </c>
      <c r="S1213" s="123" t="s">
        <v>2723</v>
      </c>
      <c r="T1213" s="124" t="s">
        <v>2724</v>
      </c>
      <c r="U1213" s="9" t="s">
        <v>2708</v>
      </c>
      <c r="V1213" s="205" t="s">
        <v>54</v>
      </c>
      <c r="W1213" s="122" t="s">
        <v>125</v>
      </c>
      <c r="X1213" s="124" t="s">
        <v>2709</v>
      </c>
    </row>
    <row r="1214" spans="1:24">
      <c r="A1214" s="548">
        <v>46056</v>
      </c>
      <c r="B1214" s="132">
        <v>17013505</v>
      </c>
      <c r="C1214" s="232" t="s">
        <v>2548</v>
      </c>
      <c r="D1214" s="136">
        <v>-180</v>
      </c>
      <c r="E1214" s="222">
        <v>0.84359700000000004</v>
      </c>
      <c r="F1214" s="121">
        <f>Tabla5109[[#This Row],[Original Amount]]*Tabla5109[[#This Row],[ER to EUR]]</f>
        <v>-151.84746000000001</v>
      </c>
      <c r="G1214" s="91" t="s">
        <v>2737</v>
      </c>
      <c r="H1214" s="91" t="s">
        <v>3851</v>
      </c>
      <c r="I1214" s="9" t="s">
        <v>2755</v>
      </c>
      <c r="J1214" s="9" t="s">
        <v>2701</v>
      </c>
      <c r="K1214" s="205" t="s">
        <v>2702</v>
      </c>
      <c r="L1214" s="9" t="s">
        <v>2740</v>
      </c>
      <c r="M1214" s="32" t="s">
        <v>125</v>
      </c>
      <c r="N1214" s="129" t="s">
        <v>2704</v>
      </c>
      <c r="O1214" s="129" t="s">
        <v>2704</v>
      </c>
      <c r="P1214" s="123" t="str">
        <f>"C"&amp;INT((MONTH(A1214)-1)/4)+1&amp;"-"&amp;YEAR(A1214)</f>
        <v>C1-2026</v>
      </c>
      <c r="Q1214" s="124" t="str">
        <f>"T"&amp;INT((MONTH(A1214)-1)/3)+1&amp;"-"&amp;YEAR(A1214)</f>
        <v>T1-2026</v>
      </c>
      <c r="R1214" s="124" t="s">
        <v>2741</v>
      </c>
      <c r="S1214" s="124" t="s">
        <v>2723</v>
      </c>
      <c r="T1214" s="124" t="s">
        <v>2724</v>
      </c>
      <c r="U1214" s="9" t="s">
        <v>2708</v>
      </c>
      <c r="V1214" s="205" t="s">
        <v>54</v>
      </c>
      <c r="W1214" s="122" t="s">
        <v>125</v>
      </c>
      <c r="X1214" s="124" t="s">
        <v>2709</v>
      </c>
    </row>
    <row r="1215" spans="1:24">
      <c r="A1215" s="548">
        <v>46056</v>
      </c>
      <c r="B1215" s="125">
        <v>716637843</v>
      </c>
      <c r="C1215" s="32" t="s">
        <v>2697</v>
      </c>
      <c r="D1215" s="210">
        <v>-45.14</v>
      </c>
      <c r="E1215" s="120">
        <v>1</v>
      </c>
      <c r="F1215" s="121">
        <f>Tabla5109[[#This Row],[Original Amount]]*Tabla5109[[#This Row],[ER to EUR]]</f>
        <v>-45.14</v>
      </c>
      <c r="G1215" s="91" t="s">
        <v>2698</v>
      </c>
      <c r="H1215" s="91" t="s">
        <v>4250</v>
      </c>
      <c r="I1215" s="9" t="s">
        <v>3836</v>
      </c>
      <c r="J1215" s="9" t="s">
        <v>2701</v>
      </c>
      <c r="K1215" s="205" t="s">
        <v>2702</v>
      </c>
      <c r="L1215" s="9" t="s">
        <v>2703</v>
      </c>
      <c r="M1215" s="32" t="s">
        <v>125</v>
      </c>
      <c r="N1215" s="122" t="s">
        <v>2704</v>
      </c>
      <c r="O1215" s="129" t="s">
        <v>2704</v>
      </c>
      <c r="P1215" s="123" t="str">
        <f>"C"&amp;INT((MONTH(A1215)-1)/4)+1&amp;"-"&amp;YEAR(A1215)</f>
        <v>C1-2026</v>
      </c>
      <c r="Q1215" s="124" t="str">
        <f>"T"&amp;INT((MONTH(A1215)-1)/3)+1&amp;"-"&amp;YEAR(A1215)</f>
        <v>T1-2026</v>
      </c>
      <c r="R1215" s="124" t="s">
        <v>2741</v>
      </c>
      <c r="S1215" s="124" t="s">
        <v>2723</v>
      </c>
      <c r="T1215" s="124" t="s">
        <v>2707</v>
      </c>
      <c r="U1215" s="9" t="s">
        <v>2708</v>
      </c>
      <c r="V1215" s="205" t="s">
        <v>54</v>
      </c>
      <c r="W1215" s="122" t="s">
        <v>125</v>
      </c>
      <c r="X1215" s="124" t="s">
        <v>2709</v>
      </c>
    </row>
    <row r="1216" spans="1:24">
      <c r="A1216" s="548">
        <v>46056</v>
      </c>
      <c r="B1216" s="125">
        <v>716677380</v>
      </c>
      <c r="C1216" s="32" t="s">
        <v>2697</v>
      </c>
      <c r="D1216" s="210">
        <v>-45.15</v>
      </c>
      <c r="E1216" s="120">
        <v>1</v>
      </c>
      <c r="F1216" s="121">
        <f>Tabla5109[[#This Row],[Original Amount]]*Tabla5109[[#This Row],[ER to EUR]]</f>
        <v>-45.15</v>
      </c>
      <c r="G1216" s="91" t="s">
        <v>2698</v>
      </c>
      <c r="H1216" s="91" t="s">
        <v>4445</v>
      </c>
      <c r="I1216" s="9" t="s">
        <v>3836</v>
      </c>
      <c r="J1216" s="9" t="s">
        <v>2701</v>
      </c>
      <c r="K1216" s="205" t="s">
        <v>2702</v>
      </c>
      <c r="L1216" s="9" t="s">
        <v>2703</v>
      </c>
      <c r="M1216" s="32" t="s">
        <v>125</v>
      </c>
      <c r="N1216" s="122" t="s">
        <v>2704</v>
      </c>
      <c r="O1216" s="129" t="s">
        <v>2704</v>
      </c>
      <c r="P1216" s="123" t="str">
        <f>"C"&amp;INT((MONTH(A1216)-1)/4)+1&amp;"-"&amp;YEAR(A1216)</f>
        <v>C1-2026</v>
      </c>
      <c r="Q1216" s="124" t="str">
        <f>"T"&amp;INT((MONTH(A1216)-1)/3)+1&amp;"-"&amp;YEAR(A1216)</f>
        <v>T1-2026</v>
      </c>
      <c r="R1216" s="124" t="s">
        <v>2741</v>
      </c>
      <c r="S1216" s="124" t="s">
        <v>2723</v>
      </c>
      <c r="T1216" s="124" t="s">
        <v>2707</v>
      </c>
      <c r="U1216" s="9" t="s">
        <v>2708</v>
      </c>
      <c r="V1216" s="205" t="s">
        <v>54</v>
      </c>
      <c r="W1216" s="122" t="s">
        <v>125</v>
      </c>
      <c r="X1216" s="124" t="s">
        <v>2709</v>
      </c>
    </row>
    <row r="1217" spans="1:24">
      <c r="A1217" s="548">
        <v>46057</v>
      </c>
      <c r="B1217" s="125">
        <v>717240729</v>
      </c>
      <c r="C1217" s="32" t="s">
        <v>2697</v>
      </c>
      <c r="D1217" s="210">
        <v>-43.26</v>
      </c>
      <c r="E1217" s="120">
        <v>1</v>
      </c>
      <c r="F1217" s="121">
        <f>Tabla5109[[#This Row],[Original Amount]]*Tabla5109[[#This Row],[ER to EUR]]</f>
        <v>-43.26</v>
      </c>
      <c r="G1217" s="91" t="s">
        <v>2698</v>
      </c>
      <c r="H1217" s="91" t="s">
        <v>4448</v>
      </c>
      <c r="I1217" s="9" t="s">
        <v>3836</v>
      </c>
      <c r="J1217" s="9" t="s">
        <v>2701</v>
      </c>
      <c r="K1217" s="205" t="s">
        <v>2702</v>
      </c>
      <c r="L1217" s="9" t="s">
        <v>2703</v>
      </c>
      <c r="M1217" s="32" t="s">
        <v>125</v>
      </c>
      <c r="N1217" s="122" t="s">
        <v>2704</v>
      </c>
      <c r="O1217" s="129" t="s">
        <v>2704</v>
      </c>
      <c r="P1217" s="123" t="str">
        <f>"C"&amp;INT((MONTH(A1217)-1)/4)+1&amp;"-"&amp;YEAR(A1217)</f>
        <v>C1-2026</v>
      </c>
      <c r="Q1217" s="124" t="str">
        <f>"T"&amp;INT((MONTH(A1217)-1)/3)+1&amp;"-"&amp;YEAR(A1217)</f>
        <v>T1-2026</v>
      </c>
      <c r="R1217" s="124" t="s">
        <v>2741</v>
      </c>
      <c r="S1217" s="124" t="s">
        <v>2723</v>
      </c>
      <c r="T1217" s="124" t="s">
        <v>2707</v>
      </c>
      <c r="U1217" s="9" t="s">
        <v>2708</v>
      </c>
      <c r="V1217" s="205" t="s">
        <v>54</v>
      </c>
      <c r="W1217" s="122" t="s">
        <v>125</v>
      </c>
      <c r="X1217" s="124" t="s">
        <v>2709</v>
      </c>
    </row>
    <row r="1218" spans="1:24">
      <c r="A1218" s="548">
        <v>46057</v>
      </c>
      <c r="B1218" s="125">
        <v>717347157</v>
      </c>
      <c r="C1218" s="32" t="s">
        <v>2697</v>
      </c>
      <c r="D1218" s="210">
        <v>-43.26</v>
      </c>
      <c r="E1218" s="120">
        <v>1</v>
      </c>
      <c r="F1218" s="121">
        <f>Tabla5109[[#This Row],[Original Amount]]*Tabla5109[[#This Row],[ER to EUR]]</f>
        <v>-43.26</v>
      </c>
      <c r="G1218" s="91" t="s">
        <v>2698</v>
      </c>
      <c r="H1218" s="91" t="s">
        <v>4447</v>
      </c>
      <c r="I1218" s="9" t="s">
        <v>3836</v>
      </c>
      <c r="J1218" s="9" t="s">
        <v>2701</v>
      </c>
      <c r="K1218" s="205" t="s">
        <v>2702</v>
      </c>
      <c r="L1218" s="9" t="s">
        <v>2703</v>
      </c>
      <c r="M1218" s="32" t="s">
        <v>125</v>
      </c>
      <c r="N1218" s="122" t="s">
        <v>2704</v>
      </c>
      <c r="O1218" s="129" t="s">
        <v>2704</v>
      </c>
      <c r="P1218" s="123" t="str">
        <f>"C"&amp;INT((MONTH(A1218)-1)/4)+1&amp;"-"&amp;YEAR(A1218)</f>
        <v>C1-2026</v>
      </c>
      <c r="Q1218" s="124" t="str">
        <f>"T"&amp;INT((MONTH(A1218)-1)/3)+1&amp;"-"&amp;YEAR(A1218)</f>
        <v>T1-2026</v>
      </c>
      <c r="R1218" s="124" t="s">
        <v>2741</v>
      </c>
      <c r="S1218" s="124" t="s">
        <v>2723</v>
      </c>
      <c r="T1218" s="124" t="s">
        <v>2707</v>
      </c>
      <c r="U1218" s="9" t="s">
        <v>2708</v>
      </c>
      <c r="V1218" s="205" t="s">
        <v>54</v>
      </c>
      <c r="W1218" s="122" t="s">
        <v>125</v>
      </c>
      <c r="X1218" s="124" t="s">
        <v>2709</v>
      </c>
    </row>
    <row r="1219" spans="1:24">
      <c r="A1219" s="548">
        <v>46058</v>
      </c>
      <c r="B1219" s="132" t="s">
        <v>4467</v>
      </c>
      <c r="C1219" s="232" t="s">
        <v>2548</v>
      </c>
      <c r="D1219" s="136">
        <v>-25</v>
      </c>
      <c r="E1219" s="222">
        <v>0.84359700000000004</v>
      </c>
      <c r="F1219" s="121">
        <f>Tabla5109[[#This Row],[Original Amount]]*Tabla5109[[#This Row],[ER to EUR]]</f>
        <v>-21.089925000000001</v>
      </c>
      <c r="G1219" s="91" t="s">
        <v>3068</v>
      </c>
      <c r="H1219" s="9" t="s">
        <v>4252</v>
      </c>
      <c r="I1219" s="9" t="s">
        <v>6008</v>
      </c>
      <c r="J1219" s="9" t="s">
        <v>2701</v>
      </c>
      <c r="K1219" s="205" t="s">
        <v>2702</v>
      </c>
      <c r="L1219" s="9" t="s">
        <v>2793</v>
      </c>
      <c r="M1219" s="32" t="s">
        <v>125</v>
      </c>
      <c r="N1219" s="129" t="s">
        <v>2704</v>
      </c>
      <c r="O1219" s="122" t="s">
        <v>2704</v>
      </c>
      <c r="P1219" s="123" t="str">
        <f>"C"&amp;INT((MONTH(A1219)-1)/4)+1&amp;"-"&amp;YEAR(A1219)</f>
        <v>C1-2026</v>
      </c>
      <c r="Q1219" s="124" t="str">
        <f>"T"&amp;INT((MONTH(A1219)-1)/3)+1&amp;"-"&amp;YEAR(A1219)</f>
        <v>T1-2026</v>
      </c>
      <c r="R1219" s="124" t="s">
        <v>2741</v>
      </c>
      <c r="S1219" s="123" t="s">
        <v>2723</v>
      </c>
      <c r="T1219" s="124" t="s">
        <v>2724</v>
      </c>
      <c r="U1219" s="9" t="s">
        <v>2708</v>
      </c>
      <c r="V1219" s="205" t="s">
        <v>54</v>
      </c>
      <c r="W1219" s="122" t="s">
        <v>125</v>
      </c>
      <c r="X1219" s="124" t="s">
        <v>2709</v>
      </c>
    </row>
    <row r="1220" spans="1:24">
      <c r="A1220" s="548">
        <v>46058</v>
      </c>
      <c r="B1220" s="132" t="s">
        <v>4444</v>
      </c>
      <c r="C1220" s="232" t="s">
        <v>2548</v>
      </c>
      <c r="D1220" s="136">
        <v>-99</v>
      </c>
      <c r="E1220" s="222">
        <v>0.84359700000000004</v>
      </c>
      <c r="F1220" s="121">
        <f>Tabla5109[[#This Row],[Original Amount]]*Tabla5109[[#This Row],[ER to EUR]]</f>
        <v>-83.516103000000001</v>
      </c>
      <c r="G1220" s="91" t="s">
        <v>4144</v>
      </c>
      <c r="H1220" s="91" t="s">
        <v>4253</v>
      </c>
      <c r="I1220" s="9" t="s">
        <v>2713</v>
      </c>
      <c r="J1220" s="9" t="s">
        <v>2701</v>
      </c>
      <c r="K1220" s="205" t="s">
        <v>2702</v>
      </c>
      <c r="L1220" s="211" t="s">
        <v>4138</v>
      </c>
      <c r="M1220" s="32" t="s">
        <v>125</v>
      </c>
      <c r="N1220" s="122" t="s">
        <v>2704</v>
      </c>
      <c r="O1220" s="129" t="s">
        <v>2704</v>
      </c>
      <c r="P1220" s="123" t="str">
        <f>"C"&amp;INT((MONTH(A1220)-1)/4)+1&amp;"-"&amp;YEAR(A1220)</f>
        <v>C1-2026</v>
      </c>
      <c r="Q1220" s="124" t="str">
        <f>"T"&amp;INT((MONTH(A1220)-1)/3)+1&amp;"-"&amp;YEAR(A1220)</f>
        <v>T1-2026</v>
      </c>
      <c r="R1220" s="91" t="s">
        <v>4205</v>
      </c>
      <c r="S1220" s="124" t="s">
        <v>4206</v>
      </c>
      <c r="T1220" s="124" t="s">
        <v>2724</v>
      </c>
      <c r="U1220" s="9" t="s">
        <v>2708</v>
      </c>
      <c r="V1220" s="205" t="s">
        <v>55</v>
      </c>
      <c r="W1220" s="122" t="s">
        <v>125</v>
      </c>
      <c r="X1220" s="124" t="s">
        <v>2709</v>
      </c>
    </row>
    <row r="1221" spans="1:24">
      <c r="A1221" s="548">
        <v>46058</v>
      </c>
      <c r="B1221" s="132" t="s">
        <v>4491</v>
      </c>
      <c r="C1221" s="232" t="s">
        <v>2697</v>
      </c>
      <c r="D1221" s="210">
        <v>-0.6</v>
      </c>
      <c r="E1221" s="32">
        <v>1</v>
      </c>
      <c r="F1221" s="121">
        <f>Tabla5109[[#This Row],[Original Amount]]*Tabla5109[[#This Row],[ER to EUR]]</f>
        <v>-0.6</v>
      </c>
      <c r="G1221" s="91" t="s">
        <v>2839</v>
      </c>
      <c r="H1221" s="91" t="s">
        <v>2840</v>
      </c>
      <c r="I1221" s="9" t="s">
        <v>2784</v>
      </c>
      <c r="J1221" s="9" t="s">
        <v>2701</v>
      </c>
      <c r="K1221" s="205" t="s">
        <v>2702</v>
      </c>
      <c r="L1221" s="9" t="s">
        <v>2703</v>
      </c>
      <c r="M1221" s="32" t="s">
        <v>125</v>
      </c>
      <c r="N1221" s="129" t="s">
        <v>2704</v>
      </c>
      <c r="O1221" s="122" t="s">
        <v>2704</v>
      </c>
      <c r="P1221" s="123" t="str">
        <f>"C"&amp;INT((MONTH(A1221)-1)/4)+1&amp;"-"&amp;YEAR(A1221)</f>
        <v>C1-2026</v>
      </c>
      <c r="Q1221" s="124" t="str">
        <f>"T"&amp;INT((MONTH(A1221)-1)/3)+1&amp;"-"&amp;YEAR(A1221)</f>
        <v>T1-2026</v>
      </c>
      <c r="R1221" s="124" t="s">
        <v>2705</v>
      </c>
      <c r="S1221" s="124" t="s">
        <v>2706</v>
      </c>
      <c r="T1221" s="124" t="s">
        <v>2707</v>
      </c>
      <c r="U1221" s="9" t="s">
        <v>2708</v>
      </c>
      <c r="V1221" s="205" t="s">
        <v>56</v>
      </c>
      <c r="W1221" s="122" t="s">
        <v>125</v>
      </c>
      <c r="X1221" s="124" t="s">
        <v>2709</v>
      </c>
    </row>
    <row r="1222" spans="1:24">
      <c r="A1222" s="548">
        <v>46058</v>
      </c>
      <c r="B1222" s="125">
        <v>717931599</v>
      </c>
      <c r="C1222" s="32" t="s">
        <v>2697</v>
      </c>
      <c r="D1222" s="210">
        <v>-41.39</v>
      </c>
      <c r="E1222" s="120">
        <v>1</v>
      </c>
      <c r="F1222" s="121">
        <f>Tabla5109[[#This Row],[Original Amount]]*Tabla5109[[#This Row],[ER to EUR]]</f>
        <v>-41.39</v>
      </c>
      <c r="G1222" s="91" t="s">
        <v>2698</v>
      </c>
      <c r="H1222" s="9" t="s">
        <v>4446</v>
      </c>
      <c r="I1222" s="9" t="s">
        <v>3836</v>
      </c>
      <c r="J1222" s="9" t="s">
        <v>2701</v>
      </c>
      <c r="K1222" s="205" t="s">
        <v>2702</v>
      </c>
      <c r="L1222" s="9" t="s">
        <v>2703</v>
      </c>
      <c r="M1222" s="32" t="s">
        <v>125</v>
      </c>
      <c r="N1222" s="122" t="s">
        <v>2704</v>
      </c>
      <c r="O1222" s="129" t="s">
        <v>2704</v>
      </c>
      <c r="P1222" s="123" t="str">
        <f>"C"&amp;INT((MONTH(A1222)-1)/4)+1&amp;"-"&amp;YEAR(A1222)</f>
        <v>C1-2026</v>
      </c>
      <c r="Q1222" s="124" t="str">
        <f>"T"&amp;INT((MONTH(A1222)-1)/3)+1&amp;"-"&amp;YEAR(A1222)</f>
        <v>T1-2026</v>
      </c>
      <c r="R1222" s="124" t="s">
        <v>2741</v>
      </c>
      <c r="S1222" s="124" t="s">
        <v>2723</v>
      </c>
      <c r="T1222" s="124" t="s">
        <v>2707</v>
      </c>
      <c r="U1222" s="9" t="s">
        <v>2708</v>
      </c>
      <c r="V1222" s="205" t="s">
        <v>54</v>
      </c>
      <c r="W1222" s="122" t="s">
        <v>125</v>
      </c>
      <c r="X1222" s="124" t="s">
        <v>2709</v>
      </c>
    </row>
    <row r="1223" spans="1:24">
      <c r="A1223" s="548">
        <v>46058</v>
      </c>
      <c r="B1223" s="132" t="s">
        <v>4450</v>
      </c>
      <c r="C1223" s="232" t="s">
        <v>2548</v>
      </c>
      <c r="D1223" s="136">
        <v>-87</v>
      </c>
      <c r="E1223" s="222">
        <v>0.84359700000000004</v>
      </c>
      <c r="F1223" s="121">
        <f>Tabla5109[[#This Row],[Original Amount]]*Tabla5109[[#This Row],[ER to EUR]]</f>
        <v>-73.392938999999998</v>
      </c>
      <c r="G1223" s="91" t="s">
        <v>4136</v>
      </c>
      <c r="H1223" s="91" t="s">
        <v>4251</v>
      </c>
      <c r="I1223" s="9" t="s">
        <v>2713</v>
      </c>
      <c r="J1223" s="9" t="s">
        <v>2701</v>
      </c>
      <c r="K1223" s="205" t="s">
        <v>2702</v>
      </c>
      <c r="L1223" s="211" t="s">
        <v>4138</v>
      </c>
      <c r="M1223" s="32" t="s">
        <v>125</v>
      </c>
      <c r="N1223" s="122" t="s">
        <v>2704</v>
      </c>
      <c r="O1223" s="129" t="s">
        <v>2704</v>
      </c>
      <c r="P1223" s="123" t="str">
        <f>"C"&amp;INT((MONTH(A1223)-1)/4)+1&amp;"-"&amp;YEAR(A1223)</f>
        <v>C1-2026</v>
      </c>
      <c r="Q1223" s="124" t="str">
        <f>"T"&amp;INT((MONTH(A1223)-1)/3)+1&amp;"-"&amp;YEAR(A1223)</f>
        <v>T1-2026</v>
      </c>
      <c r="R1223" s="91" t="s">
        <v>2705</v>
      </c>
      <c r="S1223" s="124" t="s">
        <v>4206</v>
      </c>
      <c r="T1223" s="124" t="s">
        <v>2724</v>
      </c>
      <c r="U1223" s="9" t="s">
        <v>2708</v>
      </c>
      <c r="V1223" s="205" t="s">
        <v>55</v>
      </c>
      <c r="W1223" s="122" t="s">
        <v>125</v>
      </c>
      <c r="X1223" s="124" t="s">
        <v>2709</v>
      </c>
    </row>
    <row r="1224" spans="1:24">
      <c r="A1224" s="548">
        <v>46058</v>
      </c>
      <c r="B1224" s="132" t="s">
        <v>4495</v>
      </c>
      <c r="C1224" s="232" t="s">
        <v>2697</v>
      </c>
      <c r="D1224" s="210">
        <v>-48.55</v>
      </c>
      <c r="E1224" s="32">
        <v>1</v>
      </c>
      <c r="F1224" s="121">
        <f>Tabla5109[[#This Row],[Original Amount]]*Tabla5109[[#This Row],[ER to EUR]]</f>
        <v>-48.55</v>
      </c>
      <c r="G1224" s="91" t="s">
        <v>3859</v>
      </c>
      <c r="H1224" s="91" t="s">
        <v>3860</v>
      </c>
      <c r="I1224" s="9" t="s">
        <v>3861</v>
      </c>
      <c r="J1224" s="9" t="s">
        <v>2770</v>
      </c>
      <c r="K1224" s="205" t="s">
        <v>2702</v>
      </c>
      <c r="L1224" s="9" t="s">
        <v>2772</v>
      </c>
      <c r="M1224" s="32" t="s">
        <v>125</v>
      </c>
      <c r="N1224" s="129" t="s">
        <v>2748</v>
      </c>
      <c r="O1224" s="122" t="s">
        <v>2748</v>
      </c>
      <c r="P1224" s="123" t="str">
        <f>"C"&amp;INT((MONTH(A1224)-1)/4)+1&amp;"-"&amp;YEAR(A1224)</f>
        <v>C1-2026</v>
      </c>
      <c r="Q1224" s="124" t="str">
        <f>"T"&amp;INT((MONTH(A1224)-1)/3)+1&amp;"-"&amp;YEAR(A1224)</f>
        <v>T1-2026</v>
      </c>
      <c r="R1224" s="91" t="s">
        <v>2749</v>
      </c>
      <c r="S1224" s="124" t="s">
        <v>2750</v>
      </c>
      <c r="T1224" s="124" t="s">
        <v>2717</v>
      </c>
      <c r="U1224" s="9" t="s">
        <v>2708</v>
      </c>
      <c r="V1224" s="205" t="s">
        <v>56</v>
      </c>
      <c r="W1224" s="122" t="s">
        <v>125</v>
      </c>
      <c r="X1224" s="124" t="s">
        <v>2709</v>
      </c>
    </row>
    <row r="1225" spans="1:24">
      <c r="A1225" s="548">
        <v>46059</v>
      </c>
      <c r="B1225" s="132" t="s">
        <v>4472</v>
      </c>
      <c r="C1225" s="232" t="s">
        <v>2548</v>
      </c>
      <c r="D1225" s="136">
        <v>-349</v>
      </c>
      <c r="E1225" s="222">
        <v>0.84359700000000004</v>
      </c>
      <c r="F1225" s="121">
        <f>Tabla5109[[#This Row],[Original Amount]]*Tabla5109[[#This Row],[ER to EUR]]</f>
        <v>-294.41535300000004</v>
      </c>
      <c r="G1225" s="91" t="s">
        <v>3864</v>
      </c>
      <c r="H1225" s="91" t="s">
        <v>4254</v>
      </c>
      <c r="I1225" s="9" t="s">
        <v>2755</v>
      </c>
      <c r="J1225" s="9" t="s">
        <v>2701</v>
      </c>
      <c r="K1225" s="205" t="s">
        <v>2702</v>
      </c>
      <c r="L1225" s="9" t="s">
        <v>2703</v>
      </c>
      <c r="M1225" s="32" t="s">
        <v>125</v>
      </c>
      <c r="N1225" s="129" t="s">
        <v>2704</v>
      </c>
      <c r="O1225" s="122" t="s">
        <v>2704</v>
      </c>
      <c r="P1225" s="123" t="str">
        <f>"C"&amp;INT((MONTH(A1225)-1)/4)+1&amp;"-"&amp;YEAR(A1225)</f>
        <v>C1-2026</v>
      </c>
      <c r="Q1225" s="124" t="str">
        <f>"T"&amp;INT((MONTH(A1225)-1)/3)+1&amp;"-"&amp;YEAR(A1225)</f>
        <v>T1-2026</v>
      </c>
      <c r="R1225" s="124" t="s">
        <v>2705</v>
      </c>
      <c r="S1225" s="124" t="s">
        <v>2706</v>
      </c>
      <c r="T1225" s="124" t="s">
        <v>2717</v>
      </c>
      <c r="U1225" s="9" t="s">
        <v>2708</v>
      </c>
      <c r="V1225" s="205" t="s">
        <v>56</v>
      </c>
      <c r="W1225" s="122" t="s">
        <v>125</v>
      </c>
      <c r="X1225" s="124" t="s">
        <v>2709</v>
      </c>
    </row>
    <row r="1226" spans="1:24">
      <c r="A1226" s="548">
        <v>46059</v>
      </c>
      <c r="B1226" s="132" t="s">
        <v>4468</v>
      </c>
      <c r="C1226" s="232" t="s">
        <v>2697</v>
      </c>
      <c r="D1226" s="210">
        <v>-145.6</v>
      </c>
      <c r="E1226" s="32">
        <v>1</v>
      </c>
      <c r="F1226" s="121">
        <f>Tabla5109[[#This Row],[Original Amount]]*Tabla5109[[#This Row],[ER to EUR]]</f>
        <v>-145.6</v>
      </c>
      <c r="G1226" s="91" t="s">
        <v>2839</v>
      </c>
      <c r="H1226" s="91" t="s">
        <v>2840</v>
      </c>
      <c r="I1226" s="9" t="s">
        <v>2784</v>
      </c>
      <c r="J1226" s="9" t="s">
        <v>2701</v>
      </c>
      <c r="K1226" s="205" t="s">
        <v>2702</v>
      </c>
      <c r="L1226" s="9" t="s">
        <v>2703</v>
      </c>
      <c r="M1226" s="32" t="s">
        <v>125</v>
      </c>
      <c r="N1226" s="129" t="s">
        <v>2704</v>
      </c>
      <c r="O1226" s="122" t="s">
        <v>2704</v>
      </c>
      <c r="P1226" s="123" t="str">
        <f>"C"&amp;INT((MONTH(A1226)-1)/4)+1&amp;"-"&amp;YEAR(A1226)</f>
        <v>C1-2026</v>
      </c>
      <c r="Q1226" s="124" t="str">
        <f>"T"&amp;INT((MONTH(A1226)-1)/3)+1&amp;"-"&amp;YEAR(A1226)</f>
        <v>T1-2026</v>
      </c>
      <c r="R1226" s="124" t="s">
        <v>2705</v>
      </c>
      <c r="S1226" s="124" t="s">
        <v>2706</v>
      </c>
      <c r="T1226" s="124" t="s">
        <v>2707</v>
      </c>
      <c r="U1226" s="9" t="s">
        <v>2708</v>
      </c>
      <c r="V1226" s="205" t="s">
        <v>56</v>
      </c>
      <c r="W1226" s="122" t="s">
        <v>125</v>
      </c>
      <c r="X1226" s="124" t="s">
        <v>2709</v>
      </c>
    </row>
    <row r="1227" spans="1:24">
      <c r="A1227" s="548">
        <v>46059</v>
      </c>
      <c r="B1227" s="132" t="s">
        <v>4471</v>
      </c>
      <c r="C1227" s="232" t="s">
        <v>2697</v>
      </c>
      <c r="D1227" s="210">
        <v>-89</v>
      </c>
      <c r="E1227" s="32">
        <v>1</v>
      </c>
      <c r="F1227" s="121">
        <f>Tabla5109[[#This Row],[Original Amount]]*Tabla5109[[#This Row],[ER to EUR]]</f>
        <v>-89</v>
      </c>
      <c r="G1227" s="91" t="s">
        <v>3269</v>
      </c>
      <c r="H1227" s="91" t="s">
        <v>3270</v>
      </c>
      <c r="I1227" s="9" t="s">
        <v>2755</v>
      </c>
      <c r="J1227" s="9" t="s">
        <v>2701</v>
      </c>
      <c r="K1227" s="205" t="s">
        <v>2702</v>
      </c>
      <c r="L1227" s="9" t="s">
        <v>2703</v>
      </c>
      <c r="M1227" s="32" t="s">
        <v>125</v>
      </c>
      <c r="N1227" s="129" t="s">
        <v>2704</v>
      </c>
      <c r="O1227" s="122" t="s">
        <v>2704</v>
      </c>
      <c r="P1227" s="123" t="str">
        <f>"C"&amp;INT((MONTH(A1227)-1)/4)+1&amp;"-"&amp;YEAR(A1227)</f>
        <v>C1-2026</v>
      </c>
      <c r="Q1227" s="124" t="str">
        <f>"T"&amp;INT((MONTH(A1227)-1)/3)+1&amp;"-"&amp;YEAR(A1227)</f>
        <v>T1-2026</v>
      </c>
      <c r="R1227" s="124" t="s">
        <v>2741</v>
      </c>
      <c r="S1227" s="124" t="s">
        <v>2723</v>
      </c>
      <c r="T1227" s="124" t="s">
        <v>2724</v>
      </c>
      <c r="U1227" s="9" t="s">
        <v>2708</v>
      </c>
      <c r="V1227" s="205" t="s">
        <v>54</v>
      </c>
      <c r="W1227" s="122" t="s">
        <v>125</v>
      </c>
      <c r="X1227" s="124" t="s">
        <v>2709</v>
      </c>
    </row>
    <row r="1228" spans="1:24">
      <c r="A1228" s="548">
        <v>46059</v>
      </c>
      <c r="B1228" s="125">
        <v>781196107382</v>
      </c>
      <c r="C1228" s="232" t="s">
        <v>2697</v>
      </c>
      <c r="D1228" s="210">
        <v>-82.64</v>
      </c>
      <c r="E1228" s="32">
        <v>1</v>
      </c>
      <c r="F1228" s="121">
        <f>Tabla5109[[#This Row],[Original Amount]]*Tabla5109[[#This Row],[ER to EUR]]</f>
        <v>-82.64</v>
      </c>
      <c r="G1228" s="91" t="s">
        <v>2718</v>
      </c>
      <c r="H1228" s="91" t="s">
        <v>3924</v>
      </c>
      <c r="I1228" s="9" t="s">
        <v>2755</v>
      </c>
      <c r="J1228" s="9" t="s">
        <v>2714</v>
      </c>
      <c r="K1228" s="205" t="s">
        <v>2721</v>
      </c>
      <c r="L1228" s="9" t="s">
        <v>2716</v>
      </c>
      <c r="M1228" s="32" t="s">
        <v>125</v>
      </c>
      <c r="N1228" s="129" t="s">
        <v>2748</v>
      </c>
      <c r="O1228" s="122" t="s">
        <v>2748</v>
      </c>
      <c r="P1228" s="123" t="str">
        <f>"C"&amp;INT((MONTH(A1228)-1)/4)+1&amp;"-"&amp;YEAR(A1228)</f>
        <v>C1-2026</v>
      </c>
      <c r="Q1228" s="124" t="str">
        <f>"T"&amp;INT((MONTH(A1228)-1)/3)+1&amp;"-"&amp;YEAR(A1228)</f>
        <v>T1-2026</v>
      </c>
      <c r="R1228" s="124" t="s">
        <v>2722</v>
      </c>
      <c r="S1228" s="124" t="s">
        <v>2723</v>
      </c>
      <c r="T1228" s="124" t="s">
        <v>2724</v>
      </c>
      <c r="U1228" s="9" t="s">
        <v>2708</v>
      </c>
      <c r="V1228" s="205" t="s">
        <v>54</v>
      </c>
      <c r="W1228" s="122" t="s">
        <v>125</v>
      </c>
      <c r="X1228" s="124" t="s">
        <v>2709</v>
      </c>
    </row>
    <row r="1229" spans="1:24">
      <c r="A1229" s="548">
        <v>46059</v>
      </c>
      <c r="B1229" s="133" t="s">
        <v>1239</v>
      </c>
      <c r="C1229" s="32" t="s">
        <v>2697</v>
      </c>
      <c r="D1229" s="210">
        <v>-500</v>
      </c>
      <c r="E1229" s="120">
        <v>1</v>
      </c>
      <c r="F1229" s="121">
        <f>Tabla5109[[#This Row],[Original Amount]]*Tabla5109[[#This Row],[ER to EUR]]</f>
        <v>-500</v>
      </c>
      <c r="G1229" s="9" t="s">
        <v>3237</v>
      </c>
      <c r="H1229" s="9" t="s">
        <v>4496</v>
      </c>
      <c r="I1229" s="9" t="s">
        <v>2713</v>
      </c>
      <c r="J1229" s="9" t="s">
        <v>2770</v>
      </c>
      <c r="K1229" s="205" t="s">
        <v>2803</v>
      </c>
      <c r="L1229" s="9" t="s">
        <v>57</v>
      </c>
      <c r="M1229" s="32" t="s">
        <v>125</v>
      </c>
      <c r="N1229" s="129" t="s">
        <v>2704</v>
      </c>
      <c r="O1229" s="122" t="s">
        <v>2704</v>
      </c>
      <c r="P1229" s="123" t="str">
        <f>"C"&amp;INT((MONTH(A1229)-1)/4)+1&amp;"-"&amp;YEAR(A1229)</f>
        <v>C1-2026</v>
      </c>
      <c r="Q1229" s="124" t="str">
        <f>"T"&amp;INT((MONTH(A1229)-1)/3)+1&amp;"-"&amp;YEAR(A1229)</f>
        <v>T1-2026</v>
      </c>
      <c r="R1229" s="91" t="s">
        <v>2749</v>
      </c>
      <c r="S1229" s="124" t="s">
        <v>2750</v>
      </c>
      <c r="T1229" s="124" t="s">
        <v>2717</v>
      </c>
      <c r="U1229" s="9" t="s">
        <v>2708</v>
      </c>
      <c r="V1229" s="205" t="s">
        <v>56</v>
      </c>
      <c r="W1229" s="122" t="s">
        <v>125</v>
      </c>
      <c r="X1229" s="124" t="s">
        <v>2709</v>
      </c>
    </row>
    <row r="1230" spans="1:24">
      <c r="A1230" s="548">
        <v>46060</v>
      </c>
      <c r="B1230" s="132" t="s">
        <v>4493</v>
      </c>
      <c r="C1230" s="232" t="s">
        <v>2697</v>
      </c>
      <c r="D1230" s="210">
        <v>-319.95</v>
      </c>
      <c r="E1230" s="32">
        <v>1</v>
      </c>
      <c r="F1230" s="121">
        <f>Tabla5109[[#This Row],[Original Amount]]*Tabla5109[[#This Row],[ER to EUR]]</f>
        <v>-319.95</v>
      </c>
      <c r="G1230" s="91" t="s">
        <v>3873</v>
      </c>
      <c r="H1230" s="91" t="s">
        <v>4494</v>
      </c>
      <c r="I1230" s="9" t="s">
        <v>2755</v>
      </c>
      <c r="J1230" s="9" t="s">
        <v>2701</v>
      </c>
      <c r="K1230" s="205" t="s">
        <v>2702</v>
      </c>
      <c r="L1230" s="9" t="s">
        <v>2740</v>
      </c>
      <c r="M1230" s="32" t="s">
        <v>125</v>
      </c>
      <c r="N1230" s="129" t="s">
        <v>2704</v>
      </c>
      <c r="O1230" s="122" t="s">
        <v>2704</v>
      </c>
      <c r="P1230" s="123" t="str">
        <f>"C"&amp;INT((MONTH(A1230)-1)/4)+1&amp;"-"&amp;YEAR(A1230)</f>
        <v>C1-2026</v>
      </c>
      <c r="Q1230" s="124" t="str">
        <f>"T"&amp;INT((MONTH(A1230)-1)/3)+1&amp;"-"&amp;YEAR(A1230)</f>
        <v>T1-2026</v>
      </c>
      <c r="R1230" s="124" t="s">
        <v>2705</v>
      </c>
      <c r="S1230" s="124" t="s">
        <v>2706</v>
      </c>
      <c r="T1230" s="124" t="s">
        <v>2724</v>
      </c>
      <c r="U1230" s="9" t="s">
        <v>2708</v>
      </c>
      <c r="V1230" s="205" t="s">
        <v>56</v>
      </c>
      <c r="W1230" s="122" t="s">
        <v>125</v>
      </c>
      <c r="X1230" s="124" t="s">
        <v>2709</v>
      </c>
    </row>
    <row r="1231" spans="1:24">
      <c r="A1231" s="548">
        <v>46060</v>
      </c>
      <c r="B1231" s="132">
        <v>58</v>
      </c>
      <c r="C1231" s="232" t="s">
        <v>2543</v>
      </c>
      <c r="D1231" s="152">
        <v>-1747750</v>
      </c>
      <c r="E1231" s="491">
        <v>9.7400000000000004E-4</v>
      </c>
      <c r="F1231" s="121">
        <f>Tabla5109[[#This Row],[Original Amount]]*Tabla5109[[#This Row],[ER to EUR]]</f>
        <v>-1702.3085000000001</v>
      </c>
      <c r="G1231" s="91" t="s">
        <v>3566</v>
      </c>
      <c r="H1231" s="91" t="s">
        <v>4255</v>
      </c>
      <c r="I1231" s="9" t="s">
        <v>2713</v>
      </c>
      <c r="J1231" s="9" t="s">
        <v>2714</v>
      </c>
      <c r="K1231" s="205" t="s">
        <v>2747</v>
      </c>
      <c r="L1231" s="9" t="s">
        <v>2864</v>
      </c>
      <c r="M1231" s="226" t="s">
        <v>2748</v>
      </c>
      <c r="N1231" s="129" t="s">
        <v>2704</v>
      </c>
      <c r="O1231" s="122" t="s">
        <v>2704</v>
      </c>
      <c r="P1231" s="123" t="str">
        <f>"C"&amp;INT((MONTH(A1231)-1)/4)+1&amp;"-"&amp;YEAR(A1231)</f>
        <v>C1-2026</v>
      </c>
      <c r="Q1231" s="124" t="str">
        <f>"T"&amp;INT((MONTH(A1231)-1)/3)+1&amp;"-"&amp;YEAR(A1231)</f>
        <v>T1-2026</v>
      </c>
      <c r="R1231" s="124" t="s">
        <v>2705</v>
      </c>
      <c r="S1231" s="124" t="s">
        <v>2706</v>
      </c>
      <c r="T1231" s="124" t="s">
        <v>2707</v>
      </c>
      <c r="U1231" s="9" t="s">
        <v>51</v>
      </c>
      <c r="V1231" s="205" t="s">
        <v>57</v>
      </c>
      <c r="W1231" s="122" t="s">
        <v>125</v>
      </c>
      <c r="X1231" s="124" t="s">
        <v>2709</v>
      </c>
    </row>
    <row r="1232" spans="1:24">
      <c r="A1232" s="548">
        <v>46060</v>
      </c>
      <c r="B1232" s="133" t="s">
        <v>4498</v>
      </c>
      <c r="C1232" s="32" t="s">
        <v>2697</v>
      </c>
      <c r="D1232" s="210">
        <v>-30.99</v>
      </c>
      <c r="E1232" s="120">
        <v>1</v>
      </c>
      <c r="F1232" s="121">
        <f>Tabla5109[[#This Row],[Original Amount]]*Tabla5109[[#This Row],[ER to EUR]]</f>
        <v>-30.99</v>
      </c>
      <c r="G1232" s="9" t="s">
        <v>3776</v>
      </c>
      <c r="H1232" s="9" t="s">
        <v>3777</v>
      </c>
      <c r="I1232" s="9" t="s">
        <v>4060</v>
      </c>
      <c r="J1232" s="9" t="s">
        <v>2825</v>
      </c>
      <c r="K1232" s="205" t="s">
        <v>2826</v>
      </c>
      <c r="L1232" s="9" t="s">
        <v>2827</v>
      </c>
      <c r="M1232" s="32" t="s">
        <v>125</v>
      </c>
      <c r="N1232" s="129" t="s">
        <v>2704</v>
      </c>
      <c r="O1232" s="129" t="s">
        <v>2704</v>
      </c>
      <c r="P1232" s="123" t="str">
        <f>"C"&amp;INT((MONTH(A1232)-1)/4)+1&amp;"-"&amp;YEAR(A1232)</f>
        <v>C1-2026</v>
      </c>
      <c r="Q1232" s="124" t="str">
        <f>"T"&amp;INT((MONTH(A1232)-1)/3)+1&amp;"-"&amp;YEAR(A1232)</f>
        <v>T1-2026</v>
      </c>
      <c r="R1232" s="124" t="s">
        <v>2705</v>
      </c>
      <c r="S1232" s="124" t="s">
        <v>2706</v>
      </c>
      <c r="T1232" s="124" t="s">
        <v>2717</v>
      </c>
      <c r="U1232" s="91" t="s">
        <v>2708</v>
      </c>
      <c r="V1232" s="196" t="s">
        <v>56</v>
      </c>
      <c r="W1232" s="122" t="s">
        <v>125</v>
      </c>
      <c r="X1232" s="124" t="s">
        <v>2709</v>
      </c>
    </row>
    <row r="1233" spans="1:24">
      <c r="A1233" s="548">
        <v>46060</v>
      </c>
      <c r="B1233" s="133" t="s">
        <v>4499</v>
      </c>
      <c r="C1233" s="32" t="s">
        <v>2697</v>
      </c>
      <c r="D1233" s="210">
        <v>-26.99</v>
      </c>
      <c r="E1233" s="120">
        <v>1</v>
      </c>
      <c r="F1233" s="121">
        <f>Tabla5109[[#This Row],[Original Amount]]*Tabla5109[[#This Row],[ER to EUR]]</f>
        <v>-26.99</v>
      </c>
      <c r="G1233" s="9" t="s">
        <v>3776</v>
      </c>
      <c r="H1233" s="9" t="s">
        <v>3777</v>
      </c>
      <c r="I1233" s="9" t="s">
        <v>4060</v>
      </c>
      <c r="J1233" s="9" t="s">
        <v>2825</v>
      </c>
      <c r="K1233" s="205" t="s">
        <v>2826</v>
      </c>
      <c r="L1233" s="9" t="s">
        <v>2827</v>
      </c>
      <c r="M1233" s="32" t="s">
        <v>125</v>
      </c>
      <c r="N1233" s="129" t="s">
        <v>2704</v>
      </c>
      <c r="O1233" s="129" t="s">
        <v>2704</v>
      </c>
      <c r="P1233" s="123" t="str">
        <f>"C"&amp;INT((MONTH(A1233)-1)/4)+1&amp;"-"&amp;YEAR(A1233)</f>
        <v>C1-2026</v>
      </c>
      <c r="Q1233" s="124" t="str">
        <f>"T"&amp;INT((MONTH(A1233)-1)/3)+1&amp;"-"&amp;YEAR(A1233)</f>
        <v>T1-2026</v>
      </c>
      <c r="R1233" s="124" t="s">
        <v>2705</v>
      </c>
      <c r="S1233" s="124" t="s">
        <v>2706</v>
      </c>
      <c r="T1233" s="124" t="s">
        <v>2717</v>
      </c>
      <c r="U1233" s="91" t="s">
        <v>2708</v>
      </c>
      <c r="V1233" s="196" t="s">
        <v>56</v>
      </c>
      <c r="W1233" s="122" t="s">
        <v>125</v>
      </c>
      <c r="X1233" s="124" t="s">
        <v>2709</v>
      </c>
    </row>
    <row r="1234" spans="1:24">
      <c r="A1234" s="548">
        <v>46060</v>
      </c>
      <c r="B1234" s="133" t="s">
        <v>4500</v>
      </c>
      <c r="C1234" s="32" t="s">
        <v>2697</v>
      </c>
      <c r="D1234" s="210">
        <v>-178.65</v>
      </c>
      <c r="E1234" s="120">
        <v>1</v>
      </c>
      <c r="F1234" s="121">
        <f>Tabla5109[[#This Row],[Original Amount]]*Tabla5109[[#This Row],[ER to EUR]]</f>
        <v>-178.65</v>
      </c>
      <c r="G1234" s="9" t="s">
        <v>3755</v>
      </c>
      <c r="H1234" s="9" t="s">
        <v>4501</v>
      </c>
      <c r="I1234" s="9" t="s">
        <v>4072</v>
      </c>
      <c r="J1234" s="9" t="s">
        <v>2825</v>
      </c>
      <c r="K1234" s="205" t="s">
        <v>2826</v>
      </c>
      <c r="L1234" s="9" t="s">
        <v>2827</v>
      </c>
      <c r="M1234" s="32" t="s">
        <v>125</v>
      </c>
      <c r="N1234" s="129" t="s">
        <v>2704</v>
      </c>
      <c r="O1234" s="122" t="s">
        <v>2704</v>
      </c>
      <c r="P1234" s="123" t="str">
        <f>"C"&amp;INT((MONTH(A1234)-1)/4)+1&amp;"-"&amp;YEAR(A1234)</f>
        <v>C1-2026</v>
      </c>
      <c r="Q1234" s="124" t="str">
        <f>"T"&amp;INT((MONTH(A1234)-1)/3)+1&amp;"-"&amp;YEAR(A1234)</f>
        <v>T1-2026</v>
      </c>
      <c r="R1234" s="124" t="s">
        <v>2705</v>
      </c>
      <c r="S1234" s="124" t="s">
        <v>2706</v>
      </c>
      <c r="T1234" s="124" t="s">
        <v>2717</v>
      </c>
      <c r="U1234" s="9" t="s">
        <v>2708</v>
      </c>
      <c r="V1234" s="205" t="s">
        <v>56</v>
      </c>
      <c r="W1234" s="122" t="s">
        <v>125</v>
      </c>
      <c r="X1234" s="124" t="s">
        <v>2709</v>
      </c>
    </row>
    <row r="1235" spans="1:24">
      <c r="A1235" s="548">
        <v>46061</v>
      </c>
      <c r="B1235" s="125">
        <v>13845</v>
      </c>
      <c r="C1235" s="32" t="s">
        <v>2697</v>
      </c>
      <c r="D1235" s="210">
        <v>-14.9</v>
      </c>
      <c r="E1235" s="120">
        <v>1</v>
      </c>
      <c r="F1235" s="121">
        <f>Tabla5109[[#This Row],[Original Amount]]*Tabla5109[[#This Row],[ER to EUR]]</f>
        <v>-14.9</v>
      </c>
      <c r="G1235" s="9" t="s">
        <v>3755</v>
      </c>
      <c r="H1235" s="9" t="s">
        <v>4487</v>
      </c>
      <c r="I1235" s="9" t="s">
        <v>3288</v>
      </c>
      <c r="J1235" s="9" t="s">
        <v>2825</v>
      </c>
      <c r="K1235" s="205" t="s">
        <v>2826</v>
      </c>
      <c r="L1235" s="9" t="s">
        <v>2827</v>
      </c>
      <c r="M1235" s="32" t="s">
        <v>125</v>
      </c>
      <c r="N1235" s="129" t="s">
        <v>2704</v>
      </c>
      <c r="O1235" s="122" t="s">
        <v>2704</v>
      </c>
      <c r="P1235" s="123" t="str">
        <f>"C"&amp;INT((MONTH(A1235)-1)/4)+1&amp;"-"&amp;YEAR(A1235)</f>
        <v>C1-2026</v>
      </c>
      <c r="Q1235" s="124" t="str">
        <f>"T"&amp;INT((MONTH(A1235)-1)/3)+1&amp;"-"&amp;YEAR(A1235)</f>
        <v>T1-2026</v>
      </c>
      <c r="R1235" s="124" t="s">
        <v>2705</v>
      </c>
      <c r="S1235" s="124" t="s">
        <v>2706</v>
      </c>
      <c r="T1235" s="124" t="s">
        <v>2717</v>
      </c>
      <c r="U1235" s="9" t="s">
        <v>2708</v>
      </c>
      <c r="V1235" s="205" t="s">
        <v>56</v>
      </c>
      <c r="W1235" s="122" t="s">
        <v>125</v>
      </c>
      <c r="X1235" s="124" t="s">
        <v>2709</v>
      </c>
    </row>
    <row r="1236" spans="1:24">
      <c r="A1236" s="548">
        <v>46061</v>
      </c>
      <c r="B1236" s="133" t="s">
        <v>4521</v>
      </c>
      <c r="C1236" s="32" t="s">
        <v>2697</v>
      </c>
      <c r="D1236" s="210">
        <v>-49.99</v>
      </c>
      <c r="E1236" s="120">
        <v>1</v>
      </c>
      <c r="F1236" s="121">
        <f>Tabla5109[[#This Row],[Original Amount]]*Tabla5109[[#This Row],[ER to EUR]]</f>
        <v>-49.99</v>
      </c>
      <c r="G1236" s="9" t="s">
        <v>2830</v>
      </c>
      <c r="H1236" s="9" t="s">
        <v>4160</v>
      </c>
      <c r="I1236" s="91" t="s">
        <v>2784</v>
      </c>
      <c r="J1236" s="9" t="s">
        <v>2817</v>
      </c>
      <c r="K1236" s="205" t="s">
        <v>2702</v>
      </c>
      <c r="L1236" s="9" t="s">
        <v>2818</v>
      </c>
      <c r="M1236" s="32" t="s">
        <v>125</v>
      </c>
      <c r="N1236" s="122" t="s">
        <v>2704</v>
      </c>
      <c r="O1236" s="129" t="s">
        <v>2704</v>
      </c>
      <c r="P1236" s="123" t="str">
        <f>"C"&amp;INT((MONTH(A1236)-1)/4)+1&amp;"-"&amp;YEAR(A1236)</f>
        <v>C1-2026</v>
      </c>
      <c r="Q1236" s="124" t="str">
        <f>"T"&amp;INT((MONTH(A1236)-1)/3)+1&amp;"-"&amp;YEAR(A1236)</f>
        <v>T1-2026</v>
      </c>
      <c r="R1236" s="124" t="s">
        <v>2722</v>
      </c>
      <c r="S1236" s="124" t="s">
        <v>2723</v>
      </c>
      <c r="T1236" s="124" t="s">
        <v>2724</v>
      </c>
      <c r="U1236" s="9" t="s">
        <v>2708</v>
      </c>
      <c r="V1236" s="205" t="s">
        <v>54</v>
      </c>
      <c r="W1236" s="122" t="s">
        <v>125</v>
      </c>
      <c r="X1236" s="124" t="s">
        <v>2709</v>
      </c>
    </row>
    <row r="1237" spans="1:24">
      <c r="A1237" s="548">
        <v>46061</v>
      </c>
      <c r="B1237" s="133" t="s">
        <v>4497</v>
      </c>
      <c r="C1237" s="32" t="s">
        <v>2697</v>
      </c>
      <c r="D1237" s="210">
        <v>-213.01</v>
      </c>
      <c r="E1237" s="120">
        <v>1</v>
      </c>
      <c r="F1237" s="121">
        <f>Tabla5109[[#This Row],[Original Amount]]*Tabla5109[[#This Row],[ER to EUR]]</f>
        <v>-213.01</v>
      </c>
      <c r="G1237" s="9" t="s">
        <v>4067</v>
      </c>
      <c r="H1237" s="9" t="s">
        <v>4611</v>
      </c>
      <c r="I1237" s="9" t="s">
        <v>2784</v>
      </c>
      <c r="J1237" s="9" t="s">
        <v>2701</v>
      </c>
      <c r="K1237" s="205" t="s">
        <v>2702</v>
      </c>
      <c r="L1237" s="211" t="s">
        <v>3494</v>
      </c>
      <c r="M1237" s="32" t="s">
        <v>125</v>
      </c>
      <c r="N1237" s="122" t="s">
        <v>2704</v>
      </c>
      <c r="O1237" s="129" t="s">
        <v>2704</v>
      </c>
      <c r="P1237" s="123" t="str">
        <f>"C"&amp;INT((MONTH(A1237)-1)/4)+1&amp;"-"&amp;YEAR(A1237)</f>
        <v>C1-2026</v>
      </c>
      <c r="Q1237" s="124" t="str">
        <f>"T"&amp;INT((MONTH(A1237)-1)/3)+1&amp;"-"&amp;YEAR(A1237)</f>
        <v>T1-2026</v>
      </c>
      <c r="R1237" s="91" t="s">
        <v>2749</v>
      </c>
      <c r="S1237" s="124" t="s">
        <v>2750</v>
      </c>
      <c r="T1237" s="124" t="s">
        <v>2717</v>
      </c>
      <c r="U1237" s="9" t="s">
        <v>2708</v>
      </c>
      <c r="V1237" s="205" t="s">
        <v>56</v>
      </c>
      <c r="W1237" s="122" t="s">
        <v>125</v>
      </c>
      <c r="X1237" s="123" t="s">
        <v>2709</v>
      </c>
    </row>
    <row r="1238" spans="1:24">
      <c r="A1238" s="548">
        <v>46061</v>
      </c>
      <c r="B1238" s="125">
        <v>16491196</v>
      </c>
      <c r="C1238" s="32" t="s">
        <v>2697</v>
      </c>
      <c r="D1238" s="210">
        <v>-14.17</v>
      </c>
      <c r="E1238" s="120">
        <v>1</v>
      </c>
      <c r="F1238" s="121">
        <f>Tabla5109[[#This Row],[Original Amount]]*Tabla5109[[#This Row],[ER to EUR]]</f>
        <v>-14.17</v>
      </c>
      <c r="G1238" s="9" t="s">
        <v>4503</v>
      </c>
      <c r="H1238" s="9" t="s">
        <v>4504</v>
      </c>
      <c r="I1238" s="9" t="s">
        <v>4060</v>
      </c>
      <c r="J1238" s="91" t="s">
        <v>2825</v>
      </c>
      <c r="K1238" s="196" t="s">
        <v>2826</v>
      </c>
      <c r="L1238" s="91" t="s">
        <v>2827</v>
      </c>
      <c r="M1238" s="232" t="s">
        <v>125</v>
      </c>
      <c r="N1238" s="129" t="s">
        <v>2704</v>
      </c>
      <c r="O1238" s="129" t="s">
        <v>2704</v>
      </c>
      <c r="P1238" s="123" t="str">
        <f>"C"&amp;INT((MONTH(A1238)-1)/4)+1&amp;"-"&amp;YEAR(A1238)</f>
        <v>C1-2026</v>
      </c>
      <c r="Q1238" s="124" t="str">
        <f>"T"&amp;INT((MONTH(A1238)-1)/3)+1&amp;"-"&amp;YEAR(A1238)</f>
        <v>T1-2026</v>
      </c>
      <c r="R1238" s="124" t="s">
        <v>2705</v>
      </c>
      <c r="S1238" s="124" t="s">
        <v>2706</v>
      </c>
      <c r="T1238" s="124" t="s">
        <v>2717</v>
      </c>
      <c r="U1238" s="91" t="s">
        <v>2708</v>
      </c>
      <c r="V1238" s="196" t="s">
        <v>56</v>
      </c>
      <c r="W1238" s="129" t="s">
        <v>125</v>
      </c>
      <c r="X1238" s="124" t="s">
        <v>2709</v>
      </c>
    </row>
    <row r="1239" spans="1:24">
      <c r="A1239" s="548">
        <v>46061</v>
      </c>
      <c r="B1239" s="125">
        <v>204596</v>
      </c>
      <c r="C1239" s="32" t="s">
        <v>2697</v>
      </c>
      <c r="D1239" s="210">
        <v>-56</v>
      </c>
      <c r="E1239" s="120">
        <v>1</v>
      </c>
      <c r="F1239" s="121">
        <f>Tabla5109[[#This Row],[Original Amount]]*Tabla5109[[#This Row],[ER to EUR]]</f>
        <v>-56</v>
      </c>
      <c r="G1239" s="9" t="s">
        <v>4506</v>
      </c>
      <c r="H1239" s="9" t="s">
        <v>4507</v>
      </c>
      <c r="I1239" s="9" t="s">
        <v>2713</v>
      </c>
      <c r="J1239" s="91" t="s">
        <v>2825</v>
      </c>
      <c r="K1239" s="196" t="s">
        <v>2826</v>
      </c>
      <c r="L1239" s="91" t="s">
        <v>2827</v>
      </c>
      <c r="M1239" s="232" t="s">
        <v>125</v>
      </c>
      <c r="N1239" s="129" t="s">
        <v>2704</v>
      </c>
      <c r="O1239" s="129" t="s">
        <v>2704</v>
      </c>
      <c r="P1239" s="123" t="str">
        <f>"C"&amp;INT((MONTH(A1239)-1)/4)+1&amp;"-"&amp;YEAR(A1239)</f>
        <v>C1-2026</v>
      </c>
      <c r="Q1239" s="124" t="str">
        <f>"T"&amp;INT((MONTH(A1239)-1)/3)+1&amp;"-"&amp;YEAR(A1239)</f>
        <v>T1-2026</v>
      </c>
      <c r="R1239" s="124" t="s">
        <v>2705</v>
      </c>
      <c r="S1239" s="124" t="s">
        <v>2706</v>
      </c>
      <c r="T1239" s="124" t="s">
        <v>2717</v>
      </c>
      <c r="U1239" s="91" t="s">
        <v>2708</v>
      </c>
      <c r="V1239" s="196" t="s">
        <v>56</v>
      </c>
      <c r="W1239" s="129" t="s">
        <v>125</v>
      </c>
      <c r="X1239" s="124" t="s">
        <v>2709</v>
      </c>
    </row>
    <row r="1240" spans="1:24">
      <c r="A1240" s="548">
        <v>46061</v>
      </c>
      <c r="B1240" s="133" t="s">
        <v>4502</v>
      </c>
      <c r="C1240" s="32" t="s">
        <v>2697</v>
      </c>
      <c r="D1240" s="210">
        <v>-236.81</v>
      </c>
      <c r="E1240" s="120">
        <v>1</v>
      </c>
      <c r="F1240" s="121">
        <f>Tabla5109[[#This Row],[Original Amount]]*Tabla5109[[#This Row],[ER to EUR]]</f>
        <v>-236.81</v>
      </c>
      <c r="G1240" s="9" t="s">
        <v>3884</v>
      </c>
      <c r="H1240" s="9" t="s">
        <v>3885</v>
      </c>
      <c r="I1240" s="9" t="s">
        <v>3692</v>
      </c>
      <c r="J1240" s="9" t="s">
        <v>2701</v>
      </c>
      <c r="K1240" s="205" t="s">
        <v>2702</v>
      </c>
      <c r="L1240" s="9" t="s">
        <v>2703</v>
      </c>
      <c r="M1240" s="32" t="s">
        <v>125</v>
      </c>
      <c r="N1240" s="129" t="s">
        <v>2704</v>
      </c>
      <c r="O1240" s="122" t="s">
        <v>2704</v>
      </c>
      <c r="P1240" s="123" t="str">
        <f>"C"&amp;INT((MONTH(A1240)-1)/4)+1&amp;"-"&amp;YEAR(A1240)</f>
        <v>C1-2026</v>
      </c>
      <c r="Q1240" s="124" t="str">
        <f>"T"&amp;INT((MONTH(A1240)-1)/3)+1&amp;"-"&amp;YEAR(A1240)</f>
        <v>T1-2026</v>
      </c>
      <c r="R1240" s="124" t="s">
        <v>2741</v>
      </c>
      <c r="S1240" s="124" t="s">
        <v>2723</v>
      </c>
      <c r="T1240" s="124" t="s">
        <v>2724</v>
      </c>
      <c r="U1240" s="9" t="s">
        <v>2708</v>
      </c>
      <c r="V1240" s="205" t="s">
        <v>54</v>
      </c>
      <c r="W1240" s="122" t="s">
        <v>125</v>
      </c>
      <c r="X1240" s="124" t="s">
        <v>2709</v>
      </c>
    </row>
    <row r="1241" spans="1:24">
      <c r="A1241" s="548">
        <v>46061</v>
      </c>
      <c r="B1241" s="125">
        <v>4768</v>
      </c>
      <c r="C1241" s="32" t="s">
        <v>2697</v>
      </c>
      <c r="D1241" s="210">
        <v>-51.05</v>
      </c>
      <c r="E1241" s="120">
        <v>1</v>
      </c>
      <c r="F1241" s="121">
        <f>Tabla5109[[#This Row],[Original Amount]]*Tabla5109[[#This Row],[ER to EUR]]</f>
        <v>-51.05</v>
      </c>
      <c r="G1241" s="9" t="s">
        <v>4668</v>
      </c>
      <c r="H1241" s="9" t="s">
        <v>4669</v>
      </c>
      <c r="I1241" s="9" t="s">
        <v>2713</v>
      </c>
      <c r="J1241" s="9" t="s">
        <v>2701</v>
      </c>
      <c r="K1241" s="205" t="s">
        <v>2702</v>
      </c>
      <c r="L1241" s="9" t="s">
        <v>3693</v>
      </c>
      <c r="M1241" s="32" t="s">
        <v>125</v>
      </c>
      <c r="N1241" s="129" t="s">
        <v>2704</v>
      </c>
      <c r="O1241" s="122" t="s">
        <v>2704</v>
      </c>
      <c r="P1241" s="123" t="str">
        <f>"C"&amp;INT((MONTH(A1241)-1)/4)+1&amp;"-"&amp;YEAR(A1241)</f>
        <v>C1-2026</v>
      </c>
      <c r="Q1241" s="124" t="str">
        <f>"T"&amp;INT((MONTH(A1241)-1)/3)+1&amp;"-"&amp;YEAR(A1241)</f>
        <v>T1-2026</v>
      </c>
      <c r="R1241" s="124" t="s">
        <v>2705</v>
      </c>
      <c r="S1241" s="124" t="s">
        <v>2735</v>
      </c>
      <c r="T1241" s="124" t="s">
        <v>2724</v>
      </c>
      <c r="U1241" s="9" t="s">
        <v>2708</v>
      </c>
      <c r="V1241" s="205" t="s">
        <v>54</v>
      </c>
      <c r="W1241" s="122" t="s">
        <v>125</v>
      </c>
      <c r="X1241" s="124" t="s">
        <v>2709</v>
      </c>
    </row>
    <row r="1242" spans="1:24">
      <c r="A1242" s="548">
        <v>46062</v>
      </c>
      <c r="B1242" s="133" t="s">
        <v>4492</v>
      </c>
      <c r="C1242" s="32" t="s">
        <v>2697</v>
      </c>
      <c r="D1242" s="210">
        <v>-18.989999999999998</v>
      </c>
      <c r="E1242" s="120">
        <v>1</v>
      </c>
      <c r="F1242" s="121">
        <f>Tabla5109[[#This Row],[Original Amount]]*Tabla5109[[#This Row],[ER to EUR]]</f>
        <v>-18.989999999999998</v>
      </c>
      <c r="G1242" s="9" t="s">
        <v>3776</v>
      </c>
      <c r="H1242" s="73" t="s">
        <v>3777</v>
      </c>
      <c r="I1242" s="9" t="s">
        <v>4060</v>
      </c>
      <c r="J1242" s="9" t="s">
        <v>2825</v>
      </c>
      <c r="K1242" s="205" t="s">
        <v>2826</v>
      </c>
      <c r="L1242" s="9" t="s">
        <v>2827</v>
      </c>
      <c r="M1242" s="32" t="s">
        <v>125</v>
      </c>
      <c r="N1242" s="129" t="s">
        <v>2704</v>
      </c>
      <c r="O1242" s="129" t="s">
        <v>2704</v>
      </c>
      <c r="P1242" s="123" t="str">
        <f>"C"&amp;INT((MONTH(A1242)-1)/4)+1&amp;"-"&amp;YEAR(A1242)</f>
        <v>C1-2026</v>
      </c>
      <c r="Q1242" s="124" t="str">
        <f>"T"&amp;INT((MONTH(A1242)-1)/3)+1&amp;"-"&amp;YEAR(A1242)</f>
        <v>T1-2026</v>
      </c>
      <c r="R1242" s="124" t="s">
        <v>2705</v>
      </c>
      <c r="S1242" s="124" t="s">
        <v>2706</v>
      </c>
      <c r="T1242" s="124" t="s">
        <v>2717</v>
      </c>
      <c r="U1242" s="91" t="s">
        <v>2708</v>
      </c>
      <c r="V1242" s="196" t="s">
        <v>56</v>
      </c>
      <c r="W1242" s="122" t="s">
        <v>125</v>
      </c>
      <c r="X1242" s="124" t="s">
        <v>2709</v>
      </c>
    </row>
    <row r="1243" spans="1:24">
      <c r="A1243" s="548">
        <v>46062</v>
      </c>
      <c r="B1243" s="133" t="s">
        <v>4513</v>
      </c>
      <c r="C1243" s="32" t="s">
        <v>2697</v>
      </c>
      <c r="D1243" s="210">
        <v>118.99</v>
      </c>
      <c r="E1243" s="120">
        <v>1</v>
      </c>
      <c r="F1243" s="121">
        <f>Tabla5109[[#This Row],[Original Amount]]*Tabla5109[[#This Row],[ER to EUR]]</f>
        <v>118.99</v>
      </c>
      <c r="G1243" s="9" t="s">
        <v>2812</v>
      </c>
      <c r="H1243" s="91" t="s">
        <v>2813</v>
      </c>
      <c r="I1243" s="9" t="s">
        <v>4514</v>
      </c>
      <c r="J1243" s="9" t="s">
        <v>2714</v>
      </c>
      <c r="K1243" s="196" t="s">
        <v>2814</v>
      </c>
      <c r="L1243" s="9" t="s">
        <v>2799</v>
      </c>
      <c r="M1243" s="32" t="s">
        <v>125</v>
      </c>
      <c r="N1243" s="129" t="s">
        <v>2704</v>
      </c>
      <c r="O1243" s="122" t="s">
        <v>2704</v>
      </c>
      <c r="P1243" s="123" t="str">
        <f>"C"&amp;INT((MONTH(A1243)-1)/4)+1&amp;"-"&amp;YEAR(A1243)</f>
        <v>C1-2026</v>
      </c>
      <c r="Q1243" s="124" t="str">
        <f>"T"&amp;INT((MONTH(A1243)-1)/3)+1&amp;"-"&amp;YEAR(A1243)</f>
        <v>T1-2026</v>
      </c>
      <c r="R1243" s="124" t="s">
        <v>2705</v>
      </c>
      <c r="S1243" s="124" t="s">
        <v>2706</v>
      </c>
      <c r="T1243" s="124" t="s">
        <v>2724</v>
      </c>
      <c r="U1243" s="9" t="s">
        <v>2708</v>
      </c>
      <c r="V1243" s="205" t="s">
        <v>56</v>
      </c>
      <c r="W1243" s="122" t="s">
        <v>125</v>
      </c>
      <c r="X1243" s="124" t="s">
        <v>2709</v>
      </c>
    </row>
    <row r="1244" spans="1:24">
      <c r="A1244" s="548">
        <v>46062</v>
      </c>
      <c r="B1244" s="135" t="s">
        <v>4602</v>
      </c>
      <c r="C1244" s="32" t="s">
        <v>2697</v>
      </c>
      <c r="D1244" s="210">
        <v>-534.01</v>
      </c>
      <c r="E1244" s="120">
        <v>1</v>
      </c>
      <c r="F1244" s="121">
        <f>Tabla5109[[#This Row],[Original Amount]]*Tabla5109[[#This Row],[ER to EUR]]</f>
        <v>-534.01</v>
      </c>
      <c r="G1244" s="9" t="s">
        <v>2839</v>
      </c>
      <c r="H1244" s="9" t="s">
        <v>2840</v>
      </c>
      <c r="I1244" s="9" t="s">
        <v>2784</v>
      </c>
      <c r="J1244" s="9" t="s">
        <v>2701</v>
      </c>
      <c r="K1244" s="205" t="s">
        <v>2702</v>
      </c>
      <c r="L1244" s="9" t="s">
        <v>2703</v>
      </c>
      <c r="M1244" s="32" t="s">
        <v>125</v>
      </c>
      <c r="N1244" s="129" t="s">
        <v>2704</v>
      </c>
      <c r="O1244" s="122" t="s">
        <v>2704</v>
      </c>
      <c r="P1244" s="123" t="str">
        <f>"C"&amp;INT((MONTH(A1244)-1)/4)+1&amp;"-"&amp;YEAR(A1244)</f>
        <v>C1-2026</v>
      </c>
      <c r="Q1244" s="124" t="str">
        <f>"T"&amp;INT((MONTH(A1244)-1)/3)+1&amp;"-"&amp;YEAR(A1244)</f>
        <v>T1-2026</v>
      </c>
      <c r="R1244" s="124" t="s">
        <v>2705</v>
      </c>
      <c r="S1244" s="124" t="s">
        <v>2706</v>
      </c>
      <c r="T1244" s="124" t="s">
        <v>2707</v>
      </c>
      <c r="U1244" s="9" t="s">
        <v>2708</v>
      </c>
      <c r="V1244" s="205" t="s">
        <v>57</v>
      </c>
      <c r="W1244" s="122" t="s">
        <v>125</v>
      </c>
      <c r="X1244" s="124" t="s">
        <v>2709</v>
      </c>
    </row>
    <row r="1245" spans="1:24">
      <c r="A1245" s="548">
        <v>46063</v>
      </c>
      <c r="B1245" s="125">
        <v>3008622</v>
      </c>
      <c r="C1245" s="122" t="s">
        <v>2548</v>
      </c>
      <c r="D1245" s="136">
        <v>-499</v>
      </c>
      <c r="E1245" s="222">
        <v>0.84359700000000004</v>
      </c>
      <c r="F1245" s="121">
        <f>Tabla5109[[#This Row],[Original Amount]]*Tabla5109[[#This Row],[ER to EUR]]</f>
        <v>-420.954903</v>
      </c>
      <c r="G1245" s="9" t="s">
        <v>3193</v>
      </c>
      <c r="H1245" s="73" t="s">
        <v>3194</v>
      </c>
      <c r="I1245" s="9" t="s">
        <v>2739</v>
      </c>
      <c r="J1245" s="9" t="s">
        <v>2701</v>
      </c>
      <c r="K1245" s="205" t="s">
        <v>2702</v>
      </c>
      <c r="L1245" s="9" t="s">
        <v>2793</v>
      </c>
      <c r="M1245" s="32" t="s">
        <v>125</v>
      </c>
      <c r="N1245" s="129" t="s">
        <v>2704</v>
      </c>
      <c r="O1245" s="122" t="s">
        <v>2704</v>
      </c>
      <c r="P1245" s="123" t="str">
        <f>"C"&amp;INT((MONTH(A1245)-1)/4)+1&amp;"-"&amp;YEAR(A1245)</f>
        <v>C1-2026</v>
      </c>
      <c r="Q1245" s="124" t="str">
        <f>"T"&amp;INT((MONTH(A1245)-1)/3)+1&amp;"-"&amp;YEAR(A1245)</f>
        <v>T1-2026</v>
      </c>
      <c r="R1245" s="124" t="s">
        <v>2722</v>
      </c>
      <c r="S1245" s="124" t="s">
        <v>2723</v>
      </c>
      <c r="T1245" s="124" t="s">
        <v>2724</v>
      </c>
      <c r="U1245" s="9" t="s">
        <v>2708</v>
      </c>
      <c r="V1245" s="205" t="s">
        <v>54</v>
      </c>
      <c r="W1245" s="122" t="s">
        <v>125</v>
      </c>
      <c r="X1245" s="124" t="s">
        <v>2709</v>
      </c>
    </row>
    <row r="1246" spans="1:24">
      <c r="A1246" s="548">
        <v>46063</v>
      </c>
      <c r="B1246" s="133" t="s">
        <v>4519</v>
      </c>
      <c r="C1246" s="32" t="s">
        <v>2697</v>
      </c>
      <c r="D1246" s="210">
        <v>-13.97</v>
      </c>
      <c r="E1246" s="120">
        <v>1</v>
      </c>
      <c r="F1246" s="121">
        <f>Tabla5109[[#This Row],[Original Amount]]*Tabla5109[[#This Row],[ER to EUR]]</f>
        <v>-13.97</v>
      </c>
      <c r="G1246" s="9" t="s">
        <v>3776</v>
      </c>
      <c r="H1246" s="9" t="s">
        <v>3777</v>
      </c>
      <c r="I1246" s="9" t="s">
        <v>4060</v>
      </c>
      <c r="J1246" s="9" t="s">
        <v>2825</v>
      </c>
      <c r="K1246" s="205" t="s">
        <v>2826</v>
      </c>
      <c r="L1246" s="9" t="s">
        <v>2827</v>
      </c>
      <c r="M1246" s="32" t="s">
        <v>125</v>
      </c>
      <c r="N1246" s="129" t="s">
        <v>2704</v>
      </c>
      <c r="O1246" s="129" t="s">
        <v>2704</v>
      </c>
      <c r="P1246" s="123" t="str">
        <f>"C"&amp;INT((MONTH(A1246)-1)/4)+1&amp;"-"&amp;YEAR(A1246)</f>
        <v>C1-2026</v>
      </c>
      <c r="Q1246" s="124" t="str">
        <f>"T"&amp;INT((MONTH(A1246)-1)/3)+1&amp;"-"&amp;YEAR(A1246)</f>
        <v>T1-2026</v>
      </c>
      <c r="R1246" s="124" t="s">
        <v>2705</v>
      </c>
      <c r="S1246" s="124" t="s">
        <v>2706</v>
      </c>
      <c r="T1246" s="124" t="s">
        <v>2717</v>
      </c>
      <c r="U1246" s="91" t="s">
        <v>2708</v>
      </c>
      <c r="V1246" s="196" t="s">
        <v>56</v>
      </c>
      <c r="W1246" s="122" t="s">
        <v>125</v>
      </c>
      <c r="X1246" s="124" t="s">
        <v>2709</v>
      </c>
    </row>
    <row r="1247" spans="1:24" ht="14" customHeight="1">
      <c r="A1247" s="548">
        <v>46063</v>
      </c>
      <c r="B1247" s="133" t="s">
        <v>4520</v>
      </c>
      <c r="C1247" s="32" t="s">
        <v>2697</v>
      </c>
      <c r="D1247" s="210">
        <v>-13.98</v>
      </c>
      <c r="E1247" s="120">
        <v>1</v>
      </c>
      <c r="F1247" s="121">
        <f>Tabla5109[[#This Row],[Original Amount]]*Tabla5109[[#This Row],[ER to EUR]]</f>
        <v>-13.98</v>
      </c>
      <c r="G1247" s="9" t="s">
        <v>3776</v>
      </c>
      <c r="H1247" s="9" t="s">
        <v>3777</v>
      </c>
      <c r="I1247" s="9" t="s">
        <v>4060</v>
      </c>
      <c r="J1247" s="9" t="s">
        <v>2825</v>
      </c>
      <c r="K1247" s="205" t="s">
        <v>2826</v>
      </c>
      <c r="L1247" s="9" t="s">
        <v>2827</v>
      </c>
      <c r="M1247" s="32" t="s">
        <v>125</v>
      </c>
      <c r="N1247" s="129" t="s">
        <v>2704</v>
      </c>
      <c r="O1247" s="129" t="s">
        <v>2704</v>
      </c>
      <c r="P1247" s="123" t="str">
        <f>"C"&amp;INT((MONTH(A1247)-1)/4)+1&amp;"-"&amp;YEAR(A1247)</f>
        <v>C1-2026</v>
      </c>
      <c r="Q1247" s="124" t="str">
        <f>"T"&amp;INT((MONTH(A1247)-1)/3)+1&amp;"-"&amp;YEAR(A1247)</f>
        <v>T1-2026</v>
      </c>
      <c r="R1247" s="124" t="s">
        <v>2705</v>
      </c>
      <c r="S1247" s="124" t="s">
        <v>2706</v>
      </c>
      <c r="T1247" s="124" t="s">
        <v>2717</v>
      </c>
      <c r="U1247" s="91" t="s">
        <v>2708</v>
      </c>
      <c r="V1247" s="196" t="s">
        <v>56</v>
      </c>
      <c r="W1247" s="122" t="s">
        <v>125</v>
      </c>
      <c r="X1247" s="124" t="s">
        <v>2709</v>
      </c>
    </row>
    <row r="1248" spans="1:24">
      <c r="A1248" s="548">
        <v>46063</v>
      </c>
      <c r="B1248" s="133" t="s">
        <v>4584</v>
      </c>
      <c r="C1248" s="32" t="s">
        <v>2697</v>
      </c>
      <c r="D1248" s="210">
        <v>-833.24</v>
      </c>
      <c r="E1248" s="120">
        <v>1</v>
      </c>
      <c r="F1248" s="121">
        <f>Tabla5109[[#This Row],[Original Amount]]*Tabla5109[[#This Row],[ER to EUR]]</f>
        <v>-833.24</v>
      </c>
      <c r="G1248" s="9" t="s">
        <v>2839</v>
      </c>
      <c r="H1248" s="9" t="s">
        <v>2840</v>
      </c>
      <c r="I1248" s="9" t="s">
        <v>2784</v>
      </c>
      <c r="J1248" s="9" t="s">
        <v>2701</v>
      </c>
      <c r="K1248" s="205" t="s">
        <v>2702</v>
      </c>
      <c r="L1248" s="9" t="s">
        <v>2703</v>
      </c>
      <c r="M1248" s="32" t="s">
        <v>125</v>
      </c>
      <c r="N1248" s="129" t="s">
        <v>2704</v>
      </c>
      <c r="O1248" s="122" t="s">
        <v>2704</v>
      </c>
      <c r="P1248" s="123" t="str">
        <f>"C"&amp;INT((MONTH(A1248)-1)/4)+1&amp;"-"&amp;YEAR(A1248)</f>
        <v>C1-2026</v>
      </c>
      <c r="Q1248" s="124" t="str">
        <f>"T"&amp;INT((MONTH(A1248)-1)/3)+1&amp;"-"&amp;YEAR(A1248)</f>
        <v>T1-2026</v>
      </c>
      <c r="R1248" s="124" t="s">
        <v>2705</v>
      </c>
      <c r="S1248" s="124" t="s">
        <v>2706</v>
      </c>
      <c r="T1248" s="124" t="s">
        <v>2707</v>
      </c>
      <c r="U1248" s="9" t="s">
        <v>2708</v>
      </c>
      <c r="V1248" s="205" t="s">
        <v>57</v>
      </c>
      <c r="W1248" s="122" t="s">
        <v>125</v>
      </c>
      <c r="X1248" s="124" t="s">
        <v>2709</v>
      </c>
    </row>
    <row r="1249" spans="1:24">
      <c r="A1249" s="548">
        <v>46064</v>
      </c>
      <c r="B1249" s="133" t="s">
        <v>4598</v>
      </c>
      <c r="C1249" s="32" t="s">
        <v>2697</v>
      </c>
      <c r="D1249" s="210">
        <v>-93.59</v>
      </c>
      <c r="E1249" s="120">
        <v>1</v>
      </c>
      <c r="F1249" s="121">
        <f>Tabla5109[[#This Row],[Original Amount]]*Tabla5109[[#This Row],[ER to EUR]]</f>
        <v>-93.59</v>
      </c>
      <c r="G1249" s="9" t="s">
        <v>4070</v>
      </c>
      <c r="H1249" s="9" t="s">
        <v>4599</v>
      </c>
      <c r="I1249" s="9" t="s">
        <v>4072</v>
      </c>
      <c r="J1249" s="9" t="s">
        <v>2701</v>
      </c>
      <c r="K1249" s="205" t="s">
        <v>2702</v>
      </c>
      <c r="L1249" s="9" t="s">
        <v>2788</v>
      </c>
      <c r="M1249" s="32" t="s">
        <v>125</v>
      </c>
      <c r="N1249" s="129" t="s">
        <v>2704</v>
      </c>
      <c r="O1249" s="122" t="s">
        <v>2704</v>
      </c>
      <c r="P1249" s="123" t="str">
        <f>"C"&amp;INT((MONTH(A1249)-1)/4)+1&amp;"-"&amp;YEAR(A1249)</f>
        <v>C1-2026</v>
      </c>
      <c r="Q1249" s="124" t="str">
        <f>"T"&amp;INT((MONTH(A1249)-1)/3)+1&amp;"-"&amp;YEAR(A1249)</f>
        <v>T1-2026</v>
      </c>
      <c r="R1249" s="124" t="s">
        <v>2819</v>
      </c>
      <c r="S1249" s="124" t="s">
        <v>2817</v>
      </c>
      <c r="T1249" s="124" t="s">
        <v>2717</v>
      </c>
      <c r="U1249" s="9" t="s">
        <v>2708</v>
      </c>
      <c r="V1249" s="205" t="s">
        <v>56</v>
      </c>
      <c r="W1249" s="122" t="s">
        <v>125</v>
      </c>
      <c r="X1249" s="124" t="s">
        <v>2709</v>
      </c>
    </row>
    <row r="1250" spans="1:24">
      <c r="A1250" s="548">
        <v>46064</v>
      </c>
      <c r="B1250" s="133" t="s">
        <v>4585</v>
      </c>
      <c r="C1250" s="32" t="s">
        <v>2697</v>
      </c>
      <c r="D1250" s="210">
        <v>-15.99</v>
      </c>
      <c r="E1250" s="120">
        <v>1</v>
      </c>
      <c r="F1250" s="121">
        <f>Tabla5109[[#This Row],[Original Amount]]*Tabla5109[[#This Row],[ER to EUR]]</f>
        <v>-15.99</v>
      </c>
      <c r="G1250" s="9" t="s">
        <v>2956</v>
      </c>
      <c r="H1250" s="9" t="s">
        <v>4586</v>
      </c>
      <c r="I1250" s="9" t="s">
        <v>2739</v>
      </c>
      <c r="J1250" s="9" t="s">
        <v>2701</v>
      </c>
      <c r="K1250" s="205" t="s">
        <v>2702</v>
      </c>
      <c r="L1250" s="9" t="s">
        <v>2740</v>
      </c>
      <c r="M1250" s="32" t="s">
        <v>125</v>
      </c>
      <c r="N1250" s="122" t="s">
        <v>2748</v>
      </c>
      <c r="O1250" s="129" t="s">
        <v>2748</v>
      </c>
      <c r="P1250" s="123" t="str">
        <f>"C"&amp;INT((MONTH(A1250)-1)/4)+1&amp;"-"&amp;YEAR(A1250)</f>
        <v>C1-2026</v>
      </c>
      <c r="Q1250" s="124" t="str">
        <f>"T"&amp;INT((MONTH(A1250)-1)/3)+1&amp;"-"&amp;YEAR(A1250)</f>
        <v>T1-2026</v>
      </c>
      <c r="R1250" s="124" t="s">
        <v>2705</v>
      </c>
      <c r="S1250" s="124" t="s">
        <v>2706</v>
      </c>
      <c r="T1250" s="124" t="s">
        <v>2724</v>
      </c>
      <c r="U1250" s="9" t="s">
        <v>2708</v>
      </c>
      <c r="V1250" s="205" t="s">
        <v>54</v>
      </c>
      <c r="W1250" s="122" t="s">
        <v>125</v>
      </c>
      <c r="X1250" s="124" t="s">
        <v>2709</v>
      </c>
    </row>
    <row r="1251" spans="1:24">
      <c r="A1251" s="548">
        <v>46065</v>
      </c>
      <c r="B1251" s="131" t="s">
        <v>4589</v>
      </c>
      <c r="C1251" s="32" t="s">
        <v>2697</v>
      </c>
      <c r="D1251" s="210">
        <v>-8.59</v>
      </c>
      <c r="E1251" s="120">
        <v>1</v>
      </c>
      <c r="F1251" s="121">
        <f>Tabla5109[[#This Row],[Original Amount]]*Tabla5109[[#This Row],[ER to EUR]]</f>
        <v>-8.59</v>
      </c>
      <c r="G1251" s="9" t="s">
        <v>2839</v>
      </c>
      <c r="H1251" s="9" t="s">
        <v>2840</v>
      </c>
      <c r="I1251" s="9" t="s">
        <v>2784</v>
      </c>
      <c r="J1251" s="9" t="s">
        <v>2701</v>
      </c>
      <c r="K1251" s="205" t="s">
        <v>2702</v>
      </c>
      <c r="L1251" s="9" t="s">
        <v>2703</v>
      </c>
      <c r="M1251" s="32" t="s">
        <v>125</v>
      </c>
      <c r="N1251" s="129" t="s">
        <v>2704</v>
      </c>
      <c r="O1251" s="122" t="s">
        <v>2704</v>
      </c>
      <c r="P1251" s="123" t="str">
        <f>"C"&amp;INT((MONTH(A1251)-1)/4)+1&amp;"-"&amp;YEAR(A1251)</f>
        <v>C1-2026</v>
      </c>
      <c r="Q1251" s="124" t="str">
        <f>"T"&amp;INT((MONTH(A1251)-1)/3)+1&amp;"-"&amp;YEAR(A1251)</f>
        <v>T1-2026</v>
      </c>
      <c r="R1251" s="124" t="s">
        <v>2705</v>
      </c>
      <c r="S1251" s="124" t="s">
        <v>2706</v>
      </c>
      <c r="T1251" s="124" t="s">
        <v>2707</v>
      </c>
      <c r="U1251" s="9" t="s">
        <v>2708</v>
      </c>
      <c r="V1251" s="205" t="s">
        <v>57</v>
      </c>
      <c r="W1251" s="122" t="s">
        <v>125</v>
      </c>
      <c r="X1251" s="124" t="s">
        <v>2709</v>
      </c>
    </row>
    <row r="1252" spans="1:24">
      <c r="A1252" s="548">
        <v>46066</v>
      </c>
      <c r="B1252" s="507">
        <v>16460</v>
      </c>
      <c r="C1252" s="32" t="s">
        <v>2697</v>
      </c>
      <c r="D1252" s="210">
        <v>-1800</v>
      </c>
      <c r="E1252" s="120">
        <v>1</v>
      </c>
      <c r="F1252" s="121">
        <f>Tabla5109[[#This Row],[Original Amount]]*Tabla5109[[#This Row],[ER to EUR]]</f>
        <v>-1800</v>
      </c>
      <c r="G1252" s="9" t="s">
        <v>2725</v>
      </c>
      <c r="H1252" s="9" t="s">
        <v>3236</v>
      </c>
      <c r="I1252" s="9" t="s">
        <v>2727</v>
      </c>
      <c r="J1252" s="9" t="s">
        <v>2701</v>
      </c>
      <c r="K1252" s="205" t="s">
        <v>2702</v>
      </c>
      <c r="L1252" s="9" t="s">
        <v>2729</v>
      </c>
      <c r="M1252" s="32" t="s">
        <v>125</v>
      </c>
      <c r="N1252" s="129" t="s">
        <v>2704</v>
      </c>
      <c r="O1252" s="129" t="s">
        <v>2704</v>
      </c>
      <c r="P1252" s="123" t="str">
        <f>"C"&amp;INT((MONTH(A1252)-1)/4)+1&amp;"-"&amp;YEAR(A1252)</f>
        <v>C1-2026</v>
      </c>
      <c r="Q1252" s="124" t="str">
        <f>"T"&amp;INT((MONTH(A1252)-1)/3)+1&amp;"-"&amp;YEAR(A1252)</f>
        <v>T1-2026</v>
      </c>
      <c r="R1252" s="124" t="s">
        <v>2730</v>
      </c>
      <c r="S1252" s="124" t="s">
        <v>2731</v>
      </c>
      <c r="T1252" s="124" t="s">
        <v>2707</v>
      </c>
      <c r="U1252" s="9" t="s">
        <v>51</v>
      </c>
      <c r="V1252" s="205" t="s">
        <v>57</v>
      </c>
      <c r="W1252" s="122" t="s">
        <v>125</v>
      </c>
      <c r="X1252" s="124" t="s">
        <v>2709</v>
      </c>
    </row>
    <row r="1253" spans="1:24">
      <c r="A1253" s="548">
        <v>46066</v>
      </c>
      <c r="B1253" s="133" t="s">
        <v>4588</v>
      </c>
      <c r="C1253" s="32" t="s">
        <v>2697</v>
      </c>
      <c r="D1253" s="210">
        <v>-4.13</v>
      </c>
      <c r="E1253" s="120">
        <v>1</v>
      </c>
      <c r="F1253" s="121">
        <f>Tabla5109[[#This Row],[Original Amount]]*Tabla5109[[#This Row],[ER to EUR]]</f>
        <v>-4.13</v>
      </c>
      <c r="G1253" s="9" t="s">
        <v>2839</v>
      </c>
      <c r="H1253" s="9" t="s">
        <v>2840</v>
      </c>
      <c r="I1253" s="9" t="s">
        <v>2784</v>
      </c>
      <c r="J1253" s="9" t="s">
        <v>2701</v>
      </c>
      <c r="K1253" s="205" t="s">
        <v>2702</v>
      </c>
      <c r="L1253" s="9" t="s">
        <v>2703</v>
      </c>
      <c r="M1253" s="32" t="s">
        <v>125</v>
      </c>
      <c r="N1253" s="129" t="s">
        <v>2704</v>
      </c>
      <c r="O1253" s="122" t="s">
        <v>2704</v>
      </c>
      <c r="P1253" s="123" t="str">
        <f>"C"&amp;INT((MONTH(A1253)-1)/4)+1&amp;"-"&amp;YEAR(A1253)</f>
        <v>C1-2026</v>
      </c>
      <c r="Q1253" s="124" t="str">
        <f>"T"&amp;INT((MONTH(A1253)-1)/3)+1&amp;"-"&amp;YEAR(A1253)</f>
        <v>T1-2026</v>
      </c>
      <c r="R1253" s="124" t="s">
        <v>2705</v>
      </c>
      <c r="S1253" s="124" t="s">
        <v>2706</v>
      </c>
      <c r="T1253" s="124" t="s">
        <v>2707</v>
      </c>
      <c r="U1253" s="9" t="s">
        <v>2708</v>
      </c>
      <c r="V1253" s="205" t="s">
        <v>57</v>
      </c>
      <c r="W1253" s="122" t="s">
        <v>125</v>
      </c>
      <c r="X1253" s="124" t="s">
        <v>2709</v>
      </c>
    </row>
    <row r="1254" spans="1:24">
      <c r="A1254" s="548">
        <v>46066</v>
      </c>
      <c r="B1254" s="133" t="s">
        <v>4624</v>
      </c>
      <c r="C1254" s="32" t="s">
        <v>2697</v>
      </c>
      <c r="D1254" s="210">
        <v>-51.24</v>
      </c>
      <c r="E1254" s="120">
        <v>1</v>
      </c>
      <c r="F1254" s="121">
        <f>Tabla5109[[#This Row],[Original Amount]]*Tabla5109[[#This Row],[ER to EUR]]</f>
        <v>-51.24</v>
      </c>
      <c r="G1254" s="9" t="s">
        <v>2733</v>
      </c>
      <c r="H1254" s="9" t="s">
        <v>2734</v>
      </c>
      <c r="I1254" s="9" t="s">
        <v>2713</v>
      </c>
      <c r="J1254" s="9" t="s">
        <v>2701</v>
      </c>
      <c r="K1254" s="205" t="s">
        <v>2809</v>
      </c>
      <c r="L1254" s="9" t="s">
        <v>2810</v>
      </c>
      <c r="M1254" s="32" t="s">
        <v>125</v>
      </c>
      <c r="N1254" s="122" t="s">
        <v>2748</v>
      </c>
      <c r="O1254" s="129" t="s">
        <v>2704</v>
      </c>
      <c r="P1254" s="123" t="str">
        <f>"C"&amp;INT((MONTH(A1254)-1)/4)+1&amp;"-"&amp;YEAR(A1254)</f>
        <v>C1-2026</v>
      </c>
      <c r="Q1254" s="124" t="str">
        <f>"T"&amp;INT((MONTH(A1254)-1)/3)+1&amp;"-"&amp;YEAR(A1254)</f>
        <v>T1-2026</v>
      </c>
      <c r="R1254" s="124" t="s">
        <v>2705</v>
      </c>
      <c r="S1254" s="124" t="s">
        <v>2735</v>
      </c>
      <c r="T1254" s="124" t="s">
        <v>2707</v>
      </c>
      <c r="U1254" s="91" t="s">
        <v>2708</v>
      </c>
      <c r="V1254" s="196" t="s">
        <v>56</v>
      </c>
      <c r="W1254" s="122" t="s">
        <v>125</v>
      </c>
      <c r="X1254" s="124" t="s">
        <v>2709</v>
      </c>
    </row>
    <row r="1255" spans="1:24">
      <c r="A1255" s="548">
        <v>46067</v>
      </c>
      <c r="B1255" s="133" t="s">
        <v>4658</v>
      </c>
      <c r="C1255" s="32" t="s">
        <v>2697</v>
      </c>
      <c r="D1255" s="210">
        <v>-65.540000000000006</v>
      </c>
      <c r="E1255" s="120">
        <v>1</v>
      </c>
      <c r="F1255" s="121">
        <f>Tabla5109[[#This Row],[Original Amount]]*Tabla5109[[#This Row],[ER to EUR]]</f>
        <v>-65.540000000000006</v>
      </c>
      <c r="G1255" s="9" t="s">
        <v>2830</v>
      </c>
      <c r="H1255" s="9" t="s">
        <v>4610</v>
      </c>
      <c r="I1255" s="91" t="s">
        <v>6008</v>
      </c>
      <c r="J1255" s="9" t="s">
        <v>2817</v>
      </c>
      <c r="K1255" s="205" t="s">
        <v>2702</v>
      </c>
      <c r="L1255" s="9" t="s">
        <v>2818</v>
      </c>
      <c r="M1255" s="32" t="s">
        <v>125</v>
      </c>
      <c r="N1255" s="122" t="s">
        <v>2704</v>
      </c>
      <c r="O1255" s="129" t="s">
        <v>2704</v>
      </c>
      <c r="P1255" s="123" t="str">
        <f>"C"&amp;INT((MONTH(A1255)-1)/4)+1&amp;"-"&amp;YEAR(A1255)</f>
        <v>C1-2026</v>
      </c>
      <c r="Q1255" s="124" t="str">
        <f>"T"&amp;INT((MONTH(A1255)-1)/3)+1&amp;"-"&amp;YEAR(A1255)</f>
        <v>T1-2026</v>
      </c>
      <c r="R1255" s="124" t="s">
        <v>2741</v>
      </c>
      <c r="S1255" s="123" t="s">
        <v>2723</v>
      </c>
      <c r="T1255" s="124" t="s">
        <v>2724</v>
      </c>
      <c r="U1255" s="9" t="s">
        <v>2708</v>
      </c>
      <c r="V1255" s="205" t="s">
        <v>54</v>
      </c>
      <c r="W1255" s="122" t="s">
        <v>125</v>
      </c>
      <c r="X1255" s="124" t="s">
        <v>2709</v>
      </c>
    </row>
    <row r="1256" spans="1:24">
      <c r="A1256" s="548">
        <v>46068</v>
      </c>
      <c r="B1256" s="133" t="s">
        <v>4591</v>
      </c>
      <c r="C1256" s="32" t="s">
        <v>2697</v>
      </c>
      <c r="D1256" s="210">
        <v>-105.2</v>
      </c>
      <c r="E1256" s="120">
        <v>1</v>
      </c>
      <c r="F1256" s="121">
        <f>Tabla5109[[#This Row],[Original Amount]]*Tabla5109[[#This Row],[ER to EUR]]</f>
        <v>-105.2</v>
      </c>
      <c r="G1256" s="9" t="s">
        <v>4096</v>
      </c>
      <c r="H1256" s="9" t="s">
        <v>4593</v>
      </c>
      <c r="I1256" s="9" t="s">
        <v>2713</v>
      </c>
      <c r="J1256" s="9" t="s">
        <v>2701</v>
      </c>
      <c r="K1256" s="205" t="s">
        <v>2702</v>
      </c>
      <c r="L1256" s="9" t="s">
        <v>2760</v>
      </c>
      <c r="M1256" s="32" t="s">
        <v>125</v>
      </c>
      <c r="N1256" s="122" t="s">
        <v>2704</v>
      </c>
      <c r="O1256" s="122" t="s">
        <v>2704</v>
      </c>
      <c r="P1256" s="123" t="str">
        <f>"C"&amp;INT((MONTH(A1256)-1)/4)+1&amp;"-"&amp;YEAR(A1256)</f>
        <v>C1-2026</v>
      </c>
      <c r="Q1256" s="124" t="str">
        <f>"T"&amp;INT((MONTH(A1256)-1)/3)+1&amp;"-"&amp;YEAR(A1256)</f>
        <v>T1-2026</v>
      </c>
      <c r="R1256" s="124" t="s">
        <v>2705</v>
      </c>
      <c r="S1256" s="124" t="s">
        <v>2735</v>
      </c>
      <c r="T1256" s="124" t="s">
        <v>2717</v>
      </c>
      <c r="U1256" s="9" t="s">
        <v>2708</v>
      </c>
      <c r="V1256" s="205" t="s">
        <v>56</v>
      </c>
      <c r="W1256" s="122" t="s">
        <v>125</v>
      </c>
      <c r="X1256" s="124" t="s">
        <v>2709</v>
      </c>
    </row>
    <row r="1257" spans="1:24">
      <c r="A1257" s="548">
        <v>46068</v>
      </c>
      <c r="B1257" s="125">
        <v>32</v>
      </c>
      <c r="C1257" s="32" t="s">
        <v>2697</v>
      </c>
      <c r="D1257" s="210">
        <v>-5057.5</v>
      </c>
      <c r="E1257" s="120">
        <v>1</v>
      </c>
      <c r="F1257" s="121">
        <f>Tabla5109[[#This Row],[Original Amount]]*Tabla5109[[#This Row],[ER to EUR]]</f>
        <v>-5057.5</v>
      </c>
      <c r="G1257" s="9" t="s">
        <v>2790</v>
      </c>
      <c r="H1257" s="91" t="s">
        <v>2791</v>
      </c>
      <c r="I1257" s="9" t="s">
        <v>2727</v>
      </c>
      <c r="J1257" s="9" t="s">
        <v>2723</v>
      </c>
      <c r="K1257" s="205" t="s">
        <v>2792</v>
      </c>
      <c r="L1257" s="9" t="s">
        <v>2793</v>
      </c>
      <c r="M1257" s="32" t="s">
        <v>125</v>
      </c>
      <c r="N1257" s="129" t="s">
        <v>2748</v>
      </c>
      <c r="O1257" s="122" t="s">
        <v>2748</v>
      </c>
      <c r="P1257" s="123" t="str">
        <f>"C"&amp;INT((MONTH(A1257)-1)/4)+1&amp;"-"&amp;YEAR(A1257)</f>
        <v>C1-2026</v>
      </c>
      <c r="Q1257" s="124" t="str">
        <f>"T"&amp;INT((MONTH(A1257)-1)/3)+1&amp;"-"&amp;YEAR(A1257)</f>
        <v>T1-2026</v>
      </c>
      <c r="R1257" s="124" t="s">
        <v>2794</v>
      </c>
      <c r="S1257" s="124" t="s">
        <v>2731</v>
      </c>
      <c r="T1257" s="124" t="s">
        <v>2724</v>
      </c>
      <c r="U1257" s="9" t="s">
        <v>2708</v>
      </c>
      <c r="V1257" s="205" t="s">
        <v>57</v>
      </c>
      <c r="W1257" s="122" t="s">
        <v>125</v>
      </c>
      <c r="X1257" s="124" t="s">
        <v>2709</v>
      </c>
    </row>
    <row r="1258" spans="1:24">
      <c r="A1258" s="548">
        <v>46068</v>
      </c>
      <c r="B1258" s="125">
        <v>33</v>
      </c>
      <c r="C1258" s="32" t="s">
        <v>2697</v>
      </c>
      <c r="D1258" s="210">
        <v>-5355</v>
      </c>
      <c r="E1258" s="120">
        <v>1</v>
      </c>
      <c r="F1258" s="121">
        <f>Tabla5109[[#This Row],[Original Amount]]*Tabla5109[[#This Row],[ER to EUR]]</f>
        <v>-5355</v>
      </c>
      <c r="G1258" s="9" t="s">
        <v>2790</v>
      </c>
      <c r="H1258" s="91" t="s">
        <v>2791</v>
      </c>
      <c r="I1258" s="9" t="s">
        <v>2727</v>
      </c>
      <c r="J1258" s="9" t="s">
        <v>2723</v>
      </c>
      <c r="K1258" s="205" t="s">
        <v>2792</v>
      </c>
      <c r="L1258" s="9" t="s">
        <v>2793</v>
      </c>
      <c r="M1258" s="32" t="s">
        <v>125</v>
      </c>
      <c r="N1258" s="129" t="s">
        <v>2748</v>
      </c>
      <c r="O1258" s="122" t="s">
        <v>2748</v>
      </c>
      <c r="P1258" s="123" t="str">
        <f>"C"&amp;INT((MONTH(A1258)-1)/4)+1&amp;"-"&amp;YEAR(A1258)</f>
        <v>C1-2026</v>
      </c>
      <c r="Q1258" s="124" t="str">
        <f>"T"&amp;INT((MONTH(A1258)-1)/3)+1&amp;"-"&amp;YEAR(A1258)</f>
        <v>T1-2026</v>
      </c>
      <c r="R1258" s="124" t="s">
        <v>2794</v>
      </c>
      <c r="S1258" s="124" t="s">
        <v>2731</v>
      </c>
      <c r="T1258" s="124" t="s">
        <v>2724</v>
      </c>
      <c r="U1258" s="9" t="s">
        <v>2708</v>
      </c>
      <c r="V1258" s="205" t="s">
        <v>57</v>
      </c>
      <c r="W1258" s="122" t="s">
        <v>125</v>
      </c>
      <c r="X1258" s="124" t="s">
        <v>2709</v>
      </c>
    </row>
    <row r="1259" spans="1:24">
      <c r="A1259" s="548">
        <v>46068</v>
      </c>
      <c r="B1259" s="133" t="s">
        <v>4590</v>
      </c>
      <c r="C1259" s="32" t="s">
        <v>2697</v>
      </c>
      <c r="D1259" s="210">
        <v>-186</v>
      </c>
      <c r="E1259" s="120">
        <v>1</v>
      </c>
      <c r="F1259" s="121">
        <f>Tabla5109[[#This Row],[Original Amount]]*Tabla5109[[#This Row],[ER to EUR]]</f>
        <v>-186</v>
      </c>
      <c r="G1259" s="9" t="s">
        <v>3492</v>
      </c>
      <c r="H1259" s="9" t="s">
        <v>4183</v>
      </c>
      <c r="I1259" s="9" t="s">
        <v>2784</v>
      </c>
      <c r="J1259" s="9" t="s">
        <v>2701</v>
      </c>
      <c r="K1259" s="205" t="s">
        <v>2702</v>
      </c>
      <c r="L1259" s="9" t="s">
        <v>3494</v>
      </c>
      <c r="M1259" s="32" t="s">
        <v>125</v>
      </c>
      <c r="N1259" s="129" t="s">
        <v>2748</v>
      </c>
      <c r="O1259" s="122" t="s">
        <v>2748</v>
      </c>
      <c r="P1259" s="123" t="str">
        <f>"C"&amp;INT((MONTH(A1259)-1)/4)+1&amp;"-"&amp;YEAR(A1259)</f>
        <v>C1-2026</v>
      </c>
      <c r="Q1259" s="124" t="str">
        <f>"T"&amp;INT((MONTH(A1259)-1)/3)+1&amp;"-"&amp;YEAR(A1259)</f>
        <v>T1-2026</v>
      </c>
      <c r="R1259" s="124" t="s">
        <v>2705</v>
      </c>
      <c r="S1259" s="124" t="s">
        <v>2735</v>
      </c>
      <c r="T1259" s="124" t="s">
        <v>2707</v>
      </c>
      <c r="U1259" s="9" t="s">
        <v>2708</v>
      </c>
      <c r="V1259" s="205" t="s">
        <v>54</v>
      </c>
      <c r="W1259" s="122" t="s">
        <v>125</v>
      </c>
      <c r="X1259" s="124" t="s">
        <v>2709</v>
      </c>
    </row>
    <row r="1260" spans="1:24">
      <c r="A1260" s="548">
        <v>46068</v>
      </c>
      <c r="B1260" s="133" t="s">
        <v>4587</v>
      </c>
      <c r="C1260" s="32" t="s">
        <v>2697</v>
      </c>
      <c r="D1260" s="210">
        <v>-144</v>
      </c>
      <c r="E1260" s="120">
        <v>1</v>
      </c>
      <c r="F1260" s="121">
        <f>Tabla5109[[#This Row],[Original Amount]]*Tabla5109[[#This Row],[ER to EUR]]</f>
        <v>-144</v>
      </c>
      <c r="G1260" s="9" t="s">
        <v>4078</v>
      </c>
      <c r="H1260" s="9" t="s">
        <v>4185</v>
      </c>
      <c r="I1260" s="9" t="s">
        <v>2755</v>
      </c>
      <c r="J1260" s="9" t="s">
        <v>2701</v>
      </c>
      <c r="K1260" s="205" t="s">
        <v>2702</v>
      </c>
      <c r="L1260" s="211" t="s">
        <v>3693</v>
      </c>
      <c r="M1260" s="32" t="s">
        <v>125</v>
      </c>
      <c r="N1260" s="122" t="s">
        <v>2704</v>
      </c>
      <c r="O1260" s="129" t="s">
        <v>2704</v>
      </c>
      <c r="P1260" s="123" t="str">
        <f>"C"&amp;INT((MONTH(A1260)-1)/4)+1&amp;"-"&amp;YEAR(A1260)</f>
        <v>C1-2026</v>
      </c>
      <c r="Q1260" s="124" t="str">
        <f>"T"&amp;INT((MONTH(A1260)-1)/3)+1&amp;"-"&amp;YEAR(A1260)</f>
        <v>T1-2026</v>
      </c>
      <c r="R1260" s="91" t="s">
        <v>2705</v>
      </c>
      <c r="S1260" s="124" t="s">
        <v>2706</v>
      </c>
      <c r="T1260" s="124" t="s">
        <v>2717</v>
      </c>
      <c r="U1260" s="9" t="s">
        <v>2708</v>
      </c>
      <c r="V1260" s="205" t="s">
        <v>56</v>
      </c>
      <c r="W1260" s="122" t="s">
        <v>125</v>
      </c>
      <c r="X1260" s="123" t="s">
        <v>2709</v>
      </c>
    </row>
    <row r="1261" spans="1:24">
      <c r="A1261" s="548">
        <v>46069</v>
      </c>
      <c r="B1261" s="125">
        <v>2029237</v>
      </c>
      <c r="C1261" s="32" t="s">
        <v>2697</v>
      </c>
      <c r="D1261" s="210">
        <v>-239.68</v>
      </c>
      <c r="E1261" s="120">
        <v>1</v>
      </c>
      <c r="F1261" s="121">
        <f>Tabla5109[[#This Row],[Original Amount]]*Tabla5109[[#This Row],[ER to EUR]]</f>
        <v>-239.68</v>
      </c>
      <c r="G1261" s="9" t="s">
        <v>2815</v>
      </c>
      <c r="H1261" s="91" t="s">
        <v>3103</v>
      </c>
      <c r="I1261" s="91" t="s">
        <v>2727</v>
      </c>
      <c r="J1261" s="91" t="s">
        <v>2817</v>
      </c>
      <c r="K1261" s="196" t="s">
        <v>2702</v>
      </c>
      <c r="L1261" s="91" t="s">
        <v>2818</v>
      </c>
      <c r="M1261" s="32" t="s">
        <v>125</v>
      </c>
      <c r="N1261" s="122" t="s">
        <v>2704</v>
      </c>
      <c r="O1261" s="129" t="s">
        <v>2704</v>
      </c>
      <c r="P1261" s="123" t="str">
        <f>"C"&amp;INT((MONTH(A1261)-1)/4)+1&amp;"-"&amp;YEAR(A1261)</f>
        <v>C1-2026</v>
      </c>
      <c r="Q1261" s="124" t="str">
        <f>"T"&amp;INT((MONTH(A1261)-1)/3)+1&amp;"-"&amp;YEAR(A1261)</f>
        <v>T1-2026</v>
      </c>
      <c r="R1261" s="124" t="s">
        <v>2819</v>
      </c>
      <c r="S1261" s="124" t="s">
        <v>2723</v>
      </c>
      <c r="T1261" s="124" t="s">
        <v>2724</v>
      </c>
      <c r="U1261" s="9" t="s">
        <v>2708</v>
      </c>
      <c r="V1261" s="205" t="s">
        <v>54</v>
      </c>
      <c r="W1261" s="122" t="s">
        <v>125</v>
      </c>
      <c r="X1261" s="124" t="s">
        <v>2709</v>
      </c>
    </row>
    <row r="1262" spans="1:24">
      <c r="A1262" s="548">
        <v>46069</v>
      </c>
      <c r="B1262" s="133" t="s">
        <v>4592</v>
      </c>
      <c r="C1262" s="32" t="s">
        <v>2548</v>
      </c>
      <c r="D1262" s="136">
        <v>-250</v>
      </c>
      <c r="E1262" s="222">
        <v>0.84359700000000004</v>
      </c>
      <c r="F1262" s="121">
        <f>Tabla5109[[#This Row],[Original Amount]]*Tabla5109[[#This Row],[ER to EUR]]</f>
        <v>-210.89925000000002</v>
      </c>
      <c r="G1262" s="9" t="s">
        <v>4096</v>
      </c>
      <c r="H1262" s="9" t="s">
        <v>4278</v>
      </c>
      <c r="I1262" s="9" t="s">
        <v>2713</v>
      </c>
      <c r="J1262" s="9" t="s">
        <v>2701</v>
      </c>
      <c r="K1262" s="205" t="s">
        <v>2702</v>
      </c>
      <c r="L1262" s="9" t="s">
        <v>2760</v>
      </c>
      <c r="M1262" s="32" t="s">
        <v>125</v>
      </c>
      <c r="N1262" s="122" t="s">
        <v>2704</v>
      </c>
      <c r="O1262" s="122" t="s">
        <v>2704</v>
      </c>
      <c r="P1262" s="123" t="str">
        <f>"C"&amp;INT((MONTH(A1262)-1)/4)+1&amp;"-"&amp;YEAR(A1262)</f>
        <v>C1-2026</v>
      </c>
      <c r="Q1262" s="124" t="str">
        <f>"T"&amp;INT((MONTH(A1262)-1)/3)+1&amp;"-"&amp;YEAR(A1262)</f>
        <v>T1-2026</v>
      </c>
      <c r="R1262" s="124" t="s">
        <v>2705</v>
      </c>
      <c r="S1262" s="124" t="s">
        <v>2735</v>
      </c>
      <c r="T1262" s="124" t="s">
        <v>2717</v>
      </c>
      <c r="U1262" s="9" t="s">
        <v>2708</v>
      </c>
      <c r="V1262" s="205" t="s">
        <v>56</v>
      </c>
      <c r="W1262" s="122" t="s">
        <v>125</v>
      </c>
      <c r="X1262" s="124" t="s">
        <v>2709</v>
      </c>
    </row>
    <row r="1263" spans="1:24">
      <c r="A1263" s="548">
        <v>46069</v>
      </c>
      <c r="B1263" s="144">
        <v>17111293</v>
      </c>
      <c r="C1263" s="232" t="s">
        <v>2548</v>
      </c>
      <c r="D1263" s="136">
        <v>-32.4</v>
      </c>
      <c r="E1263" s="222">
        <v>0.84359700000000004</v>
      </c>
      <c r="F1263" s="121">
        <f>Tabla5109[[#This Row],[Original Amount]]*Tabla5109[[#This Row],[ER to EUR]]</f>
        <v>-27.332542799999999</v>
      </c>
      <c r="G1263" s="9" t="s">
        <v>2737</v>
      </c>
      <c r="H1263" s="9" t="s">
        <v>4597</v>
      </c>
      <c r="I1263" s="9" t="s">
        <v>2755</v>
      </c>
      <c r="J1263" s="9" t="s">
        <v>2701</v>
      </c>
      <c r="K1263" s="205" t="s">
        <v>2702</v>
      </c>
      <c r="L1263" s="9" t="s">
        <v>2740</v>
      </c>
      <c r="M1263" s="32" t="s">
        <v>125</v>
      </c>
      <c r="N1263" s="129" t="s">
        <v>2704</v>
      </c>
      <c r="O1263" s="129" t="s">
        <v>2704</v>
      </c>
      <c r="P1263" s="123" t="str">
        <f>"C"&amp;INT((MONTH(A1263)-1)/4)+1&amp;"-"&amp;YEAR(A1263)</f>
        <v>C1-2026</v>
      </c>
      <c r="Q1263" s="124" t="str">
        <f>"T"&amp;INT((MONTH(A1263)-1)/3)+1&amp;"-"&amp;YEAR(A1263)</f>
        <v>T1-2026</v>
      </c>
      <c r="R1263" s="124" t="s">
        <v>2741</v>
      </c>
      <c r="S1263" s="124" t="s">
        <v>2723</v>
      </c>
      <c r="T1263" s="124" t="s">
        <v>2724</v>
      </c>
      <c r="U1263" s="9" t="s">
        <v>2708</v>
      </c>
      <c r="V1263" s="205" t="s">
        <v>54</v>
      </c>
      <c r="W1263" s="122" t="s">
        <v>125</v>
      </c>
      <c r="X1263" s="124" t="s">
        <v>2709</v>
      </c>
    </row>
    <row r="1264" spans="1:24">
      <c r="A1264" s="548">
        <v>46069</v>
      </c>
      <c r="B1264" s="125">
        <v>3368791307</v>
      </c>
      <c r="C1264" s="32" t="s">
        <v>2697</v>
      </c>
      <c r="D1264" s="210">
        <v>-20.12</v>
      </c>
      <c r="E1264" s="120">
        <v>1</v>
      </c>
      <c r="F1264" s="121">
        <f>Tabla5109[[#This Row],[Original Amount]]*Tabla5109[[#This Row],[ER to EUR]]</f>
        <v>-20.12</v>
      </c>
      <c r="G1264" s="9" t="s">
        <v>2830</v>
      </c>
      <c r="H1264" s="9" t="s">
        <v>4117</v>
      </c>
      <c r="I1264" s="9" t="s">
        <v>2784</v>
      </c>
      <c r="J1264" s="9" t="s">
        <v>2817</v>
      </c>
      <c r="K1264" s="205" t="s">
        <v>2702</v>
      </c>
      <c r="L1264" s="9" t="s">
        <v>2818</v>
      </c>
      <c r="M1264" s="32" t="s">
        <v>125</v>
      </c>
      <c r="N1264" s="122" t="s">
        <v>2704</v>
      </c>
      <c r="O1264" s="129" t="s">
        <v>2704</v>
      </c>
      <c r="P1264" s="123" t="str">
        <f>"C"&amp;INT((MONTH(A1264)-1)/4)+1&amp;"-"&amp;YEAR(A1264)</f>
        <v>C1-2026</v>
      </c>
      <c r="Q1264" s="124" t="str">
        <f>"T"&amp;INT((MONTH(A1264)-1)/3)+1&amp;"-"&amp;YEAR(A1264)</f>
        <v>T1-2026</v>
      </c>
      <c r="R1264" s="124" t="s">
        <v>2722</v>
      </c>
      <c r="S1264" s="124" t="s">
        <v>2723</v>
      </c>
      <c r="T1264" s="124" t="s">
        <v>2724</v>
      </c>
      <c r="U1264" s="9" t="s">
        <v>2708</v>
      </c>
      <c r="V1264" s="205" t="s">
        <v>54</v>
      </c>
      <c r="W1264" s="122" t="s">
        <v>125</v>
      </c>
      <c r="X1264" s="124" t="s">
        <v>2709</v>
      </c>
    </row>
    <row r="1265" spans="1:24">
      <c r="A1265" s="548">
        <v>46069</v>
      </c>
      <c r="B1265" s="144">
        <v>46</v>
      </c>
      <c r="C1265" s="32" t="s">
        <v>2543</v>
      </c>
      <c r="D1265" s="152">
        <v>-339000</v>
      </c>
      <c r="E1265" s="32">
        <v>9.7400000000000004E-4</v>
      </c>
      <c r="F1265" s="121">
        <f>Tabla5109[[#This Row],[Original Amount]]*Tabla5109[[#This Row],[ER to EUR]]</f>
        <v>-330.18600000000004</v>
      </c>
      <c r="G1265" s="9" t="s">
        <v>4734</v>
      </c>
      <c r="H1265" s="9" t="s">
        <v>4735</v>
      </c>
      <c r="I1265" s="9" t="s">
        <v>2713</v>
      </c>
      <c r="J1265" s="9" t="s">
        <v>3095</v>
      </c>
      <c r="K1265" s="9" t="s">
        <v>3510</v>
      </c>
      <c r="L1265" s="9" t="s">
        <v>3097</v>
      </c>
      <c r="M1265" s="32" t="s">
        <v>125</v>
      </c>
      <c r="N1265" s="122" t="s">
        <v>2748</v>
      </c>
      <c r="O1265" s="122" t="s">
        <v>2704</v>
      </c>
      <c r="P1265" s="123" t="str">
        <f>"C"&amp;INT((MONTH(A1265)-1)/4)+1&amp;"-"&amp;YEAR(A1265)</f>
        <v>C1-2026</v>
      </c>
      <c r="Q1265" s="124" t="str">
        <f>"T"&amp;INT((MONTH(A1265)-1)/3)+1&amp;"-"&amp;YEAR(A1265)</f>
        <v>T1-2026</v>
      </c>
      <c r="R1265" s="91" t="s">
        <v>2828</v>
      </c>
      <c r="S1265" s="124" t="s">
        <v>2735</v>
      </c>
      <c r="T1265" s="124" t="s">
        <v>2717</v>
      </c>
      <c r="U1265" s="9" t="s">
        <v>2708</v>
      </c>
      <c r="V1265" s="205" t="s">
        <v>56</v>
      </c>
      <c r="W1265" s="122" t="s">
        <v>125</v>
      </c>
      <c r="X1265" s="123" t="s">
        <v>2751</v>
      </c>
    </row>
    <row r="1266" spans="1:24">
      <c r="A1266" s="548">
        <v>46070</v>
      </c>
      <c r="B1266" s="133" t="s">
        <v>4652</v>
      </c>
      <c r="C1266" s="32" t="s">
        <v>2697</v>
      </c>
      <c r="D1266" s="210">
        <v>-225.78</v>
      </c>
      <c r="E1266" s="120">
        <v>1</v>
      </c>
      <c r="F1266" s="121">
        <f>Tabla5109[[#This Row],[Original Amount]]*Tabla5109[[#This Row],[ER to EUR]]</f>
        <v>-225.78</v>
      </c>
      <c r="G1266" s="9" t="s">
        <v>3116</v>
      </c>
      <c r="H1266" s="9" t="s">
        <v>4653</v>
      </c>
      <c r="I1266" s="9" t="s">
        <v>2713</v>
      </c>
      <c r="J1266" s="9" t="s">
        <v>2701</v>
      </c>
      <c r="K1266" s="205" t="s">
        <v>2702</v>
      </c>
      <c r="L1266" s="9" t="s">
        <v>2703</v>
      </c>
      <c r="M1266" s="32" t="s">
        <v>125</v>
      </c>
      <c r="N1266" s="122" t="s">
        <v>2704</v>
      </c>
      <c r="O1266" s="129" t="s">
        <v>2704</v>
      </c>
      <c r="P1266" s="123" t="str">
        <f>"C"&amp;INT((MONTH(A1266)-1)/4)+1&amp;"-"&amp;YEAR(A1266)</f>
        <v>C1-2026</v>
      </c>
      <c r="Q1266" s="124" t="str">
        <f>"T"&amp;INT((MONTH(A1266)-1)/3)+1&amp;"-"&amp;YEAR(A1266)</f>
        <v>T1-2026</v>
      </c>
      <c r="R1266" s="124" t="s">
        <v>2794</v>
      </c>
      <c r="S1266" s="124" t="s">
        <v>3041</v>
      </c>
      <c r="T1266" s="124" t="s">
        <v>2707</v>
      </c>
      <c r="U1266" s="9" t="s">
        <v>51</v>
      </c>
      <c r="V1266" s="205" t="s">
        <v>57</v>
      </c>
      <c r="W1266" s="122" t="s">
        <v>125</v>
      </c>
      <c r="X1266" s="124" t="s">
        <v>2709</v>
      </c>
    </row>
    <row r="1267" spans="1:24">
      <c r="A1267" s="548">
        <v>46070</v>
      </c>
      <c r="B1267" s="133" t="s">
        <v>4673</v>
      </c>
      <c r="C1267" s="32" t="s">
        <v>2548</v>
      </c>
      <c r="D1267" s="136">
        <v>-73.87</v>
      </c>
      <c r="E1267" s="222">
        <v>0.84359700000000004</v>
      </c>
      <c r="F1267" s="121">
        <f>Tabla5109[[#This Row],[Original Amount]]*Tabla5109[[#This Row],[ER to EUR]]</f>
        <v>-62.316510390000005</v>
      </c>
      <c r="G1267" s="9" t="s">
        <v>2786</v>
      </c>
      <c r="H1267" s="9" t="s">
        <v>4674</v>
      </c>
      <c r="I1267" s="9" t="s">
        <v>4072</v>
      </c>
      <c r="J1267" s="9" t="s">
        <v>2701</v>
      </c>
      <c r="K1267" s="205" t="s">
        <v>2702</v>
      </c>
      <c r="L1267" s="9" t="s">
        <v>2788</v>
      </c>
      <c r="M1267" s="32" t="s">
        <v>125</v>
      </c>
      <c r="N1267" s="122" t="s">
        <v>2704</v>
      </c>
      <c r="O1267" s="129" t="s">
        <v>2704</v>
      </c>
      <c r="P1267" s="123" t="str">
        <f>"C"&amp;INT((MONTH(A1267)-1)/4)+1&amp;"-"&amp;YEAR(A1267)</f>
        <v>C1-2026</v>
      </c>
      <c r="Q1267" s="124" t="str">
        <f>"T"&amp;INT((MONTH(A1267)-1)/3)+1&amp;"-"&amp;YEAR(A1267)</f>
        <v>T1-2026</v>
      </c>
      <c r="R1267" s="124" t="s">
        <v>2705</v>
      </c>
      <c r="S1267" s="124" t="s">
        <v>2706</v>
      </c>
      <c r="T1267" s="124" t="s">
        <v>2724</v>
      </c>
      <c r="U1267" s="9" t="s">
        <v>2708</v>
      </c>
      <c r="V1267" s="205" t="s">
        <v>56</v>
      </c>
      <c r="W1267" s="122" t="s">
        <v>125</v>
      </c>
      <c r="X1267" s="123" t="s">
        <v>2709</v>
      </c>
    </row>
    <row r="1268" spans="1:24">
      <c r="A1268" s="548">
        <v>46070</v>
      </c>
      <c r="B1268" s="133" t="s">
        <v>4657</v>
      </c>
      <c r="C1268" s="32" t="s">
        <v>2697</v>
      </c>
      <c r="D1268" s="210">
        <v>-108</v>
      </c>
      <c r="E1268" s="120">
        <v>1</v>
      </c>
      <c r="F1268" s="121">
        <f>Tabla5109[[#This Row],[Original Amount]]*Tabla5109[[#This Row],[ER to EUR]]</f>
        <v>-108</v>
      </c>
      <c r="G1268" s="9" t="s">
        <v>2833</v>
      </c>
      <c r="H1268" s="9" t="s">
        <v>2834</v>
      </c>
      <c r="I1268" s="9" t="s">
        <v>2713</v>
      </c>
      <c r="J1268" s="9" t="s">
        <v>2701</v>
      </c>
      <c r="K1268" s="205" t="s">
        <v>2702</v>
      </c>
      <c r="L1268" s="211" t="s">
        <v>2818</v>
      </c>
      <c r="M1268" s="32" t="s">
        <v>125</v>
      </c>
      <c r="N1268" s="122" t="s">
        <v>2704</v>
      </c>
      <c r="O1268" s="129" t="s">
        <v>2704</v>
      </c>
      <c r="P1268" s="123" t="str">
        <f>"C"&amp;INT((MONTH(A1268)-1)/4)+1&amp;"-"&amp;YEAR(A1268)</f>
        <v>C1-2026</v>
      </c>
      <c r="Q1268" s="124" t="str">
        <f>"T"&amp;INT((MONTH(A1268)-1)/3)+1&amp;"-"&amp;YEAR(A1268)</f>
        <v>T1-2026</v>
      </c>
      <c r="R1268" s="91" t="s">
        <v>2819</v>
      </c>
      <c r="S1268" s="124" t="s">
        <v>2817</v>
      </c>
      <c r="T1268" s="124" t="s">
        <v>2724</v>
      </c>
      <c r="U1268" s="9" t="s">
        <v>2708</v>
      </c>
      <c r="V1268" s="205" t="s">
        <v>54</v>
      </c>
      <c r="W1268" s="122" t="s">
        <v>125</v>
      </c>
      <c r="X1268" s="124" t="s">
        <v>2709</v>
      </c>
    </row>
    <row r="1269" spans="1:24">
      <c r="A1269" s="548">
        <v>46071</v>
      </c>
      <c r="B1269" s="133" t="s">
        <v>4670</v>
      </c>
      <c r="C1269" s="32" t="s">
        <v>2697</v>
      </c>
      <c r="D1269" s="210">
        <v>-714.33</v>
      </c>
      <c r="E1269" s="120">
        <v>1</v>
      </c>
      <c r="F1269" s="121">
        <f>Tabla5109[[#This Row],[Original Amount]]*Tabla5109[[#This Row],[ER to EUR]]</f>
        <v>-714.33</v>
      </c>
      <c r="G1269" s="9" t="s">
        <v>2753</v>
      </c>
      <c r="H1269" s="91" t="s">
        <v>4671</v>
      </c>
      <c r="I1269" s="9" t="s">
        <v>2755</v>
      </c>
      <c r="J1269" s="9" t="s">
        <v>2701</v>
      </c>
      <c r="K1269" s="205" t="s">
        <v>2702</v>
      </c>
      <c r="L1269" s="9" t="s">
        <v>2703</v>
      </c>
      <c r="M1269" s="32" t="s">
        <v>125</v>
      </c>
      <c r="N1269" s="129" t="s">
        <v>2704</v>
      </c>
      <c r="O1269" s="129" t="s">
        <v>2704</v>
      </c>
      <c r="P1269" s="123" t="str">
        <f>"C"&amp;INT((MONTH(A1269)-1)/4)+1&amp;"-"&amp;YEAR(A1269)</f>
        <v>C1-2026</v>
      </c>
      <c r="Q1269" s="124" t="str">
        <f>"T"&amp;INT((MONTH(A1269)-1)/3)+1&amp;"-"&amp;YEAR(A1269)</f>
        <v>T1-2026</v>
      </c>
      <c r="R1269" s="124" t="s">
        <v>2705</v>
      </c>
      <c r="S1269" s="124" t="s">
        <v>2706</v>
      </c>
      <c r="T1269" s="124" t="s">
        <v>2707</v>
      </c>
      <c r="U1269" s="9" t="s">
        <v>2708</v>
      </c>
      <c r="V1269" s="205" t="s">
        <v>56</v>
      </c>
      <c r="W1269" s="122" t="s">
        <v>125</v>
      </c>
      <c r="X1269" s="124" t="s">
        <v>2709</v>
      </c>
    </row>
    <row r="1270" spans="1:24">
      <c r="A1270" s="548">
        <v>46071</v>
      </c>
      <c r="B1270" s="133" t="s">
        <v>4651</v>
      </c>
      <c r="C1270" s="32" t="s">
        <v>2697</v>
      </c>
      <c r="D1270" s="210">
        <v>-266.77</v>
      </c>
      <c r="E1270" s="120">
        <v>1</v>
      </c>
      <c r="F1270" s="121">
        <f>Tabla5109[[#This Row],[Original Amount]]*Tabla5109[[#This Row],[ER to EUR]]</f>
        <v>-266.77</v>
      </c>
      <c r="G1270" s="9" t="s">
        <v>2839</v>
      </c>
      <c r="H1270" s="9" t="s">
        <v>2840</v>
      </c>
      <c r="I1270" s="9" t="s">
        <v>2784</v>
      </c>
      <c r="J1270" s="9" t="s">
        <v>2701</v>
      </c>
      <c r="K1270" s="205" t="s">
        <v>2702</v>
      </c>
      <c r="L1270" s="9" t="s">
        <v>2703</v>
      </c>
      <c r="M1270" s="32" t="s">
        <v>125</v>
      </c>
      <c r="N1270" s="129" t="s">
        <v>2704</v>
      </c>
      <c r="O1270" s="122" t="s">
        <v>2704</v>
      </c>
      <c r="P1270" s="123" t="str">
        <f>"C"&amp;INT((MONTH(A1270)-1)/4)+1&amp;"-"&amp;YEAR(A1270)</f>
        <v>C1-2026</v>
      </c>
      <c r="Q1270" s="124" t="str">
        <f>"T"&amp;INT((MONTH(A1270)-1)/3)+1&amp;"-"&amp;YEAR(A1270)</f>
        <v>T1-2026</v>
      </c>
      <c r="R1270" s="124" t="s">
        <v>2705</v>
      </c>
      <c r="S1270" s="124" t="s">
        <v>2706</v>
      </c>
      <c r="T1270" s="124" t="s">
        <v>2707</v>
      </c>
      <c r="U1270" s="9" t="s">
        <v>2708</v>
      </c>
      <c r="V1270" s="205" t="s">
        <v>57</v>
      </c>
      <c r="W1270" s="122" t="s">
        <v>125</v>
      </c>
      <c r="X1270" s="124" t="s">
        <v>2709</v>
      </c>
    </row>
    <row r="1271" spans="1:24">
      <c r="A1271" s="548">
        <v>46071</v>
      </c>
      <c r="B1271" s="133" t="s">
        <v>4654</v>
      </c>
      <c r="C1271" s="32" t="s">
        <v>2543</v>
      </c>
      <c r="D1271" s="152">
        <v>-70000</v>
      </c>
      <c r="E1271" s="32">
        <v>9.7400000000000004E-4</v>
      </c>
      <c r="F1271" s="121">
        <f>Tabla5109[[#This Row],[Original Amount]]*Tabla5109[[#This Row],[ER to EUR]]</f>
        <v>-68.180000000000007</v>
      </c>
      <c r="G1271" s="9" t="s">
        <v>4655</v>
      </c>
      <c r="H1271" s="9" t="s">
        <v>4656</v>
      </c>
      <c r="I1271" s="9" t="s">
        <v>3354</v>
      </c>
      <c r="J1271" s="91" t="s">
        <v>2825</v>
      </c>
      <c r="K1271" s="196" t="s">
        <v>2826</v>
      </c>
      <c r="L1271" s="91" t="s">
        <v>2827</v>
      </c>
      <c r="M1271" s="232" t="s">
        <v>125</v>
      </c>
      <c r="N1271" s="129" t="s">
        <v>2704</v>
      </c>
      <c r="O1271" s="129" t="s">
        <v>2704</v>
      </c>
      <c r="P1271" s="123" t="str">
        <f>"C"&amp;INT((MONTH(A1271)-1)/4)+1&amp;"-"&amp;YEAR(A1271)</f>
        <v>C1-2026</v>
      </c>
      <c r="Q1271" s="124" t="str">
        <f>"T"&amp;INT((MONTH(A1271)-1)/3)+1&amp;"-"&amp;YEAR(A1271)</f>
        <v>T1-2026</v>
      </c>
      <c r="R1271" s="124" t="s">
        <v>2705</v>
      </c>
      <c r="S1271" s="124" t="s">
        <v>2706</v>
      </c>
      <c r="T1271" s="124" t="s">
        <v>2717</v>
      </c>
      <c r="U1271" s="91" t="s">
        <v>2708</v>
      </c>
      <c r="V1271" s="196" t="s">
        <v>56</v>
      </c>
      <c r="W1271" s="129" t="s">
        <v>125</v>
      </c>
      <c r="X1271" s="123" t="s">
        <v>2751</v>
      </c>
    </row>
    <row r="1272" spans="1:24">
      <c r="A1272" s="548">
        <v>46071</v>
      </c>
      <c r="B1272" s="125">
        <v>7137238</v>
      </c>
      <c r="C1272" s="32" t="s">
        <v>2543</v>
      </c>
      <c r="D1272" s="152">
        <v>-58205</v>
      </c>
      <c r="E1272" s="32">
        <v>9.7400000000000004E-4</v>
      </c>
      <c r="F1272" s="121">
        <f>Tabla5109[[#This Row],[Original Amount]]*Tabla5109[[#This Row],[ER to EUR]]</f>
        <v>-56.691670000000002</v>
      </c>
      <c r="G1272" s="9" t="s">
        <v>2823</v>
      </c>
      <c r="H1272" s="9" t="s">
        <v>4817</v>
      </c>
      <c r="I1272" s="9" t="s">
        <v>3288</v>
      </c>
      <c r="J1272" s="9" t="s">
        <v>2825</v>
      </c>
      <c r="K1272" s="205" t="s">
        <v>2826</v>
      </c>
      <c r="L1272" s="9" t="s">
        <v>2827</v>
      </c>
      <c r="M1272" s="227" t="s">
        <v>2704</v>
      </c>
      <c r="N1272" s="129" t="s">
        <v>2748</v>
      </c>
      <c r="O1272" s="122" t="s">
        <v>2704</v>
      </c>
      <c r="P1272" s="123" t="str">
        <f>"C"&amp;INT((MONTH(A1272)-1)/4)+1&amp;"-"&amp;YEAR(A1272)</f>
        <v>C1-2026</v>
      </c>
      <c r="Q1272" s="124" t="str">
        <f>"T"&amp;INT((MONTH(A1272)-1)/3)+1&amp;"-"&amp;YEAR(A1272)</f>
        <v>T1-2026</v>
      </c>
      <c r="R1272" s="124" t="s">
        <v>2705</v>
      </c>
      <c r="S1272" s="124" t="s">
        <v>2706</v>
      </c>
      <c r="T1272" s="124" t="s">
        <v>2717</v>
      </c>
      <c r="U1272" s="9" t="s">
        <v>2708</v>
      </c>
      <c r="V1272" s="205" t="s">
        <v>56</v>
      </c>
      <c r="W1272" s="122" t="s">
        <v>125</v>
      </c>
      <c r="X1272" s="124" t="s">
        <v>2751</v>
      </c>
    </row>
    <row r="1273" spans="1:24">
      <c r="A1273" s="548">
        <v>46071</v>
      </c>
      <c r="B1273" s="568">
        <v>14</v>
      </c>
      <c r="C1273" s="32" t="s">
        <v>2697</v>
      </c>
      <c r="D1273" s="210">
        <v>-1666</v>
      </c>
      <c r="E1273" s="120">
        <v>1</v>
      </c>
      <c r="F1273" s="121">
        <f>Tabla5109[[#This Row],[Original Amount]]*Tabla5109[[#This Row],[ER to EUR]]</f>
        <v>-1666</v>
      </c>
      <c r="G1273" s="9" t="s">
        <v>4838</v>
      </c>
      <c r="H1273" s="9" t="s">
        <v>4839</v>
      </c>
      <c r="I1273" s="9" t="s">
        <v>2727</v>
      </c>
      <c r="J1273" s="9" t="s">
        <v>2714</v>
      </c>
      <c r="K1273" s="205" t="s">
        <v>2747</v>
      </c>
      <c r="L1273" s="9" t="s">
        <v>2864</v>
      </c>
      <c r="M1273" s="32" t="s">
        <v>125</v>
      </c>
      <c r="N1273" s="122" t="s">
        <v>2704</v>
      </c>
      <c r="O1273" s="129" t="s">
        <v>2704</v>
      </c>
      <c r="P1273" s="123" t="str">
        <f>"C"&amp;INT((MONTH(A1273)-1)/4)+1&amp;"-"&amp;YEAR(A1273)</f>
        <v>C1-2026</v>
      </c>
      <c r="Q1273" s="124" t="str">
        <f>"T"&amp;INT((MONTH(A1273)-1)/3)+1&amp;"-"&amp;YEAR(A1273)</f>
        <v>T1-2026</v>
      </c>
      <c r="R1273" s="91" t="s">
        <v>2705</v>
      </c>
      <c r="S1273" s="124" t="s">
        <v>2706</v>
      </c>
      <c r="T1273" s="9" t="s">
        <v>2724</v>
      </c>
      <c r="U1273" s="9" t="s">
        <v>2708</v>
      </c>
      <c r="V1273" s="205" t="s">
        <v>56</v>
      </c>
      <c r="W1273" s="122" t="s">
        <v>125</v>
      </c>
      <c r="X1273" s="123" t="s">
        <v>2709</v>
      </c>
    </row>
    <row r="1274" spans="1:24">
      <c r="A1274" s="548">
        <v>46072</v>
      </c>
      <c r="B1274" s="133" t="s">
        <v>4774</v>
      </c>
      <c r="C1274" s="32" t="s">
        <v>2697</v>
      </c>
      <c r="D1274" s="210">
        <v>-192.44</v>
      </c>
      <c r="E1274" s="120">
        <v>1</v>
      </c>
      <c r="F1274" s="121">
        <f>Tabla5109[[#This Row],[Original Amount]]*Tabla5109[[#This Row],[ER to EUR]]</f>
        <v>-192.44</v>
      </c>
      <c r="G1274" s="9" t="s">
        <v>2766</v>
      </c>
      <c r="H1274" s="9" t="s">
        <v>4306</v>
      </c>
      <c r="I1274" s="9" t="s">
        <v>2713</v>
      </c>
      <c r="J1274" s="9" t="s">
        <v>2701</v>
      </c>
      <c r="K1274" s="205" t="s">
        <v>2702</v>
      </c>
      <c r="L1274" s="9" t="s">
        <v>2760</v>
      </c>
      <c r="M1274" s="32" t="s">
        <v>125</v>
      </c>
      <c r="N1274" s="122" t="s">
        <v>2704</v>
      </c>
      <c r="O1274" s="122" t="s">
        <v>2704</v>
      </c>
      <c r="P1274" s="123" t="str">
        <f>"C"&amp;INT((MONTH(A1274)-1)/4)+1&amp;"-"&amp;YEAR(A1274)</f>
        <v>C1-2026</v>
      </c>
      <c r="Q1274" s="124" t="str">
        <f>"T"&amp;INT((MONTH(A1274)-1)/3)+1&amp;"-"&amp;YEAR(A1274)</f>
        <v>T1-2026</v>
      </c>
      <c r="R1274" s="124" t="s">
        <v>2705</v>
      </c>
      <c r="S1274" s="124" t="s">
        <v>2735</v>
      </c>
      <c r="T1274" s="124" t="s">
        <v>2724</v>
      </c>
      <c r="U1274" s="9" t="s">
        <v>2708</v>
      </c>
      <c r="V1274" s="205" t="s">
        <v>55</v>
      </c>
      <c r="W1274" s="122" t="s">
        <v>125</v>
      </c>
      <c r="X1274" s="124" t="s">
        <v>2709</v>
      </c>
    </row>
    <row r="1275" spans="1:24">
      <c r="A1275" s="548">
        <v>46072</v>
      </c>
      <c r="B1275" s="125">
        <v>5300328532</v>
      </c>
      <c r="C1275" s="32" t="s">
        <v>2697</v>
      </c>
      <c r="D1275" s="210">
        <v>-47.6</v>
      </c>
      <c r="E1275" s="120">
        <v>1</v>
      </c>
      <c r="F1275" s="121">
        <f>Tabla5109[[#This Row],[Original Amount]]*Tabla5109[[#This Row],[ER to EUR]]</f>
        <v>-47.6</v>
      </c>
      <c r="G1275" s="9" t="s">
        <v>4715</v>
      </c>
      <c r="H1275" s="9" t="s">
        <v>4716</v>
      </c>
      <c r="I1275" s="9" t="s">
        <v>4717</v>
      </c>
      <c r="J1275" s="9" t="s">
        <v>2770</v>
      </c>
      <c r="K1275" s="205" t="s">
        <v>2702</v>
      </c>
      <c r="L1275" s="9" t="s">
        <v>2772</v>
      </c>
      <c r="M1275" s="32" t="s">
        <v>125</v>
      </c>
      <c r="N1275" s="129" t="s">
        <v>2748</v>
      </c>
      <c r="O1275" s="122" t="s">
        <v>2748</v>
      </c>
      <c r="P1275" s="123" t="str">
        <f>"C"&amp;INT((MONTH(A1275)-1)/4)+1&amp;"-"&amp;YEAR(A1275)</f>
        <v>C1-2026</v>
      </c>
      <c r="Q1275" s="124" t="str">
        <f>"T"&amp;INT((MONTH(A1275)-1)/3)+1&amp;"-"&amp;YEAR(A1275)</f>
        <v>T1-2026</v>
      </c>
      <c r="R1275" s="91" t="s">
        <v>6009</v>
      </c>
      <c r="S1275" s="124" t="s">
        <v>2750</v>
      </c>
      <c r="T1275" s="124" t="s">
        <v>2717</v>
      </c>
      <c r="U1275" s="9" t="s">
        <v>2708</v>
      </c>
      <c r="V1275" s="205" t="s">
        <v>56</v>
      </c>
      <c r="W1275" s="122" t="s">
        <v>125</v>
      </c>
      <c r="X1275" s="124" t="s">
        <v>2709</v>
      </c>
    </row>
    <row r="1276" spans="1:24">
      <c r="A1276" s="548">
        <v>46072</v>
      </c>
      <c r="B1276" s="133" t="s">
        <v>4822</v>
      </c>
      <c r="C1276" s="32" t="s">
        <v>2697</v>
      </c>
      <c r="D1276" s="210">
        <v>-42.25</v>
      </c>
      <c r="E1276" s="120">
        <v>1</v>
      </c>
      <c r="F1276" s="121">
        <f>Tabla5109[[#This Row],[Original Amount]]*Tabla5109[[#This Row],[ER to EUR]]</f>
        <v>-42.25</v>
      </c>
      <c r="G1276" s="9" t="s">
        <v>3770</v>
      </c>
      <c r="H1276" s="9" t="s">
        <v>4823</v>
      </c>
      <c r="I1276" s="9" t="s">
        <v>4905</v>
      </c>
      <c r="J1276" s="9" t="s">
        <v>2714</v>
      </c>
      <c r="K1276" s="205" t="s">
        <v>2747</v>
      </c>
      <c r="L1276" s="9" t="s">
        <v>2716</v>
      </c>
      <c r="M1276" s="32" t="s">
        <v>125</v>
      </c>
      <c r="N1276" s="122" t="s">
        <v>2704</v>
      </c>
      <c r="O1276" s="129" t="s">
        <v>2704</v>
      </c>
      <c r="P1276" s="123" t="str">
        <f>"C"&amp;INT((MONTH(A1276)-1)/4)+1&amp;"-"&amp;YEAR(A1276)</f>
        <v>C1-2026</v>
      </c>
      <c r="Q1276" s="124" t="str">
        <f>"T"&amp;INT((MONTH(A1276)-1)/3)+1&amp;"-"&amp;YEAR(A1276)</f>
        <v>T1-2026</v>
      </c>
      <c r="R1276" s="91" t="s">
        <v>2794</v>
      </c>
      <c r="S1276" s="124" t="s">
        <v>2731</v>
      </c>
      <c r="T1276" s="124" t="s">
        <v>2707</v>
      </c>
      <c r="U1276" s="9" t="s">
        <v>51</v>
      </c>
      <c r="V1276" s="205" t="s">
        <v>57</v>
      </c>
      <c r="W1276" s="122" t="s">
        <v>125</v>
      </c>
      <c r="X1276" s="124" t="s">
        <v>2709</v>
      </c>
    </row>
    <row r="1277" spans="1:24">
      <c r="A1277" s="548">
        <v>46073</v>
      </c>
      <c r="B1277" s="133" t="s">
        <v>4775</v>
      </c>
      <c r="C1277" s="129" t="s">
        <v>2697</v>
      </c>
      <c r="D1277" s="210">
        <v>-19.329999999999998</v>
      </c>
      <c r="E1277" s="32">
        <v>1</v>
      </c>
      <c r="F1277" s="121">
        <f>Tabla5109[[#This Row],[Original Amount]]*Tabla5109[[#This Row],[ER to EUR]]</f>
        <v>-19.329999999999998</v>
      </c>
      <c r="G1277" s="91" t="s">
        <v>2996</v>
      </c>
      <c r="H1277" s="91" t="s">
        <v>2997</v>
      </c>
      <c r="I1277" s="91" t="s">
        <v>2727</v>
      </c>
      <c r="J1277" s="91" t="s">
        <v>2701</v>
      </c>
      <c r="K1277" s="196" t="s">
        <v>2702</v>
      </c>
      <c r="L1277" s="91" t="s">
        <v>2703</v>
      </c>
      <c r="M1277" s="32" t="s">
        <v>125</v>
      </c>
      <c r="N1277" s="129" t="s">
        <v>2704</v>
      </c>
      <c r="O1277" s="129" t="s">
        <v>2704</v>
      </c>
      <c r="P1277" s="123" t="str">
        <f>"C"&amp;INT((MONTH(A1277)-1)/4)+1&amp;"-"&amp;YEAR(A1277)</f>
        <v>C1-2026</v>
      </c>
      <c r="Q1277" s="124" t="str">
        <f>"T"&amp;INT((MONTH(A1277)-1)/3)+1&amp;"-"&amp;YEAR(A1277)</f>
        <v>T1-2026</v>
      </c>
      <c r="R1277" s="124" t="s">
        <v>2705</v>
      </c>
      <c r="S1277" s="124" t="s">
        <v>2735</v>
      </c>
      <c r="T1277" s="124" t="s">
        <v>2724</v>
      </c>
      <c r="U1277" s="9" t="s">
        <v>2708</v>
      </c>
      <c r="V1277" s="205" t="s">
        <v>56</v>
      </c>
      <c r="W1277" s="122" t="s">
        <v>125</v>
      </c>
      <c r="X1277" s="124" t="s">
        <v>2709</v>
      </c>
    </row>
    <row r="1278" spans="1:24">
      <c r="A1278" s="548">
        <v>46073</v>
      </c>
      <c r="B1278" s="144">
        <v>48</v>
      </c>
      <c r="C1278" s="32" t="s">
        <v>2543</v>
      </c>
      <c r="D1278" s="152">
        <v>-300862</v>
      </c>
      <c r="E1278" s="32">
        <v>9.7400000000000004E-4</v>
      </c>
      <c r="F1278" s="121">
        <f>Tabla5109[[#This Row],[Original Amount]]*Tabla5109[[#This Row],[ER to EUR]]</f>
        <v>-293.03958800000004</v>
      </c>
      <c r="G1278" s="9" t="s">
        <v>4734</v>
      </c>
      <c r="H1278" s="9" t="s">
        <v>4735</v>
      </c>
      <c r="I1278" s="9" t="s">
        <v>2713</v>
      </c>
      <c r="J1278" s="9" t="s">
        <v>3095</v>
      </c>
      <c r="K1278" s="9" t="s">
        <v>3510</v>
      </c>
      <c r="L1278" s="9" t="s">
        <v>3097</v>
      </c>
      <c r="M1278" s="32" t="s">
        <v>125</v>
      </c>
      <c r="N1278" s="122" t="s">
        <v>2748</v>
      </c>
      <c r="O1278" s="122" t="s">
        <v>2704</v>
      </c>
      <c r="P1278" s="123" t="str">
        <f>"C"&amp;INT((MONTH(A1278)-1)/4)+1&amp;"-"&amp;YEAR(A1278)</f>
        <v>C1-2026</v>
      </c>
      <c r="Q1278" s="124" t="str">
        <f>"T"&amp;INT((MONTH(A1278)-1)/3)+1&amp;"-"&amp;YEAR(A1278)</f>
        <v>T1-2026</v>
      </c>
      <c r="R1278" s="91" t="s">
        <v>2828</v>
      </c>
      <c r="S1278" s="124" t="s">
        <v>2735</v>
      </c>
      <c r="T1278" s="124" t="s">
        <v>2717</v>
      </c>
      <c r="U1278" s="9" t="s">
        <v>2708</v>
      </c>
      <c r="V1278" s="205" t="s">
        <v>56</v>
      </c>
      <c r="W1278" s="122" t="s">
        <v>125</v>
      </c>
      <c r="X1278" s="123" t="s">
        <v>2751</v>
      </c>
    </row>
    <row r="1279" spans="1:24">
      <c r="A1279" s="548">
        <v>46073</v>
      </c>
      <c r="B1279" s="133" t="s">
        <v>4869</v>
      </c>
      <c r="C1279" s="32" t="s">
        <v>2548</v>
      </c>
      <c r="D1279" s="136">
        <v>-100</v>
      </c>
      <c r="E1279" s="222">
        <v>0.84359700000000004</v>
      </c>
      <c r="F1279" s="121">
        <f>Tabla5109[[#This Row],[Original Amount]]*Tabla5109[[#This Row],[ER to EUR]]</f>
        <v>-84.359700000000004</v>
      </c>
      <c r="G1279" s="9" t="s">
        <v>2766</v>
      </c>
      <c r="H1279" s="9" t="s">
        <v>4221</v>
      </c>
      <c r="I1279" s="9" t="s">
        <v>2713</v>
      </c>
      <c r="J1279" s="9" t="s">
        <v>2701</v>
      </c>
      <c r="K1279" s="205" t="s">
        <v>2702</v>
      </c>
      <c r="L1279" s="9" t="s">
        <v>2760</v>
      </c>
      <c r="M1279" s="32" t="s">
        <v>125</v>
      </c>
      <c r="N1279" s="122" t="s">
        <v>2704</v>
      </c>
      <c r="O1279" s="122" t="s">
        <v>2704</v>
      </c>
      <c r="P1279" s="123" t="str">
        <f>"C"&amp;INT((MONTH(A1279)-1)/4)+1&amp;"-"&amp;YEAR(A1279)</f>
        <v>C1-2026</v>
      </c>
      <c r="Q1279" s="124" t="str">
        <f>"T"&amp;INT((MONTH(A1279)-1)/3)+1&amp;"-"&amp;YEAR(A1279)</f>
        <v>T1-2026</v>
      </c>
      <c r="R1279" s="124" t="s">
        <v>2705</v>
      </c>
      <c r="S1279" s="124" t="s">
        <v>2735</v>
      </c>
      <c r="T1279" s="124" t="s">
        <v>2724</v>
      </c>
      <c r="U1279" s="9" t="s">
        <v>2708</v>
      </c>
      <c r="V1279" s="205" t="s">
        <v>55</v>
      </c>
      <c r="W1279" s="122" t="s">
        <v>125</v>
      </c>
      <c r="X1279" s="124" t="s">
        <v>2709</v>
      </c>
    </row>
    <row r="1280" spans="1:24">
      <c r="A1280" s="548">
        <v>46074</v>
      </c>
      <c r="B1280" s="125">
        <v>781207580766</v>
      </c>
      <c r="C1280" s="32" t="s">
        <v>2697</v>
      </c>
      <c r="D1280" s="210">
        <v>-43.38</v>
      </c>
      <c r="E1280" s="120">
        <v>1</v>
      </c>
      <c r="F1280" s="121">
        <f>Tabla5109[[#This Row],[Original Amount]]*Tabla5109[[#This Row],[ER to EUR]]</f>
        <v>-43.38</v>
      </c>
      <c r="G1280" s="9" t="s">
        <v>2718</v>
      </c>
      <c r="H1280" s="9" t="s">
        <v>3868</v>
      </c>
      <c r="I1280" s="9" t="s">
        <v>2755</v>
      </c>
      <c r="J1280" s="9" t="s">
        <v>2714</v>
      </c>
      <c r="K1280" s="205" t="s">
        <v>2721</v>
      </c>
      <c r="L1280" s="9" t="s">
        <v>2716</v>
      </c>
      <c r="M1280" s="32" t="s">
        <v>125</v>
      </c>
      <c r="N1280" s="129" t="s">
        <v>2748</v>
      </c>
      <c r="O1280" s="122" t="s">
        <v>2748</v>
      </c>
      <c r="P1280" s="123" t="str">
        <f>"C"&amp;INT((MONTH(A1280)-1)/4)+1&amp;"-"&amp;YEAR(A1280)</f>
        <v>C1-2026</v>
      </c>
      <c r="Q1280" s="124" t="str">
        <f>"T"&amp;INT((MONTH(A1280)-1)/3)+1&amp;"-"&amp;YEAR(A1280)</f>
        <v>T1-2026</v>
      </c>
      <c r="R1280" s="124" t="s">
        <v>2722</v>
      </c>
      <c r="S1280" s="124" t="s">
        <v>2723</v>
      </c>
      <c r="T1280" s="124" t="s">
        <v>2724</v>
      </c>
      <c r="U1280" s="9" t="s">
        <v>2708</v>
      </c>
      <c r="V1280" s="205" t="s">
        <v>54</v>
      </c>
      <c r="W1280" s="122" t="s">
        <v>125</v>
      </c>
      <c r="X1280" s="124" t="s">
        <v>2709</v>
      </c>
    </row>
    <row r="1281" spans="1:24">
      <c r="A1281" s="548">
        <v>46074</v>
      </c>
      <c r="B1281" s="125">
        <v>28</v>
      </c>
      <c r="C1281" s="32" t="s">
        <v>2543</v>
      </c>
      <c r="D1281" s="152">
        <v>-1456000</v>
      </c>
      <c r="E1281" s="32">
        <v>9.7400000000000004E-4</v>
      </c>
      <c r="F1281" s="121">
        <f>Tabla5109[[#This Row],[Original Amount]]*Tabla5109[[#This Row],[ER to EUR]]</f>
        <v>-1418.144</v>
      </c>
      <c r="G1281" s="9" t="s">
        <v>3566</v>
      </c>
      <c r="H1281" s="9" t="s">
        <v>4000</v>
      </c>
      <c r="I1281" s="9" t="s">
        <v>2713</v>
      </c>
      <c r="J1281" s="9" t="s">
        <v>2714</v>
      </c>
      <c r="K1281" s="205" t="s">
        <v>2747</v>
      </c>
      <c r="L1281" s="9" t="s">
        <v>2864</v>
      </c>
      <c r="M1281" s="226" t="s">
        <v>2748</v>
      </c>
      <c r="N1281" s="129" t="s">
        <v>2704</v>
      </c>
      <c r="O1281" s="129" t="s">
        <v>2704</v>
      </c>
      <c r="P1281" s="123" t="str">
        <f>"C"&amp;INT((MONTH(A1281)-1)/4)+1&amp;"-"&amp;YEAR(A1281)</f>
        <v>C1-2026</v>
      </c>
      <c r="Q1281" s="124" t="str">
        <f>"T"&amp;INT((MONTH(A1281)-1)/3)+1&amp;"-"&amp;YEAR(A1281)</f>
        <v>T1-2026</v>
      </c>
      <c r="R1281" s="124" t="s">
        <v>2705</v>
      </c>
      <c r="S1281" s="124" t="s">
        <v>2706</v>
      </c>
      <c r="T1281" s="124" t="s">
        <v>2724</v>
      </c>
      <c r="U1281" s="9" t="s">
        <v>2708</v>
      </c>
      <c r="V1281" s="205" t="s">
        <v>56</v>
      </c>
      <c r="W1281" s="122" t="s">
        <v>125</v>
      </c>
      <c r="X1281" s="123" t="s">
        <v>2709</v>
      </c>
    </row>
    <row r="1282" spans="1:24">
      <c r="A1282" s="548">
        <v>46074</v>
      </c>
      <c r="B1282" s="144">
        <v>6228</v>
      </c>
      <c r="C1282" s="32" t="s">
        <v>2543</v>
      </c>
      <c r="D1282" s="152">
        <v>-248400</v>
      </c>
      <c r="E1282" s="32">
        <v>9.7400000000000004E-4</v>
      </c>
      <c r="F1282" s="121">
        <f>Tabla5109[[#This Row],[Original Amount]]*Tabla5109[[#This Row],[ER to EUR]]</f>
        <v>-241.94160000000002</v>
      </c>
      <c r="G1282" s="9" t="s">
        <v>4732</v>
      </c>
      <c r="H1282" s="9" t="s">
        <v>4733</v>
      </c>
      <c r="I1282" s="9" t="s">
        <v>2713</v>
      </c>
      <c r="J1282" s="9" t="s">
        <v>2825</v>
      </c>
      <c r="K1282" s="205" t="s">
        <v>2826</v>
      </c>
      <c r="L1282" s="9" t="s">
        <v>2827</v>
      </c>
      <c r="M1282" s="32" t="s">
        <v>125</v>
      </c>
      <c r="N1282" s="129" t="s">
        <v>2704</v>
      </c>
      <c r="O1282" s="122" t="s">
        <v>2704</v>
      </c>
      <c r="P1282" s="123" t="str">
        <f>"C"&amp;INT((MONTH(A1282)-1)/4)+1&amp;"-"&amp;YEAR(A1282)</f>
        <v>C1-2026</v>
      </c>
      <c r="Q1282" s="124" t="str">
        <f>"T"&amp;INT((MONTH(A1282)-1)/3)+1&amp;"-"&amp;YEAR(A1282)</f>
        <v>T1-2026</v>
      </c>
      <c r="R1282" s="91" t="s">
        <v>2828</v>
      </c>
      <c r="S1282" s="124" t="s">
        <v>2735</v>
      </c>
      <c r="T1282" s="124" t="s">
        <v>2717</v>
      </c>
      <c r="U1282" s="9" t="s">
        <v>2708</v>
      </c>
      <c r="V1282" s="205" t="s">
        <v>56</v>
      </c>
      <c r="W1282" s="122" t="s">
        <v>125</v>
      </c>
      <c r="X1282" s="124" t="s">
        <v>2751</v>
      </c>
    </row>
    <row r="1283" spans="1:24">
      <c r="A1283" s="548">
        <v>46075</v>
      </c>
      <c r="B1283" s="125">
        <v>26252222</v>
      </c>
      <c r="C1283" s="32" t="s">
        <v>2543</v>
      </c>
      <c r="D1283" s="152">
        <v>-43809</v>
      </c>
      <c r="E1283" s="32">
        <v>9.7400000000000004E-4</v>
      </c>
      <c r="F1283" s="121">
        <f>Tabla5109[[#This Row],[Original Amount]]*Tabla5109[[#This Row],[ER to EUR]]</f>
        <v>-42.669966000000002</v>
      </c>
      <c r="G1283" s="9" t="s">
        <v>4713</v>
      </c>
      <c r="H1283" s="9" t="s">
        <v>4714</v>
      </c>
      <c r="I1283" s="9" t="s">
        <v>2945</v>
      </c>
      <c r="J1283" s="91" t="s">
        <v>2825</v>
      </c>
      <c r="K1283" s="196" t="s">
        <v>2826</v>
      </c>
      <c r="L1283" s="91" t="s">
        <v>2827</v>
      </c>
      <c r="M1283" s="232" t="s">
        <v>125</v>
      </c>
      <c r="N1283" s="129" t="s">
        <v>2704</v>
      </c>
      <c r="O1283" s="129" t="s">
        <v>2704</v>
      </c>
      <c r="P1283" s="123" t="str">
        <f>"C"&amp;INT((MONTH(A1283)-1)/4)+1&amp;"-"&amp;YEAR(A1283)</f>
        <v>C1-2026</v>
      </c>
      <c r="Q1283" s="124" t="str">
        <f>"T"&amp;INT((MONTH(A1283)-1)/3)+1&amp;"-"&amp;YEAR(A1283)</f>
        <v>T1-2026</v>
      </c>
      <c r="R1283" s="124" t="s">
        <v>2705</v>
      </c>
      <c r="S1283" s="124" t="s">
        <v>2706</v>
      </c>
      <c r="T1283" s="124" t="s">
        <v>2717</v>
      </c>
      <c r="U1283" s="91" t="s">
        <v>2708</v>
      </c>
      <c r="V1283" s="196" t="s">
        <v>56</v>
      </c>
      <c r="W1283" s="129" t="s">
        <v>125</v>
      </c>
      <c r="X1283" s="124" t="s">
        <v>2751</v>
      </c>
    </row>
    <row r="1284" spans="1:24">
      <c r="A1284" s="548">
        <v>46076</v>
      </c>
      <c r="B1284" s="133" t="s">
        <v>4736</v>
      </c>
      <c r="C1284" s="32" t="s">
        <v>2697</v>
      </c>
      <c r="D1284" s="210">
        <v>-158.51</v>
      </c>
      <c r="E1284" s="120">
        <v>1</v>
      </c>
      <c r="F1284" s="121">
        <f>Tabla5109[[#This Row],[Original Amount]]*Tabla5109[[#This Row],[ER to EUR]]</f>
        <v>-158.51</v>
      </c>
      <c r="G1284" s="9" t="s">
        <v>3128</v>
      </c>
      <c r="H1284" s="9" t="s">
        <v>4003</v>
      </c>
      <c r="I1284" s="9" t="s">
        <v>2755</v>
      </c>
      <c r="J1284" s="9" t="s">
        <v>2701</v>
      </c>
      <c r="K1284" s="205" t="s">
        <v>2702</v>
      </c>
      <c r="L1284" s="9" t="s">
        <v>2703</v>
      </c>
      <c r="M1284" s="32" t="s">
        <v>125</v>
      </c>
      <c r="N1284" s="129" t="s">
        <v>2704</v>
      </c>
      <c r="O1284" s="122" t="s">
        <v>2704</v>
      </c>
      <c r="P1284" s="123" t="str">
        <f>"C"&amp;INT((MONTH(A1284)-1)/4)+1&amp;"-"&amp;YEAR(A1284)</f>
        <v>C1-2026</v>
      </c>
      <c r="Q1284" s="124" t="str">
        <f>"T"&amp;INT((MONTH(A1284)-1)/3)+1&amp;"-"&amp;YEAR(A1284)</f>
        <v>T1-2026</v>
      </c>
      <c r="R1284" s="124" t="s">
        <v>2741</v>
      </c>
      <c r="S1284" s="124" t="s">
        <v>2723</v>
      </c>
      <c r="T1284" s="124" t="s">
        <v>2707</v>
      </c>
      <c r="U1284" s="9" t="s">
        <v>2708</v>
      </c>
      <c r="V1284" s="205" t="s">
        <v>54</v>
      </c>
      <c r="W1284" s="122" t="s">
        <v>125</v>
      </c>
      <c r="X1284" s="124" t="s">
        <v>2709</v>
      </c>
    </row>
    <row r="1285" spans="1:24">
      <c r="A1285" s="548">
        <v>46076</v>
      </c>
      <c r="B1285" s="133" t="s">
        <v>4780</v>
      </c>
      <c r="C1285" s="32" t="s">
        <v>2697</v>
      </c>
      <c r="D1285" s="210">
        <v>-379</v>
      </c>
      <c r="E1285" s="120">
        <v>1</v>
      </c>
      <c r="F1285" s="121">
        <f>Tabla5109[[#This Row],[Original Amount]]*Tabla5109[[#This Row],[ER to EUR]]</f>
        <v>-379</v>
      </c>
      <c r="G1285" s="9" t="s">
        <v>3140</v>
      </c>
      <c r="H1285" s="9" t="s">
        <v>4210</v>
      </c>
      <c r="I1285" s="9" t="s">
        <v>2727</v>
      </c>
      <c r="J1285" s="9" t="s">
        <v>2770</v>
      </c>
      <c r="K1285" s="205" t="s">
        <v>2702</v>
      </c>
      <c r="L1285" s="9" t="s">
        <v>3142</v>
      </c>
      <c r="M1285" s="32" t="s">
        <v>125</v>
      </c>
      <c r="N1285" s="129" t="s">
        <v>2704</v>
      </c>
      <c r="O1285" s="122" t="s">
        <v>2704</v>
      </c>
      <c r="P1285" s="123" t="str">
        <f>"C"&amp;INT((MONTH(A1285)-1)/4)+1&amp;"-"&amp;YEAR(A1285)</f>
        <v>C1-2026</v>
      </c>
      <c r="Q1285" s="124" t="str">
        <f>"T"&amp;INT((MONTH(A1285)-1)/3)+1&amp;"-"&amp;YEAR(A1285)</f>
        <v>T1-2026</v>
      </c>
      <c r="R1285" s="91" t="s">
        <v>2749</v>
      </c>
      <c r="S1285" s="124" t="s">
        <v>2750</v>
      </c>
      <c r="T1285" s="124" t="s">
        <v>2724</v>
      </c>
      <c r="U1285" s="9" t="s">
        <v>2708</v>
      </c>
      <c r="V1285" s="205" t="s">
        <v>54</v>
      </c>
      <c r="W1285" s="122" t="s">
        <v>125</v>
      </c>
      <c r="X1285" s="124" t="s">
        <v>2709</v>
      </c>
    </row>
    <row r="1286" spans="1:24">
      <c r="A1286" s="548">
        <v>46077</v>
      </c>
      <c r="B1286" s="133" t="s">
        <v>4786</v>
      </c>
      <c r="C1286" s="32" t="s">
        <v>2697</v>
      </c>
      <c r="D1286" s="210">
        <v>-429.41</v>
      </c>
      <c r="E1286" s="120">
        <v>1</v>
      </c>
      <c r="F1286" s="121">
        <f>Tabla5109[[#This Row],[Original Amount]]*Tabla5109[[#This Row],[ER to EUR]]</f>
        <v>-429.41</v>
      </c>
      <c r="G1286" s="9" t="s">
        <v>4785</v>
      </c>
      <c r="H1286" s="9" t="s">
        <v>4787</v>
      </c>
      <c r="I1286" s="9" t="s">
        <v>4905</v>
      </c>
      <c r="J1286" s="91" t="s">
        <v>2714</v>
      </c>
      <c r="K1286" s="196" t="s">
        <v>2798</v>
      </c>
      <c r="L1286" s="91" t="s">
        <v>2799</v>
      </c>
      <c r="M1286" s="32" t="s">
        <v>125</v>
      </c>
      <c r="N1286" s="122" t="s">
        <v>2748</v>
      </c>
      <c r="O1286" s="129" t="s">
        <v>2704</v>
      </c>
      <c r="P1286" s="123" t="str">
        <f>"C"&amp;INT((MONTH(A1286)-1)/4)+1&amp;"-"&amp;YEAR(A1286)</f>
        <v>C1-2026</v>
      </c>
      <c r="Q1286" s="124" t="str">
        <f>"T"&amp;INT((MONTH(A1286)-1)/3)+1&amp;"-"&amp;YEAR(A1286)</f>
        <v>T1-2026</v>
      </c>
      <c r="R1286" s="91" t="s">
        <v>2794</v>
      </c>
      <c r="S1286" s="124" t="s">
        <v>2735</v>
      </c>
      <c r="T1286" s="124" t="s">
        <v>2717</v>
      </c>
      <c r="U1286" s="9" t="s">
        <v>2708</v>
      </c>
      <c r="V1286" s="205" t="s">
        <v>56</v>
      </c>
      <c r="W1286" s="122" t="s">
        <v>125</v>
      </c>
      <c r="X1286" s="123" t="s">
        <v>2709</v>
      </c>
    </row>
    <row r="1287" spans="1:24">
      <c r="A1287" s="548">
        <v>46077</v>
      </c>
      <c r="B1287" s="125">
        <v>195580009</v>
      </c>
      <c r="C1287" s="32" t="s">
        <v>2548</v>
      </c>
      <c r="D1287" s="136">
        <v>-80</v>
      </c>
      <c r="E1287" s="222">
        <v>0.84359700000000004</v>
      </c>
      <c r="F1287" s="121">
        <f>Tabla5109[[#This Row],[Original Amount]]*Tabla5109[[#This Row],[ER to EUR]]</f>
        <v>-67.487760000000009</v>
      </c>
      <c r="G1287" s="9" t="s">
        <v>4202</v>
      </c>
      <c r="H1287" s="9" t="s">
        <v>4793</v>
      </c>
      <c r="I1287" s="9" t="s">
        <v>4204</v>
      </c>
      <c r="J1287" s="9" t="s">
        <v>2701</v>
      </c>
      <c r="K1287" s="205" t="s">
        <v>2702</v>
      </c>
      <c r="L1287" s="211" t="s">
        <v>3693</v>
      </c>
      <c r="M1287" s="32" t="s">
        <v>125</v>
      </c>
      <c r="N1287" s="129" t="s">
        <v>2704</v>
      </c>
      <c r="O1287" s="122" t="s">
        <v>2704</v>
      </c>
      <c r="P1287" s="123" t="str">
        <f>"C"&amp;INT((MONTH(A1287)-1)/4)+1&amp;"-"&amp;YEAR(A1287)</f>
        <v>C1-2026</v>
      </c>
      <c r="Q1287" s="124" t="str">
        <f>"T"&amp;INT((MONTH(A1287)-1)/3)+1&amp;"-"&amp;YEAR(A1287)</f>
        <v>T1-2026</v>
      </c>
      <c r="R1287" s="124" t="s">
        <v>6006</v>
      </c>
      <c r="S1287" s="124" t="s">
        <v>4206</v>
      </c>
      <c r="T1287" s="124" t="s">
        <v>2717</v>
      </c>
      <c r="U1287" s="9" t="s">
        <v>2708</v>
      </c>
      <c r="V1287" s="205" t="s">
        <v>54</v>
      </c>
      <c r="W1287" s="122" t="s">
        <v>4207</v>
      </c>
      <c r="X1287" s="124" t="s">
        <v>2709</v>
      </c>
    </row>
    <row r="1288" spans="1:24">
      <c r="A1288" s="548">
        <v>46077</v>
      </c>
      <c r="B1288" s="125">
        <v>101</v>
      </c>
      <c r="C1288" s="32" t="s">
        <v>2543</v>
      </c>
      <c r="D1288" s="152">
        <v>-178500</v>
      </c>
      <c r="E1288" s="32">
        <v>9.7400000000000004E-4</v>
      </c>
      <c r="F1288" s="121">
        <f>Tabla5109[[#This Row],[Original Amount]]*Tabla5109[[#This Row],[ER to EUR]]</f>
        <v>-173.85900000000001</v>
      </c>
      <c r="G1288" s="9" t="s">
        <v>4776</v>
      </c>
      <c r="H1288" s="9" t="s">
        <v>4777</v>
      </c>
      <c r="I1288" s="9" t="s">
        <v>2784</v>
      </c>
      <c r="J1288" s="91" t="s">
        <v>3095</v>
      </c>
      <c r="K1288" s="196" t="s">
        <v>3640</v>
      </c>
      <c r="L1288" s="91" t="s">
        <v>3511</v>
      </c>
      <c r="M1288" s="32" t="s">
        <v>125</v>
      </c>
      <c r="N1288" s="122" t="s">
        <v>2748</v>
      </c>
      <c r="O1288" s="129" t="s">
        <v>2704</v>
      </c>
      <c r="P1288" s="123" t="str">
        <f>"C"&amp;INT((MONTH(A1288)-1)/4)+1&amp;"-"&amp;YEAR(A1288)</f>
        <v>C1-2026</v>
      </c>
      <c r="Q1288" s="124" t="str">
        <f>"T"&amp;INT((MONTH(A1288)-1)/3)+1&amp;"-"&amp;YEAR(A1288)</f>
        <v>T1-2026</v>
      </c>
      <c r="R1288" s="91" t="s">
        <v>2828</v>
      </c>
      <c r="S1288" s="124" t="s">
        <v>2735</v>
      </c>
      <c r="T1288" s="124" t="s">
        <v>2717</v>
      </c>
      <c r="U1288" s="9" t="s">
        <v>2708</v>
      </c>
      <c r="V1288" s="205" t="s">
        <v>56</v>
      </c>
      <c r="W1288" s="122" t="s">
        <v>125</v>
      </c>
      <c r="X1288" s="123" t="s">
        <v>2751</v>
      </c>
    </row>
    <row r="1289" spans="1:24">
      <c r="A1289" s="548">
        <v>46077</v>
      </c>
      <c r="B1289" s="125">
        <v>86671</v>
      </c>
      <c r="C1289" s="32" t="s">
        <v>2543</v>
      </c>
      <c r="D1289" s="152">
        <v>-24000</v>
      </c>
      <c r="E1289" s="32">
        <v>9.7400000000000004E-4</v>
      </c>
      <c r="F1289" s="121">
        <f>Tabla5109[[#This Row],[Original Amount]]*Tabla5109[[#This Row],[ER to EUR]]</f>
        <v>-23.376000000000001</v>
      </c>
      <c r="G1289" s="9" t="s">
        <v>4778</v>
      </c>
      <c r="H1289" s="9" t="s">
        <v>4779</v>
      </c>
      <c r="I1289" s="9" t="s">
        <v>2713</v>
      </c>
      <c r="J1289" s="9" t="s">
        <v>2714</v>
      </c>
      <c r="K1289" s="205" t="s">
        <v>2747</v>
      </c>
      <c r="L1289" s="9" t="s">
        <v>2716</v>
      </c>
      <c r="M1289" s="32" t="s">
        <v>125</v>
      </c>
      <c r="N1289" s="122" t="s">
        <v>2748</v>
      </c>
      <c r="O1289" s="129" t="s">
        <v>2704</v>
      </c>
      <c r="P1289" s="123" t="str">
        <f>"C"&amp;INT((MONTH(A1289)-1)/4)+1&amp;"-"&amp;YEAR(A1289)</f>
        <v>C1-2026</v>
      </c>
      <c r="Q1289" s="124" t="str">
        <f>"T"&amp;INT((MONTH(A1289)-1)/3)+1&amp;"-"&amp;YEAR(A1289)</f>
        <v>T1-2026</v>
      </c>
      <c r="R1289" s="91" t="s">
        <v>2828</v>
      </c>
      <c r="S1289" s="124" t="s">
        <v>2735</v>
      </c>
      <c r="T1289" s="124" t="s">
        <v>2717</v>
      </c>
      <c r="U1289" s="9" t="s">
        <v>2708</v>
      </c>
      <c r="V1289" s="205" t="s">
        <v>56</v>
      </c>
      <c r="W1289" s="122" t="s">
        <v>125</v>
      </c>
      <c r="X1289" s="123" t="s">
        <v>2751</v>
      </c>
    </row>
    <row r="1290" spans="1:24">
      <c r="A1290" s="548">
        <v>46077</v>
      </c>
      <c r="B1290" s="133" t="s">
        <v>4799</v>
      </c>
      <c r="C1290" s="32" t="s">
        <v>2697</v>
      </c>
      <c r="D1290" s="210">
        <v>-831.81</v>
      </c>
      <c r="E1290" s="120">
        <v>1</v>
      </c>
      <c r="F1290" s="121">
        <f>Tabla5109[[#This Row],[Original Amount]]*Tabla5109[[#This Row],[ER to EUR]]</f>
        <v>-831.81</v>
      </c>
      <c r="G1290" s="9" t="s">
        <v>4783</v>
      </c>
      <c r="H1290" s="9" t="s">
        <v>4784</v>
      </c>
      <c r="I1290" s="9" t="s">
        <v>2727</v>
      </c>
      <c r="J1290" s="91" t="s">
        <v>2868</v>
      </c>
      <c r="K1290" s="196" t="s">
        <v>2868</v>
      </c>
      <c r="L1290" s="91" t="s">
        <v>2729</v>
      </c>
      <c r="M1290" s="32" t="s">
        <v>125</v>
      </c>
      <c r="N1290" s="122" t="s">
        <v>2748</v>
      </c>
      <c r="O1290" s="129" t="s">
        <v>2704</v>
      </c>
      <c r="P1290" s="123" t="str">
        <f>"C"&amp;INT((MONTH(A1290)-1)/4)+1&amp;"-"&amp;YEAR(A1290)</f>
        <v>C1-2026</v>
      </c>
      <c r="Q1290" s="124" t="str">
        <f>"T"&amp;INT((MONTH(A1290)-1)/3)+1&amp;"-"&amp;YEAR(A1290)</f>
        <v>T1-2026</v>
      </c>
      <c r="R1290" s="91" t="s">
        <v>2705</v>
      </c>
      <c r="S1290" s="124" t="s">
        <v>2735</v>
      </c>
      <c r="T1290" s="124" t="s">
        <v>2717</v>
      </c>
      <c r="U1290" s="9" t="s">
        <v>2708</v>
      </c>
      <c r="V1290" s="205" t="s">
        <v>56</v>
      </c>
      <c r="W1290" s="122" t="s">
        <v>125</v>
      </c>
      <c r="X1290" s="123" t="s">
        <v>2709</v>
      </c>
    </row>
    <row r="1291" spans="1:24">
      <c r="A1291" s="548">
        <v>46078</v>
      </c>
      <c r="B1291" s="133" t="s">
        <v>4781</v>
      </c>
      <c r="C1291" s="32" t="s">
        <v>2548</v>
      </c>
      <c r="D1291" s="136">
        <v>-238</v>
      </c>
      <c r="E1291" s="222">
        <v>0.84359700000000004</v>
      </c>
      <c r="F1291" s="121">
        <f>Tabla5109[[#This Row],[Original Amount]]*Tabla5109[[#This Row],[ER to EUR]]</f>
        <v>-200.77608600000002</v>
      </c>
      <c r="G1291" s="9" t="s">
        <v>3248</v>
      </c>
      <c r="H1291" s="9" t="s">
        <v>3938</v>
      </c>
      <c r="I1291" s="9" t="s">
        <v>2713</v>
      </c>
      <c r="J1291" s="9" t="s">
        <v>2714</v>
      </c>
      <c r="K1291" s="205" t="s">
        <v>2702</v>
      </c>
      <c r="L1291" s="9" t="s">
        <v>2799</v>
      </c>
      <c r="M1291" s="32" t="s">
        <v>125</v>
      </c>
      <c r="N1291" s="122" t="s">
        <v>2704</v>
      </c>
      <c r="O1291" s="129" t="s">
        <v>2704</v>
      </c>
      <c r="P1291" s="123" t="str">
        <f>"C"&amp;INT((MONTH(A1291)-1)/4)+1&amp;"-"&amp;YEAR(A1291)</f>
        <v>C1-2026</v>
      </c>
      <c r="Q1291" s="124" t="str">
        <f>"T"&amp;INT((MONTH(A1291)-1)/3)+1&amp;"-"&amp;YEAR(A1291)</f>
        <v>T1-2026</v>
      </c>
      <c r="R1291" s="124" t="s">
        <v>2730</v>
      </c>
      <c r="S1291" s="124" t="s">
        <v>2731</v>
      </c>
      <c r="T1291" s="124" t="s">
        <v>2724</v>
      </c>
      <c r="U1291" s="9" t="s">
        <v>51</v>
      </c>
      <c r="V1291" s="205" t="s">
        <v>57</v>
      </c>
      <c r="W1291" s="122" t="s">
        <v>125</v>
      </c>
      <c r="X1291" s="124" t="s">
        <v>2709</v>
      </c>
    </row>
    <row r="1292" spans="1:24">
      <c r="A1292" s="548">
        <v>46078</v>
      </c>
      <c r="B1292" s="133" t="s">
        <v>4782</v>
      </c>
      <c r="C1292" s="32" t="s">
        <v>2697</v>
      </c>
      <c r="D1292" s="210">
        <v>-831.81</v>
      </c>
      <c r="E1292" s="120">
        <v>1</v>
      </c>
      <c r="F1292" s="121">
        <f>Tabla5109[[#This Row],[Original Amount]]*Tabla5109[[#This Row],[ER to EUR]]</f>
        <v>-831.81</v>
      </c>
      <c r="G1292" s="9" t="s">
        <v>4783</v>
      </c>
      <c r="H1292" s="9" t="s">
        <v>4784</v>
      </c>
      <c r="I1292" s="9" t="s">
        <v>2727</v>
      </c>
      <c r="J1292" s="91" t="s">
        <v>2868</v>
      </c>
      <c r="K1292" s="196" t="s">
        <v>2868</v>
      </c>
      <c r="L1292" s="91" t="s">
        <v>2729</v>
      </c>
      <c r="M1292" s="32" t="s">
        <v>125</v>
      </c>
      <c r="N1292" s="122" t="s">
        <v>2748</v>
      </c>
      <c r="O1292" s="129" t="s">
        <v>2704</v>
      </c>
      <c r="P1292" s="123" t="str">
        <f>"C"&amp;INT((MONTH(A1292)-1)/4)+1&amp;"-"&amp;YEAR(A1292)</f>
        <v>C1-2026</v>
      </c>
      <c r="Q1292" s="124" t="str">
        <f>"T"&amp;INT((MONTH(A1292)-1)/3)+1&amp;"-"&amp;YEAR(A1292)</f>
        <v>T1-2026</v>
      </c>
      <c r="R1292" s="91" t="s">
        <v>2705</v>
      </c>
      <c r="S1292" s="124" t="s">
        <v>2735</v>
      </c>
      <c r="T1292" s="124" t="s">
        <v>2717</v>
      </c>
      <c r="U1292" s="9" t="s">
        <v>2708</v>
      </c>
      <c r="V1292" s="205" t="s">
        <v>56</v>
      </c>
      <c r="W1292" s="122" t="s">
        <v>125</v>
      </c>
      <c r="X1292" s="123" t="s">
        <v>2709</v>
      </c>
    </row>
    <row r="1293" spans="1:24">
      <c r="A1293" s="548">
        <v>46078</v>
      </c>
      <c r="B1293" s="133" t="s">
        <v>4791</v>
      </c>
      <c r="C1293" s="32" t="s">
        <v>2697</v>
      </c>
      <c r="D1293" s="210">
        <v>-102.49</v>
      </c>
      <c r="E1293" s="120">
        <v>1</v>
      </c>
      <c r="F1293" s="121">
        <f>Tabla5109[[#This Row],[Original Amount]]*Tabla5109[[#This Row],[ER to EUR]]</f>
        <v>-102.49</v>
      </c>
      <c r="G1293" s="9" t="s">
        <v>3755</v>
      </c>
      <c r="H1293" s="9" t="s">
        <v>4792</v>
      </c>
      <c r="I1293" s="9" t="s">
        <v>4204</v>
      </c>
      <c r="J1293" s="9" t="s">
        <v>2825</v>
      </c>
      <c r="K1293" s="205" t="s">
        <v>2826</v>
      </c>
      <c r="L1293" s="9" t="s">
        <v>2827</v>
      </c>
      <c r="M1293" s="32" t="s">
        <v>125</v>
      </c>
      <c r="N1293" s="129" t="s">
        <v>2704</v>
      </c>
      <c r="O1293" s="122" t="s">
        <v>2704</v>
      </c>
      <c r="P1293" s="123" t="str">
        <f>"C"&amp;INT((MONTH(A1293)-1)/4)+1&amp;"-"&amp;YEAR(A1293)</f>
        <v>C1-2026</v>
      </c>
      <c r="Q1293" s="124" t="str">
        <f>"T"&amp;INT((MONTH(A1293)-1)/3)+1&amp;"-"&amp;YEAR(A1293)</f>
        <v>T1-2026</v>
      </c>
      <c r="R1293" s="124" t="s">
        <v>6006</v>
      </c>
      <c r="S1293" s="124" t="s">
        <v>2706</v>
      </c>
      <c r="T1293" s="124" t="s">
        <v>2717</v>
      </c>
      <c r="U1293" s="9" t="s">
        <v>2708</v>
      </c>
      <c r="V1293" s="205" t="s">
        <v>56</v>
      </c>
      <c r="W1293" s="122" t="s">
        <v>125</v>
      </c>
      <c r="X1293" s="124" t="s">
        <v>2709</v>
      </c>
    </row>
    <row r="1294" spans="1:24">
      <c r="A1294" s="548">
        <v>46078</v>
      </c>
      <c r="B1294" s="133" t="s">
        <v>4818</v>
      </c>
      <c r="C1294" s="32" t="s">
        <v>2697</v>
      </c>
      <c r="D1294" s="210">
        <v>-7.45</v>
      </c>
      <c r="E1294" s="120">
        <v>1</v>
      </c>
      <c r="F1294" s="121">
        <f>Tabla5109[[#This Row],[Original Amount]]*Tabla5109[[#This Row],[ER to EUR]]</f>
        <v>-7.45</v>
      </c>
      <c r="G1294" s="9" t="s">
        <v>3930</v>
      </c>
      <c r="H1294" s="9" t="s">
        <v>4819</v>
      </c>
      <c r="I1294" s="9" t="s">
        <v>4820</v>
      </c>
      <c r="J1294" s="9" t="s">
        <v>3095</v>
      </c>
      <c r="K1294" s="205" t="s">
        <v>3627</v>
      </c>
      <c r="L1294" s="9" t="s">
        <v>3511</v>
      </c>
      <c r="M1294" s="32" t="s">
        <v>125</v>
      </c>
      <c r="N1294" s="122" t="s">
        <v>2748</v>
      </c>
      <c r="O1294" s="129" t="s">
        <v>2748</v>
      </c>
      <c r="P1294" s="123" t="str">
        <f>"C"&amp;INT((MONTH(A1294)-1)/4)+1&amp;"-"&amp;YEAR(A1294)</f>
        <v>C1-2026</v>
      </c>
      <c r="Q1294" s="124" t="str">
        <f>"T"&amp;INT((MONTH(A1294)-1)/3)+1&amp;"-"&amp;YEAR(A1294)</f>
        <v>T1-2026</v>
      </c>
      <c r="R1294" s="91" t="s">
        <v>2794</v>
      </c>
      <c r="S1294" s="124" t="s">
        <v>2731</v>
      </c>
      <c r="T1294" s="124" t="s">
        <v>2707</v>
      </c>
      <c r="U1294" s="9" t="s">
        <v>51</v>
      </c>
      <c r="V1294" s="205" t="s">
        <v>57</v>
      </c>
      <c r="W1294" s="122" t="s">
        <v>125</v>
      </c>
      <c r="X1294" s="124" t="s">
        <v>2709</v>
      </c>
    </row>
    <row r="1295" spans="1:24">
      <c r="A1295" s="548">
        <v>46079</v>
      </c>
      <c r="B1295" s="507">
        <v>16490</v>
      </c>
      <c r="C1295" s="32" t="s">
        <v>2697</v>
      </c>
      <c r="D1295" s="210">
        <v>-1800</v>
      </c>
      <c r="E1295" s="120">
        <v>1</v>
      </c>
      <c r="F1295" s="121">
        <f>Tabla5109[[#This Row],[Original Amount]]*Tabla5109[[#This Row],[ER to EUR]]</f>
        <v>-1800</v>
      </c>
      <c r="G1295" s="9" t="s">
        <v>2725</v>
      </c>
      <c r="H1295" s="9" t="s">
        <v>3236</v>
      </c>
      <c r="I1295" s="9" t="s">
        <v>2727</v>
      </c>
      <c r="J1295" s="9" t="s">
        <v>2701</v>
      </c>
      <c r="K1295" s="205" t="s">
        <v>2702</v>
      </c>
      <c r="L1295" s="9" t="s">
        <v>2729</v>
      </c>
      <c r="M1295" s="32" t="s">
        <v>125</v>
      </c>
      <c r="N1295" s="129" t="s">
        <v>2704</v>
      </c>
      <c r="O1295" s="129" t="s">
        <v>2704</v>
      </c>
      <c r="P1295" s="123" t="str">
        <f>"C"&amp;INT((MONTH(A1295)-1)/4)+1&amp;"-"&amp;YEAR(A1295)</f>
        <v>C1-2026</v>
      </c>
      <c r="Q1295" s="124" t="str">
        <f>"T"&amp;INT((MONTH(A1295)-1)/3)+1&amp;"-"&amp;YEAR(A1295)</f>
        <v>T1-2026</v>
      </c>
      <c r="R1295" s="124" t="s">
        <v>2730</v>
      </c>
      <c r="S1295" s="124" t="s">
        <v>2731</v>
      </c>
      <c r="T1295" s="124" t="s">
        <v>2707</v>
      </c>
      <c r="U1295" s="9" t="s">
        <v>51</v>
      </c>
      <c r="V1295" s="205" t="s">
        <v>57</v>
      </c>
      <c r="W1295" s="122" t="s">
        <v>125</v>
      </c>
      <c r="X1295" s="124" t="s">
        <v>2709</v>
      </c>
    </row>
    <row r="1296" spans="1:24">
      <c r="A1296" s="548">
        <v>46079</v>
      </c>
      <c r="B1296" s="133" t="s">
        <v>4824</v>
      </c>
      <c r="C1296" s="32" t="s">
        <v>2697</v>
      </c>
      <c r="D1296" s="210">
        <v>-6.25</v>
      </c>
      <c r="E1296" s="120">
        <v>1</v>
      </c>
      <c r="F1296" s="121">
        <f>Tabla5109[[#This Row],[Original Amount]]*Tabla5109[[#This Row],[ER to EUR]]</f>
        <v>-6.25</v>
      </c>
      <c r="G1296" s="9" t="s">
        <v>4785</v>
      </c>
      <c r="H1296" s="9" t="s">
        <v>4825</v>
      </c>
      <c r="I1296" s="9" t="s">
        <v>4905</v>
      </c>
      <c r="J1296" s="91" t="s">
        <v>2714</v>
      </c>
      <c r="K1296" s="196" t="s">
        <v>2798</v>
      </c>
      <c r="L1296" s="91" t="s">
        <v>2799</v>
      </c>
      <c r="M1296" s="32" t="s">
        <v>125</v>
      </c>
      <c r="N1296" s="122" t="s">
        <v>2748</v>
      </c>
      <c r="O1296" s="129" t="s">
        <v>2704</v>
      </c>
      <c r="P1296" s="123" t="str">
        <f>"C"&amp;INT((MONTH(A1296)-1)/4)+1&amp;"-"&amp;YEAR(A1296)</f>
        <v>C1-2026</v>
      </c>
      <c r="Q1296" s="124" t="str">
        <f>"T"&amp;INT((MONTH(A1296)-1)/3)+1&amp;"-"&amp;YEAR(A1296)</f>
        <v>T1-2026</v>
      </c>
      <c r="R1296" s="91" t="s">
        <v>2794</v>
      </c>
      <c r="S1296" s="124" t="s">
        <v>2735</v>
      </c>
      <c r="T1296" s="124" t="s">
        <v>2717</v>
      </c>
      <c r="U1296" s="9" t="s">
        <v>2708</v>
      </c>
      <c r="V1296" s="205" t="s">
        <v>56</v>
      </c>
      <c r="W1296" s="122" t="s">
        <v>125</v>
      </c>
      <c r="X1296" s="123" t="s">
        <v>2709</v>
      </c>
    </row>
    <row r="1297" spans="1:24">
      <c r="A1297" s="548">
        <v>46079</v>
      </c>
      <c r="B1297" s="133" t="s">
        <v>4826</v>
      </c>
      <c r="C1297" s="32" t="s">
        <v>2697</v>
      </c>
      <c r="D1297" s="210">
        <v>-13.1</v>
      </c>
      <c r="E1297" s="120">
        <v>1</v>
      </c>
      <c r="F1297" s="121">
        <f>Tabla5109[[#This Row],[Original Amount]]*Tabla5109[[#This Row],[ER to EUR]]</f>
        <v>-13.1</v>
      </c>
      <c r="G1297" s="9" t="s">
        <v>4827</v>
      </c>
      <c r="H1297" s="9" t="s">
        <v>4828</v>
      </c>
      <c r="I1297" s="9" t="s">
        <v>4905</v>
      </c>
      <c r="J1297" s="9" t="s">
        <v>2825</v>
      </c>
      <c r="K1297" s="205" t="s">
        <v>2826</v>
      </c>
      <c r="L1297" s="9" t="s">
        <v>2827</v>
      </c>
      <c r="M1297" s="32" t="s">
        <v>125</v>
      </c>
      <c r="N1297" s="129" t="s">
        <v>2704</v>
      </c>
      <c r="O1297" s="129" t="s">
        <v>2704</v>
      </c>
      <c r="P1297" s="123" t="str">
        <f>"C"&amp;INT((MONTH(A1297)-1)/4)+1&amp;"-"&amp;YEAR(A1297)</f>
        <v>C1-2026</v>
      </c>
      <c r="Q1297" s="124" t="str">
        <f>"T"&amp;INT((MONTH(A1297)-1)/3)+1&amp;"-"&amp;YEAR(A1297)</f>
        <v>T1-2026</v>
      </c>
      <c r="R1297" s="124" t="s">
        <v>2794</v>
      </c>
      <c r="S1297" s="124" t="s">
        <v>2706</v>
      </c>
      <c r="T1297" s="124" t="s">
        <v>2717</v>
      </c>
      <c r="U1297" s="91" t="s">
        <v>2708</v>
      </c>
      <c r="V1297" s="196" t="s">
        <v>56</v>
      </c>
      <c r="W1297" s="122" t="s">
        <v>125</v>
      </c>
      <c r="X1297" s="124" t="s">
        <v>2709</v>
      </c>
    </row>
    <row r="1298" spans="1:24">
      <c r="A1298" s="548">
        <v>46079</v>
      </c>
      <c r="B1298" s="133" t="s">
        <v>4829</v>
      </c>
      <c r="C1298" s="32" t="s">
        <v>2697</v>
      </c>
      <c r="D1298" s="210">
        <v>-8</v>
      </c>
      <c r="E1298" s="120">
        <v>1</v>
      </c>
      <c r="F1298" s="121">
        <f>Tabla5109[[#This Row],[Original Amount]]*Tabla5109[[#This Row],[ER to EUR]]</f>
        <v>-8</v>
      </c>
      <c r="G1298" s="9" t="s">
        <v>4834</v>
      </c>
      <c r="H1298" s="9" t="s">
        <v>4830</v>
      </c>
      <c r="I1298" s="9" t="s">
        <v>4905</v>
      </c>
      <c r="J1298" s="9" t="s">
        <v>2825</v>
      </c>
      <c r="K1298" s="205" t="s">
        <v>2826</v>
      </c>
      <c r="L1298" s="9" t="s">
        <v>2827</v>
      </c>
      <c r="M1298" s="32" t="s">
        <v>125</v>
      </c>
      <c r="N1298" s="129" t="s">
        <v>2704</v>
      </c>
      <c r="O1298" s="129" t="s">
        <v>2704</v>
      </c>
      <c r="P1298" s="123" t="str">
        <f>"C"&amp;INT((MONTH(A1298)-1)/4)+1&amp;"-"&amp;YEAR(A1298)</f>
        <v>C1-2026</v>
      </c>
      <c r="Q1298" s="124" t="str">
        <f>"T"&amp;INT((MONTH(A1298)-1)/3)+1&amp;"-"&amp;YEAR(A1298)</f>
        <v>T1-2026</v>
      </c>
      <c r="R1298" s="124" t="s">
        <v>2794</v>
      </c>
      <c r="S1298" s="124" t="s">
        <v>2706</v>
      </c>
      <c r="T1298" s="124" t="s">
        <v>2717</v>
      </c>
      <c r="U1298" s="91" t="s">
        <v>2708</v>
      </c>
      <c r="V1298" s="196" t="s">
        <v>56</v>
      </c>
      <c r="W1298" s="122" t="s">
        <v>125</v>
      </c>
      <c r="X1298" s="124" t="s">
        <v>2709</v>
      </c>
    </row>
    <row r="1299" spans="1:24">
      <c r="A1299" s="548">
        <v>46079</v>
      </c>
      <c r="B1299" s="133" t="s">
        <v>4831</v>
      </c>
      <c r="C1299" s="32" t="s">
        <v>2697</v>
      </c>
      <c r="D1299" s="210">
        <v>-36.020000000000003</v>
      </c>
      <c r="E1299" s="120">
        <v>1</v>
      </c>
      <c r="F1299" s="121">
        <f>Tabla5109[[#This Row],[Original Amount]]*Tabla5109[[#This Row],[ER to EUR]]</f>
        <v>-36.020000000000003</v>
      </c>
      <c r="G1299" s="9" t="s">
        <v>4827</v>
      </c>
      <c r="H1299" s="9" t="s">
        <v>4832</v>
      </c>
      <c r="I1299" s="9" t="s">
        <v>4905</v>
      </c>
      <c r="J1299" s="9" t="s">
        <v>2825</v>
      </c>
      <c r="K1299" s="205" t="s">
        <v>2826</v>
      </c>
      <c r="L1299" s="9" t="s">
        <v>2827</v>
      </c>
      <c r="M1299" s="32" t="s">
        <v>125</v>
      </c>
      <c r="N1299" s="129" t="s">
        <v>2704</v>
      </c>
      <c r="O1299" s="129" t="s">
        <v>2704</v>
      </c>
      <c r="P1299" s="123" t="str">
        <f>"C"&amp;INT((MONTH(A1299)-1)/4)+1&amp;"-"&amp;YEAR(A1299)</f>
        <v>C1-2026</v>
      </c>
      <c r="Q1299" s="124" t="str">
        <f>"T"&amp;INT((MONTH(A1299)-1)/3)+1&amp;"-"&amp;YEAR(A1299)</f>
        <v>T1-2026</v>
      </c>
      <c r="R1299" s="124" t="s">
        <v>2794</v>
      </c>
      <c r="S1299" s="124" t="s">
        <v>2706</v>
      </c>
      <c r="T1299" s="124" t="s">
        <v>2717</v>
      </c>
      <c r="U1299" s="91" t="s">
        <v>2708</v>
      </c>
      <c r="V1299" s="196" t="s">
        <v>56</v>
      </c>
      <c r="W1299" s="122" t="s">
        <v>125</v>
      </c>
      <c r="X1299" s="124" t="s">
        <v>2709</v>
      </c>
    </row>
    <row r="1300" spans="1:24">
      <c r="A1300" s="548">
        <v>46079</v>
      </c>
      <c r="B1300" s="132">
        <v>81001367</v>
      </c>
      <c r="C1300" s="32" t="s">
        <v>2697</v>
      </c>
      <c r="D1300" s="210">
        <v>-74</v>
      </c>
      <c r="E1300" s="120">
        <v>1</v>
      </c>
      <c r="F1300" s="121">
        <f>Tabla5109[[#This Row],[Original Amount]]*Tabla5109[[#This Row],[ER to EUR]]</f>
        <v>-74</v>
      </c>
      <c r="G1300" s="9" t="s">
        <v>4833</v>
      </c>
      <c r="H1300" s="9" t="s">
        <v>4835</v>
      </c>
      <c r="I1300" s="9" t="s">
        <v>4905</v>
      </c>
      <c r="J1300" s="9" t="s">
        <v>2825</v>
      </c>
      <c r="K1300" s="205" t="s">
        <v>2826</v>
      </c>
      <c r="L1300" s="9" t="s">
        <v>2827</v>
      </c>
      <c r="M1300" s="32" t="s">
        <v>125</v>
      </c>
      <c r="N1300" s="129" t="s">
        <v>2704</v>
      </c>
      <c r="O1300" s="129" t="s">
        <v>2704</v>
      </c>
      <c r="P1300" s="123" t="str">
        <f>"C"&amp;INT((MONTH(A1300)-1)/4)+1&amp;"-"&amp;YEAR(A1300)</f>
        <v>C1-2026</v>
      </c>
      <c r="Q1300" s="124" t="str">
        <f>"T"&amp;INT((MONTH(A1300)-1)/3)+1&amp;"-"&amp;YEAR(A1300)</f>
        <v>T1-2026</v>
      </c>
      <c r="R1300" s="124" t="s">
        <v>2794</v>
      </c>
      <c r="S1300" s="124" t="s">
        <v>2706</v>
      </c>
      <c r="T1300" s="124" t="s">
        <v>2717</v>
      </c>
      <c r="U1300" s="91" t="s">
        <v>2708</v>
      </c>
      <c r="V1300" s="196" t="s">
        <v>56</v>
      </c>
      <c r="W1300" s="122" t="s">
        <v>125</v>
      </c>
      <c r="X1300" s="124" t="s">
        <v>2709</v>
      </c>
    </row>
    <row r="1301" spans="1:24">
      <c r="A1301" s="548">
        <v>46079</v>
      </c>
      <c r="B1301" s="133" t="s">
        <v>4836</v>
      </c>
      <c r="C1301" s="32" t="s">
        <v>2697</v>
      </c>
      <c r="D1301" s="210">
        <v>-38.39</v>
      </c>
      <c r="E1301" s="120">
        <v>1</v>
      </c>
      <c r="F1301" s="121">
        <f>Tabla5109[[#This Row],[Original Amount]]*Tabla5109[[#This Row],[ER to EUR]]</f>
        <v>-38.39</v>
      </c>
      <c r="G1301" s="9" t="s">
        <v>3892</v>
      </c>
      <c r="H1301" s="9" t="s">
        <v>4837</v>
      </c>
      <c r="I1301" s="9" t="s">
        <v>4905</v>
      </c>
      <c r="J1301" s="9" t="s">
        <v>3095</v>
      </c>
      <c r="K1301" s="205" t="s">
        <v>3627</v>
      </c>
      <c r="L1301" s="9" t="s">
        <v>3511</v>
      </c>
      <c r="M1301" s="32" t="s">
        <v>125</v>
      </c>
      <c r="N1301" s="122" t="s">
        <v>2704</v>
      </c>
      <c r="O1301" s="129" t="s">
        <v>2704</v>
      </c>
      <c r="P1301" s="123" t="str">
        <f>"C"&amp;INT((MONTH(A1301)-1)/4)+1&amp;"-"&amp;YEAR(A1301)</f>
        <v>C1-2026</v>
      </c>
      <c r="Q1301" s="124" t="str">
        <f>"T"&amp;INT((MONTH(A1301)-1)/3)+1&amp;"-"&amp;YEAR(A1301)</f>
        <v>T1-2026</v>
      </c>
      <c r="R1301" s="91" t="s">
        <v>2794</v>
      </c>
      <c r="S1301" s="124" t="s">
        <v>2706</v>
      </c>
      <c r="T1301" s="124" t="s">
        <v>2707</v>
      </c>
      <c r="U1301" s="9" t="s">
        <v>51</v>
      </c>
      <c r="V1301" s="205" t="s">
        <v>57</v>
      </c>
      <c r="W1301" s="122" t="s">
        <v>125</v>
      </c>
      <c r="X1301" s="124" t="s">
        <v>2709</v>
      </c>
    </row>
    <row r="1302" spans="1:24">
      <c r="A1302" s="548">
        <v>46080</v>
      </c>
      <c r="B1302" s="133" t="s">
        <v>4847</v>
      </c>
      <c r="C1302" s="32" t="s">
        <v>2697</v>
      </c>
      <c r="D1302" s="210">
        <v>-2700</v>
      </c>
      <c r="E1302" s="120">
        <v>1</v>
      </c>
      <c r="F1302" s="121">
        <f>Tabla5109[[#This Row],[Original Amount]]*Tabla5109[[#This Row],[ER to EUR]]</f>
        <v>-2700</v>
      </c>
      <c r="G1302" s="9" t="s">
        <v>3974</v>
      </c>
      <c r="H1302" s="9" t="s">
        <v>4217</v>
      </c>
      <c r="I1302" s="9" t="s">
        <v>2727</v>
      </c>
      <c r="J1302" s="9" t="s">
        <v>2714</v>
      </c>
      <c r="K1302" s="205" t="s">
        <v>2747</v>
      </c>
      <c r="L1302" s="9" t="s">
        <v>2864</v>
      </c>
      <c r="M1302" s="32" t="s">
        <v>125</v>
      </c>
      <c r="N1302" s="122" t="s">
        <v>2704</v>
      </c>
      <c r="O1302" s="129" t="s">
        <v>2704</v>
      </c>
      <c r="P1302" s="123" t="str">
        <f>"C"&amp;INT((MONTH(A1302)-1)/4)+1&amp;"-"&amp;YEAR(A1302)</f>
        <v>C1-2026</v>
      </c>
      <c r="Q1302" s="124" t="str">
        <f>"T"&amp;INT((MONTH(A1302)-1)/3)+1&amp;"-"&amp;YEAR(A1302)</f>
        <v>T1-2026</v>
      </c>
      <c r="R1302" s="91" t="s">
        <v>2705</v>
      </c>
      <c r="S1302" s="124" t="s">
        <v>2706</v>
      </c>
      <c r="T1302" s="9" t="s">
        <v>2724</v>
      </c>
      <c r="U1302" s="9" t="s">
        <v>2708</v>
      </c>
      <c r="V1302" s="205" t="s">
        <v>56</v>
      </c>
      <c r="W1302" s="122" t="s">
        <v>125</v>
      </c>
      <c r="X1302" s="123" t="s">
        <v>2709</v>
      </c>
    </row>
    <row r="1303" spans="1:24">
      <c r="A1303" s="548">
        <v>46080</v>
      </c>
      <c r="B1303" s="133" t="s">
        <v>4840</v>
      </c>
      <c r="C1303" s="32" t="s">
        <v>2697</v>
      </c>
      <c r="D1303" s="210">
        <v>-77.489999999999995</v>
      </c>
      <c r="E1303" s="120">
        <v>1</v>
      </c>
      <c r="F1303" s="121">
        <f>Tabla5109[[#This Row],[Original Amount]]*Tabla5109[[#This Row],[ER to EUR]]</f>
        <v>-77.489999999999995</v>
      </c>
      <c r="G1303" s="9" t="s">
        <v>3755</v>
      </c>
      <c r="H1303" s="9" t="s">
        <v>4841</v>
      </c>
      <c r="I1303" s="9" t="s">
        <v>4204</v>
      </c>
      <c r="J1303" s="9" t="s">
        <v>2825</v>
      </c>
      <c r="K1303" s="205" t="s">
        <v>2826</v>
      </c>
      <c r="L1303" s="9" t="s">
        <v>2827</v>
      </c>
      <c r="M1303" s="32" t="s">
        <v>125</v>
      </c>
      <c r="N1303" s="129" t="s">
        <v>2704</v>
      </c>
      <c r="O1303" s="122" t="s">
        <v>2704</v>
      </c>
      <c r="P1303" s="123" t="str">
        <f>"C"&amp;INT((MONTH(A1303)-1)/4)+1&amp;"-"&amp;YEAR(A1303)</f>
        <v>C1-2026</v>
      </c>
      <c r="Q1303" s="124" t="str">
        <f>"T"&amp;INT((MONTH(A1303)-1)/3)+1&amp;"-"&amp;YEAR(A1303)</f>
        <v>T1-2026</v>
      </c>
      <c r="R1303" s="124" t="s">
        <v>6006</v>
      </c>
      <c r="S1303" s="124" t="s">
        <v>2706</v>
      </c>
      <c r="T1303" s="124" t="s">
        <v>2717</v>
      </c>
      <c r="U1303" s="9" t="s">
        <v>2708</v>
      </c>
      <c r="V1303" s="205" t="s">
        <v>56</v>
      </c>
      <c r="W1303" s="122" t="s">
        <v>125</v>
      </c>
      <c r="X1303" s="124" t="s">
        <v>2709</v>
      </c>
    </row>
    <row r="1304" spans="1:24">
      <c r="A1304" s="548">
        <v>46080</v>
      </c>
      <c r="B1304" s="133" t="s">
        <v>4842</v>
      </c>
      <c r="C1304" s="32" t="s">
        <v>2697</v>
      </c>
      <c r="D1304" s="210">
        <v>-91.49</v>
      </c>
      <c r="E1304" s="120">
        <v>1</v>
      </c>
      <c r="F1304" s="121">
        <f>Tabla5109[[#This Row],[Original Amount]]*Tabla5109[[#This Row],[ER to EUR]]</f>
        <v>-91.49</v>
      </c>
      <c r="G1304" s="9" t="s">
        <v>3755</v>
      </c>
      <c r="H1304" s="9" t="s">
        <v>4843</v>
      </c>
      <c r="I1304" s="9" t="s">
        <v>4072</v>
      </c>
      <c r="J1304" s="9" t="s">
        <v>2825</v>
      </c>
      <c r="K1304" s="205" t="s">
        <v>2826</v>
      </c>
      <c r="L1304" s="9" t="s">
        <v>2827</v>
      </c>
      <c r="M1304" s="32" t="s">
        <v>125</v>
      </c>
      <c r="N1304" s="129" t="s">
        <v>2704</v>
      </c>
      <c r="O1304" s="122" t="s">
        <v>2704</v>
      </c>
      <c r="P1304" s="123" t="str">
        <f>"C"&amp;INT((MONTH(A1304)-1)/4)+1&amp;"-"&amp;YEAR(A1304)</f>
        <v>C1-2026</v>
      </c>
      <c r="Q1304" s="124" t="str">
        <f>"T"&amp;INT((MONTH(A1304)-1)/3)+1&amp;"-"&amp;YEAR(A1304)</f>
        <v>T1-2026</v>
      </c>
      <c r="R1304" s="124" t="s">
        <v>2705</v>
      </c>
      <c r="S1304" s="124" t="s">
        <v>2706</v>
      </c>
      <c r="T1304" s="124" t="s">
        <v>2717</v>
      </c>
      <c r="U1304" s="9" t="s">
        <v>2708</v>
      </c>
      <c r="V1304" s="205" t="s">
        <v>56</v>
      </c>
      <c r="W1304" s="122" t="s">
        <v>125</v>
      </c>
      <c r="X1304" s="124" t="s">
        <v>2709</v>
      </c>
    </row>
    <row r="1305" spans="1:24">
      <c r="A1305" s="548">
        <v>46080</v>
      </c>
      <c r="B1305" s="132">
        <v>44958279</v>
      </c>
      <c r="C1305" s="32" t="s">
        <v>2697</v>
      </c>
      <c r="D1305" s="210">
        <v>-2770.32</v>
      </c>
      <c r="E1305" s="120">
        <v>1</v>
      </c>
      <c r="F1305" s="121">
        <f>Tabla5109[[#This Row],[Original Amount]]*Tabla5109[[#This Row],[ER to EUR]]</f>
        <v>-2770.32</v>
      </c>
      <c r="G1305" s="9" t="s">
        <v>2698</v>
      </c>
      <c r="H1305" s="9" t="s">
        <v>4846</v>
      </c>
      <c r="I1305" s="9" t="s">
        <v>4844</v>
      </c>
      <c r="J1305" s="9" t="s">
        <v>2701</v>
      </c>
      <c r="K1305" s="205" t="s">
        <v>2702</v>
      </c>
      <c r="L1305" s="9" t="s">
        <v>2703</v>
      </c>
      <c r="M1305" s="32" t="s">
        <v>125</v>
      </c>
      <c r="N1305" s="122" t="s">
        <v>2704</v>
      </c>
      <c r="O1305" s="129" t="s">
        <v>2704</v>
      </c>
      <c r="P1305" s="123" t="str">
        <f>"C"&amp;INT((MONTH(A1305)-1)/4)+1&amp;"-"&amp;YEAR(A1305)</f>
        <v>C1-2026</v>
      </c>
      <c r="Q1305" s="124" t="str">
        <f>"T"&amp;INT((MONTH(A1305)-1)/3)+1&amp;"-"&amp;YEAR(A1305)</f>
        <v>T1-2026</v>
      </c>
      <c r="R1305" s="124" t="s">
        <v>2741</v>
      </c>
      <c r="S1305" s="124" t="s">
        <v>2723</v>
      </c>
      <c r="T1305" s="124" t="s">
        <v>2707</v>
      </c>
      <c r="U1305" s="9" t="s">
        <v>2708</v>
      </c>
      <c r="V1305" s="205" t="s">
        <v>54</v>
      </c>
      <c r="W1305" s="122" t="s">
        <v>125</v>
      </c>
      <c r="X1305" s="124" t="s">
        <v>2709</v>
      </c>
    </row>
    <row r="1306" spans="1:24">
      <c r="A1306" s="548">
        <v>46080</v>
      </c>
      <c r="B1306" s="132">
        <v>44967481</v>
      </c>
      <c r="C1306" s="32" t="s">
        <v>2697</v>
      </c>
      <c r="D1306" s="210">
        <v>-58.31</v>
      </c>
      <c r="E1306" s="120">
        <v>1</v>
      </c>
      <c r="F1306" s="121">
        <f>Tabla5109[[#This Row],[Original Amount]]*Tabla5109[[#This Row],[ER to EUR]]</f>
        <v>-58.31</v>
      </c>
      <c r="G1306" s="9" t="s">
        <v>2698</v>
      </c>
      <c r="H1306" s="9" t="s">
        <v>4845</v>
      </c>
      <c r="I1306" s="9" t="s">
        <v>2755</v>
      </c>
      <c r="J1306" s="9" t="s">
        <v>2701</v>
      </c>
      <c r="K1306" s="205" t="s">
        <v>2702</v>
      </c>
      <c r="L1306" s="9" t="s">
        <v>2703</v>
      </c>
      <c r="M1306" s="32" t="s">
        <v>125</v>
      </c>
      <c r="N1306" s="122" t="s">
        <v>2704</v>
      </c>
      <c r="O1306" s="129" t="s">
        <v>2704</v>
      </c>
      <c r="P1306" s="123" t="str">
        <f>"C"&amp;INT((MONTH(A1306)-1)/4)+1&amp;"-"&amp;YEAR(A1306)</f>
        <v>C1-2026</v>
      </c>
      <c r="Q1306" s="124" t="str">
        <f>"T"&amp;INT((MONTH(A1306)-1)/3)+1&amp;"-"&amp;YEAR(A1306)</f>
        <v>T1-2026</v>
      </c>
      <c r="R1306" s="124" t="s">
        <v>2741</v>
      </c>
      <c r="S1306" s="124" t="s">
        <v>2723</v>
      </c>
      <c r="T1306" s="124" t="s">
        <v>2707</v>
      </c>
      <c r="U1306" s="9" t="s">
        <v>2708</v>
      </c>
      <c r="V1306" s="205" t="s">
        <v>54</v>
      </c>
      <c r="W1306" s="122" t="s">
        <v>125</v>
      </c>
      <c r="X1306" s="124" t="s">
        <v>2709</v>
      </c>
    </row>
    <row r="1307" spans="1:24">
      <c r="A1307" s="548">
        <v>46080</v>
      </c>
      <c r="B1307" s="144">
        <v>97267</v>
      </c>
      <c r="C1307" s="32" t="s">
        <v>2543</v>
      </c>
      <c r="D1307" s="152">
        <v>-40000</v>
      </c>
      <c r="E1307" s="32">
        <v>9.7400000000000004E-4</v>
      </c>
      <c r="F1307" s="121">
        <f>Tabla5109[[#This Row],[Original Amount]]*Tabla5109[[#This Row],[ER to EUR]]</f>
        <v>-38.96</v>
      </c>
      <c r="G1307" s="9" t="s">
        <v>6001</v>
      </c>
      <c r="H1307" s="9" t="s">
        <v>6002</v>
      </c>
      <c r="I1307" s="9" t="s">
        <v>6003</v>
      </c>
      <c r="J1307" s="9" t="s">
        <v>2825</v>
      </c>
      <c r="K1307" s="205" t="s">
        <v>2826</v>
      </c>
      <c r="L1307" s="9" t="s">
        <v>2827</v>
      </c>
      <c r="M1307" s="32" t="s">
        <v>125</v>
      </c>
      <c r="N1307" s="129" t="s">
        <v>2704</v>
      </c>
      <c r="O1307" s="129" t="s">
        <v>2704</v>
      </c>
      <c r="P1307" s="123" t="str">
        <f>"C"&amp;INT((MONTH(A1307)-1)/4)+1&amp;"-"&amp;YEAR(A1307)</f>
        <v>C1-2026</v>
      </c>
      <c r="Q1307" s="123" t="str">
        <f>"T"&amp;INT((MONTH(A1307)-1)/3)+1&amp;"-"&amp;YEAR(A1307)</f>
        <v>T1-2026</v>
      </c>
      <c r="R1307" s="124" t="s">
        <v>2794</v>
      </c>
      <c r="S1307" s="124" t="s">
        <v>2706</v>
      </c>
      <c r="T1307" s="123" t="s">
        <v>2717</v>
      </c>
      <c r="U1307" s="203" t="s">
        <v>2708</v>
      </c>
      <c r="V1307" s="573" t="s">
        <v>56</v>
      </c>
      <c r="W1307" s="237" t="s">
        <v>125</v>
      </c>
      <c r="X1307" s="201" t="s">
        <v>2709</v>
      </c>
    </row>
    <row r="1308" spans="1:24">
      <c r="A1308" s="548">
        <v>46081</v>
      </c>
      <c r="B1308" s="130" t="s">
        <v>6575</v>
      </c>
      <c r="C1308" s="32" t="s">
        <v>2697</v>
      </c>
      <c r="D1308" s="210">
        <v>-1920.48</v>
      </c>
      <c r="E1308" s="120">
        <v>1</v>
      </c>
      <c r="F1308" s="121">
        <f>Tabla5109[[#This Row],[Original Amount]]*Tabla5109[[#This Row],[ER to EUR]]</f>
        <v>-1920.48</v>
      </c>
      <c r="G1308" s="9" t="s">
        <v>3692</v>
      </c>
      <c r="H1308" s="9" t="s">
        <v>6576</v>
      </c>
      <c r="I1308" s="9" t="s">
        <v>2713</v>
      </c>
      <c r="J1308" s="9" t="s">
        <v>2701</v>
      </c>
      <c r="K1308" s="205" t="s">
        <v>2702</v>
      </c>
      <c r="L1308" s="9" t="s">
        <v>6577</v>
      </c>
      <c r="M1308" s="227" t="s">
        <v>125</v>
      </c>
      <c r="N1308" s="122" t="s">
        <v>2748</v>
      </c>
      <c r="O1308" s="129" t="s">
        <v>2748</v>
      </c>
      <c r="P1308" s="123" t="str">
        <f>"C"&amp;INT((MONTH(A1308)-1)/4)+1&amp;"-"&amp;YEAR(A1308)</f>
        <v>C1-2026</v>
      </c>
      <c r="Q1308" s="123" t="str">
        <f>"T"&amp;INT((MONTH(A1308)-1)/3)+1&amp;"-"&amp;YEAR(A1308)</f>
        <v>T1-2026</v>
      </c>
      <c r="R1308" s="91" t="s">
        <v>6009</v>
      </c>
      <c r="S1308" s="123" t="s">
        <v>2750</v>
      </c>
      <c r="T1308" s="123" t="s">
        <v>2724</v>
      </c>
      <c r="U1308" s="162" t="s">
        <v>2708</v>
      </c>
      <c r="V1308" s="162" t="s">
        <v>56</v>
      </c>
      <c r="W1308" s="237" t="s">
        <v>125</v>
      </c>
      <c r="X1308" s="201" t="s">
        <v>2709</v>
      </c>
    </row>
    <row r="1309" spans="1:24">
      <c r="A1309" s="548">
        <v>46081</v>
      </c>
      <c r="B1309" s="133" t="s">
        <v>4864</v>
      </c>
      <c r="C1309" s="32" t="s">
        <v>2697</v>
      </c>
      <c r="D1309" s="210">
        <v>-19.989999999999998</v>
      </c>
      <c r="E1309" s="120">
        <v>1</v>
      </c>
      <c r="F1309" s="121">
        <f>Tabla5109[[#This Row],[Original Amount]]*Tabla5109[[#This Row],[ER to EUR]]</f>
        <v>-19.989999999999998</v>
      </c>
      <c r="G1309" s="9" t="s">
        <v>2830</v>
      </c>
      <c r="H1309" s="9" t="s">
        <v>4117</v>
      </c>
      <c r="I1309" s="9" t="s">
        <v>2784</v>
      </c>
      <c r="J1309" s="9" t="s">
        <v>2817</v>
      </c>
      <c r="K1309" s="205" t="s">
        <v>2702</v>
      </c>
      <c r="L1309" s="9" t="s">
        <v>2818</v>
      </c>
      <c r="M1309" s="32" t="s">
        <v>125</v>
      </c>
      <c r="N1309" s="122" t="s">
        <v>2704</v>
      </c>
      <c r="O1309" s="129" t="s">
        <v>2704</v>
      </c>
      <c r="P1309" s="123" t="str">
        <f>"C"&amp;INT((MONTH(A1309)-1)/4)+1&amp;"-"&amp;YEAR(A1309)</f>
        <v>C1-2026</v>
      </c>
      <c r="Q1309" s="124" t="str">
        <f>"T"&amp;INT((MONTH(A1309)-1)/3)+1&amp;"-"&amp;YEAR(A1309)</f>
        <v>T1-2026</v>
      </c>
      <c r="R1309" s="124" t="s">
        <v>2722</v>
      </c>
      <c r="S1309" s="124" t="s">
        <v>2723</v>
      </c>
      <c r="T1309" s="124" t="s">
        <v>2724</v>
      </c>
      <c r="U1309" s="9" t="s">
        <v>2708</v>
      </c>
      <c r="V1309" s="205" t="s">
        <v>54</v>
      </c>
      <c r="W1309" s="122" t="s">
        <v>125</v>
      </c>
      <c r="X1309" s="124" t="s">
        <v>2709</v>
      </c>
    </row>
    <row r="1310" spans="1:24">
      <c r="A1310" s="548">
        <v>46081</v>
      </c>
      <c r="B1310" s="133" t="s">
        <v>4887</v>
      </c>
      <c r="C1310" s="32" t="s">
        <v>2697</v>
      </c>
      <c r="D1310" s="210">
        <v>-334.64</v>
      </c>
      <c r="E1310" s="120">
        <v>1</v>
      </c>
      <c r="F1310" s="121">
        <f>Tabla5109[[#This Row],[Original Amount]]*Tabla5109[[#This Row],[ER to EUR]]</f>
        <v>-334.64</v>
      </c>
      <c r="G1310" s="9" t="s">
        <v>4224</v>
      </c>
      <c r="H1310" s="9" t="s">
        <v>4225</v>
      </c>
      <c r="I1310" s="9" t="s">
        <v>4072</v>
      </c>
      <c r="J1310" s="9" t="s">
        <v>2701</v>
      </c>
      <c r="K1310" s="205" t="s">
        <v>2702</v>
      </c>
      <c r="L1310" s="211" t="s">
        <v>2793</v>
      </c>
      <c r="M1310" s="387" t="s">
        <v>125</v>
      </c>
      <c r="N1310" s="122" t="s">
        <v>2704</v>
      </c>
      <c r="O1310" s="129" t="s">
        <v>2704</v>
      </c>
      <c r="P1310" s="123" t="str">
        <f>"C"&amp;INT((MONTH(A1310)-1)/4)+1&amp;"-"&amp;YEAR(A1310)</f>
        <v>C1-2026</v>
      </c>
      <c r="Q1310" s="124" t="str">
        <f>"T"&amp;INT((MONTH(A1310)-1)/3)+1&amp;"-"&amp;YEAR(A1310)</f>
        <v>T1-2026</v>
      </c>
      <c r="R1310" s="91" t="s">
        <v>2794</v>
      </c>
      <c r="S1310" s="124" t="s">
        <v>2731</v>
      </c>
      <c r="T1310" s="124" t="s">
        <v>2724</v>
      </c>
      <c r="U1310" s="9" t="s">
        <v>2708</v>
      </c>
      <c r="V1310" s="205" t="s">
        <v>54</v>
      </c>
      <c r="W1310" s="122" t="s">
        <v>125</v>
      </c>
      <c r="X1310" s="123" t="s">
        <v>2709</v>
      </c>
    </row>
    <row r="1311" spans="1:24">
      <c r="A1311" s="548">
        <v>46081</v>
      </c>
      <c r="B1311" s="133" t="s">
        <v>4884</v>
      </c>
      <c r="C1311" s="32" t="s">
        <v>2697</v>
      </c>
      <c r="D1311" s="598">
        <v>-62.49</v>
      </c>
      <c r="E1311" s="120">
        <v>1</v>
      </c>
      <c r="F1311" s="121">
        <f>Tabla5109[[#This Row],[Original Amount]]*Tabla5109[[#This Row],[ER to EUR]]</f>
        <v>-62.49</v>
      </c>
      <c r="G1311" s="9" t="s">
        <v>2956</v>
      </c>
      <c r="H1311" s="73" t="s">
        <v>3214</v>
      </c>
      <c r="I1311" s="9" t="s">
        <v>2739</v>
      </c>
      <c r="J1311" s="9" t="s">
        <v>2701</v>
      </c>
      <c r="K1311" s="205" t="s">
        <v>2702</v>
      </c>
      <c r="L1311" s="9" t="s">
        <v>2740</v>
      </c>
      <c r="M1311" s="32" t="s">
        <v>125</v>
      </c>
      <c r="N1311" s="122" t="s">
        <v>2748</v>
      </c>
      <c r="O1311" s="129" t="s">
        <v>2748</v>
      </c>
      <c r="P1311" s="123" t="str">
        <f>"C"&amp;INT((MONTH(A1311)-1)/4)+1&amp;"-"&amp;YEAR(A1311)</f>
        <v>C1-2026</v>
      </c>
      <c r="Q1311" s="124" t="str">
        <f>"T"&amp;INT((MONTH(A1311)-1)/3)+1&amp;"-"&amp;YEAR(A1311)</f>
        <v>T1-2026</v>
      </c>
      <c r="R1311" s="124" t="s">
        <v>2705</v>
      </c>
      <c r="S1311" s="124" t="s">
        <v>2706</v>
      </c>
      <c r="T1311" s="124" t="s">
        <v>2724</v>
      </c>
      <c r="U1311" s="9" t="s">
        <v>2708</v>
      </c>
      <c r="V1311" s="205" t="s">
        <v>54</v>
      </c>
      <c r="W1311" s="122" t="s">
        <v>125</v>
      </c>
      <c r="X1311" s="124" t="s">
        <v>2709</v>
      </c>
    </row>
    <row r="1312" spans="1:24">
      <c r="A1312" s="548">
        <v>46081</v>
      </c>
      <c r="B1312" s="194" t="s">
        <v>2871</v>
      </c>
      <c r="C1312" s="32" t="s">
        <v>2697</v>
      </c>
      <c r="D1312" s="598">
        <v>-8500</v>
      </c>
      <c r="E1312" s="120">
        <v>1</v>
      </c>
      <c r="F1312" s="121">
        <f>Tabla5109[[#This Row],[Original Amount]]*Tabla5109[[#This Row],[ER to EUR]]</f>
        <v>-8500</v>
      </c>
      <c r="G1312" s="9" t="s">
        <v>3717</v>
      </c>
      <c r="H1312" s="9" t="s">
        <v>4906</v>
      </c>
      <c r="I1312" s="91" t="s">
        <v>2713</v>
      </c>
      <c r="J1312" s="91" t="s">
        <v>2770</v>
      </c>
      <c r="K1312" s="196" t="s">
        <v>2874</v>
      </c>
      <c r="L1312" s="91" t="s">
        <v>2875</v>
      </c>
      <c r="M1312" s="232" t="s">
        <v>125</v>
      </c>
      <c r="N1312" s="129" t="s">
        <v>2748</v>
      </c>
      <c r="O1312" s="129" t="s">
        <v>2748</v>
      </c>
      <c r="P1312" s="123" t="str">
        <f>"C"&amp;INT((MONTH(A1312)-1)/4)+1&amp;"-"&amp;YEAR(A1312)</f>
        <v>C1-2026</v>
      </c>
      <c r="Q1312" s="124" t="str">
        <f>"T"&amp;INT((MONTH(A1312)-1)/3)+1&amp;"-"&amp;YEAR(A1312)</f>
        <v>T1-2026</v>
      </c>
      <c r="R1312" s="91" t="s">
        <v>2705</v>
      </c>
      <c r="S1312" s="124" t="s">
        <v>2706</v>
      </c>
      <c r="T1312" s="124" t="s">
        <v>2717</v>
      </c>
      <c r="U1312" s="9" t="s">
        <v>2708</v>
      </c>
      <c r="V1312" s="205" t="s">
        <v>56</v>
      </c>
      <c r="W1312" s="122" t="s">
        <v>125</v>
      </c>
      <c r="X1312" s="123" t="s">
        <v>2709</v>
      </c>
    </row>
    <row r="1313" spans="1:24">
      <c r="A1313" s="548">
        <v>46081</v>
      </c>
      <c r="B1313" s="194" t="s">
        <v>2871</v>
      </c>
      <c r="C1313" s="32" t="s">
        <v>2697</v>
      </c>
      <c r="D1313" s="598">
        <v>-5671.18</v>
      </c>
      <c r="E1313" s="120">
        <v>1</v>
      </c>
      <c r="F1313" s="121">
        <f>Tabla5109[[#This Row],[Original Amount]]*Tabla5109[[#This Row],[ER to EUR]]</f>
        <v>-5671.18</v>
      </c>
      <c r="G1313" s="9" t="s">
        <v>3257</v>
      </c>
      <c r="H1313" s="9" t="s">
        <v>4906</v>
      </c>
      <c r="I1313" s="91" t="s">
        <v>2713</v>
      </c>
      <c r="J1313" s="91" t="s">
        <v>2770</v>
      </c>
      <c r="K1313" s="196" t="s">
        <v>2874</v>
      </c>
      <c r="L1313" s="91" t="s">
        <v>2875</v>
      </c>
      <c r="M1313" s="232" t="s">
        <v>125</v>
      </c>
      <c r="N1313" s="129" t="s">
        <v>2748</v>
      </c>
      <c r="O1313" s="129" t="s">
        <v>2748</v>
      </c>
      <c r="P1313" s="123" t="str">
        <f>"C"&amp;INT((MONTH(A1313)-1)/4)+1&amp;"-"&amp;YEAR(A1313)</f>
        <v>C1-2026</v>
      </c>
      <c r="Q1313" s="124" t="str">
        <f>"T"&amp;INT((MONTH(A1313)-1)/3)+1&amp;"-"&amp;YEAR(A1313)</f>
        <v>T1-2026</v>
      </c>
      <c r="R1313" s="91" t="s">
        <v>2705</v>
      </c>
      <c r="S1313" s="124" t="s">
        <v>2706</v>
      </c>
      <c r="T1313" s="124" t="s">
        <v>2717</v>
      </c>
      <c r="U1313" s="9" t="s">
        <v>2708</v>
      </c>
      <c r="V1313" s="205" t="s">
        <v>56</v>
      </c>
      <c r="W1313" s="122" t="s">
        <v>125</v>
      </c>
      <c r="X1313" s="123" t="s">
        <v>2709</v>
      </c>
    </row>
    <row r="1314" spans="1:24">
      <c r="A1314" s="548">
        <v>46081</v>
      </c>
      <c r="B1314" s="194" t="s">
        <v>2871</v>
      </c>
      <c r="C1314" s="32" t="s">
        <v>2697</v>
      </c>
      <c r="D1314" s="598">
        <v>-11730.13</v>
      </c>
      <c r="E1314" s="120">
        <v>1</v>
      </c>
      <c r="F1314" s="121">
        <f>Tabla5109[[#This Row],[Original Amount]]*Tabla5109[[#This Row],[ER to EUR]]</f>
        <v>-11730.13</v>
      </c>
      <c r="G1314" s="9" t="s">
        <v>3844</v>
      </c>
      <c r="H1314" s="9" t="s">
        <v>4906</v>
      </c>
      <c r="I1314" s="91" t="s">
        <v>2713</v>
      </c>
      <c r="J1314" s="91" t="s">
        <v>2770</v>
      </c>
      <c r="K1314" s="196" t="s">
        <v>2874</v>
      </c>
      <c r="L1314" s="91" t="s">
        <v>2875</v>
      </c>
      <c r="M1314" s="232" t="s">
        <v>125</v>
      </c>
      <c r="N1314" s="129" t="s">
        <v>2748</v>
      </c>
      <c r="O1314" s="129" t="s">
        <v>2748</v>
      </c>
      <c r="P1314" s="123" t="str">
        <f>"C"&amp;INT((MONTH(A1314)-1)/4)+1&amp;"-"&amp;YEAR(A1314)</f>
        <v>C1-2026</v>
      </c>
      <c r="Q1314" s="124" t="str">
        <f>"T"&amp;INT((MONTH(A1314)-1)/3)+1&amp;"-"&amp;YEAR(A1314)</f>
        <v>T1-2026</v>
      </c>
      <c r="R1314" s="91" t="s">
        <v>2705</v>
      </c>
      <c r="S1314" s="124" t="s">
        <v>2706</v>
      </c>
      <c r="T1314" s="124" t="s">
        <v>2717</v>
      </c>
      <c r="U1314" s="9" t="s">
        <v>2708</v>
      </c>
      <c r="V1314" s="205" t="s">
        <v>56</v>
      </c>
      <c r="W1314" s="122" t="s">
        <v>125</v>
      </c>
      <c r="X1314" s="123" t="s">
        <v>2709</v>
      </c>
    </row>
    <row r="1315" spans="1:24">
      <c r="A1315" s="548">
        <v>46081</v>
      </c>
      <c r="B1315" s="194" t="s">
        <v>2871</v>
      </c>
      <c r="C1315" s="32" t="s">
        <v>2543</v>
      </c>
      <c r="D1315" s="152">
        <v>-1687098</v>
      </c>
      <c r="E1315" s="32">
        <v>9.7400000000000004E-4</v>
      </c>
      <c r="F1315" s="121">
        <f>Tabla5109[[#This Row],[Original Amount]]*Tabla5109[[#This Row],[ER to EUR]]</f>
        <v>-1643.2334520000002</v>
      </c>
      <c r="G1315" s="91" t="s">
        <v>2872</v>
      </c>
      <c r="H1315" s="9" t="s">
        <v>4907</v>
      </c>
      <c r="I1315" s="9" t="s">
        <v>2713</v>
      </c>
      <c r="J1315" s="9" t="s">
        <v>2770</v>
      </c>
      <c r="K1315" s="205" t="s">
        <v>2874</v>
      </c>
      <c r="L1315" s="9" t="s">
        <v>2875</v>
      </c>
      <c r="M1315" s="227" t="s">
        <v>2748</v>
      </c>
      <c r="N1315" s="122" t="s">
        <v>2748</v>
      </c>
      <c r="O1315" s="129" t="s">
        <v>2748</v>
      </c>
      <c r="P1315" s="123" t="str">
        <f>"C"&amp;INT((MONTH(A1315)-1)/4)+1&amp;"-"&amp;YEAR(A1315)</f>
        <v>C1-2026</v>
      </c>
      <c r="Q1315" s="124" t="str">
        <f>"T"&amp;INT((MONTH(A1315)-1)/3)+1&amp;"-"&amp;YEAR(A1315)</f>
        <v>T1-2026</v>
      </c>
      <c r="R1315" s="91" t="s">
        <v>2749</v>
      </c>
      <c r="S1315" s="124" t="s">
        <v>2750</v>
      </c>
      <c r="T1315" s="124" t="s">
        <v>2724</v>
      </c>
      <c r="U1315" s="9" t="s">
        <v>2708</v>
      </c>
      <c r="V1315" s="205" t="s">
        <v>54</v>
      </c>
      <c r="W1315" s="122" t="s">
        <v>125</v>
      </c>
      <c r="X1315" s="123" t="s">
        <v>2751</v>
      </c>
    </row>
    <row r="1316" spans="1:24">
      <c r="A1316" s="548">
        <v>46081</v>
      </c>
      <c r="B1316" s="194" t="s">
        <v>2871</v>
      </c>
      <c r="C1316" s="32" t="s">
        <v>2543</v>
      </c>
      <c r="D1316" s="152">
        <v>-10209452</v>
      </c>
      <c r="E1316" s="32">
        <v>9.7400000000000004E-4</v>
      </c>
      <c r="F1316" s="121">
        <f>Tabla5109[[#This Row],[Original Amount]]*Tabla5109[[#This Row],[ER to EUR]]</f>
        <v>-9944.0062479999997</v>
      </c>
      <c r="G1316" s="9" t="s">
        <v>2876</v>
      </c>
      <c r="H1316" s="9" t="s">
        <v>4907</v>
      </c>
      <c r="I1316" s="9" t="s">
        <v>2713</v>
      </c>
      <c r="J1316" s="9" t="s">
        <v>2770</v>
      </c>
      <c r="K1316" s="205" t="s">
        <v>2874</v>
      </c>
      <c r="L1316" s="9" t="s">
        <v>2875</v>
      </c>
      <c r="M1316" s="227" t="s">
        <v>2748</v>
      </c>
      <c r="N1316" s="122" t="s">
        <v>2748</v>
      </c>
      <c r="O1316" s="129" t="s">
        <v>2748</v>
      </c>
      <c r="P1316" s="123" t="str">
        <f>"C"&amp;INT((MONTH(A1316)-1)/4)+1&amp;"-"&amp;YEAR(A1316)</f>
        <v>C1-2026</v>
      </c>
      <c r="Q1316" s="124" t="str">
        <f>"T"&amp;INT((MONTH(A1316)-1)/3)+1&amp;"-"&amp;YEAR(A1316)</f>
        <v>T1-2026</v>
      </c>
      <c r="R1316" s="91" t="s">
        <v>2749</v>
      </c>
      <c r="S1316" s="124" t="s">
        <v>2750</v>
      </c>
      <c r="T1316" s="124" t="s">
        <v>2724</v>
      </c>
      <c r="U1316" s="9" t="s">
        <v>2708</v>
      </c>
      <c r="V1316" s="205" t="s">
        <v>54</v>
      </c>
      <c r="W1316" s="122" t="s">
        <v>125</v>
      </c>
      <c r="X1316" s="123" t="s">
        <v>2751</v>
      </c>
    </row>
    <row r="1317" spans="1:24">
      <c r="A1317" s="548">
        <v>46081</v>
      </c>
      <c r="B1317" s="194" t="s">
        <v>2871</v>
      </c>
      <c r="C1317" s="32" t="s">
        <v>2543</v>
      </c>
      <c r="D1317" s="152">
        <v>-9752600</v>
      </c>
      <c r="E1317" s="32">
        <v>9.7400000000000004E-4</v>
      </c>
      <c r="F1317" s="121">
        <f>Tabla5109[[#This Row],[Original Amount]]*Tabla5109[[#This Row],[ER to EUR]]</f>
        <v>-9499.0324000000001</v>
      </c>
      <c r="G1317" s="9" t="s">
        <v>3257</v>
      </c>
      <c r="H1317" s="9" t="s">
        <v>4907</v>
      </c>
      <c r="I1317" s="9" t="s">
        <v>2713</v>
      </c>
      <c r="J1317" s="9" t="s">
        <v>2770</v>
      </c>
      <c r="K1317" s="205" t="s">
        <v>2874</v>
      </c>
      <c r="L1317" s="9" t="s">
        <v>2875</v>
      </c>
      <c r="M1317" s="227" t="s">
        <v>2748</v>
      </c>
      <c r="N1317" s="122" t="s">
        <v>2748</v>
      </c>
      <c r="O1317" s="129" t="s">
        <v>2748</v>
      </c>
      <c r="P1317" s="123" t="str">
        <f>"C"&amp;INT((MONTH(A1317)-1)/4)+1&amp;"-"&amp;YEAR(A1317)</f>
        <v>C1-2026</v>
      </c>
      <c r="Q1317" s="124" t="str">
        <f>"T"&amp;INT((MONTH(A1317)-1)/3)+1&amp;"-"&amp;YEAR(A1317)</f>
        <v>T1-2026</v>
      </c>
      <c r="R1317" s="91" t="s">
        <v>2749</v>
      </c>
      <c r="S1317" s="124" t="s">
        <v>2750</v>
      </c>
      <c r="T1317" s="124" t="s">
        <v>2724</v>
      </c>
      <c r="U1317" s="9" t="s">
        <v>2708</v>
      </c>
      <c r="V1317" s="205" t="s">
        <v>54</v>
      </c>
      <c r="W1317" s="122" t="s">
        <v>125</v>
      </c>
      <c r="X1317" s="123" t="s">
        <v>2751</v>
      </c>
    </row>
    <row r="1318" spans="1:24">
      <c r="A1318" s="548">
        <v>46081</v>
      </c>
      <c r="B1318" s="194" t="s">
        <v>2871</v>
      </c>
      <c r="C1318" s="32" t="s">
        <v>2543</v>
      </c>
      <c r="D1318" s="152">
        <v>-2520418</v>
      </c>
      <c r="E1318" s="32">
        <v>9.7400000000000004E-4</v>
      </c>
      <c r="F1318" s="121">
        <f>Tabla5109[[#This Row],[Original Amount]]*Tabla5109[[#This Row],[ER to EUR]]</f>
        <v>-2454.8871320000003</v>
      </c>
      <c r="G1318" s="9" t="s">
        <v>3436</v>
      </c>
      <c r="H1318" s="9" t="s">
        <v>4907</v>
      </c>
      <c r="I1318" s="9" t="s">
        <v>2713</v>
      </c>
      <c r="J1318" s="9" t="s">
        <v>2770</v>
      </c>
      <c r="K1318" s="205" t="s">
        <v>2874</v>
      </c>
      <c r="L1318" s="9" t="s">
        <v>2875</v>
      </c>
      <c r="M1318" s="227" t="s">
        <v>2748</v>
      </c>
      <c r="N1318" s="122" t="s">
        <v>2748</v>
      </c>
      <c r="O1318" s="129" t="s">
        <v>2748</v>
      </c>
      <c r="P1318" s="123" t="str">
        <f>"C"&amp;INT((MONTH(A1318)-1)/4)+1&amp;"-"&amp;YEAR(A1318)</f>
        <v>C1-2026</v>
      </c>
      <c r="Q1318" s="124" t="str">
        <f>"T"&amp;INT((MONTH(A1318)-1)/3)+1&amp;"-"&amp;YEAR(A1318)</f>
        <v>T1-2026</v>
      </c>
      <c r="R1318" s="91" t="s">
        <v>2749</v>
      </c>
      <c r="S1318" s="124" t="s">
        <v>2750</v>
      </c>
      <c r="T1318" s="124" t="s">
        <v>2724</v>
      </c>
      <c r="U1318" s="9" t="s">
        <v>2708</v>
      </c>
      <c r="V1318" s="205" t="s">
        <v>54</v>
      </c>
      <c r="W1318" s="122" t="s">
        <v>125</v>
      </c>
      <c r="X1318" s="123" t="s">
        <v>2751</v>
      </c>
    </row>
    <row r="1319" spans="1:24">
      <c r="A1319" s="548">
        <v>46081</v>
      </c>
      <c r="B1319" s="194" t="s">
        <v>2871</v>
      </c>
      <c r="C1319" s="32" t="s">
        <v>2543</v>
      </c>
      <c r="D1319" s="152">
        <v>-8256632</v>
      </c>
      <c r="E1319" s="32">
        <v>9.7400000000000004E-4</v>
      </c>
      <c r="F1319" s="121">
        <f>Tabla5109[[#This Row],[Original Amount]]*Tabla5109[[#This Row],[ER to EUR]]</f>
        <v>-8041.9595680000002</v>
      </c>
      <c r="G1319" s="9" t="s">
        <v>2877</v>
      </c>
      <c r="H1319" s="9" t="s">
        <v>4907</v>
      </c>
      <c r="I1319" s="9" t="s">
        <v>2713</v>
      </c>
      <c r="J1319" s="9" t="s">
        <v>2770</v>
      </c>
      <c r="K1319" s="205" t="s">
        <v>2874</v>
      </c>
      <c r="L1319" s="9" t="s">
        <v>2875</v>
      </c>
      <c r="M1319" s="227" t="s">
        <v>2748</v>
      </c>
      <c r="N1319" s="122" t="s">
        <v>2748</v>
      </c>
      <c r="O1319" s="129" t="s">
        <v>2748</v>
      </c>
      <c r="P1319" s="123" t="str">
        <f>"C"&amp;INT((MONTH(A1319)-1)/4)+1&amp;"-"&amp;YEAR(A1319)</f>
        <v>C1-2026</v>
      </c>
      <c r="Q1319" s="124" t="str">
        <f>"T"&amp;INT((MONTH(A1319)-1)/3)+1&amp;"-"&amp;YEAR(A1319)</f>
        <v>T1-2026</v>
      </c>
      <c r="R1319" s="91" t="s">
        <v>2749</v>
      </c>
      <c r="S1319" s="124" t="s">
        <v>2750</v>
      </c>
      <c r="T1319" s="124" t="s">
        <v>2724</v>
      </c>
      <c r="U1319" s="9" t="s">
        <v>2708</v>
      </c>
      <c r="V1319" s="205" t="s">
        <v>54</v>
      </c>
      <c r="W1319" s="122" t="s">
        <v>125</v>
      </c>
      <c r="X1319" s="123" t="s">
        <v>2751</v>
      </c>
    </row>
    <row r="1320" spans="1:24">
      <c r="A1320" s="548">
        <v>46081</v>
      </c>
      <c r="B1320" s="133" t="s">
        <v>4871</v>
      </c>
      <c r="C1320" s="32" t="s">
        <v>2548</v>
      </c>
      <c r="D1320" s="136">
        <v>-355.28</v>
      </c>
      <c r="E1320" s="222">
        <v>0.84359700000000004</v>
      </c>
      <c r="F1320" s="121">
        <f>Tabla5109[[#This Row],[Original Amount]]*Tabla5109[[#This Row],[ER to EUR]]</f>
        <v>-299.71314216000002</v>
      </c>
      <c r="G1320" s="9" t="s">
        <v>2766</v>
      </c>
      <c r="H1320" s="9" t="s">
        <v>4872</v>
      </c>
      <c r="I1320" s="9" t="s">
        <v>2713</v>
      </c>
      <c r="J1320" s="9" t="s">
        <v>2701</v>
      </c>
      <c r="K1320" s="205" t="s">
        <v>2702</v>
      </c>
      <c r="L1320" s="9" t="s">
        <v>2760</v>
      </c>
      <c r="M1320" s="32" t="s">
        <v>125</v>
      </c>
      <c r="N1320" s="122" t="s">
        <v>2704</v>
      </c>
      <c r="O1320" s="122" t="s">
        <v>2704</v>
      </c>
      <c r="P1320" s="123" t="str">
        <f>"C"&amp;INT((MONTH(A1320)-1)/4)+1&amp;"-"&amp;YEAR(A1320)</f>
        <v>C1-2026</v>
      </c>
      <c r="Q1320" s="124" t="str">
        <f>"T"&amp;INT((MONTH(A1320)-1)/3)+1&amp;"-"&amp;YEAR(A1320)</f>
        <v>T1-2026</v>
      </c>
      <c r="R1320" s="124" t="s">
        <v>2705</v>
      </c>
      <c r="S1320" s="124" t="s">
        <v>2735</v>
      </c>
      <c r="T1320" s="124" t="s">
        <v>2724</v>
      </c>
      <c r="U1320" s="9" t="s">
        <v>2708</v>
      </c>
      <c r="V1320" s="205" t="s">
        <v>55</v>
      </c>
      <c r="W1320" s="122" t="s">
        <v>125</v>
      </c>
      <c r="X1320" s="124" t="s">
        <v>2709</v>
      </c>
    </row>
    <row r="1321" spans="1:24">
      <c r="A1321" s="548">
        <v>46081</v>
      </c>
      <c r="B1321" s="194" t="s">
        <v>2871</v>
      </c>
      <c r="C1321" s="32" t="s">
        <v>2697</v>
      </c>
      <c r="D1321" s="598">
        <v>-640</v>
      </c>
      <c r="E1321" s="120">
        <v>1</v>
      </c>
      <c r="F1321" s="121">
        <f>Tabla5109[[#This Row],[Original Amount]]*Tabla5109[[#This Row],[ER to EUR]]</f>
        <v>-640</v>
      </c>
      <c r="G1321" s="9" t="s">
        <v>3436</v>
      </c>
      <c r="H1321" s="9" t="s">
        <v>4906</v>
      </c>
      <c r="I1321" s="91" t="s">
        <v>2713</v>
      </c>
      <c r="J1321" s="91" t="s">
        <v>2770</v>
      </c>
      <c r="K1321" s="196" t="s">
        <v>2874</v>
      </c>
      <c r="L1321" s="91" t="s">
        <v>2875</v>
      </c>
      <c r="M1321" s="232" t="s">
        <v>125</v>
      </c>
      <c r="N1321" s="129" t="s">
        <v>2748</v>
      </c>
      <c r="O1321" s="129" t="s">
        <v>2748</v>
      </c>
      <c r="P1321" s="123" t="str">
        <f>"C"&amp;INT((MONTH(A1321)-1)/4)+1&amp;"-"&amp;YEAR(A1321)</f>
        <v>C1-2026</v>
      </c>
      <c r="Q1321" s="124" t="str">
        <f>"T"&amp;INT((MONTH(A1321)-1)/3)+1&amp;"-"&amp;YEAR(A1321)</f>
        <v>T1-2026</v>
      </c>
      <c r="R1321" s="91" t="s">
        <v>2705</v>
      </c>
      <c r="S1321" s="124" t="s">
        <v>2706</v>
      </c>
      <c r="T1321" s="124" t="s">
        <v>2717</v>
      </c>
      <c r="U1321" s="9" t="s">
        <v>2708</v>
      </c>
      <c r="V1321" s="205" t="s">
        <v>56</v>
      </c>
      <c r="W1321" s="122" t="s">
        <v>125</v>
      </c>
      <c r="X1321" s="123" t="s">
        <v>2709</v>
      </c>
    </row>
    <row r="1322" spans="1:24">
      <c r="A1322" s="548">
        <v>46082</v>
      </c>
      <c r="B1322" s="133" t="s">
        <v>4881</v>
      </c>
      <c r="C1322" s="32" t="s">
        <v>2548</v>
      </c>
      <c r="D1322" s="151">
        <v>-23.8</v>
      </c>
      <c r="E1322" s="222">
        <v>0.846167</v>
      </c>
      <c r="F1322" s="127">
        <f>Tabla5109[[#This Row],[Original Amount]]*Tabla5109[[#This Row],[ER to EUR]]</f>
        <v>-20.138774600000001</v>
      </c>
      <c r="G1322" s="9" t="s">
        <v>3349</v>
      </c>
      <c r="H1322" s="9" t="s">
        <v>3350</v>
      </c>
      <c r="I1322" s="9" t="s">
        <v>2784</v>
      </c>
      <c r="J1322" s="9" t="s">
        <v>2701</v>
      </c>
      <c r="K1322" s="205" t="s">
        <v>2702</v>
      </c>
      <c r="L1322" s="9" t="s">
        <v>2760</v>
      </c>
      <c r="M1322" s="32" t="s">
        <v>125</v>
      </c>
      <c r="N1322" s="129" t="s">
        <v>2704</v>
      </c>
      <c r="O1322" s="122" t="s">
        <v>2704</v>
      </c>
      <c r="P1322" s="123" t="str">
        <f>"C"&amp;INT((MONTH(A1322)-1)/4)+1&amp;"-"&amp;YEAR(A1322)</f>
        <v>C1-2026</v>
      </c>
      <c r="Q1322" s="124" t="str">
        <f>"T"&amp;INT((MONTH(A1322)-1)/3)+1&amp;"-"&amp;YEAR(A1322)</f>
        <v>T1-2026</v>
      </c>
      <c r="R1322" s="124" t="s">
        <v>2705</v>
      </c>
      <c r="S1322" s="124" t="s">
        <v>2735</v>
      </c>
      <c r="T1322" s="124" t="s">
        <v>2724</v>
      </c>
      <c r="U1322" s="9" t="s">
        <v>2708</v>
      </c>
      <c r="V1322" s="205" t="s">
        <v>55</v>
      </c>
      <c r="W1322" s="122" t="s">
        <v>125</v>
      </c>
      <c r="X1322" s="124" t="s">
        <v>2709</v>
      </c>
    </row>
    <row r="1323" spans="1:24">
      <c r="A1323" s="548">
        <v>46082</v>
      </c>
      <c r="B1323" s="571">
        <v>251472057</v>
      </c>
      <c r="C1323" s="32" t="s">
        <v>2697</v>
      </c>
      <c r="D1323" s="126">
        <v>-14812.07</v>
      </c>
      <c r="E1323" s="120">
        <v>1</v>
      </c>
      <c r="F1323" s="127">
        <f>Tabla5109[[#This Row],[Original Amount]]*Tabla5109[[#This Row],[ER to EUR]]</f>
        <v>-14812.07</v>
      </c>
      <c r="G1323" s="91" t="s">
        <v>2884</v>
      </c>
      <c r="H1323" s="91" t="s">
        <v>2885</v>
      </c>
      <c r="I1323" s="9" t="s">
        <v>2727</v>
      </c>
      <c r="J1323" s="91" t="s">
        <v>2723</v>
      </c>
      <c r="K1323" s="196" t="s">
        <v>2792</v>
      </c>
      <c r="L1323" s="91" t="s">
        <v>2793</v>
      </c>
      <c r="M1323" s="32" t="s">
        <v>125</v>
      </c>
      <c r="N1323" s="129" t="s">
        <v>2704</v>
      </c>
      <c r="O1323" s="129" t="s">
        <v>2704</v>
      </c>
      <c r="P1323" s="123" t="str">
        <f>"C"&amp;INT((MONTH(A1323)-1)/4)+1&amp;"-"&amp;YEAR(A1323)</f>
        <v>C1-2026</v>
      </c>
      <c r="Q1323" s="124" t="str">
        <f>"T"&amp;INT((MONTH(A1323)-1)/3)+1&amp;"-"&amp;YEAR(A1323)</f>
        <v>T1-2026</v>
      </c>
      <c r="R1323" s="124" t="s">
        <v>2741</v>
      </c>
      <c r="S1323" s="124" t="s">
        <v>2723</v>
      </c>
      <c r="T1323" s="124" t="s">
        <v>2707</v>
      </c>
      <c r="U1323" s="9" t="s">
        <v>2708</v>
      </c>
      <c r="V1323" s="205" t="s">
        <v>54</v>
      </c>
      <c r="W1323" s="122" t="s">
        <v>125</v>
      </c>
      <c r="X1323" s="124" t="s">
        <v>2709</v>
      </c>
    </row>
    <row r="1324" spans="1:24">
      <c r="A1324" s="548">
        <v>46082</v>
      </c>
      <c r="B1324" s="506" t="s">
        <v>4885</v>
      </c>
      <c r="C1324" s="32" t="s">
        <v>2697</v>
      </c>
      <c r="D1324" s="126">
        <v>-360.56</v>
      </c>
      <c r="E1324" s="120">
        <v>1</v>
      </c>
      <c r="F1324" s="127">
        <f>Tabla5109[[#This Row],[Original Amount]]*Tabla5109[[#This Row],[ER to EUR]]</f>
        <v>-360.56</v>
      </c>
      <c r="G1324" s="9" t="s">
        <v>4021</v>
      </c>
      <c r="H1324" s="9" t="s">
        <v>4865</v>
      </c>
      <c r="I1324" s="9" t="s">
        <v>2713</v>
      </c>
      <c r="J1324" s="9" t="s">
        <v>2825</v>
      </c>
      <c r="K1324" s="205" t="s">
        <v>2826</v>
      </c>
      <c r="L1324" s="211" t="s">
        <v>2827</v>
      </c>
      <c r="M1324" s="32" t="s">
        <v>125</v>
      </c>
      <c r="N1324" s="122" t="s">
        <v>2704</v>
      </c>
      <c r="O1324" s="129" t="s">
        <v>2704</v>
      </c>
      <c r="P1324" s="123" t="str">
        <f>"C"&amp;INT((MONTH(A1324)-1)/4)+1&amp;"-"&amp;YEAR(A1324)</f>
        <v>C1-2026</v>
      </c>
      <c r="Q1324" s="124" t="str">
        <f>"T"&amp;INT((MONTH(A1324)-1)/3)+1&amp;"-"&amp;YEAR(A1324)</f>
        <v>T1-2026</v>
      </c>
      <c r="R1324" s="91" t="s">
        <v>2705</v>
      </c>
      <c r="S1324" s="124" t="s">
        <v>2706</v>
      </c>
      <c r="T1324" s="124" t="s">
        <v>2717</v>
      </c>
      <c r="U1324" s="91" t="s">
        <v>2708</v>
      </c>
      <c r="V1324" s="196" t="s">
        <v>56</v>
      </c>
      <c r="W1324" s="122" t="s">
        <v>125</v>
      </c>
      <c r="X1324" s="124" t="s">
        <v>2709</v>
      </c>
    </row>
    <row r="1325" spans="1:24">
      <c r="A1325" s="548">
        <v>46082</v>
      </c>
      <c r="B1325" s="506" t="s">
        <v>4886</v>
      </c>
      <c r="C1325" s="32" t="s">
        <v>2697</v>
      </c>
      <c r="D1325" s="126">
        <v>-752.94</v>
      </c>
      <c r="E1325" s="120">
        <v>1</v>
      </c>
      <c r="F1325" s="127">
        <f>Tabla5109[[#This Row],[Original Amount]]*Tabla5109[[#This Row],[ER to EUR]]</f>
        <v>-752.94</v>
      </c>
      <c r="G1325" s="9" t="s">
        <v>4021</v>
      </c>
      <c r="H1325" s="9" t="s">
        <v>4866</v>
      </c>
      <c r="I1325" s="9" t="s">
        <v>2713</v>
      </c>
      <c r="J1325" s="9" t="s">
        <v>2825</v>
      </c>
      <c r="K1325" s="205" t="s">
        <v>2826</v>
      </c>
      <c r="L1325" s="211" t="s">
        <v>2827</v>
      </c>
      <c r="M1325" s="32" t="s">
        <v>125</v>
      </c>
      <c r="N1325" s="122" t="s">
        <v>2704</v>
      </c>
      <c r="O1325" s="129" t="s">
        <v>2704</v>
      </c>
      <c r="P1325" s="123" t="str">
        <f>"C"&amp;INT((MONTH(A1325)-1)/4)+1&amp;"-"&amp;YEAR(A1325)</f>
        <v>C1-2026</v>
      </c>
      <c r="Q1325" s="124" t="str">
        <f>"T"&amp;INT((MONTH(A1325)-1)/3)+1&amp;"-"&amp;YEAR(A1325)</f>
        <v>T1-2026</v>
      </c>
      <c r="R1325" s="91" t="s">
        <v>2705</v>
      </c>
      <c r="S1325" s="124" t="s">
        <v>2706</v>
      </c>
      <c r="T1325" s="124" t="s">
        <v>2717</v>
      </c>
      <c r="U1325" s="91" t="s">
        <v>2708</v>
      </c>
      <c r="V1325" s="196" t="s">
        <v>56</v>
      </c>
      <c r="W1325" s="122" t="s">
        <v>125</v>
      </c>
      <c r="X1325" s="124" t="s">
        <v>2709</v>
      </c>
    </row>
    <row r="1326" spans="1:24">
      <c r="A1326" s="548">
        <v>46082</v>
      </c>
      <c r="B1326" s="133" t="s">
        <v>4867</v>
      </c>
      <c r="C1326" s="32" t="s">
        <v>2697</v>
      </c>
      <c r="D1326" s="126">
        <v>-4527</v>
      </c>
      <c r="E1326" s="120">
        <v>1</v>
      </c>
      <c r="F1326" s="127">
        <f>Tabla5109[[#This Row],[Original Amount]]*Tabla5109[[#This Row],[ER to EUR]]</f>
        <v>-4527</v>
      </c>
      <c r="G1326" s="9" t="s">
        <v>3723</v>
      </c>
      <c r="H1326" s="73" t="s">
        <v>3724</v>
      </c>
      <c r="I1326" s="9" t="s">
        <v>2727</v>
      </c>
      <c r="J1326" s="9" t="s">
        <v>2723</v>
      </c>
      <c r="K1326" s="205" t="s">
        <v>2792</v>
      </c>
      <c r="L1326" s="9" t="s">
        <v>2793</v>
      </c>
      <c r="M1326" s="32" t="s">
        <v>125</v>
      </c>
      <c r="N1326" s="129" t="s">
        <v>2704</v>
      </c>
      <c r="O1326" s="122" t="s">
        <v>2704</v>
      </c>
      <c r="P1326" s="123" t="str">
        <f>"C"&amp;INT((MONTH(A1326)-1)/4)+1&amp;"-"&amp;YEAR(A1326)</f>
        <v>C1-2026</v>
      </c>
      <c r="Q1326" s="124" t="str">
        <f>"T"&amp;INT((MONTH(A1326)-1)/3)+1&amp;"-"&amp;YEAR(A1326)</f>
        <v>T1-2026</v>
      </c>
      <c r="R1326" s="124" t="s">
        <v>2794</v>
      </c>
      <c r="S1326" s="124" t="s">
        <v>2731</v>
      </c>
      <c r="T1326" s="124" t="s">
        <v>2717</v>
      </c>
      <c r="U1326" s="9" t="s">
        <v>2708</v>
      </c>
      <c r="V1326" s="205" t="s">
        <v>57</v>
      </c>
      <c r="W1326" s="122" t="s">
        <v>125</v>
      </c>
      <c r="X1326" s="124" t="s">
        <v>2709</v>
      </c>
    </row>
    <row r="1327" spans="1:24">
      <c r="A1327" s="548">
        <v>46082</v>
      </c>
      <c r="B1327" s="133" t="s">
        <v>4888</v>
      </c>
      <c r="C1327" s="32" t="s">
        <v>2548</v>
      </c>
      <c r="D1327" s="151">
        <v>-12.95</v>
      </c>
      <c r="E1327" s="222">
        <v>0.846167</v>
      </c>
      <c r="F1327" s="127">
        <f>Tabla5109[[#This Row],[Original Amount]]*Tabla5109[[#This Row],[ER to EUR]]</f>
        <v>-10.957862649999999</v>
      </c>
      <c r="G1327" s="9" t="s">
        <v>2884</v>
      </c>
      <c r="H1327" s="9" t="s">
        <v>4009</v>
      </c>
      <c r="I1327" s="9" t="s">
        <v>2755</v>
      </c>
      <c r="J1327" s="9" t="s">
        <v>2723</v>
      </c>
      <c r="K1327" s="205" t="s">
        <v>2792</v>
      </c>
      <c r="L1327" s="9" t="s">
        <v>2793</v>
      </c>
      <c r="M1327" s="32" t="s">
        <v>125</v>
      </c>
      <c r="N1327" s="129" t="s">
        <v>2704</v>
      </c>
      <c r="O1327" s="129" t="s">
        <v>2704</v>
      </c>
      <c r="P1327" s="123" t="str">
        <f>"C"&amp;INT((MONTH(A1327)-1)/4)+1&amp;"-"&amp;YEAR(A1327)</f>
        <v>C1-2026</v>
      </c>
      <c r="Q1327" s="124" t="str">
        <f>"T"&amp;INT((MONTH(A1327)-1)/3)+1&amp;"-"&amp;YEAR(A1327)</f>
        <v>T1-2026</v>
      </c>
      <c r="R1327" s="124" t="s">
        <v>2741</v>
      </c>
      <c r="S1327" s="124" t="s">
        <v>2723</v>
      </c>
      <c r="T1327" s="124" t="s">
        <v>2707</v>
      </c>
      <c r="U1327" s="9" t="s">
        <v>2708</v>
      </c>
      <c r="V1327" s="205" t="s">
        <v>54</v>
      </c>
      <c r="W1327" s="122" t="s">
        <v>125</v>
      </c>
      <c r="X1327" s="123" t="s">
        <v>2709</v>
      </c>
    </row>
    <row r="1328" spans="1:24">
      <c r="A1328" s="548">
        <v>46082</v>
      </c>
      <c r="B1328" s="133" t="s">
        <v>5971</v>
      </c>
      <c r="C1328" s="32" t="s">
        <v>2697</v>
      </c>
      <c r="D1328" s="126">
        <v>-42.17</v>
      </c>
      <c r="E1328" s="120">
        <v>1</v>
      </c>
      <c r="F1328" s="127">
        <f>Tabla5109[[#This Row],[Original Amount]]*Tabla5109[[#This Row],[ER to EUR]]</f>
        <v>-42.17</v>
      </c>
      <c r="G1328" s="9" t="s">
        <v>4889</v>
      </c>
      <c r="H1328" s="9" t="s">
        <v>4904</v>
      </c>
      <c r="I1328" s="9" t="s">
        <v>4905</v>
      </c>
      <c r="J1328" s="9" t="s">
        <v>2701</v>
      </c>
      <c r="K1328" s="205" t="s">
        <v>2702</v>
      </c>
      <c r="L1328" s="9" t="s">
        <v>2760</v>
      </c>
      <c r="M1328" s="32" t="s">
        <v>125</v>
      </c>
      <c r="N1328" s="129" t="s">
        <v>2704</v>
      </c>
      <c r="O1328" s="122" t="s">
        <v>2704</v>
      </c>
      <c r="P1328" s="123" t="str">
        <f>"C"&amp;INT((MONTH(A1328)-1)/4)+1&amp;"-"&amp;YEAR(A1328)</f>
        <v>C1-2026</v>
      </c>
      <c r="Q1328" s="124" t="str">
        <f>"T"&amp;INT((MONTH(A1328)-1)/3)+1&amp;"-"&amp;YEAR(A1328)</f>
        <v>T1-2026</v>
      </c>
      <c r="R1328" s="124" t="s">
        <v>2794</v>
      </c>
      <c r="S1328" s="124" t="s">
        <v>2731</v>
      </c>
      <c r="T1328" s="124" t="s">
        <v>2717</v>
      </c>
      <c r="U1328" s="9" t="s">
        <v>2708</v>
      </c>
      <c r="V1328" s="205" t="s">
        <v>55</v>
      </c>
      <c r="W1328" s="122" t="s">
        <v>125</v>
      </c>
      <c r="X1328" s="124" t="s">
        <v>2709</v>
      </c>
    </row>
    <row r="1329" spans="1:24">
      <c r="A1329" s="548">
        <v>46083</v>
      </c>
      <c r="B1329" s="506" t="s">
        <v>3999</v>
      </c>
      <c r="C1329" s="32" t="s">
        <v>2697</v>
      </c>
      <c r="D1329" s="126">
        <v>-1750</v>
      </c>
      <c r="E1329" s="120">
        <v>1</v>
      </c>
      <c r="F1329" s="127">
        <f>Tabla5109[[#This Row],[Original Amount]]*Tabla5109[[#This Row],[ER to EUR]]</f>
        <v>-1750</v>
      </c>
      <c r="G1329" s="9" t="s">
        <v>3237</v>
      </c>
      <c r="H1329" s="91" t="s">
        <v>4571</v>
      </c>
      <c r="I1329" s="9" t="s">
        <v>2713</v>
      </c>
      <c r="J1329" s="9" t="s">
        <v>2770</v>
      </c>
      <c r="K1329" s="205" t="s">
        <v>2803</v>
      </c>
      <c r="L1329" s="9" t="s">
        <v>57</v>
      </c>
      <c r="M1329" s="32" t="s">
        <v>125</v>
      </c>
      <c r="N1329" s="129" t="s">
        <v>2704</v>
      </c>
      <c r="O1329" s="122" t="s">
        <v>2704</v>
      </c>
      <c r="P1329" s="123" t="str">
        <f>"C"&amp;INT((MONTH(A1329)-1)/4)+1&amp;"-"&amp;YEAR(A1329)</f>
        <v>C1-2026</v>
      </c>
      <c r="Q1329" s="124" t="str">
        <f>"T"&amp;INT((MONTH(A1329)-1)/3)+1&amp;"-"&amp;YEAR(A1329)</f>
        <v>T1-2026</v>
      </c>
      <c r="R1329" s="91" t="s">
        <v>2749</v>
      </c>
      <c r="S1329" s="124" t="s">
        <v>2750</v>
      </c>
      <c r="T1329" s="124" t="s">
        <v>2717</v>
      </c>
      <c r="U1329" s="9" t="s">
        <v>2708</v>
      </c>
      <c r="V1329" s="205" t="s">
        <v>56</v>
      </c>
      <c r="W1329" s="122" t="s">
        <v>125</v>
      </c>
      <c r="X1329" s="124" t="s">
        <v>2709</v>
      </c>
    </row>
    <row r="1330" spans="1:24">
      <c r="A1330" s="548">
        <v>46083</v>
      </c>
      <c r="B1330" s="133" t="s">
        <v>5969</v>
      </c>
      <c r="C1330" s="32" t="s">
        <v>2697</v>
      </c>
      <c r="D1330" s="126">
        <v>-134.46</v>
      </c>
      <c r="E1330" s="120">
        <v>1</v>
      </c>
      <c r="F1330" s="127">
        <f>Tabla5109[[#This Row],[Original Amount]]*Tabla5109[[#This Row],[ER to EUR]]</f>
        <v>-134.46</v>
      </c>
      <c r="G1330" s="9" t="s">
        <v>3755</v>
      </c>
      <c r="H1330" s="9" t="s">
        <v>5970</v>
      </c>
      <c r="I1330" s="9" t="s">
        <v>3757</v>
      </c>
      <c r="J1330" s="9" t="s">
        <v>2825</v>
      </c>
      <c r="K1330" s="205" t="s">
        <v>2826</v>
      </c>
      <c r="L1330" s="9" t="s">
        <v>2827</v>
      </c>
      <c r="M1330" s="32" t="s">
        <v>125</v>
      </c>
      <c r="N1330" s="129" t="s">
        <v>2704</v>
      </c>
      <c r="O1330" s="122" t="s">
        <v>2704</v>
      </c>
      <c r="P1330" s="123" t="str">
        <f>"C"&amp;INT((MONTH(A1330)-1)/4)+1&amp;"-"&amp;YEAR(A1330)</f>
        <v>C1-2026</v>
      </c>
      <c r="Q1330" s="124" t="str">
        <f>"T"&amp;INT((MONTH(A1330)-1)/3)+1&amp;"-"&amp;YEAR(A1330)</f>
        <v>T1-2026</v>
      </c>
      <c r="R1330" s="124" t="s">
        <v>2705</v>
      </c>
      <c r="S1330" s="124" t="s">
        <v>2706</v>
      </c>
      <c r="T1330" s="124" t="s">
        <v>2717</v>
      </c>
      <c r="U1330" s="9" t="s">
        <v>2708</v>
      </c>
      <c r="V1330" s="205" t="s">
        <v>56</v>
      </c>
      <c r="W1330" s="122" t="s">
        <v>125</v>
      </c>
      <c r="X1330" s="124" t="s">
        <v>2709</v>
      </c>
    </row>
    <row r="1331" spans="1:24">
      <c r="A1331" s="548">
        <v>46084</v>
      </c>
      <c r="B1331" s="570" t="s">
        <v>6578</v>
      </c>
      <c r="C1331" s="232" t="s">
        <v>2697</v>
      </c>
      <c r="D1331" s="126">
        <v>-23.99</v>
      </c>
      <c r="E1331" s="32">
        <v>1</v>
      </c>
      <c r="F1331" s="127">
        <f>Tabla5109[[#This Row],[Original Amount]]*Tabla5109[[#This Row],[ER to EUR]]</f>
        <v>-23.99</v>
      </c>
      <c r="G1331" s="91" t="s">
        <v>3462</v>
      </c>
      <c r="H1331" s="91" t="s">
        <v>3463</v>
      </c>
      <c r="I1331" s="9" t="s">
        <v>6008</v>
      </c>
      <c r="J1331" s="9" t="s">
        <v>2701</v>
      </c>
      <c r="K1331" s="205" t="s">
        <v>2702</v>
      </c>
      <c r="L1331" s="9" t="s">
        <v>2793</v>
      </c>
      <c r="M1331" s="32" t="s">
        <v>125</v>
      </c>
      <c r="N1331" s="129" t="s">
        <v>2704</v>
      </c>
      <c r="O1331" s="129" t="s">
        <v>2704</v>
      </c>
      <c r="P1331" s="123" t="str">
        <f>"C"&amp;INT((MONTH(A1331)-1)/4)+1&amp;"-"&amp;YEAR(A1331)</f>
        <v>C1-2026</v>
      </c>
      <c r="Q1331" s="124" t="str">
        <f>"T"&amp;INT((MONTH(A1331)-1)/3)+1&amp;"-"&amp;YEAR(A1331)</f>
        <v>T1-2026</v>
      </c>
      <c r="R1331" s="124" t="s">
        <v>2741</v>
      </c>
      <c r="S1331" s="123" t="s">
        <v>2723</v>
      </c>
      <c r="T1331" s="124" t="s">
        <v>2724</v>
      </c>
      <c r="U1331" s="9" t="s">
        <v>2708</v>
      </c>
      <c r="V1331" s="205" t="s">
        <v>54</v>
      </c>
      <c r="W1331" s="122" t="s">
        <v>125</v>
      </c>
      <c r="X1331" s="123" t="s">
        <v>2709</v>
      </c>
    </row>
    <row r="1332" spans="1:24">
      <c r="A1332" s="548">
        <v>46084</v>
      </c>
      <c r="B1332" s="125">
        <v>17175947</v>
      </c>
      <c r="C1332" s="232" t="s">
        <v>2548</v>
      </c>
      <c r="D1332" s="151">
        <v>-180</v>
      </c>
      <c r="E1332" s="222">
        <v>0.846167</v>
      </c>
      <c r="F1332" s="127">
        <f>Tabla5109[[#This Row],[Original Amount]]*Tabla5109[[#This Row],[ER to EUR]]</f>
        <v>-152.31005999999999</v>
      </c>
      <c r="G1332" s="91" t="s">
        <v>2737</v>
      </c>
      <c r="H1332" s="91" t="s">
        <v>3851</v>
      </c>
      <c r="I1332" s="9" t="s">
        <v>2755</v>
      </c>
      <c r="J1332" s="9" t="s">
        <v>2701</v>
      </c>
      <c r="K1332" s="205" t="s">
        <v>2702</v>
      </c>
      <c r="L1332" s="9" t="s">
        <v>2740</v>
      </c>
      <c r="M1332" s="32" t="s">
        <v>125</v>
      </c>
      <c r="N1332" s="129" t="s">
        <v>2704</v>
      </c>
      <c r="O1332" s="129" t="s">
        <v>2704</v>
      </c>
      <c r="P1332" s="123" t="str">
        <f>"C"&amp;INT((MONTH(A1332)-1)/4)+1&amp;"-"&amp;YEAR(A1332)</f>
        <v>C1-2026</v>
      </c>
      <c r="Q1332" s="124" t="str">
        <f>"T"&amp;INT((MONTH(A1332)-1)/3)+1&amp;"-"&amp;YEAR(A1332)</f>
        <v>T1-2026</v>
      </c>
      <c r="R1332" s="124" t="s">
        <v>2741</v>
      </c>
      <c r="S1332" s="124" t="s">
        <v>2723</v>
      </c>
      <c r="T1332" s="124" t="s">
        <v>2724</v>
      </c>
      <c r="U1332" s="9" t="s">
        <v>2708</v>
      </c>
      <c r="V1332" s="205" t="s">
        <v>54</v>
      </c>
      <c r="W1332" s="122" t="s">
        <v>125</v>
      </c>
      <c r="X1332" s="123" t="s">
        <v>2709</v>
      </c>
    </row>
    <row r="1333" spans="1:24">
      <c r="A1333" s="548">
        <v>46084</v>
      </c>
      <c r="B1333" s="164">
        <v>1</v>
      </c>
      <c r="C1333" s="38" t="s">
        <v>2543</v>
      </c>
      <c r="D1333" s="147">
        <v>-412980</v>
      </c>
      <c r="E1333" s="32">
        <v>9.6900000000000003E-4</v>
      </c>
      <c r="F1333" s="127">
        <f>Tabla5109[[#This Row],[Original Amount]]*Tabla5109[[#This Row],[ER to EUR]]</f>
        <v>-400.17761999999999</v>
      </c>
      <c r="G1333" s="37" t="s">
        <v>3566</v>
      </c>
      <c r="H1333" s="37" t="s">
        <v>5995</v>
      </c>
      <c r="I1333" s="37" t="s">
        <v>2713</v>
      </c>
      <c r="J1333" s="37" t="s">
        <v>2714</v>
      </c>
      <c r="K1333" s="217" t="s">
        <v>2747</v>
      </c>
      <c r="L1333" s="37" t="s">
        <v>2864</v>
      </c>
      <c r="M1333" s="412" t="s">
        <v>2748</v>
      </c>
      <c r="N1333" s="156" t="s">
        <v>2704</v>
      </c>
      <c r="O1333" s="156" t="s">
        <v>2704</v>
      </c>
      <c r="P1333" s="157" t="str">
        <f>"C"&amp;INT((MONTH(A1333)-1)/4)+1&amp;"-"&amp;YEAR(A1333)</f>
        <v>C1-2026</v>
      </c>
      <c r="Q1333" s="157" t="str">
        <f>"T"&amp;INT((MONTH(A1333)-1)/3)+1&amp;"-"&amp;YEAR(A1333)</f>
        <v>T1-2026</v>
      </c>
      <c r="R1333" s="160" t="s">
        <v>2705</v>
      </c>
      <c r="S1333" s="160" t="s">
        <v>2706</v>
      </c>
      <c r="T1333" s="157" t="s">
        <v>2724</v>
      </c>
      <c r="U1333" s="165" t="s">
        <v>2708</v>
      </c>
      <c r="V1333" s="574" t="s">
        <v>56</v>
      </c>
      <c r="W1333" s="262" t="s">
        <v>125</v>
      </c>
      <c r="X1333" s="182" t="s">
        <v>2751</v>
      </c>
    </row>
    <row r="1334" spans="1:24">
      <c r="A1334" s="548">
        <v>46084</v>
      </c>
      <c r="B1334" s="125">
        <v>180249279</v>
      </c>
      <c r="C1334" s="32" t="s">
        <v>2697</v>
      </c>
      <c r="D1334" s="126">
        <v>-18.899999999999999</v>
      </c>
      <c r="E1334" s="120">
        <v>1</v>
      </c>
      <c r="F1334" s="127">
        <f>Tabla5109[[#This Row],[Original Amount]]*Tabla5109[[#This Row],[ER to EUR]]</f>
        <v>-18.899999999999999</v>
      </c>
      <c r="G1334" s="9" t="s">
        <v>5997</v>
      </c>
      <c r="H1334" s="9" t="s">
        <v>5996</v>
      </c>
      <c r="I1334" s="9" t="s">
        <v>2713</v>
      </c>
      <c r="J1334" s="9" t="s">
        <v>2825</v>
      </c>
      <c r="K1334" s="205" t="s">
        <v>2826</v>
      </c>
      <c r="L1334" s="211" t="s">
        <v>2827</v>
      </c>
      <c r="M1334" s="32" t="s">
        <v>125</v>
      </c>
      <c r="N1334" s="122" t="s">
        <v>2704</v>
      </c>
      <c r="O1334" s="129" t="s">
        <v>2704</v>
      </c>
      <c r="P1334" s="123" t="str">
        <f>"C"&amp;INT((MONTH(A1334)-1)/4)+1&amp;"-"&amp;YEAR(A1334)</f>
        <v>C1-2026</v>
      </c>
      <c r="Q1334" s="124" t="str">
        <f>"T"&amp;INT((MONTH(A1334)-1)/3)+1&amp;"-"&amp;YEAR(A1334)</f>
        <v>T1-2026</v>
      </c>
      <c r="R1334" s="91" t="s">
        <v>2705</v>
      </c>
      <c r="S1334" s="124" t="s">
        <v>2706</v>
      </c>
      <c r="T1334" s="124" t="s">
        <v>2717</v>
      </c>
      <c r="U1334" s="203" t="s">
        <v>2708</v>
      </c>
      <c r="V1334" s="573" t="s">
        <v>56</v>
      </c>
      <c r="W1334" s="237" t="s">
        <v>125</v>
      </c>
      <c r="X1334" s="173" t="s">
        <v>2709</v>
      </c>
    </row>
    <row r="1335" spans="1:24">
      <c r="A1335" s="548">
        <v>46084</v>
      </c>
      <c r="B1335" s="125">
        <v>651426011059</v>
      </c>
      <c r="C1335" s="32" t="s">
        <v>2697</v>
      </c>
      <c r="D1335" s="126">
        <v>-301</v>
      </c>
      <c r="E1335" s="120">
        <v>1</v>
      </c>
      <c r="F1335" s="127">
        <f>Tabla5109[[#This Row],[Original Amount]]*Tabla5109[[#This Row],[ER to EUR]]</f>
        <v>-301</v>
      </c>
      <c r="G1335" s="9" t="s">
        <v>6000</v>
      </c>
      <c r="H1335" s="9" t="s">
        <v>5998</v>
      </c>
      <c r="I1335" s="9" t="s">
        <v>2713</v>
      </c>
      <c r="J1335" s="9" t="s">
        <v>2825</v>
      </c>
      <c r="K1335" s="205" t="s">
        <v>2826</v>
      </c>
      <c r="L1335" s="211" t="s">
        <v>2827</v>
      </c>
      <c r="M1335" s="32" t="s">
        <v>125</v>
      </c>
      <c r="N1335" s="122" t="s">
        <v>2704</v>
      </c>
      <c r="O1335" s="129" t="s">
        <v>2704</v>
      </c>
      <c r="P1335" s="123" t="str">
        <f>"C"&amp;INT((MONTH(A1335)-1)/4)+1&amp;"-"&amp;YEAR(A1335)</f>
        <v>C1-2026</v>
      </c>
      <c r="Q1335" s="124" t="str">
        <f>"T"&amp;INT((MONTH(A1335)-1)/3)+1&amp;"-"&amp;YEAR(A1335)</f>
        <v>T1-2026</v>
      </c>
      <c r="R1335" s="91" t="s">
        <v>2705</v>
      </c>
      <c r="S1335" s="124" t="s">
        <v>2706</v>
      </c>
      <c r="T1335" s="124" t="s">
        <v>2717</v>
      </c>
      <c r="U1335" s="203" t="s">
        <v>2708</v>
      </c>
      <c r="V1335" s="573" t="s">
        <v>56</v>
      </c>
      <c r="W1335" s="237" t="s">
        <v>125</v>
      </c>
      <c r="X1335" s="173" t="s">
        <v>2709</v>
      </c>
    </row>
    <row r="1336" spans="1:24">
      <c r="A1336" s="548">
        <v>46084</v>
      </c>
      <c r="B1336" s="125">
        <v>651426011061</v>
      </c>
      <c r="C1336" s="32" t="s">
        <v>2697</v>
      </c>
      <c r="D1336" s="126">
        <v>-393.72</v>
      </c>
      <c r="E1336" s="120">
        <v>1</v>
      </c>
      <c r="F1336" s="127">
        <f>Tabla5109[[#This Row],[Original Amount]]*Tabla5109[[#This Row],[ER to EUR]]</f>
        <v>-393.72</v>
      </c>
      <c r="G1336" s="9" t="s">
        <v>6000</v>
      </c>
      <c r="H1336" s="9" t="s">
        <v>5999</v>
      </c>
      <c r="I1336" s="91" t="s">
        <v>2713</v>
      </c>
      <c r="J1336" s="9" t="s">
        <v>2825</v>
      </c>
      <c r="K1336" s="205" t="s">
        <v>2826</v>
      </c>
      <c r="L1336" s="211" t="s">
        <v>2827</v>
      </c>
      <c r="M1336" s="32" t="s">
        <v>125</v>
      </c>
      <c r="N1336" s="122" t="s">
        <v>2704</v>
      </c>
      <c r="O1336" s="129" t="s">
        <v>2704</v>
      </c>
      <c r="P1336" s="123" t="str">
        <f>"C"&amp;INT((MONTH(A1336)-1)/4)+1&amp;"-"&amp;YEAR(A1336)</f>
        <v>C1-2026</v>
      </c>
      <c r="Q1336" s="124" t="str">
        <f>"T"&amp;INT((MONTH(A1336)-1)/3)+1&amp;"-"&amp;YEAR(A1336)</f>
        <v>T1-2026</v>
      </c>
      <c r="R1336" s="91" t="s">
        <v>2705</v>
      </c>
      <c r="S1336" s="124" t="s">
        <v>2706</v>
      </c>
      <c r="T1336" s="124" t="s">
        <v>2717</v>
      </c>
      <c r="U1336" s="203" t="s">
        <v>2708</v>
      </c>
      <c r="V1336" s="573" t="s">
        <v>56</v>
      </c>
      <c r="W1336" s="237" t="s">
        <v>125</v>
      </c>
      <c r="X1336" s="173" t="s">
        <v>2709</v>
      </c>
    </row>
    <row r="1337" spans="1:24">
      <c r="A1337" s="548">
        <v>46084</v>
      </c>
      <c r="B1337" s="125">
        <v>29</v>
      </c>
      <c r="C1337" s="32" t="s">
        <v>2543</v>
      </c>
      <c r="D1337" s="147">
        <v>-875000</v>
      </c>
      <c r="E1337" s="32">
        <v>9.6900000000000003E-4</v>
      </c>
      <c r="F1337" s="127">
        <f>Tabla5109[[#This Row],[Original Amount]]*Tabla5109[[#This Row],[ER to EUR]]</f>
        <v>-847.875</v>
      </c>
      <c r="G1337" s="9" t="s">
        <v>3566</v>
      </c>
      <c r="H1337" s="9" t="s">
        <v>6004</v>
      </c>
      <c r="I1337" s="9" t="s">
        <v>2713</v>
      </c>
      <c r="J1337" s="9" t="s">
        <v>2714</v>
      </c>
      <c r="K1337" s="205" t="s">
        <v>2747</v>
      </c>
      <c r="L1337" s="9" t="s">
        <v>2864</v>
      </c>
      <c r="M1337" s="226" t="s">
        <v>2748</v>
      </c>
      <c r="N1337" s="129" t="s">
        <v>2704</v>
      </c>
      <c r="O1337" s="129" t="s">
        <v>2704</v>
      </c>
      <c r="P1337" s="123" t="str">
        <f>"C"&amp;INT((MONTH(A1337)-1)/4)+1&amp;"-"&amp;YEAR(A1337)</f>
        <v>C1-2026</v>
      </c>
      <c r="Q1337" s="123" t="str">
        <f>"T"&amp;INT((MONTH(A1337)-1)/3)+1&amp;"-"&amp;YEAR(A1337)</f>
        <v>T1-2026</v>
      </c>
      <c r="R1337" s="124" t="s">
        <v>2705</v>
      </c>
      <c r="S1337" s="124" t="s">
        <v>2706</v>
      </c>
      <c r="T1337" s="123" t="s">
        <v>2724</v>
      </c>
      <c r="U1337" s="162" t="s">
        <v>2708</v>
      </c>
      <c r="V1337" s="575" t="s">
        <v>56</v>
      </c>
      <c r="W1337" s="237" t="s">
        <v>125</v>
      </c>
      <c r="X1337" s="201" t="s">
        <v>2709</v>
      </c>
    </row>
    <row r="1338" spans="1:24">
      <c r="A1338" s="548">
        <v>46085</v>
      </c>
      <c r="B1338" s="133" t="s">
        <v>1091</v>
      </c>
      <c r="C1338" s="32" t="s">
        <v>2697</v>
      </c>
      <c r="D1338" s="126">
        <v>-1500</v>
      </c>
      <c r="E1338" s="154">
        <v>1</v>
      </c>
      <c r="F1338" s="127">
        <f>Tabla5109[[#This Row],[Original Amount]]*Tabla5109[[#This Row],[ER to EUR]]</f>
        <v>-1500</v>
      </c>
      <c r="G1338" s="9" t="s">
        <v>3237</v>
      </c>
      <c r="H1338" s="9" t="s">
        <v>4572</v>
      </c>
      <c r="I1338" s="9" t="s">
        <v>2713</v>
      </c>
      <c r="J1338" s="9" t="s">
        <v>2770</v>
      </c>
      <c r="K1338" s="205" t="s">
        <v>2803</v>
      </c>
      <c r="L1338" s="211" t="s">
        <v>57</v>
      </c>
      <c r="M1338" s="227" t="s">
        <v>125</v>
      </c>
      <c r="N1338" s="122" t="s">
        <v>2704</v>
      </c>
      <c r="O1338" s="129" t="s">
        <v>2704</v>
      </c>
      <c r="P1338" s="123" t="str">
        <f>"C"&amp;INT((MONTH(A1338)-1)/4)+1&amp;"-"&amp;YEAR(A1338)</f>
        <v>C1-2026</v>
      </c>
      <c r="Q1338" s="124" t="str">
        <f>"T"&amp;INT((MONTH(A1338)-1)/3)+1&amp;"-"&amp;YEAR(A1338)</f>
        <v>T1-2026</v>
      </c>
      <c r="R1338" s="91" t="s">
        <v>2749</v>
      </c>
      <c r="S1338" s="124" t="s">
        <v>2750</v>
      </c>
      <c r="T1338" s="124" t="s">
        <v>2717</v>
      </c>
      <c r="U1338" s="162" t="s">
        <v>2708</v>
      </c>
      <c r="V1338" s="575" t="s">
        <v>56</v>
      </c>
      <c r="W1338" s="237" t="s">
        <v>125</v>
      </c>
      <c r="X1338" s="201" t="s">
        <v>2709</v>
      </c>
    </row>
    <row r="1339" spans="1:24">
      <c r="A1339" s="548">
        <v>46085</v>
      </c>
      <c r="B1339" s="506" t="s">
        <v>3999</v>
      </c>
      <c r="C1339" s="32" t="s">
        <v>2697</v>
      </c>
      <c r="D1339" s="126">
        <v>-100</v>
      </c>
      <c r="E1339" s="154">
        <v>1</v>
      </c>
      <c r="F1339" s="127">
        <f>Tabla5109[[#This Row],[Original Amount]]*Tabla5109[[#This Row],[ER to EUR]]</f>
        <v>-100</v>
      </c>
      <c r="G1339" s="9" t="s">
        <v>3237</v>
      </c>
      <c r="H1339" s="9" t="s">
        <v>4631</v>
      </c>
      <c r="I1339" s="9" t="s">
        <v>2713</v>
      </c>
      <c r="J1339" s="9" t="s">
        <v>2770</v>
      </c>
      <c r="K1339" s="205" t="s">
        <v>2803</v>
      </c>
      <c r="L1339" s="211" t="s">
        <v>57</v>
      </c>
      <c r="M1339" s="227" t="s">
        <v>125</v>
      </c>
      <c r="N1339" s="122" t="s">
        <v>2704</v>
      </c>
      <c r="O1339" s="129" t="s">
        <v>2704</v>
      </c>
      <c r="P1339" s="123" t="str">
        <f>"C"&amp;INT((MONTH(A1339)-1)/4)+1&amp;"-"&amp;YEAR(A1339)</f>
        <v>C1-2026</v>
      </c>
      <c r="Q1339" s="124" t="str">
        <f>"T"&amp;INT((MONTH(A1339)-1)/3)+1&amp;"-"&amp;YEAR(A1339)</f>
        <v>T1-2026</v>
      </c>
      <c r="R1339" s="91" t="s">
        <v>2749</v>
      </c>
      <c r="S1339" s="124" t="s">
        <v>2750</v>
      </c>
      <c r="T1339" s="124" t="s">
        <v>2717</v>
      </c>
      <c r="U1339" s="162" t="s">
        <v>2708</v>
      </c>
      <c r="V1339" s="575" t="s">
        <v>56</v>
      </c>
      <c r="W1339" s="237" t="s">
        <v>125</v>
      </c>
      <c r="X1339" s="201" t="s">
        <v>2709</v>
      </c>
    </row>
    <row r="1340" spans="1:24">
      <c r="A1340" s="548">
        <v>46085</v>
      </c>
      <c r="B1340" s="125">
        <v>100122861</v>
      </c>
      <c r="C1340" s="32" t="s">
        <v>2697</v>
      </c>
      <c r="D1340" s="126">
        <v>-85</v>
      </c>
      <c r="E1340" s="120">
        <v>1</v>
      </c>
      <c r="F1340" s="127">
        <f>Tabla5109[[#This Row],[Original Amount]]*Tabla5109[[#This Row],[ER to EUR]]</f>
        <v>-85</v>
      </c>
      <c r="G1340" s="9" t="s">
        <v>6010</v>
      </c>
      <c r="H1340" s="9" t="s">
        <v>6011</v>
      </c>
      <c r="I1340" s="9" t="s">
        <v>2713</v>
      </c>
      <c r="J1340" s="91" t="s">
        <v>2825</v>
      </c>
      <c r="K1340" s="196" t="s">
        <v>2826</v>
      </c>
      <c r="L1340" s="91" t="s">
        <v>2827</v>
      </c>
      <c r="M1340" s="232" t="s">
        <v>125</v>
      </c>
      <c r="N1340" s="129" t="s">
        <v>2704</v>
      </c>
      <c r="O1340" s="129" t="s">
        <v>2704</v>
      </c>
      <c r="P1340" s="123" t="str">
        <f>"C"&amp;INT((MONTH(A1340)-1)/4)+1&amp;"-"&amp;YEAR(A1340)</f>
        <v>C1-2026</v>
      </c>
      <c r="Q1340" s="124" t="str">
        <f>"T"&amp;INT((MONTH(A1340)-1)/3)+1&amp;"-"&amp;YEAR(A1340)</f>
        <v>T1-2026</v>
      </c>
      <c r="R1340" s="124" t="s">
        <v>2705</v>
      </c>
      <c r="S1340" s="124" t="s">
        <v>2706</v>
      </c>
      <c r="T1340" s="124" t="s">
        <v>2717</v>
      </c>
      <c r="U1340" s="203" t="s">
        <v>2708</v>
      </c>
      <c r="V1340" s="573" t="s">
        <v>56</v>
      </c>
      <c r="W1340" s="710" t="s">
        <v>125</v>
      </c>
      <c r="X1340" s="173" t="s">
        <v>2709</v>
      </c>
    </row>
    <row r="1341" spans="1:24">
      <c r="A1341" s="548">
        <v>46085</v>
      </c>
      <c r="B1341" s="132">
        <v>100122860</v>
      </c>
      <c r="C1341" s="32" t="s">
        <v>2697</v>
      </c>
      <c r="D1341" s="126">
        <v>-30.1</v>
      </c>
      <c r="E1341" s="120">
        <v>1</v>
      </c>
      <c r="F1341" s="127">
        <f>Tabla5109[[#This Row],[Original Amount]]*Tabla5109[[#This Row],[ER to EUR]]</f>
        <v>-30.1</v>
      </c>
      <c r="G1341" s="9" t="s">
        <v>6010</v>
      </c>
      <c r="H1341" s="9" t="s">
        <v>6012</v>
      </c>
      <c r="I1341" s="9" t="s">
        <v>2713</v>
      </c>
      <c r="J1341" s="91" t="s">
        <v>2825</v>
      </c>
      <c r="K1341" s="196" t="s">
        <v>2826</v>
      </c>
      <c r="L1341" s="91" t="s">
        <v>2827</v>
      </c>
      <c r="M1341" s="232" t="s">
        <v>125</v>
      </c>
      <c r="N1341" s="129" t="s">
        <v>2704</v>
      </c>
      <c r="O1341" s="129" t="s">
        <v>2704</v>
      </c>
      <c r="P1341" s="123" t="str">
        <f>"C"&amp;INT((MONTH(A1341)-1)/4)+1&amp;"-"&amp;YEAR(A1341)</f>
        <v>C1-2026</v>
      </c>
      <c r="Q1341" s="124" t="str">
        <f>"T"&amp;INT((MONTH(A1341)-1)/3)+1&amp;"-"&amp;YEAR(A1341)</f>
        <v>T1-2026</v>
      </c>
      <c r="R1341" s="124" t="s">
        <v>2705</v>
      </c>
      <c r="S1341" s="124" t="s">
        <v>2706</v>
      </c>
      <c r="T1341" s="124" t="s">
        <v>2717</v>
      </c>
      <c r="U1341" s="203" t="s">
        <v>2708</v>
      </c>
      <c r="V1341" s="573" t="s">
        <v>56</v>
      </c>
      <c r="W1341" s="710" t="s">
        <v>125</v>
      </c>
      <c r="X1341" s="173" t="s">
        <v>2709</v>
      </c>
    </row>
    <row r="1342" spans="1:24">
      <c r="A1342" s="548">
        <v>46085</v>
      </c>
      <c r="B1342" s="132">
        <v>91698</v>
      </c>
      <c r="C1342" s="32" t="s">
        <v>2697</v>
      </c>
      <c r="D1342" s="126">
        <v>-103.45</v>
      </c>
      <c r="E1342" s="120">
        <v>1</v>
      </c>
      <c r="F1342" s="127">
        <f>Tabla5109[[#This Row],[Original Amount]]*Tabla5109[[#This Row],[ER to EUR]]</f>
        <v>-103.45</v>
      </c>
      <c r="G1342" s="9" t="s">
        <v>6552</v>
      </c>
      <c r="H1342" s="9" t="s">
        <v>6553</v>
      </c>
      <c r="I1342" s="91" t="s">
        <v>2713</v>
      </c>
      <c r="J1342" s="9" t="s">
        <v>2825</v>
      </c>
      <c r="K1342" s="205" t="s">
        <v>2826</v>
      </c>
      <c r="L1342" s="211" t="s">
        <v>2827</v>
      </c>
      <c r="M1342" s="32" t="s">
        <v>125</v>
      </c>
      <c r="N1342" s="122" t="s">
        <v>2704</v>
      </c>
      <c r="O1342" s="129" t="s">
        <v>2704</v>
      </c>
      <c r="P1342" s="123" t="str">
        <f>"C"&amp;INT((MONTH(A1342)-1)/4)+1&amp;"-"&amp;YEAR(A1342)</f>
        <v>C1-2026</v>
      </c>
      <c r="Q1342" s="124" t="str">
        <f>"T"&amp;INT((MONTH(A1342)-1)/3)+1&amp;"-"&amp;YEAR(A1342)</f>
        <v>T1-2026</v>
      </c>
      <c r="R1342" s="91" t="s">
        <v>2705</v>
      </c>
      <c r="S1342" s="124" t="s">
        <v>2706</v>
      </c>
      <c r="T1342" s="124" t="s">
        <v>2717</v>
      </c>
      <c r="U1342" s="203" t="s">
        <v>2708</v>
      </c>
      <c r="V1342" s="573" t="s">
        <v>56</v>
      </c>
      <c r="W1342" s="237" t="s">
        <v>125</v>
      </c>
      <c r="X1342" s="173" t="s">
        <v>2709</v>
      </c>
    </row>
    <row r="1343" spans="1:24">
      <c r="A1343" s="548">
        <v>46085</v>
      </c>
      <c r="B1343" s="132">
        <v>91661</v>
      </c>
      <c r="C1343" s="32" t="s">
        <v>2697</v>
      </c>
      <c r="D1343" s="126">
        <v>-360.56</v>
      </c>
      <c r="E1343" s="120">
        <v>1</v>
      </c>
      <c r="F1343" s="127">
        <f>Tabla5109[[#This Row],[Original Amount]]*Tabla5109[[#This Row],[ER to EUR]]</f>
        <v>-360.56</v>
      </c>
      <c r="G1343" s="9" t="s">
        <v>6552</v>
      </c>
      <c r="H1343" s="9" t="s">
        <v>6554</v>
      </c>
      <c r="I1343" s="91" t="s">
        <v>2713</v>
      </c>
      <c r="J1343" s="9" t="s">
        <v>2825</v>
      </c>
      <c r="K1343" s="205" t="s">
        <v>2826</v>
      </c>
      <c r="L1343" s="211" t="s">
        <v>2827</v>
      </c>
      <c r="M1343" s="32" t="s">
        <v>125</v>
      </c>
      <c r="N1343" s="122" t="s">
        <v>2704</v>
      </c>
      <c r="O1343" s="129" t="s">
        <v>2704</v>
      </c>
      <c r="P1343" s="123" t="str">
        <f>"C"&amp;INT((MONTH(A1343)-1)/4)+1&amp;"-"&amp;YEAR(A1343)</f>
        <v>C1-2026</v>
      </c>
      <c r="Q1343" s="124" t="str">
        <f>"T"&amp;INT((MONTH(A1343)-1)/3)+1&amp;"-"&amp;YEAR(A1343)</f>
        <v>T1-2026</v>
      </c>
      <c r="R1343" s="91" t="s">
        <v>2705</v>
      </c>
      <c r="S1343" s="124" t="s">
        <v>2706</v>
      </c>
      <c r="T1343" s="124" t="s">
        <v>2717</v>
      </c>
      <c r="U1343" s="203" t="s">
        <v>2708</v>
      </c>
      <c r="V1343" s="573" t="s">
        <v>56</v>
      </c>
      <c r="W1343" s="237" t="s">
        <v>125</v>
      </c>
      <c r="X1343" s="173" t="s">
        <v>2709</v>
      </c>
    </row>
    <row r="1344" spans="1:24">
      <c r="A1344" s="548">
        <v>46085</v>
      </c>
      <c r="B1344" s="130" t="s">
        <v>6556</v>
      </c>
      <c r="C1344" s="32" t="s">
        <v>2697</v>
      </c>
      <c r="D1344" s="126">
        <v>-12.88</v>
      </c>
      <c r="E1344" s="120">
        <v>1</v>
      </c>
      <c r="F1344" s="127">
        <f>Tabla5109[[#This Row],[Original Amount]]*Tabla5109[[#This Row],[ER to EUR]]</f>
        <v>-12.88</v>
      </c>
      <c r="G1344" s="9" t="s">
        <v>2839</v>
      </c>
      <c r="H1344" s="9" t="s">
        <v>2840</v>
      </c>
      <c r="I1344" s="9" t="s">
        <v>2784</v>
      </c>
      <c r="J1344" s="9" t="s">
        <v>2701</v>
      </c>
      <c r="K1344" s="205" t="s">
        <v>2702</v>
      </c>
      <c r="L1344" s="9" t="s">
        <v>2703</v>
      </c>
      <c r="M1344" s="32" t="s">
        <v>125</v>
      </c>
      <c r="N1344" s="129" t="s">
        <v>2704</v>
      </c>
      <c r="O1344" s="129" t="s">
        <v>2704</v>
      </c>
      <c r="P1344" s="123" t="str">
        <f>"C"&amp;INT((MONTH(A1344)-1)/4)+1&amp;"-"&amp;YEAR(A1344)</f>
        <v>C1-2026</v>
      </c>
      <c r="Q1344" s="123" t="str">
        <f>"T"&amp;INT((MONTH(A1344)-1)/3)+1&amp;"-"&amp;YEAR(A1344)</f>
        <v>T1-2026</v>
      </c>
      <c r="R1344" s="124" t="s">
        <v>2705</v>
      </c>
      <c r="S1344" s="124" t="s">
        <v>2706</v>
      </c>
      <c r="T1344" s="123" t="s">
        <v>2707</v>
      </c>
      <c r="U1344" s="162" t="s">
        <v>2708</v>
      </c>
      <c r="V1344" s="575" t="s">
        <v>57</v>
      </c>
      <c r="W1344" s="237" t="s">
        <v>125</v>
      </c>
      <c r="X1344" s="201" t="s">
        <v>2709</v>
      </c>
    </row>
    <row r="1345" spans="1:24">
      <c r="A1345" s="548">
        <v>46086</v>
      </c>
      <c r="B1345" s="570" t="s">
        <v>6578</v>
      </c>
      <c r="C1345" s="232" t="s">
        <v>2548</v>
      </c>
      <c r="D1345" s="151">
        <v>-25</v>
      </c>
      <c r="E1345" s="222">
        <v>0.846167</v>
      </c>
      <c r="F1345" s="127">
        <f>Tabla5109[[#This Row],[Original Amount]]*Tabla5109[[#This Row],[ER to EUR]]</f>
        <v>-21.154174999999999</v>
      </c>
      <c r="G1345" s="91" t="s">
        <v>3068</v>
      </c>
      <c r="H1345" s="9" t="s">
        <v>4252</v>
      </c>
      <c r="I1345" s="9" t="s">
        <v>6008</v>
      </c>
      <c r="J1345" s="9" t="s">
        <v>2701</v>
      </c>
      <c r="K1345" s="205" t="s">
        <v>2702</v>
      </c>
      <c r="L1345" s="9" t="s">
        <v>2793</v>
      </c>
      <c r="M1345" s="32" t="s">
        <v>125</v>
      </c>
      <c r="N1345" s="129" t="s">
        <v>2704</v>
      </c>
      <c r="O1345" s="129" t="s">
        <v>2704</v>
      </c>
      <c r="P1345" s="123" t="str">
        <f>"C"&amp;INT((MONTH(A1345)-1)/4)+1&amp;"-"&amp;YEAR(A1345)</f>
        <v>C1-2026</v>
      </c>
      <c r="Q1345" s="124" t="str">
        <f>"T"&amp;INT((MONTH(A1345)-1)/3)+1&amp;"-"&amp;YEAR(A1345)</f>
        <v>T1-2026</v>
      </c>
      <c r="R1345" s="124" t="s">
        <v>2741</v>
      </c>
      <c r="S1345" s="123" t="s">
        <v>2723</v>
      </c>
      <c r="T1345" s="124" t="s">
        <v>2724</v>
      </c>
      <c r="U1345" s="162" t="s">
        <v>2708</v>
      </c>
      <c r="V1345" s="575" t="s">
        <v>54</v>
      </c>
      <c r="W1345" s="237" t="s">
        <v>125</v>
      </c>
      <c r="X1345" s="201" t="s">
        <v>2709</v>
      </c>
    </row>
    <row r="1346" spans="1:24">
      <c r="A1346" s="548">
        <v>46086</v>
      </c>
      <c r="B1346" s="133" t="s">
        <v>1348</v>
      </c>
      <c r="C1346" s="32" t="s">
        <v>2697</v>
      </c>
      <c r="D1346" s="126">
        <v>-740</v>
      </c>
      <c r="E1346" s="154">
        <v>1</v>
      </c>
      <c r="F1346" s="127">
        <f>Tabla5109[[#This Row],[Original Amount]]*Tabla5109[[#This Row],[ER to EUR]]</f>
        <v>-740</v>
      </c>
      <c r="G1346" s="9" t="s">
        <v>3237</v>
      </c>
      <c r="H1346" s="9" t="s">
        <v>4569</v>
      </c>
      <c r="I1346" s="9" t="s">
        <v>2713</v>
      </c>
      <c r="J1346" s="9" t="s">
        <v>2770</v>
      </c>
      <c r="K1346" s="205" t="s">
        <v>2803</v>
      </c>
      <c r="L1346" s="211" t="s">
        <v>57</v>
      </c>
      <c r="M1346" s="227" t="s">
        <v>125</v>
      </c>
      <c r="N1346" s="122" t="s">
        <v>2704</v>
      </c>
      <c r="O1346" s="129" t="s">
        <v>2704</v>
      </c>
      <c r="P1346" s="123" t="str">
        <f>"C"&amp;INT((MONTH(A1346)-1)/4)+1&amp;"-"&amp;YEAR(A1346)</f>
        <v>C1-2026</v>
      </c>
      <c r="Q1346" s="124" t="str">
        <f>"T"&amp;INT((MONTH(A1346)-1)/3)+1&amp;"-"&amp;YEAR(A1346)</f>
        <v>T1-2026</v>
      </c>
      <c r="R1346" s="91" t="s">
        <v>2749</v>
      </c>
      <c r="S1346" s="124" t="s">
        <v>2750</v>
      </c>
      <c r="T1346" s="124" t="s">
        <v>2717</v>
      </c>
      <c r="U1346" s="162" t="s">
        <v>2708</v>
      </c>
      <c r="V1346" s="575" t="s">
        <v>56</v>
      </c>
      <c r="W1346" s="237" t="s">
        <v>125</v>
      </c>
      <c r="X1346" s="201" t="s">
        <v>2709</v>
      </c>
    </row>
    <row r="1347" spans="1:24">
      <c r="A1347" s="548">
        <v>46086</v>
      </c>
      <c r="B1347" s="506" t="s">
        <v>3999</v>
      </c>
      <c r="C1347" s="32" t="s">
        <v>2697</v>
      </c>
      <c r="D1347" s="126">
        <v>-1270</v>
      </c>
      <c r="E1347" s="154">
        <v>1</v>
      </c>
      <c r="F1347" s="127">
        <f>Tabla5109[[#This Row],[Original Amount]]*Tabla5109[[#This Row],[ER to EUR]]</f>
        <v>-1270</v>
      </c>
      <c r="G1347" s="9" t="s">
        <v>3237</v>
      </c>
      <c r="H1347" s="9" t="s">
        <v>4632</v>
      </c>
      <c r="I1347" s="9" t="s">
        <v>2713</v>
      </c>
      <c r="J1347" s="9" t="s">
        <v>2770</v>
      </c>
      <c r="K1347" s="205" t="s">
        <v>2803</v>
      </c>
      <c r="L1347" s="211" t="s">
        <v>57</v>
      </c>
      <c r="M1347" s="227" t="s">
        <v>125</v>
      </c>
      <c r="N1347" s="122" t="s">
        <v>2704</v>
      </c>
      <c r="O1347" s="129" t="s">
        <v>2704</v>
      </c>
      <c r="P1347" s="123" t="str">
        <f>"C"&amp;INT((MONTH(A1347)-1)/4)+1&amp;"-"&amp;YEAR(A1347)</f>
        <v>C1-2026</v>
      </c>
      <c r="Q1347" s="124" t="str">
        <f>"T"&amp;INT((MONTH(A1347)-1)/3)+1&amp;"-"&amp;YEAR(A1347)</f>
        <v>T1-2026</v>
      </c>
      <c r="R1347" s="91" t="s">
        <v>2749</v>
      </c>
      <c r="S1347" s="124" t="s">
        <v>2750</v>
      </c>
      <c r="T1347" s="124" t="s">
        <v>2717</v>
      </c>
      <c r="U1347" s="162" t="s">
        <v>2708</v>
      </c>
      <c r="V1347" s="575" t="s">
        <v>56</v>
      </c>
      <c r="W1347" s="237" t="s">
        <v>125</v>
      </c>
      <c r="X1347" s="201" t="s">
        <v>2709</v>
      </c>
    </row>
    <row r="1348" spans="1:24">
      <c r="A1348" s="548">
        <v>46086</v>
      </c>
      <c r="B1348" s="570" t="s">
        <v>1040</v>
      </c>
      <c r="C1348" s="32" t="s">
        <v>2697</v>
      </c>
      <c r="D1348" s="126">
        <v>-2750</v>
      </c>
      <c r="E1348" s="154">
        <v>1</v>
      </c>
      <c r="F1348" s="127">
        <f>Tabla5109[[#This Row],[Original Amount]]*Tabla5109[[#This Row],[ER to EUR]]</f>
        <v>-2750</v>
      </c>
      <c r="G1348" s="9" t="s">
        <v>3237</v>
      </c>
      <c r="H1348" s="9" t="s">
        <v>4570</v>
      </c>
      <c r="I1348" s="9" t="s">
        <v>2713</v>
      </c>
      <c r="J1348" s="9" t="s">
        <v>2770</v>
      </c>
      <c r="K1348" s="205" t="s">
        <v>2803</v>
      </c>
      <c r="L1348" s="211" t="s">
        <v>57</v>
      </c>
      <c r="M1348" s="227" t="s">
        <v>125</v>
      </c>
      <c r="N1348" s="122" t="s">
        <v>2704</v>
      </c>
      <c r="O1348" s="129" t="s">
        <v>2704</v>
      </c>
      <c r="P1348" s="123" t="str">
        <f>"C"&amp;INT((MONTH(A1348)-1)/4)+1&amp;"-"&amp;YEAR(A1348)</f>
        <v>C1-2026</v>
      </c>
      <c r="Q1348" s="124" t="str">
        <f>"T"&amp;INT((MONTH(A1348)-1)/3)+1&amp;"-"&amp;YEAR(A1348)</f>
        <v>T1-2026</v>
      </c>
      <c r="R1348" s="91" t="s">
        <v>2749</v>
      </c>
      <c r="S1348" s="124" t="s">
        <v>2750</v>
      </c>
      <c r="T1348" s="124" t="s">
        <v>2717</v>
      </c>
      <c r="U1348" s="162" t="s">
        <v>2708</v>
      </c>
      <c r="V1348" s="575" t="s">
        <v>56</v>
      </c>
      <c r="W1348" s="237" t="s">
        <v>125</v>
      </c>
      <c r="X1348" s="201" t="s">
        <v>2709</v>
      </c>
    </row>
    <row r="1349" spans="1:24">
      <c r="A1349" s="548">
        <v>46086</v>
      </c>
      <c r="B1349" s="570" t="s">
        <v>6559</v>
      </c>
      <c r="C1349" s="232" t="s">
        <v>2548</v>
      </c>
      <c r="D1349" s="151">
        <v>-99</v>
      </c>
      <c r="E1349" s="222">
        <v>0.846167</v>
      </c>
      <c r="F1349" s="127">
        <f>Tabla5109[[#This Row],[Original Amount]]*Tabla5109[[#This Row],[ER to EUR]]</f>
        <v>-83.770533</v>
      </c>
      <c r="G1349" s="91" t="s">
        <v>4144</v>
      </c>
      <c r="H1349" s="91" t="s">
        <v>4253</v>
      </c>
      <c r="I1349" s="9" t="s">
        <v>2713</v>
      </c>
      <c r="J1349" s="9" t="s">
        <v>2701</v>
      </c>
      <c r="K1349" s="205" t="s">
        <v>2702</v>
      </c>
      <c r="L1349" s="211" t="s">
        <v>4138</v>
      </c>
      <c r="M1349" s="32" t="s">
        <v>125</v>
      </c>
      <c r="N1349" s="122" t="s">
        <v>2704</v>
      </c>
      <c r="O1349" s="129" t="s">
        <v>2704</v>
      </c>
      <c r="P1349" s="123" t="str">
        <f>"C"&amp;INT((MONTH(A1349)-1)/4)+1&amp;"-"&amp;YEAR(A1349)</f>
        <v>C1-2026</v>
      </c>
      <c r="Q1349" s="124" t="str">
        <f>"T"&amp;INT((MONTH(A1349)-1)/3)+1&amp;"-"&amp;YEAR(A1349)</f>
        <v>T1-2026</v>
      </c>
      <c r="R1349" s="91" t="s">
        <v>4205</v>
      </c>
      <c r="S1349" s="124" t="s">
        <v>4206</v>
      </c>
      <c r="T1349" s="124" t="s">
        <v>2724</v>
      </c>
      <c r="U1349" s="162" t="s">
        <v>2708</v>
      </c>
      <c r="V1349" s="575" t="s">
        <v>55</v>
      </c>
      <c r="W1349" s="237" t="s">
        <v>125</v>
      </c>
      <c r="X1349" s="201" t="s">
        <v>2709</v>
      </c>
    </row>
    <row r="1350" spans="1:24">
      <c r="A1350" s="548">
        <v>46086</v>
      </c>
      <c r="B1350" s="570" t="s">
        <v>6560</v>
      </c>
      <c r="C1350" s="232" t="s">
        <v>2548</v>
      </c>
      <c r="D1350" s="151">
        <v>-87</v>
      </c>
      <c r="E1350" s="222">
        <v>0.846167</v>
      </c>
      <c r="F1350" s="127">
        <f>Tabla5109[[#This Row],[Original Amount]]*Tabla5109[[#This Row],[ER to EUR]]</f>
        <v>-73.616529</v>
      </c>
      <c r="G1350" s="91" t="s">
        <v>4136</v>
      </c>
      <c r="H1350" s="91" t="s">
        <v>4251</v>
      </c>
      <c r="I1350" s="9" t="s">
        <v>2713</v>
      </c>
      <c r="J1350" s="9" t="s">
        <v>2701</v>
      </c>
      <c r="K1350" s="205" t="s">
        <v>2702</v>
      </c>
      <c r="L1350" s="211" t="s">
        <v>4138</v>
      </c>
      <c r="M1350" s="32" t="s">
        <v>125</v>
      </c>
      <c r="N1350" s="122" t="s">
        <v>2704</v>
      </c>
      <c r="O1350" s="129" t="s">
        <v>2704</v>
      </c>
      <c r="P1350" s="123" t="str">
        <f>"C"&amp;INT((MONTH(A1350)-1)/4)+1&amp;"-"&amp;YEAR(A1350)</f>
        <v>C1-2026</v>
      </c>
      <c r="Q1350" s="124" t="str">
        <f>"T"&amp;INT((MONTH(A1350)-1)/3)+1&amp;"-"&amp;YEAR(A1350)</f>
        <v>T1-2026</v>
      </c>
      <c r="R1350" s="91" t="s">
        <v>2705</v>
      </c>
      <c r="S1350" s="124" t="s">
        <v>4206</v>
      </c>
      <c r="T1350" s="124" t="s">
        <v>2724</v>
      </c>
      <c r="U1350" s="162" t="s">
        <v>2708</v>
      </c>
      <c r="V1350" s="575" t="s">
        <v>55</v>
      </c>
      <c r="W1350" s="237" t="s">
        <v>125</v>
      </c>
      <c r="X1350" s="201" t="s">
        <v>2709</v>
      </c>
    </row>
    <row r="1351" spans="1:24">
      <c r="A1351" s="548">
        <v>46086</v>
      </c>
      <c r="B1351" s="144">
        <v>9131</v>
      </c>
      <c r="C1351" s="32" t="s">
        <v>2697</v>
      </c>
      <c r="D1351" s="151">
        <v>-11.1</v>
      </c>
      <c r="E1351" s="120">
        <v>1</v>
      </c>
      <c r="F1351" s="127">
        <f>Tabla5109[[#This Row],[Original Amount]]*Tabla5109[[#This Row],[ER to EUR]]</f>
        <v>-11.1</v>
      </c>
      <c r="G1351" s="9" t="s">
        <v>6550</v>
      </c>
      <c r="H1351" s="9" t="s">
        <v>6551</v>
      </c>
      <c r="I1351" s="9" t="s">
        <v>2713</v>
      </c>
      <c r="J1351" s="9" t="s">
        <v>2825</v>
      </c>
      <c r="K1351" s="205" t="s">
        <v>2826</v>
      </c>
      <c r="L1351" s="9" t="s">
        <v>2827</v>
      </c>
      <c r="M1351" s="32" t="s">
        <v>125</v>
      </c>
      <c r="N1351" s="129" t="s">
        <v>2704</v>
      </c>
      <c r="O1351" s="129" t="s">
        <v>2704</v>
      </c>
      <c r="P1351" s="123" t="str">
        <f>"C"&amp;INT((MONTH(A1351)-1)/4)+1&amp;"-"&amp;YEAR(A1351)</f>
        <v>C1-2026</v>
      </c>
      <c r="Q1351" s="124" t="str">
        <f>"T"&amp;INT((MONTH(A1351)-1)/3)+1&amp;"-"&amp;YEAR(A1351)</f>
        <v>T1-2026</v>
      </c>
      <c r="R1351" s="124" t="s">
        <v>2705</v>
      </c>
      <c r="S1351" s="124" t="s">
        <v>2706</v>
      </c>
      <c r="T1351" s="124" t="s">
        <v>2717</v>
      </c>
      <c r="U1351" s="203" t="s">
        <v>2708</v>
      </c>
      <c r="V1351" s="573" t="s">
        <v>56</v>
      </c>
      <c r="W1351" s="237" t="s">
        <v>125</v>
      </c>
      <c r="X1351" s="173" t="s">
        <v>2709</v>
      </c>
    </row>
    <row r="1352" spans="1:24">
      <c r="A1352" s="548">
        <v>46086</v>
      </c>
      <c r="B1352" s="133" t="s">
        <v>6555</v>
      </c>
      <c r="C1352" s="32" t="s">
        <v>2697</v>
      </c>
      <c r="D1352" s="126">
        <v>-718.83</v>
      </c>
      <c r="E1352" s="120">
        <v>1</v>
      </c>
      <c r="F1352" s="127">
        <f>Tabla5109[[#This Row],[Original Amount]]*Tabla5109[[#This Row],[ER to EUR]]</f>
        <v>-718.83</v>
      </c>
      <c r="G1352" s="9" t="s">
        <v>4166</v>
      </c>
      <c r="H1352" s="9" t="s">
        <v>4167</v>
      </c>
      <c r="I1352" s="9" t="s">
        <v>2727</v>
      </c>
      <c r="J1352" s="9" t="s">
        <v>2701</v>
      </c>
      <c r="K1352" s="205" t="s">
        <v>2702</v>
      </c>
      <c r="L1352" s="9" t="s">
        <v>2703</v>
      </c>
      <c r="M1352" s="32" t="s">
        <v>125</v>
      </c>
      <c r="N1352" s="129" t="s">
        <v>2704</v>
      </c>
      <c r="O1352" s="122" t="s">
        <v>2704</v>
      </c>
      <c r="P1352" s="123" t="str">
        <f>"C"&amp;INT((MONTH(A1352)-1)/4)+1&amp;"-"&amp;YEAR(A1352)</f>
        <v>C1-2026</v>
      </c>
      <c r="Q1352" s="124" t="str">
        <f>"T"&amp;INT((MONTH(A1352)-1)/3)+1&amp;"-"&amp;YEAR(A1352)</f>
        <v>T1-2026</v>
      </c>
      <c r="R1352" s="124" t="s">
        <v>2794</v>
      </c>
      <c r="S1352" s="124" t="s">
        <v>2731</v>
      </c>
      <c r="T1352" s="124" t="s">
        <v>2724</v>
      </c>
      <c r="U1352" s="162" t="s">
        <v>2708</v>
      </c>
      <c r="V1352" s="575" t="s">
        <v>55</v>
      </c>
      <c r="W1352" s="237" t="s">
        <v>125</v>
      </c>
      <c r="X1352" s="173" t="s">
        <v>2709</v>
      </c>
    </row>
    <row r="1353" spans="1:24">
      <c r="A1353" s="548">
        <v>46086</v>
      </c>
      <c r="B1353" s="133" t="s">
        <v>6557</v>
      </c>
      <c r="C1353" s="32" t="s">
        <v>2697</v>
      </c>
      <c r="D1353" s="126">
        <v>-54.74</v>
      </c>
      <c r="E1353" s="120">
        <v>1</v>
      </c>
      <c r="F1353" s="127">
        <f>Tabla5109[[#This Row],[Original Amount]]*Tabla5109[[#This Row],[ER to EUR]]</f>
        <v>-54.74</v>
      </c>
      <c r="G1353" s="9" t="s">
        <v>3755</v>
      </c>
      <c r="H1353" s="9" t="s">
        <v>6558</v>
      </c>
      <c r="I1353" s="9" t="s">
        <v>3757</v>
      </c>
      <c r="J1353" s="9" t="s">
        <v>2825</v>
      </c>
      <c r="K1353" s="205" t="s">
        <v>2826</v>
      </c>
      <c r="L1353" s="9" t="s">
        <v>2827</v>
      </c>
      <c r="M1353" s="32" t="s">
        <v>125</v>
      </c>
      <c r="N1353" s="129" t="s">
        <v>2704</v>
      </c>
      <c r="O1353" s="122" t="s">
        <v>2704</v>
      </c>
      <c r="P1353" s="123" t="str">
        <f>"C"&amp;INT((MONTH(A1353)-1)/4)+1&amp;"-"&amp;YEAR(A1353)</f>
        <v>C1-2026</v>
      </c>
      <c r="Q1353" s="124" t="str">
        <f>"T"&amp;INT((MONTH(A1353)-1)/3)+1&amp;"-"&amp;YEAR(A1353)</f>
        <v>T1-2026</v>
      </c>
      <c r="R1353" s="124" t="s">
        <v>2705</v>
      </c>
      <c r="S1353" s="124" t="s">
        <v>2706</v>
      </c>
      <c r="T1353" s="124" t="s">
        <v>2717</v>
      </c>
      <c r="U1353" s="162" t="s">
        <v>2708</v>
      </c>
      <c r="V1353" s="575" t="s">
        <v>56</v>
      </c>
      <c r="W1353" s="237" t="s">
        <v>125</v>
      </c>
      <c r="X1353" s="173" t="s">
        <v>2709</v>
      </c>
    </row>
    <row r="1354" spans="1:24">
      <c r="A1354" s="548">
        <v>46087</v>
      </c>
      <c r="B1354" s="570" t="s">
        <v>6578</v>
      </c>
      <c r="C1354" s="232" t="s">
        <v>2548</v>
      </c>
      <c r="D1354" s="151">
        <v>-349</v>
      </c>
      <c r="E1354" s="222">
        <v>0.846167</v>
      </c>
      <c r="F1354" s="127">
        <f>Tabla5109[[#This Row],[Original Amount]]*Tabla5109[[#This Row],[ER to EUR]]</f>
        <v>-295.31228299999998</v>
      </c>
      <c r="G1354" s="91" t="s">
        <v>3864</v>
      </c>
      <c r="H1354" s="91" t="s">
        <v>4254</v>
      </c>
      <c r="I1354" s="9" t="s">
        <v>2755</v>
      </c>
      <c r="J1354" s="9" t="s">
        <v>2701</v>
      </c>
      <c r="K1354" s="205" t="s">
        <v>2702</v>
      </c>
      <c r="L1354" s="9" t="s">
        <v>2703</v>
      </c>
      <c r="M1354" s="32" t="s">
        <v>125</v>
      </c>
      <c r="N1354" s="129" t="s">
        <v>2704</v>
      </c>
      <c r="O1354" s="129" t="s">
        <v>2704</v>
      </c>
      <c r="P1354" s="123" t="str">
        <f>"C"&amp;INT((MONTH(A1354)-1)/4)+1&amp;"-"&amp;YEAR(A1354)</f>
        <v>C1-2026</v>
      </c>
      <c r="Q1354" s="124" t="str">
        <f>"T"&amp;INT((MONTH(A1354)-1)/3)+1&amp;"-"&amp;YEAR(A1354)</f>
        <v>T1-2026</v>
      </c>
      <c r="R1354" s="124" t="s">
        <v>2705</v>
      </c>
      <c r="S1354" s="124" t="s">
        <v>2706</v>
      </c>
      <c r="T1354" s="124" t="s">
        <v>2717</v>
      </c>
      <c r="U1354" s="162" t="s">
        <v>2708</v>
      </c>
      <c r="V1354" s="575" t="s">
        <v>56</v>
      </c>
      <c r="W1354" s="237" t="s">
        <v>125</v>
      </c>
      <c r="X1354" s="201" t="s">
        <v>2709</v>
      </c>
    </row>
    <row r="1355" spans="1:24">
      <c r="A1355" s="548">
        <v>46087</v>
      </c>
      <c r="B1355" s="570" t="s">
        <v>6694</v>
      </c>
      <c r="C1355" s="232" t="s">
        <v>2697</v>
      </c>
      <c r="D1355" s="126">
        <v>-184.4</v>
      </c>
      <c r="E1355" s="32">
        <v>1</v>
      </c>
      <c r="F1355" s="127">
        <f>Tabla5109[[#This Row],[Original Amount]]*Tabla5109[[#This Row],[ER to EUR]]</f>
        <v>-184.4</v>
      </c>
      <c r="G1355" s="91" t="s">
        <v>2839</v>
      </c>
      <c r="H1355" s="91" t="s">
        <v>2840</v>
      </c>
      <c r="I1355" s="9" t="s">
        <v>2784</v>
      </c>
      <c r="J1355" s="9" t="s">
        <v>2701</v>
      </c>
      <c r="K1355" s="205" t="s">
        <v>2702</v>
      </c>
      <c r="L1355" s="9" t="s">
        <v>2703</v>
      </c>
      <c r="M1355" s="32" t="s">
        <v>125</v>
      </c>
      <c r="N1355" s="129" t="s">
        <v>2704</v>
      </c>
      <c r="O1355" s="129" t="s">
        <v>2704</v>
      </c>
      <c r="P1355" s="123" t="str">
        <f>"C"&amp;INT((MONTH(A1355)-1)/4)+1&amp;"-"&amp;YEAR(A1355)</f>
        <v>C1-2026</v>
      </c>
      <c r="Q1355" s="124" t="str">
        <f>"T"&amp;INT((MONTH(A1355)-1)/3)+1&amp;"-"&amp;YEAR(A1355)</f>
        <v>T1-2026</v>
      </c>
      <c r="R1355" s="124" t="s">
        <v>2705</v>
      </c>
      <c r="S1355" s="124" t="s">
        <v>2706</v>
      </c>
      <c r="T1355" s="124" t="s">
        <v>2707</v>
      </c>
      <c r="U1355" s="162" t="s">
        <v>2708</v>
      </c>
      <c r="V1355" s="575" t="s">
        <v>56</v>
      </c>
      <c r="W1355" s="237" t="s">
        <v>125</v>
      </c>
      <c r="X1355" s="201" t="s">
        <v>2709</v>
      </c>
    </row>
    <row r="1356" spans="1:24">
      <c r="A1356" s="548">
        <v>46087</v>
      </c>
      <c r="B1356" s="570" t="s">
        <v>6700</v>
      </c>
      <c r="C1356" s="232" t="s">
        <v>2697</v>
      </c>
      <c r="D1356" s="126">
        <v>-89</v>
      </c>
      <c r="E1356" s="32">
        <v>1</v>
      </c>
      <c r="F1356" s="127">
        <f>Tabla5109[[#This Row],[Original Amount]]*Tabla5109[[#This Row],[ER to EUR]]</f>
        <v>-89</v>
      </c>
      <c r="G1356" s="91" t="s">
        <v>3269</v>
      </c>
      <c r="H1356" s="91" t="s">
        <v>3270</v>
      </c>
      <c r="I1356" s="9" t="s">
        <v>2755</v>
      </c>
      <c r="J1356" s="9" t="s">
        <v>2701</v>
      </c>
      <c r="K1356" s="205" t="s">
        <v>2702</v>
      </c>
      <c r="L1356" s="9" t="s">
        <v>2703</v>
      </c>
      <c r="M1356" s="32" t="s">
        <v>125</v>
      </c>
      <c r="N1356" s="129" t="s">
        <v>2704</v>
      </c>
      <c r="O1356" s="129" t="s">
        <v>2704</v>
      </c>
      <c r="P1356" s="123" t="str">
        <f>"C"&amp;INT((MONTH(A1356)-1)/4)+1&amp;"-"&amp;YEAR(A1356)</f>
        <v>C1-2026</v>
      </c>
      <c r="Q1356" s="124" t="str">
        <f>"T"&amp;INT((MONTH(A1356)-1)/3)+1&amp;"-"&amp;YEAR(A1356)</f>
        <v>T1-2026</v>
      </c>
      <c r="R1356" s="124" t="s">
        <v>2741</v>
      </c>
      <c r="S1356" s="124" t="s">
        <v>2723</v>
      </c>
      <c r="T1356" s="124" t="s">
        <v>2724</v>
      </c>
      <c r="U1356" s="162" t="s">
        <v>2708</v>
      </c>
      <c r="V1356" s="575" t="s">
        <v>54</v>
      </c>
      <c r="W1356" s="237" t="s">
        <v>125</v>
      </c>
      <c r="X1356" s="201" t="s">
        <v>2709</v>
      </c>
    </row>
    <row r="1357" spans="1:24">
      <c r="A1357" s="548">
        <v>46087</v>
      </c>
      <c r="B1357" s="506" t="s">
        <v>3999</v>
      </c>
      <c r="C1357" s="232" t="s">
        <v>2697</v>
      </c>
      <c r="D1357" s="126">
        <v>-82.64</v>
      </c>
      <c r="E1357" s="32">
        <v>1</v>
      </c>
      <c r="F1357" s="127">
        <f>Tabla5109[[#This Row],[Original Amount]]*Tabla5109[[#This Row],[ER to EUR]]</f>
        <v>-82.64</v>
      </c>
      <c r="G1357" s="91" t="s">
        <v>2718</v>
      </c>
      <c r="H1357" s="91" t="s">
        <v>3924</v>
      </c>
      <c r="I1357" s="9" t="s">
        <v>2755</v>
      </c>
      <c r="J1357" s="9" t="s">
        <v>2714</v>
      </c>
      <c r="K1357" s="205" t="s">
        <v>2721</v>
      </c>
      <c r="L1357" s="9" t="s">
        <v>2716</v>
      </c>
      <c r="M1357" s="32" t="s">
        <v>125</v>
      </c>
      <c r="N1357" s="129" t="s">
        <v>2748</v>
      </c>
      <c r="O1357" s="129" t="s">
        <v>2748</v>
      </c>
      <c r="P1357" s="123" t="str">
        <f>"C"&amp;INT((MONTH(A1357)-1)/4)+1&amp;"-"&amp;YEAR(A1357)</f>
        <v>C1-2026</v>
      </c>
      <c r="Q1357" s="124" t="str">
        <f>"T"&amp;INT((MONTH(A1357)-1)/3)+1&amp;"-"&amp;YEAR(A1357)</f>
        <v>T1-2026</v>
      </c>
      <c r="R1357" s="124" t="s">
        <v>2722</v>
      </c>
      <c r="S1357" s="124" t="s">
        <v>2723</v>
      </c>
      <c r="T1357" s="124" t="s">
        <v>2724</v>
      </c>
      <c r="U1357" s="162" t="s">
        <v>2708</v>
      </c>
      <c r="V1357" s="575" t="s">
        <v>54</v>
      </c>
      <c r="W1357" s="237" t="s">
        <v>125</v>
      </c>
      <c r="X1357" s="201" t="s">
        <v>2709</v>
      </c>
    </row>
    <row r="1358" spans="1:24">
      <c r="A1358" s="548">
        <v>46087</v>
      </c>
      <c r="B1358" s="754">
        <v>16563</v>
      </c>
      <c r="C1358" s="32" t="s">
        <v>2697</v>
      </c>
      <c r="D1358" s="126">
        <v>-1800</v>
      </c>
      <c r="E1358" s="120">
        <v>1</v>
      </c>
      <c r="F1358" s="127">
        <f>Tabla5109[[#This Row],[Original Amount]]*Tabla5109[[#This Row],[ER to EUR]]</f>
        <v>-1800</v>
      </c>
      <c r="G1358" s="9" t="s">
        <v>2725</v>
      </c>
      <c r="H1358" s="9" t="s">
        <v>3236</v>
      </c>
      <c r="I1358" s="9" t="s">
        <v>2727</v>
      </c>
      <c r="J1358" s="9" t="s">
        <v>2701</v>
      </c>
      <c r="K1358" s="205" t="s">
        <v>2702</v>
      </c>
      <c r="L1358" s="9" t="s">
        <v>2729</v>
      </c>
      <c r="M1358" s="32" t="s">
        <v>125</v>
      </c>
      <c r="N1358" s="129" t="s">
        <v>2704</v>
      </c>
      <c r="O1358" s="129" t="s">
        <v>2704</v>
      </c>
      <c r="P1358" s="123" t="str">
        <f>"C"&amp;INT((MONTH(A1358)-1)/4)+1&amp;"-"&amp;YEAR(A1358)</f>
        <v>C1-2026</v>
      </c>
      <c r="Q1358" s="124" t="str">
        <f>"T"&amp;INT((MONTH(A1358)-1)/3)+1&amp;"-"&amp;YEAR(A1358)</f>
        <v>T1-2026</v>
      </c>
      <c r="R1358" s="124" t="s">
        <v>2730</v>
      </c>
      <c r="S1358" s="124" t="s">
        <v>2731</v>
      </c>
      <c r="T1358" s="124" t="s">
        <v>2707</v>
      </c>
      <c r="U1358" s="162" t="s">
        <v>51</v>
      </c>
      <c r="V1358" s="575" t="s">
        <v>57</v>
      </c>
      <c r="W1358" s="237" t="s">
        <v>125</v>
      </c>
      <c r="X1358" s="173" t="s">
        <v>2709</v>
      </c>
    </row>
    <row r="1359" spans="1:24">
      <c r="A1359" s="548">
        <v>46088</v>
      </c>
      <c r="B1359" s="707" t="s">
        <v>3999</v>
      </c>
      <c r="C1359" s="232" t="s">
        <v>2697</v>
      </c>
      <c r="D1359" s="126">
        <v>-319.95</v>
      </c>
      <c r="E1359" s="758">
        <v>1</v>
      </c>
      <c r="F1359" s="127">
        <f>Tabla5109[[#This Row],[Original Amount]]*Tabla5109[[#This Row],[ER to EUR]]</f>
        <v>-319.95</v>
      </c>
      <c r="G1359" s="91" t="s">
        <v>3873</v>
      </c>
      <c r="H1359" s="91" t="s">
        <v>4494</v>
      </c>
      <c r="I1359" s="9" t="s">
        <v>2755</v>
      </c>
      <c r="J1359" s="9" t="s">
        <v>2701</v>
      </c>
      <c r="K1359" s="205" t="s">
        <v>2702</v>
      </c>
      <c r="L1359" s="9" t="s">
        <v>2740</v>
      </c>
      <c r="M1359" s="32" t="s">
        <v>125</v>
      </c>
      <c r="N1359" s="129" t="s">
        <v>2704</v>
      </c>
      <c r="O1359" s="129" t="s">
        <v>2704</v>
      </c>
      <c r="P1359" s="123" t="str">
        <f>"C"&amp;INT((MONTH(A1359)-1)/4)+1&amp;"-"&amp;YEAR(A1359)</f>
        <v>C1-2026</v>
      </c>
      <c r="Q1359" s="124" t="str">
        <f>"T"&amp;INT((MONTH(A1359)-1)/3)+1&amp;"-"&amp;YEAR(A1359)</f>
        <v>T1-2026</v>
      </c>
      <c r="R1359" s="124" t="s">
        <v>2705</v>
      </c>
      <c r="S1359" s="124" t="s">
        <v>2706</v>
      </c>
      <c r="T1359" s="124" t="s">
        <v>2724</v>
      </c>
      <c r="U1359" s="162" t="s">
        <v>2708</v>
      </c>
      <c r="V1359" s="575" t="s">
        <v>56</v>
      </c>
      <c r="W1359" s="237" t="s">
        <v>125</v>
      </c>
      <c r="X1359" s="201" t="s">
        <v>2709</v>
      </c>
    </row>
    <row r="1360" spans="1:24">
      <c r="A1360" s="548">
        <v>46088</v>
      </c>
      <c r="B1360" s="506" t="s">
        <v>3999</v>
      </c>
      <c r="C1360" s="232" t="s">
        <v>2543</v>
      </c>
      <c r="D1360" s="147">
        <v>-1747750</v>
      </c>
      <c r="E1360" s="222">
        <v>0.846167</v>
      </c>
      <c r="F1360" s="127">
        <f>Tabla5109[[#This Row],[Original Amount]]*Tabla5109[[#This Row],[ER to EUR]]</f>
        <v>-1478888.3742500001</v>
      </c>
      <c r="G1360" s="91" t="s">
        <v>3566</v>
      </c>
      <c r="H1360" s="91" t="s">
        <v>4255</v>
      </c>
      <c r="I1360" s="9" t="s">
        <v>2713</v>
      </c>
      <c r="J1360" s="9" t="s">
        <v>2714</v>
      </c>
      <c r="K1360" s="205" t="s">
        <v>2747</v>
      </c>
      <c r="L1360" s="9" t="s">
        <v>2864</v>
      </c>
      <c r="M1360" s="226" t="s">
        <v>2748</v>
      </c>
      <c r="N1360" s="129" t="s">
        <v>2704</v>
      </c>
      <c r="O1360" s="129" t="s">
        <v>2704</v>
      </c>
      <c r="P1360" s="123" t="str">
        <f>"C"&amp;INT((MONTH(A1360)-1)/4)+1&amp;"-"&amp;YEAR(A1360)</f>
        <v>C1-2026</v>
      </c>
      <c r="Q1360" s="124" t="str">
        <f>"T"&amp;INT((MONTH(A1360)-1)/3)+1&amp;"-"&amp;YEAR(A1360)</f>
        <v>T1-2026</v>
      </c>
      <c r="R1360" s="124" t="s">
        <v>2705</v>
      </c>
      <c r="S1360" s="124" t="s">
        <v>2706</v>
      </c>
      <c r="T1360" s="124" t="s">
        <v>2707</v>
      </c>
      <c r="U1360" s="162" t="s">
        <v>51</v>
      </c>
      <c r="V1360" s="575" t="s">
        <v>57</v>
      </c>
      <c r="W1360" s="237" t="s">
        <v>125</v>
      </c>
      <c r="X1360" s="201" t="s">
        <v>2709</v>
      </c>
    </row>
    <row r="1361" spans="1:24">
      <c r="A1361" s="548">
        <v>46089</v>
      </c>
      <c r="B1361" s="676"/>
      <c r="C1361" s="32" t="s">
        <v>2697</v>
      </c>
      <c r="D1361" s="126">
        <v>-49.99</v>
      </c>
      <c r="E1361" s="120">
        <v>1</v>
      </c>
      <c r="F1361" s="127">
        <f>Tabla5109[[#This Row],[Original Amount]]*Tabla5109[[#This Row],[ER to EUR]]</f>
        <v>-49.99</v>
      </c>
      <c r="G1361" s="9" t="s">
        <v>2830</v>
      </c>
      <c r="H1361" s="9" t="s">
        <v>4160</v>
      </c>
      <c r="I1361" s="91" t="s">
        <v>2784</v>
      </c>
      <c r="J1361" s="9" t="s">
        <v>2817</v>
      </c>
      <c r="K1361" s="205" t="s">
        <v>2702</v>
      </c>
      <c r="L1361" s="9" t="s">
        <v>2818</v>
      </c>
      <c r="M1361" s="32" t="s">
        <v>125</v>
      </c>
      <c r="N1361" s="122" t="s">
        <v>2704</v>
      </c>
      <c r="O1361" s="129" t="s">
        <v>2704</v>
      </c>
      <c r="P1361" s="123" t="str">
        <f>"C"&amp;INT((MONTH(A1361)-1)/4)+1&amp;"-"&amp;YEAR(A1361)</f>
        <v>C1-2026</v>
      </c>
      <c r="Q1361" s="124" t="str">
        <f>"T"&amp;INT((MONTH(A1361)-1)/3)+1&amp;"-"&amp;YEAR(A1361)</f>
        <v>T1-2026</v>
      </c>
      <c r="R1361" s="124" t="s">
        <v>2722</v>
      </c>
      <c r="S1361" s="124" t="s">
        <v>2723</v>
      </c>
      <c r="T1361" s="124" t="s">
        <v>2724</v>
      </c>
      <c r="U1361" s="162" t="s">
        <v>2708</v>
      </c>
      <c r="V1361" s="575" t="s">
        <v>54</v>
      </c>
      <c r="W1361" s="237" t="s">
        <v>125</v>
      </c>
      <c r="X1361" s="201" t="s">
        <v>2709</v>
      </c>
    </row>
    <row r="1362" spans="1:24">
      <c r="A1362" s="548">
        <v>46089</v>
      </c>
      <c r="B1362" s="133"/>
      <c r="C1362" s="32" t="s">
        <v>2697</v>
      </c>
      <c r="D1362" s="126">
        <v>-213.01</v>
      </c>
      <c r="E1362" s="120">
        <v>1</v>
      </c>
      <c r="F1362" s="127">
        <f>Tabla5109[[#This Row],[Original Amount]]*Tabla5109[[#This Row],[ER to EUR]]</f>
        <v>-213.01</v>
      </c>
      <c r="G1362" s="9" t="s">
        <v>4067</v>
      </c>
      <c r="H1362" s="9" t="s">
        <v>4611</v>
      </c>
      <c r="I1362" s="9" t="s">
        <v>2784</v>
      </c>
      <c r="J1362" s="9" t="s">
        <v>2701</v>
      </c>
      <c r="K1362" s="205" t="s">
        <v>2702</v>
      </c>
      <c r="L1362" s="211" t="s">
        <v>3494</v>
      </c>
      <c r="M1362" s="32" t="s">
        <v>125</v>
      </c>
      <c r="N1362" s="122" t="s">
        <v>2704</v>
      </c>
      <c r="O1362" s="129" t="s">
        <v>2704</v>
      </c>
      <c r="P1362" s="123" t="str">
        <f>"C"&amp;INT((MONTH(A1362)-1)/4)+1&amp;"-"&amp;YEAR(A1362)</f>
        <v>C1-2026</v>
      </c>
      <c r="Q1362" s="124" t="str">
        <f>"T"&amp;INT((MONTH(A1362)-1)/3)+1&amp;"-"&amp;YEAR(A1362)</f>
        <v>T1-2026</v>
      </c>
      <c r="R1362" s="91" t="s">
        <v>2749</v>
      </c>
      <c r="S1362" s="124" t="s">
        <v>2750</v>
      </c>
      <c r="T1362" s="124" t="s">
        <v>2717</v>
      </c>
      <c r="U1362" s="162" t="s">
        <v>2708</v>
      </c>
      <c r="V1362" s="575" t="s">
        <v>56</v>
      </c>
      <c r="W1362" s="237" t="s">
        <v>125</v>
      </c>
      <c r="X1362" s="201" t="s">
        <v>2709</v>
      </c>
    </row>
    <row r="1363" spans="1:24">
      <c r="A1363" s="548">
        <v>46089</v>
      </c>
      <c r="B1363" s="133"/>
      <c r="C1363" s="32" t="s">
        <v>2697</v>
      </c>
      <c r="D1363" s="126">
        <v>-236.81</v>
      </c>
      <c r="E1363" s="120">
        <v>1</v>
      </c>
      <c r="F1363" s="127">
        <f>Tabla5109[[#This Row],[Original Amount]]*Tabla5109[[#This Row],[ER to EUR]]</f>
        <v>-236.81</v>
      </c>
      <c r="G1363" s="9" t="s">
        <v>3884</v>
      </c>
      <c r="H1363" s="9" t="s">
        <v>3885</v>
      </c>
      <c r="I1363" s="9" t="s">
        <v>3692</v>
      </c>
      <c r="J1363" s="9" t="s">
        <v>2701</v>
      </c>
      <c r="K1363" s="205" t="s">
        <v>2702</v>
      </c>
      <c r="L1363" s="9" t="s">
        <v>2703</v>
      </c>
      <c r="M1363" s="32" t="s">
        <v>125</v>
      </c>
      <c r="N1363" s="129" t="s">
        <v>2704</v>
      </c>
      <c r="O1363" s="129" t="s">
        <v>2704</v>
      </c>
      <c r="P1363" s="123" t="str">
        <f>"C"&amp;INT((MONTH(A1363)-1)/4)+1&amp;"-"&amp;YEAR(A1363)</f>
        <v>C1-2026</v>
      </c>
      <c r="Q1363" s="124" t="str">
        <f>"T"&amp;INT((MONTH(A1363)-1)/3)+1&amp;"-"&amp;YEAR(A1363)</f>
        <v>T1-2026</v>
      </c>
      <c r="R1363" s="124" t="s">
        <v>2741</v>
      </c>
      <c r="S1363" s="124" t="s">
        <v>2723</v>
      </c>
      <c r="T1363" s="124" t="s">
        <v>2724</v>
      </c>
      <c r="U1363" s="162" t="s">
        <v>2708</v>
      </c>
      <c r="V1363" s="575" t="s">
        <v>54</v>
      </c>
      <c r="W1363" s="237" t="s">
        <v>125</v>
      </c>
      <c r="X1363" s="201" t="s">
        <v>2709</v>
      </c>
    </row>
    <row r="1364" spans="1:24">
      <c r="A1364" s="548">
        <v>46090</v>
      </c>
      <c r="B1364" s="131"/>
      <c r="C1364" s="32" t="s">
        <v>2697</v>
      </c>
      <c r="D1364" s="239">
        <v>-534.01</v>
      </c>
      <c r="E1364" s="120">
        <v>1</v>
      </c>
      <c r="F1364" s="760">
        <f>Tabla5109[[#This Row],[Original Amount]]*Tabla5109[[#This Row],[ER to EUR]]</f>
        <v>-534.01</v>
      </c>
      <c r="G1364" s="9" t="s">
        <v>2839</v>
      </c>
      <c r="H1364" s="9" t="s">
        <v>2840</v>
      </c>
      <c r="I1364" s="9" t="s">
        <v>2784</v>
      </c>
      <c r="J1364" s="9" t="s">
        <v>2701</v>
      </c>
      <c r="K1364" s="205" t="s">
        <v>2702</v>
      </c>
      <c r="L1364" s="9" t="s">
        <v>2703</v>
      </c>
      <c r="M1364" s="32" t="s">
        <v>125</v>
      </c>
      <c r="N1364" s="129" t="s">
        <v>2704</v>
      </c>
      <c r="O1364" s="129" t="s">
        <v>2704</v>
      </c>
      <c r="P1364" s="123" t="str">
        <f>"C"&amp;INT((MONTH(A1364)-1)/4)+1&amp;"-"&amp;YEAR(A1364)</f>
        <v>C1-2026</v>
      </c>
      <c r="Q1364" s="124" t="str">
        <f>"T"&amp;INT((MONTH(A1364)-1)/3)+1&amp;"-"&amp;YEAR(A1364)</f>
        <v>T1-2026</v>
      </c>
      <c r="R1364" s="124" t="s">
        <v>2705</v>
      </c>
      <c r="S1364" s="124" t="s">
        <v>2706</v>
      </c>
      <c r="T1364" s="124" t="s">
        <v>2707</v>
      </c>
      <c r="U1364" s="162" t="s">
        <v>2708</v>
      </c>
      <c r="V1364" s="575" t="s">
        <v>57</v>
      </c>
      <c r="W1364" s="237" t="s">
        <v>125</v>
      </c>
      <c r="X1364" s="201" t="s">
        <v>2709</v>
      </c>
    </row>
    <row r="1365" spans="1:24">
      <c r="A1365" s="548">
        <v>46091</v>
      </c>
      <c r="B1365" s="570"/>
      <c r="C1365" s="122" t="s">
        <v>2548</v>
      </c>
      <c r="D1365" s="151">
        <v>-499</v>
      </c>
      <c r="E1365" s="222">
        <v>0.846167</v>
      </c>
      <c r="F1365" s="127">
        <f>Tabla5109[[#This Row],[Original Amount]]*Tabla5109[[#This Row],[ER to EUR]]</f>
        <v>-422.23733299999998</v>
      </c>
      <c r="G1365" s="9" t="s">
        <v>3193</v>
      </c>
      <c r="H1365" s="73" t="s">
        <v>3194</v>
      </c>
      <c r="I1365" s="9" t="s">
        <v>2739</v>
      </c>
      <c r="J1365" s="9" t="s">
        <v>2701</v>
      </c>
      <c r="K1365" s="205" t="s">
        <v>2702</v>
      </c>
      <c r="L1365" s="9" t="s">
        <v>2793</v>
      </c>
      <c r="M1365" s="32" t="s">
        <v>125</v>
      </c>
      <c r="N1365" s="129" t="s">
        <v>2704</v>
      </c>
      <c r="O1365" s="129" t="s">
        <v>2704</v>
      </c>
      <c r="P1365" s="123" t="str">
        <f>"C"&amp;INT((MONTH(A1365)-1)/4)+1&amp;"-"&amp;YEAR(A1365)</f>
        <v>C1-2026</v>
      </c>
      <c r="Q1365" s="124" t="str">
        <f>"T"&amp;INT((MONTH(A1365)-1)/3)+1&amp;"-"&amp;YEAR(A1365)</f>
        <v>T1-2026</v>
      </c>
      <c r="R1365" s="124" t="s">
        <v>2722</v>
      </c>
      <c r="S1365" s="124" t="s">
        <v>2723</v>
      </c>
      <c r="T1365" s="124" t="s">
        <v>2724</v>
      </c>
      <c r="U1365" s="162" t="s">
        <v>2708</v>
      </c>
      <c r="V1365" s="575" t="s">
        <v>54</v>
      </c>
      <c r="W1365" s="237" t="s">
        <v>125</v>
      </c>
      <c r="X1365" s="201" t="s">
        <v>2709</v>
      </c>
    </row>
    <row r="1366" spans="1:24">
      <c r="A1366" s="548">
        <v>46091</v>
      </c>
      <c r="B1366" s="133"/>
      <c r="C1366" s="32" t="s">
        <v>2697</v>
      </c>
      <c r="D1366" s="126">
        <v>-833.24</v>
      </c>
      <c r="E1366" s="120">
        <v>1</v>
      </c>
      <c r="F1366" s="127">
        <f>Tabla5109[[#This Row],[Original Amount]]*Tabla5109[[#This Row],[ER to EUR]]</f>
        <v>-833.24</v>
      </c>
      <c r="G1366" s="9" t="s">
        <v>2839</v>
      </c>
      <c r="H1366" s="9" t="s">
        <v>2840</v>
      </c>
      <c r="I1366" s="9" t="s">
        <v>2784</v>
      </c>
      <c r="J1366" s="9" t="s">
        <v>2701</v>
      </c>
      <c r="K1366" s="205" t="s">
        <v>2702</v>
      </c>
      <c r="L1366" s="9" t="s">
        <v>2703</v>
      </c>
      <c r="M1366" s="32" t="s">
        <v>125</v>
      </c>
      <c r="N1366" s="129" t="s">
        <v>2704</v>
      </c>
      <c r="O1366" s="129" t="s">
        <v>2704</v>
      </c>
      <c r="P1366" s="123" t="str">
        <f>"C"&amp;INT((MONTH(A1366)-1)/4)+1&amp;"-"&amp;YEAR(A1366)</f>
        <v>C1-2026</v>
      </c>
      <c r="Q1366" s="124" t="str">
        <f>"T"&amp;INT((MONTH(A1366)-1)/3)+1&amp;"-"&amp;YEAR(A1366)</f>
        <v>T1-2026</v>
      </c>
      <c r="R1366" s="124" t="s">
        <v>2705</v>
      </c>
      <c r="S1366" s="124" t="s">
        <v>2706</v>
      </c>
      <c r="T1366" s="124" t="s">
        <v>2707</v>
      </c>
      <c r="U1366" s="162" t="s">
        <v>2708</v>
      </c>
      <c r="V1366" s="575" t="s">
        <v>57</v>
      </c>
      <c r="W1366" s="237" t="s">
        <v>125</v>
      </c>
      <c r="X1366" s="201" t="s">
        <v>2709</v>
      </c>
    </row>
    <row r="1367" spans="1:24">
      <c r="A1367" s="548">
        <v>46092</v>
      </c>
      <c r="B1367" s="133"/>
      <c r="C1367" s="32" t="s">
        <v>2697</v>
      </c>
      <c r="D1367" s="126">
        <v>-93.59</v>
      </c>
      <c r="E1367" s="120">
        <v>1</v>
      </c>
      <c r="F1367" s="127">
        <f>Tabla5109[[#This Row],[Original Amount]]*Tabla5109[[#This Row],[ER to EUR]]</f>
        <v>-93.59</v>
      </c>
      <c r="G1367" s="9" t="s">
        <v>4070</v>
      </c>
      <c r="H1367" s="9" t="s">
        <v>4599</v>
      </c>
      <c r="I1367" s="9" t="s">
        <v>4072</v>
      </c>
      <c r="J1367" s="9" t="s">
        <v>2701</v>
      </c>
      <c r="K1367" s="205" t="s">
        <v>2702</v>
      </c>
      <c r="L1367" s="9" t="s">
        <v>2788</v>
      </c>
      <c r="M1367" s="32" t="s">
        <v>125</v>
      </c>
      <c r="N1367" s="129" t="s">
        <v>2704</v>
      </c>
      <c r="O1367" s="129" t="s">
        <v>2704</v>
      </c>
      <c r="P1367" s="123" t="str">
        <f>"C"&amp;INT((MONTH(A1367)-1)/4)+1&amp;"-"&amp;YEAR(A1367)</f>
        <v>C1-2026</v>
      </c>
      <c r="Q1367" s="124" t="str">
        <f>"T"&amp;INT((MONTH(A1367)-1)/3)+1&amp;"-"&amp;YEAR(A1367)</f>
        <v>T1-2026</v>
      </c>
      <c r="R1367" s="124" t="s">
        <v>2819</v>
      </c>
      <c r="S1367" s="124" t="s">
        <v>2817</v>
      </c>
      <c r="T1367" s="124" t="s">
        <v>2717</v>
      </c>
      <c r="U1367" s="162" t="s">
        <v>2708</v>
      </c>
      <c r="V1367" s="575" t="s">
        <v>56</v>
      </c>
      <c r="W1367" s="237" t="s">
        <v>125</v>
      </c>
      <c r="X1367" s="201" t="s">
        <v>2709</v>
      </c>
    </row>
    <row r="1368" spans="1:24">
      <c r="A1368" s="548">
        <v>46092</v>
      </c>
      <c r="B1368" s="133"/>
      <c r="C1368" s="32" t="s">
        <v>2697</v>
      </c>
      <c r="D1368" s="126">
        <v>-15.99</v>
      </c>
      <c r="E1368" s="120">
        <v>1</v>
      </c>
      <c r="F1368" s="127">
        <f>Tabla5109[[#This Row],[Original Amount]]*Tabla5109[[#This Row],[ER to EUR]]</f>
        <v>-15.99</v>
      </c>
      <c r="G1368" s="9" t="s">
        <v>2956</v>
      </c>
      <c r="H1368" s="9" t="s">
        <v>4586</v>
      </c>
      <c r="I1368" s="9" t="s">
        <v>2739</v>
      </c>
      <c r="J1368" s="9" t="s">
        <v>2701</v>
      </c>
      <c r="K1368" s="205" t="s">
        <v>2702</v>
      </c>
      <c r="L1368" s="9" t="s">
        <v>2740</v>
      </c>
      <c r="M1368" s="32" t="s">
        <v>125</v>
      </c>
      <c r="N1368" s="122" t="s">
        <v>2748</v>
      </c>
      <c r="O1368" s="129" t="s">
        <v>2748</v>
      </c>
      <c r="P1368" s="123" t="str">
        <f>"C"&amp;INT((MONTH(A1368)-1)/4)+1&amp;"-"&amp;YEAR(A1368)</f>
        <v>C1-2026</v>
      </c>
      <c r="Q1368" s="124" t="str">
        <f>"T"&amp;INT((MONTH(A1368)-1)/3)+1&amp;"-"&amp;YEAR(A1368)</f>
        <v>T1-2026</v>
      </c>
      <c r="R1368" s="124" t="s">
        <v>2705</v>
      </c>
      <c r="S1368" s="124" t="s">
        <v>2706</v>
      </c>
      <c r="T1368" s="124" t="s">
        <v>2724</v>
      </c>
      <c r="U1368" s="162" t="s">
        <v>2708</v>
      </c>
      <c r="V1368" s="575" t="s">
        <v>54</v>
      </c>
      <c r="W1368" s="237" t="s">
        <v>125</v>
      </c>
      <c r="X1368" s="201" t="s">
        <v>2709</v>
      </c>
    </row>
    <row r="1369" spans="1:24">
      <c r="A1369" s="548">
        <v>46093</v>
      </c>
      <c r="B1369" s="506" t="s">
        <v>3999</v>
      </c>
      <c r="C1369" s="32" t="s">
        <v>2697</v>
      </c>
      <c r="D1369" s="126">
        <v>-2000</v>
      </c>
      <c r="E1369" s="154">
        <v>1</v>
      </c>
      <c r="F1369" s="127">
        <f>Tabla5109[[#This Row],[Original Amount]]*Tabla5109[[#This Row],[ER to EUR]]</f>
        <v>-2000</v>
      </c>
      <c r="G1369" s="9" t="s">
        <v>3237</v>
      </c>
      <c r="H1369" s="9" t="s">
        <v>4693</v>
      </c>
      <c r="I1369" s="9" t="s">
        <v>2713</v>
      </c>
      <c r="J1369" s="9" t="s">
        <v>2770</v>
      </c>
      <c r="K1369" s="205" t="s">
        <v>2803</v>
      </c>
      <c r="L1369" s="9" t="s">
        <v>57</v>
      </c>
      <c r="M1369" s="32" t="s">
        <v>125</v>
      </c>
      <c r="N1369" s="122" t="s">
        <v>2704</v>
      </c>
      <c r="O1369" s="122" t="s">
        <v>2704</v>
      </c>
      <c r="P1369" s="123" t="str">
        <f>"C"&amp;INT((MONTH(A1369)-1)/4)+1&amp;"-"&amp;YEAR(A1369)</f>
        <v>C1-2026</v>
      </c>
      <c r="Q1369" s="124" t="str">
        <f>"T"&amp;INT((MONTH(A1369)-1)/3)+1&amp;"-"&amp;YEAR(A1369)</f>
        <v>T1-2026</v>
      </c>
      <c r="R1369" s="124" t="s">
        <v>2749</v>
      </c>
      <c r="S1369" s="124" t="s">
        <v>2750</v>
      </c>
      <c r="T1369" s="124" t="s">
        <v>2717</v>
      </c>
      <c r="U1369" s="162" t="s">
        <v>2708</v>
      </c>
      <c r="V1369" s="575" t="s">
        <v>56</v>
      </c>
      <c r="W1369" s="237" t="s">
        <v>125</v>
      </c>
      <c r="X1369" s="173" t="s">
        <v>2709</v>
      </c>
    </row>
    <row r="1370" spans="1:24">
      <c r="A1370" s="548">
        <v>46094</v>
      </c>
      <c r="B1370" s="133"/>
      <c r="C1370" s="32" t="s">
        <v>2697</v>
      </c>
      <c r="D1370" s="126">
        <v>-51.24</v>
      </c>
      <c r="E1370" s="120">
        <v>1</v>
      </c>
      <c r="F1370" s="127">
        <f>Tabla5109[[#This Row],[Original Amount]]*Tabla5109[[#This Row],[ER to EUR]]</f>
        <v>-51.24</v>
      </c>
      <c r="G1370" s="9" t="s">
        <v>2733</v>
      </c>
      <c r="H1370" s="9" t="s">
        <v>2734</v>
      </c>
      <c r="I1370" s="9" t="s">
        <v>2713</v>
      </c>
      <c r="J1370" s="9" t="s">
        <v>2701</v>
      </c>
      <c r="K1370" s="205" t="s">
        <v>2809</v>
      </c>
      <c r="L1370" s="9" t="s">
        <v>2810</v>
      </c>
      <c r="M1370" s="32" t="s">
        <v>125</v>
      </c>
      <c r="N1370" s="122" t="s">
        <v>2748</v>
      </c>
      <c r="O1370" s="129" t="s">
        <v>2704</v>
      </c>
      <c r="P1370" s="123" t="str">
        <f>"C"&amp;INT((MONTH(A1370)-1)/4)+1&amp;"-"&amp;YEAR(A1370)</f>
        <v>C1-2026</v>
      </c>
      <c r="Q1370" s="124" t="str">
        <f>"T"&amp;INT((MONTH(A1370)-1)/3)+1&amp;"-"&amp;YEAR(A1370)</f>
        <v>T1-2026</v>
      </c>
      <c r="R1370" s="124" t="s">
        <v>2705</v>
      </c>
      <c r="S1370" s="124" t="s">
        <v>2735</v>
      </c>
      <c r="T1370" s="124" t="s">
        <v>2707</v>
      </c>
      <c r="U1370" s="203" t="s">
        <v>2708</v>
      </c>
      <c r="V1370" s="573" t="s">
        <v>56</v>
      </c>
      <c r="W1370" s="237" t="s">
        <v>125</v>
      </c>
      <c r="X1370" s="201" t="s">
        <v>2709</v>
      </c>
    </row>
    <row r="1371" spans="1:24">
      <c r="A1371" s="548">
        <v>46095</v>
      </c>
      <c r="B1371" s="133"/>
      <c r="C1371" s="32" t="s">
        <v>2697</v>
      </c>
      <c r="D1371" s="126">
        <v>-65.540000000000006</v>
      </c>
      <c r="E1371" s="120">
        <v>1</v>
      </c>
      <c r="F1371" s="127">
        <f>Tabla5109[[#This Row],[Original Amount]]*Tabla5109[[#This Row],[ER to EUR]]</f>
        <v>-65.540000000000006</v>
      </c>
      <c r="G1371" s="9" t="s">
        <v>2830</v>
      </c>
      <c r="H1371" s="9" t="s">
        <v>6007</v>
      </c>
      <c r="I1371" s="91" t="s">
        <v>6008</v>
      </c>
      <c r="J1371" s="9" t="s">
        <v>2817</v>
      </c>
      <c r="K1371" s="205" t="s">
        <v>2702</v>
      </c>
      <c r="L1371" s="9" t="s">
        <v>2818</v>
      </c>
      <c r="M1371" s="32" t="s">
        <v>125</v>
      </c>
      <c r="N1371" s="122" t="s">
        <v>2704</v>
      </c>
      <c r="O1371" s="129" t="s">
        <v>2704</v>
      </c>
      <c r="P1371" s="123" t="str">
        <f>"C"&amp;INT((MONTH(A1371)-1)/4)+1&amp;"-"&amp;YEAR(A1371)</f>
        <v>C1-2026</v>
      </c>
      <c r="Q1371" s="124" t="str">
        <f>"T"&amp;INT((MONTH(A1371)-1)/3)+1&amp;"-"&amp;YEAR(A1371)</f>
        <v>T1-2026</v>
      </c>
      <c r="R1371" s="124" t="s">
        <v>2741</v>
      </c>
      <c r="S1371" s="123" t="s">
        <v>2723</v>
      </c>
      <c r="T1371" s="124" t="s">
        <v>2724</v>
      </c>
      <c r="U1371" s="162" t="s">
        <v>2708</v>
      </c>
      <c r="V1371" s="575" t="s">
        <v>54</v>
      </c>
      <c r="W1371" s="237" t="s">
        <v>125</v>
      </c>
      <c r="X1371" s="201" t="s">
        <v>2709</v>
      </c>
    </row>
    <row r="1372" spans="1:24">
      <c r="A1372" s="548">
        <v>46096</v>
      </c>
      <c r="B1372" s="133"/>
      <c r="C1372" s="32" t="s">
        <v>2697</v>
      </c>
      <c r="D1372" s="126">
        <v>-105.2</v>
      </c>
      <c r="E1372" s="120"/>
      <c r="F1372" s="127">
        <f>Tabla5109[[#This Row],[Original Amount]]*Tabla5109[[#This Row],[ER to EUR]]</f>
        <v>0</v>
      </c>
      <c r="G1372" s="9" t="s">
        <v>4096</v>
      </c>
      <c r="H1372" s="9" t="s">
        <v>4593</v>
      </c>
      <c r="I1372" s="9" t="s">
        <v>2713</v>
      </c>
      <c r="J1372" s="9" t="s">
        <v>2701</v>
      </c>
      <c r="K1372" s="205" t="s">
        <v>2702</v>
      </c>
      <c r="L1372" s="9" t="s">
        <v>2760</v>
      </c>
      <c r="M1372" s="32" t="s">
        <v>125</v>
      </c>
      <c r="N1372" s="122" t="s">
        <v>2704</v>
      </c>
      <c r="O1372" s="129" t="s">
        <v>2704</v>
      </c>
      <c r="P1372" s="123" t="str">
        <f>"C"&amp;INT((MONTH(A1372)-1)/4)+1&amp;"-"&amp;YEAR(A1372)</f>
        <v>C1-2026</v>
      </c>
      <c r="Q1372" s="124" t="str">
        <f>"T"&amp;INT((MONTH(A1372)-1)/3)+1&amp;"-"&amp;YEAR(A1372)</f>
        <v>T1-2026</v>
      </c>
      <c r="R1372" s="124" t="s">
        <v>2705</v>
      </c>
      <c r="S1372" s="124" t="s">
        <v>2735</v>
      </c>
      <c r="T1372" s="124" t="s">
        <v>2717</v>
      </c>
      <c r="U1372" s="162" t="s">
        <v>2708</v>
      </c>
      <c r="V1372" s="575" t="s">
        <v>56</v>
      </c>
      <c r="W1372" s="237" t="s">
        <v>125</v>
      </c>
      <c r="X1372" s="201" t="s">
        <v>2709</v>
      </c>
    </row>
    <row r="1373" spans="1:24">
      <c r="A1373" s="548">
        <v>46096</v>
      </c>
      <c r="B1373" s="570"/>
      <c r="C1373" s="32" t="s">
        <v>2697</v>
      </c>
      <c r="D1373" s="126">
        <v>-5057.5</v>
      </c>
      <c r="E1373" s="120"/>
      <c r="F1373" s="127">
        <f>Tabla5109[[#This Row],[Original Amount]]*Tabla5109[[#This Row],[ER to EUR]]</f>
        <v>0</v>
      </c>
      <c r="G1373" s="9" t="s">
        <v>2790</v>
      </c>
      <c r="H1373" s="91" t="s">
        <v>2791</v>
      </c>
      <c r="I1373" s="9" t="s">
        <v>2727</v>
      </c>
      <c r="J1373" s="9" t="s">
        <v>2723</v>
      </c>
      <c r="K1373" s="205" t="s">
        <v>2792</v>
      </c>
      <c r="L1373" s="9" t="s">
        <v>2793</v>
      </c>
      <c r="M1373" s="32" t="s">
        <v>125</v>
      </c>
      <c r="N1373" s="129" t="s">
        <v>2748</v>
      </c>
      <c r="O1373" s="129" t="s">
        <v>2748</v>
      </c>
      <c r="P1373" s="123" t="str">
        <f>"C"&amp;INT((MONTH(A1373)-1)/4)+1&amp;"-"&amp;YEAR(A1373)</f>
        <v>C1-2026</v>
      </c>
      <c r="Q1373" s="124" t="str">
        <f>"T"&amp;INT((MONTH(A1373)-1)/3)+1&amp;"-"&amp;YEAR(A1373)</f>
        <v>T1-2026</v>
      </c>
      <c r="R1373" s="124" t="s">
        <v>2794</v>
      </c>
      <c r="S1373" s="124" t="s">
        <v>2731</v>
      </c>
      <c r="T1373" s="124" t="s">
        <v>2724</v>
      </c>
      <c r="U1373" s="162" t="s">
        <v>2708</v>
      </c>
      <c r="V1373" s="575" t="s">
        <v>57</v>
      </c>
      <c r="W1373" s="237" t="s">
        <v>125</v>
      </c>
      <c r="X1373" s="201" t="s">
        <v>2709</v>
      </c>
    </row>
    <row r="1374" spans="1:24">
      <c r="A1374" s="548">
        <v>46096</v>
      </c>
      <c r="B1374" s="570"/>
      <c r="C1374" s="32" t="s">
        <v>2697</v>
      </c>
      <c r="D1374" s="126">
        <v>-5355</v>
      </c>
      <c r="E1374" s="120"/>
      <c r="F1374" s="127">
        <f>Tabla5109[[#This Row],[Original Amount]]*Tabla5109[[#This Row],[ER to EUR]]</f>
        <v>0</v>
      </c>
      <c r="G1374" s="9" t="s">
        <v>2790</v>
      </c>
      <c r="H1374" s="91" t="s">
        <v>2791</v>
      </c>
      <c r="I1374" s="9" t="s">
        <v>2727</v>
      </c>
      <c r="J1374" s="9" t="s">
        <v>2723</v>
      </c>
      <c r="K1374" s="205" t="s">
        <v>2792</v>
      </c>
      <c r="L1374" s="9" t="s">
        <v>2793</v>
      </c>
      <c r="M1374" s="32" t="s">
        <v>125</v>
      </c>
      <c r="N1374" s="129" t="s">
        <v>2748</v>
      </c>
      <c r="O1374" s="129" t="s">
        <v>2748</v>
      </c>
      <c r="P1374" s="123" t="str">
        <f>"C"&amp;INT((MONTH(A1374)-1)/4)+1&amp;"-"&amp;YEAR(A1374)</f>
        <v>C1-2026</v>
      </c>
      <c r="Q1374" s="124" t="str">
        <f>"T"&amp;INT((MONTH(A1374)-1)/3)+1&amp;"-"&amp;YEAR(A1374)</f>
        <v>T1-2026</v>
      </c>
      <c r="R1374" s="124" t="s">
        <v>2794</v>
      </c>
      <c r="S1374" s="124" t="s">
        <v>2731</v>
      </c>
      <c r="T1374" s="124" t="s">
        <v>2724</v>
      </c>
      <c r="U1374" s="162" t="s">
        <v>2708</v>
      </c>
      <c r="V1374" s="575" t="s">
        <v>57</v>
      </c>
      <c r="W1374" s="237" t="s">
        <v>125</v>
      </c>
      <c r="X1374" s="201" t="s">
        <v>2709</v>
      </c>
    </row>
    <row r="1375" spans="1:24">
      <c r="A1375" s="548">
        <v>46096</v>
      </c>
      <c r="B1375" s="133"/>
      <c r="C1375" s="32" t="s">
        <v>2697</v>
      </c>
      <c r="D1375" s="126">
        <v>-186</v>
      </c>
      <c r="E1375" s="120"/>
      <c r="F1375" s="127">
        <f>Tabla5109[[#This Row],[Original Amount]]*Tabla5109[[#This Row],[ER to EUR]]</f>
        <v>0</v>
      </c>
      <c r="G1375" s="9" t="s">
        <v>3492</v>
      </c>
      <c r="H1375" s="9" t="s">
        <v>4183</v>
      </c>
      <c r="I1375" s="9" t="s">
        <v>2784</v>
      </c>
      <c r="J1375" s="9" t="s">
        <v>2701</v>
      </c>
      <c r="K1375" s="205" t="s">
        <v>2702</v>
      </c>
      <c r="L1375" s="9" t="s">
        <v>3494</v>
      </c>
      <c r="M1375" s="32" t="s">
        <v>125</v>
      </c>
      <c r="N1375" s="129" t="s">
        <v>2748</v>
      </c>
      <c r="O1375" s="129" t="s">
        <v>2748</v>
      </c>
      <c r="P1375" s="123" t="str">
        <f>"C"&amp;INT((MONTH(A1375)-1)/4)+1&amp;"-"&amp;YEAR(A1375)</f>
        <v>C1-2026</v>
      </c>
      <c r="Q1375" s="124" t="str">
        <f>"T"&amp;INT((MONTH(A1375)-1)/3)+1&amp;"-"&amp;YEAR(A1375)</f>
        <v>T1-2026</v>
      </c>
      <c r="R1375" s="124" t="s">
        <v>2705</v>
      </c>
      <c r="S1375" s="124" t="s">
        <v>2735</v>
      </c>
      <c r="T1375" s="124" t="s">
        <v>2707</v>
      </c>
      <c r="U1375" s="162" t="s">
        <v>2708</v>
      </c>
      <c r="V1375" s="575" t="s">
        <v>54</v>
      </c>
      <c r="W1375" s="237" t="s">
        <v>125</v>
      </c>
      <c r="X1375" s="201" t="s">
        <v>2709</v>
      </c>
    </row>
    <row r="1376" spans="1:24">
      <c r="A1376" s="548">
        <v>46096</v>
      </c>
      <c r="B1376" s="133"/>
      <c r="C1376" s="32" t="s">
        <v>2697</v>
      </c>
      <c r="D1376" s="126">
        <v>-144</v>
      </c>
      <c r="E1376" s="120"/>
      <c r="F1376" s="127">
        <f>Tabla5109[[#This Row],[Original Amount]]*Tabla5109[[#This Row],[ER to EUR]]</f>
        <v>0</v>
      </c>
      <c r="G1376" s="9" t="s">
        <v>4078</v>
      </c>
      <c r="H1376" s="9" t="s">
        <v>4185</v>
      </c>
      <c r="I1376" s="9" t="s">
        <v>2755</v>
      </c>
      <c r="J1376" s="9" t="s">
        <v>2701</v>
      </c>
      <c r="K1376" s="205" t="s">
        <v>2702</v>
      </c>
      <c r="L1376" s="211" t="s">
        <v>3693</v>
      </c>
      <c r="M1376" s="32" t="s">
        <v>125</v>
      </c>
      <c r="N1376" s="122" t="s">
        <v>2704</v>
      </c>
      <c r="O1376" s="129" t="s">
        <v>2704</v>
      </c>
      <c r="P1376" s="123" t="str">
        <f>"C"&amp;INT((MONTH(A1376)-1)/4)+1&amp;"-"&amp;YEAR(A1376)</f>
        <v>C1-2026</v>
      </c>
      <c r="Q1376" s="124" t="str">
        <f>"T"&amp;INT((MONTH(A1376)-1)/3)+1&amp;"-"&amp;YEAR(A1376)</f>
        <v>T1-2026</v>
      </c>
      <c r="R1376" s="91" t="s">
        <v>2705</v>
      </c>
      <c r="S1376" s="124" t="s">
        <v>2706</v>
      </c>
      <c r="T1376" s="124" t="s">
        <v>2717</v>
      </c>
      <c r="U1376" s="162" t="s">
        <v>2708</v>
      </c>
      <c r="V1376" s="575" t="s">
        <v>56</v>
      </c>
      <c r="W1376" s="237" t="s">
        <v>125</v>
      </c>
      <c r="X1376" s="201" t="s">
        <v>2709</v>
      </c>
    </row>
    <row r="1377" spans="1:24">
      <c r="A1377" s="548">
        <v>46097</v>
      </c>
      <c r="B1377" s="570"/>
      <c r="C1377" s="32" t="s">
        <v>2697</v>
      </c>
      <c r="D1377" s="126">
        <v>-239.68</v>
      </c>
      <c r="E1377" s="120"/>
      <c r="F1377" s="127">
        <f>Tabla5109[[#This Row],[Original Amount]]*Tabla5109[[#This Row],[ER to EUR]]</f>
        <v>0</v>
      </c>
      <c r="G1377" s="9" t="s">
        <v>2815</v>
      </c>
      <c r="H1377" s="91" t="s">
        <v>3103</v>
      </c>
      <c r="I1377" s="91" t="s">
        <v>2727</v>
      </c>
      <c r="J1377" s="91" t="s">
        <v>2817</v>
      </c>
      <c r="K1377" s="196" t="s">
        <v>2702</v>
      </c>
      <c r="L1377" s="91" t="s">
        <v>2818</v>
      </c>
      <c r="M1377" s="32" t="s">
        <v>125</v>
      </c>
      <c r="N1377" s="122" t="s">
        <v>2704</v>
      </c>
      <c r="O1377" s="129" t="s">
        <v>2704</v>
      </c>
      <c r="P1377" s="123" t="str">
        <f>"C"&amp;INT((MONTH(A1377)-1)/4)+1&amp;"-"&amp;YEAR(A1377)</f>
        <v>C1-2026</v>
      </c>
      <c r="Q1377" s="124" t="str">
        <f>"T"&amp;INT((MONTH(A1377)-1)/3)+1&amp;"-"&amp;YEAR(A1377)</f>
        <v>T1-2026</v>
      </c>
      <c r="R1377" s="124" t="s">
        <v>2819</v>
      </c>
      <c r="S1377" s="124" t="s">
        <v>2723</v>
      </c>
      <c r="T1377" s="124" t="s">
        <v>2724</v>
      </c>
      <c r="U1377" s="162" t="s">
        <v>2708</v>
      </c>
      <c r="V1377" s="575" t="s">
        <v>54</v>
      </c>
      <c r="W1377" s="237" t="s">
        <v>125</v>
      </c>
      <c r="X1377" s="201" t="s">
        <v>2709</v>
      </c>
    </row>
    <row r="1378" spans="1:24">
      <c r="A1378" s="548">
        <v>46097</v>
      </c>
      <c r="B1378" s="133"/>
      <c r="C1378" s="32" t="s">
        <v>2548</v>
      </c>
      <c r="D1378" s="151">
        <v>-250</v>
      </c>
      <c r="E1378" s="222"/>
      <c r="F1378" s="127">
        <f>Tabla5109[[#This Row],[Original Amount]]*Tabla5109[[#This Row],[ER to EUR]]</f>
        <v>0</v>
      </c>
      <c r="G1378" s="9" t="s">
        <v>4096</v>
      </c>
      <c r="H1378" s="9" t="s">
        <v>4278</v>
      </c>
      <c r="I1378" s="9" t="s">
        <v>2713</v>
      </c>
      <c r="J1378" s="9" t="s">
        <v>2701</v>
      </c>
      <c r="K1378" s="205" t="s">
        <v>2702</v>
      </c>
      <c r="L1378" s="9" t="s">
        <v>2760</v>
      </c>
      <c r="M1378" s="32" t="s">
        <v>125</v>
      </c>
      <c r="N1378" s="122" t="s">
        <v>2704</v>
      </c>
      <c r="O1378" s="129" t="s">
        <v>2704</v>
      </c>
      <c r="P1378" s="123" t="str">
        <f>"C"&amp;INT((MONTH(A1378)-1)/4)+1&amp;"-"&amp;YEAR(A1378)</f>
        <v>C1-2026</v>
      </c>
      <c r="Q1378" s="124" t="str">
        <f>"T"&amp;INT((MONTH(A1378)-1)/3)+1&amp;"-"&amp;YEAR(A1378)</f>
        <v>T1-2026</v>
      </c>
      <c r="R1378" s="124" t="s">
        <v>2705</v>
      </c>
      <c r="S1378" s="124" t="s">
        <v>2735</v>
      </c>
      <c r="T1378" s="124" t="s">
        <v>2717</v>
      </c>
      <c r="U1378" s="162" t="s">
        <v>2708</v>
      </c>
      <c r="V1378" s="575" t="s">
        <v>56</v>
      </c>
      <c r="W1378" s="237" t="s">
        <v>125</v>
      </c>
      <c r="X1378" s="201" t="s">
        <v>2709</v>
      </c>
    </row>
    <row r="1379" spans="1:24" ht="15" customHeight="1">
      <c r="A1379" s="548">
        <v>46097</v>
      </c>
      <c r="B1379" s="570"/>
      <c r="C1379" s="232" t="s">
        <v>2548</v>
      </c>
      <c r="D1379" s="151">
        <v>-32.4</v>
      </c>
      <c r="E1379" s="222"/>
      <c r="F1379" s="127">
        <f>Tabla5109[[#This Row],[Original Amount]]*Tabla5109[[#This Row],[ER to EUR]]</f>
        <v>0</v>
      </c>
      <c r="G1379" s="9" t="s">
        <v>2737</v>
      </c>
      <c r="H1379" s="9" t="s">
        <v>4597</v>
      </c>
      <c r="I1379" s="9" t="s">
        <v>2755</v>
      </c>
      <c r="J1379" s="9" t="s">
        <v>2701</v>
      </c>
      <c r="K1379" s="205" t="s">
        <v>2702</v>
      </c>
      <c r="L1379" s="9" t="s">
        <v>2740</v>
      </c>
      <c r="M1379" s="32" t="s">
        <v>125</v>
      </c>
      <c r="N1379" s="129" t="s">
        <v>2704</v>
      </c>
      <c r="O1379" s="129" t="s">
        <v>2704</v>
      </c>
      <c r="P1379" s="123" t="str">
        <f>"C"&amp;INT((MONTH(A1379)-1)/4)+1&amp;"-"&amp;YEAR(A1379)</f>
        <v>C1-2026</v>
      </c>
      <c r="Q1379" s="124" t="str">
        <f>"T"&amp;INT((MONTH(A1379)-1)/3)+1&amp;"-"&amp;YEAR(A1379)</f>
        <v>T1-2026</v>
      </c>
      <c r="R1379" s="124" t="s">
        <v>2741</v>
      </c>
      <c r="S1379" s="124" t="s">
        <v>2723</v>
      </c>
      <c r="T1379" s="124" t="s">
        <v>2724</v>
      </c>
      <c r="U1379" s="162" t="s">
        <v>2708</v>
      </c>
      <c r="V1379" s="575" t="s">
        <v>54</v>
      </c>
      <c r="W1379" s="237" t="s">
        <v>125</v>
      </c>
      <c r="X1379" s="201" t="s">
        <v>2709</v>
      </c>
    </row>
    <row r="1380" spans="1:24" ht="14.5" customHeight="1">
      <c r="A1380" s="548">
        <v>46097</v>
      </c>
      <c r="B1380" s="570"/>
      <c r="C1380" s="32" t="s">
        <v>2697</v>
      </c>
      <c r="D1380" s="126">
        <v>-20.12</v>
      </c>
      <c r="E1380" s="120"/>
      <c r="F1380" s="127">
        <f>Tabla5109[[#This Row],[Original Amount]]*Tabla5109[[#This Row],[ER to EUR]]</f>
        <v>0</v>
      </c>
      <c r="G1380" s="9" t="s">
        <v>2830</v>
      </c>
      <c r="H1380" s="9" t="s">
        <v>4117</v>
      </c>
      <c r="I1380" s="9" t="s">
        <v>2784</v>
      </c>
      <c r="J1380" s="9" t="s">
        <v>2817</v>
      </c>
      <c r="K1380" s="205" t="s">
        <v>2702</v>
      </c>
      <c r="L1380" s="9" t="s">
        <v>2818</v>
      </c>
      <c r="M1380" s="32" t="s">
        <v>125</v>
      </c>
      <c r="N1380" s="122" t="s">
        <v>2704</v>
      </c>
      <c r="O1380" s="129" t="s">
        <v>2704</v>
      </c>
      <c r="P1380" s="123" t="str">
        <f>"C"&amp;INT((MONTH(A1380)-1)/4)+1&amp;"-"&amp;YEAR(A1380)</f>
        <v>C1-2026</v>
      </c>
      <c r="Q1380" s="124" t="str">
        <f>"T"&amp;INT((MONTH(A1380)-1)/3)+1&amp;"-"&amp;YEAR(A1380)</f>
        <v>T1-2026</v>
      </c>
      <c r="R1380" s="124" t="s">
        <v>2722</v>
      </c>
      <c r="S1380" s="124" t="s">
        <v>2723</v>
      </c>
      <c r="T1380" s="124" t="s">
        <v>2724</v>
      </c>
      <c r="U1380" s="162" t="s">
        <v>2708</v>
      </c>
      <c r="V1380" s="575" t="s">
        <v>54</v>
      </c>
      <c r="W1380" s="237" t="s">
        <v>125</v>
      </c>
      <c r="X1380" s="201" t="s">
        <v>2709</v>
      </c>
    </row>
    <row r="1381" spans="1:24" ht="14.5" customHeight="1">
      <c r="A1381" s="548">
        <v>46098</v>
      </c>
      <c r="B1381" s="167"/>
      <c r="C1381" s="38" t="s">
        <v>2697</v>
      </c>
      <c r="D1381" s="126">
        <v>-225.78</v>
      </c>
      <c r="E1381" s="159"/>
      <c r="F1381" s="127">
        <f>Tabla5109[[#This Row],[Original Amount]]*Tabla5109[[#This Row],[ER to EUR]]</f>
        <v>0</v>
      </c>
      <c r="G1381" s="37" t="s">
        <v>3116</v>
      </c>
      <c r="H1381" s="37" t="s">
        <v>4653</v>
      </c>
      <c r="I1381" s="37" t="s">
        <v>2713</v>
      </c>
      <c r="J1381" s="37" t="s">
        <v>2701</v>
      </c>
      <c r="K1381" s="217" t="s">
        <v>2702</v>
      </c>
      <c r="L1381" s="37" t="s">
        <v>2703</v>
      </c>
      <c r="M1381" s="38" t="s">
        <v>125</v>
      </c>
      <c r="N1381" s="158" t="s">
        <v>2704</v>
      </c>
      <c r="O1381" s="156" t="s">
        <v>2704</v>
      </c>
      <c r="P1381" s="157" t="str">
        <f>"C"&amp;INT((MONTH(A1381)-1)/4)+1&amp;"-"&amp;YEAR(A1381)</f>
        <v>C1-2026</v>
      </c>
      <c r="Q1381" s="160" t="str">
        <f>"T"&amp;INT((MONTH(A1381)-1)/3)+1&amp;"-"&amp;YEAR(A1381)</f>
        <v>T1-2026</v>
      </c>
      <c r="R1381" s="160" t="s">
        <v>2794</v>
      </c>
      <c r="S1381" s="160" t="s">
        <v>3041</v>
      </c>
      <c r="T1381" s="160" t="s">
        <v>2707</v>
      </c>
      <c r="U1381" s="165" t="s">
        <v>51</v>
      </c>
      <c r="V1381" s="574" t="s">
        <v>57</v>
      </c>
      <c r="W1381" s="262" t="s">
        <v>125</v>
      </c>
      <c r="X1381" s="182" t="s">
        <v>2709</v>
      </c>
    </row>
    <row r="1382" spans="1:24">
      <c r="A1382" s="548">
        <v>46098</v>
      </c>
      <c r="B1382" s="133"/>
      <c r="C1382" s="32" t="s">
        <v>2548</v>
      </c>
      <c r="D1382" s="151">
        <v>-73.87</v>
      </c>
      <c r="E1382" s="222"/>
      <c r="F1382" s="127">
        <f>Tabla5109[[#This Row],[Original Amount]]*Tabla5109[[#This Row],[ER to EUR]]</f>
        <v>0</v>
      </c>
      <c r="G1382" s="9" t="s">
        <v>2786</v>
      </c>
      <c r="H1382" s="9" t="s">
        <v>4674</v>
      </c>
      <c r="I1382" s="9" t="s">
        <v>4072</v>
      </c>
      <c r="J1382" s="9" t="s">
        <v>2701</v>
      </c>
      <c r="K1382" s="205" t="s">
        <v>2702</v>
      </c>
      <c r="L1382" s="9" t="s">
        <v>2788</v>
      </c>
      <c r="M1382" s="32" t="s">
        <v>125</v>
      </c>
      <c r="N1382" s="122" t="s">
        <v>2704</v>
      </c>
      <c r="O1382" s="129" t="s">
        <v>2704</v>
      </c>
      <c r="P1382" s="123" t="str">
        <f>"C"&amp;INT((MONTH(A1382)-1)/4)+1&amp;"-"&amp;YEAR(A1382)</f>
        <v>C1-2026</v>
      </c>
      <c r="Q1382" s="124" t="str">
        <f>"T"&amp;INT((MONTH(A1382)-1)/3)+1&amp;"-"&amp;YEAR(A1382)</f>
        <v>T1-2026</v>
      </c>
      <c r="R1382" s="124" t="s">
        <v>2705</v>
      </c>
      <c r="S1382" s="124" t="s">
        <v>2706</v>
      </c>
      <c r="T1382" s="124" t="s">
        <v>2724</v>
      </c>
      <c r="U1382" s="162" t="s">
        <v>2708</v>
      </c>
      <c r="V1382" s="575" t="s">
        <v>56</v>
      </c>
      <c r="W1382" s="237" t="s">
        <v>125</v>
      </c>
      <c r="X1382" s="201" t="s">
        <v>2709</v>
      </c>
    </row>
    <row r="1383" spans="1:24" ht="15" customHeight="1">
      <c r="A1383" s="548">
        <v>46098</v>
      </c>
      <c r="B1383" s="133"/>
      <c r="C1383" s="32" t="s">
        <v>2697</v>
      </c>
      <c r="D1383" s="126">
        <v>-108</v>
      </c>
      <c r="E1383" s="120"/>
      <c r="F1383" s="127">
        <f>Tabla5109[[#This Row],[Original Amount]]*Tabla5109[[#This Row],[ER to EUR]]</f>
        <v>0</v>
      </c>
      <c r="G1383" s="9" t="s">
        <v>2833</v>
      </c>
      <c r="H1383" s="9" t="s">
        <v>2834</v>
      </c>
      <c r="I1383" s="9" t="s">
        <v>2713</v>
      </c>
      <c r="J1383" s="9" t="s">
        <v>2701</v>
      </c>
      <c r="K1383" s="205" t="s">
        <v>2702</v>
      </c>
      <c r="L1383" s="211" t="s">
        <v>2818</v>
      </c>
      <c r="M1383" s="32" t="s">
        <v>125</v>
      </c>
      <c r="N1383" s="122" t="s">
        <v>2704</v>
      </c>
      <c r="O1383" s="129" t="s">
        <v>2704</v>
      </c>
      <c r="P1383" s="123" t="str">
        <f>"C"&amp;INT((MONTH(A1383)-1)/4)+1&amp;"-"&amp;YEAR(A1383)</f>
        <v>C1-2026</v>
      </c>
      <c r="Q1383" s="124" t="str">
        <f>"T"&amp;INT((MONTH(A1383)-1)/3)+1&amp;"-"&amp;YEAR(A1383)</f>
        <v>T1-2026</v>
      </c>
      <c r="R1383" s="91" t="s">
        <v>2819</v>
      </c>
      <c r="S1383" s="124" t="s">
        <v>2817</v>
      </c>
      <c r="T1383" s="124" t="s">
        <v>2724</v>
      </c>
      <c r="U1383" s="162" t="s">
        <v>2708</v>
      </c>
      <c r="V1383" s="575" t="s">
        <v>54</v>
      </c>
      <c r="W1383" s="237" t="s">
        <v>125</v>
      </c>
      <c r="X1383" s="201" t="s">
        <v>2709</v>
      </c>
    </row>
    <row r="1384" spans="1:24" ht="15" customHeight="1">
      <c r="A1384" s="548">
        <v>46099</v>
      </c>
      <c r="B1384" s="133"/>
      <c r="C1384" s="32" t="s">
        <v>2697</v>
      </c>
      <c r="D1384" s="126">
        <v>-714.33</v>
      </c>
      <c r="E1384" s="120"/>
      <c r="F1384" s="127">
        <f>Tabla5109[[#This Row],[Original Amount]]*Tabla5109[[#This Row],[ER to EUR]]</f>
        <v>0</v>
      </c>
      <c r="G1384" s="9" t="s">
        <v>2753</v>
      </c>
      <c r="H1384" s="91" t="s">
        <v>4671</v>
      </c>
      <c r="I1384" s="9" t="s">
        <v>2755</v>
      </c>
      <c r="J1384" s="9" t="s">
        <v>2701</v>
      </c>
      <c r="K1384" s="205" t="s">
        <v>2702</v>
      </c>
      <c r="L1384" s="9" t="s">
        <v>2703</v>
      </c>
      <c r="M1384" s="32" t="s">
        <v>125</v>
      </c>
      <c r="N1384" s="129" t="s">
        <v>2704</v>
      </c>
      <c r="O1384" s="129" t="s">
        <v>2704</v>
      </c>
      <c r="P1384" s="123" t="str">
        <f>"C"&amp;INT((MONTH(A1384)-1)/4)+1&amp;"-"&amp;YEAR(A1384)</f>
        <v>C1-2026</v>
      </c>
      <c r="Q1384" s="124" t="str">
        <f>"T"&amp;INT((MONTH(A1384)-1)/3)+1&amp;"-"&amp;YEAR(A1384)</f>
        <v>T1-2026</v>
      </c>
      <c r="R1384" s="124" t="s">
        <v>2705</v>
      </c>
      <c r="S1384" s="124" t="s">
        <v>2706</v>
      </c>
      <c r="T1384" s="124" t="s">
        <v>2707</v>
      </c>
      <c r="U1384" s="162" t="s">
        <v>2708</v>
      </c>
      <c r="V1384" s="575" t="s">
        <v>56</v>
      </c>
      <c r="W1384" s="237" t="s">
        <v>125</v>
      </c>
      <c r="X1384" s="201" t="s">
        <v>2709</v>
      </c>
    </row>
    <row r="1385" spans="1:24">
      <c r="A1385" s="548">
        <v>46099</v>
      </c>
      <c r="B1385" s="133"/>
      <c r="C1385" s="32" t="s">
        <v>2697</v>
      </c>
      <c r="D1385" s="126">
        <v>-266.77</v>
      </c>
      <c r="E1385" s="120"/>
      <c r="F1385" s="127">
        <f>Tabla5109[[#This Row],[Original Amount]]*Tabla5109[[#This Row],[ER to EUR]]</f>
        <v>0</v>
      </c>
      <c r="G1385" s="9" t="s">
        <v>2839</v>
      </c>
      <c r="H1385" s="9" t="s">
        <v>2840</v>
      </c>
      <c r="I1385" s="9" t="s">
        <v>2784</v>
      </c>
      <c r="J1385" s="9" t="s">
        <v>2701</v>
      </c>
      <c r="K1385" s="205" t="s">
        <v>2702</v>
      </c>
      <c r="L1385" s="9" t="s">
        <v>2703</v>
      </c>
      <c r="M1385" s="32" t="s">
        <v>125</v>
      </c>
      <c r="N1385" s="129" t="s">
        <v>2704</v>
      </c>
      <c r="O1385" s="129" t="s">
        <v>2704</v>
      </c>
      <c r="P1385" s="123" t="str">
        <f>"C"&amp;INT((MONTH(A1385)-1)/4)+1&amp;"-"&amp;YEAR(A1385)</f>
        <v>C1-2026</v>
      </c>
      <c r="Q1385" s="124" t="str">
        <f>"T"&amp;INT((MONTH(A1385)-1)/3)+1&amp;"-"&amp;YEAR(A1385)</f>
        <v>T1-2026</v>
      </c>
      <c r="R1385" s="124" t="s">
        <v>2705</v>
      </c>
      <c r="S1385" s="124" t="s">
        <v>2706</v>
      </c>
      <c r="T1385" s="124" t="s">
        <v>2707</v>
      </c>
      <c r="U1385" s="162" t="s">
        <v>2708</v>
      </c>
      <c r="V1385" s="575" t="s">
        <v>57</v>
      </c>
      <c r="W1385" s="237" t="s">
        <v>125</v>
      </c>
      <c r="X1385" s="201" t="s">
        <v>2709</v>
      </c>
    </row>
    <row r="1386" spans="1:24" ht="15" customHeight="1">
      <c r="A1386" s="548">
        <v>46099</v>
      </c>
      <c r="B1386" s="572"/>
      <c r="C1386" s="32" t="s">
        <v>2697</v>
      </c>
      <c r="D1386" s="126">
        <v>-1666</v>
      </c>
      <c r="E1386" s="120"/>
      <c r="F1386" s="127">
        <f>Tabla5109[[#This Row],[Original Amount]]*Tabla5109[[#This Row],[ER to EUR]]</f>
        <v>0</v>
      </c>
      <c r="G1386" s="9" t="s">
        <v>4838</v>
      </c>
      <c r="H1386" s="9" t="s">
        <v>4839</v>
      </c>
      <c r="I1386" s="9" t="s">
        <v>2727</v>
      </c>
      <c r="J1386" s="9" t="s">
        <v>2714</v>
      </c>
      <c r="K1386" s="205" t="s">
        <v>2747</v>
      </c>
      <c r="L1386" s="9" t="s">
        <v>2864</v>
      </c>
      <c r="M1386" s="32" t="s">
        <v>125</v>
      </c>
      <c r="N1386" s="122" t="s">
        <v>2704</v>
      </c>
      <c r="O1386" s="129" t="s">
        <v>2704</v>
      </c>
      <c r="P1386" s="123" t="str">
        <f>"C"&amp;INT((MONTH(A1386)-1)/4)+1&amp;"-"&amp;YEAR(A1386)</f>
        <v>C1-2026</v>
      </c>
      <c r="Q1386" s="124" t="str">
        <f>"T"&amp;INT((MONTH(A1386)-1)/3)+1&amp;"-"&amp;YEAR(A1386)</f>
        <v>T1-2026</v>
      </c>
      <c r="R1386" s="91" t="s">
        <v>2705</v>
      </c>
      <c r="S1386" s="124" t="s">
        <v>2706</v>
      </c>
      <c r="T1386" s="124" t="s">
        <v>2724</v>
      </c>
      <c r="U1386" s="162" t="s">
        <v>2708</v>
      </c>
      <c r="V1386" s="575" t="s">
        <v>56</v>
      </c>
      <c r="W1386" s="237" t="s">
        <v>125</v>
      </c>
      <c r="X1386" s="201" t="s">
        <v>2709</v>
      </c>
    </row>
    <row r="1387" spans="1:24">
      <c r="A1387" s="548">
        <v>46100</v>
      </c>
      <c r="B1387" s="133"/>
      <c r="C1387" s="32" t="s">
        <v>2697</v>
      </c>
      <c r="D1387" s="126">
        <v>-192.44</v>
      </c>
      <c r="E1387" s="120"/>
      <c r="F1387" s="127">
        <f>Tabla5109[[#This Row],[Original Amount]]*Tabla5109[[#This Row],[ER to EUR]]</f>
        <v>0</v>
      </c>
      <c r="G1387" s="9" t="s">
        <v>2766</v>
      </c>
      <c r="H1387" s="9" t="s">
        <v>4306</v>
      </c>
      <c r="I1387" s="9" t="s">
        <v>2713</v>
      </c>
      <c r="J1387" s="9" t="s">
        <v>2701</v>
      </c>
      <c r="K1387" s="205" t="s">
        <v>2702</v>
      </c>
      <c r="L1387" s="9" t="s">
        <v>2760</v>
      </c>
      <c r="M1387" s="32" t="s">
        <v>125</v>
      </c>
      <c r="N1387" s="122" t="s">
        <v>2704</v>
      </c>
      <c r="O1387" s="129" t="s">
        <v>2704</v>
      </c>
      <c r="P1387" s="123" t="str">
        <f>"C"&amp;INT((MONTH(A1387)-1)/4)+1&amp;"-"&amp;YEAR(A1387)</f>
        <v>C1-2026</v>
      </c>
      <c r="Q1387" s="124" t="str">
        <f>"T"&amp;INT((MONTH(A1387)-1)/3)+1&amp;"-"&amp;YEAR(A1387)</f>
        <v>T1-2026</v>
      </c>
      <c r="R1387" s="124" t="s">
        <v>2705</v>
      </c>
      <c r="S1387" s="124" t="s">
        <v>2735</v>
      </c>
      <c r="T1387" s="124" t="s">
        <v>2724</v>
      </c>
      <c r="U1387" s="162" t="s">
        <v>2708</v>
      </c>
      <c r="V1387" s="575" t="s">
        <v>55</v>
      </c>
      <c r="W1387" s="237" t="s">
        <v>125</v>
      </c>
      <c r="X1387" s="201" t="s">
        <v>2709</v>
      </c>
    </row>
    <row r="1388" spans="1:24">
      <c r="A1388" s="548">
        <v>46100</v>
      </c>
      <c r="B1388" s="570"/>
      <c r="C1388" s="32" t="s">
        <v>2697</v>
      </c>
      <c r="D1388" s="126">
        <v>-47.6</v>
      </c>
      <c r="E1388" s="120"/>
      <c r="F1388" s="127">
        <f>Tabla5109[[#This Row],[Original Amount]]*Tabla5109[[#This Row],[ER to EUR]]</f>
        <v>0</v>
      </c>
      <c r="G1388" s="9" t="s">
        <v>4715</v>
      </c>
      <c r="H1388" s="9" t="s">
        <v>4716</v>
      </c>
      <c r="I1388" s="9" t="s">
        <v>4717</v>
      </c>
      <c r="J1388" s="9" t="s">
        <v>2770</v>
      </c>
      <c r="K1388" s="205" t="s">
        <v>2702</v>
      </c>
      <c r="L1388" s="9" t="s">
        <v>2772</v>
      </c>
      <c r="M1388" s="32" t="s">
        <v>125</v>
      </c>
      <c r="N1388" s="129" t="s">
        <v>2748</v>
      </c>
      <c r="O1388" s="129" t="s">
        <v>2748</v>
      </c>
      <c r="P1388" s="123" t="str">
        <f>"C"&amp;INT((MONTH(A1388)-1)/4)+1&amp;"-"&amp;YEAR(A1388)</f>
        <v>C1-2026</v>
      </c>
      <c r="Q1388" s="124" t="str">
        <f>"T"&amp;INT((MONTH(A1388)-1)/3)+1&amp;"-"&amp;YEAR(A1388)</f>
        <v>T1-2026</v>
      </c>
      <c r="R1388" s="91" t="s">
        <v>6009</v>
      </c>
      <c r="S1388" s="124" t="s">
        <v>2750</v>
      </c>
      <c r="T1388" s="124" t="s">
        <v>2717</v>
      </c>
      <c r="U1388" s="162" t="s">
        <v>2708</v>
      </c>
      <c r="V1388" s="575" t="s">
        <v>56</v>
      </c>
      <c r="W1388" s="237" t="s">
        <v>125</v>
      </c>
      <c r="X1388" s="201" t="s">
        <v>2709</v>
      </c>
    </row>
    <row r="1389" spans="1:24" ht="15" customHeight="1">
      <c r="A1389" s="548">
        <v>46101</v>
      </c>
      <c r="B1389" s="133"/>
      <c r="C1389" s="129" t="s">
        <v>2697</v>
      </c>
      <c r="D1389" s="126">
        <v>-19.329999999999998</v>
      </c>
      <c r="E1389" s="32"/>
      <c r="F1389" s="127">
        <f>Tabla5109[[#This Row],[Original Amount]]*Tabla5109[[#This Row],[ER to EUR]]</f>
        <v>0</v>
      </c>
      <c r="G1389" s="91" t="s">
        <v>2996</v>
      </c>
      <c r="H1389" s="91" t="s">
        <v>2997</v>
      </c>
      <c r="I1389" s="91" t="s">
        <v>2727</v>
      </c>
      <c r="J1389" s="91" t="s">
        <v>2701</v>
      </c>
      <c r="K1389" s="196" t="s">
        <v>2702</v>
      </c>
      <c r="L1389" s="91" t="s">
        <v>2703</v>
      </c>
      <c r="M1389" s="32" t="s">
        <v>125</v>
      </c>
      <c r="N1389" s="129" t="s">
        <v>2704</v>
      </c>
      <c r="O1389" s="129" t="s">
        <v>2704</v>
      </c>
      <c r="P1389" s="123" t="str">
        <f>"C"&amp;INT((MONTH(A1389)-1)/4)+1&amp;"-"&amp;YEAR(A1389)</f>
        <v>C1-2026</v>
      </c>
      <c r="Q1389" s="124" t="str">
        <f>"T"&amp;INT((MONTH(A1389)-1)/3)+1&amp;"-"&amp;YEAR(A1389)</f>
        <v>T1-2026</v>
      </c>
      <c r="R1389" s="124" t="s">
        <v>2705</v>
      </c>
      <c r="S1389" s="124" t="s">
        <v>2735</v>
      </c>
      <c r="T1389" s="124" t="s">
        <v>2724</v>
      </c>
      <c r="U1389" s="162" t="s">
        <v>2708</v>
      </c>
      <c r="V1389" s="575" t="s">
        <v>56</v>
      </c>
      <c r="W1389" s="237" t="s">
        <v>125</v>
      </c>
      <c r="X1389" s="201" t="s">
        <v>2709</v>
      </c>
    </row>
    <row r="1390" spans="1:24" ht="15" customHeight="1">
      <c r="A1390" s="548">
        <v>46101</v>
      </c>
      <c r="B1390" s="133"/>
      <c r="C1390" s="32" t="s">
        <v>2548</v>
      </c>
      <c r="D1390" s="151">
        <v>-100</v>
      </c>
      <c r="E1390" s="222"/>
      <c r="F1390" s="127">
        <f>Tabla5109[[#This Row],[Original Amount]]*Tabla5109[[#This Row],[ER to EUR]]</f>
        <v>0</v>
      </c>
      <c r="G1390" s="9" t="s">
        <v>2766</v>
      </c>
      <c r="H1390" s="9" t="s">
        <v>4221</v>
      </c>
      <c r="I1390" s="9" t="s">
        <v>2713</v>
      </c>
      <c r="J1390" s="9" t="s">
        <v>2701</v>
      </c>
      <c r="K1390" s="205" t="s">
        <v>2702</v>
      </c>
      <c r="L1390" s="9" t="s">
        <v>2760</v>
      </c>
      <c r="M1390" s="32" t="s">
        <v>125</v>
      </c>
      <c r="N1390" s="122" t="s">
        <v>2704</v>
      </c>
      <c r="O1390" s="129" t="s">
        <v>2704</v>
      </c>
      <c r="P1390" s="123" t="str">
        <f>"C"&amp;INT((MONTH(A1390)-1)/4)+1&amp;"-"&amp;YEAR(A1390)</f>
        <v>C1-2026</v>
      </c>
      <c r="Q1390" s="124" t="str">
        <f>"T"&amp;INT((MONTH(A1390)-1)/3)+1&amp;"-"&amp;YEAR(A1390)</f>
        <v>T1-2026</v>
      </c>
      <c r="R1390" s="124" t="s">
        <v>2705</v>
      </c>
      <c r="S1390" s="124" t="s">
        <v>2735</v>
      </c>
      <c r="T1390" s="124" t="s">
        <v>2724</v>
      </c>
      <c r="U1390" s="162" t="s">
        <v>2708</v>
      </c>
      <c r="V1390" s="575" t="s">
        <v>55</v>
      </c>
      <c r="W1390" s="237" t="s">
        <v>125</v>
      </c>
      <c r="X1390" s="201" t="s">
        <v>2709</v>
      </c>
    </row>
    <row r="1391" spans="1:24" ht="15" customHeight="1">
      <c r="A1391" s="548">
        <v>46102</v>
      </c>
      <c r="B1391" s="570"/>
      <c r="C1391" s="32" t="s">
        <v>2697</v>
      </c>
      <c r="D1391" s="126">
        <v>-43.38</v>
      </c>
      <c r="E1391" s="120"/>
      <c r="F1391" s="127">
        <f>Tabla5109[[#This Row],[Original Amount]]*Tabla5109[[#This Row],[ER to EUR]]</f>
        <v>0</v>
      </c>
      <c r="G1391" s="9" t="s">
        <v>2718</v>
      </c>
      <c r="H1391" s="9" t="s">
        <v>3868</v>
      </c>
      <c r="I1391" s="9" t="s">
        <v>2755</v>
      </c>
      <c r="J1391" s="9" t="s">
        <v>2714</v>
      </c>
      <c r="K1391" s="205" t="s">
        <v>2721</v>
      </c>
      <c r="L1391" s="9" t="s">
        <v>2716</v>
      </c>
      <c r="M1391" s="32" t="s">
        <v>125</v>
      </c>
      <c r="N1391" s="129" t="s">
        <v>2748</v>
      </c>
      <c r="O1391" s="129" t="s">
        <v>2748</v>
      </c>
      <c r="P1391" s="123" t="str">
        <f>"C"&amp;INT((MONTH(A1391)-1)/4)+1&amp;"-"&amp;YEAR(A1391)</f>
        <v>C1-2026</v>
      </c>
      <c r="Q1391" s="124" t="str">
        <f>"T"&amp;INT((MONTH(A1391)-1)/3)+1&amp;"-"&amp;YEAR(A1391)</f>
        <v>T1-2026</v>
      </c>
      <c r="R1391" s="124" t="s">
        <v>2722</v>
      </c>
      <c r="S1391" s="124" t="s">
        <v>2723</v>
      </c>
      <c r="T1391" s="124" t="s">
        <v>2724</v>
      </c>
      <c r="U1391" s="162" t="s">
        <v>2708</v>
      </c>
      <c r="V1391" s="575" t="s">
        <v>54</v>
      </c>
      <c r="W1391" s="237" t="s">
        <v>125</v>
      </c>
      <c r="X1391" s="201" t="s">
        <v>2709</v>
      </c>
    </row>
    <row r="1392" spans="1:24">
      <c r="A1392" s="548">
        <v>46102</v>
      </c>
      <c r="B1392" s="570"/>
      <c r="C1392" s="32" t="s">
        <v>2543</v>
      </c>
      <c r="D1392" s="147">
        <v>-2331000</v>
      </c>
      <c r="E1392" s="32"/>
      <c r="F1392" s="127">
        <f>Tabla5109[[#This Row],[Original Amount]]*Tabla5109[[#This Row],[ER to EUR]]</f>
        <v>0</v>
      </c>
      <c r="G1392" s="9" t="s">
        <v>3566</v>
      </c>
      <c r="H1392" s="9" t="s">
        <v>4000</v>
      </c>
      <c r="I1392" s="9" t="s">
        <v>2713</v>
      </c>
      <c r="J1392" s="9" t="s">
        <v>2714</v>
      </c>
      <c r="K1392" s="205" t="s">
        <v>2747</v>
      </c>
      <c r="L1392" s="9" t="s">
        <v>2864</v>
      </c>
      <c r="M1392" s="226" t="s">
        <v>2748</v>
      </c>
      <c r="N1392" s="129" t="s">
        <v>2704</v>
      </c>
      <c r="O1392" s="129" t="s">
        <v>2704</v>
      </c>
      <c r="P1392" s="123" t="str">
        <f>"C"&amp;INT((MONTH(A1392)-1)/4)+1&amp;"-"&amp;YEAR(A1392)</f>
        <v>C1-2026</v>
      </c>
      <c r="Q1392" s="124" t="str">
        <f>"T"&amp;INT((MONTH(A1392)-1)/3)+1&amp;"-"&amp;YEAR(A1392)</f>
        <v>T1-2026</v>
      </c>
      <c r="R1392" s="124" t="s">
        <v>2705</v>
      </c>
      <c r="S1392" s="124" t="s">
        <v>2706</v>
      </c>
      <c r="T1392" s="124" t="s">
        <v>2724</v>
      </c>
      <c r="U1392" s="162" t="s">
        <v>2708</v>
      </c>
      <c r="V1392" s="575" t="s">
        <v>56</v>
      </c>
      <c r="W1392" s="237" t="s">
        <v>125</v>
      </c>
      <c r="X1392" s="201" t="s">
        <v>2709</v>
      </c>
    </row>
    <row r="1393" spans="1:24">
      <c r="A1393" s="548">
        <v>46104</v>
      </c>
      <c r="B1393" s="133"/>
      <c r="C1393" s="32" t="s">
        <v>2697</v>
      </c>
      <c r="D1393" s="126">
        <v>-158.51</v>
      </c>
      <c r="E1393" s="120"/>
      <c r="F1393" s="127">
        <f>Tabla5109[[#This Row],[Original Amount]]*Tabla5109[[#This Row],[ER to EUR]]</f>
        <v>0</v>
      </c>
      <c r="G1393" s="9" t="s">
        <v>3128</v>
      </c>
      <c r="H1393" s="9" t="s">
        <v>4003</v>
      </c>
      <c r="I1393" s="9" t="s">
        <v>2755</v>
      </c>
      <c r="J1393" s="9" t="s">
        <v>2701</v>
      </c>
      <c r="K1393" s="205" t="s">
        <v>2702</v>
      </c>
      <c r="L1393" s="9" t="s">
        <v>2703</v>
      </c>
      <c r="M1393" s="32" t="s">
        <v>125</v>
      </c>
      <c r="N1393" s="129" t="s">
        <v>2704</v>
      </c>
      <c r="O1393" s="129" t="s">
        <v>2704</v>
      </c>
      <c r="P1393" s="123" t="str">
        <f>"C"&amp;INT((MONTH(A1393)-1)/4)+1&amp;"-"&amp;YEAR(A1393)</f>
        <v>C1-2026</v>
      </c>
      <c r="Q1393" s="124" t="str">
        <f>"T"&amp;INT((MONTH(A1393)-1)/3)+1&amp;"-"&amp;YEAR(A1393)</f>
        <v>T1-2026</v>
      </c>
      <c r="R1393" s="124" t="s">
        <v>2741</v>
      </c>
      <c r="S1393" s="124" t="s">
        <v>2723</v>
      </c>
      <c r="T1393" s="124" t="s">
        <v>2707</v>
      </c>
      <c r="U1393" s="162" t="s">
        <v>2708</v>
      </c>
      <c r="V1393" s="575" t="s">
        <v>54</v>
      </c>
      <c r="W1393" s="237" t="s">
        <v>125</v>
      </c>
      <c r="X1393" s="201" t="s">
        <v>2709</v>
      </c>
    </row>
    <row r="1394" spans="1:24">
      <c r="A1394" s="548">
        <v>46104</v>
      </c>
      <c r="B1394" s="133"/>
      <c r="C1394" s="32" t="s">
        <v>2697</v>
      </c>
      <c r="D1394" s="126">
        <v>-379</v>
      </c>
      <c r="E1394" s="120"/>
      <c r="F1394" s="127">
        <f>Tabla5109[[#This Row],[Original Amount]]*Tabla5109[[#This Row],[ER to EUR]]</f>
        <v>0</v>
      </c>
      <c r="G1394" s="9" t="s">
        <v>3140</v>
      </c>
      <c r="H1394" s="9" t="s">
        <v>4210</v>
      </c>
      <c r="I1394" s="9" t="s">
        <v>2727</v>
      </c>
      <c r="J1394" s="9" t="s">
        <v>2770</v>
      </c>
      <c r="K1394" s="205" t="s">
        <v>2702</v>
      </c>
      <c r="L1394" s="9" t="s">
        <v>3142</v>
      </c>
      <c r="M1394" s="32" t="s">
        <v>125</v>
      </c>
      <c r="N1394" s="129" t="s">
        <v>2704</v>
      </c>
      <c r="O1394" s="129" t="s">
        <v>2704</v>
      </c>
      <c r="P1394" s="123" t="str">
        <f>"C"&amp;INT((MONTH(A1394)-1)/4)+1&amp;"-"&amp;YEAR(A1394)</f>
        <v>C1-2026</v>
      </c>
      <c r="Q1394" s="124" t="str">
        <f>"T"&amp;INT((MONTH(A1394)-1)/3)+1&amp;"-"&amp;YEAR(A1394)</f>
        <v>T1-2026</v>
      </c>
      <c r="R1394" s="91" t="s">
        <v>2749</v>
      </c>
      <c r="S1394" s="124" t="s">
        <v>2750</v>
      </c>
      <c r="T1394" s="124" t="s">
        <v>2724</v>
      </c>
      <c r="U1394" s="162" t="s">
        <v>2708</v>
      </c>
      <c r="V1394" s="575" t="s">
        <v>54</v>
      </c>
      <c r="W1394" s="237" t="s">
        <v>125</v>
      </c>
      <c r="X1394" s="201" t="s">
        <v>2709</v>
      </c>
    </row>
    <row r="1395" spans="1:24">
      <c r="A1395" s="548">
        <v>46106</v>
      </c>
      <c r="B1395" s="506" t="s">
        <v>3999</v>
      </c>
      <c r="C1395" s="32" t="s">
        <v>2697</v>
      </c>
      <c r="D1395" s="126">
        <v>-1000</v>
      </c>
      <c r="E1395" s="154"/>
      <c r="F1395" s="127">
        <f>Tabla5109[[#This Row],[Original Amount]]*Tabla5109[[#This Row],[ER to EUR]]</f>
        <v>0</v>
      </c>
      <c r="G1395" s="9" t="s">
        <v>3237</v>
      </c>
      <c r="H1395" s="9" t="s">
        <v>4632</v>
      </c>
      <c r="I1395" s="9" t="s">
        <v>2713</v>
      </c>
      <c r="J1395" s="9" t="s">
        <v>2770</v>
      </c>
      <c r="K1395" s="205" t="s">
        <v>2803</v>
      </c>
      <c r="L1395" s="211" t="s">
        <v>57</v>
      </c>
      <c r="M1395" s="227" t="s">
        <v>125</v>
      </c>
      <c r="N1395" s="122" t="s">
        <v>2704</v>
      </c>
      <c r="O1395" s="129" t="s">
        <v>2704</v>
      </c>
      <c r="P1395" s="123" t="str">
        <f>"C"&amp;INT((MONTH(A1395)-1)/4)+1&amp;"-"&amp;YEAR(A1395)</f>
        <v>C1-2026</v>
      </c>
      <c r="Q1395" s="124" t="str">
        <f>"T"&amp;INT((MONTH(A1395)-1)/3)+1&amp;"-"&amp;YEAR(A1395)</f>
        <v>T1-2026</v>
      </c>
      <c r="R1395" s="91" t="s">
        <v>2749</v>
      </c>
      <c r="S1395" s="124" t="s">
        <v>2750</v>
      </c>
      <c r="T1395" s="124" t="s">
        <v>2717</v>
      </c>
      <c r="U1395" s="162" t="s">
        <v>2708</v>
      </c>
      <c r="V1395" s="575" t="s">
        <v>56</v>
      </c>
      <c r="W1395" s="237" t="s">
        <v>125</v>
      </c>
      <c r="X1395" s="201" t="s">
        <v>2709</v>
      </c>
    </row>
    <row r="1396" spans="1:24">
      <c r="A1396" s="548">
        <v>46106</v>
      </c>
      <c r="B1396" s="133"/>
      <c r="C1396" s="32" t="s">
        <v>2548</v>
      </c>
      <c r="D1396" s="151">
        <v>-238</v>
      </c>
      <c r="E1396" s="222"/>
      <c r="F1396" s="127">
        <f>Tabla5109[[#This Row],[Original Amount]]*Tabla5109[[#This Row],[ER to EUR]]</f>
        <v>0</v>
      </c>
      <c r="G1396" s="9" t="s">
        <v>3248</v>
      </c>
      <c r="H1396" s="9" t="s">
        <v>3938</v>
      </c>
      <c r="I1396" s="9" t="s">
        <v>2713</v>
      </c>
      <c r="J1396" s="9" t="s">
        <v>2714</v>
      </c>
      <c r="K1396" s="205" t="s">
        <v>2702</v>
      </c>
      <c r="L1396" s="9" t="s">
        <v>2799</v>
      </c>
      <c r="M1396" s="32" t="s">
        <v>125</v>
      </c>
      <c r="N1396" s="122" t="s">
        <v>2704</v>
      </c>
      <c r="O1396" s="129" t="s">
        <v>2704</v>
      </c>
      <c r="P1396" s="123" t="str">
        <f>"C"&amp;INT((MONTH(A1396)-1)/4)+1&amp;"-"&amp;YEAR(A1396)</f>
        <v>C1-2026</v>
      </c>
      <c r="Q1396" s="124" t="str">
        <f>"T"&amp;INT((MONTH(A1396)-1)/3)+1&amp;"-"&amp;YEAR(A1396)</f>
        <v>T1-2026</v>
      </c>
      <c r="R1396" s="124" t="s">
        <v>2730</v>
      </c>
      <c r="S1396" s="124" t="s">
        <v>2731</v>
      </c>
      <c r="T1396" s="124" t="s">
        <v>2724</v>
      </c>
      <c r="U1396" s="162" t="s">
        <v>51</v>
      </c>
      <c r="V1396" s="575" t="s">
        <v>57</v>
      </c>
      <c r="W1396" s="237" t="s">
        <v>125</v>
      </c>
      <c r="X1396" s="201" t="s">
        <v>2709</v>
      </c>
    </row>
    <row r="1397" spans="1:24" ht="15" customHeight="1">
      <c r="A1397" s="548">
        <v>46108</v>
      </c>
      <c r="B1397" s="133"/>
      <c r="C1397" s="32" t="s">
        <v>2697</v>
      </c>
      <c r="D1397" s="126">
        <v>-2700</v>
      </c>
      <c r="E1397" s="120"/>
      <c r="F1397" s="127">
        <f>Tabla5109[[#This Row],[Original Amount]]*Tabla5109[[#This Row],[ER to EUR]]</f>
        <v>0</v>
      </c>
      <c r="G1397" s="9" t="s">
        <v>3974</v>
      </c>
      <c r="H1397" s="9" t="s">
        <v>4217</v>
      </c>
      <c r="I1397" s="9" t="s">
        <v>2727</v>
      </c>
      <c r="J1397" s="9" t="s">
        <v>2714</v>
      </c>
      <c r="K1397" s="205" t="s">
        <v>2747</v>
      </c>
      <c r="L1397" s="9" t="s">
        <v>2864</v>
      </c>
      <c r="M1397" s="32" t="s">
        <v>125</v>
      </c>
      <c r="N1397" s="122" t="s">
        <v>2704</v>
      </c>
      <c r="O1397" s="129" t="s">
        <v>2704</v>
      </c>
      <c r="P1397" s="123" t="str">
        <f>"C"&amp;INT((MONTH(A1397)-1)/4)+1&amp;"-"&amp;YEAR(A1397)</f>
        <v>C1-2026</v>
      </c>
      <c r="Q1397" s="124" t="str">
        <f>"T"&amp;INT((MONTH(A1397)-1)/3)+1&amp;"-"&amp;YEAR(A1397)</f>
        <v>T1-2026</v>
      </c>
      <c r="R1397" s="91" t="s">
        <v>2705</v>
      </c>
      <c r="S1397" s="124" t="s">
        <v>2706</v>
      </c>
      <c r="T1397" s="124" t="s">
        <v>2724</v>
      </c>
      <c r="U1397" s="162" t="s">
        <v>2708</v>
      </c>
      <c r="V1397" s="575" t="s">
        <v>56</v>
      </c>
      <c r="W1397" s="237" t="s">
        <v>125</v>
      </c>
      <c r="X1397" s="201" t="s">
        <v>2709</v>
      </c>
    </row>
    <row r="1398" spans="1:24" ht="15" customHeight="1">
      <c r="A1398" s="548">
        <v>46108</v>
      </c>
      <c r="B1398" s="570"/>
      <c r="C1398" s="32" t="s">
        <v>2697</v>
      </c>
      <c r="D1398" s="126">
        <v>-2770.32</v>
      </c>
      <c r="E1398" s="120"/>
      <c r="F1398" s="127">
        <f>Tabla5109[[#This Row],[Original Amount]]*Tabla5109[[#This Row],[ER to EUR]]</f>
        <v>0</v>
      </c>
      <c r="G1398" s="9" t="s">
        <v>2698</v>
      </c>
      <c r="H1398" s="9" t="s">
        <v>4846</v>
      </c>
      <c r="I1398" s="9" t="s">
        <v>4844</v>
      </c>
      <c r="J1398" s="9" t="s">
        <v>2701</v>
      </c>
      <c r="K1398" s="205" t="s">
        <v>2702</v>
      </c>
      <c r="L1398" s="9" t="s">
        <v>2703</v>
      </c>
      <c r="M1398" s="32" t="s">
        <v>125</v>
      </c>
      <c r="N1398" s="122" t="s">
        <v>2704</v>
      </c>
      <c r="O1398" s="129" t="s">
        <v>2704</v>
      </c>
      <c r="P1398" s="123" t="str">
        <f>"C"&amp;INT((MONTH(A1398)-1)/4)+1&amp;"-"&amp;YEAR(A1398)</f>
        <v>C1-2026</v>
      </c>
      <c r="Q1398" s="124" t="str">
        <f>"T"&amp;INT((MONTH(A1398)-1)/3)+1&amp;"-"&amp;YEAR(A1398)</f>
        <v>T1-2026</v>
      </c>
      <c r="R1398" s="124" t="s">
        <v>2741</v>
      </c>
      <c r="S1398" s="124" t="s">
        <v>2723</v>
      </c>
      <c r="T1398" s="124" t="s">
        <v>2707</v>
      </c>
      <c r="U1398" s="162" t="s">
        <v>2708</v>
      </c>
      <c r="V1398" s="575" t="s">
        <v>54</v>
      </c>
      <c r="W1398" s="237" t="s">
        <v>125</v>
      </c>
      <c r="X1398" s="201" t="s">
        <v>2709</v>
      </c>
    </row>
    <row r="1399" spans="1:24">
      <c r="A1399" s="548">
        <v>46108</v>
      </c>
      <c r="B1399" s="570"/>
      <c r="C1399" s="32" t="s">
        <v>2697</v>
      </c>
      <c r="D1399" s="126">
        <v>-58.31</v>
      </c>
      <c r="E1399" s="120"/>
      <c r="F1399" s="127">
        <f>Tabla5109[[#This Row],[Original Amount]]*Tabla5109[[#This Row],[ER to EUR]]</f>
        <v>0</v>
      </c>
      <c r="G1399" s="9" t="s">
        <v>2698</v>
      </c>
      <c r="H1399" s="9" t="s">
        <v>4845</v>
      </c>
      <c r="I1399" s="9" t="s">
        <v>2755</v>
      </c>
      <c r="J1399" s="9" t="s">
        <v>2701</v>
      </c>
      <c r="K1399" s="205" t="s">
        <v>2702</v>
      </c>
      <c r="L1399" s="9" t="s">
        <v>2703</v>
      </c>
      <c r="M1399" s="32" t="s">
        <v>125</v>
      </c>
      <c r="N1399" s="122" t="s">
        <v>2704</v>
      </c>
      <c r="O1399" s="129" t="s">
        <v>2704</v>
      </c>
      <c r="P1399" s="123" t="str">
        <f>"C"&amp;INT((MONTH(A1399)-1)/4)+1&amp;"-"&amp;YEAR(A1399)</f>
        <v>C1-2026</v>
      </c>
      <c r="Q1399" s="124" t="str">
        <f>"T"&amp;INT((MONTH(A1399)-1)/3)+1&amp;"-"&amp;YEAR(A1399)</f>
        <v>T1-2026</v>
      </c>
      <c r="R1399" s="124" t="s">
        <v>2741</v>
      </c>
      <c r="S1399" s="124" t="s">
        <v>2723</v>
      </c>
      <c r="T1399" s="124" t="s">
        <v>2707</v>
      </c>
      <c r="U1399" s="162" t="s">
        <v>2708</v>
      </c>
      <c r="V1399" s="575" t="s">
        <v>54</v>
      </c>
      <c r="W1399" s="237" t="s">
        <v>125</v>
      </c>
      <c r="X1399" s="201" t="s">
        <v>2709</v>
      </c>
    </row>
    <row r="1400" spans="1:24" ht="15" customHeight="1">
      <c r="A1400" s="548">
        <v>46109</v>
      </c>
      <c r="B1400" s="133"/>
      <c r="C1400" s="32" t="s">
        <v>2697</v>
      </c>
      <c r="D1400" s="126">
        <v>-19.989999999999998</v>
      </c>
      <c r="E1400" s="120"/>
      <c r="F1400" s="127">
        <f>Tabla5109[[#This Row],[Original Amount]]*Tabla5109[[#This Row],[ER to EUR]]</f>
        <v>0</v>
      </c>
      <c r="G1400" s="9" t="s">
        <v>2830</v>
      </c>
      <c r="H1400" s="9" t="s">
        <v>4117</v>
      </c>
      <c r="I1400" s="9" t="s">
        <v>2784</v>
      </c>
      <c r="J1400" s="9" t="s">
        <v>2817</v>
      </c>
      <c r="K1400" s="205" t="s">
        <v>2702</v>
      </c>
      <c r="L1400" s="9" t="s">
        <v>2818</v>
      </c>
      <c r="M1400" s="32" t="s">
        <v>125</v>
      </c>
      <c r="N1400" s="122" t="s">
        <v>2704</v>
      </c>
      <c r="O1400" s="129" t="s">
        <v>2704</v>
      </c>
      <c r="P1400" s="123" t="str">
        <f>"C"&amp;INT((MONTH(A1400)-1)/4)+1&amp;"-"&amp;YEAR(A1400)</f>
        <v>C1-2026</v>
      </c>
      <c r="Q1400" s="124" t="str">
        <f>"T"&amp;INT((MONTH(A1400)-1)/3)+1&amp;"-"&amp;YEAR(A1400)</f>
        <v>T1-2026</v>
      </c>
      <c r="R1400" s="124" t="s">
        <v>2722</v>
      </c>
      <c r="S1400" s="124" t="s">
        <v>2723</v>
      </c>
      <c r="T1400" s="124" t="s">
        <v>2724</v>
      </c>
      <c r="U1400" s="162" t="s">
        <v>2708</v>
      </c>
      <c r="V1400" s="575" t="s">
        <v>54</v>
      </c>
      <c r="W1400" s="237" t="s">
        <v>125</v>
      </c>
      <c r="X1400" s="201" t="s">
        <v>2709</v>
      </c>
    </row>
    <row r="1401" spans="1:24" ht="15" customHeight="1">
      <c r="A1401" s="548">
        <v>46109</v>
      </c>
      <c r="B1401" s="133"/>
      <c r="C1401" s="32" t="s">
        <v>2697</v>
      </c>
      <c r="D1401" s="126">
        <v>-334.64</v>
      </c>
      <c r="E1401" s="120"/>
      <c r="F1401" s="127">
        <f>Tabla5109[[#This Row],[Original Amount]]*Tabla5109[[#This Row],[ER to EUR]]</f>
        <v>0</v>
      </c>
      <c r="G1401" s="9" t="s">
        <v>4224</v>
      </c>
      <c r="H1401" s="9" t="s">
        <v>4225</v>
      </c>
      <c r="I1401" s="9" t="s">
        <v>4072</v>
      </c>
      <c r="J1401" s="37" t="s">
        <v>2701</v>
      </c>
      <c r="K1401" s="205" t="s">
        <v>2702</v>
      </c>
      <c r="L1401" s="211" t="s">
        <v>2793</v>
      </c>
      <c r="M1401" s="718" t="s">
        <v>125</v>
      </c>
      <c r="N1401" s="122" t="s">
        <v>2704</v>
      </c>
      <c r="O1401" s="129" t="s">
        <v>2704</v>
      </c>
      <c r="P1401" s="123" t="str">
        <f>"C"&amp;INT((MONTH(A1401)-1)/4)+1&amp;"-"&amp;YEAR(A1401)</f>
        <v>C1-2026</v>
      </c>
      <c r="Q1401" s="160" t="str">
        <f>"T"&amp;INT((MONTH(A1401)-1)/3)+1&amp;"-"&amp;YEAR(A1401)</f>
        <v>T1-2026</v>
      </c>
      <c r="R1401" s="91" t="s">
        <v>2794</v>
      </c>
      <c r="S1401" s="124" t="s">
        <v>2731</v>
      </c>
      <c r="T1401" s="124" t="s">
        <v>2724</v>
      </c>
      <c r="U1401" s="162" t="s">
        <v>2708</v>
      </c>
      <c r="V1401" s="575" t="s">
        <v>54</v>
      </c>
      <c r="W1401" s="262" t="s">
        <v>125</v>
      </c>
      <c r="X1401" s="182" t="s">
        <v>2709</v>
      </c>
    </row>
    <row r="1402" spans="1:24" ht="15" customHeight="1">
      <c r="A1402" s="548">
        <v>46109</v>
      </c>
      <c r="B1402" s="133"/>
      <c r="C1402" s="32" t="s">
        <v>2697</v>
      </c>
      <c r="D1402" s="126">
        <v>-62.49</v>
      </c>
      <c r="E1402" s="120"/>
      <c r="F1402" s="127">
        <f>Tabla5109[[#This Row],[Original Amount]]*Tabla5109[[#This Row],[ER to EUR]]</f>
        <v>0</v>
      </c>
      <c r="G1402" s="9" t="s">
        <v>2956</v>
      </c>
      <c r="H1402" s="73" t="s">
        <v>3214</v>
      </c>
      <c r="I1402" s="9" t="s">
        <v>2739</v>
      </c>
      <c r="J1402" s="9" t="s">
        <v>2701</v>
      </c>
      <c r="K1402" s="205" t="s">
        <v>2702</v>
      </c>
      <c r="L1402" s="9" t="s">
        <v>2740</v>
      </c>
      <c r="M1402" s="32" t="s">
        <v>125</v>
      </c>
      <c r="N1402" s="122" t="s">
        <v>2748</v>
      </c>
      <c r="O1402" s="129" t="s">
        <v>2748</v>
      </c>
      <c r="P1402" s="123" t="str">
        <f>"C"&amp;INT((MONTH(A1402)-1)/4)+1&amp;"-"&amp;YEAR(A1402)</f>
        <v>C1-2026</v>
      </c>
      <c r="Q1402" s="124" t="str">
        <f>"T"&amp;INT((MONTH(A1402)-1)/3)+1&amp;"-"&amp;YEAR(A1402)</f>
        <v>T1-2026</v>
      </c>
      <c r="R1402" s="124" t="s">
        <v>2705</v>
      </c>
      <c r="S1402" s="124" t="s">
        <v>2706</v>
      </c>
      <c r="T1402" s="124" t="s">
        <v>2724</v>
      </c>
      <c r="U1402" s="162" t="s">
        <v>2708</v>
      </c>
      <c r="V1402" s="575" t="s">
        <v>54</v>
      </c>
      <c r="W1402" s="237" t="s">
        <v>125</v>
      </c>
      <c r="X1402" s="201" t="s">
        <v>2709</v>
      </c>
    </row>
    <row r="1403" spans="1:24">
      <c r="A1403" s="548">
        <v>46109</v>
      </c>
      <c r="B1403" s="194" t="s">
        <v>2871</v>
      </c>
      <c r="C1403" s="32" t="s">
        <v>2697</v>
      </c>
      <c r="D1403" s="126">
        <v>-9065</v>
      </c>
      <c r="E1403" s="120"/>
      <c r="F1403" s="127">
        <f>Tabla5109[[#This Row],[Original Amount]]*Tabla5109[[#This Row],[ER to EUR]]</f>
        <v>0</v>
      </c>
      <c r="G1403" s="9" t="s">
        <v>3717</v>
      </c>
      <c r="H1403" s="9" t="s">
        <v>4908</v>
      </c>
      <c r="I1403" s="91" t="s">
        <v>2713</v>
      </c>
      <c r="J1403" s="91" t="s">
        <v>2770</v>
      </c>
      <c r="K1403" s="196" t="s">
        <v>2874</v>
      </c>
      <c r="L1403" s="91" t="s">
        <v>2875</v>
      </c>
      <c r="M1403" s="232" t="s">
        <v>125</v>
      </c>
      <c r="N1403" s="129" t="s">
        <v>2748</v>
      </c>
      <c r="O1403" s="129" t="s">
        <v>2748</v>
      </c>
      <c r="P1403" s="123" t="str">
        <f>"C"&amp;INT((MONTH(A1403)-1)/4)+1&amp;"-"&amp;YEAR(A1403)</f>
        <v>C1-2026</v>
      </c>
      <c r="Q1403" s="124" t="str">
        <f>"T"&amp;INT((MONTH(A1403)-1)/3)+1&amp;"-"&amp;YEAR(A1403)</f>
        <v>T1-2026</v>
      </c>
      <c r="R1403" s="91" t="s">
        <v>2705</v>
      </c>
      <c r="S1403" s="124" t="s">
        <v>2706</v>
      </c>
      <c r="T1403" s="124" t="s">
        <v>2717</v>
      </c>
      <c r="U1403" s="162" t="s">
        <v>2708</v>
      </c>
      <c r="V1403" s="575" t="s">
        <v>56</v>
      </c>
      <c r="W1403" s="237" t="s">
        <v>125</v>
      </c>
      <c r="X1403" s="201" t="s">
        <v>2709</v>
      </c>
    </row>
    <row r="1404" spans="1:24" ht="15" customHeight="1">
      <c r="A1404" s="548">
        <v>46109</v>
      </c>
      <c r="B1404" s="194" t="s">
        <v>2871</v>
      </c>
      <c r="C1404" s="32" t="s">
        <v>2697</v>
      </c>
      <c r="D1404" s="126">
        <v>-5671.18</v>
      </c>
      <c r="E1404" s="120"/>
      <c r="F1404" s="127">
        <f>Tabla5109[[#This Row],[Original Amount]]*Tabla5109[[#This Row],[ER to EUR]]</f>
        <v>0</v>
      </c>
      <c r="G1404" s="9" t="s">
        <v>3257</v>
      </c>
      <c r="H1404" s="9" t="s">
        <v>4908</v>
      </c>
      <c r="I1404" s="91" t="s">
        <v>2713</v>
      </c>
      <c r="J1404" s="91" t="s">
        <v>2770</v>
      </c>
      <c r="K1404" s="196" t="s">
        <v>2874</v>
      </c>
      <c r="L1404" s="91" t="s">
        <v>2875</v>
      </c>
      <c r="M1404" s="232" t="s">
        <v>125</v>
      </c>
      <c r="N1404" s="129" t="s">
        <v>2748</v>
      </c>
      <c r="O1404" s="129" t="s">
        <v>2748</v>
      </c>
      <c r="P1404" s="123" t="str">
        <f>"C"&amp;INT((MONTH(A1404)-1)/4)+1&amp;"-"&amp;YEAR(A1404)</f>
        <v>C1-2026</v>
      </c>
      <c r="Q1404" s="124" t="str">
        <f>"T"&amp;INT((MONTH(A1404)-1)/3)+1&amp;"-"&amp;YEAR(A1404)</f>
        <v>T1-2026</v>
      </c>
      <c r="R1404" s="91" t="s">
        <v>2705</v>
      </c>
      <c r="S1404" s="124" t="s">
        <v>2706</v>
      </c>
      <c r="T1404" s="124" t="s">
        <v>2717</v>
      </c>
      <c r="U1404" s="162" t="s">
        <v>2708</v>
      </c>
      <c r="V1404" s="575" t="s">
        <v>56</v>
      </c>
      <c r="W1404" s="237" t="s">
        <v>125</v>
      </c>
      <c r="X1404" s="201" t="s">
        <v>2709</v>
      </c>
    </row>
    <row r="1405" spans="1:24">
      <c r="A1405" s="548">
        <v>46109</v>
      </c>
      <c r="B1405" s="194" t="s">
        <v>2871</v>
      </c>
      <c r="C1405" s="32" t="s">
        <v>2697</v>
      </c>
      <c r="D1405" s="126">
        <v>-11730.13</v>
      </c>
      <c r="E1405" s="120"/>
      <c r="F1405" s="127">
        <f>Tabla5109[[#This Row],[Original Amount]]*Tabla5109[[#This Row],[ER to EUR]]</f>
        <v>0</v>
      </c>
      <c r="G1405" s="9" t="s">
        <v>3844</v>
      </c>
      <c r="H1405" s="9" t="s">
        <v>4908</v>
      </c>
      <c r="I1405" s="91" t="s">
        <v>2713</v>
      </c>
      <c r="J1405" s="91" t="s">
        <v>2770</v>
      </c>
      <c r="K1405" s="196" t="s">
        <v>2874</v>
      </c>
      <c r="L1405" s="91" t="s">
        <v>2875</v>
      </c>
      <c r="M1405" s="232" t="s">
        <v>125</v>
      </c>
      <c r="N1405" s="129" t="s">
        <v>2748</v>
      </c>
      <c r="O1405" s="129" t="s">
        <v>2748</v>
      </c>
      <c r="P1405" s="123" t="str">
        <f>"C"&amp;INT((MONTH(A1405)-1)/4)+1&amp;"-"&amp;YEAR(A1405)</f>
        <v>C1-2026</v>
      </c>
      <c r="Q1405" s="124" t="str">
        <f>"T"&amp;INT((MONTH(A1405)-1)/3)+1&amp;"-"&amp;YEAR(A1405)</f>
        <v>T1-2026</v>
      </c>
      <c r="R1405" s="91" t="s">
        <v>2705</v>
      </c>
      <c r="S1405" s="124" t="s">
        <v>2706</v>
      </c>
      <c r="T1405" s="124" t="s">
        <v>2717</v>
      </c>
      <c r="U1405" s="162" t="s">
        <v>2708</v>
      </c>
      <c r="V1405" s="575" t="s">
        <v>56</v>
      </c>
      <c r="W1405" s="237" t="s">
        <v>125</v>
      </c>
      <c r="X1405" s="201" t="s">
        <v>2709</v>
      </c>
    </row>
    <row r="1406" spans="1:24" ht="15" customHeight="1">
      <c r="A1406" s="548">
        <v>46109</v>
      </c>
      <c r="B1406" s="194" t="s">
        <v>2871</v>
      </c>
      <c r="C1406" s="32" t="s">
        <v>2543</v>
      </c>
      <c r="D1406" s="147">
        <v>-1687098</v>
      </c>
      <c r="E1406" s="32"/>
      <c r="F1406" s="127">
        <f>Tabla5109[[#This Row],[Original Amount]]*Tabla5109[[#This Row],[ER to EUR]]</f>
        <v>0</v>
      </c>
      <c r="G1406" s="91" t="s">
        <v>2872</v>
      </c>
      <c r="H1406" s="9" t="s">
        <v>4909</v>
      </c>
      <c r="I1406" s="9" t="s">
        <v>2713</v>
      </c>
      <c r="J1406" s="9" t="s">
        <v>2770</v>
      </c>
      <c r="K1406" s="205" t="s">
        <v>2874</v>
      </c>
      <c r="L1406" s="9" t="s">
        <v>2875</v>
      </c>
      <c r="M1406" s="227" t="s">
        <v>2748</v>
      </c>
      <c r="N1406" s="122" t="s">
        <v>2748</v>
      </c>
      <c r="O1406" s="129" t="s">
        <v>2748</v>
      </c>
      <c r="P1406" s="123" t="str">
        <f>"C"&amp;INT((MONTH(A1406)-1)/4)+1&amp;"-"&amp;YEAR(A1406)</f>
        <v>C1-2026</v>
      </c>
      <c r="Q1406" s="124" t="str">
        <f>"T"&amp;INT((MONTH(A1406)-1)/3)+1&amp;"-"&amp;YEAR(A1406)</f>
        <v>T1-2026</v>
      </c>
      <c r="R1406" s="91" t="s">
        <v>2749</v>
      </c>
      <c r="S1406" s="124" t="s">
        <v>2750</v>
      </c>
      <c r="T1406" s="124" t="s">
        <v>2724</v>
      </c>
      <c r="U1406" s="162" t="s">
        <v>2708</v>
      </c>
      <c r="V1406" s="575" t="s">
        <v>54</v>
      </c>
      <c r="W1406" s="237" t="s">
        <v>125</v>
      </c>
      <c r="X1406" s="201" t="s">
        <v>2751</v>
      </c>
    </row>
    <row r="1407" spans="1:24" ht="15" customHeight="1">
      <c r="A1407" s="548">
        <v>46109</v>
      </c>
      <c r="B1407" s="194" t="s">
        <v>2871</v>
      </c>
      <c r="C1407" s="32" t="s">
        <v>2543</v>
      </c>
      <c r="D1407" s="147">
        <v>-10208452</v>
      </c>
      <c r="E1407" s="32"/>
      <c r="F1407" s="127">
        <f>Tabla5109[[#This Row],[Original Amount]]*Tabla5109[[#This Row],[ER to EUR]]</f>
        <v>0</v>
      </c>
      <c r="G1407" s="9" t="s">
        <v>2876</v>
      </c>
      <c r="H1407" s="9" t="s">
        <v>4909</v>
      </c>
      <c r="I1407" s="9" t="s">
        <v>2713</v>
      </c>
      <c r="J1407" s="9" t="s">
        <v>2770</v>
      </c>
      <c r="K1407" s="205" t="s">
        <v>2874</v>
      </c>
      <c r="L1407" s="9" t="s">
        <v>2875</v>
      </c>
      <c r="M1407" s="227" t="s">
        <v>2748</v>
      </c>
      <c r="N1407" s="122" t="s">
        <v>2748</v>
      </c>
      <c r="O1407" s="129" t="s">
        <v>2748</v>
      </c>
      <c r="P1407" s="123" t="str">
        <f>"C"&amp;INT((MONTH(A1407)-1)/4)+1&amp;"-"&amp;YEAR(A1407)</f>
        <v>C1-2026</v>
      </c>
      <c r="Q1407" s="124" t="str">
        <f>"T"&amp;INT((MONTH(A1407)-1)/3)+1&amp;"-"&amp;YEAR(A1407)</f>
        <v>T1-2026</v>
      </c>
      <c r="R1407" s="91" t="s">
        <v>2749</v>
      </c>
      <c r="S1407" s="124" t="s">
        <v>2750</v>
      </c>
      <c r="T1407" s="124" t="s">
        <v>2724</v>
      </c>
      <c r="U1407" s="162" t="s">
        <v>2708</v>
      </c>
      <c r="V1407" s="575" t="s">
        <v>54</v>
      </c>
      <c r="W1407" s="237" t="s">
        <v>125</v>
      </c>
      <c r="X1407" s="201" t="s">
        <v>2751</v>
      </c>
    </row>
    <row r="1408" spans="1:24" ht="15" customHeight="1">
      <c r="A1408" s="548">
        <v>46109</v>
      </c>
      <c r="B1408" s="194" t="s">
        <v>2871</v>
      </c>
      <c r="C1408" s="32" t="s">
        <v>2543</v>
      </c>
      <c r="D1408" s="147">
        <v>-7834263</v>
      </c>
      <c r="E1408" s="32"/>
      <c r="F1408" s="127">
        <f>Tabla5109[[#This Row],[Original Amount]]*Tabla5109[[#This Row],[ER to EUR]]</f>
        <v>0</v>
      </c>
      <c r="G1408" s="9" t="s">
        <v>3257</v>
      </c>
      <c r="H1408" s="9" t="s">
        <v>4909</v>
      </c>
      <c r="I1408" s="9" t="s">
        <v>2713</v>
      </c>
      <c r="J1408" s="9" t="s">
        <v>2770</v>
      </c>
      <c r="K1408" s="205" t="s">
        <v>2874</v>
      </c>
      <c r="L1408" s="9" t="s">
        <v>2875</v>
      </c>
      <c r="M1408" s="227" t="s">
        <v>2748</v>
      </c>
      <c r="N1408" s="122" t="s">
        <v>2748</v>
      </c>
      <c r="O1408" s="129" t="s">
        <v>2748</v>
      </c>
      <c r="P1408" s="123" t="str">
        <f>"C"&amp;INT((MONTH(A1408)-1)/4)+1&amp;"-"&amp;YEAR(A1408)</f>
        <v>C1-2026</v>
      </c>
      <c r="Q1408" s="124" t="str">
        <f>"T"&amp;INT((MONTH(A1408)-1)/3)+1&amp;"-"&amp;YEAR(A1408)</f>
        <v>T1-2026</v>
      </c>
      <c r="R1408" s="91" t="s">
        <v>2749</v>
      </c>
      <c r="S1408" s="124" t="s">
        <v>2750</v>
      </c>
      <c r="T1408" s="124" t="s">
        <v>2724</v>
      </c>
      <c r="U1408" s="162" t="s">
        <v>2708</v>
      </c>
      <c r="V1408" s="575" t="s">
        <v>54</v>
      </c>
      <c r="W1408" s="237" t="s">
        <v>125</v>
      </c>
      <c r="X1408" s="201" t="s">
        <v>2751</v>
      </c>
    </row>
    <row r="1409" spans="1:24">
      <c r="A1409" s="548">
        <v>46109</v>
      </c>
      <c r="B1409" s="194" t="s">
        <v>2871</v>
      </c>
      <c r="C1409" s="32" t="s">
        <v>2543</v>
      </c>
      <c r="D1409" s="147">
        <v>-2520418</v>
      </c>
      <c r="E1409" s="32"/>
      <c r="F1409" s="127">
        <f>Tabla5109[[#This Row],[Original Amount]]*Tabla5109[[#This Row],[ER to EUR]]</f>
        <v>0</v>
      </c>
      <c r="G1409" s="9" t="s">
        <v>3436</v>
      </c>
      <c r="H1409" s="9" t="s">
        <v>4909</v>
      </c>
      <c r="I1409" s="9" t="s">
        <v>2713</v>
      </c>
      <c r="J1409" s="9" t="s">
        <v>2770</v>
      </c>
      <c r="K1409" s="205" t="s">
        <v>2874</v>
      </c>
      <c r="L1409" s="9" t="s">
        <v>2875</v>
      </c>
      <c r="M1409" s="227" t="s">
        <v>2748</v>
      </c>
      <c r="N1409" s="122" t="s">
        <v>2748</v>
      </c>
      <c r="O1409" s="129" t="s">
        <v>2748</v>
      </c>
      <c r="P1409" s="123" t="str">
        <f>"C"&amp;INT((MONTH(A1409)-1)/4)+1&amp;"-"&amp;YEAR(A1409)</f>
        <v>C1-2026</v>
      </c>
      <c r="Q1409" s="124" t="str">
        <f>"T"&amp;INT((MONTH(A1409)-1)/3)+1&amp;"-"&amp;YEAR(A1409)</f>
        <v>T1-2026</v>
      </c>
      <c r="R1409" s="91" t="s">
        <v>2749</v>
      </c>
      <c r="S1409" s="124" t="s">
        <v>2750</v>
      </c>
      <c r="T1409" s="124" t="s">
        <v>2724</v>
      </c>
      <c r="U1409" s="162" t="s">
        <v>2708</v>
      </c>
      <c r="V1409" s="575" t="s">
        <v>54</v>
      </c>
      <c r="W1409" s="237" t="s">
        <v>125</v>
      </c>
      <c r="X1409" s="201" t="s">
        <v>2751</v>
      </c>
    </row>
    <row r="1410" spans="1:24">
      <c r="A1410" s="548">
        <v>46109</v>
      </c>
      <c r="B1410" s="194" t="s">
        <v>2871</v>
      </c>
      <c r="C1410" s="32" t="s">
        <v>2543</v>
      </c>
      <c r="D1410" s="147">
        <v>-8256632</v>
      </c>
      <c r="E1410" s="32"/>
      <c r="F1410" s="127">
        <f>Tabla5109[[#This Row],[Original Amount]]*Tabla5109[[#This Row],[ER to EUR]]</f>
        <v>0</v>
      </c>
      <c r="G1410" s="9" t="s">
        <v>2877</v>
      </c>
      <c r="H1410" s="9" t="s">
        <v>4909</v>
      </c>
      <c r="I1410" s="9" t="s">
        <v>2713</v>
      </c>
      <c r="J1410" s="9" t="s">
        <v>2770</v>
      </c>
      <c r="K1410" s="205" t="s">
        <v>2874</v>
      </c>
      <c r="L1410" s="9" t="s">
        <v>2875</v>
      </c>
      <c r="M1410" s="227" t="s">
        <v>2748</v>
      </c>
      <c r="N1410" s="122" t="s">
        <v>2748</v>
      </c>
      <c r="O1410" s="129" t="s">
        <v>2748</v>
      </c>
      <c r="P1410" s="123" t="str">
        <f>"C"&amp;INT((MONTH(A1410)-1)/4)+1&amp;"-"&amp;YEAR(A1410)</f>
        <v>C1-2026</v>
      </c>
      <c r="Q1410" s="124" t="str">
        <f>"T"&amp;INT((MONTH(A1410)-1)/3)+1&amp;"-"&amp;YEAR(A1410)</f>
        <v>T1-2026</v>
      </c>
      <c r="R1410" s="91" t="s">
        <v>2749</v>
      </c>
      <c r="S1410" s="124" t="s">
        <v>2750</v>
      </c>
      <c r="T1410" s="124" t="s">
        <v>2724</v>
      </c>
      <c r="U1410" s="162" t="s">
        <v>2708</v>
      </c>
      <c r="V1410" s="575" t="s">
        <v>54</v>
      </c>
      <c r="W1410" s="237" t="s">
        <v>125</v>
      </c>
      <c r="X1410" s="201" t="s">
        <v>2751</v>
      </c>
    </row>
    <row r="1411" spans="1:24">
      <c r="A1411" s="548">
        <v>46113</v>
      </c>
      <c r="B1411" s="133"/>
      <c r="C1411" s="32" t="s">
        <v>2548</v>
      </c>
      <c r="D1411" s="136">
        <v>-23.8</v>
      </c>
      <c r="E1411" s="32"/>
      <c r="F1411" s="121">
        <f>Tabla5109[[#This Row],[Original Amount]]*Tabla5109[[#This Row],[ER to EUR]]</f>
        <v>0</v>
      </c>
      <c r="G1411" s="9" t="s">
        <v>3349</v>
      </c>
      <c r="H1411" s="9" t="s">
        <v>3350</v>
      </c>
      <c r="I1411" s="9" t="s">
        <v>2784</v>
      </c>
      <c r="J1411" s="9" t="s">
        <v>2701</v>
      </c>
      <c r="K1411" s="205" t="s">
        <v>2702</v>
      </c>
      <c r="L1411" s="9" t="s">
        <v>2760</v>
      </c>
      <c r="M1411" s="32" t="s">
        <v>125</v>
      </c>
      <c r="N1411" s="129" t="s">
        <v>2704</v>
      </c>
      <c r="O1411" s="129" t="s">
        <v>2704</v>
      </c>
      <c r="P1411" s="123" t="str">
        <f>"C"&amp;INT((MONTH(A1411)-1)/4)+1&amp;"-"&amp;YEAR(A1411)</f>
        <v>C1-2026</v>
      </c>
      <c r="Q1411" s="123" t="str">
        <f>"T"&amp;INT((MONTH(A1411)-1)/3)+1&amp;"-"&amp;YEAR(A1411)</f>
        <v>T2-2026</v>
      </c>
      <c r="R1411" s="124" t="s">
        <v>2705</v>
      </c>
      <c r="S1411" s="124" t="s">
        <v>2735</v>
      </c>
      <c r="T1411" s="123" t="s">
        <v>2724</v>
      </c>
      <c r="U1411" s="162" t="s">
        <v>2708</v>
      </c>
      <c r="V1411" s="575" t="s">
        <v>55</v>
      </c>
      <c r="W1411" s="237" t="s">
        <v>125</v>
      </c>
      <c r="X1411" s="201" t="s">
        <v>2709</v>
      </c>
    </row>
    <row r="1412" spans="1:24">
      <c r="A1412" s="548">
        <v>46113</v>
      </c>
      <c r="B1412" s="572"/>
      <c r="C1412" s="32" t="s">
        <v>2697</v>
      </c>
      <c r="D1412" s="210">
        <v>-14812.07</v>
      </c>
      <c r="E1412" s="120"/>
      <c r="F1412" s="121">
        <f>Tabla5109[[#This Row],[Original Amount]]*Tabla5109[[#This Row],[ER to EUR]]</f>
        <v>0</v>
      </c>
      <c r="G1412" s="91" t="s">
        <v>2884</v>
      </c>
      <c r="H1412" s="91" t="s">
        <v>2885</v>
      </c>
      <c r="I1412" s="9" t="s">
        <v>2727</v>
      </c>
      <c r="J1412" s="91" t="s">
        <v>2723</v>
      </c>
      <c r="K1412" s="196" t="s">
        <v>2792</v>
      </c>
      <c r="L1412" s="91" t="s">
        <v>2793</v>
      </c>
      <c r="M1412" s="32" t="s">
        <v>125</v>
      </c>
      <c r="N1412" s="129" t="s">
        <v>2704</v>
      </c>
      <c r="O1412" s="129" t="s">
        <v>2704</v>
      </c>
      <c r="P1412" s="123" t="str">
        <f>"C"&amp;INT((MONTH(A1412)-1)/4)+1&amp;"-"&amp;YEAR(A1412)</f>
        <v>C1-2026</v>
      </c>
      <c r="Q1412" s="123" t="str">
        <f>"T"&amp;INT((MONTH(A1412)-1)/3)+1&amp;"-"&amp;YEAR(A1412)</f>
        <v>T2-2026</v>
      </c>
      <c r="R1412" s="124" t="s">
        <v>2741</v>
      </c>
      <c r="S1412" s="124" t="s">
        <v>2723</v>
      </c>
      <c r="T1412" s="123" t="s">
        <v>2707</v>
      </c>
      <c r="U1412" s="162" t="s">
        <v>2708</v>
      </c>
      <c r="V1412" s="575" t="s">
        <v>54</v>
      </c>
      <c r="W1412" s="237" t="s">
        <v>125</v>
      </c>
      <c r="X1412" s="201" t="s">
        <v>2709</v>
      </c>
    </row>
    <row r="1413" spans="1:24" ht="15" customHeight="1">
      <c r="A1413" s="548">
        <v>46113</v>
      </c>
      <c r="B1413" s="133"/>
      <c r="C1413" s="32" t="s">
        <v>2697</v>
      </c>
      <c r="D1413" s="210">
        <v>-4527</v>
      </c>
      <c r="E1413" s="120"/>
      <c r="F1413" s="121">
        <f>Tabla5109[[#This Row],[Original Amount]]*Tabla5109[[#This Row],[ER to EUR]]</f>
        <v>0</v>
      </c>
      <c r="G1413" s="9" t="s">
        <v>3723</v>
      </c>
      <c r="H1413" s="73" t="s">
        <v>3724</v>
      </c>
      <c r="I1413" s="9" t="s">
        <v>2727</v>
      </c>
      <c r="J1413" s="9" t="s">
        <v>2723</v>
      </c>
      <c r="K1413" s="205" t="s">
        <v>2792</v>
      </c>
      <c r="L1413" s="9" t="s">
        <v>2793</v>
      </c>
      <c r="M1413" s="32" t="s">
        <v>125</v>
      </c>
      <c r="N1413" s="129" t="s">
        <v>2704</v>
      </c>
      <c r="O1413" s="129" t="s">
        <v>2704</v>
      </c>
      <c r="P1413" s="123" t="str">
        <f>"C"&amp;INT((MONTH(A1413)-1)/4)+1&amp;"-"&amp;YEAR(A1413)</f>
        <v>C1-2026</v>
      </c>
      <c r="Q1413" s="123" t="str">
        <f>"T"&amp;INT((MONTH(A1413)-1)/3)+1&amp;"-"&amp;YEAR(A1413)</f>
        <v>T2-2026</v>
      </c>
      <c r="R1413" s="124" t="s">
        <v>2794</v>
      </c>
      <c r="S1413" s="124" t="s">
        <v>2731</v>
      </c>
      <c r="T1413" s="123" t="s">
        <v>2717</v>
      </c>
      <c r="U1413" s="162" t="s">
        <v>2708</v>
      </c>
      <c r="V1413" s="575" t="s">
        <v>57</v>
      </c>
      <c r="W1413" s="237" t="s">
        <v>125</v>
      </c>
      <c r="X1413" s="201" t="s">
        <v>2709</v>
      </c>
    </row>
    <row r="1414" spans="1:24">
      <c r="A1414" s="548">
        <v>46113</v>
      </c>
      <c r="B1414" s="133"/>
      <c r="C1414" s="32" t="s">
        <v>2548</v>
      </c>
      <c r="D1414" s="136">
        <v>-12.95</v>
      </c>
      <c r="E1414" s="32"/>
      <c r="F1414" s="121">
        <f>Tabla5109[[#This Row],[Original Amount]]*Tabla5109[[#This Row],[ER to EUR]]</f>
        <v>0</v>
      </c>
      <c r="G1414" s="9" t="s">
        <v>2884</v>
      </c>
      <c r="H1414" s="9" t="s">
        <v>4009</v>
      </c>
      <c r="I1414" s="9" t="s">
        <v>2755</v>
      </c>
      <c r="J1414" s="9" t="s">
        <v>2723</v>
      </c>
      <c r="K1414" s="205" t="s">
        <v>2792</v>
      </c>
      <c r="L1414" s="9" t="s">
        <v>2793</v>
      </c>
      <c r="M1414" s="32" t="s">
        <v>125</v>
      </c>
      <c r="N1414" s="129" t="s">
        <v>2704</v>
      </c>
      <c r="O1414" s="129" t="s">
        <v>2704</v>
      </c>
      <c r="P1414" s="123" t="str">
        <f>"C"&amp;INT((MONTH(A1414)-1)/4)+1&amp;"-"&amp;YEAR(A1414)</f>
        <v>C1-2026</v>
      </c>
      <c r="Q1414" s="123" t="str">
        <f>"T"&amp;INT((MONTH(A1414)-1)/3)+1&amp;"-"&amp;YEAR(A1414)</f>
        <v>T2-2026</v>
      </c>
      <c r="R1414" s="124" t="s">
        <v>2741</v>
      </c>
      <c r="S1414" s="124" t="s">
        <v>2723</v>
      </c>
      <c r="T1414" s="123" t="s">
        <v>2707</v>
      </c>
      <c r="U1414" s="162" t="s">
        <v>2708</v>
      </c>
      <c r="V1414" s="575" t="s">
        <v>54</v>
      </c>
      <c r="W1414" s="237" t="s">
        <v>125</v>
      </c>
      <c r="X1414" s="201" t="s">
        <v>2709</v>
      </c>
    </row>
    <row r="1415" spans="1:24" ht="15" customHeight="1">
      <c r="A1415" s="548">
        <v>46115</v>
      </c>
      <c r="B1415" s="570"/>
      <c r="C1415" s="232" t="s">
        <v>2697</v>
      </c>
      <c r="D1415" s="210">
        <v>-23.99</v>
      </c>
      <c r="E1415" s="32"/>
      <c r="F1415" s="121">
        <f>Tabla5109[[#This Row],[Original Amount]]*Tabla5109[[#This Row],[ER to EUR]]</f>
        <v>0</v>
      </c>
      <c r="G1415" s="91" t="s">
        <v>3462</v>
      </c>
      <c r="H1415" s="91" t="s">
        <v>3463</v>
      </c>
      <c r="I1415" s="9" t="s">
        <v>6008</v>
      </c>
      <c r="J1415" s="9" t="s">
        <v>2701</v>
      </c>
      <c r="K1415" s="205" t="s">
        <v>2702</v>
      </c>
      <c r="L1415" s="9" t="s">
        <v>2793</v>
      </c>
      <c r="M1415" s="32" t="s">
        <v>125</v>
      </c>
      <c r="N1415" s="129" t="s">
        <v>2704</v>
      </c>
      <c r="O1415" s="129" t="s">
        <v>2704</v>
      </c>
      <c r="P1415" s="123" t="str">
        <f>"C"&amp;INT((MONTH(A1415)-1)/4)+1&amp;"-"&amp;YEAR(A1415)</f>
        <v>C1-2026</v>
      </c>
      <c r="Q1415" s="123" t="str">
        <f>"T"&amp;INT((MONTH(A1415)-1)/3)+1&amp;"-"&amp;YEAR(A1415)</f>
        <v>T2-2026</v>
      </c>
      <c r="R1415" s="124" t="s">
        <v>2741</v>
      </c>
      <c r="S1415" s="123" t="s">
        <v>2723</v>
      </c>
      <c r="T1415" s="123" t="s">
        <v>2724</v>
      </c>
      <c r="U1415" s="162" t="s">
        <v>2708</v>
      </c>
      <c r="V1415" s="575" t="s">
        <v>54</v>
      </c>
      <c r="W1415" s="237" t="s">
        <v>125</v>
      </c>
      <c r="X1415" s="201" t="s">
        <v>2709</v>
      </c>
    </row>
    <row r="1416" spans="1:24">
      <c r="A1416" s="548">
        <v>46115</v>
      </c>
      <c r="B1416" s="506" t="s">
        <v>3999</v>
      </c>
      <c r="C1416" s="32" t="s">
        <v>2697</v>
      </c>
      <c r="D1416" s="210">
        <v>-1410</v>
      </c>
      <c r="E1416" s="120"/>
      <c r="F1416" s="121">
        <f>Tabla5109[[#This Row],[Original Amount]]*Tabla5109[[#This Row],[ER to EUR]]</f>
        <v>0</v>
      </c>
      <c r="G1416" s="9" t="s">
        <v>3237</v>
      </c>
      <c r="H1416" s="9" t="s">
        <v>4572</v>
      </c>
      <c r="I1416" s="9" t="s">
        <v>2713</v>
      </c>
      <c r="J1416" s="9" t="s">
        <v>2770</v>
      </c>
      <c r="K1416" s="205" t="s">
        <v>2803</v>
      </c>
      <c r="L1416" s="211" t="s">
        <v>57</v>
      </c>
      <c r="M1416" s="32" t="s">
        <v>125</v>
      </c>
      <c r="N1416" s="129" t="s">
        <v>2704</v>
      </c>
      <c r="O1416" s="122" t="s">
        <v>2704</v>
      </c>
      <c r="P1416" s="123" t="str">
        <f>"C"&amp;INT((MONTH(A1416)-1)/4)+1&amp;"-"&amp;YEAR(A1416)</f>
        <v>C1-2026</v>
      </c>
      <c r="Q1416" s="124" t="str">
        <f>"T"&amp;INT((MONTH(A1416)-1)/3)+1&amp;"-"&amp;YEAR(A1416)</f>
        <v>T2-2026</v>
      </c>
      <c r="R1416" s="91" t="s">
        <v>2749</v>
      </c>
      <c r="S1416" s="124" t="s">
        <v>2750</v>
      </c>
      <c r="T1416" s="124" t="s">
        <v>2717</v>
      </c>
      <c r="U1416" s="162" t="s">
        <v>2708</v>
      </c>
      <c r="V1416" s="575" t="s">
        <v>56</v>
      </c>
      <c r="W1416" s="237" t="s">
        <v>125</v>
      </c>
      <c r="X1416" s="173" t="s">
        <v>2709</v>
      </c>
    </row>
    <row r="1417" spans="1:24">
      <c r="A1417" s="548">
        <v>46115</v>
      </c>
      <c r="B1417" s="570"/>
      <c r="C1417" s="232" t="s">
        <v>2548</v>
      </c>
      <c r="D1417" s="136">
        <v>-180</v>
      </c>
      <c r="E1417" s="32"/>
      <c r="F1417" s="121">
        <f>Tabla5109[[#This Row],[Original Amount]]*Tabla5109[[#This Row],[ER to EUR]]</f>
        <v>0</v>
      </c>
      <c r="G1417" s="91" t="s">
        <v>2737</v>
      </c>
      <c r="H1417" s="91" t="s">
        <v>3851</v>
      </c>
      <c r="I1417" s="9" t="s">
        <v>2755</v>
      </c>
      <c r="J1417" s="9" t="s">
        <v>2701</v>
      </c>
      <c r="K1417" s="205" t="s">
        <v>2702</v>
      </c>
      <c r="L1417" s="9" t="s">
        <v>2740</v>
      </c>
      <c r="M1417" s="32" t="s">
        <v>125</v>
      </c>
      <c r="N1417" s="129" t="s">
        <v>2704</v>
      </c>
      <c r="O1417" s="129" t="s">
        <v>2704</v>
      </c>
      <c r="P1417" s="123" t="str">
        <f>"C"&amp;INT((MONTH(A1417)-1)/4)+1&amp;"-"&amp;YEAR(A1417)</f>
        <v>C1-2026</v>
      </c>
      <c r="Q1417" s="123" t="str">
        <f>"T"&amp;INT((MONTH(A1417)-1)/3)+1&amp;"-"&amp;YEAR(A1417)</f>
        <v>T2-2026</v>
      </c>
      <c r="R1417" s="124" t="s">
        <v>2741</v>
      </c>
      <c r="S1417" s="124" t="s">
        <v>2723</v>
      </c>
      <c r="T1417" s="123" t="s">
        <v>2724</v>
      </c>
      <c r="U1417" s="162" t="s">
        <v>2708</v>
      </c>
      <c r="V1417" s="575" t="s">
        <v>54</v>
      </c>
      <c r="W1417" s="237" t="s">
        <v>125</v>
      </c>
      <c r="X1417" s="201" t="s">
        <v>2709</v>
      </c>
    </row>
    <row r="1418" spans="1:24">
      <c r="A1418" s="548">
        <v>46117</v>
      </c>
      <c r="B1418" s="570"/>
      <c r="C1418" s="232" t="s">
        <v>2548</v>
      </c>
      <c r="D1418" s="136">
        <v>-25</v>
      </c>
      <c r="E1418" s="32"/>
      <c r="F1418" s="121">
        <f>Tabla5109[[#This Row],[Original Amount]]*Tabla5109[[#This Row],[ER to EUR]]</f>
        <v>0</v>
      </c>
      <c r="G1418" s="91" t="s">
        <v>3068</v>
      </c>
      <c r="H1418" s="9" t="s">
        <v>4252</v>
      </c>
      <c r="I1418" s="9" t="s">
        <v>6008</v>
      </c>
      <c r="J1418" s="9" t="s">
        <v>2701</v>
      </c>
      <c r="K1418" s="205" t="s">
        <v>2702</v>
      </c>
      <c r="L1418" s="9" t="s">
        <v>2793</v>
      </c>
      <c r="M1418" s="32" t="s">
        <v>125</v>
      </c>
      <c r="N1418" s="129" t="s">
        <v>2704</v>
      </c>
      <c r="O1418" s="129" t="s">
        <v>2704</v>
      </c>
      <c r="P1418" s="123" t="str">
        <f>"C"&amp;INT((MONTH(A1418)-1)/4)+1&amp;"-"&amp;YEAR(A1418)</f>
        <v>C1-2026</v>
      </c>
      <c r="Q1418" s="123" t="str">
        <f>"T"&amp;INT((MONTH(A1418)-1)/3)+1&amp;"-"&amp;YEAR(A1418)</f>
        <v>T2-2026</v>
      </c>
      <c r="R1418" s="124" t="s">
        <v>2741</v>
      </c>
      <c r="S1418" s="123" t="s">
        <v>2723</v>
      </c>
      <c r="T1418" s="123" t="s">
        <v>2724</v>
      </c>
      <c r="U1418" s="162" t="s">
        <v>2708</v>
      </c>
      <c r="V1418" s="575" t="s">
        <v>54</v>
      </c>
      <c r="W1418" s="237" t="s">
        <v>125</v>
      </c>
      <c r="X1418" s="201" t="s">
        <v>2709</v>
      </c>
    </row>
    <row r="1419" spans="1:24" ht="15" customHeight="1">
      <c r="A1419" s="548">
        <v>46117</v>
      </c>
      <c r="B1419" s="570"/>
      <c r="C1419" s="232" t="s">
        <v>2548</v>
      </c>
      <c r="D1419" s="136">
        <v>-99</v>
      </c>
      <c r="E1419" s="32"/>
      <c r="F1419" s="121">
        <f>Tabla5109[[#This Row],[Original Amount]]*Tabla5109[[#This Row],[ER to EUR]]</f>
        <v>0</v>
      </c>
      <c r="G1419" s="91" t="s">
        <v>4144</v>
      </c>
      <c r="H1419" s="91" t="s">
        <v>4253</v>
      </c>
      <c r="I1419" s="9" t="s">
        <v>2713</v>
      </c>
      <c r="J1419" s="9" t="s">
        <v>2701</v>
      </c>
      <c r="K1419" s="205" t="s">
        <v>2702</v>
      </c>
      <c r="L1419" s="211" t="s">
        <v>4138</v>
      </c>
      <c r="M1419" s="32" t="s">
        <v>125</v>
      </c>
      <c r="N1419" s="122" t="s">
        <v>2704</v>
      </c>
      <c r="O1419" s="129" t="s">
        <v>2704</v>
      </c>
      <c r="P1419" s="123" t="str">
        <f>"C"&amp;INT((MONTH(A1419)-1)/4)+1&amp;"-"&amp;YEAR(A1419)</f>
        <v>C1-2026</v>
      </c>
      <c r="Q1419" s="123" t="str">
        <f>"T"&amp;INT((MONTH(A1419)-1)/3)+1&amp;"-"&amp;YEAR(A1419)</f>
        <v>T2-2026</v>
      </c>
      <c r="R1419" s="91" t="s">
        <v>4205</v>
      </c>
      <c r="S1419" s="124" t="s">
        <v>4206</v>
      </c>
      <c r="T1419" s="123" t="s">
        <v>2724</v>
      </c>
      <c r="U1419" s="162" t="s">
        <v>2708</v>
      </c>
      <c r="V1419" s="575" t="s">
        <v>55</v>
      </c>
      <c r="W1419" s="237" t="s">
        <v>125</v>
      </c>
      <c r="X1419" s="201" t="s">
        <v>2709</v>
      </c>
    </row>
    <row r="1420" spans="1:24" ht="15" customHeight="1">
      <c r="A1420" s="548">
        <v>46117</v>
      </c>
      <c r="B1420" s="570"/>
      <c r="C1420" s="232" t="s">
        <v>2548</v>
      </c>
      <c r="D1420" s="136">
        <v>-87</v>
      </c>
      <c r="E1420" s="32"/>
      <c r="F1420" s="121">
        <f>Tabla5109[[#This Row],[Original Amount]]*Tabla5109[[#This Row],[ER to EUR]]</f>
        <v>0</v>
      </c>
      <c r="G1420" s="91" t="s">
        <v>4136</v>
      </c>
      <c r="H1420" s="91" t="s">
        <v>4251</v>
      </c>
      <c r="I1420" s="9" t="s">
        <v>2713</v>
      </c>
      <c r="J1420" s="9" t="s">
        <v>2701</v>
      </c>
      <c r="K1420" s="205" t="s">
        <v>2702</v>
      </c>
      <c r="L1420" s="211" t="s">
        <v>4138</v>
      </c>
      <c r="M1420" s="32" t="s">
        <v>125</v>
      </c>
      <c r="N1420" s="122" t="s">
        <v>2704</v>
      </c>
      <c r="O1420" s="129" t="s">
        <v>2704</v>
      </c>
      <c r="P1420" s="123" t="str">
        <f>"C"&amp;INT((MONTH(A1420)-1)/4)+1&amp;"-"&amp;YEAR(A1420)</f>
        <v>C1-2026</v>
      </c>
      <c r="Q1420" s="123" t="str">
        <f>"T"&amp;INT((MONTH(A1420)-1)/3)+1&amp;"-"&amp;YEAR(A1420)</f>
        <v>T2-2026</v>
      </c>
      <c r="R1420" s="91" t="s">
        <v>2705</v>
      </c>
      <c r="S1420" s="124" t="s">
        <v>4206</v>
      </c>
      <c r="T1420" s="123" t="s">
        <v>2724</v>
      </c>
      <c r="U1420" s="162" t="s">
        <v>2708</v>
      </c>
      <c r="V1420" s="575" t="s">
        <v>55</v>
      </c>
      <c r="W1420" s="237" t="s">
        <v>125</v>
      </c>
      <c r="X1420" s="201" t="s">
        <v>2709</v>
      </c>
    </row>
    <row r="1421" spans="1:24">
      <c r="A1421" s="548">
        <v>46118</v>
      </c>
      <c r="B1421" s="570"/>
      <c r="C1421" s="232" t="s">
        <v>2548</v>
      </c>
      <c r="D1421" s="136">
        <v>-349</v>
      </c>
      <c r="E1421" s="32"/>
      <c r="F1421" s="121">
        <f>Tabla5109[[#This Row],[Original Amount]]*Tabla5109[[#This Row],[ER to EUR]]</f>
        <v>0</v>
      </c>
      <c r="G1421" s="91" t="s">
        <v>3864</v>
      </c>
      <c r="H1421" s="91" t="s">
        <v>4254</v>
      </c>
      <c r="I1421" s="9" t="s">
        <v>2755</v>
      </c>
      <c r="J1421" s="9" t="s">
        <v>2701</v>
      </c>
      <c r="K1421" s="205" t="s">
        <v>2702</v>
      </c>
      <c r="L1421" s="9" t="s">
        <v>2703</v>
      </c>
      <c r="M1421" s="32" t="s">
        <v>125</v>
      </c>
      <c r="N1421" s="129" t="s">
        <v>2704</v>
      </c>
      <c r="O1421" s="129" t="s">
        <v>2704</v>
      </c>
      <c r="P1421" s="123" t="str">
        <f>"C"&amp;INT((MONTH(A1421)-1)/4)+1&amp;"-"&amp;YEAR(A1421)</f>
        <v>C1-2026</v>
      </c>
      <c r="Q1421" s="123" t="str">
        <f>"T"&amp;INT((MONTH(A1421)-1)/3)+1&amp;"-"&amp;YEAR(A1421)</f>
        <v>T2-2026</v>
      </c>
      <c r="R1421" s="124" t="s">
        <v>2705</v>
      </c>
      <c r="S1421" s="124" t="s">
        <v>2706</v>
      </c>
      <c r="T1421" s="123" t="s">
        <v>2717</v>
      </c>
      <c r="U1421" s="162" t="s">
        <v>2708</v>
      </c>
      <c r="V1421" s="575" t="s">
        <v>56</v>
      </c>
      <c r="W1421" s="237" t="s">
        <v>125</v>
      </c>
      <c r="X1421" s="201" t="s">
        <v>2709</v>
      </c>
    </row>
    <row r="1422" spans="1:24" ht="15" customHeight="1">
      <c r="A1422" s="548">
        <v>46118</v>
      </c>
      <c r="B1422" s="570"/>
      <c r="C1422" s="232" t="s">
        <v>2697</v>
      </c>
      <c r="D1422" s="210">
        <v>-145.6</v>
      </c>
      <c r="E1422" s="32"/>
      <c r="F1422" s="121">
        <f>Tabla5109[[#This Row],[Original Amount]]*Tabla5109[[#This Row],[ER to EUR]]</f>
        <v>0</v>
      </c>
      <c r="G1422" s="91" t="s">
        <v>2839</v>
      </c>
      <c r="H1422" s="91" t="s">
        <v>2840</v>
      </c>
      <c r="I1422" s="9" t="s">
        <v>2784</v>
      </c>
      <c r="J1422" s="9" t="s">
        <v>2701</v>
      </c>
      <c r="K1422" s="205" t="s">
        <v>2702</v>
      </c>
      <c r="L1422" s="9" t="s">
        <v>2703</v>
      </c>
      <c r="M1422" s="32" t="s">
        <v>125</v>
      </c>
      <c r="N1422" s="129" t="s">
        <v>2704</v>
      </c>
      <c r="O1422" s="129" t="s">
        <v>2704</v>
      </c>
      <c r="P1422" s="123" t="str">
        <f>"C"&amp;INT((MONTH(A1422)-1)/4)+1&amp;"-"&amp;YEAR(A1422)</f>
        <v>C1-2026</v>
      </c>
      <c r="Q1422" s="123" t="str">
        <f>"T"&amp;INT((MONTH(A1422)-1)/3)+1&amp;"-"&amp;YEAR(A1422)</f>
        <v>T2-2026</v>
      </c>
      <c r="R1422" s="124" t="s">
        <v>2705</v>
      </c>
      <c r="S1422" s="124" t="s">
        <v>2706</v>
      </c>
      <c r="T1422" s="123" t="s">
        <v>2707</v>
      </c>
      <c r="U1422" s="162" t="s">
        <v>2708</v>
      </c>
      <c r="V1422" s="575" t="s">
        <v>56</v>
      </c>
      <c r="W1422" s="237" t="s">
        <v>125</v>
      </c>
      <c r="X1422" s="201" t="s">
        <v>2709</v>
      </c>
    </row>
    <row r="1423" spans="1:24" ht="15" customHeight="1">
      <c r="A1423" s="548">
        <v>46118</v>
      </c>
      <c r="B1423" s="570"/>
      <c r="C1423" s="232" t="s">
        <v>2697</v>
      </c>
      <c r="D1423" s="210">
        <v>-89</v>
      </c>
      <c r="E1423" s="32"/>
      <c r="F1423" s="121">
        <f>Tabla5109[[#This Row],[Original Amount]]*Tabla5109[[#This Row],[ER to EUR]]</f>
        <v>0</v>
      </c>
      <c r="G1423" s="91" t="s">
        <v>3269</v>
      </c>
      <c r="H1423" s="91" t="s">
        <v>3270</v>
      </c>
      <c r="I1423" s="9" t="s">
        <v>2755</v>
      </c>
      <c r="J1423" s="9" t="s">
        <v>2701</v>
      </c>
      <c r="K1423" s="205" t="s">
        <v>2702</v>
      </c>
      <c r="L1423" s="9" t="s">
        <v>2703</v>
      </c>
      <c r="M1423" s="32" t="s">
        <v>125</v>
      </c>
      <c r="N1423" s="129" t="s">
        <v>2704</v>
      </c>
      <c r="O1423" s="129" t="s">
        <v>2704</v>
      </c>
      <c r="P1423" s="123" t="str">
        <f>"C"&amp;INT((MONTH(A1423)-1)/4)+1&amp;"-"&amp;YEAR(A1423)</f>
        <v>C1-2026</v>
      </c>
      <c r="Q1423" s="123" t="str">
        <f>"T"&amp;INT((MONTH(A1423)-1)/3)+1&amp;"-"&amp;YEAR(A1423)</f>
        <v>T2-2026</v>
      </c>
      <c r="R1423" s="124" t="s">
        <v>2741</v>
      </c>
      <c r="S1423" s="124" t="s">
        <v>2723</v>
      </c>
      <c r="T1423" s="123" t="s">
        <v>2724</v>
      </c>
      <c r="U1423" s="162" t="s">
        <v>2708</v>
      </c>
      <c r="V1423" s="575" t="s">
        <v>54</v>
      </c>
      <c r="W1423" s="237" t="s">
        <v>125</v>
      </c>
      <c r="X1423" s="201" t="s">
        <v>2709</v>
      </c>
    </row>
    <row r="1424" spans="1:24" ht="15" customHeight="1">
      <c r="A1424" s="548">
        <v>46118</v>
      </c>
      <c r="B1424" s="570"/>
      <c r="C1424" s="232" t="s">
        <v>2697</v>
      </c>
      <c r="D1424" s="210">
        <v>-82.64</v>
      </c>
      <c r="E1424" s="32"/>
      <c r="F1424" s="121">
        <f>Tabla5109[[#This Row],[Original Amount]]*Tabla5109[[#This Row],[ER to EUR]]</f>
        <v>0</v>
      </c>
      <c r="G1424" s="91" t="s">
        <v>2718</v>
      </c>
      <c r="H1424" s="91" t="s">
        <v>3924</v>
      </c>
      <c r="I1424" s="9" t="s">
        <v>2755</v>
      </c>
      <c r="J1424" s="9" t="s">
        <v>2714</v>
      </c>
      <c r="K1424" s="205" t="s">
        <v>2721</v>
      </c>
      <c r="L1424" s="9" t="s">
        <v>2716</v>
      </c>
      <c r="M1424" s="32" t="s">
        <v>125</v>
      </c>
      <c r="N1424" s="129" t="s">
        <v>2748</v>
      </c>
      <c r="O1424" s="129" t="s">
        <v>2748</v>
      </c>
      <c r="P1424" s="123" t="str">
        <f>"C"&amp;INT((MONTH(A1424)-1)/4)+1&amp;"-"&amp;YEAR(A1424)</f>
        <v>C1-2026</v>
      </c>
      <c r="Q1424" s="123" t="str">
        <f>"T"&amp;INT((MONTH(A1424)-1)/3)+1&amp;"-"&amp;YEAR(A1424)</f>
        <v>T2-2026</v>
      </c>
      <c r="R1424" s="124" t="s">
        <v>2722</v>
      </c>
      <c r="S1424" s="124" t="s">
        <v>2723</v>
      </c>
      <c r="T1424" s="123" t="s">
        <v>2724</v>
      </c>
      <c r="U1424" s="162" t="s">
        <v>2708</v>
      </c>
      <c r="V1424" s="575" t="s">
        <v>54</v>
      </c>
      <c r="W1424" s="237" t="s">
        <v>125</v>
      </c>
      <c r="X1424" s="201" t="s">
        <v>2709</v>
      </c>
    </row>
    <row r="1425" spans="1:24">
      <c r="A1425" s="548">
        <v>46119</v>
      </c>
      <c r="B1425" s="570"/>
      <c r="C1425" s="232" t="s">
        <v>2697</v>
      </c>
      <c r="D1425" s="210">
        <v>-319.95</v>
      </c>
      <c r="E1425" s="32"/>
      <c r="F1425" s="121">
        <f>Tabla5109[[#This Row],[Original Amount]]*Tabla5109[[#This Row],[ER to EUR]]</f>
        <v>0</v>
      </c>
      <c r="G1425" s="91" t="s">
        <v>3873</v>
      </c>
      <c r="H1425" s="91" t="s">
        <v>4494</v>
      </c>
      <c r="I1425" s="9" t="s">
        <v>2755</v>
      </c>
      <c r="J1425" s="9" t="s">
        <v>2701</v>
      </c>
      <c r="K1425" s="205" t="s">
        <v>2702</v>
      </c>
      <c r="L1425" s="9" t="s">
        <v>2740</v>
      </c>
      <c r="M1425" s="32" t="s">
        <v>125</v>
      </c>
      <c r="N1425" s="129" t="s">
        <v>2704</v>
      </c>
      <c r="O1425" s="129" t="s">
        <v>2704</v>
      </c>
      <c r="P1425" s="123" t="str">
        <f>"C"&amp;INT((MONTH(A1425)-1)/4)+1&amp;"-"&amp;YEAR(A1425)</f>
        <v>C1-2026</v>
      </c>
      <c r="Q1425" s="123" t="str">
        <f>"T"&amp;INT((MONTH(A1425)-1)/3)+1&amp;"-"&amp;YEAR(A1425)</f>
        <v>T2-2026</v>
      </c>
      <c r="R1425" s="124" t="s">
        <v>2705</v>
      </c>
      <c r="S1425" s="124" t="s">
        <v>2706</v>
      </c>
      <c r="T1425" s="123" t="s">
        <v>2724</v>
      </c>
      <c r="U1425" s="162" t="s">
        <v>2708</v>
      </c>
      <c r="V1425" s="575" t="s">
        <v>56</v>
      </c>
      <c r="W1425" s="237" t="s">
        <v>125</v>
      </c>
      <c r="X1425" s="201" t="s">
        <v>2709</v>
      </c>
    </row>
    <row r="1426" spans="1:24">
      <c r="A1426" s="548">
        <v>46119</v>
      </c>
      <c r="B1426" s="570"/>
      <c r="C1426" s="232" t="s">
        <v>2543</v>
      </c>
      <c r="D1426" s="152">
        <v>-1747750</v>
      </c>
      <c r="E1426" s="32"/>
      <c r="F1426" s="121">
        <f>Tabla5109[[#This Row],[Original Amount]]*Tabla5109[[#This Row],[ER to EUR]]</f>
        <v>0</v>
      </c>
      <c r="G1426" s="91" t="s">
        <v>3566</v>
      </c>
      <c r="H1426" s="91" t="s">
        <v>4255</v>
      </c>
      <c r="I1426" s="9" t="s">
        <v>2713</v>
      </c>
      <c r="J1426" s="9" t="s">
        <v>2714</v>
      </c>
      <c r="K1426" s="205" t="s">
        <v>2747</v>
      </c>
      <c r="L1426" s="9" t="s">
        <v>2864</v>
      </c>
      <c r="M1426" s="226" t="s">
        <v>2748</v>
      </c>
      <c r="N1426" s="129" t="s">
        <v>2704</v>
      </c>
      <c r="O1426" s="129" t="s">
        <v>2704</v>
      </c>
      <c r="P1426" s="123" t="str">
        <f>"C"&amp;INT((MONTH(A1426)-1)/4)+1&amp;"-"&amp;YEAR(A1426)</f>
        <v>C1-2026</v>
      </c>
      <c r="Q1426" s="123" t="str">
        <f>"T"&amp;INT((MONTH(A1426)-1)/3)+1&amp;"-"&amp;YEAR(A1426)</f>
        <v>T2-2026</v>
      </c>
      <c r="R1426" s="124" t="s">
        <v>2705</v>
      </c>
      <c r="S1426" s="124" t="s">
        <v>2706</v>
      </c>
      <c r="T1426" s="123" t="s">
        <v>2707</v>
      </c>
      <c r="U1426" s="162" t="s">
        <v>51</v>
      </c>
      <c r="V1426" s="575" t="s">
        <v>57</v>
      </c>
      <c r="W1426" s="237" t="s">
        <v>125</v>
      </c>
      <c r="X1426" s="201" t="s">
        <v>2709</v>
      </c>
    </row>
    <row r="1427" spans="1:24" ht="15" customHeight="1">
      <c r="A1427" s="548">
        <v>46120</v>
      </c>
      <c r="B1427" s="133"/>
      <c r="C1427" s="32" t="s">
        <v>2697</v>
      </c>
      <c r="D1427" s="210">
        <v>-49.99</v>
      </c>
      <c r="E1427" s="120"/>
      <c r="F1427" s="121">
        <f>Tabla5109[[#This Row],[Original Amount]]*Tabla5109[[#This Row],[ER to EUR]]</f>
        <v>0</v>
      </c>
      <c r="G1427" s="9" t="s">
        <v>2830</v>
      </c>
      <c r="H1427" s="9" t="s">
        <v>4160</v>
      </c>
      <c r="I1427" s="91" t="s">
        <v>2784</v>
      </c>
      <c r="J1427" s="9" t="s">
        <v>2817</v>
      </c>
      <c r="K1427" s="205" t="s">
        <v>2702</v>
      </c>
      <c r="L1427" s="9" t="s">
        <v>2818</v>
      </c>
      <c r="M1427" s="32" t="s">
        <v>125</v>
      </c>
      <c r="N1427" s="122" t="s">
        <v>2704</v>
      </c>
      <c r="O1427" s="129" t="s">
        <v>2704</v>
      </c>
      <c r="P1427" s="123" t="str">
        <f>"C"&amp;INT((MONTH(A1427)-1)/4)+1&amp;"-"&amp;YEAR(A1427)</f>
        <v>C1-2026</v>
      </c>
      <c r="Q1427" s="123" t="str">
        <f>"T"&amp;INT((MONTH(A1427)-1)/3)+1&amp;"-"&amp;YEAR(A1427)</f>
        <v>T2-2026</v>
      </c>
      <c r="R1427" s="124" t="s">
        <v>2722</v>
      </c>
      <c r="S1427" s="124" t="s">
        <v>2723</v>
      </c>
      <c r="T1427" s="123" t="s">
        <v>2724</v>
      </c>
      <c r="U1427" s="162" t="s">
        <v>2708</v>
      </c>
      <c r="V1427" s="575" t="s">
        <v>54</v>
      </c>
      <c r="W1427" s="237" t="s">
        <v>125</v>
      </c>
      <c r="X1427" s="201" t="s">
        <v>2709</v>
      </c>
    </row>
    <row r="1428" spans="1:24">
      <c r="A1428" s="548">
        <v>46120</v>
      </c>
      <c r="B1428" s="133"/>
      <c r="C1428" s="32" t="s">
        <v>2697</v>
      </c>
      <c r="D1428" s="210">
        <v>-213.01</v>
      </c>
      <c r="E1428" s="120"/>
      <c r="F1428" s="121">
        <f>Tabla5109[[#This Row],[Original Amount]]*Tabla5109[[#This Row],[ER to EUR]]</f>
        <v>0</v>
      </c>
      <c r="G1428" s="9" t="s">
        <v>4067</v>
      </c>
      <c r="H1428" s="9" t="s">
        <v>4611</v>
      </c>
      <c r="I1428" s="9" t="s">
        <v>2784</v>
      </c>
      <c r="J1428" s="9" t="s">
        <v>2701</v>
      </c>
      <c r="K1428" s="205" t="s">
        <v>2702</v>
      </c>
      <c r="L1428" s="211" t="s">
        <v>3494</v>
      </c>
      <c r="M1428" s="32" t="s">
        <v>125</v>
      </c>
      <c r="N1428" s="122" t="s">
        <v>2704</v>
      </c>
      <c r="O1428" s="129" t="s">
        <v>2704</v>
      </c>
      <c r="P1428" s="123" t="str">
        <f>"C"&amp;INT((MONTH(A1428)-1)/4)+1&amp;"-"&amp;YEAR(A1428)</f>
        <v>C1-2026</v>
      </c>
      <c r="Q1428" s="123" t="str">
        <f>"T"&amp;INT((MONTH(A1428)-1)/3)+1&amp;"-"&amp;YEAR(A1428)</f>
        <v>T2-2026</v>
      </c>
      <c r="R1428" s="91" t="s">
        <v>2749</v>
      </c>
      <c r="S1428" s="124" t="s">
        <v>2750</v>
      </c>
      <c r="T1428" s="123" t="s">
        <v>2717</v>
      </c>
      <c r="U1428" s="162" t="s">
        <v>2708</v>
      </c>
      <c r="V1428" s="575" t="s">
        <v>56</v>
      </c>
      <c r="W1428" s="237" t="s">
        <v>125</v>
      </c>
      <c r="X1428" s="201" t="s">
        <v>2709</v>
      </c>
    </row>
    <row r="1429" spans="1:24" ht="15" customHeight="1">
      <c r="A1429" s="548">
        <v>46120</v>
      </c>
      <c r="B1429" s="133"/>
      <c r="C1429" s="32" t="s">
        <v>2697</v>
      </c>
      <c r="D1429" s="210">
        <v>-236.81</v>
      </c>
      <c r="E1429" s="120"/>
      <c r="F1429" s="121">
        <f>Tabla5109[[#This Row],[Original Amount]]*Tabla5109[[#This Row],[ER to EUR]]</f>
        <v>0</v>
      </c>
      <c r="G1429" s="9" t="s">
        <v>3884</v>
      </c>
      <c r="H1429" s="9" t="s">
        <v>3885</v>
      </c>
      <c r="I1429" s="9" t="s">
        <v>3692</v>
      </c>
      <c r="J1429" s="9" t="s">
        <v>2701</v>
      </c>
      <c r="K1429" s="205" t="s">
        <v>2702</v>
      </c>
      <c r="L1429" s="9" t="s">
        <v>2703</v>
      </c>
      <c r="M1429" s="32" t="s">
        <v>125</v>
      </c>
      <c r="N1429" s="129" t="s">
        <v>2704</v>
      </c>
      <c r="O1429" s="129" t="s">
        <v>2704</v>
      </c>
      <c r="P1429" s="123" t="str">
        <f>"C"&amp;INT((MONTH(A1429)-1)/4)+1&amp;"-"&amp;YEAR(A1429)</f>
        <v>C1-2026</v>
      </c>
      <c r="Q1429" s="123" t="str">
        <f>"T"&amp;INT((MONTH(A1429)-1)/3)+1&amp;"-"&amp;YEAR(A1429)</f>
        <v>T2-2026</v>
      </c>
      <c r="R1429" s="124" t="s">
        <v>2741</v>
      </c>
      <c r="S1429" s="124" t="s">
        <v>2723</v>
      </c>
      <c r="T1429" s="123" t="s">
        <v>2724</v>
      </c>
      <c r="U1429" s="162" t="s">
        <v>2708</v>
      </c>
      <c r="V1429" s="575" t="s">
        <v>54</v>
      </c>
      <c r="W1429" s="237" t="s">
        <v>125</v>
      </c>
      <c r="X1429" s="201" t="s">
        <v>2709</v>
      </c>
    </row>
    <row r="1430" spans="1:24">
      <c r="A1430" s="548">
        <v>46121</v>
      </c>
      <c r="B1430" s="131"/>
      <c r="C1430" s="32" t="s">
        <v>2697</v>
      </c>
      <c r="D1430" s="210">
        <v>-534.01</v>
      </c>
      <c r="E1430" s="120"/>
      <c r="F1430" s="121">
        <f>Tabla5109[[#This Row],[Original Amount]]*Tabla5109[[#This Row],[ER to EUR]]</f>
        <v>0</v>
      </c>
      <c r="G1430" s="9" t="s">
        <v>2839</v>
      </c>
      <c r="H1430" s="9" t="s">
        <v>2840</v>
      </c>
      <c r="I1430" s="9" t="s">
        <v>2784</v>
      </c>
      <c r="J1430" s="9" t="s">
        <v>2701</v>
      </c>
      <c r="K1430" s="205" t="s">
        <v>2702</v>
      </c>
      <c r="L1430" s="9" t="s">
        <v>2703</v>
      </c>
      <c r="M1430" s="32" t="s">
        <v>125</v>
      </c>
      <c r="N1430" s="129" t="s">
        <v>2704</v>
      </c>
      <c r="O1430" s="129" t="s">
        <v>2704</v>
      </c>
      <c r="P1430" s="123" t="str">
        <f>"C"&amp;INT((MONTH(A1430)-1)/4)+1&amp;"-"&amp;YEAR(A1430)</f>
        <v>C1-2026</v>
      </c>
      <c r="Q1430" s="123" t="str">
        <f>"T"&amp;INT((MONTH(A1430)-1)/3)+1&amp;"-"&amp;YEAR(A1430)</f>
        <v>T2-2026</v>
      </c>
      <c r="R1430" s="124" t="s">
        <v>2705</v>
      </c>
      <c r="S1430" s="124" t="s">
        <v>2706</v>
      </c>
      <c r="T1430" s="123" t="s">
        <v>2707</v>
      </c>
      <c r="U1430" s="162" t="s">
        <v>2708</v>
      </c>
      <c r="V1430" s="575" t="s">
        <v>57</v>
      </c>
      <c r="W1430" s="237" t="s">
        <v>125</v>
      </c>
      <c r="X1430" s="201" t="s">
        <v>2709</v>
      </c>
    </row>
    <row r="1431" spans="1:24">
      <c r="A1431" s="548">
        <v>46122</v>
      </c>
      <c r="B1431" s="570"/>
      <c r="C1431" s="122" t="s">
        <v>2548</v>
      </c>
      <c r="D1431" s="136">
        <v>-499</v>
      </c>
      <c r="E1431" s="32"/>
      <c r="F1431" s="121">
        <f>Tabla5109[[#This Row],[Original Amount]]*Tabla5109[[#This Row],[ER to EUR]]</f>
        <v>0</v>
      </c>
      <c r="G1431" s="9" t="s">
        <v>3193</v>
      </c>
      <c r="H1431" s="73" t="s">
        <v>3194</v>
      </c>
      <c r="I1431" s="9" t="s">
        <v>2739</v>
      </c>
      <c r="J1431" s="9" t="s">
        <v>2701</v>
      </c>
      <c r="K1431" s="205" t="s">
        <v>2702</v>
      </c>
      <c r="L1431" s="9" t="s">
        <v>2793</v>
      </c>
      <c r="M1431" s="32" t="s">
        <v>125</v>
      </c>
      <c r="N1431" s="129" t="s">
        <v>2704</v>
      </c>
      <c r="O1431" s="129" t="s">
        <v>2704</v>
      </c>
      <c r="P1431" s="123" t="str">
        <f>"C"&amp;INT((MONTH(A1431)-1)/4)+1&amp;"-"&amp;YEAR(A1431)</f>
        <v>C1-2026</v>
      </c>
      <c r="Q1431" s="123" t="str">
        <f>"T"&amp;INT((MONTH(A1431)-1)/3)+1&amp;"-"&amp;YEAR(A1431)</f>
        <v>T2-2026</v>
      </c>
      <c r="R1431" s="124" t="s">
        <v>2722</v>
      </c>
      <c r="S1431" s="124" t="s">
        <v>2723</v>
      </c>
      <c r="T1431" s="123" t="s">
        <v>2724</v>
      </c>
      <c r="U1431" s="162" t="s">
        <v>2708</v>
      </c>
      <c r="V1431" s="575" t="s">
        <v>54</v>
      </c>
      <c r="W1431" s="237" t="s">
        <v>125</v>
      </c>
      <c r="X1431" s="201" t="s">
        <v>2709</v>
      </c>
    </row>
    <row r="1432" spans="1:24">
      <c r="A1432" s="548">
        <v>46122</v>
      </c>
      <c r="B1432" s="133"/>
      <c r="C1432" s="32" t="s">
        <v>2697</v>
      </c>
      <c r="D1432" s="210">
        <v>-833.24</v>
      </c>
      <c r="E1432" s="120"/>
      <c r="F1432" s="121">
        <f>Tabla5109[[#This Row],[Original Amount]]*Tabla5109[[#This Row],[ER to EUR]]</f>
        <v>0</v>
      </c>
      <c r="G1432" s="9" t="s">
        <v>2839</v>
      </c>
      <c r="H1432" s="9" t="s">
        <v>2840</v>
      </c>
      <c r="I1432" s="9" t="s">
        <v>2784</v>
      </c>
      <c r="J1432" s="9" t="s">
        <v>2701</v>
      </c>
      <c r="K1432" s="205" t="s">
        <v>2702</v>
      </c>
      <c r="L1432" s="9" t="s">
        <v>2703</v>
      </c>
      <c r="M1432" s="32" t="s">
        <v>125</v>
      </c>
      <c r="N1432" s="129" t="s">
        <v>2704</v>
      </c>
      <c r="O1432" s="129" t="s">
        <v>2704</v>
      </c>
      <c r="P1432" s="123" t="str">
        <f>"C"&amp;INT((MONTH(A1432)-1)/4)+1&amp;"-"&amp;YEAR(A1432)</f>
        <v>C1-2026</v>
      </c>
      <c r="Q1432" s="123" t="str">
        <f>"T"&amp;INT((MONTH(A1432)-1)/3)+1&amp;"-"&amp;YEAR(A1432)</f>
        <v>T2-2026</v>
      </c>
      <c r="R1432" s="124" t="s">
        <v>2705</v>
      </c>
      <c r="S1432" s="124" t="s">
        <v>2706</v>
      </c>
      <c r="T1432" s="123" t="s">
        <v>2707</v>
      </c>
      <c r="U1432" s="162" t="s">
        <v>2708</v>
      </c>
      <c r="V1432" s="575" t="s">
        <v>57</v>
      </c>
      <c r="W1432" s="237" t="s">
        <v>125</v>
      </c>
      <c r="X1432" s="201" t="s">
        <v>2709</v>
      </c>
    </row>
    <row r="1433" spans="1:24">
      <c r="A1433" s="548">
        <v>46123</v>
      </c>
      <c r="B1433" s="506" t="s">
        <v>3999</v>
      </c>
      <c r="C1433" s="32" t="s">
        <v>2697</v>
      </c>
      <c r="D1433" s="210">
        <v>-2605</v>
      </c>
      <c r="E1433" s="154"/>
      <c r="F1433" s="121">
        <f>Tabla5109[[#This Row],[Original Amount]]*Tabla5109[[#This Row],[ER to EUR]]</f>
        <v>0</v>
      </c>
      <c r="G1433" s="9" t="s">
        <v>3237</v>
      </c>
      <c r="H1433" s="9" t="s">
        <v>4694</v>
      </c>
      <c r="I1433" s="9" t="s">
        <v>2713</v>
      </c>
      <c r="J1433" s="9" t="s">
        <v>2770</v>
      </c>
      <c r="K1433" s="205" t="s">
        <v>2803</v>
      </c>
      <c r="L1433" s="9" t="s">
        <v>57</v>
      </c>
      <c r="M1433" s="32" t="s">
        <v>125</v>
      </c>
      <c r="N1433" s="122" t="s">
        <v>2704</v>
      </c>
      <c r="O1433" s="122" t="s">
        <v>2704</v>
      </c>
      <c r="P1433" s="123" t="str">
        <f>"C"&amp;INT((MONTH(A1433)-1)/4)+1&amp;"-"&amp;YEAR(A1433)</f>
        <v>C1-2026</v>
      </c>
      <c r="Q1433" s="124" t="str">
        <f>"T"&amp;INT((MONTH(A1433)-1)/3)+1&amp;"-"&amp;YEAR(A1433)</f>
        <v>T2-2026</v>
      </c>
      <c r="R1433" s="124" t="s">
        <v>2749</v>
      </c>
      <c r="S1433" s="124" t="s">
        <v>2750</v>
      </c>
      <c r="T1433" s="124" t="s">
        <v>2717</v>
      </c>
      <c r="U1433" s="162" t="s">
        <v>2708</v>
      </c>
      <c r="V1433" s="575" t="s">
        <v>56</v>
      </c>
      <c r="W1433" s="237" t="s">
        <v>125</v>
      </c>
      <c r="X1433" s="173" t="s">
        <v>2709</v>
      </c>
    </row>
    <row r="1434" spans="1:24">
      <c r="A1434" s="548">
        <v>46123</v>
      </c>
      <c r="B1434" s="133"/>
      <c r="C1434" s="32" t="s">
        <v>2697</v>
      </c>
      <c r="D1434" s="210">
        <v>-93.59</v>
      </c>
      <c r="E1434" s="120"/>
      <c r="F1434" s="121">
        <f>Tabla5109[[#This Row],[Original Amount]]*Tabla5109[[#This Row],[ER to EUR]]</f>
        <v>0</v>
      </c>
      <c r="G1434" s="9" t="s">
        <v>4070</v>
      </c>
      <c r="H1434" s="9" t="s">
        <v>4599</v>
      </c>
      <c r="I1434" s="9" t="s">
        <v>4072</v>
      </c>
      <c r="J1434" s="9" t="s">
        <v>2701</v>
      </c>
      <c r="K1434" s="205" t="s">
        <v>2702</v>
      </c>
      <c r="L1434" s="9" t="s">
        <v>2788</v>
      </c>
      <c r="M1434" s="32" t="s">
        <v>125</v>
      </c>
      <c r="N1434" s="129" t="s">
        <v>2704</v>
      </c>
      <c r="O1434" s="129" t="s">
        <v>2704</v>
      </c>
      <c r="P1434" s="123" t="str">
        <f>"C"&amp;INT((MONTH(A1434)-1)/4)+1&amp;"-"&amp;YEAR(A1434)</f>
        <v>C1-2026</v>
      </c>
      <c r="Q1434" s="123" t="str">
        <f>"T"&amp;INT((MONTH(A1434)-1)/3)+1&amp;"-"&amp;YEAR(A1434)</f>
        <v>T2-2026</v>
      </c>
      <c r="R1434" s="124" t="s">
        <v>2819</v>
      </c>
      <c r="S1434" s="124" t="s">
        <v>2817</v>
      </c>
      <c r="T1434" s="123" t="s">
        <v>2717</v>
      </c>
      <c r="U1434" s="162" t="s">
        <v>2708</v>
      </c>
      <c r="V1434" s="575" t="s">
        <v>56</v>
      </c>
      <c r="W1434" s="237" t="s">
        <v>125</v>
      </c>
      <c r="X1434" s="201" t="s">
        <v>2709</v>
      </c>
    </row>
    <row r="1435" spans="1:24">
      <c r="A1435" s="548">
        <v>46123</v>
      </c>
      <c r="B1435" s="133"/>
      <c r="C1435" s="32" t="s">
        <v>2697</v>
      </c>
      <c r="D1435" s="210">
        <v>-15.99</v>
      </c>
      <c r="E1435" s="120"/>
      <c r="F1435" s="121">
        <f>Tabla5109[[#This Row],[Original Amount]]*Tabla5109[[#This Row],[ER to EUR]]</f>
        <v>0</v>
      </c>
      <c r="G1435" s="9" t="s">
        <v>2956</v>
      </c>
      <c r="H1435" s="9" t="s">
        <v>4586</v>
      </c>
      <c r="I1435" s="9" t="s">
        <v>2739</v>
      </c>
      <c r="J1435" s="9" t="s">
        <v>2701</v>
      </c>
      <c r="K1435" s="205" t="s">
        <v>2702</v>
      </c>
      <c r="L1435" s="9" t="s">
        <v>2740</v>
      </c>
      <c r="M1435" s="32" t="s">
        <v>125</v>
      </c>
      <c r="N1435" s="122" t="s">
        <v>2748</v>
      </c>
      <c r="O1435" s="129" t="s">
        <v>2748</v>
      </c>
      <c r="P1435" s="123" t="str">
        <f>"C"&amp;INT((MONTH(A1435)-1)/4)+1&amp;"-"&amp;YEAR(A1435)</f>
        <v>C1-2026</v>
      </c>
      <c r="Q1435" s="123" t="str">
        <f>"T"&amp;INT((MONTH(A1435)-1)/3)+1&amp;"-"&amp;YEAR(A1435)</f>
        <v>T2-2026</v>
      </c>
      <c r="R1435" s="124" t="s">
        <v>2705</v>
      </c>
      <c r="S1435" s="124" t="s">
        <v>2706</v>
      </c>
      <c r="T1435" s="123" t="s">
        <v>2724</v>
      </c>
      <c r="U1435" s="162" t="s">
        <v>2708</v>
      </c>
      <c r="V1435" s="575" t="s">
        <v>54</v>
      </c>
      <c r="W1435" s="237" t="s">
        <v>125</v>
      </c>
      <c r="X1435" s="201" t="s">
        <v>2709</v>
      </c>
    </row>
    <row r="1436" spans="1:24">
      <c r="A1436" s="548">
        <v>46125</v>
      </c>
      <c r="B1436" s="133"/>
      <c r="C1436" s="32" t="s">
        <v>2697</v>
      </c>
      <c r="D1436" s="210">
        <v>-51.24</v>
      </c>
      <c r="E1436" s="120"/>
      <c r="F1436" s="121">
        <f>Tabla5109[[#This Row],[Original Amount]]*Tabla5109[[#This Row],[ER to EUR]]</f>
        <v>0</v>
      </c>
      <c r="G1436" s="9" t="s">
        <v>2733</v>
      </c>
      <c r="H1436" s="9" t="s">
        <v>2734</v>
      </c>
      <c r="I1436" s="9" t="s">
        <v>2713</v>
      </c>
      <c r="J1436" s="9" t="s">
        <v>2701</v>
      </c>
      <c r="K1436" s="205" t="s">
        <v>2809</v>
      </c>
      <c r="L1436" s="9" t="s">
        <v>2810</v>
      </c>
      <c r="M1436" s="32" t="s">
        <v>125</v>
      </c>
      <c r="N1436" s="122" t="s">
        <v>2748</v>
      </c>
      <c r="O1436" s="129" t="s">
        <v>2704</v>
      </c>
      <c r="P1436" s="123" t="str">
        <f>"C"&amp;INT((MONTH(A1436)-1)/4)+1&amp;"-"&amp;YEAR(A1436)</f>
        <v>C1-2026</v>
      </c>
      <c r="Q1436" s="123" t="str">
        <f>"T"&amp;INT((MONTH(A1436)-1)/3)+1&amp;"-"&amp;YEAR(A1436)</f>
        <v>T2-2026</v>
      </c>
      <c r="R1436" s="124" t="s">
        <v>2705</v>
      </c>
      <c r="S1436" s="124" t="s">
        <v>2735</v>
      </c>
      <c r="T1436" s="123" t="s">
        <v>2707</v>
      </c>
      <c r="U1436" s="203" t="s">
        <v>2708</v>
      </c>
      <c r="V1436" s="573" t="s">
        <v>56</v>
      </c>
      <c r="W1436" s="237" t="s">
        <v>125</v>
      </c>
      <c r="X1436" s="201" t="s">
        <v>2709</v>
      </c>
    </row>
    <row r="1437" spans="1:24">
      <c r="A1437" s="548">
        <v>46126</v>
      </c>
      <c r="B1437" s="133"/>
      <c r="C1437" s="32" t="s">
        <v>2697</v>
      </c>
      <c r="D1437" s="210">
        <v>-65.540000000000006</v>
      </c>
      <c r="E1437" s="120"/>
      <c r="F1437" s="121">
        <f>Tabla5109[[#This Row],[Original Amount]]*Tabla5109[[#This Row],[ER to EUR]]</f>
        <v>0</v>
      </c>
      <c r="G1437" s="9" t="s">
        <v>2830</v>
      </c>
      <c r="H1437" s="9" t="s">
        <v>4610</v>
      </c>
      <c r="I1437" s="91" t="s">
        <v>2784</v>
      </c>
      <c r="J1437" s="9" t="s">
        <v>2817</v>
      </c>
      <c r="K1437" s="205" t="s">
        <v>2702</v>
      </c>
      <c r="L1437" s="9" t="s">
        <v>2818</v>
      </c>
      <c r="M1437" s="32" t="s">
        <v>125</v>
      </c>
      <c r="N1437" s="122" t="s">
        <v>2704</v>
      </c>
      <c r="O1437" s="129" t="s">
        <v>2704</v>
      </c>
      <c r="P1437" s="123" t="str">
        <f>"C"&amp;INT((MONTH(A1437)-1)/4)+1&amp;"-"&amp;YEAR(A1437)</f>
        <v>C1-2026</v>
      </c>
      <c r="Q1437" s="123" t="str">
        <f>"T"&amp;INT((MONTH(A1437)-1)/3)+1&amp;"-"&amp;YEAR(A1437)</f>
        <v>T2-2026</v>
      </c>
      <c r="R1437" s="124" t="s">
        <v>2722</v>
      </c>
      <c r="S1437" s="124" t="s">
        <v>2723</v>
      </c>
      <c r="T1437" s="123" t="s">
        <v>2724</v>
      </c>
      <c r="U1437" s="162" t="s">
        <v>2708</v>
      </c>
      <c r="V1437" s="575" t="s">
        <v>54</v>
      </c>
      <c r="W1437" s="237" t="s">
        <v>125</v>
      </c>
      <c r="X1437" s="201" t="s">
        <v>2709</v>
      </c>
    </row>
    <row r="1438" spans="1:24">
      <c r="A1438" s="548">
        <v>46127</v>
      </c>
      <c r="B1438" s="133"/>
      <c r="C1438" s="32" t="s">
        <v>2697</v>
      </c>
      <c r="D1438" s="210">
        <v>-105.2</v>
      </c>
      <c r="E1438" s="120"/>
      <c r="F1438" s="121">
        <f>Tabla5109[[#This Row],[Original Amount]]*Tabla5109[[#This Row],[ER to EUR]]</f>
        <v>0</v>
      </c>
      <c r="G1438" s="9" t="s">
        <v>4096</v>
      </c>
      <c r="H1438" s="9" t="s">
        <v>4593</v>
      </c>
      <c r="I1438" s="9" t="s">
        <v>2713</v>
      </c>
      <c r="J1438" s="9" t="s">
        <v>2701</v>
      </c>
      <c r="K1438" s="205" t="s">
        <v>2702</v>
      </c>
      <c r="L1438" s="9" t="s">
        <v>2760</v>
      </c>
      <c r="M1438" s="32" t="s">
        <v>125</v>
      </c>
      <c r="N1438" s="122" t="s">
        <v>2704</v>
      </c>
      <c r="O1438" s="129" t="s">
        <v>2704</v>
      </c>
      <c r="P1438" s="123" t="str">
        <f>"C"&amp;INT((MONTH(A1438)-1)/4)+1&amp;"-"&amp;YEAR(A1438)</f>
        <v>C1-2026</v>
      </c>
      <c r="Q1438" s="123" t="str">
        <f>"T"&amp;INT((MONTH(A1438)-1)/3)+1&amp;"-"&amp;YEAR(A1438)</f>
        <v>T2-2026</v>
      </c>
      <c r="R1438" s="124" t="s">
        <v>2705</v>
      </c>
      <c r="S1438" s="124" t="s">
        <v>2735</v>
      </c>
      <c r="T1438" s="123" t="s">
        <v>2717</v>
      </c>
      <c r="U1438" s="162" t="s">
        <v>2708</v>
      </c>
      <c r="V1438" s="575" t="s">
        <v>56</v>
      </c>
      <c r="W1438" s="237" t="s">
        <v>125</v>
      </c>
      <c r="X1438" s="201" t="s">
        <v>2709</v>
      </c>
    </row>
    <row r="1439" spans="1:24">
      <c r="A1439" s="548">
        <v>46127</v>
      </c>
      <c r="B1439" s="570"/>
      <c r="C1439" s="32" t="s">
        <v>2697</v>
      </c>
      <c r="D1439" s="210">
        <v>-5057.5</v>
      </c>
      <c r="E1439" s="120"/>
      <c r="F1439" s="121">
        <f>Tabla5109[[#This Row],[Original Amount]]*Tabla5109[[#This Row],[ER to EUR]]</f>
        <v>0</v>
      </c>
      <c r="G1439" s="9" t="s">
        <v>2790</v>
      </c>
      <c r="H1439" s="91" t="s">
        <v>2791</v>
      </c>
      <c r="I1439" s="9" t="s">
        <v>2727</v>
      </c>
      <c r="J1439" s="9" t="s">
        <v>2723</v>
      </c>
      <c r="K1439" s="205" t="s">
        <v>2792</v>
      </c>
      <c r="L1439" s="9" t="s">
        <v>2793</v>
      </c>
      <c r="M1439" s="32" t="s">
        <v>125</v>
      </c>
      <c r="N1439" s="129" t="s">
        <v>2748</v>
      </c>
      <c r="O1439" s="129" t="s">
        <v>2748</v>
      </c>
      <c r="P1439" s="123" t="str">
        <f>"C"&amp;INT((MONTH(A1439)-1)/4)+1&amp;"-"&amp;YEAR(A1439)</f>
        <v>C1-2026</v>
      </c>
      <c r="Q1439" s="123" t="str">
        <f>"T"&amp;INT((MONTH(A1439)-1)/3)+1&amp;"-"&amp;YEAR(A1439)</f>
        <v>T2-2026</v>
      </c>
      <c r="R1439" s="124" t="s">
        <v>2794</v>
      </c>
      <c r="S1439" s="124" t="s">
        <v>2731</v>
      </c>
      <c r="T1439" s="123" t="s">
        <v>2724</v>
      </c>
      <c r="U1439" s="162" t="s">
        <v>2708</v>
      </c>
      <c r="V1439" s="575" t="s">
        <v>57</v>
      </c>
      <c r="W1439" s="237" t="s">
        <v>125</v>
      </c>
      <c r="X1439" s="201" t="s">
        <v>2709</v>
      </c>
    </row>
    <row r="1440" spans="1:24">
      <c r="A1440" s="548">
        <v>46127</v>
      </c>
      <c r="B1440" s="570"/>
      <c r="C1440" s="32" t="s">
        <v>2697</v>
      </c>
      <c r="D1440" s="210">
        <v>-5355</v>
      </c>
      <c r="E1440" s="120"/>
      <c r="F1440" s="121">
        <f>Tabla5109[[#This Row],[Original Amount]]*Tabla5109[[#This Row],[ER to EUR]]</f>
        <v>0</v>
      </c>
      <c r="G1440" s="9" t="s">
        <v>2790</v>
      </c>
      <c r="H1440" s="91" t="s">
        <v>2791</v>
      </c>
      <c r="I1440" s="9" t="s">
        <v>2727</v>
      </c>
      <c r="J1440" s="9" t="s">
        <v>2723</v>
      </c>
      <c r="K1440" s="205" t="s">
        <v>2792</v>
      </c>
      <c r="L1440" s="9" t="s">
        <v>2793</v>
      </c>
      <c r="M1440" s="32" t="s">
        <v>125</v>
      </c>
      <c r="N1440" s="129" t="s">
        <v>2748</v>
      </c>
      <c r="O1440" s="129" t="s">
        <v>2748</v>
      </c>
      <c r="P1440" s="123" t="str">
        <f>"C"&amp;INT((MONTH(A1440)-1)/4)+1&amp;"-"&amp;YEAR(A1440)</f>
        <v>C1-2026</v>
      </c>
      <c r="Q1440" s="123" t="str">
        <f>"T"&amp;INT((MONTH(A1440)-1)/3)+1&amp;"-"&amp;YEAR(A1440)</f>
        <v>T2-2026</v>
      </c>
      <c r="R1440" s="124" t="s">
        <v>2794</v>
      </c>
      <c r="S1440" s="124" t="s">
        <v>2731</v>
      </c>
      <c r="T1440" s="123" t="s">
        <v>2724</v>
      </c>
      <c r="U1440" s="162" t="s">
        <v>2708</v>
      </c>
      <c r="V1440" s="575" t="s">
        <v>57</v>
      </c>
      <c r="W1440" s="237" t="s">
        <v>125</v>
      </c>
      <c r="X1440" s="201" t="s">
        <v>2709</v>
      </c>
    </row>
    <row r="1441" spans="1:24">
      <c r="A1441" s="548">
        <v>46127</v>
      </c>
      <c r="B1441" s="133"/>
      <c r="C1441" s="32" t="s">
        <v>2697</v>
      </c>
      <c r="D1441" s="210">
        <v>-186</v>
      </c>
      <c r="E1441" s="120"/>
      <c r="F1441" s="121">
        <f>Tabla5109[[#This Row],[Original Amount]]*Tabla5109[[#This Row],[ER to EUR]]</f>
        <v>0</v>
      </c>
      <c r="G1441" s="9" t="s">
        <v>3492</v>
      </c>
      <c r="H1441" s="9" t="s">
        <v>4183</v>
      </c>
      <c r="I1441" s="9" t="s">
        <v>2784</v>
      </c>
      <c r="J1441" s="9" t="s">
        <v>2701</v>
      </c>
      <c r="K1441" s="205" t="s">
        <v>2702</v>
      </c>
      <c r="L1441" s="9" t="s">
        <v>3494</v>
      </c>
      <c r="M1441" s="32" t="s">
        <v>125</v>
      </c>
      <c r="N1441" s="129" t="s">
        <v>2748</v>
      </c>
      <c r="O1441" s="129" t="s">
        <v>2748</v>
      </c>
      <c r="P1441" s="123" t="str">
        <f>"C"&amp;INT((MONTH(A1441)-1)/4)+1&amp;"-"&amp;YEAR(A1441)</f>
        <v>C1-2026</v>
      </c>
      <c r="Q1441" s="123" t="str">
        <f>"T"&amp;INT((MONTH(A1441)-1)/3)+1&amp;"-"&amp;YEAR(A1441)</f>
        <v>T2-2026</v>
      </c>
      <c r="R1441" s="124" t="s">
        <v>2705</v>
      </c>
      <c r="S1441" s="124" t="s">
        <v>2735</v>
      </c>
      <c r="T1441" s="123" t="s">
        <v>2707</v>
      </c>
      <c r="U1441" s="162" t="s">
        <v>2708</v>
      </c>
      <c r="V1441" s="575" t="s">
        <v>54</v>
      </c>
      <c r="W1441" s="237" t="s">
        <v>125</v>
      </c>
      <c r="X1441" s="201" t="s">
        <v>2709</v>
      </c>
    </row>
    <row r="1442" spans="1:24">
      <c r="A1442" s="548">
        <v>46127</v>
      </c>
      <c r="B1442" s="133"/>
      <c r="C1442" s="32" t="s">
        <v>2697</v>
      </c>
      <c r="D1442" s="210">
        <v>-144</v>
      </c>
      <c r="E1442" s="120"/>
      <c r="F1442" s="121">
        <f>Tabla5109[[#This Row],[Original Amount]]*Tabla5109[[#This Row],[ER to EUR]]</f>
        <v>0</v>
      </c>
      <c r="G1442" s="9" t="s">
        <v>4078</v>
      </c>
      <c r="H1442" s="9" t="s">
        <v>4185</v>
      </c>
      <c r="I1442" s="9" t="s">
        <v>2755</v>
      </c>
      <c r="J1442" s="9" t="s">
        <v>2701</v>
      </c>
      <c r="K1442" s="205" t="s">
        <v>2702</v>
      </c>
      <c r="L1442" s="211" t="s">
        <v>3693</v>
      </c>
      <c r="M1442" s="32" t="s">
        <v>125</v>
      </c>
      <c r="N1442" s="122" t="s">
        <v>2704</v>
      </c>
      <c r="O1442" s="129" t="s">
        <v>2704</v>
      </c>
      <c r="P1442" s="123" t="str">
        <f>"C"&amp;INT((MONTH(A1442)-1)/4)+1&amp;"-"&amp;YEAR(A1442)</f>
        <v>C1-2026</v>
      </c>
      <c r="Q1442" s="123" t="str">
        <f>"T"&amp;INT((MONTH(A1442)-1)/3)+1&amp;"-"&amp;YEAR(A1442)</f>
        <v>T2-2026</v>
      </c>
      <c r="R1442" s="91" t="s">
        <v>2705</v>
      </c>
      <c r="S1442" s="124" t="s">
        <v>2706</v>
      </c>
      <c r="T1442" s="123" t="s">
        <v>2717</v>
      </c>
      <c r="U1442" s="162" t="s">
        <v>2708</v>
      </c>
      <c r="V1442" s="575" t="s">
        <v>56</v>
      </c>
      <c r="W1442" s="237" t="s">
        <v>125</v>
      </c>
      <c r="X1442" s="201" t="s">
        <v>2709</v>
      </c>
    </row>
    <row r="1443" spans="1:24">
      <c r="A1443" s="548">
        <v>46128</v>
      </c>
      <c r="B1443" s="570"/>
      <c r="C1443" s="32" t="s">
        <v>2697</v>
      </c>
      <c r="D1443" s="210">
        <v>-239.68</v>
      </c>
      <c r="E1443" s="120"/>
      <c r="F1443" s="121">
        <f>Tabla5109[[#This Row],[Original Amount]]*Tabla5109[[#This Row],[ER to EUR]]</f>
        <v>0</v>
      </c>
      <c r="G1443" s="9" t="s">
        <v>2815</v>
      </c>
      <c r="H1443" s="91" t="s">
        <v>3103</v>
      </c>
      <c r="I1443" s="91" t="s">
        <v>2727</v>
      </c>
      <c r="J1443" s="91" t="s">
        <v>2817</v>
      </c>
      <c r="K1443" s="196" t="s">
        <v>2702</v>
      </c>
      <c r="L1443" s="91" t="s">
        <v>2818</v>
      </c>
      <c r="M1443" s="32" t="s">
        <v>125</v>
      </c>
      <c r="N1443" s="122" t="s">
        <v>2704</v>
      </c>
      <c r="O1443" s="129" t="s">
        <v>2704</v>
      </c>
      <c r="P1443" s="123" t="str">
        <f>"C"&amp;INT((MONTH(A1443)-1)/4)+1&amp;"-"&amp;YEAR(A1443)</f>
        <v>C1-2026</v>
      </c>
      <c r="Q1443" s="123" t="str">
        <f>"T"&amp;INT((MONTH(A1443)-1)/3)+1&amp;"-"&amp;YEAR(A1443)</f>
        <v>T2-2026</v>
      </c>
      <c r="R1443" s="124" t="s">
        <v>2819</v>
      </c>
      <c r="S1443" s="124" t="s">
        <v>2723</v>
      </c>
      <c r="T1443" s="123" t="s">
        <v>2724</v>
      </c>
      <c r="U1443" s="162" t="s">
        <v>2708</v>
      </c>
      <c r="V1443" s="575" t="s">
        <v>54</v>
      </c>
      <c r="W1443" s="237" t="s">
        <v>125</v>
      </c>
      <c r="X1443" s="201" t="s">
        <v>2709</v>
      </c>
    </row>
    <row r="1444" spans="1:24">
      <c r="A1444" s="548">
        <v>46128</v>
      </c>
      <c r="B1444" s="167"/>
      <c r="C1444" s="38" t="s">
        <v>2548</v>
      </c>
      <c r="D1444" s="136">
        <v>-250</v>
      </c>
      <c r="E1444" s="38"/>
      <c r="F1444" s="121">
        <f>Tabla5109[[#This Row],[Original Amount]]*Tabla5109[[#This Row],[ER to EUR]]</f>
        <v>0</v>
      </c>
      <c r="G1444" s="37" t="s">
        <v>4096</v>
      </c>
      <c r="H1444" s="37" t="s">
        <v>4278</v>
      </c>
      <c r="I1444" s="37" t="s">
        <v>2713</v>
      </c>
      <c r="J1444" s="37" t="s">
        <v>2701</v>
      </c>
      <c r="K1444" s="217" t="s">
        <v>2702</v>
      </c>
      <c r="L1444" s="37" t="s">
        <v>2760</v>
      </c>
      <c r="M1444" s="38" t="s">
        <v>125</v>
      </c>
      <c r="N1444" s="158" t="s">
        <v>2704</v>
      </c>
      <c r="O1444" s="156" t="s">
        <v>2704</v>
      </c>
      <c r="P1444" s="157" t="str">
        <f>"C"&amp;INT((MONTH(A1444)-1)/4)+1&amp;"-"&amp;YEAR(A1444)</f>
        <v>C1-2026</v>
      </c>
      <c r="Q1444" s="157" t="str">
        <f>"T"&amp;INT((MONTH(A1444)-1)/3)+1&amp;"-"&amp;YEAR(A1444)</f>
        <v>T2-2026</v>
      </c>
      <c r="R1444" s="160" t="s">
        <v>2705</v>
      </c>
      <c r="S1444" s="160" t="s">
        <v>2735</v>
      </c>
      <c r="T1444" s="157" t="s">
        <v>2717</v>
      </c>
      <c r="U1444" s="165" t="s">
        <v>2708</v>
      </c>
      <c r="V1444" s="574" t="s">
        <v>56</v>
      </c>
      <c r="W1444" s="262" t="s">
        <v>125</v>
      </c>
      <c r="X1444" s="182" t="s">
        <v>2709</v>
      </c>
    </row>
    <row r="1445" spans="1:24">
      <c r="A1445" s="548">
        <v>46128</v>
      </c>
      <c r="B1445" s="640"/>
      <c r="C1445" s="408" t="s">
        <v>2548</v>
      </c>
      <c r="D1445" s="136">
        <v>-32.4</v>
      </c>
      <c r="E1445" s="38"/>
      <c r="F1445" s="121">
        <f>Tabla5109[[#This Row],[Original Amount]]*Tabla5109[[#This Row],[ER to EUR]]</f>
        <v>0</v>
      </c>
      <c r="G1445" s="9" t="s">
        <v>2737</v>
      </c>
      <c r="H1445" s="37" t="s">
        <v>4597</v>
      </c>
      <c r="I1445" s="37" t="s">
        <v>2755</v>
      </c>
      <c r="J1445" s="9" t="s">
        <v>2701</v>
      </c>
      <c r="K1445" s="205" t="s">
        <v>2702</v>
      </c>
      <c r="L1445" s="9" t="s">
        <v>2740</v>
      </c>
      <c r="M1445" s="32" t="s">
        <v>125</v>
      </c>
      <c r="N1445" s="129" t="s">
        <v>2704</v>
      </c>
      <c r="O1445" s="129" t="s">
        <v>2704</v>
      </c>
      <c r="P1445" s="123" t="str">
        <f>"C"&amp;INT((MONTH(A1445)-1)/4)+1&amp;"-"&amp;YEAR(A1445)</f>
        <v>C1-2026</v>
      </c>
      <c r="Q1445" s="123" t="str">
        <f>"T"&amp;INT((MONTH(A1445)-1)/3)+1&amp;"-"&amp;YEAR(A1445)</f>
        <v>T2-2026</v>
      </c>
      <c r="R1445" s="124" t="s">
        <v>2741</v>
      </c>
      <c r="S1445" s="124" t="s">
        <v>2723</v>
      </c>
      <c r="T1445" s="123" t="s">
        <v>2724</v>
      </c>
      <c r="U1445" s="9" t="s">
        <v>2708</v>
      </c>
      <c r="V1445" s="205" t="s">
        <v>54</v>
      </c>
      <c r="W1445" s="122" t="s">
        <v>125</v>
      </c>
      <c r="X1445" s="123" t="s">
        <v>2709</v>
      </c>
    </row>
    <row r="1446" spans="1:24" ht="14.5" customHeight="1">
      <c r="A1446" s="548">
        <v>46128</v>
      </c>
      <c r="B1446" s="570"/>
      <c r="C1446" s="38" t="s">
        <v>2697</v>
      </c>
      <c r="D1446" s="210">
        <v>-20.12</v>
      </c>
      <c r="E1446" s="159"/>
      <c r="F1446" s="121">
        <f>Tabla5109[[#This Row],[Original Amount]]*Tabla5109[[#This Row],[ER to EUR]]</f>
        <v>0</v>
      </c>
      <c r="G1446" s="37" t="s">
        <v>2830</v>
      </c>
      <c r="H1446" s="9" t="s">
        <v>4117</v>
      </c>
      <c r="I1446" s="9" t="s">
        <v>2784</v>
      </c>
      <c r="J1446" s="9" t="s">
        <v>2817</v>
      </c>
      <c r="K1446" s="205" t="s">
        <v>2702</v>
      </c>
      <c r="L1446" s="9" t="s">
        <v>2818</v>
      </c>
      <c r="M1446" s="32" t="s">
        <v>125</v>
      </c>
      <c r="N1446" s="122" t="s">
        <v>2704</v>
      </c>
      <c r="O1446" s="129" t="s">
        <v>2704</v>
      </c>
      <c r="P1446" s="123" t="str">
        <f>"C"&amp;INT((MONTH(A1446)-1)/4)+1&amp;"-"&amp;YEAR(A1446)</f>
        <v>C1-2026</v>
      </c>
      <c r="Q1446" s="123" t="str">
        <f>"T"&amp;INT((MONTH(A1446)-1)/3)+1&amp;"-"&amp;YEAR(A1446)</f>
        <v>T2-2026</v>
      </c>
      <c r="R1446" s="124" t="s">
        <v>2722</v>
      </c>
      <c r="S1446" s="124" t="s">
        <v>2723</v>
      </c>
      <c r="T1446" s="123" t="s">
        <v>2724</v>
      </c>
      <c r="U1446" s="9" t="s">
        <v>2708</v>
      </c>
      <c r="V1446" s="205" t="s">
        <v>54</v>
      </c>
      <c r="W1446" s="122" t="s">
        <v>125</v>
      </c>
      <c r="X1446" s="123" t="s">
        <v>2709</v>
      </c>
    </row>
    <row r="1447" spans="1:24">
      <c r="A1447" s="548">
        <v>46129</v>
      </c>
      <c r="B1447" s="167"/>
      <c r="C1447" s="38" t="s">
        <v>2697</v>
      </c>
      <c r="D1447" s="210">
        <v>-225.78</v>
      </c>
      <c r="E1447" s="120"/>
      <c r="F1447" s="121">
        <f>Tabla5109[[#This Row],[Original Amount]]*Tabla5109[[#This Row],[ER to EUR]]</f>
        <v>0</v>
      </c>
      <c r="G1447" s="9" t="s">
        <v>3116</v>
      </c>
      <c r="H1447" s="37" t="s">
        <v>4653</v>
      </c>
      <c r="I1447" s="9" t="s">
        <v>2713</v>
      </c>
      <c r="J1447" s="9" t="s">
        <v>2701</v>
      </c>
      <c r="K1447" s="205" t="s">
        <v>2702</v>
      </c>
      <c r="L1447" s="9" t="s">
        <v>2703</v>
      </c>
      <c r="M1447" s="32" t="s">
        <v>125</v>
      </c>
      <c r="N1447" s="122" t="s">
        <v>2704</v>
      </c>
      <c r="O1447" s="129" t="s">
        <v>2704</v>
      </c>
      <c r="P1447" s="123" t="str">
        <f>"C"&amp;INT((MONTH(A1447)-1)/4)+1&amp;"-"&amp;YEAR(A1447)</f>
        <v>C1-2026</v>
      </c>
      <c r="Q1447" s="123" t="str">
        <f>"T"&amp;INT((MONTH(A1447)-1)/3)+1&amp;"-"&amp;YEAR(A1447)</f>
        <v>T2-2026</v>
      </c>
      <c r="R1447" s="124" t="s">
        <v>2794</v>
      </c>
      <c r="S1447" s="124" t="s">
        <v>3041</v>
      </c>
      <c r="T1447" s="123" t="s">
        <v>2707</v>
      </c>
      <c r="U1447" s="162" t="s">
        <v>51</v>
      </c>
      <c r="V1447" s="575" t="s">
        <v>57</v>
      </c>
      <c r="W1447" s="237" t="s">
        <v>125</v>
      </c>
      <c r="X1447" s="201" t="s">
        <v>2709</v>
      </c>
    </row>
    <row r="1448" spans="1:24">
      <c r="A1448" s="548">
        <v>46129</v>
      </c>
      <c r="B1448" s="167"/>
      <c r="C1448" s="38" t="s">
        <v>2548</v>
      </c>
      <c r="D1448" s="136">
        <v>-73.87</v>
      </c>
      <c r="E1448" s="38"/>
      <c r="F1448" s="234">
        <f>Tabla5109[[#This Row],[Original Amount]]*Tabla5109[[#This Row],[ER to EUR]]</f>
        <v>0</v>
      </c>
      <c r="G1448" s="37" t="s">
        <v>2786</v>
      </c>
      <c r="H1448" s="37" t="s">
        <v>4674</v>
      </c>
      <c r="I1448" s="37" t="s">
        <v>4072</v>
      </c>
      <c r="J1448" s="9" t="s">
        <v>2701</v>
      </c>
      <c r="K1448" s="205" t="s">
        <v>2702</v>
      </c>
      <c r="L1448" s="9" t="s">
        <v>2788</v>
      </c>
      <c r="M1448" s="32" t="s">
        <v>125</v>
      </c>
      <c r="N1448" s="122" t="s">
        <v>2704</v>
      </c>
      <c r="O1448" s="129" t="s">
        <v>2704</v>
      </c>
      <c r="P1448" s="123" t="str">
        <f>"C"&amp;INT((MONTH(A1448)-1)/4)+1&amp;"-"&amp;YEAR(A1448)</f>
        <v>C1-2026</v>
      </c>
      <c r="Q1448" s="123" t="str">
        <f>"T"&amp;INT((MONTH(A1448)-1)/3)+1&amp;"-"&amp;YEAR(A1448)</f>
        <v>T2-2026</v>
      </c>
      <c r="R1448" s="124" t="s">
        <v>2705</v>
      </c>
      <c r="S1448" s="124" t="s">
        <v>2706</v>
      </c>
      <c r="T1448" s="123" t="s">
        <v>2724</v>
      </c>
      <c r="U1448" s="9" t="s">
        <v>2708</v>
      </c>
      <c r="V1448" s="205" t="s">
        <v>56</v>
      </c>
      <c r="W1448" s="122" t="s">
        <v>125</v>
      </c>
      <c r="X1448" s="123" t="s">
        <v>2709</v>
      </c>
    </row>
    <row r="1449" spans="1:24">
      <c r="A1449" s="161">
        <v>46129</v>
      </c>
      <c r="B1449" s="167"/>
      <c r="C1449" s="38" t="s">
        <v>2697</v>
      </c>
      <c r="D1449" s="210">
        <v>-108</v>
      </c>
      <c r="E1449" s="159"/>
      <c r="F1449" s="234">
        <f>Tabla5109[[#This Row],[Original Amount]]*Tabla5109[[#This Row],[ER to EUR]]</f>
        <v>0</v>
      </c>
      <c r="G1449" s="37" t="s">
        <v>2833</v>
      </c>
      <c r="H1449" s="37" t="s">
        <v>2834</v>
      </c>
      <c r="I1449" s="37" t="s">
        <v>2713</v>
      </c>
      <c r="J1449" s="9" t="s">
        <v>2701</v>
      </c>
      <c r="K1449" s="205" t="s">
        <v>2702</v>
      </c>
      <c r="L1449" s="211" t="s">
        <v>2818</v>
      </c>
      <c r="M1449" s="32" t="s">
        <v>125</v>
      </c>
      <c r="N1449" s="122" t="s">
        <v>2704</v>
      </c>
      <c r="O1449" s="129" t="s">
        <v>2704</v>
      </c>
      <c r="P1449" s="123" t="str">
        <f>"C"&amp;INT((MONTH(A1449)-1)/4)+1&amp;"-"&amp;YEAR(A1449)</f>
        <v>C1-2026</v>
      </c>
      <c r="Q1449" s="123" t="str">
        <f>"T"&amp;INT((MONTH(A1449)-1)/3)+1&amp;"-"&amp;YEAR(A1449)</f>
        <v>T2-2026</v>
      </c>
      <c r="R1449" s="91" t="s">
        <v>2819</v>
      </c>
      <c r="S1449" s="124" t="s">
        <v>2817</v>
      </c>
      <c r="T1449" s="123" t="s">
        <v>2724</v>
      </c>
      <c r="U1449" s="9" t="s">
        <v>2708</v>
      </c>
      <c r="V1449" s="205" t="s">
        <v>54</v>
      </c>
      <c r="W1449" s="122" t="s">
        <v>125</v>
      </c>
      <c r="X1449" s="123" t="s">
        <v>2709</v>
      </c>
    </row>
    <row r="1450" spans="1:24">
      <c r="A1450" s="161">
        <v>46130</v>
      </c>
      <c r="B1450" s="178"/>
      <c r="C1450" s="38" t="s">
        <v>2697</v>
      </c>
      <c r="D1450" s="210">
        <v>-714.33</v>
      </c>
      <c r="E1450" s="159"/>
      <c r="F1450" s="234">
        <f>Tabla5109[[#This Row],[Original Amount]]*Tabla5109[[#This Row],[ER to EUR]]</f>
        <v>0</v>
      </c>
      <c r="G1450" s="37" t="s">
        <v>2753</v>
      </c>
      <c r="H1450" s="171" t="s">
        <v>4671</v>
      </c>
      <c r="I1450" s="37" t="s">
        <v>2755</v>
      </c>
      <c r="J1450" s="9" t="s">
        <v>2701</v>
      </c>
      <c r="K1450" s="205" t="s">
        <v>2702</v>
      </c>
      <c r="L1450" s="9" t="s">
        <v>2703</v>
      </c>
      <c r="M1450" s="32" t="s">
        <v>125</v>
      </c>
      <c r="N1450" s="129" t="s">
        <v>2704</v>
      </c>
      <c r="O1450" s="129" t="s">
        <v>2704</v>
      </c>
      <c r="P1450" s="123" t="str">
        <f>"C"&amp;INT((MONTH(A1450)-1)/4)+1&amp;"-"&amp;YEAR(A1450)</f>
        <v>C1-2026</v>
      </c>
      <c r="Q1450" s="123" t="str">
        <f>"T"&amp;INT((MONTH(A1450)-1)/3)+1&amp;"-"&amp;YEAR(A1450)</f>
        <v>T2-2026</v>
      </c>
      <c r="R1450" s="124" t="s">
        <v>2705</v>
      </c>
      <c r="S1450" s="124" t="s">
        <v>2706</v>
      </c>
      <c r="T1450" s="123" t="s">
        <v>2707</v>
      </c>
      <c r="U1450" s="9" t="s">
        <v>2708</v>
      </c>
      <c r="V1450" s="205" t="s">
        <v>56</v>
      </c>
      <c r="W1450" s="122" t="s">
        <v>125</v>
      </c>
      <c r="X1450" s="123" t="s">
        <v>2709</v>
      </c>
    </row>
    <row r="1451" spans="1:24">
      <c r="A1451" s="161">
        <v>46130</v>
      </c>
      <c r="B1451" s="167"/>
      <c r="C1451" s="38" t="s">
        <v>2697</v>
      </c>
      <c r="D1451" s="210">
        <v>-266.77</v>
      </c>
      <c r="E1451" s="159"/>
      <c r="F1451" s="234">
        <f>Tabla5109[[#This Row],[Original Amount]]*Tabla5109[[#This Row],[ER to EUR]]</f>
        <v>0</v>
      </c>
      <c r="G1451" s="37" t="s">
        <v>2839</v>
      </c>
      <c r="H1451" s="37" t="s">
        <v>2840</v>
      </c>
      <c r="I1451" s="37" t="s">
        <v>2784</v>
      </c>
      <c r="J1451" s="37" t="s">
        <v>2701</v>
      </c>
      <c r="K1451" s="217" t="s">
        <v>2702</v>
      </c>
      <c r="L1451" s="37" t="s">
        <v>2703</v>
      </c>
      <c r="M1451" s="38" t="s">
        <v>125</v>
      </c>
      <c r="N1451" s="156" t="s">
        <v>2704</v>
      </c>
      <c r="O1451" s="156" t="s">
        <v>2704</v>
      </c>
      <c r="P1451" s="157" t="str">
        <f>"C"&amp;INT((MONTH(A1451)-1)/4)+1&amp;"-"&amp;YEAR(A1451)</f>
        <v>C1-2026</v>
      </c>
      <c r="Q1451" s="157" t="str">
        <f>"T"&amp;INT((MONTH(A1451)-1)/3)+1&amp;"-"&amp;YEAR(A1451)</f>
        <v>T2-2026</v>
      </c>
      <c r="R1451" s="160" t="s">
        <v>2705</v>
      </c>
      <c r="S1451" s="160" t="s">
        <v>2706</v>
      </c>
      <c r="T1451" s="157" t="s">
        <v>2707</v>
      </c>
      <c r="U1451" s="165" t="s">
        <v>2708</v>
      </c>
      <c r="V1451" s="574" t="s">
        <v>57</v>
      </c>
      <c r="W1451" s="262" t="s">
        <v>125</v>
      </c>
      <c r="X1451" s="182" t="s">
        <v>2709</v>
      </c>
    </row>
    <row r="1452" spans="1:24">
      <c r="A1452" s="548">
        <v>46130</v>
      </c>
      <c r="B1452" s="708"/>
      <c r="C1452" s="38" t="s">
        <v>2697</v>
      </c>
      <c r="D1452" s="210">
        <v>-1666</v>
      </c>
      <c r="E1452" s="120"/>
      <c r="F1452" s="121">
        <f>Tabla5109[[#This Row],[Original Amount]]*Tabla5109[[#This Row],[ER to EUR]]</f>
        <v>0</v>
      </c>
      <c r="G1452" s="9" t="s">
        <v>4838</v>
      </c>
      <c r="H1452" s="9" t="s">
        <v>4839</v>
      </c>
      <c r="I1452" s="9" t="s">
        <v>2727</v>
      </c>
      <c r="J1452" s="9" t="s">
        <v>2714</v>
      </c>
      <c r="K1452" s="205" t="s">
        <v>2747</v>
      </c>
      <c r="L1452" s="9" t="s">
        <v>2864</v>
      </c>
      <c r="M1452" s="32" t="s">
        <v>125</v>
      </c>
      <c r="N1452" s="122" t="s">
        <v>2704</v>
      </c>
      <c r="O1452" s="129" t="s">
        <v>2704</v>
      </c>
      <c r="P1452" s="123" t="str">
        <f>"C"&amp;INT((MONTH(A1452)-1)/4)+1&amp;"-"&amp;YEAR(A1452)</f>
        <v>C1-2026</v>
      </c>
      <c r="Q1452" s="123" t="str">
        <f>"T"&amp;INT((MONTH(A1452)-1)/3)+1&amp;"-"&amp;YEAR(A1452)</f>
        <v>T2-2026</v>
      </c>
      <c r="R1452" s="91" t="s">
        <v>2705</v>
      </c>
      <c r="S1452" s="124" t="s">
        <v>2706</v>
      </c>
      <c r="T1452" s="123" t="s">
        <v>2724</v>
      </c>
      <c r="U1452" s="162" t="s">
        <v>2708</v>
      </c>
      <c r="V1452" s="575" t="s">
        <v>56</v>
      </c>
      <c r="W1452" s="237" t="s">
        <v>125</v>
      </c>
      <c r="X1452" s="201" t="s">
        <v>2709</v>
      </c>
    </row>
    <row r="1453" spans="1:24">
      <c r="A1453" s="548">
        <v>46131</v>
      </c>
      <c r="B1453" s="167"/>
      <c r="C1453" s="38" t="s">
        <v>2697</v>
      </c>
      <c r="D1453" s="392">
        <v>-192.44</v>
      </c>
      <c r="E1453" s="159"/>
      <c r="F1453" s="234">
        <f>Tabla5109[[#This Row],[Original Amount]]*Tabla5109[[#This Row],[ER to EUR]]</f>
        <v>0</v>
      </c>
      <c r="G1453" s="9" t="s">
        <v>2766</v>
      </c>
      <c r="H1453" s="9" t="s">
        <v>4306</v>
      </c>
      <c r="I1453" s="9" t="s">
        <v>2713</v>
      </c>
      <c r="J1453" s="9" t="s">
        <v>2701</v>
      </c>
      <c r="K1453" s="205" t="s">
        <v>2702</v>
      </c>
      <c r="L1453" s="9" t="s">
        <v>2760</v>
      </c>
      <c r="M1453" s="32" t="s">
        <v>125</v>
      </c>
      <c r="N1453" s="122" t="s">
        <v>2704</v>
      </c>
      <c r="O1453" s="129" t="s">
        <v>2704</v>
      </c>
      <c r="P1453" s="123" t="str">
        <f>"C"&amp;INT((MONTH(A1453)-1)/4)+1&amp;"-"&amp;YEAR(A1453)</f>
        <v>C1-2026</v>
      </c>
      <c r="Q1453" s="123" t="str">
        <f>"T"&amp;INT((MONTH(A1453)-1)/3)+1&amp;"-"&amp;YEAR(A1453)</f>
        <v>T2-2026</v>
      </c>
      <c r="R1453" s="124" t="s">
        <v>2705</v>
      </c>
      <c r="S1453" s="124" t="s">
        <v>2735</v>
      </c>
      <c r="T1453" s="123" t="s">
        <v>2724</v>
      </c>
      <c r="U1453" s="9" t="s">
        <v>2708</v>
      </c>
      <c r="V1453" s="205" t="s">
        <v>55</v>
      </c>
      <c r="W1453" s="122" t="s">
        <v>125</v>
      </c>
      <c r="X1453" s="123" t="s">
        <v>2709</v>
      </c>
    </row>
    <row r="1454" spans="1:24">
      <c r="A1454" s="548">
        <v>46131</v>
      </c>
      <c r="B1454" s="703"/>
      <c r="C1454" s="38" t="s">
        <v>2697</v>
      </c>
      <c r="D1454" s="392">
        <v>-47.6</v>
      </c>
      <c r="E1454" s="159"/>
      <c r="F1454" s="234">
        <f>Tabla5109[[#This Row],[Original Amount]]*Tabla5109[[#This Row],[ER to EUR]]</f>
        <v>0</v>
      </c>
      <c r="G1454" s="37" t="s">
        <v>4715</v>
      </c>
      <c r="H1454" s="37" t="s">
        <v>4716</v>
      </c>
      <c r="I1454" s="9" t="s">
        <v>4717</v>
      </c>
      <c r="J1454" s="9" t="s">
        <v>2770</v>
      </c>
      <c r="K1454" s="205" t="s">
        <v>2702</v>
      </c>
      <c r="L1454" s="9" t="s">
        <v>2772</v>
      </c>
      <c r="M1454" s="32" t="s">
        <v>125</v>
      </c>
      <c r="N1454" s="129" t="s">
        <v>2748</v>
      </c>
      <c r="O1454" s="129" t="s">
        <v>2748</v>
      </c>
      <c r="P1454" s="123" t="str">
        <f>"C"&amp;INT((MONTH(A1454)-1)/4)+1&amp;"-"&amp;YEAR(A1454)</f>
        <v>C1-2026</v>
      </c>
      <c r="Q1454" s="123" t="str">
        <f>"T"&amp;INT((MONTH(A1454)-1)/3)+1&amp;"-"&amp;YEAR(A1454)</f>
        <v>T2-2026</v>
      </c>
      <c r="R1454" s="91" t="s">
        <v>6009</v>
      </c>
      <c r="S1454" s="124" t="s">
        <v>2750</v>
      </c>
      <c r="T1454" s="123" t="s">
        <v>2717</v>
      </c>
      <c r="U1454" s="9" t="s">
        <v>2708</v>
      </c>
      <c r="V1454" s="205" t="s">
        <v>56</v>
      </c>
      <c r="W1454" s="122" t="s">
        <v>125</v>
      </c>
      <c r="X1454" s="123" t="s">
        <v>2709</v>
      </c>
    </row>
    <row r="1455" spans="1:24">
      <c r="A1455" s="548">
        <v>46132</v>
      </c>
      <c r="B1455" s="178"/>
      <c r="C1455" s="156" t="s">
        <v>2697</v>
      </c>
      <c r="D1455" s="392">
        <v>-19.329999999999998</v>
      </c>
      <c r="E1455" s="38"/>
      <c r="F1455" s="234">
        <f>Tabla5109[[#This Row],[Original Amount]]*Tabla5109[[#This Row],[ER to EUR]]</f>
        <v>0</v>
      </c>
      <c r="G1455" s="761" t="s">
        <v>2996</v>
      </c>
      <c r="H1455" s="171" t="s">
        <v>2997</v>
      </c>
      <c r="I1455" s="91" t="s">
        <v>2727</v>
      </c>
      <c r="J1455" s="91" t="s">
        <v>2701</v>
      </c>
      <c r="K1455" s="196" t="s">
        <v>2702</v>
      </c>
      <c r="L1455" s="91" t="s">
        <v>2703</v>
      </c>
      <c r="M1455" s="32" t="s">
        <v>125</v>
      </c>
      <c r="N1455" s="129" t="s">
        <v>2704</v>
      </c>
      <c r="O1455" s="129" t="s">
        <v>2704</v>
      </c>
      <c r="P1455" s="123" t="str">
        <f>"C"&amp;INT((MONTH(A1455)-1)/4)+1&amp;"-"&amp;YEAR(A1455)</f>
        <v>C1-2026</v>
      </c>
      <c r="Q1455" s="123" t="str">
        <f>"T"&amp;INT((MONTH(A1455)-1)/3)+1&amp;"-"&amp;YEAR(A1455)</f>
        <v>T2-2026</v>
      </c>
      <c r="R1455" s="124" t="s">
        <v>2705</v>
      </c>
      <c r="S1455" s="124" t="s">
        <v>2735</v>
      </c>
      <c r="T1455" s="123" t="s">
        <v>2724</v>
      </c>
      <c r="U1455" s="9" t="s">
        <v>2708</v>
      </c>
      <c r="V1455" s="205" t="s">
        <v>56</v>
      </c>
      <c r="W1455" s="122" t="s">
        <v>125</v>
      </c>
      <c r="X1455" s="123" t="s">
        <v>2709</v>
      </c>
    </row>
    <row r="1456" spans="1:24">
      <c r="A1456" s="161">
        <v>46132</v>
      </c>
      <c r="B1456" s="167"/>
      <c r="C1456" s="38" t="s">
        <v>2548</v>
      </c>
      <c r="D1456" s="240">
        <v>-100</v>
      </c>
      <c r="E1456" s="38"/>
      <c r="F1456" s="759">
        <f>Tabla5109[[#This Row],[Original Amount]]*Tabla5109[[#This Row],[ER to EUR]]</f>
        <v>0</v>
      </c>
      <c r="G1456" s="37" t="s">
        <v>2766</v>
      </c>
      <c r="H1456" s="37" t="s">
        <v>4221</v>
      </c>
      <c r="I1456" s="37" t="s">
        <v>2713</v>
      </c>
      <c r="J1456" s="9" t="s">
        <v>2701</v>
      </c>
      <c r="K1456" s="205" t="s">
        <v>2702</v>
      </c>
      <c r="L1456" s="9" t="s">
        <v>2760</v>
      </c>
      <c r="M1456" s="32" t="s">
        <v>125</v>
      </c>
      <c r="N1456" s="158" t="s">
        <v>2704</v>
      </c>
      <c r="O1456" s="156" t="s">
        <v>2704</v>
      </c>
      <c r="P1456" s="123" t="str">
        <f>"C"&amp;INT((MONTH(A1456)-1)/4)+1&amp;"-"&amp;YEAR(A1456)</f>
        <v>C1-2026</v>
      </c>
      <c r="Q1456" s="123" t="str">
        <f>"T"&amp;INT((MONTH(A1456)-1)/3)+1&amp;"-"&amp;YEAR(A1456)</f>
        <v>T2-2026</v>
      </c>
      <c r="R1456" s="160" t="s">
        <v>2705</v>
      </c>
      <c r="S1456" s="124" t="s">
        <v>2735</v>
      </c>
      <c r="T1456" s="123" t="s">
        <v>2724</v>
      </c>
      <c r="U1456" s="162" t="s">
        <v>2708</v>
      </c>
      <c r="V1456" s="575" t="s">
        <v>55</v>
      </c>
      <c r="W1456" s="237" t="s">
        <v>125</v>
      </c>
      <c r="X1456" s="201" t="s">
        <v>2709</v>
      </c>
    </row>
    <row r="1457" spans="1:24">
      <c r="A1457" s="161">
        <v>46133</v>
      </c>
      <c r="B1457" s="640"/>
      <c r="C1457" s="38" t="s">
        <v>2697</v>
      </c>
      <c r="D1457" s="210">
        <v>-43.38</v>
      </c>
      <c r="E1457" s="159"/>
      <c r="F1457" s="121">
        <f>Tabla5109[[#This Row],[Original Amount]]*Tabla5109[[#This Row],[ER to EUR]]</f>
        <v>0</v>
      </c>
      <c r="G1457" s="37" t="s">
        <v>2718</v>
      </c>
      <c r="H1457" s="37" t="s">
        <v>3868</v>
      </c>
      <c r="I1457" s="37" t="s">
        <v>2755</v>
      </c>
      <c r="J1457" s="9" t="s">
        <v>2714</v>
      </c>
      <c r="K1457" s="205" t="s">
        <v>2721</v>
      </c>
      <c r="L1457" s="9" t="s">
        <v>2716</v>
      </c>
      <c r="M1457" s="32" t="s">
        <v>125</v>
      </c>
      <c r="N1457" s="156" t="s">
        <v>2748</v>
      </c>
      <c r="O1457" s="156" t="s">
        <v>2748</v>
      </c>
      <c r="P1457" s="123" t="str">
        <f>"C"&amp;INT((MONTH(A1457)-1)/4)+1&amp;"-"&amp;YEAR(A1457)</f>
        <v>C1-2026</v>
      </c>
      <c r="Q1457" s="123" t="str">
        <f>"T"&amp;INT((MONTH(A1457)-1)/3)+1&amp;"-"&amp;YEAR(A1457)</f>
        <v>T2-2026</v>
      </c>
      <c r="R1457" s="160" t="s">
        <v>2722</v>
      </c>
      <c r="S1457" s="124" t="s">
        <v>2723</v>
      </c>
      <c r="T1457" s="123" t="s">
        <v>2724</v>
      </c>
      <c r="U1457" s="162" t="s">
        <v>2708</v>
      </c>
      <c r="V1457" s="575" t="s">
        <v>54</v>
      </c>
      <c r="W1457" s="237" t="s">
        <v>125</v>
      </c>
      <c r="X1457" s="201" t="s">
        <v>2709</v>
      </c>
    </row>
    <row r="1458" spans="1:24">
      <c r="A1458" s="548">
        <v>46133</v>
      </c>
      <c r="B1458" s="640"/>
      <c r="C1458" s="38" t="s">
        <v>2543</v>
      </c>
      <c r="D1458" s="242">
        <v>-2331000</v>
      </c>
      <c r="E1458" s="38"/>
      <c r="F1458" s="759">
        <f>Tabla5109[[#This Row],[Original Amount]]*Tabla5109[[#This Row],[ER to EUR]]</f>
        <v>0</v>
      </c>
      <c r="G1458" s="37" t="s">
        <v>3566</v>
      </c>
      <c r="H1458" s="37" t="s">
        <v>4000</v>
      </c>
      <c r="I1458" s="37" t="s">
        <v>2713</v>
      </c>
      <c r="J1458" s="9" t="s">
        <v>2714</v>
      </c>
      <c r="K1458" s="205" t="s">
        <v>2747</v>
      </c>
      <c r="L1458" s="9" t="s">
        <v>2864</v>
      </c>
      <c r="M1458" s="226" t="s">
        <v>2748</v>
      </c>
      <c r="N1458" s="129" t="s">
        <v>2704</v>
      </c>
      <c r="O1458" s="129" t="s">
        <v>2704</v>
      </c>
      <c r="P1458" s="123" t="str">
        <f>"C"&amp;INT((MONTH(A1458)-1)/4)+1&amp;"-"&amp;YEAR(A1458)</f>
        <v>C1-2026</v>
      </c>
      <c r="Q1458" s="123" t="str">
        <f>"T"&amp;INT((MONTH(A1458)-1)/3)+1&amp;"-"&amp;YEAR(A1458)</f>
        <v>T2-2026</v>
      </c>
      <c r="R1458" s="124" t="s">
        <v>2705</v>
      </c>
      <c r="S1458" s="124" t="s">
        <v>2706</v>
      </c>
      <c r="T1458" s="123" t="s">
        <v>2724</v>
      </c>
      <c r="U1458" s="9" t="s">
        <v>2708</v>
      </c>
      <c r="V1458" s="205" t="s">
        <v>56</v>
      </c>
      <c r="W1458" s="122" t="s">
        <v>125</v>
      </c>
      <c r="X1458" s="123" t="s">
        <v>2709</v>
      </c>
    </row>
    <row r="1459" spans="1:24">
      <c r="A1459" s="548">
        <v>46135</v>
      </c>
      <c r="B1459" s="178"/>
      <c r="C1459" s="38" t="s">
        <v>2697</v>
      </c>
      <c r="D1459" s="210">
        <v>-158.51</v>
      </c>
      <c r="E1459" s="159"/>
      <c r="F1459" s="121">
        <f>Tabla5109[[#This Row],[Original Amount]]*Tabla5109[[#This Row],[ER to EUR]]</f>
        <v>0</v>
      </c>
      <c r="G1459" s="37" t="s">
        <v>3128</v>
      </c>
      <c r="H1459" s="37" t="s">
        <v>4003</v>
      </c>
      <c r="I1459" s="9" t="s">
        <v>2755</v>
      </c>
      <c r="J1459" s="9" t="s">
        <v>2701</v>
      </c>
      <c r="K1459" s="205" t="s">
        <v>2702</v>
      </c>
      <c r="L1459" s="9" t="s">
        <v>2703</v>
      </c>
      <c r="M1459" s="32" t="s">
        <v>125</v>
      </c>
      <c r="N1459" s="129" t="s">
        <v>2704</v>
      </c>
      <c r="O1459" s="129" t="s">
        <v>2704</v>
      </c>
      <c r="P1459" s="123" t="str">
        <f>"C"&amp;INT((MONTH(A1459)-1)/4)+1&amp;"-"&amp;YEAR(A1459)</f>
        <v>C1-2026</v>
      </c>
      <c r="Q1459" s="123" t="str">
        <f>"T"&amp;INT((MONTH(A1459)-1)/3)+1&amp;"-"&amp;YEAR(A1459)</f>
        <v>T2-2026</v>
      </c>
      <c r="R1459" s="124" t="s">
        <v>2741</v>
      </c>
      <c r="S1459" s="124" t="s">
        <v>2723</v>
      </c>
      <c r="T1459" s="123" t="s">
        <v>2707</v>
      </c>
      <c r="U1459" s="9" t="s">
        <v>2708</v>
      </c>
      <c r="V1459" s="205" t="s">
        <v>54</v>
      </c>
      <c r="W1459" s="122" t="s">
        <v>125</v>
      </c>
      <c r="X1459" s="123" t="s">
        <v>2709</v>
      </c>
    </row>
    <row r="1460" spans="1:24">
      <c r="A1460" s="548">
        <v>46135</v>
      </c>
      <c r="B1460" s="178"/>
      <c r="C1460" s="38" t="s">
        <v>2697</v>
      </c>
      <c r="D1460" s="210">
        <v>-379</v>
      </c>
      <c r="E1460" s="159"/>
      <c r="F1460" s="121">
        <f>Tabla5109[[#This Row],[Original Amount]]*Tabla5109[[#This Row],[ER to EUR]]</f>
        <v>0</v>
      </c>
      <c r="G1460" s="37" t="s">
        <v>3140</v>
      </c>
      <c r="H1460" s="37" t="s">
        <v>4210</v>
      </c>
      <c r="I1460" s="9" t="s">
        <v>2727</v>
      </c>
      <c r="J1460" s="9" t="s">
        <v>2770</v>
      </c>
      <c r="K1460" s="205" t="s">
        <v>2702</v>
      </c>
      <c r="L1460" s="9" t="s">
        <v>3142</v>
      </c>
      <c r="M1460" s="32" t="s">
        <v>125</v>
      </c>
      <c r="N1460" s="129" t="s">
        <v>2704</v>
      </c>
      <c r="O1460" s="129" t="s">
        <v>2704</v>
      </c>
      <c r="P1460" s="123" t="str">
        <f>"C"&amp;INT((MONTH(A1460)-1)/4)+1&amp;"-"&amp;YEAR(A1460)</f>
        <v>C1-2026</v>
      </c>
      <c r="Q1460" s="123" t="str">
        <f>"T"&amp;INT((MONTH(A1460)-1)/3)+1&amp;"-"&amp;YEAR(A1460)</f>
        <v>T2-2026</v>
      </c>
      <c r="R1460" s="91" t="s">
        <v>2749</v>
      </c>
      <c r="S1460" s="124" t="s">
        <v>2750</v>
      </c>
      <c r="T1460" s="123" t="s">
        <v>2724</v>
      </c>
      <c r="U1460" s="9" t="s">
        <v>2708</v>
      </c>
      <c r="V1460" s="205" t="s">
        <v>54</v>
      </c>
      <c r="W1460" s="122" t="s">
        <v>125</v>
      </c>
      <c r="X1460" s="123" t="s">
        <v>2709</v>
      </c>
    </row>
    <row r="1461" spans="1:24">
      <c r="A1461" s="548">
        <v>46137</v>
      </c>
      <c r="B1461" s="756" t="s">
        <v>3999</v>
      </c>
      <c r="C1461" s="38" t="s">
        <v>2697</v>
      </c>
      <c r="D1461" s="210">
        <v>-2000</v>
      </c>
      <c r="E1461" s="179"/>
      <c r="F1461" s="121">
        <f>Tabla5109[[#This Row],[Original Amount]]*Tabla5109[[#This Row],[ER to EUR]]</f>
        <v>0</v>
      </c>
      <c r="G1461" s="9" t="s">
        <v>3237</v>
      </c>
      <c r="H1461" s="9" t="s">
        <v>4632</v>
      </c>
      <c r="I1461" s="9" t="s">
        <v>2713</v>
      </c>
      <c r="J1461" s="9" t="s">
        <v>2770</v>
      </c>
      <c r="K1461" s="205" t="s">
        <v>2803</v>
      </c>
      <c r="L1461" s="211" t="s">
        <v>57</v>
      </c>
      <c r="M1461" s="227" t="s">
        <v>125</v>
      </c>
      <c r="N1461" s="122" t="s">
        <v>2704</v>
      </c>
      <c r="O1461" s="129" t="s">
        <v>2704</v>
      </c>
      <c r="P1461" s="123" t="str">
        <f>"C"&amp;INT((MONTH(A1461)-1)/4)+1&amp;"-"&amp;YEAR(A1461)</f>
        <v>C1-2026</v>
      </c>
      <c r="Q1461" s="124" t="str">
        <f>"T"&amp;INT((MONTH(A1461)-1)/3)+1&amp;"-"&amp;YEAR(A1461)</f>
        <v>T2-2026</v>
      </c>
      <c r="R1461" s="91" t="s">
        <v>2749</v>
      </c>
      <c r="S1461" s="124" t="s">
        <v>2750</v>
      </c>
      <c r="T1461" s="124" t="s">
        <v>2717</v>
      </c>
      <c r="U1461" s="9" t="s">
        <v>2708</v>
      </c>
      <c r="V1461" s="205" t="s">
        <v>56</v>
      </c>
      <c r="W1461" s="122" t="s">
        <v>125</v>
      </c>
      <c r="X1461" s="123" t="s">
        <v>2709</v>
      </c>
    </row>
    <row r="1462" spans="1:24">
      <c r="A1462" s="548">
        <v>46137</v>
      </c>
      <c r="B1462" s="178"/>
      <c r="C1462" s="38" t="s">
        <v>2548</v>
      </c>
      <c r="D1462" s="136">
        <v>-238</v>
      </c>
      <c r="E1462" s="38"/>
      <c r="F1462" s="121">
        <f>Tabla5109[[#This Row],[Original Amount]]*Tabla5109[[#This Row],[ER to EUR]]</f>
        <v>0</v>
      </c>
      <c r="G1462" s="9" t="s">
        <v>3248</v>
      </c>
      <c r="H1462" s="9" t="s">
        <v>3938</v>
      </c>
      <c r="I1462" s="9" t="s">
        <v>2713</v>
      </c>
      <c r="J1462" s="9" t="s">
        <v>2714</v>
      </c>
      <c r="K1462" s="205" t="s">
        <v>2702</v>
      </c>
      <c r="L1462" s="9" t="s">
        <v>2799</v>
      </c>
      <c r="M1462" s="32" t="s">
        <v>125</v>
      </c>
      <c r="N1462" s="122" t="s">
        <v>2704</v>
      </c>
      <c r="O1462" s="129" t="s">
        <v>2704</v>
      </c>
      <c r="P1462" s="123" t="str">
        <f>"C"&amp;INT((MONTH(A1462)-1)/4)+1&amp;"-"&amp;YEAR(A1462)</f>
        <v>C1-2026</v>
      </c>
      <c r="Q1462" s="123" t="str">
        <f>"T"&amp;INT((MONTH(A1462)-1)/3)+1&amp;"-"&amp;YEAR(A1462)</f>
        <v>T2-2026</v>
      </c>
      <c r="R1462" s="124" t="s">
        <v>2730</v>
      </c>
      <c r="S1462" s="124" t="s">
        <v>2731</v>
      </c>
      <c r="T1462" s="123" t="s">
        <v>2724</v>
      </c>
      <c r="U1462" s="162" t="s">
        <v>51</v>
      </c>
      <c r="V1462" s="575" t="s">
        <v>57</v>
      </c>
      <c r="W1462" s="237" t="s">
        <v>125</v>
      </c>
      <c r="X1462" s="201" t="s">
        <v>2709</v>
      </c>
    </row>
    <row r="1463" spans="1:24">
      <c r="A1463" s="548">
        <v>46139</v>
      </c>
      <c r="B1463" s="640"/>
      <c r="C1463" s="38" t="s">
        <v>2697</v>
      </c>
      <c r="D1463" s="210">
        <v>-58.31</v>
      </c>
      <c r="E1463" s="159"/>
      <c r="F1463" s="121">
        <f>Tabla5109[[#This Row],[Original Amount]]*Tabla5109[[#This Row],[ER to EUR]]</f>
        <v>0</v>
      </c>
      <c r="G1463" s="9" t="s">
        <v>2698</v>
      </c>
      <c r="H1463" s="762" t="s">
        <v>4845</v>
      </c>
      <c r="I1463" s="37" t="s">
        <v>2755</v>
      </c>
      <c r="J1463" s="9" t="s">
        <v>2701</v>
      </c>
      <c r="K1463" s="205" t="s">
        <v>2702</v>
      </c>
      <c r="L1463" s="9" t="s">
        <v>2703</v>
      </c>
      <c r="M1463" s="32" t="s">
        <v>125</v>
      </c>
      <c r="N1463" s="122" t="s">
        <v>2704</v>
      </c>
      <c r="O1463" s="129" t="s">
        <v>2704</v>
      </c>
      <c r="P1463" s="123" t="str">
        <f>"C"&amp;INT((MONTH(A1463)-1)/4)+1&amp;"-"&amp;YEAR(A1463)</f>
        <v>C1-2026</v>
      </c>
      <c r="Q1463" s="123" t="str">
        <f>"T"&amp;INT((MONTH(A1463)-1)/3)+1&amp;"-"&amp;YEAR(A1463)</f>
        <v>T2-2026</v>
      </c>
      <c r="R1463" s="124" t="s">
        <v>2741</v>
      </c>
      <c r="S1463" s="124" t="s">
        <v>2723</v>
      </c>
      <c r="T1463" s="123" t="s">
        <v>2707</v>
      </c>
      <c r="U1463" s="9" t="s">
        <v>2708</v>
      </c>
      <c r="V1463" s="205" t="s">
        <v>54</v>
      </c>
      <c r="W1463" s="122" t="s">
        <v>125</v>
      </c>
      <c r="X1463" s="123" t="s">
        <v>2709</v>
      </c>
    </row>
    <row r="1464" spans="1:24">
      <c r="A1464" s="548">
        <v>46139</v>
      </c>
      <c r="B1464" s="167"/>
      <c r="C1464" s="38" t="s">
        <v>2697</v>
      </c>
      <c r="D1464" s="757">
        <v>-2700</v>
      </c>
      <c r="E1464" s="159"/>
      <c r="F1464" s="759">
        <f>Tabla5109[[#This Row],[Original Amount]]*Tabla5109[[#This Row],[ER to EUR]]</f>
        <v>0</v>
      </c>
      <c r="G1464" s="37" t="s">
        <v>3974</v>
      </c>
      <c r="H1464" s="37" t="s">
        <v>4217</v>
      </c>
      <c r="I1464" s="37" t="s">
        <v>2727</v>
      </c>
      <c r="J1464" s="37" t="s">
        <v>2714</v>
      </c>
      <c r="K1464" s="217" t="s">
        <v>2747</v>
      </c>
      <c r="L1464" s="762" t="s">
        <v>2864</v>
      </c>
      <c r="M1464" s="38" t="s">
        <v>125</v>
      </c>
      <c r="N1464" s="122" t="s">
        <v>2704</v>
      </c>
      <c r="O1464" s="129" t="s">
        <v>2704</v>
      </c>
      <c r="P1464" s="157" t="str">
        <f>"C"&amp;INT((MONTH(A1464)-1)/4)+1&amp;"-"&amp;YEAR(A1464)</f>
        <v>C1-2026</v>
      </c>
      <c r="Q1464" s="157" t="str">
        <f>"T"&amp;INT((MONTH(A1464)-1)/3)+1&amp;"-"&amp;YEAR(A1464)</f>
        <v>T2-2026</v>
      </c>
      <c r="R1464" s="171" t="s">
        <v>2705</v>
      </c>
      <c r="S1464" s="160" t="s">
        <v>2706</v>
      </c>
      <c r="T1464" s="123" t="s">
        <v>2724</v>
      </c>
      <c r="U1464" s="165" t="s">
        <v>2708</v>
      </c>
      <c r="V1464" s="574" t="s">
        <v>56</v>
      </c>
      <c r="W1464" s="262" t="s">
        <v>125</v>
      </c>
      <c r="X1464" s="182" t="s">
        <v>2709</v>
      </c>
    </row>
    <row r="1465" spans="1:24">
      <c r="A1465" s="548">
        <v>46139</v>
      </c>
      <c r="B1465" s="640"/>
      <c r="C1465" s="38" t="s">
        <v>2697</v>
      </c>
      <c r="D1465" s="392">
        <v>-2770.32</v>
      </c>
      <c r="E1465" s="159"/>
      <c r="F1465" s="234">
        <f>Tabla5109[[#This Row],[Original Amount]]*Tabla5109[[#This Row],[ER to EUR]]</f>
        <v>0</v>
      </c>
      <c r="G1465" s="37" t="s">
        <v>2698</v>
      </c>
      <c r="H1465" s="37" t="s">
        <v>4846</v>
      </c>
      <c r="I1465" s="37" t="s">
        <v>4844</v>
      </c>
      <c r="J1465" s="37" t="s">
        <v>2701</v>
      </c>
      <c r="K1465" s="217" t="s">
        <v>2702</v>
      </c>
      <c r="L1465" t="s">
        <v>2703</v>
      </c>
      <c r="M1465" s="38" t="s">
        <v>125</v>
      </c>
      <c r="N1465" s="122" t="s">
        <v>2704</v>
      </c>
      <c r="O1465" s="129" t="s">
        <v>2704</v>
      </c>
      <c r="P1465" s="157" t="str">
        <f>"C"&amp;INT((MONTH(A1465)-1)/4)+1&amp;"-"&amp;YEAR(A1465)</f>
        <v>C1-2026</v>
      </c>
      <c r="Q1465" s="157" t="str">
        <f>"T"&amp;INT((MONTH(A1465)-1)/3)+1&amp;"-"&amp;YEAR(A1465)</f>
        <v>T2-2026</v>
      </c>
      <c r="R1465" s="160" t="s">
        <v>2741</v>
      </c>
      <c r="S1465" s="160" t="s">
        <v>2723</v>
      </c>
      <c r="T1465" s="123" t="s">
        <v>2707</v>
      </c>
      <c r="U1465" s="165" t="s">
        <v>2708</v>
      </c>
      <c r="V1465" s="574" t="s">
        <v>54</v>
      </c>
      <c r="W1465" s="262" t="s">
        <v>125</v>
      </c>
      <c r="X1465" s="182" t="s">
        <v>2709</v>
      </c>
    </row>
    <row r="1466" spans="1:24">
      <c r="A1466" s="548">
        <v>46140</v>
      </c>
      <c r="B1466" s="755" t="s">
        <v>2871</v>
      </c>
      <c r="C1466" s="38" t="s">
        <v>2543</v>
      </c>
      <c r="D1466" s="242">
        <v>-8256632</v>
      </c>
      <c r="E1466" s="38"/>
      <c r="F1466" s="759">
        <f>Tabla5109[[#This Row],[Original Amount]]*Tabla5109[[#This Row],[ER to EUR]]</f>
        <v>0</v>
      </c>
      <c r="G1466" s="37" t="s">
        <v>2877</v>
      </c>
      <c r="H1466" s="37" t="s">
        <v>4909</v>
      </c>
      <c r="I1466" s="37" t="s">
        <v>2713</v>
      </c>
      <c r="J1466" s="37" t="s">
        <v>2770</v>
      </c>
      <c r="K1466" s="217" t="s">
        <v>2874</v>
      </c>
      <c r="L1466" t="s">
        <v>2875</v>
      </c>
      <c r="M1466" s="231" t="s">
        <v>2748</v>
      </c>
      <c r="N1466" s="122" t="s">
        <v>2748</v>
      </c>
      <c r="O1466" s="129" t="s">
        <v>2748</v>
      </c>
      <c r="P1466" s="157" t="str">
        <f>"C"&amp;INT((MONTH(A1466)-1)/4)+1&amp;"-"&amp;YEAR(A1466)</f>
        <v>C1-2026</v>
      </c>
      <c r="Q1466" s="157" t="str">
        <f>"T"&amp;INT((MONTH(A1466)-1)/3)+1&amp;"-"&amp;YEAR(A1466)</f>
        <v>T2-2026</v>
      </c>
      <c r="R1466" s="171" t="s">
        <v>2749</v>
      </c>
      <c r="S1466" s="160" t="s">
        <v>2750</v>
      </c>
      <c r="T1466" s="123" t="s">
        <v>2724</v>
      </c>
      <c r="U1466" s="165" t="s">
        <v>2708</v>
      </c>
      <c r="V1466" s="574" t="s">
        <v>54</v>
      </c>
      <c r="W1466" s="262" t="s">
        <v>125</v>
      </c>
      <c r="X1466" s="182" t="s">
        <v>2751</v>
      </c>
    </row>
    <row r="1467" spans="1:24">
      <c r="A1467" s="548">
        <v>46140</v>
      </c>
      <c r="B1467" s="178"/>
      <c r="C1467" s="38" t="s">
        <v>2697</v>
      </c>
      <c r="D1467" s="392">
        <v>-19.989999999999998</v>
      </c>
      <c r="E1467" s="159"/>
      <c r="F1467" s="234">
        <f>Tabla5109[[#This Row],[Original Amount]]*Tabla5109[[#This Row],[ER to EUR]]</f>
        <v>0</v>
      </c>
      <c r="G1467" s="37" t="s">
        <v>2830</v>
      </c>
      <c r="H1467" s="37" t="s">
        <v>4117</v>
      </c>
      <c r="I1467" s="37" t="s">
        <v>2784</v>
      </c>
      <c r="J1467" s="37" t="s">
        <v>2817</v>
      </c>
      <c r="K1467" s="217" t="s">
        <v>2702</v>
      </c>
      <c r="L1467" t="s">
        <v>2818</v>
      </c>
      <c r="M1467" s="38" t="s">
        <v>125</v>
      </c>
      <c r="N1467" s="122" t="s">
        <v>2704</v>
      </c>
      <c r="O1467" s="129" t="s">
        <v>2704</v>
      </c>
      <c r="P1467" s="157" t="str">
        <f>"C"&amp;INT((MONTH(A1467)-1)/4)+1&amp;"-"&amp;YEAR(A1467)</f>
        <v>C1-2026</v>
      </c>
      <c r="Q1467" s="157" t="str">
        <f>"T"&amp;INT((MONTH(A1467)-1)/3)+1&amp;"-"&amp;YEAR(A1467)</f>
        <v>T2-2026</v>
      </c>
      <c r="R1467" s="160" t="s">
        <v>2722</v>
      </c>
      <c r="S1467" s="160" t="s">
        <v>2723</v>
      </c>
      <c r="T1467" s="123" t="s">
        <v>2724</v>
      </c>
      <c r="U1467" s="165" t="s">
        <v>2708</v>
      </c>
      <c r="V1467" s="574" t="s">
        <v>54</v>
      </c>
      <c r="W1467" s="262" t="s">
        <v>125</v>
      </c>
      <c r="X1467" s="182" t="s">
        <v>2709</v>
      </c>
    </row>
    <row r="1468" spans="1:24">
      <c r="A1468" s="548">
        <v>46140</v>
      </c>
      <c r="B1468" s="178"/>
      <c r="C1468" s="38" t="s">
        <v>2697</v>
      </c>
      <c r="D1468" s="757">
        <v>-334.64</v>
      </c>
      <c r="E1468" s="159"/>
      <c r="F1468" s="759">
        <f>Tabla5109[[#This Row],[Original Amount]]*Tabla5109[[#This Row],[ER to EUR]]</f>
        <v>0</v>
      </c>
      <c r="G1468" s="37" t="s">
        <v>4224</v>
      </c>
      <c r="H1468" s="37" t="s">
        <v>4225</v>
      </c>
      <c r="I1468" s="37" t="s">
        <v>4072</v>
      </c>
      <c r="J1468" s="37" t="s">
        <v>2701</v>
      </c>
      <c r="K1468" s="217" t="s">
        <v>2702</v>
      </c>
      <c r="L1468" s="62" t="s">
        <v>2793</v>
      </c>
      <c r="M1468" s="718" t="s">
        <v>125</v>
      </c>
      <c r="N1468" s="122" t="s">
        <v>2704</v>
      </c>
      <c r="O1468" s="129" t="s">
        <v>2704</v>
      </c>
      <c r="P1468" s="157" t="str">
        <f>"C"&amp;INT((MONTH(A1468)-1)/4)+1&amp;"-"&amp;YEAR(A1468)</f>
        <v>C1-2026</v>
      </c>
      <c r="Q1468" s="157" t="str">
        <f>"T"&amp;INT((MONTH(A1468)-1)/3)+1&amp;"-"&amp;YEAR(A1468)</f>
        <v>T2-2026</v>
      </c>
      <c r="R1468" s="171" t="s">
        <v>2794</v>
      </c>
      <c r="S1468" s="160" t="s">
        <v>2731</v>
      </c>
      <c r="T1468" s="123" t="s">
        <v>2724</v>
      </c>
      <c r="U1468" s="165" t="s">
        <v>2708</v>
      </c>
      <c r="V1468" s="574" t="s">
        <v>54</v>
      </c>
      <c r="W1468" s="262" t="s">
        <v>125</v>
      </c>
      <c r="X1468" s="182" t="s">
        <v>2709</v>
      </c>
    </row>
    <row r="1469" spans="1:24">
      <c r="A1469" s="548">
        <v>46140</v>
      </c>
      <c r="B1469" s="178"/>
      <c r="C1469" s="38" t="s">
        <v>2697</v>
      </c>
      <c r="D1469" s="392">
        <v>-62.49</v>
      </c>
      <c r="E1469" s="159"/>
      <c r="F1469" s="234">
        <f>Tabla5109[[#This Row],[Original Amount]]*Tabla5109[[#This Row],[ER to EUR]]</f>
        <v>0</v>
      </c>
      <c r="G1469" s="37" t="s">
        <v>2956</v>
      </c>
      <c r="H1469" s="180" t="s">
        <v>3214</v>
      </c>
      <c r="I1469" s="37" t="s">
        <v>2739</v>
      </c>
      <c r="J1469" s="37" t="s">
        <v>2701</v>
      </c>
      <c r="K1469" s="217" t="s">
        <v>2702</v>
      </c>
      <c r="L1469" t="s">
        <v>2740</v>
      </c>
      <c r="M1469" s="38" t="s">
        <v>125</v>
      </c>
      <c r="N1469" s="122" t="s">
        <v>2748</v>
      </c>
      <c r="O1469" s="129" t="s">
        <v>2748</v>
      </c>
      <c r="P1469" s="157" t="str">
        <f>"C"&amp;INT((MONTH(A1469)-1)/4)+1&amp;"-"&amp;YEAR(A1469)</f>
        <v>C1-2026</v>
      </c>
      <c r="Q1469" s="157" t="str">
        <f>"T"&amp;INT((MONTH(A1469)-1)/3)+1&amp;"-"&amp;YEAR(A1469)</f>
        <v>T2-2026</v>
      </c>
      <c r="R1469" s="160" t="s">
        <v>2705</v>
      </c>
      <c r="S1469" s="160" t="s">
        <v>2706</v>
      </c>
      <c r="T1469" s="123" t="s">
        <v>2724</v>
      </c>
      <c r="U1469" s="165" t="s">
        <v>2708</v>
      </c>
      <c r="V1469" s="574" t="s">
        <v>54</v>
      </c>
      <c r="W1469" s="262" t="s">
        <v>125</v>
      </c>
      <c r="X1469" s="182" t="s">
        <v>2709</v>
      </c>
    </row>
    <row r="1470" spans="1:24">
      <c r="A1470" s="548">
        <v>46140</v>
      </c>
      <c r="B1470" s="702" t="s">
        <v>2871</v>
      </c>
      <c r="C1470" s="38" t="s">
        <v>2697</v>
      </c>
      <c r="D1470" s="392">
        <v>-9065</v>
      </c>
      <c r="E1470" s="159"/>
      <c r="F1470" s="759">
        <f>Tabla5109[[#This Row],[Original Amount]]*Tabla5109[[#This Row],[ER to EUR]]</f>
        <v>0</v>
      </c>
      <c r="G1470" s="37" t="s">
        <v>3717</v>
      </c>
      <c r="H1470" s="37" t="s">
        <v>4908</v>
      </c>
      <c r="I1470" s="171" t="s">
        <v>2713</v>
      </c>
      <c r="J1470" s="171" t="s">
        <v>2770</v>
      </c>
      <c r="K1470" s="411" t="s">
        <v>2874</v>
      </c>
      <c r="L1470" s="21" t="s">
        <v>2875</v>
      </c>
      <c r="M1470" s="408" t="s">
        <v>125</v>
      </c>
      <c r="N1470" s="129" t="s">
        <v>2748</v>
      </c>
      <c r="O1470" s="129" t="s">
        <v>2748</v>
      </c>
      <c r="P1470" s="157" t="str">
        <f>"C"&amp;INT((MONTH(A1470)-1)/4)+1&amp;"-"&amp;YEAR(A1470)</f>
        <v>C1-2026</v>
      </c>
      <c r="Q1470" s="157" t="str">
        <f>"T"&amp;INT((MONTH(A1470)-1)/3)+1&amp;"-"&amp;YEAR(A1470)</f>
        <v>T2-2026</v>
      </c>
      <c r="R1470" s="171" t="s">
        <v>2705</v>
      </c>
      <c r="S1470" s="160" t="s">
        <v>2706</v>
      </c>
      <c r="T1470" s="123" t="s">
        <v>2717</v>
      </c>
      <c r="U1470" s="165" t="s">
        <v>2708</v>
      </c>
      <c r="V1470" s="574" t="s">
        <v>56</v>
      </c>
      <c r="W1470" s="262" t="s">
        <v>125</v>
      </c>
      <c r="X1470" s="182" t="s">
        <v>2709</v>
      </c>
    </row>
    <row r="1471" spans="1:24">
      <c r="A1471" s="548">
        <v>46140</v>
      </c>
      <c r="B1471" s="702" t="s">
        <v>2871</v>
      </c>
      <c r="C1471" s="38" t="s">
        <v>2697</v>
      </c>
      <c r="D1471" s="392">
        <v>-5671.18</v>
      </c>
      <c r="E1471" s="159"/>
      <c r="F1471" s="234">
        <f>Tabla5109[[#This Row],[Original Amount]]*Tabla5109[[#This Row],[ER to EUR]]</f>
        <v>0</v>
      </c>
      <c r="G1471" s="37" t="s">
        <v>3257</v>
      </c>
      <c r="H1471" s="37" t="s">
        <v>4908</v>
      </c>
      <c r="I1471" s="171" t="s">
        <v>2713</v>
      </c>
      <c r="J1471" s="171" t="s">
        <v>2770</v>
      </c>
      <c r="K1471" s="411" t="s">
        <v>2874</v>
      </c>
      <c r="L1471" s="21" t="s">
        <v>2875</v>
      </c>
      <c r="M1471" s="408" t="s">
        <v>125</v>
      </c>
      <c r="N1471" s="129" t="s">
        <v>2748</v>
      </c>
      <c r="O1471" s="129" t="s">
        <v>2748</v>
      </c>
      <c r="P1471" s="157" t="str">
        <f>"C"&amp;INT((MONTH(A1471)-1)/4)+1&amp;"-"&amp;YEAR(A1471)</f>
        <v>C1-2026</v>
      </c>
      <c r="Q1471" s="157" t="str">
        <f>"T"&amp;INT((MONTH(A1471)-1)/3)+1&amp;"-"&amp;YEAR(A1471)</f>
        <v>T2-2026</v>
      </c>
      <c r="R1471" s="171" t="s">
        <v>2705</v>
      </c>
      <c r="S1471" s="160" t="s">
        <v>2706</v>
      </c>
      <c r="T1471" s="123" t="s">
        <v>2717</v>
      </c>
      <c r="U1471" s="165" t="s">
        <v>2708</v>
      </c>
      <c r="V1471" s="574" t="s">
        <v>56</v>
      </c>
      <c r="W1471" s="262" t="s">
        <v>125</v>
      </c>
      <c r="X1471" s="182" t="s">
        <v>2709</v>
      </c>
    </row>
    <row r="1472" spans="1:24">
      <c r="A1472" s="548">
        <v>46140</v>
      </c>
      <c r="B1472" s="702" t="s">
        <v>2871</v>
      </c>
      <c r="C1472" s="38" t="s">
        <v>2697</v>
      </c>
      <c r="D1472" s="757">
        <v>-11730.13</v>
      </c>
      <c r="E1472" s="159"/>
      <c r="F1472" s="759">
        <f>Tabla5109[[#This Row],[Original Amount]]*Tabla5109[[#This Row],[ER to EUR]]</f>
        <v>0</v>
      </c>
      <c r="G1472" s="37" t="s">
        <v>3844</v>
      </c>
      <c r="H1472" s="37" t="s">
        <v>4908</v>
      </c>
      <c r="I1472" s="171" t="s">
        <v>2713</v>
      </c>
      <c r="J1472" s="171" t="s">
        <v>2770</v>
      </c>
      <c r="K1472" s="411" t="s">
        <v>2874</v>
      </c>
      <c r="L1472" s="21" t="s">
        <v>2875</v>
      </c>
      <c r="M1472" s="408" t="s">
        <v>125</v>
      </c>
      <c r="N1472" s="129" t="s">
        <v>2748</v>
      </c>
      <c r="O1472" s="129" t="s">
        <v>2748</v>
      </c>
      <c r="P1472" s="157" t="str">
        <f>"C"&amp;INT((MONTH(A1472)-1)/4)+1&amp;"-"&amp;YEAR(A1472)</f>
        <v>C1-2026</v>
      </c>
      <c r="Q1472" s="157" t="str">
        <f>"T"&amp;INT((MONTH(A1472)-1)/3)+1&amp;"-"&amp;YEAR(A1472)</f>
        <v>T2-2026</v>
      </c>
      <c r="R1472" s="171" t="s">
        <v>2705</v>
      </c>
      <c r="S1472" s="160" t="s">
        <v>2706</v>
      </c>
      <c r="T1472" s="123" t="s">
        <v>2717</v>
      </c>
      <c r="U1472" s="165" t="s">
        <v>2708</v>
      </c>
      <c r="V1472" s="574" t="s">
        <v>56</v>
      </c>
      <c r="W1472" s="262" t="s">
        <v>125</v>
      </c>
      <c r="X1472" s="182" t="s">
        <v>2709</v>
      </c>
    </row>
    <row r="1473" spans="1:24">
      <c r="A1473" s="548">
        <v>46140</v>
      </c>
      <c r="B1473" s="702" t="s">
        <v>2871</v>
      </c>
      <c r="C1473" s="38" t="s">
        <v>2543</v>
      </c>
      <c r="D1473" s="643">
        <v>-1687098</v>
      </c>
      <c r="E1473" s="38"/>
      <c r="F1473" s="234">
        <f>Tabla5109[[#This Row],[Original Amount]]*Tabla5109[[#This Row],[ER to EUR]]</f>
        <v>0</v>
      </c>
      <c r="G1473" s="171" t="s">
        <v>2872</v>
      </c>
      <c r="H1473" s="37" t="s">
        <v>4909</v>
      </c>
      <c r="I1473" s="37" t="s">
        <v>2713</v>
      </c>
      <c r="J1473" s="37" t="s">
        <v>2770</v>
      </c>
      <c r="K1473" s="217" t="s">
        <v>2874</v>
      </c>
      <c r="L1473" t="s">
        <v>2875</v>
      </c>
      <c r="M1473" s="231" t="s">
        <v>2748</v>
      </c>
      <c r="N1473" s="122" t="s">
        <v>2748</v>
      </c>
      <c r="O1473" s="129" t="s">
        <v>2748</v>
      </c>
      <c r="P1473" s="157" t="str">
        <f>"C"&amp;INT((MONTH(A1473)-1)/4)+1&amp;"-"&amp;YEAR(A1473)</f>
        <v>C1-2026</v>
      </c>
      <c r="Q1473" s="157" t="str">
        <f>"T"&amp;INT((MONTH(A1473)-1)/3)+1&amp;"-"&amp;YEAR(A1473)</f>
        <v>T2-2026</v>
      </c>
      <c r="R1473" s="171" t="s">
        <v>2749</v>
      </c>
      <c r="S1473" s="160" t="s">
        <v>2750</v>
      </c>
      <c r="T1473" s="123" t="s">
        <v>2724</v>
      </c>
      <c r="U1473" s="165" t="s">
        <v>2708</v>
      </c>
      <c r="V1473" s="574" t="s">
        <v>54</v>
      </c>
      <c r="W1473" s="262" t="s">
        <v>125</v>
      </c>
      <c r="X1473" s="182" t="s">
        <v>2751</v>
      </c>
    </row>
    <row r="1474" spans="1:24">
      <c r="A1474" s="548">
        <v>46140</v>
      </c>
      <c r="B1474" s="702" t="s">
        <v>2871</v>
      </c>
      <c r="C1474" s="38" t="s">
        <v>2543</v>
      </c>
      <c r="D1474" s="643">
        <v>-10208452</v>
      </c>
      <c r="E1474" s="38"/>
      <c r="F1474" s="759">
        <f>Tabla5109[[#This Row],[Original Amount]]*Tabla5109[[#This Row],[ER to EUR]]</f>
        <v>0</v>
      </c>
      <c r="G1474" s="37" t="s">
        <v>2876</v>
      </c>
      <c r="H1474" s="37" t="s">
        <v>4909</v>
      </c>
      <c r="I1474" s="37" t="s">
        <v>2713</v>
      </c>
      <c r="J1474" s="37" t="s">
        <v>2770</v>
      </c>
      <c r="K1474" s="217" t="s">
        <v>2874</v>
      </c>
      <c r="L1474" t="s">
        <v>2875</v>
      </c>
      <c r="M1474" s="231" t="s">
        <v>2748</v>
      </c>
      <c r="N1474" s="122" t="s">
        <v>2748</v>
      </c>
      <c r="O1474" s="129" t="s">
        <v>2748</v>
      </c>
      <c r="P1474" s="157" t="str">
        <f>"C"&amp;INT((MONTH(A1474)-1)/4)+1&amp;"-"&amp;YEAR(A1474)</f>
        <v>C1-2026</v>
      </c>
      <c r="Q1474" s="157" t="str">
        <f>"T"&amp;INT((MONTH(A1474)-1)/3)+1&amp;"-"&amp;YEAR(A1474)</f>
        <v>T2-2026</v>
      </c>
      <c r="R1474" s="171" t="s">
        <v>2749</v>
      </c>
      <c r="S1474" s="160" t="s">
        <v>2750</v>
      </c>
      <c r="T1474" s="123" t="s">
        <v>2724</v>
      </c>
      <c r="U1474" s="165" t="s">
        <v>2708</v>
      </c>
      <c r="V1474" s="574" t="s">
        <v>54</v>
      </c>
      <c r="W1474" s="262" t="s">
        <v>125</v>
      </c>
      <c r="X1474" s="182" t="s">
        <v>2751</v>
      </c>
    </row>
    <row r="1475" spans="1:24">
      <c r="A1475" s="548">
        <v>46140</v>
      </c>
      <c r="B1475" s="702" t="s">
        <v>2871</v>
      </c>
      <c r="C1475" s="38" t="s">
        <v>2543</v>
      </c>
      <c r="D1475" s="643">
        <v>-7834263</v>
      </c>
      <c r="E1475" s="38"/>
      <c r="F1475" s="234">
        <f>Tabla5109[[#This Row],[Original Amount]]*Tabla5109[[#This Row],[ER to EUR]]</f>
        <v>0</v>
      </c>
      <c r="G1475" s="37" t="s">
        <v>3257</v>
      </c>
      <c r="H1475" s="37" t="s">
        <v>4909</v>
      </c>
      <c r="I1475" s="37" t="s">
        <v>2713</v>
      </c>
      <c r="J1475" s="37" t="s">
        <v>2770</v>
      </c>
      <c r="K1475" s="217" t="s">
        <v>2874</v>
      </c>
      <c r="L1475" t="s">
        <v>2875</v>
      </c>
      <c r="M1475" s="231" t="s">
        <v>2748</v>
      </c>
      <c r="N1475" s="122" t="s">
        <v>2748</v>
      </c>
      <c r="O1475" s="129" t="s">
        <v>2748</v>
      </c>
      <c r="P1475" s="157" t="str">
        <f>"C"&amp;INT((MONTH(A1475)-1)/4)+1&amp;"-"&amp;YEAR(A1475)</f>
        <v>C1-2026</v>
      </c>
      <c r="Q1475" s="157" t="str">
        <f>"T"&amp;INT((MONTH(A1475)-1)/3)+1&amp;"-"&amp;YEAR(A1475)</f>
        <v>T2-2026</v>
      </c>
      <c r="R1475" s="171" t="s">
        <v>2749</v>
      </c>
      <c r="S1475" s="160" t="s">
        <v>2750</v>
      </c>
      <c r="T1475" s="123" t="s">
        <v>2724</v>
      </c>
      <c r="U1475" s="165" t="s">
        <v>2708</v>
      </c>
      <c r="V1475" s="574" t="s">
        <v>54</v>
      </c>
      <c r="W1475" s="262" t="s">
        <v>125</v>
      </c>
      <c r="X1475" s="182" t="s">
        <v>2751</v>
      </c>
    </row>
    <row r="1476" spans="1:24">
      <c r="A1476" s="548">
        <v>46140</v>
      </c>
      <c r="B1476" s="194" t="s">
        <v>2871</v>
      </c>
      <c r="C1476" s="38" t="s">
        <v>2543</v>
      </c>
      <c r="D1476" s="152">
        <v>-2520418</v>
      </c>
      <c r="E1476" s="38"/>
      <c r="F1476" s="121">
        <f>Tabla5109[[#This Row],[Original Amount]]*Tabla5109[[#This Row],[ER to EUR]]</f>
        <v>0</v>
      </c>
      <c r="G1476" s="9" t="s">
        <v>3436</v>
      </c>
      <c r="H1476" s="9" t="s">
        <v>4909</v>
      </c>
      <c r="I1476" s="9" t="s">
        <v>2713</v>
      </c>
      <c r="J1476" s="9" t="s">
        <v>2770</v>
      </c>
      <c r="K1476" s="205" t="s">
        <v>2874</v>
      </c>
      <c r="L1476" s="9" t="s">
        <v>2875</v>
      </c>
      <c r="M1476" s="227" t="s">
        <v>2748</v>
      </c>
      <c r="N1476" s="122" t="s">
        <v>2748</v>
      </c>
      <c r="O1476" s="129" t="s">
        <v>2748</v>
      </c>
      <c r="P1476" s="123" t="str">
        <f>"C"&amp;INT((MONTH(A1476)-1)/4)+1&amp;"-"&amp;YEAR(A1476)</f>
        <v>C1-2026</v>
      </c>
      <c r="Q1476" s="123" t="str">
        <f>"T"&amp;INT((MONTH(A1476)-1)/3)+1&amp;"-"&amp;YEAR(A1476)</f>
        <v>T2-2026</v>
      </c>
      <c r="R1476" s="91" t="s">
        <v>2749</v>
      </c>
      <c r="S1476" s="124" t="s">
        <v>2750</v>
      </c>
      <c r="T1476" s="123" t="s">
        <v>2724</v>
      </c>
      <c r="U1476" s="9" t="s">
        <v>2708</v>
      </c>
      <c r="V1476" s="205" t="s">
        <v>54</v>
      </c>
      <c r="W1476" s="122" t="s">
        <v>125</v>
      </c>
      <c r="X1476" s="123" t="s">
        <v>2751</v>
      </c>
    </row>
  </sheetData>
  <phoneticPr fontId="7" type="noConversion"/>
  <dataValidations disablePrompts="1" count="3">
    <dataValidation type="list" allowBlank="1" showInputMessage="1" showErrorMessage="1" sqref="T128:T251 T550:T660 T396:T474 T2:T126 T713 T253:T328 T330:T394 T476:T548 T662:T671 T673:T682 T684:T687 T689:T698 T700:T710 T812:T846 T719:T742 T716:T717 T744:T810 T1013:T1200 T923:T1011 T1202:T1287 T1289:T1367 T1369:T1433 T848:T921 T1435:T1048576" xr:uid="{F3144193-B2A0-9E46-8594-99CF5D212703}">
      <formula1>"Costo fijo, Costo único,Costo variable"</formula1>
    </dataValidation>
    <dataValidation type="list" allowBlank="1" showInputMessage="1" showErrorMessage="1" sqref="U1202:U1287 U1289:U1367 U1369:U1433 U2:U1200 U1435:U1048576" xr:uid="{9FC97015-0BC0-BD4C-BB3F-CDA31FC3958B}">
      <formula1>"OPEX,CAPEX,COR"</formula1>
    </dataValidation>
    <dataValidation type="list" allowBlank="1" showInputMessage="1" showErrorMessage="1" sqref="V1202:V1287 V1289:V1367 V1369:V1433 V2:V1200 V1435:V1048576" xr:uid="{70280A46-BB56-5243-82F4-25C76A790A61}">
      <formula1>"Sales &amp; Marketing,Research &amp; Development,General &amp; Administrative,Customer Success"</formula1>
    </dataValidation>
  </dataValidations>
  <hyperlinks>
    <hyperlink ref="B535" r:id="rId1" display="../../../../:b:/g/personal/sarellano_no-mii_com/EfLka6TMEIJCqx7hntTAhrMBe26NJPSkBYJIXS9ETdfbAQ?e=PLYD0T" xr:uid="{1BA1067F-02C3-E342-8CAF-7200567B5627}"/>
    <hyperlink ref="B534" r:id="rId2" display="../../../../:b:/g/personal/sarellano_no-mii_com/ES65XGIDRytHtGSVR00l2FgBDFohLpKdNLpw7bhcVriAFg?e=IdGpeN" xr:uid="{AA690DB4-24A6-2744-8E6D-42AD02AC47F5}"/>
    <hyperlink ref="B537" r:id="rId3" xr:uid="{15FEAD50-C789-6A4D-89E6-6F2AA0D42304}"/>
    <hyperlink ref="B543" r:id="rId4" xr:uid="{62C2CAB7-80E3-8D4F-B33D-F51551DEAC3B}"/>
    <hyperlink ref="B578" r:id="rId5" xr:uid="{1CB1E862-0108-BE46-A3CF-B4C855E9B3C3}"/>
    <hyperlink ref="B520" r:id="rId6" xr:uid="{78DA36D6-8ACD-5248-A6EE-104685CD3E58}"/>
    <hyperlink ref="B539" r:id="rId7" xr:uid="{E098F842-12CF-0349-B3D0-9EE630B93588}"/>
    <hyperlink ref="B568" r:id="rId8" xr:uid="{88E64D61-C490-8243-BEF1-61BCC49C17F7}"/>
    <hyperlink ref="B468" r:id="rId9" xr:uid="{881829BC-D3A9-9D4D-8055-F0C54FDE5D8A}"/>
    <hyperlink ref="B442" r:id="rId10" xr:uid="{44431B1F-636E-434D-8E0D-083B44402182}"/>
    <hyperlink ref="B486" r:id="rId11" xr:uid="{A11944E2-66EA-724F-9D96-8E6EC79A28AB}"/>
    <hyperlink ref="B510" r:id="rId12" xr:uid="{2FE78F3F-8B83-E84E-BBA5-8F418787D363}"/>
    <hyperlink ref="B459" r:id="rId13" xr:uid="{EC3AF56F-70D9-D548-9EAF-A2AC429BEE72}"/>
    <hyperlink ref="B470" r:id="rId14" xr:uid="{EEBDC904-FECA-EE4A-B764-E3406494569C}"/>
    <hyperlink ref="B500" r:id="rId15" xr:uid="{6ED73589-A259-BC41-AF02-D1E23B914CD4}"/>
    <hyperlink ref="B456" r:id="rId16" xr:uid="{9D1B0BCB-C3A5-FD49-8145-C0EF96EA0A03}"/>
    <hyperlink ref="B474" r:id="rId17" xr:uid="{44345694-78DC-7E42-98E0-CFB05D827E7D}"/>
    <hyperlink ref="B491" r:id="rId18" xr:uid="{8C804AE2-88FF-3341-A8D8-C2DF654E4AE2}"/>
    <hyperlink ref="B440" r:id="rId19" xr:uid="{14D378C6-041E-1244-96B7-260FA6395A87}"/>
    <hyperlink ref="B409" r:id="rId20" xr:uid="{997376B2-9D58-3541-9F64-072D88CD66B7}"/>
    <hyperlink ref="B374" r:id="rId21" display="../../../../:b:/g/personal/sarellano_no-mii_com/ER9dMg41KRhHgjlmJFLHpJ8BuEte-gA8FQbC5HmXJPDbnA?e=Xcu02z" xr:uid="{DF89315A-72B5-6E43-9731-1BEBE2EBFA29}"/>
    <hyperlink ref="B413" r:id="rId22" xr:uid="{2712835F-59B1-6040-B7D5-4B20DF55E245}"/>
    <hyperlink ref="B404" r:id="rId23" xr:uid="{44D87888-0ACE-FD4B-A4DB-6D90D4E7E0BE}"/>
    <hyperlink ref="B509" r:id="rId24" xr:uid="{F7882157-E78F-B04B-A042-DB74AA1059F8}"/>
    <hyperlink ref="B392" r:id="rId25" xr:uid="{E6B5D8CE-2B66-AB47-988B-B66111F7F28A}"/>
    <hyperlink ref="B410" r:id="rId26" xr:uid="{76D1B5DA-78DF-A548-9ABC-4CD70BDF8171}"/>
    <hyperlink ref="B352" r:id="rId27" xr:uid="{61447946-C2C9-9042-8AA8-8942F6AF4E8B}"/>
    <hyperlink ref="B300" r:id="rId28" xr:uid="{58A3E1B7-D97E-144C-9C68-5B981D75DB5F}"/>
    <hyperlink ref="B342" r:id="rId29" xr:uid="{E43AD98F-77F8-3147-BF85-A8F3F2412324}"/>
    <hyperlink ref="B317" r:id="rId30" xr:uid="{C2703C66-0DF7-DA47-9ABD-9CA9C43DA8FE}"/>
    <hyperlink ref="B248" r:id="rId31" xr:uid="{D5FE26D5-6984-3C4C-9E18-D2F1F608C385}"/>
    <hyperlink ref="B218" r:id="rId32" xr:uid="{F2F0F807-B18F-5A43-B7B1-E2F4728C21F4}"/>
    <hyperlink ref="B254" r:id="rId33" display="1214507484/08" xr:uid="{0E013C42-F757-9A46-B9BD-5EBC4A24A544}"/>
    <hyperlink ref="B166" r:id="rId34" xr:uid="{D20A567F-24EF-9E49-B06C-D7518B69BA13}"/>
    <hyperlink ref="B69" r:id="rId35" xr:uid="{E4E39F84-166E-514B-B919-2C8E64AD06CD}"/>
    <hyperlink ref="B128" r:id="rId36" xr:uid="{9AB960E7-8F69-3745-ABE3-6E31CC387385}"/>
    <hyperlink ref="B59" r:id="rId37" xr:uid="{39E3AA1A-A331-414E-AB96-63D338C1E388}"/>
    <hyperlink ref="B581" r:id="rId38" display="../../../../:b:/g/personal/sarellano_no-mii_com/Ef-_o69C_1BFhUqJoZKIZYQBy0LBTm251wFuIsvlkj3sRQ?e=04gZki" xr:uid="{0775572E-3AEA-CA43-9B81-2CC19D20D1E0}"/>
    <hyperlink ref="B152" r:id="rId39" xr:uid="{6C241155-8B29-0F4E-9B6A-F1AF046874BC}"/>
    <hyperlink ref="B24" r:id="rId40" xr:uid="{66273135-6896-FD4A-8462-3FF4854CBE7A}"/>
    <hyperlink ref="B38" r:id="rId41" xr:uid="{434468F8-8ACC-4348-9FAB-FAB0110A8F47}"/>
    <hyperlink ref="B37" r:id="rId42" xr:uid="{31232AFF-7E8C-4F4C-97AF-7F31BE9AD8E3}"/>
    <hyperlink ref="B35" r:id="rId43" xr:uid="{1D61E108-FFFA-6C4F-A921-7336A3EF6B9B}"/>
    <hyperlink ref="B40" r:id="rId44" xr:uid="{34684F5A-ADDA-1541-9C80-F362FDBE4669}"/>
    <hyperlink ref="B526" r:id="rId45" xr:uid="{745D3E52-8F9D-874A-8BA5-709D8D6C4148}"/>
    <hyperlink ref="B5" r:id="rId46" display="../../../../:b:/g/personal/sarellano_no-mii_com/ETBtl6TPJgJCtjfvCOGjB_UB7RPcL1gYaAu1jvoKYYaThw?e=Wf67A7" xr:uid="{27C42C39-E3C0-0448-8831-A90C4F00120E}"/>
    <hyperlink ref="B9" r:id="rId47" xr:uid="{CC4E90FF-A29F-2C43-BE81-A53168CC0B95}"/>
    <hyperlink ref="B8" r:id="rId48" xr:uid="{7567A1F1-00E6-FC4C-847F-553217AAD8F8}"/>
    <hyperlink ref="B6" r:id="rId49" xr:uid="{AAC69B14-5FFF-2544-B181-C29D27AD0D10}"/>
    <hyperlink ref="B529" r:id="rId50" xr:uid="{B6715F06-EB67-2943-8CEA-4EA42E694627}"/>
    <hyperlink ref="B517" r:id="rId51" xr:uid="{ABC06C2F-1686-C542-AB94-D6D2747C6884}"/>
    <hyperlink ref="B508" r:id="rId52" xr:uid="{736FCBDA-F905-1147-92F3-0FC05C7999A6}"/>
    <hyperlink ref="B476" r:id="rId53" xr:uid="{2678A50A-F0CE-954C-9F32-D73889486161}"/>
    <hyperlink ref="B441" r:id="rId54" xr:uid="{128FCE55-9D87-4547-9A11-84CAF9862235}"/>
    <hyperlink ref="B375" r:id="rId55" display="../../../../:b:/g/personal/sarellano_no-mii_com/EX_BO1Dw0dBEmntbFpz_w54BN5g3ojDY_tFQ9tEU59J84Q?e=5qpaNO" xr:uid="{71EE9B23-B2DE-2F40-85FB-30ACA30D8038}"/>
    <hyperlink ref="B294" r:id="rId56" xr:uid="{56916535-8D8A-3643-9AC7-229E23CFC9DB}"/>
    <hyperlink ref="B214" r:id="rId57" xr:uid="{04D13B57-8E37-D14E-8F2D-927F8E19B671}"/>
    <hyperlink ref="B60" r:id="rId58" xr:uid="{787124A9-C2A2-4243-A57D-2280EBA39C01}"/>
    <hyperlink ref="B19" r:id="rId59" xr:uid="{09EFAC8E-01F4-2941-8C05-7F2BA9BEBF3A}"/>
    <hyperlink ref="B7" r:id="rId60" xr:uid="{C4E20CE9-454B-C548-9E2E-2E9409384A45}"/>
    <hyperlink ref="B65" r:id="rId61" xr:uid="{EF6EB982-8FC1-C849-9412-88D15FF35DDE}"/>
    <hyperlink ref="B66" r:id="rId62" xr:uid="{326C0055-C0E2-D443-96E1-48A7EE599FB4}"/>
    <hyperlink ref="B68" r:id="rId63" xr:uid="{6C3EC80E-D2AB-0341-9F5F-8B9BEFE25D62}"/>
    <hyperlink ref="B113" r:id="rId64" xr:uid="{83DF9179-2BEB-9145-8341-8B9C5DE69E80}"/>
    <hyperlink ref="B70" r:id="rId65" xr:uid="{54FDD6BA-DBEB-8244-B8D3-C9CB00E572AA}"/>
    <hyperlink ref="B71" r:id="rId66" xr:uid="{E0C0C1A6-8EA9-854B-9747-18C70B85FA4A}"/>
    <hyperlink ref="B67" r:id="rId67" xr:uid="{4B77700D-5911-084B-81C8-F640B415DD86}"/>
    <hyperlink ref="B96" r:id="rId68" xr:uid="{EFA21B97-D889-6B41-AD30-061348B7131E}"/>
    <hyperlink ref="B97" r:id="rId69" xr:uid="{BAE03E70-0D0A-9E40-94DF-16566DB81080}"/>
    <hyperlink ref="B119" r:id="rId70" xr:uid="{8DE1C2BD-9B3B-7340-87E7-8428DDD04EA4}"/>
    <hyperlink ref="B665" r:id="rId71" xr:uid="{37219827-9B59-2144-912A-6962EC4D7155}"/>
    <hyperlink ref="B120" r:id="rId72" xr:uid="{E770422A-053D-A94F-903F-F37F33EC5B3D}"/>
    <hyperlink ref="B123" r:id="rId73" xr:uid="{D02D5883-76C3-4540-BACC-FAB765CD1FEF}"/>
    <hyperlink ref="B134" r:id="rId74" xr:uid="{701EECA9-20FD-A543-95C6-C9535D6F2D86}"/>
    <hyperlink ref="B186" r:id="rId75" xr:uid="{072BEBF1-041B-8344-B91A-14EE54D3CEFB}"/>
    <hyperlink ref="B176" r:id="rId76" xr:uid="{4DAB1FF0-98A6-F64F-9299-7B35903A44B9}"/>
    <hyperlink ref="B72" r:id="rId77" xr:uid="{417D73A7-4503-F446-98D3-EFC49A8FA75C}"/>
    <hyperlink ref="B137" r:id="rId78" xr:uid="{5C204765-7421-0648-91DC-9BD8A1CAA1B7}"/>
    <hyperlink ref="B142" r:id="rId79" xr:uid="{0D263190-F4C8-D448-820A-39F3C0D0598D}"/>
    <hyperlink ref="B151" r:id="rId80" xr:uid="{3FF51692-302C-5C4E-8E24-AEA082238BD4}"/>
    <hyperlink ref="B189" r:id="rId81" xr:uid="{5A7D4CC0-EA8F-9149-8086-39D6FAFF3D2A}"/>
    <hyperlink ref="B122" r:id="rId82" xr:uid="{1A45AD8A-DBC9-334C-B65F-043F1E78A60D}"/>
    <hyperlink ref="B191" r:id="rId83" xr:uid="{4C5355BD-CA5C-094F-9673-AC2F0915FB5F}"/>
    <hyperlink ref="B192" r:id="rId84" xr:uid="{D2407079-05BD-C64C-B4B9-04B8117131AB}"/>
    <hyperlink ref="B164" r:id="rId85" xr:uid="{79EA6AB0-B929-BE43-BC1A-9DCE3C9A64F4}"/>
    <hyperlink ref="B126" r:id="rId86" xr:uid="{F46362A5-02B2-0E46-9D8B-0747CF38B614}"/>
    <hyperlink ref="B193" r:id="rId87" xr:uid="{465599E4-1E66-084E-A794-9D645B778342}"/>
    <hyperlink ref="B158" r:id="rId88" xr:uid="{E215F36B-92DC-9B4F-8DC6-84DA2E8A131D}"/>
    <hyperlink ref="B195" r:id="rId89" xr:uid="{BD798437-D17A-EA42-A51D-5A95940E7CBE}"/>
    <hyperlink ref="B203" r:id="rId90" xr:uid="{FEF92583-F33F-824C-93AF-79ECB6798364}"/>
    <hyperlink ref="B233" r:id="rId91" xr:uid="{104D1443-A4DC-0546-9427-35F19DE25659}"/>
    <hyperlink ref="B209" r:id="rId92" xr:uid="{F8A039BA-44C0-3E41-901A-520A27E7D50E}"/>
    <hyperlink ref="B210" r:id="rId93" xr:uid="{E27BF207-8457-C649-BAAA-B2F517CA7445}"/>
    <hyperlink ref="B216" r:id="rId94" xr:uid="{F9E36C79-958C-9A46-B364-60AA7BAA80DD}"/>
    <hyperlink ref="B220" r:id="rId95" xr:uid="{8B1CEA79-0FD5-7C42-8745-71419E69DA01}"/>
    <hyperlink ref="B223" r:id="rId96" xr:uid="{60717081-368E-CA4A-B180-E5D1BD9BB986}"/>
    <hyperlink ref="B228" r:id="rId97" xr:uid="{3F18CD04-331C-5F42-A776-3913F26AB6E9}"/>
    <hyperlink ref="B245" r:id="rId98" xr:uid="{84304494-927D-3C41-8BE9-78473629BD8B}"/>
    <hyperlink ref="B229" r:id="rId99" xr:uid="{E3684392-983F-C14D-A805-B961D434ECB2}"/>
    <hyperlink ref="B231" r:id="rId100" xr:uid="{FB44EE4C-6F10-314B-9FDD-63FD8964D219}"/>
    <hyperlink ref="B239" r:id="rId101" xr:uid="{338807D6-4868-734B-A7E7-363AB9F486A3}"/>
    <hyperlink ref="B246" r:id="rId102" xr:uid="{2CD3B1C4-01D6-A348-8724-98331C317855}"/>
    <hyperlink ref="B213" r:id="rId103" xr:uid="{D4B55008-075C-5746-B385-1AEB41FCE80C}"/>
    <hyperlink ref="B256" r:id="rId104" xr:uid="{0DE2D56A-AD6F-CB47-A933-2AD1331DE29A}"/>
    <hyperlink ref="B274" r:id="rId105" xr:uid="{B9F45A1A-2600-CD4A-8AE0-036F69EDE189}"/>
    <hyperlink ref="B261" r:id="rId106" xr:uid="{B646425F-37D3-DB49-BE9E-414BF4563597}"/>
    <hyperlink ref="B224" r:id="rId107" xr:uid="{0CAD4A53-51D9-0740-BAEE-C6100F6C47F0}"/>
    <hyperlink ref="B280" r:id="rId108" xr:uid="{45D91436-263D-A446-B6D1-A65902CDBDEA}"/>
    <hyperlink ref="B271" r:id="rId109" xr:uid="{0B317212-30CD-7C42-B46D-BB161FDBDF21}"/>
    <hyperlink ref="B266" r:id="rId110" xr:uid="{885D2A39-1FFC-C74D-B849-A1AA79ECFCD8}"/>
    <hyperlink ref="B226" r:id="rId111" xr:uid="{02EA3704-B2B2-0A45-8912-664CE881D9FE}"/>
    <hyperlink ref="B275" r:id="rId112" xr:uid="{D52DA847-0ED6-D94A-B4F1-36A9ADE197D1}"/>
    <hyperlink ref="B251" r:id="rId113" xr:uid="{F9C6ABCA-F972-BE40-BF8C-0C105619FB9E}"/>
    <hyperlink ref="B276" r:id="rId114" xr:uid="{9EFDA790-B430-DE46-87F2-3A96862AACEA}"/>
    <hyperlink ref="B236" r:id="rId115" xr:uid="{EBD11E3A-68A1-4548-812C-7D4D14DDCC1A}"/>
    <hyperlink ref="B277" r:id="rId116" xr:uid="{1EDA06C1-A5C0-CC49-B16F-AC6F590DAFFB}"/>
    <hyperlink ref="B281" r:id="rId117" xr:uid="{0959880E-4BFD-B94F-A3F6-98A537ED5127}"/>
    <hyperlink ref="B267" r:id="rId118" xr:uid="{6F8D9A01-063E-1442-961D-5F9C21862D7D}"/>
    <hyperlink ref="B289" r:id="rId119" xr:uid="{78F45D80-A79D-7A48-8E82-2F26B601F1D4}"/>
    <hyperlink ref="B292" r:id="rId120" xr:uid="{2E6FA2A3-2051-1941-9E95-97B2F5093AF3}"/>
    <hyperlink ref="B293" r:id="rId121" xr:uid="{DE520D75-94AE-A447-A432-7AEBED0FBC38}"/>
    <hyperlink ref="B296" r:id="rId122" xr:uid="{62D60B7E-EE4B-5747-B547-665D3B310CB3}"/>
    <hyperlink ref="B298" r:id="rId123" xr:uid="{C5A6C8A0-CC45-694B-8059-385AC6C02070}"/>
    <hyperlink ref="B310" r:id="rId124" xr:uid="{7B8CDE47-8ECC-E34B-9DEF-AF130C5CBF0F}"/>
    <hyperlink ref="B320" r:id="rId125" xr:uid="{A54E7849-B164-C747-BB1D-BF346548F282}"/>
    <hyperlink ref="B323" r:id="rId126" xr:uid="{CFDC6850-5804-0845-A04A-A7DF73B67397}"/>
    <hyperlink ref="B326" r:id="rId127" xr:uid="{7997DBFE-0FC1-0C43-803B-13ACC22DB1F2}"/>
    <hyperlink ref="B305" r:id="rId128" xr:uid="{C0361F48-CAB4-E84C-852A-E8DA30A42E1E}"/>
    <hyperlink ref="B312" r:id="rId129" xr:uid="{3389B217-E05F-B549-9741-3D089B6E83FD}"/>
    <hyperlink ref="B302" r:id="rId130" xr:uid="{8F7A2BBA-36F8-5046-BB60-54E8218E8B65}"/>
    <hyperlink ref="B344" r:id="rId131" xr:uid="{70B893EB-39A8-7B43-B014-22408A5C956A}"/>
    <hyperlink ref="B333" r:id="rId132" xr:uid="{8558B488-F786-074D-BC78-D710593C6286}"/>
    <hyperlink ref="B272" r:id="rId133" xr:uid="{9174BD0F-459E-1C4E-A948-073A1C5C08DF}"/>
    <hyperlink ref="B269" r:id="rId134" xr:uid="{21AFA301-BB52-2741-AA34-81159C94834A}"/>
    <hyperlink ref="B376" r:id="rId135" xr:uid="{A53D45BA-0B35-5E48-8597-A1DB80FF8B34}"/>
    <hyperlink ref="B364" r:id="rId136" xr:uid="{40972513-9D58-C343-96C0-E434A27E9936}"/>
    <hyperlink ref="B371" r:id="rId137" xr:uid="{48537790-1C68-5E4A-BCFD-8883A6FB6978}"/>
    <hyperlink ref="B360" r:id="rId138" xr:uid="{8C38C4AD-519C-4642-A316-0D97ACE9B4E1}"/>
    <hyperlink ref="B388" r:id="rId139" xr:uid="{B81307A4-1AFE-474F-BEB0-7795C949F7E0}"/>
    <hyperlink ref="B390" r:id="rId140" xr:uid="{C0A4E602-7EE7-3442-8C5A-2F1D5D335201}"/>
    <hyperlink ref="B395" r:id="rId141" xr:uid="{4D07A46A-F0A0-D24E-8324-D5F8AC493801}"/>
    <hyperlink ref="B405" r:id="rId142" xr:uid="{ECE5675A-D0B9-764F-AD56-8E995D619DFC}"/>
    <hyperlink ref="B419" r:id="rId143" xr:uid="{E32897D4-13D1-8840-A994-9F786840F2EB}"/>
    <hyperlink ref="B423" r:id="rId144" xr:uid="{7AD8696F-D32D-E242-BB7F-90DB9B2F341E}"/>
    <hyperlink ref="B488" r:id="rId145" xr:uid="{B4A07A3B-49FE-1F49-BD58-2C78043E009A}"/>
    <hyperlink ref="B493" r:id="rId146" xr:uid="{F60E6A87-7B10-9A48-8A1A-70A54038B1E2}"/>
    <hyperlink ref="B501" r:id="rId147" xr:uid="{4F0C72AC-CAA7-3749-AA2C-42F9157321C5}"/>
    <hyperlink ref="B436" r:id="rId148" xr:uid="{7D41D1AE-2398-324E-88E8-4AFAE27FAA8B}"/>
    <hyperlink ref="B447" r:id="rId149" xr:uid="{06A70177-9B67-9A46-87B0-1CAAEB5487B8}"/>
    <hyperlink ref="B448" r:id="rId150" xr:uid="{0C4CE6F9-18EA-7E4B-AA07-65216CA8B6D7}"/>
    <hyperlink ref="B457" r:id="rId151" xr:uid="{C2889AEA-CDDF-A243-95E8-A64B256B8DEB}"/>
    <hyperlink ref="B455" r:id="rId152" xr:uid="{7AE15805-F286-7F47-B825-C6D6BFD5AFE1}"/>
    <hyperlink ref="B479" r:id="rId153" xr:uid="{FD840784-4460-6A44-A4D3-5C730E0F74FC}"/>
    <hyperlink ref="B383" r:id="rId154" xr:uid="{4B3A2FAC-A810-854A-8667-2BA0CE7A1D2F}"/>
    <hyperlink ref="B397" r:id="rId155" xr:uid="{7ECCEE17-2019-0F46-BC14-2CA4A9936A95}"/>
    <hyperlink ref="B389" r:id="rId156" xr:uid="{3B2B2885-2A34-A440-95C4-21BE10E4AA5F}"/>
    <hyperlink ref="B400" r:id="rId157" xr:uid="{EDF8AF00-8CB5-794F-A9F2-2140B605FD60}"/>
    <hyperlink ref="B425" r:id="rId158" xr:uid="{7E5E6F2E-100E-5144-BBC3-B3912463B1F0}"/>
    <hyperlink ref="B438" r:id="rId159" xr:uid="{D599C54C-CCB9-B34B-AAF2-46CC75D83BA6}"/>
    <hyperlink ref="B451" r:id="rId160" xr:uid="{C0EB806F-A93A-A542-9E70-C2AD72AF45F6}"/>
    <hyperlink ref="B522" r:id="rId161" xr:uid="{B727329B-765F-D441-95F2-0516AD330F91}"/>
    <hyperlink ref="B527" r:id="rId162" xr:uid="{72EE7E1D-1DB6-654F-802C-A59CE8890CC1}"/>
    <hyperlink ref="B528" r:id="rId163" xr:uid="{AF2F59EE-A95A-A64D-8DA6-E21C2BD43A99}"/>
    <hyperlink ref="B515" r:id="rId164" xr:uid="{23AEBF0C-F19C-9A49-BFBE-76AEDEF4355E}"/>
    <hyperlink ref="B518" r:id="rId165" xr:uid="{D7762D88-70B6-774D-9FF8-2063A016E597}"/>
    <hyperlink ref="B536" r:id="rId166" xr:uid="{DF3518D1-4C76-BB4E-ACF3-E238CEEAE032}"/>
    <hyperlink ref="B544" r:id="rId167" xr:uid="{B55C8677-31F7-8E44-874C-C40D92D70AC6}"/>
    <hyperlink ref="B553" r:id="rId168" xr:uid="{E21D3281-5CDB-A04B-A209-E70141DD9497}"/>
    <hyperlink ref="B540" r:id="rId169" xr:uid="{00698077-DA68-A84F-AC56-C90022E67141}"/>
    <hyperlink ref="B541" r:id="rId170" xr:uid="{A1C6EBDD-569F-8B4E-B552-4A0C88FDFB59}"/>
    <hyperlink ref="B559" r:id="rId171" xr:uid="{C9148892-8589-F743-A98B-3A8F220FDB04}"/>
    <hyperlink ref="B566" r:id="rId172" xr:uid="{863C375C-BD09-254E-8661-E74F3FC05A82}"/>
    <hyperlink ref="B478" r:id="rId173" xr:uid="{CCF491A0-CB99-1F43-A76D-0879FA73D1BA}"/>
    <hyperlink ref="B483" r:id="rId174" xr:uid="{64038797-E6D5-764F-AB68-2790B0378655}"/>
    <hyperlink ref="B461" r:id="rId175" xr:uid="{2A0E3A5C-B38A-EF46-A08A-34141BB63A9E}"/>
    <hyperlink ref="B495" r:id="rId176" xr:uid="{A8D82382-6479-6E4E-B97D-0E1BC2A2C5B4}"/>
    <hyperlink ref="B465" r:id="rId177" xr:uid="{852CB573-5D8E-B94E-83CB-225BBB7131C2}"/>
    <hyperlink ref="B412" r:id="rId178" xr:uid="{74782582-3431-7242-9248-B308EF394F88}"/>
    <hyperlink ref="B414" r:id="rId179" xr:uid="{AFCB6F25-9E50-9F44-91C8-FCCF7DD1D4AC}"/>
    <hyperlink ref="B654" r:id="rId180" xr:uid="{6B4A2435-14FE-8A4A-95BB-F0A1AB45D2FF}"/>
    <hyperlink ref="B282" r:id="rId181" xr:uid="{7CD1ED49-C37D-4644-B398-AB78F15A51AE}"/>
    <hyperlink ref="B341" r:id="rId182" xr:uid="{21D2CB53-9026-E74D-9906-2E6231F32FFD}"/>
    <hyperlink ref="B324" r:id="rId183" xr:uid="{A14537DA-904B-C141-9AD9-8506320AB731}"/>
    <hyperlink ref="B424" r:id="rId184" xr:uid="{E27340A8-7E03-0F48-B880-ECAB2E059E68}"/>
    <hyperlink ref="B124" r:id="rId185" xr:uid="{35013B80-4AED-B540-91D8-B741C3B93E9D}"/>
    <hyperlink ref="B497" r:id="rId186" xr:uid="{DF804555-3CCB-7F40-8A92-83E3BECAB964}"/>
    <hyperlink ref="B530" r:id="rId187" xr:uid="{F9CCA866-7B26-9C4D-911B-4B04D644B98C}"/>
    <hyperlink ref="B372" r:id="rId188" xr:uid="{A1037080-3B32-2347-A31F-F8CB7867B1E6}"/>
    <hyperlink ref="B339" r:id="rId189" xr:uid="{907EF033-68D3-0C40-AC66-DC0166FF2DE9}"/>
    <hyperlink ref="B260" r:id="rId190" xr:uid="{96AF8176-18CD-BC46-8501-BFCE05D7C7A4}"/>
    <hyperlink ref="B408" r:id="rId191" xr:uid="{61AD8D95-3724-6944-A724-3205B59C3564}"/>
    <hyperlink ref="B484" r:id="rId192" xr:uid="{07E3DB85-7D0D-2645-9ECB-489BE541A2F8}"/>
    <hyperlink ref="B336" r:id="rId193" xr:uid="{799D1F45-AC1C-5A4E-ADB8-5F02C507DE1C}"/>
    <hyperlink ref="B567" r:id="rId194" xr:uid="{893DA775-6AE9-904B-AFBD-A2DBE3CA1CA8}"/>
    <hyperlink ref="B21" r:id="rId195" xr:uid="{C9DB2266-A646-DA43-B4B3-52FAA11091C6}"/>
    <hyperlink ref="B238" r:id="rId196" xr:uid="{36DD9142-F623-E74D-A9FB-2976D1395B1B}"/>
    <hyperlink ref="B318" r:id="rId197" xr:uid="{4C1CF597-7AE7-CD46-9018-4FC5AF79BC7C}"/>
    <hyperlink ref="B396" r:id="rId198" xr:uid="{D1AB59A2-DA9A-C048-95E0-6A7500CD5CDF}"/>
    <hyperlink ref="B548" r:id="rId199" xr:uid="{8DB7910B-B487-F942-8140-DE9BD20B6E5B}"/>
    <hyperlink ref="B690" r:id="rId200" xr:uid="{37C1454B-20BA-D942-9307-F98266A3FA92}"/>
    <hyperlink ref="B604" r:id="rId201" display="../../../../:b:/g/personal/sarellano_no-mii_com/ETejm1lmoNhImR7hYleuZyoBt2FeCR0oZmyFGXz8FIMBOQ?e=97cFkm" xr:uid="{61984F88-DF18-2B45-A51F-04BCB0569EA7}"/>
    <hyperlink ref="B625" r:id="rId202" display="../../../../:b:/g/personal/sarellano_no-mii_com/EblE206bLLdBo7MJmNk4XzMBbu8-ZBb8g_gG4wyht3SPpQ?e=B08a7d" xr:uid="{3FC946A1-8B9D-0844-B01D-EA64A5DE1993}"/>
    <hyperlink ref="B651" r:id="rId203" display="../../../../:b:/g/personal/sarellano_no-mii_com/EZGZjxd6mFBBitrKOYJVetIBkxVEenT1WFx3ru9imrqDBg?e=DrSBTd" xr:uid="{23B6D158-6F46-D445-8710-BD544B05CC53}"/>
    <hyperlink ref="B622" r:id="rId204" xr:uid="{684F73EC-0F10-CA4C-B65D-37CC45C14440}"/>
    <hyperlink ref="B685" r:id="rId205" xr:uid="{3FE5D03D-4387-1D48-92E7-FC12678E9980}"/>
    <hyperlink ref="B153" r:id="rId206" xr:uid="{7D70308E-63C9-324E-A5D0-5133E6E1C191}"/>
    <hyperlink ref="B253" r:id="rId207" xr:uid="{1499A73A-56D6-0348-A574-DB62C2A0961D}"/>
    <hyperlink ref="B309" r:id="rId208" xr:uid="{FC4ACC28-3F20-AB4B-A089-93D12545A296}"/>
    <hyperlink ref="B384" r:id="rId209" xr:uid="{5E2E92F9-A93A-4A41-985D-A766B7D3B97C}"/>
    <hyperlink ref="B458" r:id="rId210" xr:uid="{8347704B-08DE-F648-901D-21C834D7211A}"/>
    <hyperlink ref="B532" r:id="rId211" xr:uid="{B188DBF7-E1CD-1840-ACD8-9B3A5F542E4D}"/>
    <hyperlink ref="B626" r:id="rId212" xr:uid="{1D6A6B73-D1D1-BC47-A235-7245A98FC712}"/>
    <hyperlink ref="B576" r:id="rId213" display="../../../../:b:/g/personal/sarellano_no-mii_com/Ee-GCwyTbzhKpf4rzfAnLvUBFh7esDdfaVzEEbeT2t8tQw?e=sxoxM9" xr:uid="{1028655B-10A5-0D4D-B7AE-1E021D5A7E5C}"/>
    <hyperlink ref="B687" r:id="rId214" display="../../../../:b:/g/personal/sarellano_no-mii_com/EbLEHZSXx6NEhSAFbnSSFrkB6cISUi6TkWwzUDBginyYUw?e=5FP4zn" xr:uid="{34A99A87-9376-E04C-AEC0-C430868A9BC2}"/>
    <hyperlink ref="B650" r:id="rId215" xr:uid="{7D19D03D-7438-9F4F-9D91-0C3586DB527B}"/>
    <hyperlink ref="B603" r:id="rId216" display="../../../../:b:/g/personal/sarellano_no-mii_com/EVc3DpfqMvtIvHvlM7uLL1YBWdbYgvncPXHBS8CMdMiSMQ?e=6eSjBW" xr:uid="{6C086350-413F-4C4D-9225-68B735811C6A}"/>
    <hyperlink ref="B616" r:id="rId217" xr:uid="{CDA92917-4776-394A-894E-601048C545F5}"/>
    <hyperlink ref="B584" r:id="rId218" display="../../../../:b:/g/personal/sarellano_no-mii_com/ETSBVDj25MdLkNh-PX2MLcgBTM_mzo0kyZcG8v2F84PZwQ?e=yI1v2c" xr:uid="{818A0574-E178-7541-B0E8-39E0049681E9}"/>
    <hyperlink ref="B613" r:id="rId219" xr:uid="{5A0A8326-6886-E646-A691-0614936FDD61}"/>
    <hyperlink ref="B664" r:id="rId220" xr:uid="{CA66A2D4-0344-8A46-8403-179943AA75EB}"/>
    <hyperlink ref="B596" r:id="rId221" xr:uid="{96D7D4A2-4F10-044C-A0BD-2D529B68B8E1}"/>
    <hyperlink ref="B612" r:id="rId222" xr:uid="{21815407-4063-CE4C-A6C3-EE31749FD36B}"/>
    <hyperlink ref="B636" r:id="rId223" xr:uid="{342B738C-C061-1147-A5B0-1AF6EA66A217}"/>
    <hyperlink ref="B606" r:id="rId224" xr:uid="{559E53C8-255E-C140-A816-42F48CB335F9}"/>
    <hyperlink ref="B583" r:id="rId225" xr:uid="{D5BC43FB-2B89-DC4B-90F8-3C492C71ED36}"/>
    <hyperlink ref="B454" r:id="rId226" xr:uid="{12F1EEC7-0534-724D-BCBB-8D8188F1A7F7}"/>
    <hyperlink ref="B380" r:id="rId227" display="../../../../:b:/g/personal/sarellano_no-mii_com/EdiqZYQRLaBKjpiFEMhIZggBT1Sfksl7PYHViuwseG91rw?e=kuw0LJ" xr:uid="{3905BEF5-069A-2949-A3E3-7389AC3A35D3}"/>
    <hyperlink ref="B307" r:id="rId228" display="../../../../:b:/g/personal/sarellano_no-mii_com/EYyJt6_hlltGmmt8QnxNeiEB3RK7lbfdnjVx6NNgjQqmkA?e=ecWW7q" xr:uid="{18A9BBBA-257A-5848-AC8E-8566231DD2ED}"/>
    <hyperlink ref="B524" r:id="rId229" xr:uid="{9BAA5C36-059D-EA40-A92F-4C19A0F24979}"/>
    <hyperlink ref="B215" r:id="rId230" xr:uid="{E5CB3F6B-AD27-2E4A-AE10-DB33245F0F31}"/>
    <hyperlink ref="B295" r:id="rId231" xr:uid="{C294F87E-2B67-AB4D-B48D-F0483E8B45C2}"/>
    <hyperlink ref="B370" r:id="rId232" xr:uid="{1E8098A7-2802-5544-A05C-F1F139513581}"/>
    <hyperlink ref="B446" r:id="rId233" xr:uid="{CF5C642F-4707-A24B-8348-8BD4B5719D5B}"/>
    <hyperlink ref="B523" r:id="rId234" xr:uid="{E260437F-C966-E34C-853D-A70F6BD8E4C3}"/>
    <hyperlink ref="B257" r:id="rId235" xr:uid="{FFC6B6BB-865D-AC47-B7FF-67CDD6CEA777}"/>
    <hyperlink ref="B327" r:id="rId236" xr:uid="{0BECBE60-9616-7A4C-B972-57D68DE028E1}"/>
    <hyperlink ref="B247" r:id="rId237" xr:uid="{887C0B53-6CC5-1C41-A97F-0359A857C795}"/>
    <hyperlink ref="B308" r:id="rId238" xr:uid="{7DB11EAC-B7BB-FA43-9D39-BB610A73144B}"/>
    <hyperlink ref="B329" r:id="rId239" xr:uid="{DE7EF889-D9C8-C242-8043-4658CC60AF2E}"/>
    <hyperlink ref="B334" r:id="rId240" xr:uid="{4AA6504F-5499-FA46-906A-8AAE5559924A}"/>
    <hyperlink ref="B381" r:id="rId241" xr:uid="{B754F94C-C58A-9649-BE0F-AA42650B6328}"/>
    <hyperlink ref="B401" r:id="rId242" xr:uid="{732AF758-E009-7749-81D5-097A990B1612}"/>
    <hyperlink ref="B444" r:id="rId243" xr:uid="{E493C808-411A-3848-9EFF-28FACBEC2A90}"/>
    <hyperlink ref="B556" r:id="rId244" xr:uid="{2828CD33-7A2B-A140-822E-061FF7876596}"/>
    <hyperlink ref="B367" r:id="rId245" xr:uid="{C22C857C-84F5-394F-81EE-81EFDE317170}"/>
    <hyperlink ref="B588" r:id="rId246" xr:uid="{448FDFCD-6098-704A-9D23-5AB09318B6C3}"/>
    <hyperlink ref="B252" r:id="rId247" xr:uid="{1CC4ED79-88A1-4C49-81AF-158B86EA2FFC}"/>
    <hyperlink ref="B335" r:id="rId248" xr:uid="{103A07F6-C006-5441-962F-A5E9AEDB42E9}"/>
    <hyperlink ref="B437" r:id="rId249" xr:uid="{7F246369-F44F-0C4A-AE51-083542B141DB}"/>
    <hyperlink ref="B519" r:id="rId250" xr:uid="{8F5E78F3-EEED-4441-87D3-AC4224763CA8}"/>
    <hyperlink ref="B608" r:id="rId251" xr:uid="{22CE3890-CE9E-654B-85FF-003E75AB87C4}"/>
    <hyperlink ref="B659" r:id="rId252" display="../../../../:b:/g/personal/sarellano_no-mii_com/ERzJTgCJ6dVDt64L_HrcG_0Bx5RoDA16_AUkx50xQARSqg?e=ASLwCQ" xr:uid="{76A4A8DD-FE6A-B243-A8EB-B89C430B2888}"/>
    <hyperlink ref="B549" r:id="rId253" xr:uid="{32251FE7-2901-0D49-A851-5CAA96E9A222}"/>
    <hyperlink ref="B466" r:id="rId254" display="../../../../:b:/g/personal/sarellano_no-mii_com/EWF7LOvTwk5Nj41ALeE5Ui0BFFrxjAWofsIiD4R6cMOJZA?e=UHW1LB" xr:uid="{79ACE885-DF1A-994F-A2C0-811A37CC0356}"/>
    <hyperlink ref="B601" r:id="rId255" xr:uid="{ADF6542A-3FBF-2C43-BF24-301F06AD3AE2}"/>
    <hyperlink ref="B609" r:id="rId256" xr:uid="{EED29E0C-2EFB-3342-BDE8-09C807581DC2}"/>
    <hyperlink ref="B629" r:id="rId257" xr:uid="{C2488B2A-52E0-7B40-A5B6-10DB946EB95F}"/>
    <hyperlink ref="B611" r:id="rId258" xr:uid="{79AC0382-364D-B542-801E-81B0FD0CF3BC}"/>
    <hyperlink ref="B643" r:id="rId259" xr:uid="{FD49C645-C30E-014F-9851-BBDC4233534C}"/>
    <hyperlink ref="B627" r:id="rId260" xr:uid="{A03B2A38-1381-1845-A4D6-3BF0AC7F15E4}"/>
    <hyperlink ref="B617" r:id="rId261" xr:uid="{EAEE84E3-DC58-5640-A2CA-EC8BD5EFFB71}"/>
    <hyperlink ref="B635" r:id="rId262" xr:uid="{51EE4922-A43C-6746-BDFF-B28EC7E1550F}"/>
    <hyperlink ref="B668" r:id="rId263" xr:uid="{AEAD5398-960C-0941-B96D-8C43AEA5D7F8}"/>
    <hyperlink ref="B645" r:id="rId264" xr:uid="{11223458-C287-B647-BACC-35FE7BA328DA}"/>
    <hyperlink ref="B618" r:id="rId265" xr:uid="{AA70C57D-71D3-B049-BC7F-B3DCD70AF2D3}"/>
    <hyperlink ref="B648" r:id="rId266" xr:uid="{A6EBF5B9-BD69-DE48-AB6F-BFFDF178B59B}"/>
    <hyperlink ref="B657" r:id="rId267" xr:uid="{2FB0FE62-8D55-9C48-BC11-FA72FFAC49EC}"/>
    <hyperlink ref="B669" r:id="rId268" xr:uid="{D41E668F-FAD2-9E42-B3C5-196D47A102C3}"/>
    <hyperlink ref="B619" r:id="rId269" xr:uid="{42FF8A9E-6F3C-BF4B-914B-96F21BEAD716}"/>
    <hyperlink ref="B620" r:id="rId270" xr:uid="{20CF34AA-1396-B84C-9411-70F734D3A76D}"/>
    <hyperlink ref="B670" r:id="rId271" xr:uid="{3A8080BB-8198-7449-8068-CA15A1BD6057}"/>
    <hyperlink ref="B671" r:id="rId272" xr:uid="{B4256C62-1785-AD4E-A05F-AC818C32A8C2}"/>
    <hyperlink ref="B632" r:id="rId273" xr:uid="{67C0C346-B39A-8A49-8D2B-480432B15DFD}"/>
    <hyperlink ref="B640" r:id="rId274" xr:uid="{72D1DD42-14E6-A24F-A2E0-8DB030EBDCAF}"/>
    <hyperlink ref="B652" r:id="rId275" xr:uid="{B3608C50-BFEB-B246-9B03-8EF996D0894F}"/>
    <hyperlink ref="B662" r:id="rId276" xr:uid="{FFEDAAF7-A5BC-C746-B85F-331F45853292}"/>
    <hyperlink ref="B672" r:id="rId277" xr:uid="{65F8B8B3-7120-514E-88AC-DC95DB0EDE7A}"/>
    <hyperlink ref="B673" r:id="rId278" xr:uid="{3E4CEA51-16E4-D745-9387-5678633DD98C}"/>
    <hyperlink ref="B674" r:id="rId279" xr:uid="{55F8509B-16AA-8243-9974-6E1BD59B4680}"/>
    <hyperlink ref="B675" r:id="rId280" xr:uid="{437199CB-DDFF-1342-AC57-610FFDCDD8F2}"/>
    <hyperlink ref="B676" r:id="rId281" xr:uid="{D2B68650-6DEE-2540-A442-F3A2C3F3D9FD}"/>
    <hyperlink ref="B695" r:id="rId282" display="../../../../:b:/g/personal/sarellano_no-mii_com/ETBTyQD7QiBEpiJiCEP8-rEBNeyJ-16aykfSIPZMfXC40Q?e=IXvTja" xr:uid="{0A3CF1BC-8134-3541-ACEB-782633C5607E}"/>
    <hyperlink ref="B649" r:id="rId283" xr:uid="{F8528509-0982-624A-B41B-EF04CA17B5F1}"/>
    <hyperlink ref="B637" r:id="rId284" xr:uid="{FCD16E76-6B85-9249-9498-654A024DC5A2}"/>
    <hyperlink ref="B621" r:id="rId285" xr:uid="{498B0430-40ED-444E-B11A-0E91D99396FB}"/>
    <hyperlink ref="B642" r:id="rId286" xr:uid="{C62F2FA7-CEB7-BE43-8305-153064887EDF}"/>
    <hyperlink ref="B644" r:id="rId287" xr:uid="{9A28A267-B799-BA4E-B2FE-28148AD8A0B1}"/>
    <hyperlink ref="B698" r:id="rId288" xr:uid="{B6F7E871-DFCD-6C4B-95E9-1C3A5E91CF6F}"/>
    <hyperlink ref="B689" r:id="rId289" display="../../../../:b:/g/personal/sarellano_no-mii_com/Edb74XHDjIhPhy_7Yb_FeLMBoofOKnA_tbBo_BtFsteI8g?e=zmOop5" xr:uid="{CBA774B5-D8E9-8C4E-A4CF-854689E7DC15}"/>
    <hyperlink ref="B682" r:id="rId290" xr:uid="{EC154990-14DE-334C-9C90-79219B6CB3A5}"/>
    <hyperlink ref="B692" r:id="rId291" display="../../../../:b:/g/personal/sarellano_no-mii_com/Ef3mYcP_BqdPgNrDLfITFmMBxAbbCu9SKDQ4sRog_m8Oaw?e=TKdNLu" xr:uid="{BB4EFB82-E543-C643-AB1D-C5CECD91F228}"/>
    <hyperlink ref="B647" r:id="rId292" display="../../../../:b:/g/personal/sarellano_no-mii_com/EazenOZ3GDZFq-2cVqxo6ZAB0YG16VAZY5JooMsw25yVmA?e=Bh9YPQ" xr:uid="{BF316BC6-6F9F-F14E-A863-60D2715AAB5D}"/>
    <hyperlink ref="B693" r:id="rId293" display="../../../../:b:/g/personal/sarellano_no-mii_com/ESJiPsl1JXNDrpc3XrhnslkBWEgCWoxdFGkPlgPCyYQpLg?e=6UhCn2" xr:uid="{F94E5E05-0CBC-D344-8F62-93D856C6E5FA}"/>
    <hyperlink ref="B696" r:id="rId294" display="../../../../:b:/g/personal/sarellano_no-mii_com/EdY1ZuuwDIpGj74pMxNbPxAB7VkMBCOqlVtszPD4Bc764Q?e=OLvTfn" xr:uid="{EEA66830-1CAA-E149-AD05-0337A3293492}"/>
    <hyperlink ref="B13" r:id="rId295" xr:uid="{FFDBB59E-BD5C-454E-8630-B79E2C1918C9}"/>
    <hyperlink ref="B15" r:id="rId296" xr:uid="{9BA48CFA-AE05-924C-B6F3-969197D3C469}"/>
    <hyperlink ref="B45" r:id="rId297" xr:uid="{3450550F-40FA-5249-8409-DDC09FB1A29B}"/>
    <hyperlink ref="B43" r:id="rId298" xr:uid="{CFAE42B4-4206-FD4E-AF01-73CB1CEA8874}"/>
    <hyperlink ref="B179" r:id="rId299" xr:uid="{37A0080F-9756-9946-8FE6-A6504FF756A7}"/>
    <hyperlink ref="B264" r:id="rId300" xr:uid="{9489263D-A64D-A04D-A3A6-1FC3A23CFB03}"/>
    <hyperlink ref="B265" r:id="rId301" xr:uid="{EDC8198F-27BD-7A47-94DE-F84DD0E5DA02}"/>
    <hyperlink ref="B337" r:id="rId302" xr:uid="{BAB8A3DC-85A9-4E44-8602-491122F2E1C5}"/>
    <hyperlink ref="B178" r:id="rId303" xr:uid="{3840DA13-A998-6345-B1D0-2972B9E5E881}"/>
    <hyperlink ref="B403" r:id="rId304" xr:uid="{3AB1F583-DF27-E84E-83D8-E50F0C440BC4}"/>
    <hyperlink ref="B477" r:id="rId305" xr:uid="{D57F28F2-3435-B347-9C59-FA062EEF807A}"/>
    <hyperlink ref="B557" r:id="rId306" xr:uid="{BF55F285-8EFA-724C-99EC-D44D18A679AB}"/>
    <hyperlink ref="B667" r:id="rId307" xr:uid="{FBC52A26-C0AF-0343-BA76-7BA3FC357F7A}"/>
    <hyperlink ref="B681" r:id="rId308" xr:uid="{B0A80424-41ED-854B-8F0D-937F01A6211B}"/>
    <hyperlink ref="B683" r:id="rId309" xr:uid="{4588C9FA-CA00-5344-90C5-F6732B765A93}"/>
    <hyperlink ref="B574" r:id="rId310" xr:uid="{B51F5515-FC1D-634E-92D0-72EBD08F3B56}"/>
    <hyperlink ref="B485" r:id="rId311" xr:uid="{C0E54802-B49C-A84A-8153-8DAEDECF6857}"/>
    <hyperlink ref="B421" r:id="rId312" xr:uid="{352B72A8-7148-B644-BB14-8F368491C828}"/>
    <hyperlink ref="B340" r:id="rId313" xr:uid="{4B2BCD81-6074-5E4E-BC0C-540EF8DCE494}"/>
    <hyperlink ref="B259" r:id="rId314" xr:uid="{66D39A4C-684A-644F-9A26-0208C9B44B2A}"/>
    <hyperlink ref="B17" r:id="rId315" display="../../../../:b:/g/personal/sarellano_no-mii_com/EY8_IBUGr5lCnTbl_otV4FUBXpamBLfg2OY6di0SzIswGg?e=jJdBwQ" xr:uid="{51BA82DC-1790-074C-ABD3-E414B06BF59C}"/>
    <hyperlink ref="B331" r:id="rId316" display="../../../../:b:/g/personal/sarellano_no-mii_com/EYQuslvBeBdLkrb1D_Ty5wIBiBZNqPXm7_m1aiJHrbHRXw?e=N3wRQ6" xr:uid="{5F84B61B-C992-D748-A7F3-B431B8971862}"/>
    <hyperlink ref="B365" r:id="rId317" display="../../../../:b:/g/personal/sarellano_no-mii_com/EYWBLLffXKNDjbKxAqp9QIkBmayf2y3o6u-1Bf3Suqzygg?e=SOa2yz" xr:uid="{4C9EBE57-F84D-184C-AE3A-5E416B8351D8}"/>
    <hyperlink ref="B208" r:id="rId318" display="../../../../:b:/g/personal/sarellano_no-mii_com/EcExH5K5UJ1NgqAnztrA-EoBJhrWhqsxaRRltLY9pm1eyw?e=hIHB9V" xr:uid="{4733E3EE-CD71-6C47-ADA1-9C1CCB3F9618}"/>
    <hyperlink ref="B514" r:id="rId319" display="../../../../:b:/g/personal/sarellano_no-mii_com/EVCh6Z1xxMNGojln7zoBiSwBHrwyTSV58TcluF9VjS4Z3A?e=152kZb" xr:uid="{E90A44D0-B26D-0A4F-94DE-422BA74DF1BE}"/>
    <hyperlink ref="B600" r:id="rId320" display="../../../../:b:/g/personal/sarellano_no-mii_com/EWaYmHoCIcpOg5-mBzO_XZYBQJdFdHTDEwg4EW4_N4dk9w?e=q6xIA5" xr:uid="{4D7B771C-C1F0-294F-8D47-5AB0A60B2922}"/>
    <hyperlink ref="B434" r:id="rId321" display="../../../../:b:/g/personal/sarellano_no-mii_com/EZ1WWR1csbNAvt1kWrDwOFgBg8lRbm0MW9Q-QGuK6hLGWg?e=y1FbdL" xr:uid="{D2EBAB70-214E-9F4A-9030-8567A5B0CA1C}"/>
    <hyperlink ref="B57" r:id="rId322" display="../../../../:b:/g/personal/sarellano_no-mii_com/Eap2Nyb4eipJqHrjMBxODVQBPn72nucUsDhNd1irEEPvgA?e=NDIow4" xr:uid="{1A813215-FDDC-8E42-ACF6-E1009EE724DE}"/>
    <hyperlink ref="B579" r:id="rId323" xr:uid="{EEB5BE9E-2453-ED44-8F71-35F13249BB76}"/>
    <hyperlink ref="B572" r:id="rId324" xr:uid="{EFF45F45-C8FF-D04F-A988-203DB8084C6F}"/>
    <hyperlink ref="B587" r:id="rId325" xr:uid="{CA7A9011-BD50-CE4A-A9EF-E5B495FFB413}"/>
    <hyperlink ref="B575" r:id="rId326" xr:uid="{AD409B95-FE3E-5A4D-B8B2-F4C1E5C86217}"/>
    <hyperlink ref="B351" r:id="rId327" xr:uid="{939A4A94-4D25-6542-893A-867ED2CBBF1A}"/>
    <hyperlink ref="B473" r:id="rId328" xr:uid="{577B8AE8-8364-D847-BB2D-AEC11AB42F4B}"/>
    <hyperlink ref="B462" r:id="rId329" xr:uid="{5BCE49C2-DE8C-A649-A37D-0BD262E3FE36}"/>
    <hyperlink ref="B23" r:id="rId330" xr:uid="{561863C8-828D-9A4C-9B98-230133D5D545}"/>
    <hyperlink ref="B202" r:id="rId331" xr:uid="{DFFCDD82-829E-4949-A913-C36CA8502378}"/>
    <hyperlink ref="B290" r:id="rId332" display="../../../../:b:/g/personal/sarellano_no-mii_com/EU4dfLIcO1pHuTHSWvR1LMMBqPGhkkZBrlOr5w8eJVDkEQ?e=q5UhMA" xr:uid="{7D9E686E-6F73-5E4A-B53F-A6BE4055BF13}"/>
    <hyperlink ref="B464" r:id="rId333" display="../../../../:b:/g/personal/sarellano_no-mii_com/EaV1776yLldFtGgK_gg-aFcBmeGaacs-4ZyodekVXKRReA?e=a4OhrA" xr:uid="{8CAC565F-0BD9-5D49-9194-E2468FEA2402}"/>
    <hyperlink ref="B546" r:id="rId334" xr:uid="{862034D9-BAC5-F047-AD5C-438C07C1BA97}"/>
    <hyperlink ref="B547" r:id="rId335" xr:uid="{B156198A-2839-734B-B7FA-729294E545DD}"/>
    <hyperlink ref="B655" r:id="rId336" xr:uid="{31F3BD9A-35D8-6840-BA57-9D994A4124B1}"/>
    <hyperlink ref="B656" r:id="rId337" xr:uid="{97E113DD-9D7B-5F48-9A85-C73D846A69A7}"/>
    <hyperlink ref="B700" r:id="rId338" display="../../../../:b:/g/personal/sarellano_no-mii_com/EX8myfElpShEtBZ4JnbrJ28BqKB9DcWBsc9852wKsvVPWw?e=l4Qe2E" xr:uid="{87883D76-F382-B44D-A5BB-2528C382E603}"/>
    <hyperlink ref="B232" r:id="rId339" display="../../../../:b:/g/personal/sarellano_no-mii_com/Ee5kyGaC_G5Ijuo3hKi8QMsB2B1gDV9B6lyeYepYHcE6-w?e=FK09Fa" xr:uid="{DB3BD7B3-21F2-A349-8E84-E393C2A5FCF2}"/>
    <hyperlink ref="B306" r:id="rId340" display="../../../../:b:/g/personal/sarellano_no-mii_com/Ee5kyGaC_G5Ijuo3hKi8QMsB2B1gDV9B6lyeYepYHcE6-w?e=FK09Fa" xr:uid="{69DFDDF5-3279-0E48-A409-A98615746C26}"/>
    <hyperlink ref="B363" r:id="rId341" display="../../../../:b:/g/personal/sarellano_no-mii_com/Ee5kyGaC_G5Ijuo3hKi8QMsB2B1gDV9B6lyeYepYHcE6-w?e=FK09Fa" xr:uid="{784C558C-4F6C-0145-BD03-AF5DAE818DCC}"/>
    <hyperlink ref="B219" r:id="rId342" xr:uid="{88AFAC05-42DB-814B-9CDB-D34B80FE3716}"/>
    <hyperlink ref="B58" r:id="rId343" xr:uid="{657A1965-7BE8-6D43-A7AB-2F2B10EAC066}"/>
    <hyperlink ref="B102" r:id="rId344" xr:uid="{297C6E72-1640-7249-9831-6724488D360D}"/>
    <hyperlink ref="B227" r:id="rId345" xr:uid="{73ABF853-7A9C-B84A-81F6-C44FC82C1DDE}"/>
    <hyperlink ref="B328" r:id="rId346" xr:uid="{DF0C23EC-C577-6840-B47F-E3119DBA7DA0}"/>
    <hyperlink ref="B391" r:id="rId347" xr:uid="{126488A3-EAF3-534B-B20E-906B978A5CEC}"/>
    <hyperlink ref="B463" r:id="rId348" xr:uid="{0052CFBB-856B-CE4C-9921-F32096B02D23}"/>
    <hyperlink ref="B467" r:id="rId349" xr:uid="{EBAF4E0B-8665-8C47-BCDF-98094A5DB88A}"/>
    <hyperlink ref="B516" r:id="rId350" xr:uid="{BE93A895-0D2E-0A4F-9AFF-EF35E96627F8}"/>
    <hyperlink ref="B554" r:id="rId351" xr:uid="{3820AD49-3E1D-D443-960A-FF6A4B4631ED}"/>
    <hyperlink ref="B660" r:id="rId352" xr:uid="{3FC422D0-CD26-3844-AFBC-D0CCA628CA09}"/>
    <hyperlink ref="B602" r:id="rId353" xr:uid="{261CEDBA-C05E-424C-826A-684482AD5ECE}"/>
    <hyperlink ref="B703" r:id="rId354" display="../../../../:b:/g/personal/sarellano_no-mii_com/EewddJ4Rc2pJmDNq3Df-EP0ByRV9dqb2eRPxSeerS9ZB4g?e=lyGeTS" xr:uid="{5C213D84-D973-264D-8890-8FDEAE1B9FB2}"/>
    <hyperlink ref="B634" r:id="rId355" xr:uid="{769C7C7F-A463-1C4B-9C24-D576C7A1709A}"/>
    <hyperlink ref="B666" r:id="rId356" xr:uid="{81ACC62A-B2AE-004B-A791-6F749B0BF1AA}"/>
    <hyperlink ref="B633" r:id="rId357" xr:uid="{8935EA8B-BFA4-534E-AB3B-4F0802563666}"/>
    <hyperlink ref="B586" r:id="rId358" xr:uid="{35D609B8-89BC-054E-B8FF-1EF3E82DA97A}"/>
    <hyperlink ref="B705" r:id="rId359" xr:uid="{29A68CCB-EADC-BB46-824B-D4CF868C9D92}"/>
    <hyperlink ref="B550" r:id="rId360" xr:uid="{D055E4A7-77A9-204B-AD42-61785A8BD88A}"/>
    <hyperlink ref="B653" r:id="rId361" xr:uid="{3F10FF6B-AA8E-E94D-97F6-340564A608B4}"/>
    <hyperlink ref="B562" r:id="rId362" xr:uid="{8F118BFA-B7D7-7D4F-B692-E48D0BE18D52}"/>
    <hyperlink ref="B26" r:id="rId363" xr:uid="{46C4B3D4-529A-5040-8D83-23C7AE3EABE4}"/>
    <hyperlink ref="B31" r:id="rId364" xr:uid="{445BA52D-927B-9B45-BB5A-DF9F94B3A856}"/>
    <hyperlink ref="B47" r:id="rId365" xr:uid="{7E4271B5-8DE5-C64B-B9FA-45D8BDF847B6}"/>
    <hyperlink ref="B187" r:id="rId366" xr:uid="{11A07927-5DDC-DA44-BB52-B8F48F2A15AC}"/>
    <hyperlink ref="B273" r:id="rId367" xr:uid="{C8101390-0B3F-8F48-BE57-721EE67A9CEC}"/>
    <hyperlink ref="B348" r:id="rId368" display="../../../../:b:/g/personal/sarellano_no-mii_com/EQIE5bv485pKukEsW2EwqjABMjroKbWTth7cTlUp47GADg?e=ARLw37" xr:uid="{8865C7EB-538F-DC48-BBB9-AB3FEF1A9D84}"/>
    <hyperlink ref="B304" r:id="rId369" xr:uid="{28CC0664-89DA-3947-BFE3-76E1414BC4F9}"/>
    <hyperlink ref="B420" r:id="rId370" xr:uid="{96B9FAD6-F170-3641-B352-9AD9BF775AB5}"/>
    <hyperlink ref="B382" r:id="rId371" xr:uid="{29C00EC1-F9CC-4C48-8C50-58AD93C3BE4F}"/>
    <hyperlink ref="B387" r:id="rId372" xr:uid="{BDA841CE-BB73-7A46-B4D6-C66857C56B7B}"/>
    <hyperlink ref="B411" r:id="rId373" xr:uid="{463A218F-985F-0241-B6FD-56E7445C9B13}"/>
    <hyperlink ref="B496" r:id="rId374" xr:uid="{8DA966F5-8A5C-3D4F-B429-DDB554DD51AF}"/>
    <hyperlink ref="B14" r:id="rId375" xr:uid="{1BDBA35C-8F96-7246-BE13-BE938FBAAF92}"/>
    <hyperlink ref="B2" r:id="rId376" display="../../../../:b:/g/personal/sarellano_no-mii_com/ETQWkFs9oKJDiDLOr8ooyqABHbZzQ-zrqicrXHxIMa7aEw?e=dsO6Eq" xr:uid="{695880C1-F430-BC47-8700-761ECC5A4DAF}"/>
    <hyperlink ref="B452" r:id="rId377" xr:uid="{FCBA0EF9-21D5-AF42-A799-DC8722ACA3C9}"/>
    <hyperlink ref="B533" r:id="rId378" xr:uid="{BB1885E6-6037-BB45-BEDE-635D9B9E303E}"/>
    <hyperlink ref="B630" r:id="rId379" xr:uid="{0B4F0B9C-A6C5-7545-A45A-486D1F7FDD83}"/>
    <hyperlink ref="B677" r:id="rId380" display="../../../../:b:/g/personal/sarellano_no-mii_com/ETeMqlDhDnREi-pvFa-byeYBx7yP3M_7yqFglQcrthi_Zg?e=z3aNap" xr:uid="{BBC3B848-7D24-444B-B0FE-55DF6B724E9B}"/>
    <hyperlink ref="B694" r:id="rId381" display="../../../../:b:/g/personal/sarellano_no-mii_com/Ear9EogUrERHsPpdoVVR-hwBLWhE5iZLdw-YqwTAdg32XA?e=2bmOIg" xr:uid="{BC011D16-0A0E-0440-9AEF-C242C4BAB0F4}"/>
    <hyperlink ref="B697" r:id="rId382" display="../../../../:b:/g/personal/sarellano_no-mii_com/EUjEGlEmCllMi2tEuXSffnwBsoc9ZfERPzYKGpV8NxpgZg?e=sBEr3N" xr:uid="{307334AB-7E5C-F645-8CB6-8D7C90A58865}"/>
    <hyperlink ref="B704" r:id="rId383" display="../../../../:b:/g/personal/sarellano_no-mii_com/EYDrEnHyMIBIppXM71lg2Q8BaspWWZp5mse2NjZCAwp-UQ?e=k87Bbq" xr:uid="{32A14C95-0CFB-F84E-AF13-3212A90C274F}"/>
    <hyperlink ref="B646" r:id="rId384" display="../../../../:b:/g/personal/sarellano_no-mii_com/EcK5plA6nBBHrP45gYglzoUBwPw-wRMplktlb9YtlMsI9Q?e=A2D0mu" xr:uid="{C75797B5-089E-A542-B422-1254B48C2D25}"/>
    <hyperlink ref="B571" r:id="rId385" xr:uid="{283064EA-05D8-274E-B985-EA97E01A0A39}"/>
    <hyperlink ref="B487" r:id="rId386" xr:uid="{FF602BD3-04CA-3447-9356-FB4F67B66782}"/>
    <hyperlink ref="B490" r:id="rId387" xr:uid="{A88B06F9-4E50-B34A-8344-DE2B17D2F8F9}"/>
    <hyperlink ref="B449" r:id="rId388" xr:uid="{D34D3194-6ABB-3E4F-91CD-DF6F89E22C5D}"/>
    <hyperlink ref="B379" r:id="rId389" xr:uid="{756ADDD4-A7ED-5049-BF5C-401170C046AC}"/>
    <hyperlink ref="B460" r:id="rId390" display="../../../../:b:/g/personal/sarellano_no-mii_com/EYKe2EuXU3tFkSfBWiMO_0gBVFxldW0niPhhbJipDVH1Ww?e=PGn2NC" xr:uid="{0B8001C8-6BD5-694C-91E7-A71F6C76CC6B}"/>
    <hyperlink ref="B330" r:id="rId391" display="../../../../:b:/g/personal/sarellano_no-mii_com/EeInNQxNgvBPhU-caoQ8YNgBwTEt6uxSK6k92zmwpipWRg?e=5z2iPk" xr:uid="{94CD1598-2288-944C-81BB-D5BBE182CCE3}"/>
    <hyperlink ref="B222" r:id="rId392" display="../../../../:b:/g/personal/sarellano_no-mii_com/ESRBsvUh7OpErtRhwv2yh8EBZPJw_Ym8qwFRjB5lJOxz_A?e=IyeURI" xr:uid="{F71EE611-077C-0643-9E7D-8D7D344CA57C}"/>
    <hyperlink ref="B205" r:id="rId393" xr:uid="{783C44BA-EE67-2141-B87B-FA27F3F65C65}"/>
    <hyperlink ref="B206" r:id="rId394" xr:uid="{B2C9679F-6E1C-2441-B3DF-04A86F75A2E6}"/>
    <hyperlink ref="B211" r:id="rId395" xr:uid="{B121A0AA-6047-C543-AC8B-07E267B53523}"/>
    <hyperlink ref="B212" r:id="rId396" xr:uid="{027A0D97-644F-A546-98B4-425E074AD870}"/>
    <hyperlink ref="B207" r:id="rId397" xr:uid="{EF9624E8-8BD8-0D4C-BB78-DB541E1EA140}"/>
    <hyperlink ref="B144" r:id="rId398" display="../../../../:b:/g/personal/sarellano_no-mii_com/ERjpLt4QhI9JgCb8rw-X2I8BbppISdIoN11ocbs5jOVHow?e=lSO8Rd" xr:uid="{84D02B03-5B93-B845-9433-70CBFA196B0E}"/>
    <hyperlink ref="B25" r:id="rId399" xr:uid="{55BB3A49-C065-324E-A24A-15D8D06B1D91}"/>
    <hyperlink ref="B48" r:id="rId400" xr:uid="{2E9E3F33-7A5A-084A-8E3A-864144986F78}"/>
    <hyperlink ref="B641" r:id="rId401" xr:uid="{88EF3D5C-482A-B649-9685-ADD6DB9D27A4}"/>
    <hyperlink ref="B595" r:id="rId402" display="../../../../:b:/g/personal/sarellano_no-mii_com/EQerfY-yoS5DtIQ2WdH5RFUBxwrgVG2n_uEbmdBjLUzNkw?e=G7hkRg" xr:uid="{7DF392EA-A9D6-6E4C-9A14-50D0DD00CC10}"/>
    <hyperlink ref="B607" r:id="rId403" xr:uid="{3FA1AE5D-9271-B949-BD86-3CAA5ED2672E}"/>
    <hyperlink ref="B623" r:id="rId404" xr:uid="{B83A90FC-3266-AD43-84D0-C641C2D3D5E0}"/>
    <hyperlink ref="B22" r:id="rId405" xr:uid="{9819E994-A032-5E42-A527-77F0E7A6B352}"/>
    <hyperlink ref="B720" r:id="rId406" xr:uid="{914CB5C1-B9D5-2543-8CC5-E75CF5C8322E}"/>
    <hyperlink ref="B708" r:id="rId407" xr:uid="{BE848DC4-9C09-AC4B-A1E4-5668EB09F90C}"/>
    <hyperlink ref="B585" r:id="rId408" xr:uid="{3EAC1DBD-6A38-3C45-89E8-758B151E36D6}"/>
    <hyperlink ref="B196" r:id="rId409" xr:uid="{857D7785-EAA2-2142-B7DC-C8901FB6D5AE}"/>
    <hyperlink ref="B16" r:id="rId410" xr:uid="{FA8A2789-D44C-E94C-9379-651081150257}"/>
    <hyperlink ref="B278" r:id="rId411" xr:uid="{1267FBE0-4389-7C4A-8490-6A6B74514F9D}"/>
    <hyperlink ref="B50" r:id="rId412" xr:uid="{9DCB366F-0E50-C94B-BC35-6DFF8B7135E0}"/>
    <hyperlink ref="B354" r:id="rId413" xr:uid="{2EA1C174-10F7-FA42-8019-50E9CCD056AA}"/>
    <hyperlink ref="B435" r:id="rId414" xr:uid="{34D6B28E-95FD-4D4D-987F-D34E25696B3A}"/>
    <hyperlink ref="B511" r:id="rId415" xr:uid="{D6A78D08-93A4-554E-8D6C-542DC91DA68A}"/>
    <hyperlink ref="B680" r:id="rId416" display="1331893571/08" xr:uid="{3DA6D496-8C94-7C4D-BB54-4770D6893D49}"/>
    <hyperlink ref="B565" r:id="rId417" display="1307169528/08" xr:uid="{3374A8F4-7FBF-B740-B084-111B4AF7D1FF}"/>
    <hyperlink ref="B489" r:id="rId418" display="1283580643/08" xr:uid="{623064D7-3E62-6548-BFB7-8A52DB5CCC49}"/>
    <hyperlink ref="B407" r:id="rId419" display="1260863118/08" xr:uid="{83B8F0EE-2FD3-C04B-8967-385B89BB33C7}"/>
    <hyperlink ref="B545" r:id="rId420" xr:uid="{59BB0748-7BF7-C741-B95E-D7E1C7418288}"/>
    <hyperlink ref="B443" r:id="rId421" xr:uid="{52FF6520-7620-9A42-B1BA-34EDCF1D5CBB}"/>
    <hyperlink ref="B319" r:id="rId422" xr:uid="{6862E5E2-216B-F640-9D6F-F82693393C2A}"/>
    <hyperlink ref="B244" r:id="rId423" xr:uid="{3C010587-A40F-DF4C-9D70-F47238F3CAB2}"/>
    <hyperlink ref="B141" r:id="rId424" xr:uid="{A577739F-792F-5643-A003-BA41211CBE32}"/>
    <hyperlink ref="B29" r:id="rId425" xr:uid="{730FFC80-B120-2343-A786-C69BC21C8138}"/>
    <hyperlink ref="B615" r:id="rId426" display="../../../../:b:/g/personal/sarellano_no-mii_com/EUtInxyzR_9OqDiraDNcYcoBgFbCFGwQLgKKCnKAwBAR9A?e=aa5H6F" xr:uid="{D3CF720A-856F-E148-8E73-A00CE7B22D49}"/>
    <hyperlink ref="B678" r:id="rId427" display="../../../../:b:/g/personal/sarellano_no-mii_com/EbU0dgdUCfpOrJNS84DziVoB1iMy4rFG2H--I1Cvni4m6A?e=LkaeUO" xr:uid="{1E1DFB56-3684-1D4D-AB1B-95D16D0C473D}"/>
    <hyperlink ref="B41" r:id="rId428" display="../../../../:b:/g/personal/sarellano_no-mii_com/Ee0xE20Hd0BAkVc-HUFAcOAB3Mmq-yoSKajP6IVUiAEHFw?e=51k9Pb" xr:uid="{C7D194CC-35E5-8646-B3C8-77BD9813BDFE}"/>
    <hyperlink ref="B64" r:id="rId429" display="../../../../:b:/g/personal/sarellano_no-mii_com/ESqUAhU3dN1Hhtn3AWcHcvoB9CqA7gOmfhZVB06h_4sMrw?e=aFP7D3" xr:uid="{2896EDAE-877D-654E-837B-04E3614ED7F0}"/>
    <hyperlink ref="B177" r:id="rId430" display="../../../../:b:/g/personal/sarellano_no-mii_com/EeGi_6GuZrRIrtgusNI45NABF3_4Wvp1O7lLFKPeVxvkgw?e=BWDj4H" xr:uid="{859D43C9-B38D-A74A-80BF-1FD095C4F004}"/>
    <hyperlink ref="B221" r:id="rId431" display="../../../../:b:/g/personal/sarellano_no-mii_com/EbZRG9nOuhtJp2eAO8XfcbQBwJNPSm8_ijwJ9-2ywfrg9g?e=8n3nkr" xr:uid="{3B1F47C8-152B-AC44-853A-33782B18868F}"/>
    <hyperlink ref="B263" r:id="rId432" display="../../../../:b:/g/personal/sarellano_no-mii_com/EVjwjgF1wzBOtG-00qsKAMcB7hcqevoj3yRr1ZdPjMy3EA?e=SEN3xE" xr:uid="{9960C690-094C-204B-85FF-06BEB9FD0535}"/>
    <hyperlink ref="B303" r:id="rId433" display="../../../../:b:/g/personal/sarellano_no-mii_com/EbQOUCPknVVNllbEyiP52MYBFT9cVLL-gPTpNl68nbl6Bg?e=untAV9" xr:uid="{56CE88F3-AC86-E34D-BEED-FDB756BAF8F9}"/>
    <hyperlink ref="B349" r:id="rId434" display="../../../../:b:/g/personal/sarellano_no-mii_com/EY_zav9sEfVBoWogpRE1uiUBDny4Ulw1qYAc5GIZt0KykQ?e=XCqPuS" xr:uid="{AAB8B8BD-A0EB-0C44-B24C-54F204D77482}"/>
    <hyperlink ref="B416" r:id="rId435" display="../../../../:b:/g/personal/sarellano_no-mii_com/EQlw4dUXAStFkJoHF8i8wWUBdlxcBop_0PDLbgWoHnTq2Q?e=BEehof" xr:uid="{4FF005F1-E7F7-8B48-B759-2BA664CD30FF}"/>
    <hyperlink ref="B378" r:id="rId436" display="../../../../:b:/g/personal/sarellano_no-mii_com/Ed9M9uFftLZNjSxUS3zF6fAB3Vwdaax8D3iRNFM2W5Pzkg?e=lftN11" xr:uid="{900D7497-F173-614F-B17E-9581B75A7B0D}"/>
    <hyperlink ref="B453" r:id="rId437" display="../../../../:b:/g/personal/sarellano_no-mii_com/EaNO0qCtNfhJiyCirQM08cwBpNnMkNZ9071tZKpi8Ix6Zg?e=RaCeZc" xr:uid="{85610F98-E9F8-244B-840B-B91CDEC1DB6D}"/>
    <hyperlink ref="B481" r:id="rId438" display="../../../../:b:/g/personal/sarellano_no-mii_com/Eb3hrd729FNBjAsrsCOazdUBxubot8kzW3I9z2NJH7Auew?e=8nVeNF" xr:uid="{8DFD780C-AFC3-F34A-8168-45BAB6F75F3F}"/>
    <hyperlink ref="B531" r:id="rId439" display="../../../../:b:/g/personal/sarellano_no-mii_com/EdZ_6rFlMbBDphDTkrDDo0sBKBm3OppZb6WA124s97yZjw?e=hVQdyl" xr:uid="{F954D6F6-0EB6-EF4D-94CF-85659ABF2072}"/>
    <hyperlink ref="B570" r:id="rId440" display="../../../../:b:/g/personal/sarellano_no-mii_com/EfIVYD0u52xHrW7ZlykLzqwBgwlB8qoqwKEAQWk0HHm2yw?e=VKsgHc" xr:uid="{C14C526D-3D46-5E4D-AF19-261ECC0BE38F}"/>
    <hyperlink ref="B12" r:id="rId441" display="../../../../:b:/g/personal/sarellano_no-mii_com/EVG7lLX6L81LpWhDs3xzRj4BI3Q0JGdtiupnQOEFPzfKNw?e=qPpOut" xr:uid="{FE30A051-5990-9247-A726-B0C875880119}"/>
    <hyperlink ref="B4" r:id="rId442" display="../../../../:b:/g/personal/sarellano_no-mii_com/Ecnd7PYqUxROvh1fCw16AgcBb7B5m_-SQneA_836EV8rVQ?e=z9cK7B" xr:uid="{76C8B3DC-F8B9-6242-9CEE-9458FEDFB8EA}"/>
    <hyperlink ref="B20" r:id="rId443" display="../../../../:b:/g/personal/sarellano_no-mii_com/EZJsYJ6BxJ9Hgn0Qr3PMYwoBklhtwUGczs2h_p0hQdB-Gg?e=OYGXa7" xr:uid="{5193DC72-42E1-5049-97F9-215AA7D5E962}"/>
    <hyperlink ref="B61" r:id="rId444" display="../../../../:b:/g/personal/sarellano_no-mii_com/ER37hBnkmPFGu6qzYd2HmnIBzIWBclTqyzSvw3MAYR5jxQ?e=yWOG7x" xr:uid="{740982CE-C3BA-6D4B-8510-D4936B679360}"/>
    <hyperlink ref="B217" r:id="rId445" display="../../../../:b:/g/personal/sarellano_no-mii_com/EfOY8Bh1vn1ApUQTmK1ogtoBSNbWZl1VhyRJcBOOaqlgFg?e=EukHbh" xr:uid="{DDEF3424-646F-8D47-BE99-CCBD8575F759}"/>
    <hyperlink ref="B297" r:id="rId446" display="../../../../:b:/g/personal/sarellano_no-mii_com/EaG8UnsJ1dZFk7qUAfrKHOsBFlEXJGfhmUPtK-5GFUEVzQ?e=QBphc9" xr:uid="{776C70FB-704F-D940-9F09-51C0CC23ADFF}"/>
    <hyperlink ref="B368" r:id="rId447" display="../../../../:b:/g/personal/sarellano_no-mii_com/EbuWMT5_b4xAiuxu7T2LSlUB4BIK7ENbURDUftMtmeICSQ?e=GjAWLb" xr:uid="{9F37C0DC-FD9D-EB47-89DE-70B7302940D8}"/>
    <hyperlink ref="B445" r:id="rId448" display="../../../../:b:/g/personal/sarellano_no-mii_com/EYYdeOQ1AhtDtex2QYPoebAB_JCJgHjyjC9nlTeDFw-qfg?e=LU1LGI" xr:uid="{C8AE65A9-0472-0B4D-9AB5-90FD33CBD18F}"/>
    <hyperlink ref="B521" r:id="rId449" display="../../../../:b:/g/personal/sarellano_no-mii_com/EY4MSSH_DJ9NhIlhYxnRnxIBR91XkyOnSmsLiOkAC9OwKw?e=gkOvhJ" xr:uid="{2310BFE5-E2B9-5B45-867A-8DCCF31186B0}"/>
    <hyperlink ref="B614" r:id="rId450" display="../../../../:b:/g/personal/sarellano_no-mii_com/EQz7mcebtqxOnnskoRSkKz8B_PYDX5Vt-Sj9IEWeTyXBbQ?e=O4jJQ9" xr:uid="{3FF204FE-6861-DA44-BC77-3D3F5D3C7EC0}"/>
    <hyperlink ref="B54" r:id="rId451" display="../../../../:b:/g/personal/sarellano_no-mii_com/Ef-Tm0XQNltGsYf2xYrgWYoBJVgkVXixULxw14oO4Da9nA?e=K8M97O" xr:uid="{1C3CD1E1-EF71-3047-9D3E-BE3B7A33338F}"/>
    <hyperlink ref="B201" r:id="rId452" display="../../../../:b:/g/personal/sarellano_no-mii_com/EQkAPlmSHt1JgZcwS7t2kPEB9jcNPSJSYyXdVQCRciKjKg?e=Fs6Nxx" xr:uid="{A12619CE-0142-BD45-AE08-7E7179B6C38B}"/>
    <hyperlink ref="B288" r:id="rId453" display="../../../../:b:/g/personal/sarellano_no-mii_com/ESjvN0P1RMxMpGFBoaC3otwBi13FgMDwZi5tPIcyVf4qAA?e=WqWeHq" xr:uid="{6BDB679C-E1AA-1046-B600-6C043A90E4DD}"/>
    <hyperlink ref="B359" r:id="rId454" display="../../../../:b:/g/personal/sarellano_no-mii_com/EWVNawbz6_5HnVIw2ygagSYBv7oyuJ3P6mBUm8D-R7jxnw?e=vNKkDW" xr:uid="{7FCC21EA-E38B-444E-94DC-32E95B4EA647}"/>
    <hyperlink ref="B431" r:id="rId455" display="../../../../:b:/g/personal/sarellano_no-mii_com/ER2bCNhnc8BHgQq-OuA48u4B3TFu_3S1YbDaCSnbExWuEw?e=r2qSYe" xr:uid="{872D1E18-B71D-D046-9056-110AA7AC4A14}"/>
    <hyperlink ref="B717" r:id="rId456" display="../../../../:b:/g/personal/sarellano_no-mii_com/EXzgNSuIVDBNnaEBaGKtwiQB0sB1w2Jr3MS8_314LcYGTw?e=feVbCO" xr:uid="{EF240870-FD96-814C-97BF-0BAF47026D24}"/>
    <hyperlink ref="B154" r:id="rId457" xr:uid="{95150A6D-5153-1648-B846-F3BE5A4CA50E}"/>
    <hyperlink ref="B255" r:id="rId458" xr:uid="{C39945C5-9C87-394E-9852-C917F50AD057}"/>
    <hyperlink ref="B325" r:id="rId459" xr:uid="{4C2E524F-4A4D-424D-BF6A-6FADEAECFA3B}"/>
    <hyperlink ref="B406" r:id="rId460" xr:uid="{4C5406E7-2A53-6D41-9ED2-EE31A6035B20}"/>
    <hyperlink ref="B482" r:id="rId461" xr:uid="{E98742E5-8457-664B-B552-7CF100ED6F47}"/>
    <hyperlink ref="B561" r:id="rId462" xr:uid="{F0E971EF-5E78-F945-9308-56A5DD83818F}"/>
    <hyperlink ref="B679" r:id="rId463" xr:uid="{BFEDF7FC-BB6D-7940-90A0-6F94D08B599D}"/>
    <hyperlink ref="B42" r:id="rId464" xr:uid="{D69FBE4C-EA7A-CE49-A605-86DC63167FDB}"/>
    <hyperlink ref="B258" r:id="rId465" xr:uid="{2E14E9E6-37F3-374C-91DD-2F005C13A100}"/>
    <hyperlink ref="B332" r:id="rId466" xr:uid="{14AE4358-2C07-6540-8DBD-432FA93E8B3D}"/>
    <hyperlink ref="B573" r:id="rId467" xr:uid="{0C95F1C3-2A84-7142-89F8-0A990331D282}"/>
    <hyperlink ref="B350" r:id="rId468" xr:uid="{5C975FFB-CC24-624C-96C1-FD52021DFE7C}"/>
    <hyperlink ref="B418" r:id="rId469" xr:uid="{6B250A4C-C6D3-5A4C-80E5-AA4EBD19AF5F}"/>
    <hyperlink ref="B494" r:id="rId470" xr:uid="{E095BF0B-FF8E-F849-907E-E4D902278D85}"/>
    <hyperlink ref="B582" r:id="rId471" xr:uid="{2991D1E7-CA99-2A44-AD4F-BD08210A1E3D}"/>
    <hyperlink ref="B726" r:id="rId472" display="../../../../:b:/g/personal/sarellano_no-mii_com/ES_jMQmsUeVMooiwWuaRQVcBscgxL4Ch7D2qidpFNfcs7g?e=HY9WvY" xr:uid="{51817875-15EC-574A-816B-09179B11ECBE}"/>
    <hyperlink ref="B701" r:id="rId473" xr:uid="{09349AC2-18F5-8140-990A-A7E80677B170}"/>
    <hyperlink ref="B663" r:id="rId474" xr:uid="{D90F3661-7E58-DC40-A365-2F4BF51DA530}"/>
    <hyperlink ref="B11" r:id="rId475" xr:uid="{6C617706-6EF8-1A41-ACF0-E29527E2FAED}"/>
    <hyperlink ref="B36" r:id="rId476" xr:uid="{1DD4DDEC-8F9F-F048-9863-F4BAC76D926D}"/>
    <hyperlink ref="B145" r:id="rId477" xr:uid="{B3561CB2-51E7-DE49-8644-A63C85C1EE5C}"/>
    <hyperlink ref="B46" r:id="rId478" xr:uid="{E37D21BB-8A8F-E94C-8A1B-3A809E8B38B7}"/>
    <hyperlink ref="B250" r:id="rId479" xr:uid="{711D1AE2-495C-8A46-AC20-DE7A739AD868}"/>
    <hyperlink ref="B338" r:id="rId480" xr:uid="{1792202A-3733-B941-BEA7-AD34BC75FD72}"/>
    <hyperlink ref="B402" r:id="rId481" xr:uid="{AAAE06C4-3545-1D46-BBAC-F4CFEC4D6BD3}"/>
    <hyperlink ref="B472" r:id="rId482" xr:uid="{E04F5482-4AF5-994E-AC9F-85ABA1928737}"/>
    <hyperlink ref="B555" r:id="rId483" xr:uid="{C95585B2-8875-9B46-87A8-58CA6C7A5CFE}"/>
    <hyperlink ref="B734" r:id="rId484" display="../../../../:b:/g/personal/sarellano_no-mii_com/EWurjSMqPsZMgIdFOwN3UkABZkFvkT0TfAgY_KjYJdQYgg?e=5STOvo" xr:uid="{5BB4DD50-6ECB-E940-AD10-CBC87B148FA4}"/>
    <hyperlink ref="B730" r:id="rId485" display="../../../../:b:/g/personal/sarellano_no-mii_com/EQkm6mstMO1Lqn0LHBJ4mjABF4nJs0wVxoCmgW1Z0TVWNA?e=cewkEV" xr:uid="{E6B13B11-1F99-B94C-B563-0BEABC07401B}"/>
    <hyperlink ref="B737" r:id="rId486" xr:uid="{93B4A88F-7475-A640-A464-B53D3B671B35}"/>
    <hyperlink ref="B727" r:id="rId487" display="../../../../:b:/g/personal/sarellano_no-mii_com/EaIwLw1Ea3NCqr4xU5ww3Y0Bk05OboKMsFMGiEuPefka-Q?e=nDzSK5" xr:uid="{C5F5E968-B260-044D-B629-C7F8A81A5BE1}"/>
    <hyperlink ref="B747" r:id="rId488" xr:uid="{1F6681A9-57C9-BC4F-BD60-F837CAD6CD8A}"/>
    <hyperlink ref="B736" r:id="rId489" xr:uid="{573237AC-0904-2241-96B7-634FCC7BBEBC}"/>
    <hyperlink ref="B740" r:id="rId490" display="../../../../:b:/g/personal/sarellano_no-mii_com/EdnOqtipw0RHuOPaFe84OkABHHX7oVb95RT0eiLZWbbsCw?e=3BHkx9" xr:uid="{951003A1-FE74-2842-AC21-F603149EB8DD}"/>
    <hyperlink ref="B728" r:id="rId491" display="../../../../:b:/g/personal/sarellano_no-mii_com/Eaei_DVSUuBMoU0DHXoie-0BHQ3bu5gYO0padFHuOEIVDg?e=PdJMfv" xr:uid="{B158DDA2-79B6-2343-8702-4D8CB8248D04}"/>
    <hyperlink ref="B738" r:id="rId492" xr:uid="{DE349A2D-7E79-B545-97DD-82B9B13C830C}"/>
    <hyperlink ref="B719" r:id="rId493" xr:uid="{EA89493B-A301-1D40-9165-AE88D35A434C}"/>
    <hyperlink ref="B729" r:id="rId494" xr:uid="{A37EED37-111A-4F42-9825-182C1260A4C3}"/>
    <hyperlink ref="B731" r:id="rId495" xr:uid="{BA848584-18B1-8140-A4C0-B7FB19C91097}"/>
    <hyperlink ref="B745" r:id="rId496" xr:uid="{CF229AE8-FA97-E243-92AD-6ED37EF857DE}"/>
    <hyperlink ref="B688" r:id="rId497" display="../../../../:b:/g/personal/sarellano_no-mii_com/EWezjky5AFlEjw96shAimasBpZupuA_sgj3NVwtGsQ-ynA?e=AnEPu5" xr:uid="{0AC016BD-09BF-AB45-871B-10CA901C92B7}"/>
    <hyperlink ref="B751" r:id="rId498" display="../../../../:b:/g/personal/sarellano_no-mii_com/EYP4i_6AH2ZOkTjj_R_2xEEBr2RWsy7_S7GU5HaD3JA44g?e=365KXE" xr:uid="{D14E7938-5307-5B4B-8473-0FCB78346AC2}"/>
    <hyperlink ref="B759" r:id="rId499" xr:uid="{EF88FA57-6986-1344-B07D-5C26DF9E3D3F}"/>
    <hyperlink ref="B761" r:id="rId500" xr:uid="{35821D6D-4054-8D4E-9D65-1823E7B7726C}"/>
    <hyperlink ref="B762" r:id="rId501" display="../../../../:b:/g/personal/sarellano_no-mii_com/EZIW1g-EIVpOlXRsVZeq72oBt2OINash8ykFwjgrxBOjzg?e=Yto0Bg" xr:uid="{73D8D7C1-F33A-DF40-956D-FF5BC92F1CAD}"/>
    <hyperlink ref="B756" r:id="rId502" display="../../../../:b:/g/personal/sarellano_no-mii_com/ER0XR-BAO_hDtP-7nttjx0sB4y-Ugert18p2aBcHsrc3Aw?e=qBrjsj" xr:uid="{D2FCAB8E-AD3C-2C4E-BC4F-999745ECC594}"/>
    <hyperlink ref="B765" r:id="rId503" xr:uid="{577E66B3-C553-3C4C-98A1-91EC4F9AC0AD}"/>
    <hyperlink ref="B768" r:id="rId504" xr:uid="{A7BCFF62-EF8B-AC4D-AA13-FDA066363324}"/>
    <hyperlink ref="B62" r:id="rId505" xr:uid="{977EC9FB-A067-9748-B876-075F3A0C3107}"/>
    <hyperlink ref="B63" r:id="rId506" xr:uid="{D4FACF0E-D7CF-CB4E-8E03-BB851B6BCED9}"/>
    <hyperlink ref="B744" r:id="rId507" xr:uid="{0210B246-C997-6C40-A5A5-C1AD8E1DF664}"/>
    <hyperlink ref="B699" r:id="rId508" display="../../../../:b:/g/personal/sarellano_no-mii_com/Edc5r8jOmRpDkDneAPPViH0B2rDxdmiBN9FcWG3kgmHPVg?e=BaD6rv" xr:uid="{96D33CE9-EC1F-0142-9F10-6335413C2C45}"/>
    <hyperlink ref="B499" r:id="rId509" display="../../../../:b:/g/personal/sarellano_no-mii_com/EU6L_g_ehl9MjCoxIB2LI3QBOXQrP4D6EUiaIaY-tzSyVw?e=E51AIG" xr:uid="{DE77D07B-0F0F-774A-8377-E0E69CC5B9DE}"/>
    <hyperlink ref="B789" r:id="rId510" xr:uid="{B9DE04EE-FFAA-0443-9DAA-F50D0D09CD79}"/>
    <hyperlink ref="B706" r:id="rId511" display="../../../../:b:/g/personal/sarellano_no-mii_com/ESoVa-6ajT1Mo3uqJqdLMSYBIeZ44kJK_NBl5q8MFB_Cqg?e=wAn8Qh" xr:uid="{4D452614-B5F7-6142-840E-EF9E53406541}"/>
    <hyperlink ref="B794" r:id="rId512" display="../../../../:b:/g/personal/sarellano_no-mii_com/EQzlh2k8OyZFqcJAZAPFcXwBhJr8y4TZqTaB3SAxVXhpyw?e=N15PbG" xr:uid="{CA1CC32D-1EC2-3043-95CE-A8A694137C85}"/>
    <hyperlink ref="B790" r:id="rId513" xr:uid="{C90E35E6-7543-334C-96A0-DEEB8389AC47}"/>
    <hyperlink ref="B787" r:id="rId514" display="../../../../:b:/g/personal/sarellano_no-mii_com/ES2BhRsEexhFjLRWbRHj-CwB33JK6E8mJ4wq4UOy4M0_Ow?e=b4GZVX" xr:uid="{F85A8D01-87FD-DC43-BB74-FB24B29AE266}"/>
    <hyperlink ref="B780" r:id="rId515" xr:uid="{796374D4-DAD9-EE4A-9335-991E26B90634}"/>
    <hyperlink ref="B773" r:id="rId516" xr:uid="{C2A7E616-0004-9944-973B-05132DC19186}"/>
    <hyperlink ref="B754" r:id="rId517" display="../../../../:b:/g/personal/sarellano_no-mii_com/EVKcfTCYpxVIvfsrdGYJtTwB44FJV3sg4yyW7Sh2j_HDPw?e=cRxCza" xr:uid="{BD744128-4D91-DA45-AB2A-56BFC076A2FB}"/>
    <hyperlink ref="B243" r:id="rId518" xr:uid="{B8DEB708-D82F-8541-9EEB-B671C3F03E4E}"/>
    <hyperlink ref="B763" r:id="rId519" display="../../../../:b:/g/personal/sarellano_no-mii_com/EQkRV7kTeVlGnhbfovbL4ngBw1pkcGfA2lDZCrSBtzXkqQ?e=0C9Unu" xr:uid="{F163566D-BD58-A94D-AD5E-3F4B5BDB3EEC}"/>
    <hyperlink ref="B190" r:id="rId520" xr:uid="{35C4F016-C10B-0542-867D-B0F98468D9C7}"/>
    <hyperlink ref="B709" r:id="rId521" xr:uid="{EA69B431-83DA-674B-9BB7-4919AA7B01BB}"/>
    <hyperlink ref="B426" r:id="rId522" xr:uid="{6A9EC18D-9481-7744-B976-E2D2B76EDD5B}"/>
    <hyperlink ref="B432" r:id="rId523" xr:uid="{2CAE14E7-0CBF-7D47-8AE9-13B4B25291AA}"/>
    <hyperlink ref="B353" r:id="rId524" xr:uid="{F3331BB2-71CF-1846-AFBA-58F697DAA16C}"/>
    <hyperlink ref="B283" r:id="rId525" xr:uid="{1575915E-62B8-FD49-B563-87A8E5581119}"/>
    <hyperlink ref="B589" r:id="rId526" xr:uid="{6AFBAF45-C4F1-0947-865D-3B0380C657F8}"/>
    <hyperlink ref="B764" r:id="rId527" xr:uid="{611B19C1-4442-F048-AA3B-0B5A3DD08806}"/>
    <hyperlink ref="B28" r:id="rId528" xr:uid="{6899FAF6-6296-F940-BCE3-8F608DDE4BAB}"/>
    <hyperlink ref="B127" r:id="rId529" display="../../../../:b:/g/personal/sarellano_no-mii_com/ERLZaSH8mNpNkeRSbVOqJWYBYMyTc5DvqzR0Qn1tge0Ezw?e=HXotki" xr:uid="{D0C394D7-EF6E-5544-97EE-55C0258A80EE}"/>
    <hyperlink ref="B27" r:id="rId530" display="../../../../:b:/g/personal/sarellano_no-mii_com/EYC73Epm82lCgXPb70dxCc8BkxQLzFESHd4uDhJQ-9-66Q?e=WLFDAM" xr:uid="{8698EB32-F2AD-314C-AC53-83BC9F589345}"/>
    <hyperlink ref="B313" r:id="rId531" display="../../../../:b:/g/personal/sarellano_no-mii_com/EbxSmCpRS59DntvNZQJFhp0BW4BoUUW0Y4J_fMg9_zZ0hQ?e=XDBB31" xr:uid="{F04BCB66-967F-D648-BD52-F92BD56B4C59}"/>
    <hyperlink ref="B235" r:id="rId532" display="../../../../:b:/g/personal/sarellano_no-mii_com/EUH5CGha4spCiFu__IfHBEsBkSE1gQwVPFNPwP6VgeMEUQ?e=mAw460" xr:uid="{EA6C9237-E90E-9D4E-B069-AFB95E9B2751}"/>
    <hyperlink ref="B580" r:id="rId533" xr:uid="{49EDD0DA-E18A-DC4D-AA48-535DE26AEB25}"/>
    <hyperlink ref="B758" r:id="rId534" xr:uid="{5E344218-53D7-D649-BFED-9DCFA5BF3E09}"/>
    <hyperlink ref="B512" r:id="rId535" display="../../../../:b:/g/personal/sarellano_no-mii_com/EcJAKP1foLRIrOka6Sxs5XUBBQR9ZH8OTfbwBHaObM56Vw?e=hskcab" xr:uid="{3DBB66E6-A781-304B-958A-773AFAA89681}"/>
    <hyperlink ref="B563" r:id="rId536" xr:uid="{49D40D51-F5B9-584A-9729-C7AC9F56335F}"/>
    <hyperlink ref="B507" r:id="rId537" display="../../../../:b:/g/personal/sarellano_no-mii_com/EdKRS_HbET5Ko-JXcMxaKfEBUIxJLqxVdw-tjX2bq9wd2g?e=cJw4w7" xr:uid="{8786443C-2C42-0441-AA38-9A22C7D1954E}"/>
    <hyperlink ref="B165" r:id="rId538" display="../../../../:b:/g/personal/sarellano_no-mii_com/Eb3HzL5yqctGsBXpuSIgbFIB4acQ9O5DTz12IE5fxr6j6Q?e=4qSU8h" xr:uid="{E0418FF9-F5DC-5249-8B98-D951F4E95617}"/>
    <hyperlink ref="B492" r:id="rId539" xr:uid="{10BFA022-293B-FB4F-8858-D49A8A07065E}"/>
    <hyperlink ref="B234" r:id="rId540" xr:uid="{D04D459F-FA5F-6540-B4B2-6A5FC7AD52D5}"/>
    <hyperlink ref="B18" r:id="rId541" xr:uid="{42DF4D93-4AC7-B244-8715-B005657DFF6E}"/>
    <hyperlink ref="B799" r:id="rId542" xr:uid="{02F04056-7E09-BF40-BF06-32992F2517D1}"/>
    <hyperlink ref="B801" r:id="rId543" xr:uid="{F74A679A-EFFB-D34B-A3E5-39C7C1C44E6A}"/>
    <hyperlink ref="B788" r:id="rId544" xr:uid="{484928D0-E1BE-E04A-993B-87DA605FAEB3}"/>
    <hyperlink ref="B797" r:id="rId545" xr:uid="{A951A713-9049-F24B-B4BA-5182DEEFD19D}"/>
    <hyperlink ref="B804" r:id="rId546" xr:uid="{1242E02D-D540-6047-A3C7-53F842BA9A33}"/>
    <hyperlink ref="B76" r:id="rId547" xr:uid="{BF1486EC-F588-D842-A2BE-4CCB8B7EF30C}"/>
    <hyperlink ref="B136" r:id="rId548" xr:uid="{D913BCF5-0DE9-0945-859B-969A449AF201}"/>
    <hyperlink ref="B143" r:id="rId549" xr:uid="{FF086F8C-D279-FC4E-B509-410FFE789C14}"/>
    <hyperlink ref="B146" r:id="rId550" xr:uid="{A3D8BA63-A85E-E641-8AE4-E5EFE9099DE2}"/>
    <hyperlink ref="B148" r:id="rId551" xr:uid="{B815BABB-54B5-A54E-8A22-15EEFBFF652D}"/>
    <hyperlink ref="B147" r:id="rId552" xr:uid="{283A3122-77CF-3849-8B70-BBEE17AFC6C7}"/>
    <hyperlink ref="B150" r:id="rId553" xr:uid="{1BC16982-2FFE-1B4B-9821-6288AEA97CBA}"/>
    <hyperlink ref="B149" r:id="rId554" xr:uid="{71C6BD02-04BB-2540-98EA-E4E13FAC0B07}"/>
    <hyperlink ref="B155" r:id="rId555" xr:uid="{199E89F4-C6A6-1E45-A668-97DDB9CE025D}"/>
    <hyperlink ref="B159" r:id="rId556" xr:uid="{E3F626EE-65A2-AA4F-8BD0-5A18F2FC4E59}"/>
    <hyperlink ref="B157" r:id="rId557" xr:uid="{02128CAC-5991-DF4E-B68F-2B6C1AB210AC}"/>
    <hyperlink ref="B156" r:id="rId558" xr:uid="{04E10AAB-FCAE-5B44-93AB-26356749DBFF}"/>
    <hyperlink ref="B163" r:id="rId559" xr:uid="{4A2035E5-523E-8B4A-953D-ADDD488EB9ED}"/>
    <hyperlink ref="B161" r:id="rId560" xr:uid="{0DB3B8E3-230F-204C-8BD3-F434DF8970E4}"/>
    <hyperlink ref="B162" r:id="rId561" xr:uid="{A5CD41C2-5536-2341-9D39-0DDE8D335331}"/>
    <hyperlink ref="B160" r:id="rId562" xr:uid="{20D153DE-61E6-0248-B925-C7D4A2BFE719}"/>
    <hyperlink ref="B168" r:id="rId563" xr:uid="{0155CF0B-B63F-E140-9954-2238437AB754}"/>
    <hyperlink ref="B172" r:id="rId564" xr:uid="{4625143A-F7CE-E249-A627-06A0329E6C64}"/>
    <hyperlink ref="B170" r:id="rId565" xr:uid="{69212580-4C44-3B47-86AC-EA7893F84DFD}"/>
    <hyperlink ref="B169" r:id="rId566" xr:uid="{AF5E1671-A4FB-6345-8B37-4C4A83D93392}"/>
    <hyperlink ref="B171" r:id="rId567" xr:uid="{B90D17B0-727F-7840-98C0-7BAE86E12157}"/>
    <hyperlink ref="B167" r:id="rId568" xr:uid="{1458A7F6-2D24-C342-B11C-E6C2C67E84C2}"/>
    <hyperlink ref="B173" r:id="rId569" xr:uid="{91B0855F-625B-2C4B-AB7F-E9ECFE924C00}"/>
    <hyperlink ref="B175" r:id="rId570" xr:uid="{FF8C17C8-9A70-494D-84AE-A159720B3C0E}"/>
    <hyperlink ref="B182" r:id="rId571" xr:uid="{2ADB82E0-79EE-2A48-B993-2BE25AC39450}"/>
    <hyperlink ref="B184" r:id="rId572" xr:uid="{9C9D803C-41AD-E241-9BD3-55EFC40B2940}"/>
    <hyperlink ref="B181" r:id="rId573" xr:uid="{5D2CA0F8-4572-1A43-B284-59FC6280CCC1}"/>
    <hyperlink ref="B180" r:id="rId574" xr:uid="{81A8DFFE-C342-BA47-9795-DC7F79B485E2}"/>
    <hyperlink ref="B174" r:id="rId575" xr:uid="{C0E194A2-C023-B248-AF6A-2CC0D3591EF2}"/>
    <hyperlink ref="B74" r:id="rId576" xr:uid="{106CB448-0F4F-5145-9595-EAB78A120988}"/>
    <hyperlink ref="B75" r:id="rId577" xr:uid="{15EE10B9-AF6C-C74B-B4D6-6B402EA05C0B}"/>
    <hyperlink ref="B121" r:id="rId578" xr:uid="{2F9B54B6-A80D-2D42-A910-1094F3B10A24}"/>
    <hyperlink ref="B84" r:id="rId579" xr:uid="{3D7FBC16-F8D8-A84C-8431-8B57C4F92955}"/>
    <hyperlink ref="B133" r:id="rId580" xr:uid="{B2972614-7645-AA41-A409-8650EA5CBEB3}"/>
    <hyperlink ref="B135" r:id="rId581" xr:uid="{A70E564C-81EB-7B48-987B-F3609DF8C083}"/>
    <hyperlink ref="B115" r:id="rId582" xr:uid="{AB80418B-76ED-E749-9DDB-F6B52A6C70BD}"/>
    <hyperlink ref="B114" r:id="rId583" xr:uid="{CFA0F117-A943-724E-AF68-F1BDB58F134E}"/>
    <hyperlink ref="B101" r:id="rId584" xr:uid="{3A747DA3-9A69-534B-91CC-27A48DBAF615}"/>
    <hyperlink ref="B100" r:id="rId585" xr:uid="{3B3F773A-1135-A74C-955A-CA4E52B6CBC5}"/>
    <hyperlink ref="B99" r:id="rId586" xr:uid="{D901715E-AB93-F64C-8475-97A7FDF670D3}"/>
    <hyperlink ref="B98" r:id="rId587" xr:uid="{24CBF31E-4D65-8248-B30D-D81E9ABDDCE8}"/>
    <hyperlink ref="B112" r:id="rId588" xr:uid="{0207998B-D7CD-9648-A43D-78A4C95EE033}"/>
    <hyperlink ref="B111" r:id="rId589" xr:uid="{941C986B-D1DB-914D-8405-FB82AF16C31E}"/>
    <hyperlink ref="B95" r:id="rId590" xr:uid="{3FEFB416-F34D-4143-9BC6-9B0AA1657676}"/>
    <hyperlink ref="B103" r:id="rId591" xr:uid="{F872B296-9E1C-974A-B084-770711FCFEF4}"/>
    <hyperlink ref="B77" r:id="rId592" xr:uid="{EDF3679D-2FF9-DA40-8AAC-EAD8B9FD2646}"/>
    <hyperlink ref="B78" r:id="rId593" xr:uid="{B07DC764-B3B4-3E4F-97CA-76A89976ED22}"/>
    <hyperlink ref="B79" r:id="rId594" xr:uid="{3FC9C9F3-B73C-B541-A05C-BF1D43A43B77}"/>
    <hyperlink ref="B80" r:id="rId595" xr:uid="{88351362-0A6A-084D-B9A6-29BCA6912D01}"/>
    <hyperlink ref="B81" r:id="rId596" xr:uid="{2754387D-184D-1E4E-845B-B4D9EEBB8616}"/>
    <hyperlink ref="B118" r:id="rId597" xr:uid="{8693A1AF-5F66-E246-ACEB-DCB604A77D34}"/>
    <hyperlink ref="B82" r:id="rId598" xr:uid="{71BFE13C-1487-ED46-857E-6619A529EFED}"/>
    <hyperlink ref="B83" r:id="rId599" xr:uid="{1B548CA7-759A-BB49-92E1-3B27A8076662}"/>
    <hyperlink ref="B85" r:id="rId600" xr:uid="{A72028F6-67AA-0244-A6BE-8A3471979B17}"/>
    <hyperlink ref="B86" r:id="rId601" xr:uid="{2D77C584-F918-2B4C-84CE-68D1654A82C1}"/>
    <hyperlink ref="B104" r:id="rId602" xr:uid="{18B366B9-1D9B-D445-9408-2FC57664B570}"/>
    <hyperlink ref="B130" r:id="rId603" xr:uid="{6BBB6BC5-13E1-5944-AA78-FDB51DA1B69C}"/>
    <hyperlink ref="B87" r:id="rId604" xr:uid="{19471A8B-CBCA-4240-86D5-11536A058C7A}"/>
    <hyperlink ref="B88" r:id="rId605" xr:uid="{3E294E6A-D938-1349-AE44-97268953A9F5}"/>
    <hyperlink ref="B89" r:id="rId606" xr:uid="{C1DCA24D-73A3-6740-94EB-07D927232AC9}"/>
    <hyperlink ref="B90" r:id="rId607" xr:uid="{966196B0-E1B2-E847-AD08-A119057B0810}"/>
    <hyperlink ref="B91" r:id="rId608" xr:uid="{ECC6C4B3-2A6D-B343-8979-4FAFABFFC3FF}"/>
    <hyperlink ref="B92" r:id="rId609" xr:uid="{9F0AEFCE-3B7D-254A-A902-9A97674D059D}"/>
    <hyperlink ref="B105" r:id="rId610" xr:uid="{656FDBA0-97BF-C641-8577-EFB1C10636CA}"/>
    <hyperlink ref="B106" r:id="rId611" xr:uid="{9B7B7A70-51B5-7B44-A6B5-03550580CD14}"/>
    <hyperlink ref="B107" r:id="rId612" xr:uid="{DECF6D3C-3937-104B-A354-7D04DDAD717F}"/>
    <hyperlink ref="B108" r:id="rId613" xr:uid="{19844934-0C17-CF4A-9584-71E37837579C}"/>
    <hyperlink ref="B109" r:id="rId614" xr:uid="{9FE1608A-55D1-4648-9C78-F59A09DF8DF5}"/>
    <hyperlink ref="B93" r:id="rId615" xr:uid="{49C0D7DC-AEC6-6843-98D9-8AAF6EF13C42}"/>
    <hyperlink ref="B94" r:id="rId616" xr:uid="{BB34FBB4-5837-BC42-B89D-8E8AA67C1BC3}"/>
    <hyperlink ref="B110" r:id="rId617" xr:uid="{E0574553-4B0B-A642-A53C-CC250EE853DF}"/>
    <hyperlink ref="B131" r:id="rId618" xr:uid="{CC663A19-4E79-1D4C-AD3C-49DFCB43A44A}"/>
    <hyperlink ref="B132" r:id="rId619" xr:uid="{2E2BA559-1F8A-9546-9F7B-79DD3009896A}"/>
    <hyperlink ref="B806" r:id="rId620" xr:uid="{F23F8F1B-DBDD-4348-8F8C-3A2A270282E3}"/>
    <hyperlink ref="B343" r:id="rId621" xr:uid="{0E4E8117-F963-A24F-B9E1-B1823C4E740C}"/>
    <hyperlink ref="B743" r:id="rId622" xr:uid="{69046E9B-B16D-9C4E-BABB-F07F7900C16E}"/>
    <hyperlink ref="B658" r:id="rId623" xr:uid="{76DCC3CD-4BFC-FF42-A64B-150D39798C61}"/>
    <hyperlink ref="B605" r:id="rId624" xr:uid="{806803B8-0773-E645-8236-A4F8F57B8869}"/>
    <hyperlink ref="B560" r:id="rId625" display="../../../../:b:/g/personal/sarellano_no-mii_com/EfH1DtmqGL5HghbxqNl55dwBpFoWD80bi2KQ9_cVlw_BCA?e=ONRs1s" xr:uid="{7E63F6ED-18C7-3242-B585-EEB09CE3723E}"/>
    <hyperlink ref="B564" r:id="rId626" display="../../../../:b:/g/personal/sarellano_no-mii_com/EbH2RsJXMTBBpGUNWQ1yHksBsIN427lHjW6OAcC_JuVUWQ?e=Hl8wr7" xr:uid="{F6C7BC5D-0054-CE4D-A159-8FF4DCFAD2B4}"/>
    <hyperlink ref="B638" r:id="rId627" display="../../../../:b:/g/personal/sarellano_no-mii_com/Ecc8a_jxs_FBujKQp8s_5WABsydbcYCZSHGGERbrTeX-bQ?e=DigU9q" xr:uid="{F9BA0CE4-C6B1-DE4B-A2D3-F9E6DDE9F690}"/>
    <hyperlink ref="B739" r:id="rId628" display="../../../../:b:/g/personal/sarellano_no-mii_com/EZspBXpuFV5JtthebYwfvowBM7sZVIN3c2d_277bhr_p6g?e=iOpC0u" xr:uid="{1844C367-96EB-E346-9F0D-042341559A7D}"/>
    <hyperlink ref="B753" r:id="rId629" xr:uid="{5C590354-248A-414A-83C8-CB52869AA2E8}"/>
    <hyperlink ref="B772" r:id="rId630" display="../../../../:b:/g/personal/sarellano_no-mii_com/EXAl8sko9nJPvsg3jNjWS5cBy-OZQu6bAS90snDPvtWjQw?e=4Bqytg" xr:uid="{2C63BCC2-D121-8B42-A42B-76F0F49A3E4A}"/>
    <hyperlink ref="B792" r:id="rId631" display="../../../../:b:/g/personal/sarellano_no-mii_com/EaZk5ckpGklPio_0uginCtQBDcznxXn4Ec5CE3bd5CZQuA?e=M2Rh1J" xr:uid="{3981E6C9-D84A-B74D-B39D-82D6B73BE664}"/>
    <hyperlink ref="B793" r:id="rId632" xr:uid="{336A7F80-5D3E-9840-8808-92CACF8A92F8}"/>
    <hyperlink ref="B795" r:id="rId633" display="../../../../:b:/g/personal/sarellano_no-mii_com/EW3JoXtEGONKo4VSIl7fox0BivgKPBYqSoN9044VGBUSBA?e=7yuf34" xr:uid="{8C462DAE-336D-9D4E-8B82-7E04FF7F4875}"/>
    <hyperlink ref="B798" r:id="rId634" xr:uid="{846BAB2F-3309-4B4B-8257-BEE674F7134F}"/>
    <hyperlink ref="B812" r:id="rId635" display="../../../../:b:/g/personal/sarellano_no-mii_com/EXWjk1dne11EudGyLpPgGScBvZvAF4z6zbwwjk4ucDsykQ?e=3Ok7HA" xr:uid="{592D8229-656D-004C-846F-1E67051046B0}"/>
    <hyperlink ref="B814" r:id="rId636" xr:uid="{2D0B1AB6-729B-8B4C-B31C-F5D8BC782F71}"/>
    <hyperlink ref="B809" r:id="rId637" display="../../../../:b:/g/personal/sarellano_no-mii_com/EeuGWkW1LYtGkGLAN5g73F0B8Ni06qxwLwVHFJZjk4WC-Q?e=L64n0t" xr:uid="{DC61B5DF-00A8-8147-9153-836101337477}"/>
    <hyperlink ref="B805" r:id="rId638" display="../../../../:b:/g/personal/sarellano_no-mii_com/EaTj8Qg9srNAtl99gx3hAAMB3C2LDIJ_3HSHMY1k4L5zRg?e=4l52Db" xr:uid="{0CDE72FF-B4FD-FA44-9A83-FF4B62A17D9F}"/>
    <hyperlink ref="B800" r:id="rId639" xr:uid="{B8CD9C39-6FC3-A24A-A29D-B1B83ACD0A5E}"/>
    <hyperlink ref="B779" r:id="rId640" xr:uid="{DAAE9146-83F5-694C-89AB-AF6F2D2FE3DB}"/>
    <hyperlink ref="B816" r:id="rId641" xr:uid="{B0334D9B-ACDB-BF4D-844E-BCC94683F0BD}"/>
    <hyperlink ref="B808" r:id="rId642" xr:uid="{3004B7FB-2065-AB4E-A201-9CAF2C927E42}"/>
    <hyperlink ref="B769" r:id="rId643" display="../../../../:b:/g/personal/sarellano_no-mii_com/EdSeNhnQllVMgpCXDm7khT0BMar-o56BtgGRKJPH82fW6w?e=tqhGwD" xr:uid="{8205AA7E-BF1A-3B42-A875-22D81082A981}"/>
    <hyperlink ref="B741" r:id="rId644" display="../../../../:b:/g/personal/sarellano_no-mii_com/EQI8XTLBKDJAqQYsX1K6Zb8BpsH6sWs0wAlvYnx1WV_wrQ?e=aCgGhZ" xr:uid="{941D606A-08C7-CD40-AE2B-9B364FB6306A}"/>
    <hyperlink ref="B815" r:id="rId645" xr:uid="{C63D0EA8-B743-4044-9F41-98DF14843401}"/>
    <hyperlink ref="B766" r:id="rId646" display="../../../../:b:/g/personal/sarellano_no-mii_com/ESiVqZIB3LRLrNzSPqiXU5sBdn5cWM1tAu8uAwcHt7NRkQ?e=iyhmTq" xr:uid="{D8505735-5C41-F645-9C71-F48F63C7658D}"/>
    <hyperlink ref="B767" r:id="rId647" display="../../../../:b:/g/personal/sarellano_no-mii_com/EXzhjJzBX1pEvPnvUUjsfksBcB_cIbOdWng1xtoPkHp9uw?e=30vcDs" xr:uid="{84D2EFCE-48CC-624E-9E82-6CA08AA810D2}"/>
    <hyperlink ref="B718" r:id="rId648" display="../../../../:b:/g/personal/sarellano_no-mii_com/EYJVQyTf04RDvHjDyisGbLEBvxw-WybaX7us72v8_pSgTw?e=kFXRku" xr:uid="{9B29F19F-59E6-9541-BC3C-50C0428B202C}"/>
    <hyperlink ref="B827" r:id="rId649" xr:uid="{193020C2-0961-6744-8CD7-AE18A68BA5EA}"/>
    <hyperlink ref="B480" r:id="rId650" xr:uid="{812744EA-92B9-924F-8824-D4971B91F3DE}"/>
    <hyperlink ref="B755" r:id="rId651" xr:uid="{76418490-76C3-8949-B865-5CA7297C989E}"/>
    <hyperlink ref="B826" r:id="rId652" display="../../../../:b:/g/personal/sarellano_no-mii_com/EROSBFF9iCFOowFkpUnvjfEBfNHg517jFsoH9Q9uE1-CKg?e=iaVufe" xr:uid="{8CA337A6-CE42-104F-AF20-4CEF1379F6A3}"/>
    <hyperlink ref="B832" r:id="rId653" xr:uid="{7DF991DF-61B7-C244-8490-8C150CCFC168}"/>
    <hyperlink ref="B778" r:id="rId654" display="../../../../:b:/g/personal/sarellano_no-mii_com/EaItcNtj4glErnUUzNSmjkMBupoFJn5rgUuyOCaXmTatKw?e=1T9aTa" xr:uid="{65EE8E54-88E4-E94B-ABC4-8658DC6CB33D}"/>
    <hyperlink ref="B796" r:id="rId655" xr:uid="{720F43A4-3D5E-5747-903B-2302457C312E}"/>
    <hyperlink ref="B30" r:id="rId656" display="../../../../:b:/g/personal/sarellano_no-mii_com/EXz91z_pl2hJkyO6nkQh-ssBKbQs51IMvuBD-dtGYrohfQ?e=dGMFQg" xr:uid="{D7289049-E98B-AE46-BB83-92DB45770A9A}"/>
    <hyperlink ref="B140" r:id="rId657" display="../../../../:b:/g/personal/sarellano_no-mii_com/Ec-7Z3teGW5Im8KLB4KYF5YBWX5z6RcUvI4qbgB2sgOgKw?e=NWa996" xr:uid="{2FB5C721-6F90-1843-8094-83F955B640F2}"/>
    <hyperlink ref="B242" r:id="rId658" display="../../../../:b:/g/personal/sarellano_no-mii_com/EaPfLMhIWTNMv9tPE1AVy5YB80yjgZ9xU0h1ck1ZG3m3Lw?e=EGaUJi" xr:uid="{D100C521-6321-AC46-87E6-C8022AD87204}"/>
    <hyperlink ref="B322" r:id="rId659" display="../../../../:b:/g/personal/sarellano_no-mii_com/Ee4OozA3IFdBoH_9zeUJdi0BJ-pS_d2ZFqhc5ZDif-D5Qw?e=D1KkyY" xr:uid="{E1F14998-4D9E-6A43-93AE-F9AC6A9A2A5E}"/>
    <hyperlink ref="B399" r:id="rId660" display="../../../../:b:/g/personal/sarellano_no-mii_com/Ea5VH90EbsJFgqbuoEIf1t0B5UMlR_tVNydj-ZbbpMENxQ?e=H1eIdZ" xr:uid="{C4A3F7FF-7D84-8649-B888-12557A78A5C0}"/>
    <hyperlink ref="B475" r:id="rId661" display="../../../../:b:/g/personal/sarellano_no-mii_com/EeLD4iwwuVhOsgVDMuR_G78BNReBapdyFnW32wnKnMb_Mw?e=X6oIur" xr:uid="{C001C9BC-8A56-E046-A76F-345A957D44F7}"/>
    <hyperlink ref="B552" r:id="rId662" display="../../../../:b:/g/personal/sarellano_no-mii_com/EVIjKMujubdHhrlpnTTfTeABZcd91BU2L_NIe5Cqj-t_AA?e=GLpmwr" xr:uid="{44582390-ECC0-0A4C-A8A4-0CDABA933CE7}"/>
    <hyperlink ref="B684" r:id="rId663" display="../../../../:b:/g/personal/sarellano_no-mii_com/EX_jsvkRqZRDhlYbeSJT2TQBEe1VyYxm5sMapSOoNgn92w?e=Rudqw4" xr:uid="{5C58D495-C40D-CB43-8D3A-F9FCB8243F62}"/>
    <hyperlink ref="B249" r:id="rId664" xr:uid="{45E2B4F8-801B-0540-AEB4-350B20623FC5}"/>
    <hyperlink ref="B837" r:id="rId665" xr:uid="{72B7B85D-0A86-3746-8838-F8936003D966}"/>
    <hyperlink ref="B834" r:id="rId666" display="../../../../:b:/g/personal/sarellano_no-mii_com/EXxTi38HQBhAhzsyZVY-qbUBJGFgAuabDhVrEUl3fp1C1g?e=Z8tgjW" xr:uid="{FEAEFEC8-BAFF-9C4F-949D-05566E75B18F}"/>
    <hyperlink ref="B842" r:id="rId667" xr:uid="{5D143E8E-7A7F-754C-8F5E-54EF2B93DDCD}"/>
    <hyperlink ref="B839" r:id="rId668" xr:uid="{27A52BF3-BEEC-B44E-8A3A-68F71DD5FBB4}"/>
    <hyperlink ref="B840" r:id="rId669" xr:uid="{45CA6B58-C220-694B-B4FA-BE5993D2354E}"/>
    <hyperlink ref="B843" r:id="rId670" xr:uid="{09D9E6CA-578D-FF42-BE67-7C693C8056EB}"/>
    <hyperlink ref="B838" r:id="rId671" xr:uid="{47B8CCE1-33E0-E946-B133-7DDAE462A90F}"/>
    <hyperlink ref="B844" r:id="rId672" xr:uid="{088C4264-E610-9F48-8B3E-9B9B81A5753A}"/>
    <hyperlink ref="B849" r:id="rId673" xr:uid="{C4656F4C-BEDB-8746-8159-8F68852C4FB3}"/>
    <hyperlink ref="B850" r:id="rId674" xr:uid="{BD845CF3-5179-B84F-865C-0F63317C45CB}"/>
    <hyperlink ref="B854" r:id="rId675" xr:uid="{581F234A-55DB-7145-89A5-22D50969D1CE}"/>
    <hyperlink ref="B841" r:id="rId676" display="../../../../:b:/g/personal/sarellano_no-mii_com/Ef5rO_tCdWtFnTfJujcKUxMB2ywnGX1gld306MhG95x1cg?e=3Yilgu" xr:uid="{87C41381-8F86-0241-BD25-C705A144135E}"/>
    <hyperlink ref="B859" r:id="rId677" display="../../../../:b:/g/personal/sarellano_no-mii_com/EWDdAN7nWqZBuKcBpo4TMvQBChdQV6uFngqoAlJjdr5sAA?e=QcfPBS" xr:uid="{F2C560F7-C9C2-AD4C-B8A6-781A004A707F}"/>
    <hyperlink ref="B860" r:id="rId678" xr:uid="{A3DE93B7-DBD5-E649-A10C-913D808BD531}"/>
    <hyperlink ref="B870" r:id="rId679" display="../../../../:b:/g/personal/sarellano_no-mii_com/Ec4yrxIiqChAjj-e_EXuO-YBqTmPUCOCjM0JmPMRP3_25w?e=sy0WXI" xr:uid="{FBBB566C-040B-074D-A46C-D6D1B6C786FF}"/>
    <hyperlink ref="B807" r:id="rId680" display="../../../../:b:/g/personal/sarellano_no-mii_com/EVca8AJotzFEtsVLmUkUC2wBLZkTinfjDn_Va7A_Bpm4SQ?e=iKLzTn" xr:uid="{08F3148D-3DF0-384D-8D7F-DC547A2BAF85}"/>
    <hyperlink ref="B869" r:id="rId681" xr:uid="{8BB13982-C004-F84B-993A-FC9439AD1D7B}"/>
    <hyperlink ref="B872" r:id="rId682" xr:uid="{C90B58EA-500D-E24B-A1AF-508224443022}"/>
    <hyperlink ref="B867" r:id="rId683" xr:uid="{54AA70D5-D0AD-BC43-8158-5D6A7363533F}"/>
    <hyperlink ref="B877" r:id="rId684" xr:uid="{DD49B673-A259-F74E-90BB-E2E610C160C1}"/>
    <hyperlink ref="B871" r:id="rId685" display="../../../../:b:/g/personal/sarellano_no-mii_com/EeUuAonZnjVMvpAOZNx2NkYB8kbIwSAejQY8RDLpW-m8HQ?e=5Fkv1Y" xr:uid="{B9EC2FD6-53F2-174A-BEF0-62F817F7AA15}"/>
    <hyperlink ref="B879" r:id="rId686" xr:uid="{BA8B245F-20A0-624F-925E-3C5C02E6BE61}"/>
    <hyperlink ref="B884" r:id="rId687" display="../../../../:b:/g/personal/sarellano_no-mii_com/EVcksfyiaCdDmY4ZqmeedvUBVwdw0C8BzH1iLM2eOSOazw?e=DUvRVB" xr:uid="{B68094CD-B733-2D4B-8B64-B10D6E41C2EB}"/>
    <hyperlink ref="B898" r:id="rId688" xr:uid="{39E04E3C-9BD4-D94C-AF55-2E9D2B617C46}"/>
    <hyperlink ref="B895" r:id="rId689" xr:uid="{43D9C016-C525-EC4F-80AB-D96FD77A3361}"/>
    <hyperlink ref="B597" r:id="rId690" display="../../../../:b:/g/personal/sarellano_no-mii_com/EaC8E_dGcb5EqGn6qsp8l-UBt9UymwryCvA0dJoBCxahWg?e=D42OJ3" xr:uid="{F55A5BD1-DE4A-854D-87B8-EB01CD09EF4E}"/>
    <hyperlink ref="B880" r:id="rId691" xr:uid="{4FACC5FB-3F80-6546-A0B7-F8639EF93983}"/>
    <hyperlink ref="B896" r:id="rId692" xr:uid="{81665BBB-7CFC-A246-A8AF-438A5A865325}"/>
    <hyperlink ref="B887" r:id="rId693" xr:uid="{E773A06D-7833-164B-AB63-FC81AD34563C}"/>
    <hyperlink ref="B901" r:id="rId694" xr:uid="{4033216A-7FFE-804B-9173-7E533206551F}"/>
    <hyperlink ref="B885" r:id="rId695" xr:uid="{60D3B694-2D2A-EE4E-8470-C146D3DDE13A}"/>
    <hyperlink ref="B906" r:id="rId696" display="../../../../:b:/g/personal/sarellano_no-mii_com/EW6jqaqeWDZPowplVSAexocBc6AgP88FqkFDy4UMve1-UA?e=5yUdi2" xr:uid="{2D131174-5013-3E43-B263-D5F9196A5034}"/>
    <hyperlink ref="B908" r:id="rId697" xr:uid="{CB046540-11B5-FB48-A6A6-6D61B703643D}"/>
    <hyperlink ref="B742" r:id="rId698" xr:uid="{0ECFA601-A70D-A243-940F-AC94C81B1EA2}"/>
    <hyperlink ref="B598" r:id="rId699" display="../../../../:b:/g/personal/sarellano_no-mii_com/ERxYugfTlXpEsGjnxTzOmYkBV2Jkx6QxXWefUH2qpVWdKA?e=aPKo5b" xr:uid="{7C07C3D2-0328-F346-BC68-A2347ECA2A1E}"/>
    <hyperlink ref="B723" r:id="rId700" display="../../../../:b:/g/personal/sarellano_no-mii_com/Ed5RBDl12klGoSG-NrE6d-sB10vDQyMqppj47X0oZWxWmw?e=pVL7zc" xr:uid="{6387C50D-DE60-6441-A146-7E0C00796C50}"/>
    <hyperlink ref="B830" r:id="rId701" display="../../../../:b:/g/personal/sarellano_no-mii_com/EeIw2LzZ5mhCs2kkny9_guMBh4mgqKlD-BnwL0m8UyBZIA?e=8itPLC" xr:uid="{8580D4B5-9763-3B4B-98A4-CF27DE7CC9A3}"/>
    <hyperlink ref="B923" r:id="rId702" display="../../../../:b:/g/personal/sarellano_no-mii_com/ESaPgyD-oqdJmEgRfzK4Aw8BujOjkoEQrL24JO1guqUPgg?e=sDLdWs" xr:uid="{78035771-7926-DB4E-B269-85E6F3CAD052}"/>
    <hyperlink ref="B828" r:id="rId703" display="../../../../:b:/g/personal/sarellano_no-mii_com/EQvBNOBlAiRKk58YWLP1vl0BLzNDRVxgrEa4hlyBpzba7g?e=2zzLC1" xr:uid="{3346B215-2AA4-624E-844E-B9A084A9F6CF}"/>
    <hyperlink ref="B921" r:id="rId704" display="../../../../:b:/g/personal/sarellano_no-mii_com/EVWuEC9U3z5Hk6BotcwQW2cBk3Z4fXspTM5TgFL2wEnhgg?e=rgP5kj" xr:uid="{CE51C330-78CB-3946-9E24-D1BA65EB1084}"/>
    <hyperlink ref="B873" r:id="rId705" xr:uid="{EA1C1791-0E5C-2B4B-B2F8-1BEB56154304}"/>
    <hyperlink ref="B861" r:id="rId706" xr:uid="{7F26FB33-F156-9544-9C80-346CCAAC56D8}"/>
    <hyperlink ref="B886" r:id="rId707" xr:uid="{4E43A12C-9188-9E4A-B16C-C8B00794E69D}"/>
    <hyperlink ref="B932" r:id="rId708" xr:uid="{01AAF75C-9954-6B4C-82CE-B364A1B58CA2}"/>
    <hyperlink ref="B874" r:id="rId709" xr:uid="{392687A7-6E8A-3C48-9216-93F7526D5D94}"/>
    <hyperlink ref="B888" r:id="rId710" xr:uid="{18ADB70A-58DD-0845-BAB5-D239C2617A61}"/>
    <hyperlink ref="B911" r:id="rId711" xr:uid="{15B1769E-AB17-7342-8031-B5FBF47AB559}"/>
    <hyperlink ref="B922" r:id="rId712" display="../../../../:b:/g/personal/sarellano_no-mii_com/ERexRstyDqdOqt8Yjshry6MBCYOg7LEEnL57kB68np9egA?e=230QTp" xr:uid="{D9595A6C-E822-374C-964F-A4BE7C2FADBC}"/>
    <hyperlink ref="B853" r:id="rId713" display="../../../../:b:/g/personal/sarellano_no-mii_com/EfvW6-L0QfBAsR6FLA3Y8ZIB7BmtLHrPIzm5IfiF7i0Zhg?e=xMFfWi" xr:uid="{C45310A4-CA27-0A4E-9F4D-2F449E6146EF}"/>
    <hyperlink ref="B875" r:id="rId714" display="../../../../:b:/g/personal/sarellano_no-mii_com/EZ_Y0-oHhX9InzzIkub6AZIB-da_UfM38oC_GyBrP60H6Q?e=TgLvVU" xr:uid="{5C7F3786-31E3-0542-A240-EC6AD1B0CA74}"/>
    <hyperlink ref="B876" r:id="rId715" display="../../../../:b:/g/personal/sarellano_no-mii_com/EaH002WnSPtFjw14FZbDgfMBgn8lbUe6N3Rp46N2xbPiqQ?e=frislt" xr:uid="{25748D23-28AB-0F46-8AD9-5291330A02A2}"/>
    <hyperlink ref="B845" r:id="rId716" display="../../../../:b:/g/personal/sarellano_no-mii_com/EeMz9-2TvoxKtoOEpmG1iDUBXukrB-vA0ES0ZMJk7fq-Yw?e=xMvS1s" xr:uid="{C30C18D5-72A1-8346-9051-160A15454DE1}"/>
    <hyperlink ref="B892" r:id="rId717" display="../../../../:b:/g/personal/sarellano_no-mii_com/EZfqa5gdiBtNoAKXy14nQGcBpb3x1PKGsKnoyJCc0Z7U9w?e=g0fMFd" xr:uid="{DEDB8799-3A0E-EC4E-B6D6-163C3AD9B0F8}"/>
    <hyperlink ref="B935" r:id="rId718" display="../../../../:b:/g/personal/sarellano_no-mii_com/EbsenMM2FClKlN5TB3YDY1wB7BhWuztsZNNsFgOdY6GfBw?e=qL1FRf" xr:uid="{B5955A66-3F10-4B4F-897F-3AE36C4051F7}"/>
    <hyperlink ref="B833" r:id="rId719" display="../../../../:b:/g/personal/sarellano_no-mii_com/EbeTsJK-XCJJpQ-rSLEbewoBX02hQBE2yw9xAZRWqDyy1g?e=Rvx4Gp" xr:uid="{F907A17C-B15F-144B-8BA4-47D2B2F7E00B}"/>
    <hyperlink ref="B942" r:id="rId720" xr:uid="{ABF8C902-832E-1446-BCB0-C8C303E65CE6}"/>
    <hyperlink ref="B946" r:id="rId721" xr:uid="{64249BB3-DFAD-A744-B77B-0DEC3D88CD32}"/>
    <hyperlink ref="B944" r:id="rId722" xr:uid="{82A79E97-FCA7-724A-B2BB-1735421940FE}"/>
    <hyperlink ref="B902" r:id="rId723" display="../../../../:b:/g/personal/sarellano_no-mii_com/EeGXKRvv_DFAsBtbxc3eIm4BEWHxxDXJe50YzTb67GYF0Q?e=Rjtjqn" xr:uid="{BF075A15-550A-8744-BF53-5E559091B78D}"/>
    <hyperlink ref="B929" r:id="rId724" xr:uid="{0E6F4055-9214-CF42-A0E3-278CD59A69CD}"/>
    <hyperlink ref="B925" r:id="rId725" display="../../../../:b:/g/personal/sarellano_no-mii_com/EfMIG5ajHthDiw1coTq9pBkBWywZ4LQ9QKRFoQvSORHbUw?e=5LP450" xr:uid="{2BE792AE-D1D0-E34A-8279-E6470AEDC1F1}"/>
    <hyperlink ref="B940" r:id="rId726" xr:uid="{5A44B104-3218-B84F-906D-39C4CE289F00}"/>
    <hyperlink ref="B955" r:id="rId727" xr:uid="{8CF4FD1E-50A8-584A-8766-15D0083173F5}"/>
    <hyperlink ref="B947" r:id="rId728" display="../../../../:b:/g/personal/sarellano_no-mii_com/EUWv-bm6485LoVPzO9s2QHsBXjAT6HTxfLgK0DtiZ0-_Xw?e=DSH0Eg" xr:uid="{D300758A-6AAE-1941-A983-60B730FBD78F}"/>
    <hyperlink ref="B957" r:id="rId729" display="../../../../:b:/g/personal/sarellano_no-mii_com/EY3Hh4fE2KZKp0PluTde--MBIMroO3U6eRbF7NJekw5qEA?e=flKaZj" xr:uid="{865AD860-CC6E-2E4A-B76A-98401175636D}"/>
    <hyperlink ref="B961" r:id="rId730" display="../../../../:b:/g/personal/sarellano_no-mii_com/EapiTPssm0xFvGEZTiCvINsBgQVdHllfW6ublshAw3W_0w?e=IIP9lH" xr:uid="{4E413E32-0271-BB48-ADA7-ACF2BDAAB368}"/>
    <hyperlink ref="B933" r:id="rId731" xr:uid="{FEC27180-2D3D-814B-995A-276EDD0B08E3}"/>
    <hyperlink ref="B777" r:id="rId732" display="../../../../:b:/g/personal/sarellano_no-mii_com/ETBD-ePb7oNDnyoQF942tNoBt37YYQoPxqYbeDbgUmswfg?e=QuGU4o" xr:uid="{F1FFDCC3-FC7D-0344-9993-4333579A6453}"/>
    <hyperlink ref="B931" r:id="rId733" display="../../../../:b:/g/personal/sarellano_no-mii_com/EXLbo8uO4fpAuln88iklPs4B85-LRLR0oVlSGa4nC3a6Dg?e=ygGFI2" xr:uid="{26B0E1B9-F317-CA41-9711-28429F1915BA}"/>
    <hyperlink ref="B847" r:id="rId734" display="../../../../:b:/g/personal/sarellano_no-mii_com/EYqNo2UHkDdIkcmYgu_HTKQBqVX8dOKvkoL7PiEq-UHB2A?e=57eBSy" xr:uid="{585FB871-9ED2-B749-8B65-691270C94FC3}"/>
    <hyperlink ref="B962" r:id="rId735" xr:uid="{087EBC42-6493-EF4B-8D42-9D7F326E0CE8}"/>
    <hyperlink ref="B977" r:id="rId736" display="../../../../:b:/g/personal/sarellano_no-mii_com/IQCie1TRpnvsS6jDXtvlt3R4ATkMX5BMfnkc13IekDcrA7s?e=XtmbUg" xr:uid="{65F67E10-CDED-894D-9122-F22E47DBC821}"/>
    <hyperlink ref="B963" r:id="rId737" xr:uid="{F4454FA0-80A5-884A-8B10-D4864DAFC04F}"/>
    <hyperlink ref="B936" r:id="rId738" xr:uid="{F0543CFA-82A5-6341-B3D1-428D61BDE730}"/>
    <hyperlink ref="B979" r:id="rId739" xr:uid="{35E99E3D-D0DF-014B-94DA-D5DCDA6F0618}"/>
    <hyperlink ref="B965" r:id="rId740" xr:uid="{F4597405-E704-AA45-B9E2-37A2EF0C1732}"/>
    <hyperlink ref="B707" r:id="rId741" xr:uid="{2F25294A-7031-0E4A-AFA9-520765DB8AD4}"/>
    <hyperlink ref="B909" r:id="rId742" display="../../../../:b:/g/personal/sarellano_no-mii_com/IQAxOXBGUYdHRLWip1KA-0daAZM5SY-uTbzFMuOca9Fx1fk?e=Rc632p" xr:uid="{DA012CFE-4230-5244-A8A5-E7F24565AFC4}"/>
    <hyperlink ref="B927" r:id="rId743" display="../../../../:b:/g/personal/sarellano_no-mii_com/IQCMDGP_ZdDvQp9Rxlu1nLA2ARnykBfwu0Whvc0QcRNRgcY?e=LQRYfM" xr:uid="{53F29299-5651-AE4F-AA8A-9C31627548CF}"/>
    <hyperlink ref="B958" r:id="rId744" xr:uid="{B7290E71-D7F4-BF42-94CA-1B365EB830F4}"/>
    <hyperlink ref="B941" r:id="rId745" xr:uid="{9CD690F8-6B00-F74E-AC3C-64DB21105C08}"/>
    <hyperlink ref="B937" r:id="rId746" display="../../../../:b:/g/personal/sarellano_no-mii_com/IQA-QhLT7KcOQqHQagUr77rjAdZbMlHdYC-NCMZ1Uhh_WF4?e=d0PLc9" xr:uid="{F29C4915-46A0-C14D-A817-72AC21B0DAA7}"/>
    <hyperlink ref="B938" r:id="rId747" xr:uid="{AFF40656-0229-AA4D-88DA-CB3D6B462DFF}"/>
    <hyperlink ref="B948" r:id="rId748" xr:uid="{1346E03B-68B3-D04D-9F5B-518B65DDC968}"/>
    <hyperlink ref="B966" r:id="rId749" xr:uid="{5B3FBCC5-6808-2649-8258-4EA9D0A2E05F}"/>
    <hyperlink ref="B893" r:id="rId750" xr:uid="{713A0AC2-6607-FF4C-8C2D-19D1B55D7CFC}"/>
    <hyperlink ref="B889" r:id="rId751" xr:uid="{727624BE-4DAC-5146-8C3B-73E0C04DB988}"/>
    <hyperlink ref="B969" r:id="rId752" xr:uid="{C9193FF6-BD2A-744D-BA84-171099C3ABB9}"/>
    <hyperlink ref="B890" r:id="rId753" xr:uid="{25BB8B5A-9BBA-3E46-8EC8-3C9B3F1CD90E}"/>
    <hyperlink ref="B926" r:id="rId754" display="../../../../:b:/g/personal/sarellano_no-mii_com/IQD2BO6z08pqTpl7tU21EJ8mATfuxIF3lVV2rO3BB8V3eCk?e=CyeWt4" xr:uid="{BE9B09F3-E6D2-AB42-A8F5-8A7D308F27F7}"/>
    <hyperlink ref="B970" r:id="rId755" display="../../../../:b:/g/personal/sarellano_no-mii_com/IQCML3kQHlfBSod941VY-Sc9AUi0M5jDgzRZG9ezyDQ3flE?e=VRellb" xr:uid="{9C548B2C-DDD1-7E46-B78E-7B909E13AF43}"/>
    <hyperlink ref="B757" r:id="rId756" display="B 2195-1-1 – 2025" xr:uid="{8F444AA8-75CC-3C47-A55F-E85FB21EF46F}"/>
    <hyperlink ref="B971" r:id="rId757" display="../../../../:b:/g/personal/sarellano_no-mii_com/IQCSMsnZFdlCQJqx9kCKvtHaAWo3z268px487qqZmmd2jLs?e=A2qwcy" xr:uid="{D3B17391-E8E1-C248-A91E-627561F053DE}"/>
    <hyperlink ref="B952" r:id="rId758" display="B 2609-2-1 - 2025" xr:uid="{78609BD5-C15B-B34B-B385-3B5B1113D8C5}"/>
    <hyperlink ref="B774" r:id="rId759" xr:uid="{267856A0-7111-A944-85D4-38589A5A3C1A}"/>
    <hyperlink ref="B956" r:id="rId760" display="../../../../:i:/g/personal/sarellano_no-mii_com/IQCOflOygJszRoqa6rvzvuyxAczOEUMyS5GX3cs15_oveZs?e=bFq5Rf" xr:uid="{E229BBF1-8CD5-DB44-B233-D4EE17F42EEE}"/>
    <hyperlink ref="B980" r:id="rId761" display="../../../../:b:/g/personal/sarellano_no-mii_com/IQCiIZtedYYhQaW-WZoDkaeTAY-y_SVkL0cGBixhYcIOEqQ?e=pUcAIC" xr:uid="{547B15E5-6CA8-0A46-938C-EDB064F449E9}"/>
    <hyperlink ref="B981" r:id="rId762" xr:uid="{27195909-07D6-9341-BA3F-3879EF618BC1}"/>
    <hyperlink ref="B953" r:id="rId763" xr:uid="{D53A4060-EE28-1B4F-823A-3726F575781D}"/>
    <hyperlink ref="B983" r:id="rId764" display="../../../../:b:/g/personal/sarellano_no-mii_com/IQCksx9z277cTI3fInb431E2AeNjLiQd9vKiDvKjUp0Fhds?e=FrefpW" xr:uid="{EEB56130-FD48-8843-AF42-19C0AA6C95F9}"/>
    <hyperlink ref="B930" r:id="rId765" display="../../../../:b:/g/personal/sarellano_no-mii_com/IQD07r47k678Sbyu0JdAUjfNAUVVTCYWNdOjPHHgHi_-HZc?e=ECZqsE" xr:uid="{8BCDC0C8-9905-1442-A719-9377C5C97887}"/>
    <hyperlink ref="B985" r:id="rId766" display="../../../../:b:/g/personal/sarellano_no-mii_com/IQBxD_SWK3ZRQq7NM5iUv-WeAXPHHPcJV0S1MIedyV8owsQ?e=38ZNUl" xr:uid="{23B5BD19-AF2B-DA4F-8124-4A13379A9780}"/>
    <hyperlink ref="B988" r:id="rId767" display="../../../../:b:/g/personal/sarellano_no-mii_com/IQCqRG90I8jETL6KwMlldHItAVtBQCzHu-pmQD0i0IJ2-mc?e=PDmc3t" xr:uid="{46F2E6FA-7825-8845-AA6A-4C59E53AFFB8}"/>
    <hyperlink ref="B710" r:id="rId768" xr:uid="{1375E960-1F1B-A24F-881F-0AD5690B27DB}"/>
    <hyperlink ref="B817" r:id="rId769" xr:uid="{BBA91689-0E0F-F74B-BE51-D83D8D55A851}"/>
    <hyperlink ref="B422" r:id="rId770" display="../../../../:b:/g/personal/sarellano_no-mii_com/IQCzpYztRmihQLLUnJGQV99zAd6vLJtfseLJE2FMYPy240A?e=anFelH" xr:uid="{00200CEE-7AA1-A74C-B990-B049EF09F9D6}"/>
    <hyperlink ref="B373" r:id="rId771" display="../../../../:b:/g/personal/sarellano_no-mii_com/IQAy5hADQtatT4X1l2w5KHEdAWsXoP2p5-cwKjC9U-j1u_s?e=aPz6CL" xr:uid="{6BDD65B3-A240-B24C-9546-1EADA5361081}"/>
    <hyperlink ref="B299" r:id="rId772" display="../../../../:b:/g/personal/sarellano_no-mii_com/IQCG-Nrc6Ct8S70UfxxhwKezAYTHL48STGCn0tLfcU0wWh8?e=eaNm2t" xr:uid="{75B2A863-1870-1E4B-8C91-A5668E6A1E1D}"/>
    <hyperlink ref="B856" r:id="rId773" display="../../../../:b:/g/personal/sarellano_no-mii_com/IQBHlXRp5OIfRqhS4s5AxtKGAWT703Ad-Wpu2eGoA5Y6hEg?e=yQn18k" xr:uid="{3A6AE06B-2DF4-D94D-9F56-4BB4CF3A794A}"/>
    <hyperlink ref="B284" r:id="rId774" display="../../../../:b:/g/personal/sarellano_no-mii_com/IQCeqpSBPFx6QIHmrVVVrHkjAfxArXCV5VU7cgf7h62YPGc?e=W2fJDk" xr:uid="{8ED4210F-A0CE-064F-8FC8-87F1FDEA4B94}"/>
    <hyperlink ref="B733" r:id="rId775" display="../../../../:b:/g/personal/sarellano_no-mii_com/IQClAJiISvapTZwz3oQcwCiRAYKV-ZKnWNTUeeZPBQoSN40?e=XtAH6d" xr:uid="{E40C2D8C-313B-BA4F-93EF-540E89DDF016}"/>
    <hyperlink ref="B558" r:id="rId776" display="../../../../:b:/g/personal/sarellano_no-mii_com/IQCS_rBSroNyS6brODUzYIthAfic2JJfPFTdj_we8jEo72k?e=JyCDLV" xr:uid="{46AC8E9E-1FDB-6147-B4B1-814567AE06E4}"/>
    <hyperlink ref="B978" r:id="rId777" xr:uid="{E6124A10-887D-FA43-88DC-D05D5A476B8D}"/>
    <hyperlink ref="B954" r:id="rId778" xr:uid="{DB5B09EC-601B-0E4A-925B-8F36EE56529F}"/>
    <hyperlink ref="B992" r:id="rId779" xr:uid="{8737708F-4319-6E49-91AE-80349719B9E9}"/>
    <hyperlink ref="B984" r:id="rId780" xr:uid="{400A9914-ED79-CF4D-871A-4F07A77450D1}"/>
    <hyperlink ref="B959" r:id="rId781" display="../../../../:b:/g/personal/sarellano_no-mii_com/IQBaFqtc8ESYT5OJFZ2tiH6aAcUs0ywNH3KJQoMZUBwOEV0?e=Q1BuCR" xr:uid="{601CDADB-ED00-B347-9386-92F8AE3AA434}"/>
    <hyperlink ref="B960" r:id="rId782" display="../../../../:b:/g/personal/sarellano_no-mii_com/IQCPVkRlmhEQTaDXTQlmYU3AAfI8b-V-eSR_U-zsMhP9ZIs?e=hEeqb7" xr:uid="{F964E42D-512F-B647-8C7D-1429A3FAFF96}"/>
    <hyperlink ref="B973" r:id="rId783" xr:uid="{3357A5BD-0F56-9745-A5C8-7A17D1FEB761}"/>
    <hyperlink ref="B721" r:id="rId784" display="../../../../:b:/g/personal/sarellano_no-mii_com/IQDb7bzMlqkJRom5WukRZUuNAfoNdhcNBVV0ZwtUIjgqDh4?e=Nqy2An" xr:uid="{E5ACA483-CD2C-EF45-B11A-0C364EC20527}"/>
    <hyperlink ref="B829" r:id="rId785" display="../../../../:b:/g/personal/sarellano_no-mii_com/IQCt6c74C2MuQp04enR_X0ETAeK7KKR7rxMko_X8otsvZ7I?e=24sEFG" xr:uid="{CEE7B770-6DAA-A142-95B0-D34712095D80}"/>
    <hyperlink ref="B976" r:id="rId786" display="../../../../:i:/g/personal/sarellano_no-mii_com/IQCxDrgkRw9dSr434s1RphDBAQBMzGkREVfoPpquCTW0pvA?e=WFOerR" xr:uid="{3688C596-1ADF-0D43-9012-ADA48E913FCE}"/>
    <hyperlink ref="B934" r:id="rId787" xr:uid="{9239BEF3-04F4-5743-AFB3-B8DEF108586F}"/>
    <hyperlink ref="B986" r:id="rId788" xr:uid="{7DF5A643-63BD-734E-8D52-AF4E61E03DA5}"/>
    <hyperlink ref="B987" r:id="rId789" xr:uid="{7DAE7C9C-E33E-8846-9449-73850EE285DA}"/>
    <hyperlink ref="B943" r:id="rId790" xr:uid="{1E0608E9-BFF8-6041-9403-1A2F73B540AD}"/>
    <hyperlink ref="B749" r:id="rId791" display="../../../../:b:/g/personal/sarellano_no-mii_com/IQCfcXPxQEGnQ7YG9HDI_tr6ASy02-I1NPVJWFmkuopgD18?e=oEFi6V" xr:uid="{4AB86FFA-A347-E348-994E-7362C2CC84FA}"/>
    <hyperlink ref="B34" r:id="rId792" xr:uid="{74EEA08E-0A7E-8545-9F65-4F1C7158DFAB}"/>
    <hyperlink ref="B33" r:id="rId793" xr:uid="{0B7A4F3C-3546-3A43-9C7F-3B47B074ABC5}"/>
    <hyperlink ref="B44" r:id="rId794" xr:uid="{3AB1833D-5EE3-D54B-91F1-4B0239D6401D}"/>
    <hyperlink ref="B73" r:id="rId795" xr:uid="{AC6BC6F8-DBCD-F947-8C20-CC1A59A437EE}"/>
    <hyperlink ref="B129" r:id="rId796" xr:uid="{7FF7D502-758E-5145-944E-682DE8236F65}"/>
    <hyperlink ref="B138" r:id="rId797" xr:uid="{9A0BDA6C-125D-0142-8AB7-870314B58F43}"/>
    <hyperlink ref="B139" r:id="rId798" xr:uid="{6F4AAC98-41D1-4C40-BA23-F2FE98BF84A6}"/>
    <hyperlink ref="B183" r:id="rId799" xr:uid="{F87EA6D3-7777-3F43-B565-9012A17780C9}"/>
    <hyperlink ref="B185" r:id="rId800" xr:uid="{E11B92C1-B7D7-E942-962B-39F8173D1EDB}"/>
    <hyperlink ref="B188" r:id="rId801" display="../../../../:b:/g/personal/sarellano_no-mii_com/IQDJGs1URpdDSYi3IRVO3dk2AUbI23qOfMkuVWVcwgzaCW0?e=xEuuqR" xr:uid="{FB7237A7-B9DB-B04E-8048-9A629B5A6C4D}"/>
    <hyperlink ref="B225" r:id="rId802" xr:uid="{D29366FD-F5B0-A344-959F-D7B15D2C96BD}"/>
    <hyperlink ref="B237" r:id="rId803" xr:uid="{2B3F8FCC-B773-DA4D-A86D-874342D6D1E6}"/>
    <hyperlink ref="B240" r:id="rId804" xr:uid="{29E6D9B1-453D-C147-8D80-1C5CD4FE04EB}"/>
    <hyperlink ref="B241" r:id="rId805" xr:uid="{8223205C-B047-B344-993A-F6B9FD0E6D53}"/>
    <hyperlink ref="B268" r:id="rId806" xr:uid="{5775116A-2F5D-284C-9D80-0DDA4BCCEBB9}"/>
    <hyperlink ref="B270" r:id="rId807" xr:uid="{A09397C2-A588-324D-B0D8-FEBFBD1BB5DC}"/>
    <hyperlink ref="B301" r:id="rId808" xr:uid="{BAA8019E-4894-EC43-BAC6-2E0AC0ADB7CE}"/>
    <hyperlink ref="B315" r:id="rId809" xr:uid="{59A8EE74-3084-6848-A458-A4F8E2C64BD8}"/>
    <hyperlink ref="B321" r:id="rId810" xr:uid="{B99EC9E1-1AAC-EA49-923C-59B995F3046E}"/>
    <hyperlink ref="B345" r:id="rId811" xr:uid="{34DD83B9-A731-9349-9F6E-E412E7A04F78}"/>
    <hyperlink ref="B346" r:id="rId812" xr:uid="{17CA46A4-7CE0-5A4D-A1B7-FD117547D1F0}"/>
    <hyperlink ref="B377" r:id="rId813" xr:uid="{6D04876B-69F3-8848-A95C-36EBA0EDACAB}"/>
    <hyperlink ref="B393" r:id="rId814" xr:uid="{166D20BD-BCCD-8349-9D94-D01F89CB1625}"/>
    <hyperlink ref="B398" r:id="rId815" xr:uid="{7CD2473D-D318-EA4F-A323-F665D6753929}"/>
    <hyperlink ref="B415" r:id="rId816" xr:uid="{90C84A69-D952-E047-B335-D009C694F46A}"/>
    <hyperlink ref="B417" r:id="rId817" xr:uid="{EB34A889-9B00-D041-B34A-C47BCBE33900}"/>
    <hyperlink ref="B469" r:id="rId818" xr:uid="{DC443DC6-4C6F-0746-889C-CC35D0982C9C}"/>
    <hyperlink ref="B551" r:id="rId819" xr:uid="{F952072B-5A59-D64C-8824-B7D34763FF3A}"/>
    <hyperlink ref="B661" r:id="rId820" xr:uid="{E1ECBF21-01B5-2C40-A141-99CD14426EE4}"/>
    <hyperlink ref="B732" r:id="rId821" xr:uid="{3ECC7F62-B19B-494D-A7AD-42D5F09EC932}"/>
    <hyperlink ref="B735" r:id="rId822" xr:uid="{0DF46D91-CA9E-1440-95FB-4FF5844E0151}"/>
    <hyperlink ref="B750" r:id="rId823" xr:uid="{868EC102-1C0D-844B-AB9A-0565F692EAA2}"/>
    <hyperlink ref="B775" r:id="rId824" xr:uid="{7E88048B-BDAC-4D4C-93D5-69D8C528F73F}"/>
    <hyperlink ref="B835" r:id="rId825" xr:uid="{DA7B2D6B-4F9A-714C-B8E8-211796829531}"/>
    <hyperlink ref="B881" r:id="rId826" xr:uid="{D1383E94-9B35-C945-8F5D-AB929F6EFE22}"/>
    <hyperlink ref="B891" r:id="rId827" display="../../../../:b:/g/personal/sarellano_no-mii_com/IQCaFeyjGHF8RKrmBrq7ALfWAWMrERsOchHa9OWDExhvJMY?e=FhNKJh" xr:uid="{0CB72854-8EB5-B740-8AAF-E0BF6CA578A7}"/>
    <hyperlink ref="B905" r:id="rId828" display="../../../../:b:/g/personal/sarellano_no-mii_com/IQB_esiESXq1R64S-TlN6E-YAc9bTOfBEKMZWzXtnyRhniQ?e=qLe0Pk" xr:uid="{99048941-BACD-004B-A4BB-2FD4D3380D81}"/>
    <hyperlink ref="B907" r:id="rId829" xr:uid="{128D0936-68E0-4B4E-95C6-97ABFC1CA29A}"/>
    <hyperlink ref="B950" r:id="rId830" display="../../../../:b:/g/personal/sarellano_no-mii_com/IQAIsXeZOBJqR4cwWiG8gkDuAbdy5k1-GleSESFS-YntgNw?e=JhDYbi" xr:uid="{236216E0-307B-8745-B34B-9A642FC3CEE7}"/>
    <hyperlink ref="B542" r:id="rId831" xr:uid="{6CFDF32B-0617-3840-8649-1B623CC0E6EB}"/>
    <hyperlink ref="B920" r:id="rId832" display="../../../../:b:/g/personal/sarellano_no-mii_com/IQAmkbt7itsURrFivxGwAnjmAQmcd_W0LsjGv4gEjPIO0-c?e=CLTHeK" xr:uid="{B6A026BE-7F84-4642-AF44-FC718705B396}"/>
    <hyperlink ref="B964" r:id="rId833" xr:uid="{4CD5444F-4ECF-654A-80E9-B1EC77DC16CD}"/>
    <hyperlink ref="B967" r:id="rId834" display="O06ZDV8W-0007" xr:uid="{A866E488-98D9-2849-9C5B-C910B66CF0BA}"/>
    <hyperlink ref="B968" r:id="rId835" display="../../../../:b:/g/personal/sarellano_no-mii_com/IQDJreQQq7lPTJHFUVhEcfzSAVyVNb5c7BEr20ObI6G_fp4?e=iOfbyJ" xr:uid="{1F225C07-5EE6-8142-B3F0-527961983771}"/>
    <hyperlink ref="B974" r:id="rId836" display="../../../../:b:/g/personal/sarellano_no-mii_com/IQDraNzhuF0KSboEOfnMPgmvAdK8iQCiziYXX4NfBvn1nE4?e=PTsK1w" xr:uid="{2F6DFFED-237F-0A4B-9CBF-E741C5F850CF}"/>
    <hyperlink ref="B990" r:id="rId837" xr:uid="{28EA5794-5377-2748-B611-8DEF15C4F544}"/>
    <hyperlink ref="B993" r:id="rId838" xr:uid="{EDCCEED4-2682-594F-9CA6-0A65375FCA6C}"/>
    <hyperlink ref="B994" r:id="rId839" display="../../../../:b:/g/personal/sarellano_no-mii_com/IQBoSfQJrucxTpvl2tlMsOrOAR59UA60TwMZE6MqOaqT654?e=aW1AH7" xr:uid="{7F837EBA-8167-F347-8506-C7B5F6D372F7}"/>
    <hyperlink ref="B1009" r:id="rId840" display="../../../../:b:/g/personal/sarellano_no-mii_com/IQCjsfWoW_khRJRamz2zzQCZAd9Z2O55F7mRiFrFCF264Fk?e=gc3KFU" xr:uid="{7B0BD26C-6FF6-1240-9C08-54E29304FEAF}"/>
    <hyperlink ref="B1000" r:id="rId841" xr:uid="{C78649B9-DD6E-9843-A1EF-8320199B929E}"/>
    <hyperlink ref="B1016" r:id="rId842" display="../../../../:b:/g/personal/sarellano_no-mii_com/IQBnZZOOyWt4QZSH9X18MyHJARcKjGi4-KESdPnMy_c_sqI?e=HS4e0y" xr:uid="{2B2BFECC-E669-5F45-AC0F-483C8347AF02}"/>
    <hyperlink ref="B1011" r:id="rId843" xr:uid="{1F27E3EF-9D33-5F40-9CE6-04F868EE4B5F}"/>
    <hyperlink ref="B1012" r:id="rId844" display="../../../../:b:/g/personal/sarellano_no-mii_com/IQA4aimNozdiQ6SB4CkqgHdgAboo9wkJNak0tgy4TvvdhaM?e=lSIxlK" xr:uid="{A3EA78E1-8677-C445-A39E-5F4DCDD5940C}"/>
    <hyperlink ref="B1019" r:id="rId845" xr:uid="{C3033AC0-7313-C941-A8F9-0BEAFCF97E79}"/>
    <hyperlink ref="B1020" r:id="rId846" xr:uid="{CB1BE59D-6D62-F84D-99F4-ABAACB313218}"/>
    <hyperlink ref="B1021" r:id="rId847" display="../../../../:b:/g/personal/sarellano_no-mii_com/IQAYVcY6mLytQ69lQsFs5z1XAZCGZmMMX72_6iXdHz7oxbQ?e=gBzxxr" xr:uid="{46C90F50-3CA4-5547-8B56-0945D4B27E17}"/>
    <hyperlink ref="B1025" r:id="rId848" display="../../../../:b:/g/personal/sarellano_no-mii_com/IQDArD571P6NRav9uSwk30yOAQWcqQZaP8Tx0kd0DFeCH4c?e=ZI4tBN" xr:uid="{260AEE74-94F6-4D47-BE28-2A2D7B1C7E9A}"/>
    <hyperlink ref="B1026" r:id="rId849" xr:uid="{F4F7A63D-F832-9943-8614-825ECF9A41E2}"/>
    <hyperlink ref="B1027" r:id="rId850" display="../../../../:b:/g/personal/sarellano_no-mii_com/IQDR4VDPb9BTSqlsxe1prkHwATxFZS9UzdWnQI2Zs7cmjoI?e=Nc9Wvi" xr:uid="{08AB5EB0-E62B-8346-A756-11C0573CA1A7}"/>
    <hyperlink ref="B1029" r:id="rId851" xr:uid="{F6F8D8B5-F39A-6341-9DE3-B89A8F1D651A}"/>
    <hyperlink ref="B1030" r:id="rId852" xr:uid="{800586C2-D3A4-7143-AE90-6E2E89683276}"/>
    <hyperlink ref="B1032" r:id="rId853" xr:uid="{EFA64144-6043-DE4A-AE53-549619F112A0}"/>
    <hyperlink ref="B1033" r:id="rId854" xr:uid="{F8B2E3EE-4F67-8E4A-9C30-FCDF3FE3EBFB}"/>
    <hyperlink ref="B1034" r:id="rId855" xr:uid="{AD2D5509-F625-EF4F-9BA3-6AA574CCE47A}"/>
    <hyperlink ref="B1038" r:id="rId856" xr:uid="{CE50E6B4-E124-7749-909C-AE5B8E382638}"/>
    <hyperlink ref="B1039" r:id="rId857" display="../../../../:b:/g/personal/sarellano_no-mii_com/IQBKJ8RIGiQUQ6YKBq1obee3AROwHmlzFmEfwdPkKWCyJt0?e=0YsXe5" xr:uid="{97E259B9-A6C6-2044-B3A4-7ED358D4215C}"/>
    <hyperlink ref="B1043" r:id="rId858" xr:uid="{1A6F2165-91BB-A740-8AE0-DB1E4A43FF23}"/>
    <hyperlink ref="B1040" r:id="rId859" display="../../../../:b:/g/personal/sarellano_no-mii_com/IQCgaCqbV88iRr54ufjkI7RaAWVLx-R1z6DHyX1MUV1KRNY?e=ZU6vF1" xr:uid="{1193A545-335C-E743-8634-08BD6C88E10D}"/>
    <hyperlink ref="B1041" r:id="rId860" xr:uid="{16F4376F-0DB1-3A48-8584-9735B693BDC1}"/>
    <hyperlink ref="B1042" r:id="rId861" xr:uid="{FEF77FBA-F59B-CD4F-BEE4-447685F5A7E3}"/>
    <hyperlink ref="B1044" r:id="rId862" display="../../../../:b:/g/personal/sarellano_no-mii_com/IQBP6waiNvkvQa8zm5ex9ttrAQYWb1eKh44HaL6qshessNI?e=nwErQx" xr:uid="{D387A047-72F0-5F49-AF7F-E7393679F761}"/>
    <hyperlink ref="B1047" r:id="rId863" xr:uid="{29125C1E-8AF5-C543-84E3-6CF43724E9BB}"/>
    <hyperlink ref="B1048" r:id="rId864" xr:uid="{1F0D24BF-E572-9848-856A-0C5D5A6357C9}"/>
    <hyperlink ref="B1050" r:id="rId865" xr:uid="{A87C95D8-C9D5-5845-9D35-E2053C923E2E}"/>
    <hyperlink ref="B1051" r:id="rId866" display="../../../../:b:/g/personal/sarellano_no-mii_com/IQBa1zR8DW9qS4BodqhMU6PeAdls3f_x5ATdJSzxWxJaXvw?e=HyNw59" xr:uid="{24C3A818-A58A-9947-9B05-8FBBDEB87AC8}"/>
    <hyperlink ref="B1053" r:id="rId867" xr:uid="{636C7EBC-F516-3246-8D97-AB5F39B05F52}"/>
    <hyperlink ref="B1055" r:id="rId868" xr:uid="{FC1FF66C-5C34-9248-8BC4-827A349C5006}"/>
    <hyperlink ref="B1056" r:id="rId869" xr:uid="{3763DBB7-40CD-E745-B4F5-17FFF8D6D53C}"/>
    <hyperlink ref="B1061" r:id="rId870" display="../../../../:b:/g/personal/sarellano_no-mii_com/IQDBD__xGHyBToF0jp0ZcWd4AeGkAiE3Jt43Suih_-TsPFM?e=eMq5pz" xr:uid="{FFF663E8-E12C-A746-A324-8B1530AD6989}"/>
    <hyperlink ref="B1057" r:id="rId871" display="../../../../:b:/g/personal/sarellano_no-mii_com/IQCF6uG4XoNjT7vEmqmf99OaAVSn-xiCNRv-jsVuHt-ybQ0?e=pSkdJn" xr:uid="{2BEB2643-2BF0-1C44-9B80-D9B8811531E6}"/>
    <hyperlink ref="B631" r:id="rId872" xr:uid="{FBE183C4-66FC-9D4B-B936-69B1741DF5AD}"/>
    <hyperlink ref="B1066" r:id="rId873" xr:uid="{E13D1362-ADF0-1B44-A4EF-259AC4095D78}"/>
    <hyperlink ref="B569" r:id="rId874" xr:uid="{DCF12CF2-8FF6-3B4C-BB10-0A667DE6ACFA}"/>
    <hyperlink ref="B686" r:id="rId875" xr:uid="{5D24E1D9-C47A-C24E-86B5-CB63F4AF7DEE}"/>
    <hyperlink ref="B802" r:id="rId876" xr:uid="{2339389F-22ED-7144-9BF0-E9BE5D0A562E}"/>
    <hyperlink ref="B900" r:id="rId877" xr:uid="{2399A185-196B-5241-AF93-59BA3F586288}"/>
    <hyperlink ref="B982" r:id="rId878" xr:uid="{9E310123-9F31-644B-A220-8DFDDF9C5C4E}"/>
    <hyperlink ref="B1063" r:id="rId879" display="../../../../:b:/g/personal/sarellano_no-mii_com/IQB5tXgn5XvIT5ISLKw_Y6QkAYXecXUJZuc59RgCo7Ng4qU?e=XguIPv" xr:uid="{9126E759-5C79-6545-8CFA-6B77A478C6E1}"/>
    <hyperlink ref="B1062" r:id="rId880" xr:uid="{659CF6C3-CEAC-3847-8314-BB49098E30DD}"/>
    <hyperlink ref="B1071" r:id="rId881" xr:uid="{2DF59F92-B4EC-C541-896E-7A0F1B9F336A}"/>
    <hyperlink ref="B1072" r:id="rId882" xr:uid="{BA2137A6-132D-CA44-BA18-605F669DA354}"/>
    <hyperlink ref="B1067" r:id="rId883" xr:uid="{31CF466C-10FE-904F-B5E2-DDB6BD1A1E68}"/>
    <hyperlink ref="B1064" r:id="rId884" xr:uid="{541D1AFC-D4F9-1149-A77E-AB364A49AE37}"/>
    <hyperlink ref="B691" r:id="rId885" xr:uid="{FAAD0583-F3AB-0849-8EB8-86B9C2806072}"/>
    <hyperlink ref="B3" r:id="rId886" xr:uid="{D031F686-01C3-D24B-BE43-F98AC3FC0A41}"/>
    <hyperlink ref="B628" r:id="rId887" xr:uid="{E1A76BB4-E304-4144-AEF4-6B4255CD633E}"/>
    <hyperlink ref="B1068" r:id="rId888" xr:uid="{CDFCA144-5B80-0748-BE7A-235323EF5A46}"/>
    <hyperlink ref="B1069" r:id="rId889" display="../../../../:b:/g/personal/sarellano_no-mii_com/IQAbs6UQNAIoSIEf7HVD7NNrAZWMuuCr1F5IOz_hTQB13Eo?e=klXg6r" xr:uid="{07A7B98F-77B6-4C4F-AB44-F364C2D8F755}"/>
    <hyperlink ref="B989" r:id="rId890" display="../../../../:b:/g/personal/sarellano_no-mii_com/IQBq0DCv0JuvRJDT_xyM2Z5MAQI5s50WDk43qKw9zS4Kyj4?e=mrmfPx" xr:uid="{F6604423-FD4A-284E-AD48-AD02817003AA}"/>
    <hyperlink ref="B1076" r:id="rId891" xr:uid="{D9FEE6DF-D05A-2147-84BF-9E846C226150}"/>
    <hyperlink ref="B1079" r:id="rId892" display="../../../../:b:/g/personal/sarellano_no-mii_com/IQDC-yYuph8qRZsP2K3sZZ6tAWKkna9CGpvaxCiYmlYB8W4?e=Bw1bNg" xr:uid="{1A95DFE4-C89C-D84B-BCF8-5BEFDBAA4AD0}"/>
    <hyperlink ref="B1070" r:id="rId893" xr:uid="{232ECFAE-93C5-6F4D-9BF7-31080486B3DE}"/>
    <hyperlink ref="B1083" r:id="rId894" xr:uid="{4C6B7399-068B-9E4E-966D-E6D9CF292BEE}"/>
    <hyperlink ref="B1054" r:id="rId895" xr:uid="{7CD88460-63E3-4443-BEB2-2EFF46794115}"/>
    <hyperlink ref="B1080" r:id="rId896" xr:uid="{DAE08BBF-55E8-DC4D-9099-FC416918F739}"/>
    <hyperlink ref="B1082" r:id="rId897" xr:uid="{A2864EC4-BE1E-C442-AE0D-3267C6D7EA9F}"/>
    <hyperlink ref="B204" r:id="rId898" xr:uid="{D5A2B660-8355-FC4F-8296-F4DE2B91EB67}"/>
    <hyperlink ref="B1081" r:id="rId899" xr:uid="{1F4D18DA-2474-1342-875F-7E8C7996B31D}"/>
    <hyperlink ref="B1088" r:id="rId900" display="../../../../:b:/g/personal/sarellano_no-mii_com/IQBCo3CkmREJToUp1nTKhsWyAU4k_7-Ykw9a2X9QXMJhlsM?e=06R3Bf" xr:uid="{F10C0C15-F3CB-8A45-A237-A416739EB037}"/>
    <hyperlink ref="B1087" r:id="rId901" xr:uid="{831D363B-71A5-D048-80FF-34E709B535E0}"/>
    <hyperlink ref="B995" r:id="rId902" xr:uid="{63F44E20-E0F6-4941-AD9F-0892F99B5962}"/>
    <hyperlink ref="B125" r:id="rId903" xr:uid="{2045E69B-72EA-BB4B-A15D-16B732DB3DB1}"/>
    <hyperlink ref="B230" r:id="rId904" display="../../../../:b:/g/personal/sarellano_no-mii_com/IQDju9q3WfORTbq0eVlsPrvKATHtFjSvyYAULwwB11Y1ALM?e=Dh60g6" xr:uid="{ED16C27A-C2E8-B24E-A3E1-2D89D9ADB82F}"/>
    <hyperlink ref="B369" r:id="rId905" display="../../../../:b:/g/personal/sarellano_no-mii_com/IQA86KqMWaaKT40_Kg-BSStFARW60GIOrsYYsuSE05G2kpY?e=yWGUU3" xr:uid="{91C402D7-4272-A54D-97DB-2DD4F406AD13}"/>
    <hyperlink ref="B450" r:id="rId906" display="../../../../:b:/g/personal/sarellano_no-mii_com/IQDUidxKnZm1SpGwA-avRUaMAUgsIm5F8LiN0jxsyu8P-Q0?e=OvxdyG" xr:uid="{E7A9B4C6-1FC5-594C-BE85-BDAAD439CD27}"/>
    <hyperlink ref="B525" r:id="rId907" display="../../../../:b:/g/personal/sarellano_no-mii_com/IQDs8Ul7A7blTaAttLrvy6hPAUQtj3olo9NaozIhxmxNedg?e=9jBMXc" xr:uid="{08C3D539-E63D-F342-9065-82BC4CBEBC4F}"/>
    <hyperlink ref="B624" r:id="rId908" display="../../../../:b:/g/personal/sarellano_no-mii_com/IQCB5PzP3O6VSq83EHION7SyAdLY6UTJ71xY3HWyKbh1FGE?e=8i6FIU" xr:uid="{DAC2CD10-D9EF-6D46-AE11-7BCE8A20010B}"/>
    <hyperlink ref="B746" r:id="rId909" display="../../../../:b:/g/personal/sarellano_no-mii_com/IQDWtdJZpwdfT6NG08ytL6ZwASHsGPKgvg1phZErgZspXwM?e=MHh1AA" xr:uid="{7767E5D7-395F-D64C-A978-31EFFE1FC89A}"/>
    <hyperlink ref="B848" r:id="rId910" display="../../../../:b:/g/personal/sarellano_no-mii_com/IQC-T3qUfKqSTJWV3yjtXVF1AfSZ8mu6zqqNFOrLiEUTUYs?e=fw3BuH" xr:uid="{B31E44D7-E7D7-3843-88BB-E0ED6985E1C1}"/>
    <hyperlink ref="B939" r:id="rId911" display="../../../../:b:/g/personal/sarellano_no-mii_com/IQDIm-l4Y9PxTKlGnykVNpR-AZTk1pkC9Mutu1L7jRmchtc?e=xhAGtm" xr:uid="{050350A1-EF27-564B-9CB6-3355147C857F}"/>
    <hyperlink ref="B1037" r:id="rId912" display="../../../../:b:/g/personal/sarellano_no-mii_com/IQD1XxKzQfw9QoNOwE1ULjhvARNT-mbikfTkbC6VV4lspa4?e=ayt7dx" xr:uid="{44BE5B81-821C-BB43-B19F-B03259D33340}"/>
    <hyperlink ref="B55" r:id="rId913" display="../../../../:b:/g/personal/sarellano_no-mii_com/IQCOMVtdu0raTpRU8HZjP2UnAVmtga12pRyqSRGMOrzTKO4?e=FSyZ2t" xr:uid="{3DC353CD-B73A-C443-A0AB-7AFBC36ADDA5}"/>
    <hyperlink ref="B394" r:id="rId914" display="../../../../:b:/g/personal/sarellano_no-mii_com/IQB95xGuRhIyS6VegQpXzqXyAZHyQq4ZBQnildT1FWs07uY?e=98TzEU" xr:uid="{B3B86591-6BE8-5949-9EB4-0BD4121013C9}"/>
    <hyperlink ref="B1059" r:id="rId915" display="../../../../:b:/g/personal/sarellano_no-mii_com/IQAbknoOezIvRK1x8uBS87qrAYO3ikPndmSQyIKuk4fGauE?e=X2E2xg" xr:uid="{7E00DC13-9D41-9E46-9A4A-D2199855E21B}"/>
    <hyperlink ref="B1060" r:id="rId916" display="../../../../:b:/g/personal/sarellano_no-mii_com/IQCGiPXs3XubT7ejumkIMnXFAQD5BN-PMYV0rDgYyXeCgv4?e=I0EB8p" xr:uid="{1B9689F5-1479-7543-8F05-65B038926579}"/>
    <hyperlink ref="B1089" r:id="rId917" xr:uid="{E241A220-4BDA-1B4A-A02F-BD68F26FA305}"/>
    <hyperlink ref="B1075" r:id="rId918" display="../../../../:b:/g/personal/sarellano_no-mii_com/IQDzIh4kaMkqT5eUVnVdMyTZAYGdZ_QHBMvxkCEZ_RoYxjE?e=gTuD6O" xr:uid="{E06AC8CC-3003-F046-88A1-76403431A9AD}"/>
    <hyperlink ref="B1091" r:id="rId919" xr:uid="{F00F0FBC-50F8-DB45-96BB-E5318D619776}"/>
    <hyperlink ref="B194" r:id="rId920" xr:uid="{C8E007A0-AEC6-B049-A26B-B72446566F6C}"/>
    <hyperlink ref="B117" r:id="rId921" xr:uid="{86340248-000A-A640-9B3D-53B37E545877}"/>
    <hyperlink ref="B116" r:id="rId922" xr:uid="{2F95D160-08F3-D744-94B7-BC5CCCE68E29}"/>
    <hyperlink ref="B49" r:id="rId923" xr:uid="{1F893BF9-9105-A146-8065-4A99807BCCFB}"/>
    <hyperlink ref="B279" r:id="rId924" display="../../../../:b:/g/personal/sarellano_no-mii_com/IQDzWITahYvFQoQBAOctjR0vAYaZYgqTodMHXLSfab5Gpcg?e=OEEdaH" xr:uid="{321BD82E-947D-5D46-9C89-5F9E732919DE}"/>
    <hyperlink ref="B366" r:id="rId925" xr:uid="{ADAFDB2F-D1A7-3345-9BA7-C1DD874F2FB6}"/>
    <hyperlink ref="B471" r:id="rId926" xr:uid="{9039F906-A054-5745-AFC1-73537262A79D}"/>
    <hyperlink ref="B538" r:id="rId927" xr:uid="{DE565D9C-49F2-7044-9D45-F9813E67670F}"/>
    <hyperlink ref="B610" r:id="rId928" display="../../../../:b:/g/personal/sarellano_no-mii_com/IQBF3ri54Y2sTr5wdOo_IN-JAaF0agfyW4hTpyD71hCus_I?e=ZItOE3" xr:uid="{7A98DA6E-7BE8-5140-BC9C-694B31D295EC}"/>
    <hyperlink ref="B722" r:id="rId929" xr:uid="{F0B09931-5C71-E94F-A323-6DA697225EDA}"/>
    <hyperlink ref="B868" r:id="rId930" xr:uid="{047256C2-C082-7F41-A90E-5135366E8F8A}"/>
    <hyperlink ref="B1028" r:id="rId931" display="../../../../:b:/g/personal/sarellano_no-mii_com/IQB_-3qBprirTK58ls0ANAsZAbb3bfWldkqQi-ZDboctH6M?e=FSYkaL" xr:uid="{52223900-7D46-1E4A-856E-291027852D24}"/>
    <hyperlink ref="B1045" r:id="rId932" display="../../../../:b:/g/personal/sarellano_no-mii_com/IQDPC4g8QamETr4UoLmSCmA1AUutf-bITwt3ZB_XQUpJH-I?e=J8jLaz" xr:uid="{AEEA60E4-6158-A04B-B9C1-548D2A99BE3E}"/>
    <hyperlink ref="B1065" r:id="rId933" xr:uid="{9EF448A0-836B-9241-9C21-8528D56E788F}"/>
    <hyperlink ref="B1014" r:id="rId934" display="../../../../:i:/g/personal/sarellano_no-mii_com/IQBZhc1km7k3RbL90eXN5fBlAcQsPWNK0iLR4zItBh-AYhU?e=MX9HqA" xr:uid="{1D57C7B2-482B-C74A-BDC0-7E7DEE197796}"/>
    <hyperlink ref="B1085" r:id="rId935" xr:uid="{8DFAD6CA-B173-6D4E-AEDD-ACBB224083D9}"/>
    <hyperlink ref="B1052" r:id="rId936" xr:uid="{7974D2D6-249D-4845-82D9-52FB3F565D2A}"/>
    <hyperlink ref="B1077" r:id="rId937" display="569EDBEA-0011" xr:uid="{301F463E-7C92-0F42-8277-086ACD075490}"/>
    <hyperlink ref="B1035" r:id="rId938" display="../../../../:b:/g/personal/sarellano_no-mii_com/IQAo3NawYqCtQaq2hRLVAzQcAbCzOmbGiNQvDQST038FXPI?e=PbW9p9" xr:uid="{9C3FCEF5-4924-3740-BE52-4C8D810B2416}"/>
    <hyperlink ref="B1078" r:id="rId939" display="../../../../:b:/g/personal/sarellano_no-mii_com/IQB4ZAO9nli0SYzAed6TK1hfAYDqB9i2h6liS1dMVViBvmE?e=lmhfdB" xr:uid="{752595D6-5FC5-DC4F-9ED3-89295C6122B6}"/>
    <hyperlink ref="B1092" r:id="rId940" xr:uid="{0EDF933B-39AE-CD47-823F-85BCE5A677D4}"/>
    <hyperlink ref="B1086" r:id="rId941" xr:uid="{04771645-9F66-214B-B739-83A9C0420C16}"/>
    <hyperlink ref="B1058" r:id="rId942" xr:uid="{F0B08F2D-042A-114F-B275-36F6906052D4}"/>
    <hyperlink ref="B1074" r:id="rId943" xr:uid="{0D98723D-1600-E043-988B-C013B7E8C180}"/>
    <hyperlink ref="B1036" r:id="rId944" display="../../../../:b:/g/personal/sarellano_no-mii_com/IQDrUFx64ckcT6pdqW2uX9tvAaw8aKE2Uq91qteWXlWp5KE?e=n018dW" xr:uid="{0704F1B5-DDFF-694A-95F9-A935C43642C3}"/>
    <hyperlink ref="B1090" r:id="rId945" xr:uid="{7874980A-871C-A049-A385-091C50B3BD88}"/>
    <hyperlink ref="B1093" r:id="rId946" xr:uid="{1E373D29-4701-754B-9258-57D791890D73}"/>
    <hyperlink ref="B1049" r:id="rId947" display="../../../../:b:/g/personal/sarellano_no-mii_com/IQD3A5eZq9DYS5FyyZjsmhLvAaLC5sjUeDv-Hd4hAmP67Cs?e=4g0agZ" xr:uid="{1470D9E7-8C5F-804B-814F-00509C543B8F}"/>
    <hyperlink ref="B1031" r:id="rId948" xr:uid="{636B2AFC-7D27-D64A-AA3B-478DC577A152}"/>
    <hyperlink ref="B1073" r:id="rId949" xr:uid="{05A0D5D9-3BD4-5443-B827-E726288476D7}"/>
    <hyperlink ref="B39" r:id="rId950" display="../../../../:b:/g/personal/sarellano_no-mii_com/IQAIHRA9yXDHSLpN2lHQeenXAUkc5eSNEqynontK2Rcoack?e=HBiGDo" xr:uid="{E8329DEB-F2E0-324B-9324-7DDF565E64B6}"/>
    <hyperlink ref="B56" r:id="rId951" display="../../../../:b:/g/personal/sarellano_no-mii_com/IQDs0xKFO8qbTb6sVBOhLfxrAX0SRyocxFG0gJ1mZwsNg-o?e=TkSOxA" xr:uid="{80EA1CC9-BDCC-3F4C-BCCA-5EE8EB028C62}"/>
    <hyperlink ref="B1106" r:id="rId952" display="../../../../:b:/g/personal/sarellano_no-mii_com/IQBAQeYCzfYgRYGhcF79LmH0AeliYk48t3KuN-kVemaGW2c?e=CgMs74" xr:uid="{A1F0F750-6228-2245-A6BE-A79201370B8E}"/>
    <hyperlink ref="B10" r:id="rId953" display="../../../../:b:/g/personal/sarellano_no-mii_com/IQDz_Ztm3G55QZdJhqCKeoq4AeKsmJNCVIDeFcO1aRIqfJI?e=3Ytplf" xr:uid="{3702611B-38A4-AE4A-A680-AC086D9ABC85}"/>
    <hyperlink ref="B857" r:id="rId954" display="../../../../:i:/g/personal/sarellano_no-mii_com/IQA5kSQ8_z3DSZceyP4pJ0cuAYmWguQ-jy9p51ogjo5QFJE?e=bfwQxK" xr:uid="{25833472-DB41-9D44-83F1-A4733920EAFC}"/>
    <hyperlink ref="B803" r:id="rId955" xr:uid="{29D02996-9B46-8544-BDCA-F34C6B90351F}"/>
    <hyperlink ref="B1013" r:id="rId956" display="../../../../:b:/g/personal/sarellano_no-mii_com/IQDhvigaK6g8QZo2PyjD3ENdAaoe4ICbAMf2WNxPriS_4mw?e=ncbLve" xr:uid="{C4ED7F2C-5A26-424F-99AB-0E6BF0B6016C}"/>
    <hyperlink ref="B1022" r:id="rId957" display="../../../../:b:/g/personal/sarellano_no-mii_com/IQAGXjnyTqBOQI1s1GIzEZHlAUz6Et3D08TZOKqYr_PVrsw?e=HupaSL" xr:uid="{1DE31891-2550-5044-A4DB-99E9F27C6FDF}"/>
    <hyperlink ref="B1023" r:id="rId958" xr:uid="{29BCC4AB-A040-2941-BECC-0639B7CDC3CF}"/>
    <hyperlink ref="B1015" r:id="rId959" display="../../../../:b:/g/personal/sarellano_no-mii_com/IQCFTke_6IMdR5FcttiF4d7xAfct9bpgytUlONbwmMvtyC0?e=rgqXxs" xr:uid="{A7029328-4B86-6E42-AAC5-BD724C828D6D}"/>
    <hyperlink ref="B1024" r:id="rId960" xr:uid="{3A369180-BB98-3846-9471-FDDBC4FD8DED}"/>
    <hyperlink ref="B1084" r:id="rId961" xr:uid="{B16774AF-DE5F-214B-BB29-4AA48140C48F}"/>
    <hyperlink ref="B32" r:id="rId962" xr:uid="{72E1DBB0-22CF-7B46-B573-7407FD8A7364}"/>
    <hyperlink ref="B262" r:id="rId963" xr:uid="{4E9C0325-A68F-5B4A-8713-40FF9EB4588C}"/>
    <hyperlink ref="B385" r:id="rId964" xr:uid="{2D0B2FB0-1970-F242-BB3C-756E91480FE7}"/>
    <hyperlink ref="B386" r:id="rId965" xr:uid="{F7E4FE21-A29F-FE45-BCBC-04C8B8F8D3D6}"/>
    <hyperlink ref="B439" r:id="rId966" xr:uid="{63979E0B-FC02-7A46-AF95-9AB2232A755E}"/>
    <hyperlink ref="B1097" r:id="rId967" display="../../../../:b:/g/personal/sarellano_no-mii_com/IQCG5lQYSRMER5eo6ICon3xJAe7u_PVnu5keHrfYeyYBF2M?e=eMNahU" xr:uid="{2123E802-4FCF-8045-B2E4-4A8F0CCC573D}"/>
    <hyperlink ref="B951" r:id="rId968" xr:uid="{8E1906F2-22C6-B242-AA87-C3F335F2F5B6}"/>
    <hyperlink ref="B991" r:id="rId969" xr:uid="{B2E1AAA0-F1B0-0A48-A129-6E118FB5CDCB}"/>
    <hyperlink ref="B1104" r:id="rId970" display="../../../../:b:/g/personal/sarellano_no-mii_com/IQAUBUITae9_QKlmwdxpE85FAfmTyEJvEabVE-qgS0ISCvw?e=i6DjPE" xr:uid="{DD963F75-9E11-DC4A-837B-956BBE49E264}"/>
    <hyperlink ref="B311" r:id="rId971" xr:uid="{841EE4A6-EB3B-E14A-8A78-1E9DA3722FBB}"/>
    <hyperlink ref="B314" r:id="rId972" xr:uid="{DE68D298-BDF4-F843-AD65-7833D559FBE9}"/>
    <hyperlink ref="B347" r:id="rId973" xr:uid="{E91971F0-E3A1-544A-9AE1-4EFD058A5E52}"/>
    <hyperlink ref="B316" r:id="rId974" xr:uid="{E4C342DA-B031-784F-AD7E-A15F6221F1F8}"/>
    <hyperlink ref="B361" r:id="rId975" xr:uid="{AEBAFD41-A0B3-E74B-9990-9500A00BA15C}"/>
    <hyperlink ref="B498" r:id="rId976" xr:uid="{4EE15BB7-A359-B545-A116-6511ACF7ACD1}"/>
    <hyperlink ref="B577" r:id="rId977" xr:uid="{DAF01287-4C55-F647-A071-D3B84CAEB253}"/>
    <hyperlink ref="B639" r:id="rId978" xr:uid="{5621B0BC-09E5-A14E-A260-29FA5E5D989E}"/>
    <hyperlink ref="B724" r:id="rId979" xr:uid="{FAB7BDFC-9CB5-D848-9CDE-5A538932193B}"/>
    <hyperlink ref="B813" r:id="rId980" xr:uid="{7C62E977-F1F0-3745-9EB9-C807B8CF57F5}"/>
    <hyperlink ref="B836" r:id="rId981" xr:uid="{CBE5881E-3D32-6B4B-B48F-F147F8F735C3}"/>
    <hyperlink ref="B903" r:id="rId982" xr:uid="{3BA05A8D-93F6-D340-8F6E-B48B20CFCD26}"/>
    <hyperlink ref="B928" r:id="rId983" xr:uid="{1C5A70F7-D981-E746-8F18-32557EEF18E2}"/>
    <hyperlink ref="B1208" r:id="rId984" xr:uid="{31DF773E-5CD0-2A41-9FA8-240F6008A744}"/>
    <hyperlink ref="B1207" r:id="rId985" display="../../../../:b:/g/personal/sarellano_no-mii_com/IQA6Zv6vhul-RK_C_daqIPBFAQoHDOZz1vybCTYPQ4qT4IA?e=FbJ7sh" xr:uid="{37B1A650-8260-B84A-9100-C373911F7EC1}"/>
    <hyperlink ref="B1213" r:id="rId986" xr:uid="{A522B91C-0B46-064C-A17B-A18161C98FF5}"/>
    <hyperlink ref="B1214" r:id="rId987" display="../../../../:b:/g/personal/sarellano_no-mii_com/IQB1OJJqNwcuSZpa7xzppkdhAXARw0HUWC_s4ljRvN7m-a0?e=EJewoP" xr:uid="{E1CC7A05-7BC8-164A-AE2F-31FE4750C28B}"/>
    <hyperlink ref="B1220" r:id="rId988" xr:uid="{56D9D39C-4B10-5448-84E2-CB1B4D54EED3}"/>
    <hyperlink ref="B1215" r:id="rId989" display="../../../../:b:/g/personal/sarellano_no-mii_com/IQANG4HdTNN-SL-PuliP9SF2Ad4jBMpogvbb7A8GI-0ltVs?e=m63fFm" xr:uid="{B6BD2D6C-8338-2244-86B5-356B965D81A6}"/>
    <hyperlink ref="B1216" r:id="rId990" display="../../../../:b:/g/personal/sarellano_no-mii_com/IQCbp9YqGvopQJnfx1j2ixOIAT6kx55Xiy0iQ6BVvZSFLaA?e=enG4BG" xr:uid="{095F31FC-27DC-A141-BBA9-CD33F9C3352C}"/>
    <hyperlink ref="B1217" r:id="rId991" display="../../../../:b:/g/personal/sarellano_no-mii_com/IQDHpQtt0fw4QqPudKZY9mt2AdDflN_i21-gpl6YmwvJ3Qo?e=QmV5D5" xr:uid="{BB391E12-5FCF-6E42-9382-6C73FA028813}"/>
    <hyperlink ref="B1218" r:id="rId992" display="../../../../:b:/g/personal/sarellano_no-mii_com/IQAajngIfxYyTa8E8QfEqe5nAdRerdX_AFArVOruzl8iXlI?e=Mwc3Ov" xr:uid="{853B6234-38E7-4E45-A7B2-FFD33D434F57}"/>
    <hyperlink ref="B1222" r:id="rId993" display="../../../../:b:/g/personal/sarellano_no-mii_com/IQCVwruf8KpBTox6QszIPlq7AZGIKZ5lves-muk-LFlSjI0?e=6TjrL2" xr:uid="{2CB78766-012C-644C-B5B3-80BD9ECCCBD1}"/>
    <hyperlink ref="B910" r:id="rId994" xr:uid="{0D6C0E8D-0430-5C4F-98F0-DBC2437A3385}"/>
    <hyperlink ref="B1223" r:id="rId995" xr:uid="{6A02D891-6C46-E346-8881-E2364F43B306}"/>
    <hyperlink ref="B1219" r:id="rId996" xr:uid="{9E71C458-E8AD-4A4D-BA82-09EE1CA03541}"/>
    <hyperlink ref="B1226" r:id="rId997" xr:uid="{DA114836-FFC4-2942-AD5B-ABB43DE99432}"/>
    <hyperlink ref="B1227" r:id="rId998" xr:uid="{7BBBFE8B-2539-A24A-9DCD-130144C4FD95}"/>
    <hyperlink ref="B1225" r:id="rId999" xr:uid="{E9697CC8-4DE9-EE4D-AB1C-ED309CC59ED5}"/>
    <hyperlink ref="B1209" r:id="rId1000" display="../../../../:b:/g/personal/sarellano_no-mii_com/IQDWBDR88eiHQZF9UYhGU2a4AbSbNnx0rBKD7rK45VPe6t4?e=87Bra0" xr:uid="{7282D503-75C2-9E48-8F35-638E84D30C2E}"/>
    <hyperlink ref="B1235" r:id="rId1001" display="../../../../:i:/g/personal/sarellano_no-mii_com/IQDxiS_N5ZnKQKiOoBHYJ759AQ5__7LOxt2xTZjHLPCKdbI?e=3otmrb" xr:uid="{0025AC3C-CC23-354D-97EC-AEE770768330}"/>
    <hyperlink ref="B1228" r:id="rId1002" display="../../../../:b:/g/personal/sarellano_no-mii_com/IQDbBCHzcm66R7J23Dx2r783ARLaoMnVH5hgrHRj49n5Rlw?e=0cDONO" xr:uid="{A48CC071-95BE-2145-850A-C136E85DFB7A}"/>
    <hyperlink ref="B1221" r:id="rId1003" xr:uid="{AC832940-110B-1F41-B0CA-9E8D85535ADA}"/>
    <hyperlink ref="B1231" r:id="rId1004" display="../../../../:b:/g/personal/sarellano_no-mii_com/IQD5f5NEQqurTLSX0l6E8NzeAUDv_fprZz38Tfmh0xlE7-I?e=aXj115" xr:uid="{30594BC4-45EE-CC45-B12D-440FAF6486C2}"/>
    <hyperlink ref="B1242" r:id="rId1005" xr:uid="{983CD779-B7FA-A447-B4D1-36DB1D32FEA8}"/>
    <hyperlink ref="B1230" r:id="rId1006" xr:uid="{831EE828-530B-224A-8DE8-F7F1C875CAC2}"/>
    <hyperlink ref="B1224" r:id="rId1007" xr:uid="{9D7A2412-8F02-9B48-BCF3-1CA5410B5CE0}"/>
    <hyperlink ref="B1229" r:id="rId1008" xr:uid="{E28E6DDF-F0A9-5342-A232-EE80BB39B2AE}"/>
    <hyperlink ref="B1237" r:id="rId1009" xr:uid="{CBD2BBA1-9D88-C04E-970F-5BBC7E6C7BA2}"/>
    <hyperlink ref="B1232" r:id="rId1010" xr:uid="{CFC5A480-FE27-FE48-A966-32B5F7F596BB}"/>
    <hyperlink ref="B1233" r:id="rId1011" xr:uid="{EE642CCE-5C9C-A14B-A047-CDAC4C8148DA}"/>
    <hyperlink ref="B1234" r:id="rId1012" xr:uid="{37A64C88-0C0A-AB40-A0CE-7FFA84F74C3E}"/>
    <hyperlink ref="B1240" r:id="rId1013" xr:uid="{3CB9C1DC-46EF-B542-8800-70539243451D}"/>
    <hyperlink ref="B1238" r:id="rId1014" display="../../../../:b:/g/personal/sarellano_no-mii_com/IQCpioafwjeUTKInIXt8fnenAV-gDIvxZD7txDMoqXrepk8?e=rXnlAB" xr:uid="{8E6C99CF-33D2-FA4F-B612-0E9C07776D53}"/>
    <hyperlink ref="B1210" r:id="rId1015" display="../../../../:b:/g/personal/sarellano_no-mii_com/IQCVwruf8KpBTox6QszIPlq7AZGIKZ5lves-muk-LFlSjI0?e=jqAg9t" xr:uid="{D9C8119C-C15D-D84B-8231-4409FC02C1A8}"/>
    <hyperlink ref="B1239" r:id="rId1016" display="../../../../:b:/g/personal/sarellano_no-mii_com/IQBLynRIgAShQJRTrgS6mLBsAbN0nO1sLx6krBWBCEq78uU?e=i3kJnu" xr:uid="{A7FAA1E2-39AA-0E4E-8F09-4A89EDE93B78}"/>
    <hyperlink ref="B1243" r:id="rId1017" xr:uid="{FDE7278E-4552-4E4A-ACBD-7ED1B346B323}"/>
    <hyperlink ref="B1247" r:id="rId1018" xr:uid="{18640F57-74B9-6B4F-9141-280F3A26146E}"/>
    <hyperlink ref="B1246" r:id="rId1019" xr:uid="{360F5A30-CF7C-0440-A912-AF888ECAD704}"/>
    <hyperlink ref="B1245" r:id="rId1020" display="../../../../:b:/g/personal/sarellano_no-mii_com/IQDRR0G4deiOQ6vIKkRlukbxAddAU4VLUMnydgxSErKpkqI?e=XaQuBQ" xr:uid="{66E56D8D-A9F3-DC4A-9447-223C0A6447EB}"/>
    <hyperlink ref="B1236" r:id="rId1021" xr:uid="{D9842C55-C8E3-5441-93CF-E490C7247CBC}"/>
    <hyperlink ref="B1248" r:id="rId1022" xr:uid="{59426D9B-E6DD-FD44-93C0-8BD552E93B5F}"/>
    <hyperlink ref="B1250" r:id="rId1023" xr:uid="{65FF4469-2A6F-FF4A-BBB1-4227368F8F7F}"/>
    <hyperlink ref="B1252" r:id="rId1024" display="../../../../:b:/g/personal/sarellano_no-mii_com/IQDEnwDEwYFvT4OvcxdJLQRLAa3DdDZWd3aPBklO7M_EuoU?e=D4ldw3" xr:uid="{8C14A033-E8D4-1445-B106-3119C013FE0C}"/>
    <hyperlink ref="B1260" r:id="rId1025" xr:uid="{D84E95E8-0E6F-0742-9521-D28577763B6B}"/>
    <hyperlink ref="B1253" r:id="rId1026" xr:uid="{9F13E173-C700-CB40-8166-20AC002B04F8}"/>
    <hyperlink ref="B1251" r:id="rId1027" xr:uid="{22F3EB99-0A2F-1043-82F9-3323D4AFAAE3}"/>
    <hyperlink ref="B1259" r:id="rId1028" xr:uid="{94B068EC-6D11-054F-8709-BEAD0C12BF9B}"/>
    <hyperlink ref="B1256" r:id="rId1029" xr:uid="{ADCF03AA-B93F-754A-A77B-67EDDDC7C017}"/>
    <hyperlink ref="B1262" r:id="rId1030" xr:uid="{2CAD312B-E4F7-BF4E-81F2-4CFF53429F70}"/>
    <hyperlink ref="B1263" r:id="rId1031" display="../../../../:b:/g/personal/sarellano_no-mii_com/IQCpaKQQMaJXQL18bw6Yq0BgAXlp6dCoknDN6Ae93Wsj194?e=fY9Fcs" xr:uid="{B0FEB703-D2B2-F940-9780-CCA29473BEA8}"/>
    <hyperlink ref="B1249" r:id="rId1032" xr:uid="{27627590-227F-0640-A2B3-4625B8FB9394}"/>
    <hyperlink ref="B1244" r:id="rId1033" xr:uid="{37EB7258-ED57-A348-8EF1-D0AC1B8B3A54}"/>
    <hyperlink ref="B945" r:id="rId1034" xr:uid="{BC30FB20-A579-5C43-A5C3-C16B5D37E3CB}"/>
    <hyperlink ref="B1046" r:id="rId1035" xr:uid="{13D68ED1-8E6A-1D48-B0DE-8425AD86944E}"/>
    <hyperlink ref="B858" r:id="rId1036" xr:uid="{4FDE9DC6-2517-E74B-BB04-55A8509259B3}"/>
    <hyperlink ref="B949" r:id="rId1037" xr:uid="{943282FF-57B4-1C4C-9261-D59837E4E091}"/>
    <hyperlink ref="B1261" r:id="rId1038" display="../../../../:b:/g/personal/sarellano_no-mii_com/IQBYeT_8BBLnSo7uQDJGlAaDAbclf_oFjWU9LQfIs5s7Xag?e=1ohHPv" xr:uid="{E431BD21-A45F-D145-9B3D-4407DBB87D08}"/>
    <hyperlink ref="B998" r:id="rId1039" xr:uid="{1D6AB2D1-89E9-4449-9443-62B89C1E87CE}"/>
    <hyperlink ref="B996" r:id="rId1040" xr:uid="{D4590868-0BD8-F744-91DE-AC4C657A7DF7}"/>
    <hyperlink ref="B999" r:id="rId1041" xr:uid="{92690DC8-22BF-7845-9180-DC2EAF7968B5}"/>
    <hyperlink ref="B997" r:id="rId1042" xr:uid="{6D0ED8BE-2D10-8646-8B04-B6E7D51E3B06}"/>
    <hyperlink ref="B1017" r:id="rId1043" xr:uid="{BB5AD50C-ED77-1F47-A48A-BC85A9B0D26B}"/>
    <hyperlink ref="B1211" r:id="rId1044" display="../../../../:b:/g/personal/sarellano_no-mii_com/IQBtbmD4pkVgSq-4EB1yNu0CAekinSLg4DadsuEFmZd4kFo?e=m0oFHa" xr:uid="{897B50CB-9081-B741-8843-A31A02A5CA54}"/>
    <hyperlink ref="B1254" r:id="rId1045" xr:uid="{E68A4625-2836-9848-9C7B-2BFC79FAF91D}"/>
    <hyperlink ref="B1264" r:id="rId1046" display="../../../../:b:/g/personal/sarellano_no-mii_com/IQA_JMC7HBgJSpdfyEdbZ428AfAMgZ7B-fw4nPLwo6ChRtQ?e=w93pbS" xr:uid="{A4FF213C-AA9A-2F42-87F4-E5CF99AA24D6}"/>
    <hyperlink ref="B1270" r:id="rId1047" xr:uid="{BF2A688A-5FE4-2843-9832-D0667FB470DE}"/>
    <hyperlink ref="B1266" r:id="rId1048" xr:uid="{62B8AEB4-5C02-A84B-8BFE-5CC899A09D8A}"/>
    <hyperlink ref="B1271" r:id="rId1049" xr:uid="{6609C9BE-2EFC-1942-9675-A634FBCD5955}"/>
    <hyperlink ref="B1268" r:id="rId1050" xr:uid="{A6CE7171-90C8-5548-9349-FC57DEA13F0B}"/>
    <hyperlink ref="B1255" r:id="rId1051" xr:uid="{C0189907-E63F-CE47-8BFE-39B2A4199092}"/>
    <hyperlink ref="B1257" r:id="rId1052" display="../../../../:b:/g/personal/sarellano_no-mii_com/IQDfXnXbpKJ4Q4dPkY5n-nmnAYRYAt_kE8fbstukIaOoR-o?e=rkQnbZ" xr:uid="{664BCA7E-8148-6E43-A295-6A2C8A56CBDA}"/>
    <hyperlink ref="B1258" r:id="rId1053" display="../../../../:b:/g/personal/sarellano_no-mii_com/IQDpuaPB5ZGcSI0yWqHsgHpwAVYPA9kz-sKAZsw6FO0vPvM?e=QTBFSr" xr:uid="{155E2785-762C-4644-8803-942811465C64}"/>
    <hyperlink ref="B1241" r:id="rId1054" display="../../../../:b:/g/personal/sarellano_no-mii_com/IQBU21KXTbY-T6bYCicW-NTlARcWQpIrsNTtGstEcW5EnHA?e=60POQh" xr:uid="{9DFC366D-BAD9-1A4C-B0A9-FBE20EF4C61E}"/>
    <hyperlink ref="B1269" r:id="rId1055" xr:uid="{92DDA480-4452-D64C-8F41-276EC18DAF3F}"/>
    <hyperlink ref="B1267" r:id="rId1056" xr:uid="{6BD77C3B-1F0A-114F-B14A-A42C47697BBA}"/>
    <hyperlink ref="B1282" r:id="rId1057" display="../../../../:i:/g/personal/sarellano_no-mii_com/IQDkJVhch9DBRaDxOOmOYuJWAe-zvMLvvUbyLbZepEmc2Do?e=I9JjBr" xr:uid="{AFAF99AE-597B-5E42-8372-3032BD501478}"/>
    <hyperlink ref="B1278" r:id="rId1058" display="../../../../:i:/g/personal/sarellano_no-mii_com/IQBVZ91Qy1TCQq5Bpch1WCW4AclZ8kMORMqADP2pXtXktPM?e=Hfxahx" xr:uid="{A404D3A7-FB9F-F445-9527-B0E6CF6DB44B}"/>
    <hyperlink ref="B1265" r:id="rId1059" display="../../../../:i:/g/personal/sarellano_no-mii_com/IQDJGkUZcgYhQ6fGlwlraEudATW7tA6HuV4UFGlNO0S2TJg?e=OfTOf0" xr:uid="{844C537D-4CDA-7941-8E92-39AD89F962B0}"/>
    <hyperlink ref="B1275" r:id="rId1060" display="../../../../:b:/g/personal/sarellano_no-mii_com/IQB5FAAp768hTrbX2tGUtVS-AaXR0pdidI08W2k5UKKeoM4?e=23u6VE" xr:uid="{363CCB9B-1CB0-BD40-B862-63057B47AB8E}"/>
    <hyperlink ref="B1283" r:id="rId1061" display="../../../../:i:/g/personal/sarellano_no-mii_com/IQDDUsURyqcmRrRT6Gv5X2zZASlxFXMTZVLA98hDKv3TD74?e=HlExYf" xr:uid="{181F21D2-C5C4-324A-BC8C-FA8E31A6FBB6}"/>
    <hyperlink ref="B1284" r:id="rId1062" xr:uid="{7CA1E39D-19C7-D247-BD69-972CAEEC9F63}"/>
    <hyperlink ref="B1274" r:id="rId1063" xr:uid="{01E3F5F7-9322-B645-8151-A3B1A73C30F0}"/>
    <hyperlink ref="B1277" r:id="rId1064" xr:uid="{67916261-C1B7-1944-9FA2-FB57ACC37E55}"/>
    <hyperlink ref="B1280" r:id="rId1065" display="../../../../:b:/g/personal/sarellano_no-mii_com/IQCtHaP6JD_rQ6h6aBi5q7AqAe3rdPrZPhl2633gTAM9P5g?e=pSvAAv" xr:uid="{E55352CF-A4E6-4B4F-9D4D-C7CF2A2BCFEA}"/>
    <hyperlink ref="B1281" r:id="rId1066" display="../../../../:b:/g/personal/sarellano_no-mii_com/IQBU2evuDxz_RqZ0Jtn6XMJxAQCSAAQX0gNkQLwxyAUzxxE?e=5hdLG7" xr:uid="{2FF5105A-B886-5142-A451-1EDA88E1D26C}"/>
    <hyperlink ref="B1288" r:id="rId1067" display="../../../../:b:/g/personal/sarellano_no-mii_com/IQCMsErdnzsGQIiWK4RuQOZLAWRgZqNhz8QsHFm3eYdEJ44?e=uKUAT1" xr:uid="{AF6464A9-343B-8D43-817F-2855FD7FB7E0}"/>
    <hyperlink ref="B1289" r:id="rId1068" display="../../../../:i:/g/personal/sarellano_no-mii_com/IQBvw3aQlfXrTKVwwT-UztPGARaxaZXQxmchILdw6ndzQOs?e=OdU8Sz" xr:uid="{0D5D0B01-92EA-0C42-AB50-877C9934082F}"/>
    <hyperlink ref="B1285" r:id="rId1069" xr:uid="{FF83D950-E268-7147-A7C3-0E99C5AADE97}"/>
    <hyperlink ref="B1291" r:id="rId1070" xr:uid="{44B4C3FF-2EE1-6547-B847-859802E1B2CD}"/>
    <hyperlink ref="B1292" r:id="rId1071" xr:uid="{04F09DE9-0DBF-5C40-8617-0BB85A2406F5}"/>
    <hyperlink ref="B1286" r:id="rId1072" xr:uid="{1BAC6CDC-CB58-6A4A-8A83-16D4B2F4C2FB}"/>
    <hyperlink ref="B1293" r:id="rId1073" xr:uid="{7259D28D-1C4C-0947-BB26-06D3BB7FA58B}"/>
    <hyperlink ref="B1287" r:id="rId1074" display="../../../../:b:/g/personal/sarellano_no-mii_com/IQBTuQMLVc4aTY7BCbejknEuAZn33lOXyRU3Y7W3RWkrKIs?e=nd6EPm" xr:uid="{7E1BA265-0D28-FC4F-B4B6-C0D4AE1B4D29}"/>
    <hyperlink ref="B1295" r:id="rId1075" display="../../../../:b:/g/personal/sarellano_no-mii_com/IQBBTOECqbF3QrY1UJDYsMSJAaBQK80AAdllQdkGXBwq6rw?e=2tk3sa" xr:uid="{AE7FAF61-CB68-2B43-84ED-F73481BF4A7E}"/>
    <hyperlink ref="B1290" r:id="rId1076" xr:uid="{2AC8E8C1-968E-FC4B-BD29-D68F7F8B5EC9}"/>
    <hyperlink ref="B1272" r:id="rId1077" display="../../../../:b:/g/personal/sarellano_no-mii_com/IQAh2rp2eox9SZLBLleGHwQdAeIvmJHRb069aWb3eAtz4ik?e=vziuh0" xr:uid="{7C24D42D-D94D-C649-8BB2-D2B1D92EE4AB}"/>
    <hyperlink ref="B1294" r:id="rId1078" xr:uid="{D3293B21-9729-3843-8E25-6D642208B7B7}"/>
    <hyperlink ref="B1276" r:id="rId1079" xr:uid="{939BBFCF-195E-3B4D-82C7-3CEB71D11947}"/>
    <hyperlink ref="B1296" r:id="rId1080" xr:uid="{0C394E50-ABEA-4A40-B1B9-2CB4651875D7}"/>
    <hyperlink ref="B1297" r:id="rId1081" xr:uid="{710460CE-56E8-7D48-BF1D-1211ABD02A99}"/>
    <hyperlink ref="B1298" r:id="rId1082" xr:uid="{1852DF45-2B30-B84B-AF34-A3B010856771}"/>
    <hyperlink ref="B1299" r:id="rId1083" xr:uid="{20A94D42-80FD-BA41-B34E-EBC84E004FB0}"/>
    <hyperlink ref="B1300" r:id="rId1084" display="../../../../:b:/g/personal/sarellano_no-mii_com/IQA-DFPR2ntiRbNHo6VGdwNbAUIV4ppYfZSu0Tdl0OGEVH0?e=nXnecu" xr:uid="{682FAFB4-3FBF-DD4F-AC9C-28B2D4EC5136}"/>
    <hyperlink ref="B1301" r:id="rId1085" xr:uid="{54A73066-77CB-D744-8182-2D68E1E05B67}"/>
    <hyperlink ref="B1273" r:id="rId1086" display="../../../../:b:/g/personal/sarellano_no-mii_com/IQCbf54rOkPfQKG-mLUi2ABqAdFZj15tgs4qGuoqfhftfes?e=7qt2iC" xr:uid="{3CB7595E-CA9D-984C-A4C4-010C75895588}"/>
    <hyperlink ref="B1303" r:id="rId1087" xr:uid="{B0579B49-0756-CF44-A145-60DC4E4C7372}"/>
    <hyperlink ref="B1304" r:id="rId1088" xr:uid="{70DBBF30-57B2-3647-83B8-B77DFD656E63}"/>
    <hyperlink ref="B1306" r:id="rId1089" display="../../../../:b:/g/personal/sarellano_no-mii_com/IQBebCUk-BPITL1jv106QsZ6AXMThvXJ_Kcd2-_ZCsZPBWU?e=egHxGj" xr:uid="{291A07C2-7E13-A14B-BFB2-324A155DEA8F}"/>
    <hyperlink ref="B1305" r:id="rId1090" display="../../../../:b:/g/personal/sarellano_no-mii_com/IQD00-qQlGlpRoVRa_SIK0uUAV18brEFtgRyoRRWUX5Jt-I?e=fo7Y6U" xr:uid="{D5F9FF8C-0357-6A4D-809F-C506A23268DD}"/>
    <hyperlink ref="B1302" r:id="rId1091" xr:uid="{BFC15738-3488-BA4D-B950-D5B91DFA0AC0}"/>
    <hyperlink ref="B1320" r:id="rId1092" xr:uid="{85FC7C15-51D2-5E44-806A-E07F3B6A19B4}"/>
    <hyperlink ref="B1212" r:id="rId1093" xr:uid="{C2D95956-ADED-1E44-98FF-188EB90BB505}"/>
    <hyperlink ref="B1279" r:id="rId1094" xr:uid="{021FE1D0-90FC-5A4F-8220-F401145CD61E}"/>
    <hyperlink ref="B1322" r:id="rId1095" xr:uid="{E6B697C5-E2FF-6A45-BE7A-24CE454A2B69}"/>
    <hyperlink ref="B1311" r:id="rId1096" xr:uid="{B4D73E4E-A12D-5E46-8B7B-EEED553F5F15}"/>
    <hyperlink ref="B1326" r:id="rId1097" xr:uid="{EABA5516-7807-9847-8D80-E8616FC58657}"/>
    <hyperlink ref="B1309" r:id="rId1098" xr:uid="{3724D1E3-6EFF-7D4E-AA03-2B2911A601C2}"/>
    <hyperlink ref="B1323" r:id="rId1099" display="../../../../:b:/g/personal/sarellano_no-mii_com/IQC8DCdGGhi3RaqnCYXtbB1QAXnp5pzh84tfK0KUSyZm7N0?e=3zSkrv" xr:uid="{E519B7F1-9724-1B40-8B2C-F831FC773A34}"/>
    <hyperlink ref="B1327" r:id="rId1100" xr:uid="{2D92CE19-F889-C94D-837F-11FBC26678B3}"/>
    <hyperlink ref="B1310" r:id="rId1101" xr:uid="{B1A110C7-B02A-F044-A426-CC90D65308CA}"/>
    <hyperlink ref="B1162" r:id="rId1102" display="../../../../:b:/g/personal/sarellano_no-mii_com/IQBXhrY0J7AAR7D3K4eGi65bAf7k_l3rkmX3K_FYgRNxVKs?e=pYgcme" xr:uid="{11FE454E-6E65-224E-9970-0E9B6834AAA2}"/>
    <hyperlink ref="B1136" r:id="rId1103" display="../../../../:b:/g/personal/sarellano_no-mii_com/IQA2Rn3cmyIDRYxsyWaVo4BVAUUlHDXNxE9X5lvCRotHHXk?e=XksUTa" xr:uid="{0B6D61D5-C389-274E-846B-71546132137A}"/>
    <hyperlink ref="B1108" r:id="rId1104" xr:uid="{376649EA-A4AD-BF4F-BC55-B9F32049EC42}"/>
    <hyperlink ref="B1133" r:id="rId1105" xr:uid="{B886CE84-4079-6145-B9F5-A5A36E576ACB}"/>
    <hyperlink ref="B1124" r:id="rId1106" display="../../../../:b:/g/personal/sarellano_no-mii_com/IQAa-bgCM3MXS4rftlUkge7wAU27Oq3kbpQPfAFqqwKr6AY?e=CzB2S6" xr:uid="{2BCC02D6-C6C2-CB4B-B6EA-8735443538A4}"/>
    <hyperlink ref="B1184" r:id="rId1107" xr:uid="{8E25A521-C1C1-2E49-BCD2-CE71F4656F77}"/>
    <hyperlink ref="B1129" r:id="rId1108" display="../../../../:b:/g/personal/sarellano_no-mii_com/IQDJ8F_IUHSoQ7JQ11U_kP6_AdnRdVv3V-V6UiQndUcqdVk?e=45bw0a" xr:uid="{FF5A58CE-D75A-044C-BEF4-11F66E59C65E}"/>
    <hyperlink ref="B1127" r:id="rId1109" xr:uid="{B0DD6C3F-931D-4D45-B81E-6CB67CE31B44}"/>
    <hyperlink ref="B1178" r:id="rId1110" display="../../../../:b:/g/personal/sarellano_no-mii_com/IQBogDXFzrDvTrFvDEMlP1qAAU91icgroZedamcNkRCbtkg?e=mztI93" xr:uid="{EA6C3FFA-6B18-8645-9932-BE3A6FBEE527}"/>
    <hyperlink ref="B1206" r:id="rId1111" display="../../../../:b:/g/personal/sarellano_no-mii_com/IQDyzCeqA-mZToFXgvDGAVfwAdEuw-oqJmI_YF1ggUNpT4o?e=dYtGbO" xr:uid="{08F578F8-D0BA-A843-82BB-5F3A3DF23038}"/>
    <hyperlink ref="B1191" r:id="rId1112" display="../../../../:i:/g/personal/sarellano_no-mii_com/IQCb4PjiyAV2RKqLA1XpxN5sAaIcqRj6WIk7LHJFMKG7dTI?e=35caOY" xr:uid="{F6E08F4A-F8DF-3F43-9B7D-9319D0C4179A}"/>
    <hyperlink ref="B1142" r:id="rId1113" display="../../../../:i:/g/personal/sarellano_no-mii_com/IQAqDAthD6wcQq3KKxitYtknATqKyfJaSp44ykmdwfVVc7w?e=wXv7qR" xr:uid="{8C215577-A595-294A-B38C-177337D08BC1}"/>
    <hyperlink ref="B1192" r:id="rId1114" display="../../../../:i:/g/personal/sarellano_no-mii_com/IQDZYES2uehXS5cQTdTadOqdAeQUEHLIxybloVdt5MTlMr0?e=Aaerac" xr:uid="{9106535A-14BA-AB42-85D1-DDAF0A276033}"/>
    <hyperlink ref="B1193" r:id="rId1115" display="../../../../:i:/g/personal/sarellano_no-mii_com/IQBmHmz_idhURKlfcwEpKBEFAQmRyBRt49PtxcDeibzNv0k?e=8eEmcK" xr:uid="{F75639BB-D0D1-6C46-AA6F-6543689887EB}"/>
    <hyperlink ref="B1205" r:id="rId1116" display="../../../../:i:/g/personal/sarellano_no-mii_com/IQBd2adTfdOdTbR9Q3PljZ42AR6Rr2V2HLoaGidfnRhvDhU?e=pTiczp" xr:uid="{EE718C4B-FF8C-BE45-8144-CEA2CBEA4D28}"/>
    <hyperlink ref="B1195" r:id="rId1117" xr:uid="{E61E92F5-4537-EF4F-8729-AF30664C595E}"/>
    <hyperlink ref="B1190" r:id="rId1118" xr:uid="{9D7A3209-E271-D248-91B5-E9EC7D8227EA}"/>
    <hyperlink ref="B1194" r:id="rId1119" xr:uid="{E0358430-AE21-CE48-9215-74050D94EE6E}"/>
    <hyperlink ref="B1181" r:id="rId1120" xr:uid="{D396E590-93DE-D648-9E39-8171AB7A5E8E}"/>
    <hyperlink ref="B1153" r:id="rId1121" xr:uid="{3ED25F67-0EDC-9943-9FC6-742EC958CE80}"/>
    <hyperlink ref="B1189" r:id="rId1122" xr:uid="{D759ECD7-8662-2B4A-85CD-CCB473A10333}"/>
    <hyperlink ref="B1177" r:id="rId1123" xr:uid="{2354898E-7A9B-D94D-A15C-04DDAFE5CC41}"/>
    <hyperlink ref="B1169" r:id="rId1124" display="../../../../:b:/g/personal/sarellano_no-mii_com/IQCV5A1wTOfpS4AnTs1gqWURAZnPgcZ363OUIW6If3l_Mig?e=HdaW2b" xr:uid="{11DC03D2-843F-DC4D-B326-DA745EE5C7CC}"/>
    <hyperlink ref="B1176" r:id="rId1125" display="../../../../:b:/g/personal/sarellano_no-mii_com/IQDC_1QGzhK-TpfOeEB4zFutAcOHtsqFGZyASLCLI1kcPok?e=grRBpn" xr:uid="{9375BFC7-E155-7A4E-8CC9-8FA068C13C02}"/>
    <hyperlink ref="B1179" r:id="rId1126" display="../../../../:b:/g/personal/sarellano_no-mii_com/IQAy5iwePf1ZTYotgrOIqnZsAUkoJ1pJ7j_83GS5WsSdkqI?e=eg0vxa" xr:uid="{D07A1722-9A91-2E48-9C9F-65D4366D4984}"/>
    <hyperlink ref="B1183" r:id="rId1127" xr:uid="{78B5B713-F9DD-CA45-8033-B4D9ADB7C09E}"/>
    <hyperlink ref="B1188" r:id="rId1128" xr:uid="{AF90321D-D298-374C-8E5F-33A13DABC885}"/>
    <hyperlink ref="B1187" r:id="rId1129" xr:uid="{848239E4-114A-AF44-AB3D-7BEE3E9BC80F}"/>
    <hyperlink ref="B1186" r:id="rId1130" xr:uid="{F5E2DA06-A5AA-2B42-B49D-95D5AC894EBF}"/>
    <hyperlink ref="B1185" r:id="rId1131" display="../../../../:b:/g/personal/sarellano_no-mii_com/IQB3IYfOSiLPQ5eGstgOLihCAQRjrZHmczURb8nNXI393h8?e=vJkzEF" xr:uid="{8C3A438B-933F-CC46-8B52-E269713B6A55}"/>
    <hyperlink ref="B1182" r:id="rId1132" xr:uid="{D87A26B5-5A8F-B846-9588-A9FC858025C1}"/>
    <hyperlink ref="B1180" r:id="rId1133" display="../../../../:b:/g/personal/sarellano_no-mii_com/IQBNTr9nizvWQqS5IB0Vq4BhAX5R3euCw07bETMuN6cwxhk?e=2Aac6F" xr:uid="{D0E48FD3-8071-D640-A3DD-3FDE911B54D8}"/>
    <hyperlink ref="B1140" r:id="rId1134" xr:uid="{A9C29A10-1AC3-DF44-871E-7707CF69B4E7}"/>
    <hyperlink ref="B1175" r:id="rId1135" xr:uid="{C4B4CB2C-12FD-7B4F-8B5B-2B25BE085892}"/>
    <hyperlink ref="B1173" r:id="rId1136" xr:uid="{F2FCD635-8371-204B-8ABE-5FFB3FFCEE93}"/>
    <hyperlink ref="B1165" r:id="rId1137" xr:uid="{9138D6CF-B599-FF4F-BC14-B4C67FF7FC5A}"/>
    <hyperlink ref="B1152" r:id="rId1138" xr:uid="{9D52C170-4F5B-3E4C-9D55-332E8BA0CC6E}"/>
    <hyperlink ref="B1168" r:id="rId1139" display="../../../../:b:/g/personal/sarellano_no-mii_com/IQDCfDzIn4_7SLGeWbeYVSB3AU76TgfUPTEYmy8EoLZj7tU?e=M5Ja6e" xr:uid="{A5CB1B4D-1A44-BE41-9EF1-10A9468ACEE5}"/>
    <hyperlink ref="B1123" r:id="rId1140" display="../../../../:b:/g/personal/sarellano_no-mii_com/IQAvt-fVqBT7RJEuoxAzagJbAaEDoFmX1t54ppYFtu5rN9U?e=7qllS6" xr:uid="{523C2098-201E-0544-B1C9-182151FC779B}"/>
    <hyperlink ref="B1161" r:id="rId1141" xr:uid="{64C61F04-B877-624C-A519-B2AAFFA6559F}"/>
    <hyperlink ref="B1164" r:id="rId1142" display="../../../../:b:/g/personal/sarellano_no-mii_com/IQAykmBdBf71Qr1BdRIg7ElkAa3M9sqFV7vW03YNa2lBzRc?e=gIwC2v" xr:uid="{2ED95504-ABC5-8F4A-A8D6-E8B597E9C4FA}"/>
    <hyperlink ref="B1167" r:id="rId1143" display="../../../../:b:/g/personal/sarellano_no-mii_com/IQC-_8RaEeHIQ5ldIPbs7UGBAQmokLaEkODDO8cGVKRAIZ8?e=o5MppD" xr:uid="{1B296CF7-0EF4-0744-81AC-346407FA3341}"/>
    <hyperlink ref="B1163" r:id="rId1144" display="../../../../:b:/g/personal/sarellano_no-mii_com/IQBHu9Q6GBTUQa8ycqSeuTSgAYkjIs4qbqDN7SaONr_a-LE?e=DzgWob" xr:uid="{E61CA2D1-CC66-F847-BF07-DE7FFA8E785D}"/>
    <hyperlink ref="B1157" r:id="rId1145" xr:uid="{02062907-B0F9-BD40-8F95-E12DB584BF00}"/>
    <hyperlink ref="B1160" r:id="rId1146" xr:uid="{265C7188-E6FF-A548-9C04-CEBB9D484381}"/>
    <hyperlink ref="B1156" r:id="rId1147" xr:uid="{FA8AB3AC-2AA7-8943-A405-EFCC2A3C2722}"/>
    <hyperlink ref="B1159" r:id="rId1148" display="../../../../:b:/g/personal/sarellano_no-mii_com/IQB7Az1bCvDdSoV_QrjfRMwxASvVTjuBIZP2fqCxuUfLidM?e=Qd4Irs" xr:uid="{13B3E2ED-7457-C74A-AB46-6740C91D4051}"/>
    <hyperlink ref="B1151" r:id="rId1149" display="../../../../:b:/g/personal/sarellano_no-mii_com/IQCWOqFRzoXXQamgmLBexpE2AdMxlu0-aSSferTvz5RPQHU?e=idsdZl" xr:uid="{480C4177-0C2E-2E43-8428-B96266622F38}"/>
    <hyperlink ref="B1150" r:id="rId1150" display="../../../../:b:/g/personal/sarellano_no-mii_com/IQAiEsJD4lcyS5o8V7CDBDcLAbij8DpurzK-Hkkd8lEUfjM?e=VbY8ox" xr:uid="{BCB280AA-0D64-9C4B-9A4C-E63378B7168D}"/>
    <hyperlink ref="B1149" r:id="rId1151" display="../../../../:b:/g/personal/sarellano_no-mii_com/IQCMEkWrd7AwTZW1uUNlgP8rAbexRInQ8DCtgjZgwQzJxmo?e=EnJpG3" xr:uid="{25A97A28-CF47-3342-9DD8-5CBE73116BB9}"/>
    <hyperlink ref="B1166" r:id="rId1152" xr:uid="{2820AAA6-89C5-6B4C-AD7A-D6F7867D388C}"/>
    <hyperlink ref="B1148" r:id="rId1153" xr:uid="{9BA7473F-4D05-E44D-8768-8443360F6276}"/>
    <hyperlink ref="B1147" r:id="rId1154" xr:uid="{ACD3E412-3D9A-CA4A-B959-354417D673D5}"/>
    <hyperlink ref="B1170" r:id="rId1155" display="../../../../:b:/g/personal/sarellano_no-mii_com/IQAOE39LozuzTomikGx_hNTHATUo0SUc7mqxwFUGCN2ljBo?e=PuSEY4" xr:uid="{25767A49-1F62-F340-92A1-AD6AD45F0082}"/>
    <hyperlink ref="B1155" r:id="rId1156" xr:uid="{9D681A85-3F14-1647-8C2A-D304ABE7C175}"/>
    <hyperlink ref="B1158" r:id="rId1157" xr:uid="{629BF7D6-8AD3-5B4E-BC68-A13E119FA6E3}"/>
    <hyperlink ref="B1154" r:id="rId1158" xr:uid="{9E205A91-A5F1-E440-A80B-F0933B8EE9A5}"/>
    <hyperlink ref="B1172" r:id="rId1159" xr:uid="{06628CAB-7DFF-5A42-830C-219BC8826B99}"/>
    <hyperlink ref="B1115" r:id="rId1160" xr:uid="{48E3DFC9-FE9D-9D43-8353-17DC7FFD028F}"/>
    <hyperlink ref="B1139" r:id="rId1161" xr:uid="{0AAFE8D5-5192-774A-91AD-E9028285D8AD}"/>
    <hyperlink ref="B1113" r:id="rId1162" xr:uid="{416C7488-EC37-D04E-AEC5-09F4196F0868}"/>
    <hyperlink ref="B1138" r:id="rId1163" xr:uid="{7F050EC8-A320-DF41-AF8F-C2F68F513281}"/>
    <hyperlink ref="B1144" r:id="rId1164" xr:uid="{3F7BE9CF-E4F7-2440-890A-002BA7F4FA3F}"/>
    <hyperlink ref="B1130" r:id="rId1165" xr:uid="{2B165F51-A0AD-6E4D-933C-47FD18046941}"/>
    <hyperlink ref="B1143" r:id="rId1166" xr:uid="{5ECF96AB-332B-DB4F-9EB8-8A3F2AA13AB9}"/>
    <hyperlink ref="B1141" r:id="rId1167" xr:uid="{74AAE873-9DCD-A944-B14C-4C06720118F9}"/>
    <hyperlink ref="B1128" r:id="rId1168" display="../../../../:b:/g/personal/sarellano_no-mii_com/IQAgIQ0Au_EiRoLS8NMjQxiDATqT3LdMgzovRN4N7AivYm8?e=mifOhO" xr:uid="{FEDD9112-669D-5541-8B25-B1480388495E}"/>
    <hyperlink ref="B1145" r:id="rId1169" display="../../../../:b:/g/personal/sarellano_no-mii_com/IQDGILOirGHeQ7NzBNFLzyf2ASgriavyQ8cw34FYxq6GLEg?e=pcEtHv" xr:uid="{EDB8DEEB-2016-3D47-B6BF-FB617150E2B9}"/>
    <hyperlink ref="B1122" r:id="rId1170" xr:uid="{C3B8EF78-0C3D-484B-9823-00370FD9207F}"/>
    <hyperlink ref="B1146" r:id="rId1171" xr:uid="{BE910B8E-8A72-F843-B2BD-457A55FE4469}"/>
    <hyperlink ref="B1110" r:id="rId1172" xr:uid="{A6119711-F080-284B-9033-3495842F1884}"/>
    <hyperlink ref="B1132" r:id="rId1173" xr:uid="{7C110B50-E884-1B46-8FB3-38AAD8B4D10F}"/>
    <hyperlink ref="B1135" r:id="rId1174" display="https://bearzt-my.sharepoint.com/:b:/g/personal/sarellano_no-mii_com/IQCsEeo_wXDAR75QfSTn8LeXAQ585mT74dOovYwL2FDv5Xw?e=DBYlcA" xr:uid="{94046C33-7A10-4348-865D-35BAF3B490E5}"/>
    <hyperlink ref="B1134" r:id="rId1175" xr:uid="{CB9F0E32-FBEB-3249-827B-5C7DB2BBD659}"/>
    <hyperlink ref="B1137" r:id="rId1176" xr:uid="{F7477754-B2CA-7245-A6B4-997BFF25D1F5}"/>
    <hyperlink ref="B1131" r:id="rId1177" xr:uid="{4AD790D1-2727-E44C-9B68-3E821287CC79}"/>
    <hyperlink ref="B1112" r:id="rId1178" xr:uid="{E05AABC6-7F00-D448-B112-5B9EE2EC3DE3}"/>
    <hyperlink ref="B1121" r:id="rId1179" xr:uid="{7A77C42A-296C-7B4C-A9B3-FE9628C75ED6}"/>
    <hyperlink ref="B1120" r:id="rId1180" xr:uid="{5E404A84-9BE5-C545-9776-9ABBA2714FFF}"/>
    <hyperlink ref="B1119" r:id="rId1181" xr:uid="{6C073A5D-E6F0-E442-8617-E6B58B2B7E2C}"/>
    <hyperlink ref="B1117" r:id="rId1182" xr:uid="{613172C1-3E77-0A41-BF8D-B1C28AB53E99}"/>
    <hyperlink ref="B1118" r:id="rId1183" xr:uid="{F5210C54-7875-6D40-8C2B-6033AAEB40FC}"/>
    <hyperlink ref="B1126" r:id="rId1184" display="../../../../:b:/g/personal/sarellano_no-mii_com/IQBtvAWPy0XmSaob0bNPLZD0AQp05SFQ89KJucChF8jdL7c?e=e84VwN" xr:uid="{08E19B1D-8663-BF45-B98A-4C4C1FBCDC91}"/>
    <hyperlink ref="B1125" r:id="rId1185" xr:uid="{54EF1917-C730-0843-8EA7-266B6416ECC0}"/>
    <hyperlink ref="B1109" r:id="rId1186" display="../../../../:b:/g/personal/sarellano_no-mii_com/IQCrt7As_Qh_SaaT6f1OMVXCAZeRYY7s6n4G9oJBsYXeRDc?e=RhNUuf" xr:uid="{2A0AE797-A6E6-7644-95D4-FC3581ABCB30}"/>
    <hyperlink ref="B1107" r:id="rId1187" display="../../../../:b:/g/personal/sarellano_no-mii_com/IQBTn223msMCQY-d5yA6RdNsAcqEl6SwIJlAoSDtH6vHjB4?e=SsY4rc" xr:uid="{CF535ACB-37E1-A24D-83C6-21BDA214AFFE}"/>
    <hyperlink ref="B1111" r:id="rId1188" display="../../../../:b:/g/personal/sarellano_no-mii_com/IQAHAPNFCqJpRY_sOr-2mIPmAXzv8QhTbM33VocXznAwNRs?e=LT7D78" xr:uid="{C06AD7CC-FC68-0F40-A896-7F16011CD78A}"/>
    <hyperlink ref="B1116" r:id="rId1189" xr:uid="{47342129-FF58-E34D-9390-B164183DAC60}"/>
    <hyperlink ref="B1114" r:id="rId1190" xr:uid="{31A26752-96DB-BE48-B0DD-1B32E2AC4420}"/>
    <hyperlink ref="B1330" r:id="rId1191" xr:uid="{6FC47BA6-B17C-CC46-85C1-942A303D0F8E}"/>
    <hyperlink ref="B1328" r:id="rId1192" xr:uid="{9D31DB3A-33CF-584D-9FD1-B8613516D4D0}"/>
    <hyperlink ref="B1332" r:id="rId1193" display="../../../../:b:/g/personal/sarellano_no-mii_com/IQCFnTtBFWKZRIjg1ExMH0vQAe3b_vznTjmAatZYklXF-CQ?e=f3C4IP" xr:uid="{00410A2A-FC35-5D48-BF75-9DB3D46EB92A}"/>
    <hyperlink ref="B1331" r:id="rId1194" display="CC2026R201458554" xr:uid="{01EC6FDC-B992-7441-8523-A30C509145AB}"/>
    <hyperlink ref="B1333" r:id="rId1195" display="../../../../:b:/g/personal/sarellano_no-mii_com/IQA4gVeZDbegTpxYtClZPybMAXOoF3CovGM4BaxA1Ycu4eM?e=PNtU2W" xr:uid="{B19EA768-796E-FC4C-811E-3E2DC7148714}"/>
    <hyperlink ref="B1334" r:id="rId1196" display="../../../../:b:/g/personal/sarellano_no-mii_com/IQAqqI1Rs5pRQ5GTYHb6Clr6AXMFJkyw_j33t0UKAft_NXQ?e=FAHOmN" xr:uid="{8C99EAE0-DF67-4048-863A-210860D0E9DC}"/>
    <hyperlink ref="B1335" r:id="rId1197" display="../../../../:b:/g/personal/sarellano_no-mii_com/IQC7tZWPQ8NQQLVhVxt45RziAf9D1jC5858U3dJi-bS6qAI?e=Vq476a" xr:uid="{ECE6E6CB-5C6D-BC4D-9EA4-3567496CFCD7}"/>
    <hyperlink ref="B1336" r:id="rId1198" display="../../../../:b:/g/personal/sarellano_no-mii_com/IQAVq943ERsPTLNetoYCt9oeAdGPjFf6skqWNxVwQ3j3MlM?e=xiS8k8" xr:uid="{8B5F82E0-5C58-DB45-9E3F-5C214F744D3F}"/>
    <hyperlink ref="B1307" r:id="rId1199" display="../../../../:i:/g/personal/sarellano_no-mii_com/IQCiq7PUlZgaRomzdTo69kUSAbk4g-ABqrLJVE9WETtKXM0?e=1kJIpb" xr:uid="{CD970380-D612-E049-8FA9-23C4006513DB}"/>
    <hyperlink ref="B1337" r:id="rId1200" display="../../../../:b:/g/personal/sarellano_no-mii_com/IQC80ZoMmfVeRocpcEBUYJkcAUujFfvH7vDAonolcQn02A8?e=hhqiAY" xr:uid="{0D76E0DA-A650-A843-9170-2434BF472E91}"/>
    <hyperlink ref="B1341" r:id="rId1201" display="../../../../:i:/g/personal/sarellano_no-mii_com/IQCjlwtJkmbXSoF6RgZ50hyzAQKbQrUcXSnEVazYaBzUJ6I?e=Y9Vtmq" xr:uid="{3528E45E-CD7E-BA46-82B8-D9341530210E}"/>
    <hyperlink ref="B1010" r:id="rId1202" xr:uid="{754119FE-B072-8A42-BABE-F25C72D150D8}"/>
    <hyperlink ref="B1105" r:id="rId1203" xr:uid="{B06FAB96-CDAD-5841-825F-6CC09E80434C}"/>
    <hyperlink ref="B1351" r:id="rId1204" display="../../../../:i:/g/personal/sarellano_no-mii_com/IQCTqplNoN1HRr16gZfMkuDHAWZeL4YH3TPpj45JM9sw6o8?e=hpLBao" xr:uid="{4F664295-74C0-6641-96C2-EF8BC008195B}"/>
    <hyperlink ref="B1343" r:id="rId1205" display="../../../../:b:/g/personal/sarellano_no-mii_com/IQArQbPM6gb6QaaijvamtaX8AbCGLFaX8tnReeUwvou5Aww?e=FQdpZc" xr:uid="{58CBDF8F-B6D7-BA4B-A969-4C685FB1820C}"/>
    <hyperlink ref="B1342" r:id="rId1206" display="../../../../:b:/g/personal/sarellano_no-mii_com/IQAMvsV_VGcuQYKTD4inu1RPAYTqCU-q8_UqhxnHDw0mPm8?e=7gzuH0" xr:uid="{B3EA6798-561A-D540-9998-19A76DCD8F9D}"/>
    <hyperlink ref="B1352" r:id="rId1207" xr:uid="{923F896D-FBE2-9C40-8E57-4CA298978740}"/>
    <hyperlink ref="B1344" r:id="rId1208" xr:uid="{14F5A3C0-F5C9-B749-8671-01757D57DE6D}"/>
    <hyperlink ref="B1353" r:id="rId1209" xr:uid="{03A68630-77D6-EC41-B902-10A6CE96AACC}"/>
    <hyperlink ref="B1338" r:id="rId1210" xr:uid="{863A5677-4754-2E4D-8CAB-A5C3646E4229}"/>
    <hyperlink ref="B1346" r:id="rId1211" xr:uid="{8604C3B6-D7A8-BD44-8067-FE1B811F6BDB}"/>
    <hyperlink ref="B1350" r:id="rId1212" xr:uid="{71614FBB-6330-8546-86DF-9B7B257EFB79}"/>
    <hyperlink ref="B1349" r:id="rId1213" xr:uid="{077FF4FC-6B0D-6E4F-8FF3-52E778B58D66}"/>
    <hyperlink ref="B200" r:id="rId1214" xr:uid="{F20C48AF-1E94-2E46-9EE7-DC31580FF4F6}"/>
    <hyperlink ref="B291" r:id="rId1215" xr:uid="{72BD6C5C-E89C-2F44-91D3-E739ECD03202}"/>
    <hyperlink ref="B362" r:id="rId1216" xr:uid="{FCD961AE-0BAB-CD4E-9E2E-9101F99CEF32}"/>
    <hyperlink ref="B433" r:id="rId1217" xr:uid="{F98DC005-D51F-6643-80E1-9A3D45A0417E}"/>
    <hyperlink ref="B513" r:id="rId1218" xr:uid="{661C23BD-20AF-CA48-B07A-65F225CF2E86}"/>
    <hyperlink ref="B599" r:id="rId1219" xr:uid="{A421369D-C02A-D745-9B0F-3B088ED6B213}"/>
    <hyperlink ref="B725" r:id="rId1220" xr:uid="{DEDCAEAB-21B5-2944-9645-8E68992AAE57}"/>
    <hyperlink ref="B831" r:id="rId1221" xr:uid="{201B35D0-1609-CC4F-965A-2957B60C2F83}"/>
    <hyperlink ref="B924" r:id="rId1222" xr:uid="{5A23B257-D6EA-7C45-83B4-6A27F64A627B}"/>
    <hyperlink ref="B1018" r:id="rId1223" xr:uid="{A23F667A-75A1-4649-8181-F73884F422B4}"/>
    <hyperlink ref="B1196" r:id="rId1224" xr:uid="{BFB2BD56-F9AB-B345-B111-FB38BE3D06B4}"/>
    <hyperlink ref="B1308" r:id="rId1225" xr:uid="{61B89434-8670-DB4B-B4D1-31A8D09449E0}"/>
    <hyperlink ref="B1331" r:id="rId1226" xr:uid="{78C13168-8522-EF4F-8301-FEA595E4F505}"/>
    <hyperlink ref="B1355" r:id="rId1227" xr:uid="{6D3BD6AE-2745-704B-8DEC-500B0AE1180A}"/>
    <hyperlink ref="B1358" r:id="rId1228" display="../../../../:b:/g/personal/sarellano_no-mii_com/IQB0QSC1Xhx8Tr9Ye76Ez2UHASMuYbgG1uqebyKz20IQjWo?e=bDHgct" xr:uid="{9087D1E8-B4FA-1B43-8E9C-34A1B1B63985}"/>
    <hyperlink ref="B1356" r:id="rId1229" xr:uid="{6D40F5A6-5A9C-E141-8777-20A6DEFFAE7E}"/>
    <hyperlink ref="B1340" r:id="rId1230" display="../../../../:i:/g/personal/sarellano_no-mii_com/IQD6JFY4YA0xSYrt5CPgOfW7AYvBSA7FjJfIjz0UTo-PShU?e=XZ82Lq" xr:uid="{5FAC64C1-633F-7C44-9086-8EE8E8738250}"/>
    <hyperlink ref="B1354" r:id="rId1231" xr:uid="{780EC497-49B8-B744-ABB0-B43D05CD7E53}"/>
    <hyperlink ref="B1345" r:id="rId1232" xr:uid="{576C0A67-BF2D-5449-80BF-30C0EFFF2818}"/>
    <hyperlink ref="B1348" r:id="rId1233" xr:uid="{3D1D0A6B-9E45-D94D-81CA-002C33A0A340}"/>
  </hyperlinks>
  <pageMargins left="0.7" right="0.7" top="0.75" bottom="0.75" header="0.3" footer="0.3"/>
  <pageSetup orientation="portrait" horizontalDpi="0" verticalDpi="0"/>
  <legacyDrawing r:id="rId1234"/>
  <tableParts count="1">
    <tablePart r:id="rId123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B0A-F507-4A79-9D80-C77AE4BF2C8A}">
  <dimension ref="A1:B162"/>
  <sheetViews>
    <sheetView topLeftCell="A63" workbookViewId="0">
      <selection activeCell="F134" sqref="F134:F159"/>
    </sheetView>
  </sheetViews>
  <sheetFormatPr baseColWidth="10" defaultRowHeight="15"/>
  <cols>
    <col min="1" max="2" width="38.33203125" customWidth="1"/>
  </cols>
  <sheetData>
    <row r="1" spans="1:2">
      <c r="A1" s="567" t="s">
        <v>2680</v>
      </c>
      <c r="B1" s="567" t="s">
        <v>4821</v>
      </c>
    </row>
    <row r="2" spans="1:2">
      <c r="A2" s="564" t="s">
        <v>2698</v>
      </c>
      <c r="B2" s="563"/>
    </row>
    <row r="3" spans="1:2">
      <c r="A3" s="565" t="s">
        <v>2711</v>
      </c>
      <c r="B3" s="565"/>
    </row>
    <row r="4" spans="1:2">
      <c r="A4" s="565" t="s">
        <v>2718</v>
      </c>
      <c r="B4" s="565"/>
    </row>
    <row r="5" spans="1:2">
      <c r="A5" s="565" t="s">
        <v>2725</v>
      </c>
      <c r="B5" s="565"/>
    </row>
    <row r="6" spans="1:2">
      <c r="A6" s="565" t="s">
        <v>2733</v>
      </c>
      <c r="B6" s="565"/>
    </row>
    <row r="7" spans="1:2">
      <c r="A7" s="565" t="s">
        <v>2737</v>
      </c>
      <c r="B7" s="565"/>
    </row>
    <row r="8" spans="1:2">
      <c r="A8" s="565" t="s">
        <v>2753</v>
      </c>
      <c r="B8" s="565"/>
    </row>
    <row r="9" spans="1:2">
      <c r="A9" s="565" t="s">
        <v>2758</v>
      </c>
      <c r="B9" s="565"/>
    </row>
    <row r="10" spans="1:2">
      <c r="A10" s="565" t="s">
        <v>2766</v>
      </c>
      <c r="B10" s="565"/>
    </row>
    <row r="11" spans="1:2">
      <c r="A11" s="565" t="s">
        <v>2768</v>
      </c>
      <c r="B11" s="565"/>
    </row>
    <row r="12" spans="1:2">
      <c r="A12" s="565" t="s">
        <v>2774</v>
      </c>
      <c r="B12" s="565"/>
    </row>
    <row r="13" spans="1:2">
      <c r="A13" s="565" t="s">
        <v>2777</v>
      </c>
      <c r="B13" s="565"/>
    </row>
    <row r="14" spans="1:2">
      <c r="A14" s="565" t="s">
        <v>2782</v>
      </c>
      <c r="B14" s="565"/>
    </row>
    <row r="15" spans="1:2">
      <c r="A15" s="565" t="s">
        <v>2786</v>
      </c>
      <c r="B15" s="565"/>
    </row>
    <row r="16" spans="1:2">
      <c r="A16" s="565" t="s">
        <v>2790</v>
      </c>
      <c r="B16" s="565"/>
    </row>
    <row r="17" spans="1:2">
      <c r="A17" s="565" t="s">
        <v>2796</v>
      </c>
      <c r="B17" s="565"/>
    </row>
    <row r="18" spans="1:2">
      <c r="A18" s="565" t="s">
        <v>2801</v>
      </c>
      <c r="B18" s="565"/>
    </row>
    <row r="19" spans="1:2">
      <c r="A19" s="565" t="s">
        <v>2806</v>
      </c>
      <c r="B19" s="565"/>
    </row>
    <row r="20" spans="1:2">
      <c r="A20" s="565" t="s">
        <v>2812</v>
      </c>
      <c r="B20" s="565"/>
    </row>
    <row r="21" spans="1:2">
      <c r="A21" s="565" t="s">
        <v>2815</v>
      </c>
      <c r="B21" s="565"/>
    </row>
    <row r="22" spans="1:2">
      <c r="A22" s="565" t="s">
        <v>2830</v>
      </c>
      <c r="B22" s="565"/>
    </row>
    <row r="23" spans="1:2">
      <c r="A23" s="565" t="s">
        <v>2833</v>
      </c>
      <c r="B23" s="565"/>
    </row>
    <row r="24" spans="1:2">
      <c r="A24" s="565" t="s">
        <v>2839</v>
      </c>
      <c r="B24" s="565"/>
    </row>
    <row r="25" spans="1:2">
      <c r="A25" s="565" t="s">
        <v>2842</v>
      </c>
      <c r="B25" s="565"/>
    </row>
    <row r="26" spans="1:2">
      <c r="A26" s="565" t="s">
        <v>2847</v>
      </c>
      <c r="B26" s="565"/>
    </row>
    <row r="27" spans="1:2">
      <c r="A27" s="565" t="s">
        <v>2851</v>
      </c>
      <c r="B27" s="565"/>
    </row>
    <row r="28" spans="1:2">
      <c r="A28" s="565" t="s">
        <v>2862</v>
      </c>
      <c r="B28" s="565"/>
    </row>
    <row r="29" spans="1:2">
      <c r="A29" s="565" t="s">
        <v>2866</v>
      </c>
      <c r="B29" s="565"/>
    </row>
    <row r="30" spans="1:2">
      <c r="A30" s="565" t="s">
        <v>2884</v>
      </c>
      <c r="B30" s="565"/>
    </row>
    <row r="31" spans="1:2">
      <c r="A31" s="565" t="s">
        <v>2943</v>
      </c>
      <c r="B31" s="565"/>
    </row>
    <row r="32" spans="1:2">
      <c r="A32" s="565" t="s">
        <v>2956</v>
      </c>
      <c r="B32" s="565"/>
    </row>
    <row r="33" spans="1:2">
      <c r="A33" s="565" t="s">
        <v>2959</v>
      </c>
      <c r="B33" s="565"/>
    </row>
    <row r="34" spans="1:2">
      <c r="A34" s="565" t="s">
        <v>2980</v>
      </c>
      <c r="B34" s="565"/>
    </row>
    <row r="35" spans="1:2">
      <c r="A35" s="565" t="s">
        <v>2993</v>
      </c>
      <c r="B35" s="565"/>
    </row>
    <row r="36" spans="1:2">
      <c r="A36" s="565" t="s">
        <v>2996</v>
      </c>
      <c r="B36" s="565"/>
    </row>
    <row r="37" spans="1:2">
      <c r="A37" s="565" t="s">
        <v>3008</v>
      </c>
      <c r="B37" s="565"/>
    </row>
    <row r="38" spans="1:2">
      <c r="A38" s="565" t="s">
        <v>3035</v>
      </c>
      <c r="B38" s="565"/>
    </row>
    <row r="39" spans="1:2">
      <c r="A39" s="565" t="s">
        <v>3039</v>
      </c>
      <c r="B39" s="565"/>
    </row>
    <row r="40" spans="1:2">
      <c r="A40" s="565" t="s">
        <v>3054</v>
      </c>
      <c r="B40" s="565"/>
    </row>
    <row r="41" spans="1:2">
      <c r="A41" s="565" t="s">
        <v>3068</v>
      </c>
      <c r="B41" s="565"/>
    </row>
    <row r="42" spans="1:2">
      <c r="A42" s="565" t="s">
        <v>3074</v>
      </c>
      <c r="B42" s="565"/>
    </row>
    <row r="43" spans="1:2">
      <c r="A43" s="565" t="s">
        <v>3092</v>
      </c>
      <c r="B43" s="565"/>
    </row>
    <row r="44" spans="1:2">
      <c r="A44" s="565" t="s">
        <v>3109</v>
      </c>
      <c r="B44" s="565"/>
    </row>
    <row r="45" spans="1:2">
      <c r="A45" s="565" t="s">
        <v>3116</v>
      </c>
      <c r="B45" s="565"/>
    </row>
    <row r="46" spans="1:2">
      <c r="A46" s="565" t="s">
        <v>3119</v>
      </c>
      <c r="B46" s="565"/>
    </row>
    <row r="47" spans="1:2">
      <c r="A47" s="565" t="s">
        <v>3125</v>
      </c>
      <c r="B47" s="565"/>
    </row>
    <row r="48" spans="1:2">
      <c r="A48" s="565" t="s">
        <v>3128</v>
      </c>
      <c r="B48" s="565"/>
    </row>
    <row r="49" spans="1:2">
      <c r="A49" s="565" t="s">
        <v>3133</v>
      </c>
      <c r="B49" s="565"/>
    </row>
    <row r="50" spans="1:2">
      <c r="A50" s="565" t="s">
        <v>3137</v>
      </c>
      <c r="B50" s="565"/>
    </row>
    <row r="51" spans="1:2">
      <c r="A51" s="565" t="s">
        <v>3140</v>
      </c>
      <c r="B51" s="565"/>
    </row>
    <row r="52" spans="1:2">
      <c r="A52" s="565" t="s">
        <v>3193</v>
      </c>
      <c r="B52" s="565"/>
    </row>
    <row r="53" spans="1:2">
      <c r="A53" s="565" t="s">
        <v>3237</v>
      </c>
      <c r="B53" s="565"/>
    </row>
    <row r="54" spans="1:2">
      <c r="A54" s="565" t="s">
        <v>3248</v>
      </c>
      <c r="B54" s="565"/>
    </row>
    <row r="55" spans="1:2">
      <c r="A55" s="565" t="s">
        <v>3269</v>
      </c>
      <c r="B55" s="565"/>
    </row>
    <row r="56" spans="1:2">
      <c r="A56" s="565" t="s">
        <v>3271</v>
      </c>
      <c r="B56" s="565"/>
    </row>
    <row r="57" spans="1:2">
      <c r="A57" s="565" t="s">
        <v>3349</v>
      </c>
      <c r="B57" s="565"/>
    </row>
    <row r="58" spans="1:2">
      <c r="A58" s="565" t="s">
        <v>3402</v>
      </c>
      <c r="B58" s="565"/>
    </row>
    <row r="59" spans="1:2">
      <c r="A59" s="565" t="s">
        <v>3414</v>
      </c>
      <c r="B59" s="565"/>
    </row>
    <row r="60" spans="1:2">
      <c r="A60" s="565" t="s">
        <v>3419</v>
      </c>
      <c r="B60" s="565"/>
    </row>
    <row r="61" spans="1:2">
      <c r="A61" s="565" t="s">
        <v>3436</v>
      </c>
      <c r="B61" s="565"/>
    </row>
    <row r="62" spans="1:2">
      <c r="A62" s="565" t="s">
        <v>3439</v>
      </c>
      <c r="B62" s="565"/>
    </row>
    <row r="63" spans="1:2">
      <c r="A63" s="565" t="s">
        <v>3462</v>
      </c>
      <c r="B63" s="565"/>
    </row>
    <row r="64" spans="1:2">
      <c r="A64" s="565" t="s">
        <v>3492</v>
      </c>
      <c r="B64" s="565"/>
    </row>
    <row r="65" spans="1:2">
      <c r="A65" s="565" t="s">
        <v>3508</v>
      </c>
      <c r="B65" s="565"/>
    </row>
    <row r="66" spans="1:2">
      <c r="A66" s="565" t="s">
        <v>3516</v>
      </c>
      <c r="B66" s="565"/>
    </row>
    <row r="67" spans="1:2">
      <c r="A67" s="565" t="s">
        <v>3519</v>
      </c>
      <c r="B67" s="565"/>
    </row>
    <row r="68" spans="1:2">
      <c r="A68" s="565" t="s">
        <v>3527</v>
      </c>
      <c r="B68" s="565"/>
    </row>
    <row r="69" spans="1:2">
      <c r="A69" s="565" t="s">
        <v>3544</v>
      </c>
      <c r="B69" s="565"/>
    </row>
    <row r="70" spans="1:2">
      <c r="A70" s="565" t="s">
        <v>3557</v>
      </c>
      <c r="B70" s="565"/>
    </row>
    <row r="71" spans="1:2">
      <c r="A71" s="565" t="s">
        <v>3562</v>
      </c>
      <c r="B71" s="565"/>
    </row>
    <row r="72" spans="1:2">
      <c r="A72" s="565" t="s">
        <v>3566</v>
      </c>
      <c r="B72" s="565"/>
    </row>
    <row r="73" spans="1:2">
      <c r="A73" s="565" t="s">
        <v>3579</v>
      </c>
      <c r="B73" s="565"/>
    </row>
    <row r="74" spans="1:2">
      <c r="A74" s="565" t="s">
        <v>3575</v>
      </c>
      <c r="B74" s="565"/>
    </row>
    <row r="75" spans="1:2">
      <c r="A75" s="565" t="s">
        <v>3599</v>
      </c>
      <c r="B75" s="565"/>
    </row>
    <row r="76" spans="1:2">
      <c r="A76" s="565" t="s">
        <v>3609</v>
      </c>
      <c r="B76" s="565"/>
    </row>
    <row r="77" spans="1:2">
      <c r="A77" s="565" t="s">
        <v>3620</v>
      </c>
      <c r="B77" s="565"/>
    </row>
    <row r="78" spans="1:2">
      <c r="A78" s="565" t="s">
        <v>3625</v>
      </c>
      <c r="B78" s="565"/>
    </row>
    <row r="79" spans="1:2">
      <c r="A79" s="565" t="s">
        <v>3628</v>
      </c>
      <c r="B79" s="565"/>
    </row>
    <row r="80" spans="1:2">
      <c r="A80" s="565" t="s">
        <v>3638</v>
      </c>
      <c r="B80" s="565"/>
    </row>
    <row r="81" spans="1:2">
      <c r="A81" s="565" t="s">
        <v>3665</v>
      </c>
      <c r="B81" s="565"/>
    </row>
    <row r="82" spans="1:2">
      <c r="A82" s="566" t="s">
        <v>3678</v>
      </c>
      <c r="B82" s="566"/>
    </row>
    <row r="83" spans="1:2">
      <c r="A83" s="565" t="s">
        <v>3680</v>
      </c>
      <c r="B83" s="565"/>
    </row>
    <row r="84" spans="1:2">
      <c r="A84" s="565" t="s">
        <v>3683</v>
      </c>
      <c r="B84" s="565"/>
    </row>
    <row r="85" spans="1:2">
      <c r="A85" s="565" t="s">
        <v>3688</v>
      </c>
      <c r="B85" s="565"/>
    </row>
    <row r="86" spans="1:2">
      <c r="A86" s="565" t="s">
        <v>3690</v>
      </c>
      <c r="B86" s="565"/>
    </row>
    <row r="87" spans="1:2">
      <c r="A87" s="565" t="s">
        <v>3694</v>
      </c>
      <c r="B87" s="565"/>
    </row>
    <row r="88" spans="1:2">
      <c r="A88" s="565" t="s">
        <v>3710</v>
      </c>
      <c r="B88" s="565"/>
    </row>
    <row r="89" spans="1:2">
      <c r="A89" s="565" t="s">
        <v>3717</v>
      </c>
      <c r="B89" s="565"/>
    </row>
    <row r="90" spans="1:2">
      <c r="A90" s="565" t="s">
        <v>3718</v>
      </c>
      <c r="B90" s="565"/>
    </row>
    <row r="91" spans="1:2">
      <c r="A91" s="565" t="s">
        <v>3723</v>
      </c>
      <c r="B91" s="565"/>
    </row>
    <row r="92" spans="1:2">
      <c r="A92" s="565" t="s">
        <v>3737</v>
      </c>
      <c r="B92" s="565"/>
    </row>
    <row r="93" spans="1:2">
      <c r="A93" s="565" t="s">
        <v>3745</v>
      </c>
      <c r="B93" s="565"/>
    </row>
    <row r="94" spans="1:2">
      <c r="A94" s="565" t="s">
        <v>3750</v>
      </c>
      <c r="B94" s="565"/>
    </row>
    <row r="95" spans="1:2">
      <c r="A95" s="565" t="s">
        <v>3755</v>
      </c>
      <c r="B95" s="565"/>
    </row>
    <row r="96" spans="1:2">
      <c r="A96" s="565" t="s">
        <v>3764</v>
      </c>
      <c r="B96" s="565"/>
    </row>
    <row r="97" spans="1:2">
      <c r="A97" s="565" t="s">
        <v>3770</v>
      </c>
      <c r="B97" s="565"/>
    </row>
    <row r="98" spans="1:2">
      <c r="A98" s="565" t="s">
        <v>3774</v>
      </c>
      <c r="B98" s="565"/>
    </row>
    <row r="99" spans="1:2">
      <c r="A99" s="565" t="s">
        <v>3776</v>
      </c>
      <c r="B99" s="565"/>
    </row>
    <row r="100" spans="1:2">
      <c r="A100" s="565" t="s">
        <v>3783</v>
      </c>
      <c r="B100" s="565"/>
    </row>
    <row r="101" spans="1:2">
      <c r="A101" s="565" t="s">
        <v>3784</v>
      </c>
      <c r="B101" s="565"/>
    </row>
    <row r="102" spans="1:2">
      <c r="A102" s="565" t="s">
        <v>3791</v>
      </c>
      <c r="B102" s="565"/>
    </row>
    <row r="103" spans="1:2">
      <c r="A103" s="565" t="s">
        <v>3792</v>
      </c>
      <c r="B103" s="565"/>
    </row>
    <row r="104" spans="1:2">
      <c r="A104" s="565" t="s">
        <v>3797</v>
      </c>
      <c r="B104" s="565"/>
    </row>
    <row r="105" spans="1:2">
      <c r="A105" s="565" t="s">
        <v>3809</v>
      </c>
      <c r="B105" s="565"/>
    </row>
    <row r="106" spans="1:2">
      <c r="A106" s="565" t="s">
        <v>3825</v>
      </c>
      <c r="B106" s="565"/>
    </row>
    <row r="107" spans="1:2">
      <c r="A107" s="565" t="s">
        <v>3833</v>
      </c>
      <c r="B107" s="565"/>
    </row>
    <row r="108" spans="1:2">
      <c r="A108" s="565" t="s">
        <v>3257</v>
      </c>
      <c r="B108" s="565"/>
    </row>
    <row r="109" spans="1:2">
      <c r="A109" s="565" t="s">
        <v>3844</v>
      </c>
      <c r="B109" s="565"/>
    </row>
    <row r="110" spans="1:2">
      <c r="A110" s="565" t="s">
        <v>3859</v>
      </c>
      <c r="B110" s="565"/>
    </row>
    <row r="111" spans="1:2">
      <c r="A111" s="565" t="s">
        <v>3864</v>
      </c>
      <c r="B111" s="565"/>
    </row>
    <row r="112" spans="1:2">
      <c r="A112" s="565" t="s">
        <v>3869</v>
      </c>
      <c r="B112" s="565"/>
    </row>
    <row r="113" spans="1:2">
      <c r="A113" s="565" t="s">
        <v>3873</v>
      </c>
      <c r="B113" s="565"/>
    </row>
    <row r="114" spans="1:2">
      <c r="A114" s="565" t="s">
        <v>3875</v>
      </c>
      <c r="B114" s="565"/>
    </row>
    <row r="115" spans="1:2">
      <c r="A115" s="565" t="s">
        <v>3878</v>
      </c>
      <c r="B115" s="565"/>
    </row>
    <row r="116" spans="1:2">
      <c r="A116" s="565" t="s">
        <v>3884</v>
      </c>
      <c r="B116" s="565"/>
    </row>
    <row r="117" spans="1:2">
      <c r="A117" s="565" t="s">
        <v>3887</v>
      </c>
      <c r="B117" s="565"/>
    </row>
    <row r="118" spans="1:2">
      <c r="A118" s="565" t="s">
        <v>3888</v>
      </c>
      <c r="B118" s="565"/>
    </row>
    <row r="119" spans="1:2">
      <c r="A119" s="565" t="s">
        <v>3889</v>
      </c>
      <c r="B119" s="565"/>
    </row>
    <row r="120" spans="1:2">
      <c r="A120" s="565" t="s">
        <v>3890</v>
      </c>
      <c r="B120" s="565"/>
    </row>
    <row r="121" spans="1:2">
      <c r="A121" s="565" t="s">
        <v>3892</v>
      </c>
      <c r="B121" s="565"/>
    </row>
    <row r="122" spans="1:2">
      <c r="A122" s="565" t="s">
        <v>3898</v>
      </c>
      <c r="B122" s="565"/>
    </row>
    <row r="123" spans="1:2">
      <c r="A123" s="565" t="s">
        <v>3903</v>
      </c>
      <c r="B123" s="565"/>
    </row>
    <row r="124" spans="1:2">
      <c r="A124" s="565" t="s">
        <v>3917</v>
      </c>
      <c r="B124" s="565"/>
    </row>
    <row r="125" spans="1:2">
      <c r="A125" s="565" t="s">
        <v>3920</v>
      </c>
      <c r="B125" s="565"/>
    </row>
    <row r="126" spans="1:2">
      <c r="A126" s="565" t="s">
        <v>3692</v>
      </c>
      <c r="B126" s="565"/>
    </row>
    <row r="127" spans="1:2">
      <c r="A127" s="565" t="s">
        <v>3922</v>
      </c>
      <c r="B127" s="565"/>
    </row>
    <row r="128" spans="1:2">
      <c r="A128" s="565" t="s">
        <v>3926</v>
      </c>
      <c r="B128" s="565"/>
    </row>
    <row r="129" spans="1:2">
      <c r="A129" s="565" t="s">
        <v>3930</v>
      </c>
      <c r="B129" s="565"/>
    </row>
    <row r="130" spans="1:2">
      <c r="A130" s="565" t="s">
        <v>3934</v>
      </c>
      <c r="B130" s="565"/>
    </row>
    <row r="131" spans="1:2">
      <c r="A131" s="565" t="s">
        <v>3940</v>
      </c>
      <c r="B131" s="565"/>
    </row>
    <row r="132" spans="1:2">
      <c r="A132" s="565" t="s">
        <v>4136</v>
      </c>
      <c r="B132" s="565"/>
    </row>
    <row r="133" spans="1:2">
      <c r="A133" s="565" t="s">
        <v>3974</v>
      </c>
      <c r="B133" s="565"/>
    </row>
    <row r="134" spans="1:2">
      <c r="A134" s="565" t="s">
        <v>3993</v>
      </c>
      <c r="B134" s="565"/>
    </row>
    <row r="135" spans="1:2">
      <c r="A135" s="565" t="s">
        <v>3996</v>
      </c>
      <c r="B135" s="565"/>
    </row>
    <row r="136" spans="1:2">
      <c r="A136" s="565" t="s">
        <v>4019</v>
      </c>
      <c r="B136" s="565"/>
    </row>
    <row r="137" spans="1:2">
      <c r="A137" s="565" t="s">
        <v>4021</v>
      </c>
      <c r="B137" s="565"/>
    </row>
    <row r="138" spans="1:2">
      <c r="A138" s="565" t="s">
        <v>4030</v>
      </c>
      <c r="B138" s="565"/>
    </row>
    <row r="139" spans="1:2">
      <c r="A139" s="565" t="s">
        <v>4032</v>
      </c>
      <c r="B139" s="565"/>
    </row>
    <row r="140" spans="1:2">
      <c r="A140" s="565" t="s">
        <v>4035</v>
      </c>
      <c r="B140" s="565"/>
    </row>
    <row r="141" spans="1:2">
      <c r="A141" s="565" t="s">
        <v>4038</v>
      </c>
      <c r="B141" s="565"/>
    </row>
    <row r="142" spans="1:2">
      <c r="A142" s="565" t="s">
        <v>4042</v>
      </c>
      <c r="B142" s="565"/>
    </row>
    <row r="143" spans="1:2">
      <c r="A143" s="565" t="s">
        <v>4062</v>
      </c>
      <c r="B143" s="565"/>
    </row>
    <row r="144" spans="1:2">
      <c r="A144" s="565" t="s">
        <v>4067</v>
      </c>
      <c r="B144" s="565"/>
    </row>
    <row r="145" spans="1:2">
      <c r="A145" s="565" t="s">
        <v>4070</v>
      </c>
      <c r="B145" s="565"/>
    </row>
    <row r="146" spans="1:2">
      <c r="A146" s="565" t="s">
        <v>4078</v>
      </c>
      <c r="B146" s="565"/>
    </row>
    <row r="147" spans="1:2">
      <c r="A147" s="565" t="s">
        <v>4093</v>
      </c>
      <c r="B147" s="565"/>
    </row>
    <row r="148" spans="1:2">
      <c r="A148" s="565" t="s">
        <v>4096</v>
      </c>
      <c r="B148" s="565"/>
    </row>
    <row r="149" spans="1:2">
      <c r="A149" s="565" t="s">
        <v>4140</v>
      </c>
      <c r="B149" s="565"/>
    </row>
    <row r="150" spans="1:2">
      <c r="A150" s="565" t="s">
        <v>4144</v>
      </c>
      <c r="B150" s="565"/>
    </row>
    <row r="151" spans="1:2">
      <c r="A151" s="565" t="s">
        <v>4166</v>
      </c>
      <c r="B151" s="565"/>
    </row>
    <row r="152" spans="1:2">
      <c r="A152" s="565" t="s">
        <v>4197</v>
      </c>
      <c r="B152" s="565"/>
    </row>
    <row r="153" spans="1:2">
      <c r="A153" s="565" t="s">
        <v>4202</v>
      </c>
      <c r="B153" s="565"/>
    </row>
    <row r="154" spans="1:2">
      <c r="A154" s="565" t="s">
        <v>4214</v>
      </c>
      <c r="B154" s="565"/>
    </row>
    <row r="155" spans="1:2">
      <c r="A155" s="565" t="s">
        <v>4224</v>
      </c>
      <c r="B155" s="565"/>
    </row>
    <row r="156" spans="1:2">
      <c r="A156" s="565" t="s">
        <v>4489</v>
      </c>
      <c r="B156" s="565"/>
    </row>
    <row r="157" spans="1:2">
      <c r="A157" s="565" t="s">
        <v>4503</v>
      </c>
      <c r="B157" s="565"/>
    </row>
    <row r="158" spans="1:2">
      <c r="A158" s="565" t="s">
        <v>4506</v>
      </c>
      <c r="B158" s="565"/>
    </row>
    <row r="159" spans="1:2">
      <c r="A159" s="565" t="s">
        <v>4668</v>
      </c>
      <c r="B159" s="565"/>
    </row>
    <row r="160" spans="1:2">
      <c r="A160" s="565" t="s">
        <v>4715</v>
      </c>
      <c r="B160" s="565"/>
    </row>
    <row r="161" spans="1:2">
      <c r="A161" s="565" t="s">
        <v>4785</v>
      </c>
      <c r="B161" s="565"/>
    </row>
    <row r="162" spans="1:2">
      <c r="A162" s="562" t="s">
        <v>4783</v>
      </c>
      <c r="B162" s="562"/>
    </row>
  </sheetData>
  <dataValidations count="1">
    <dataValidation type="list" allowBlank="1" showInputMessage="1" showErrorMessage="1" sqref="B1:B1048576" xr:uid="{4B9D126F-8B78-4976-ADA8-9283A45DCC49}">
      <formula1>"DE_19,DE_7,EU_13B,EU_13B,EXPORT_NO_VAT,SALARY,VAT_EXEMPT,TRAVEL_SPECIAL,INTERCOMPANY"</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2CADE-45E8-484E-8D2C-0ABEACD77A8A}">
  <dimension ref="A1:AL159"/>
  <sheetViews>
    <sheetView zoomScale="60" workbookViewId="0">
      <selection activeCell="W18" sqref="W18"/>
    </sheetView>
  </sheetViews>
  <sheetFormatPr baseColWidth="10" defaultColWidth="11.6640625" defaultRowHeight="15"/>
  <cols>
    <col min="13" max="13" width="16.33203125" bestFit="1" customWidth="1"/>
    <col min="21" max="21" width="19.6640625" bestFit="1" customWidth="1"/>
    <col min="22" max="22" width="19.1640625" bestFit="1" customWidth="1"/>
  </cols>
  <sheetData>
    <row r="1" spans="1:38" ht="15" customHeight="1" thickBot="1">
      <c r="A1" s="744" t="s">
        <v>6051</v>
      </c>
      <c r="B1" s="744" t="s">
        <v>6052</v>
      </c>
      <c r="C1" s="744" t="s">
        <v>6053</v>
      </c>
      <c r="D1" s="746" t="s">
        <v>6054</v>
      </c>
      <c r="E1" s="746" t="s">
        <v>6055</v>
      </c>
      <c r="F1" s="744" t="s">
        <v>6056</v>
      </c>
      <c r="G1" s="744" t="s">
        <v>6057</v>
      </c>
      <c r="H1" s="742" t="s">
        <v>6058</v>
      </c>
      <c r="I1" s="742" t="s">
        <v>6059</v>
      </c>
      <c r="J1" s="742" t="s">
        <v>6060</v>
      </c>
      <c r="K1" s="742" t="s">
        <v>6061</v>
      </c>
      <c r="L1" s="742" t="s">
        <v>6062</v>
      </c>
      <c r="M1" s="742" t="s">
        <v>6063</v>
      </c>
      <c r="N1" s="653" t="s">
        <v>6064</v>
      </c>
      <c r="O1" s="653" t="s">
        <v>6064</v>
      </c>
      <c r="P1" s="653" t="s">
        <v>6064</v>
      </c>
      <c r="Q1" s="653" t="s">
        <v>6064</v>
      </c>
      <c r="R1" s="750" t="s">
        <v>6065</v>
      </c>
      <c r="S1" s="750" t="s">
        <v>6066</v>
      </c>
      <c r="T1" s="750" t="s">
        <v>6067</v>
      </c>
      <c r="U1" s="750" t="s">
        <v>6068</v>
      </c>
      <c r="V1" s="750" t="s">
        <v>6069</v>
      </c>
      <c r="W1" s="748" t="s">
        <v>6070</v>
      </c>
      <c r="X1" s="654">
        <v>2025</v>
      </c>
      <c r="Y1" s="655">
        <v>2025</v>
      </c>
      <c r="Z1" s="654">
        <v>2025</v>
      </c>
      <c r="AA1" s="655">
        <v>2025</v>
      </c>
      <c r="AB1" s="654">
        <v>2025</v>
      </c>
      <c r="AC1" s="655">
        <v>2025</v>
      </c>
      <c r="AD1" s="654">
        <v>2025</v>
      </c>
      <c r="AE1" s="655">
        <v>2025</v>
      </c>
      <c r="AF1" s="654">
        <v>2025</v>
      </c>
      <c r="AG1" s="655">
        <v>2025</v>
      </c>
      <c r="AH1" s="654">
        <v>2025</v>
      </c>
      <c r="AI1" s="655">
        <v>2025</v>
      </c>
      <c r="AJ1" s="656">
        <v>2026</v>
      </c>
      <c r="AK1" s="656">
        <v>2026</v>
      </c>
      <c r="AL1" s="656">
        <v>2026</v>
      </c>
    </row>
    <row r="2" spans="1:38" ht="39" customHeight="1" thickBot="1">
      <c r="A2" s="745"/>
      <c r="B2" s="745"/>
      <c r="C2" s="745"/>
      <c r="D2" s="747"/>
      <c r="E2" s="747"/>
      <c r="F2" s="745"/>
      <c r="G2" s="745"/>
      <c r="H2" s="743"/>
      <c r="I2" s="743"/>
      <c r="J2" s="743"/>
      <c r="K2" s="743"/>
      <c r="L2" s="743"/>
      <c r="M2" s="743"/>
      <c r="N2" s="657" t="s">
        <v>6071</v>
      </c>
      <c r="O2" s="657" t="s">
        <v>6072</v>
      </c>
      <c r="P2" s="657" t="s">
        <v>6073</v>
      </c>
      <c r="Q2" s="657" t="s">
        <v>6074</v>
      </c>
      <c r="R2" s="751"/>
      <c r="S2" s="751"/>
      <c r="T2" s="751"/>
      <c r="U2" s="751"/>
      <c r="V2" s="751"/>
      <c r="W2" s="749"/>
      <c r="X2" s="658" t="s">
        <v>6075</v>
      </c>
      <c r="Y2" s="658" t="s">
        <v>6076</v>
      </c>
      <c r="Z2" s="658" t="s">
        <v>6077</v>
      </c>
      <c r="AA2" s="658" t="s">
        <v>6078</v>
      </c>
      <c r="AB2" s="658" t="s">
        <v>6079</v>
      </c>
      <c r="AC2" s="658" t="s">
        <v>6080</v>
      </c>
      <c r="AD2" s="658" t="s">
        <v>6081</v>
      </c>
      <c r="AE2" s="658" t="s">
        <v>6082</v>
      </c>
      <c r="AF2" s="658" t="s">
        <v>6083</v>
      </c>
      <c r="AG2" s="658" t="s">
        <v>6084</v>
      </c>
      <c r="AH2" s="658" t="s">
        <v>6085</v>
      </c>
      <c r="AI2" s="658" t="s">
        <v>6086</v>
      </c>
      <c r="AJ2" s="659" t="s">
        <v>6075</v>
      </c>
      <c r="AK2" s="660"/>
      <c r="AL2" s="659" t="s">
        <v>6076</v>
      </c>
    </row>
    <row r="3" spans="1:38" ht="30" thickBot="1">
      <c r="A3" s="661" t="s">
        <v>6087</v>
      </c>
      <c r="B3" s="662" t="s">
        <v>6088</v>
      </c>
      <c r="C3" s="662" t="s">
        <v>6089</v>
      </c>
      <c r="D3" s="663">
        <v>1777591</v>
      </c>
      <c r="E3" s="664" t="s">
        <v>6090</v>
      </c>
      <c r="F3" s="664" t="s">
        <v>6091</v>
      </c>
      <c r="G3" s="664" t="s">
        <v>6092</v>
      </c>
      <c r="H3" s="664">
        <v>64</v>
      </c>
      <c r="I3" s="664">
        <v>64</v>
      </c>
      <c r="J3" s="664">
        <v>0</v>
      </c>
      <c r="K3" s="664">
        <v>13</v>
      </c>
      <c r="L3" s="664">
        <v>16</v>
      </c>
      <c r="M3" s="665">
        <v>46098.954861111109</v>
      </c>
      <c r="N3" s="664">
        <v>14</v>
      </c>
      <c r="O3" s="664">
        <v>3</v>
      </c>
      <c r="P3" s="664">
        <v>0</v>
      </c>
      <c r="Q3" s="666">
        <v>17</v>
      </c>
      <c r="R3" s="667">
        <v>11</v>
      </c>
      <c r="S3" s="664">
        <v>223</v>
      </c>
      <c r="T3" s="664">
        <v>0</v>
      </c>
      <c r="U3" s="665">
        <v>45752.583333333336</v>
      </c>
      <c r="V3" s="665">
        <v>46084.875</v>
      </c>
      <c r="W3" s="663">
        <v>0</v>
      </c>
      <c r="X3" s="663">
        <v>0</v>
      </c>
      <c r="Y3" s="663">
        <v>0</v>
      </c>
      <c r="Z3" s="663">
        <v>0</v>
      </c>
      <c r="AA3" s="668">
        <v>19</v>
      </c>
      <c r="AB3" s="668">
        <v>22</v>
      </c>
      <c r="AC3" s="668">
        <v>21</v>
      </c>
      <c r="AD3" s="668">
        <v>28</v>
      </c>
      <c r="AE3" s="668">
        <v>21</v>
      </c>
      <c r="AF3" s="668">
        <v>21</v>
      </c>
      <c r="AG3" s="668">
        <v>26</v>
      </c>
      <c r="AH3" s="668">
        <v>17</v>
      </c>
      <c r="AI3" s="668">
        <v>25</v>
      </c>
      <c r="AJ3" s="668">
        <v>10</v>
      </c>
      <c r="AK3" s="668">
        <v>12</v>
      </c>
      <c r="AL3" s="668">
        <v>1</v>
      </c>
    </row>
    <row r="4" spans="1:38" ht="30" thickBot="1">
      <c r="A4" s="661" t="s">
        <v>6093</v>
      </c>
      <c r="B4" s="662" t="s">
        <v>6094</v>
      </c>
      <c r="C4" s="662" t="s">
        <v>6095</v>
      </c>
      <c r="D4" s="663">
        <v>1845676</v>
      </c>
      <c r="E4" s="664" t="s">
        <v>6090</v>
      </c>
      <c r="F4" s="664" t="s">
        <v>6096</v>
      </c>
      <c r="G4" s="664" t="s">
        <v>6097</v>
      </c>
      <c r="H4" s="664">
        <v>60</v>
      </c>
      <c r="I4" s="664">
        <v>60</v>
      </c>
      <c r="J4" s="664">
        <v>0</v>
      </c>
      <c r="K4" s="664">
        <v>4</v>
      </c>
      <c r="L4" s="664">
        <v>9</v>
      </c>
      <c r="M4" s="665">
        <v>46121.915972222225</v>
      </c>
      <c r="N4" s="664">
        <v>0</v>
      </c>
      <c r="O4" s="664">
        <v>5</v>
      </c>
      <c r="P4" s="664">
        <v>27</v>
      </c>
      <c r="Q4" s="666">
        <v>32</v>
      </c>
      <c r="R4" s="664">
        <v>0</v>
      </c>
      <c r="S4" s="664">
        <v>57</v>
      </c>
      <c r="T4" s="664">
        <v>27</v>
      </c>
      <c r="U4" s="665">
        <v>45997.208333333336</v>
      </c>
      <c r="V4" s="665">
        <v>46069.625</v>
      </c>
      <c r="W4" s="663">
        <v>0</v>
      </c>
      <c r="X4" s="663">
        <v>0</v>
      </c>
      <c r="Y4" s="663">
        <v>0</v>
      </c>
      <c r="Z4" s="663">
        <v>0</v>
      </c>
      <c r="AA4" s="663">
        <v>0</v>
      </c>
      <c r="AB4" s="663">
        <v>0</v>
      </c>
      <c r="AC4" s="663">
        <v>0</v>
      </c>
      <c r="AD4" s="663">
        <v>0</v>
      </c>
      <c r="AE4" s="663">
        <v>0</v>
      </c>
      <c r="AF4" s="663">
        <v>0</v>
      </c>
      <c r="AG4" s="663">
        <v>0</v>
      </c>
      <c r="AH4" s="663">
        <v>0</v>
      </c>
      <c r="AI4" s="668">
        <v>31</v>
      </c>
      <c r="AJ4" s="668">
        <v>18</v>
      </c>
      <c r="AK4" s="668">
        <v>8</v>
      </c>
      <c r="AL4" s="663">
        <v>0</v>
      </c>
    </row>
    <row r="5" spans="1:38" ht="30" thickBot="1">
      <c r="A5" s="661" t="s">
        <v>6098</v>
      </c>
      <c r="B5" s="662" t="s">
        <v>6099</v>
      </c>
      <c r="C5" s="662" t="s">
        <v>6100</v>
      </c>
      <c r="D5" s="663">
        <v>1784874</v>
      </c>
      <c r="E5" s="664" t="s">
        <v>6090</v>
      </c>
      <c r="F5" s="664" t="s">
        <v>6101</v>
      </c>
      <c r="G5" s="664" t="s">
        <v>6101</v>
      </c>
      <c r="H5" s="664">
        <v>50</v>
      </c>
      <c r="I5" s="664">
        <v>50</v>
      </c>
      <c r="J5" s="664">
        <v>0</v>
      </c>
      <c r="K5" s="664">
        <v>9</v>
      </c>
      <c r="L5" s="664">
        <v>14</v>
      </c>
      <c r="M5" s="665">
        <v>46085.954861111109</v>
      </c>
      <c r="N5" s="664">
        <v>0</v>
      </c>
      <c r="O5" s="664">
        <v>5</v>
      </c>
      <c r="P5" s="664">
        <v>1</v>
      </c>
      <c r="Q5" s="666">
        <v>6</v>
      </c>
      <c r="R5" s="664">
        <v>0</v>
      </c>
      <c r="S5" s="664">
        <v>40</v>
      </c>
      <c r="T5" s="664">
        <v>1</v>
      </c>
      <c r="U5" s="665">
        <v>45842.416666666664</v>
      </c>
      <c r="V5" s="665">
        <v>45910.5</v>
      </c>
      <c r="W5" s="663">
        <v>0</v>
      </c>
      <c r="X5" s="663">
        <v>0</v>
      </c>
      <c r="Y5" s="663">
        <v>0</v>
      </c>
      <c r="Z5" s="663">
        <v>0</v>
      </c>
      <c r="AA5" s="663">
        <v>0</v>
      </c>
      <c r="AB5" s="663">
        <v>0</v>
      </c>
      <c r="AC5" s="663">
        <v>0</v>
      </c>
      <c r="AD5" s="668">
        <v>17</v>
      </c>
      <c r="AE5" s="668">
        <v>19</v>
      </c>
      <c r="AF5" s="668">
        <v>4</v>
      </c>
      <c r="AG5" s="663">
        <v>0</v>
      </c>
      <c r="AH5" s="663">
        <v>0</v>
      </c>
      <c r="AI5" s="663">
        <v>0</v>
      </c>
      <c r="AJ5" s="663">
        <v>0</v>
      </c>
      <c r="AK5" s="663">
        <v>0</v>
      </c>
      <c r="AL5" s="663">
        <v>0</v>
      </c>
    </row>
    <row r="6" spans="1:38" ht="44" thickBot="1">
      <c r="A6" s="661" t="s">
        <v>6102</v>
      </c>
      <c r="B6" s="662" t="s">
        <v>6103</v>
      </c>
      <c r="C6" s="662" t="s">
        <v>6104</v>
      </c>
      <c r="D6" s="663">
        <v>1790500</v>
      </c>
      <c r="E6" s="664" t="s">
        <v>6090</v>
      </c>
      <c r="F6" s="664" t="s">
        <v>6091</v>
      </c>
      <c r="G6" s="664" t="s">
        <v>6105</v>
      </c>
      <c r="H6" s="664">
        <v>50</v>
      </c>
      <c r="I6" s="664">
        <v>50</v>
      </c>
      <c r="J6" s="664">
        <v>0</v>
      </c>
      <c r="K6" s="664">
        <v>3</v>
      </c>
      <c r="L6" s="664">
        <v>0</v>
      </c>
      <c r="M6" s="665">
        <v>46126.915972222225</v>
      </c>
      <c r="N6" s="664">
        <v>0</v>
      </c>
      <c r="O6" s="664">
        <v>0</v>
      </c>
      <c r="P6" s="664">
        <v>1</v>
      </c>
      <c r="Q6" s="666">
        <v>1</v>
      </c>
      <c r="R6" s="664">
        <v>0</v>
      </c>
      <c r="S6" s="664">
        <v>93</v>
      </c>
      <c r="T6" s="664">
        <v>4</v>
      </c>
      <c r="U6" s="665">
        <v>45796.333333333336</v>
      </c>
      <c r="V6" s="665">
        <v>46044.541666666664</v>
      </c>
      <c r="W6" s="663">
        <v>0</v>
      </c>
      <c r="X6" s="663">
        <v>0</v>
      </c>
      <c r="Y6" s="663">
        <v>0</v>
      </c>
      <c r="Z6" s="663">
        <v>0</v>
      </c>
      <c r="AA6" s="663">
        <v>0</v>
      </c>
      <c r="AB6" s="668">
        <v>3</v>
      </c>
      <c r="AC6" s="668">
        <v>2</v>
      </c>
      <c r="AD6" s="668">
        <v>12</v>
      </c>
      <c r="AE6" s="668">
        <v>32</v>
      </c>
      <c r="AF6" s="663">
        <v>0</v>
      </c>
      <c r="AG6" s="663">
        <v>0</v>
      </c>
      <c r="AH6" s="668">
        <v>7</v>
      </c>
      <c r="AI6" s="668">
        <v>9</v>
      </c>
      <c r="AJ6" s="668">
        <v>28</v>
      </c>
      <c r="AK6" s="663">
        <v>0</v>
      </c>
      <c r="AL6" s="663">
        <v>0</v>
      </c>
    </row>
    <row r="7" spans="1:38" ht="44" thickBot="1">
      <c r="A7" s="661" t="s">
        <v>6106</v>
      </c>
      <c r="B7" s="662" t="s">
        <v>6107</v>
      </c>
      <c r="C7" s="662" t="s">
        <v>6108</v>
      </c>
      <c r="D7" s="663">
        <v>1792195</v>
      </c>
      <c r="E7" s="664" t="s">
        <v>6090</v>
      </c>
      <c r="F7" s="664" t="s">
        <v>6091</v>
      </c>
      <c r="G7" s="664" t="s">
        <v>6109</v>
      </c>
      <c r="H7" s="664">
        <v>48</v>
      </c>
      <c r="I7" s="664">
        <v>48</v>
      </c>
      <c r="J7" s="664">
        <v>0</v>
      </c>
      <c r="K7" s="664">
        <v>3</v>
      </c>
      <c r="L7" s="664">
        <v>2</v>
      </c>
      <c r="M7" s="665">
        <v>46121.915972222225</v>
      </c>
      <c r="N7" s="664">
        <v>2</v>
      </c>
      <c r="O7" s="664">
        <v>0</v>
      </c>
      <c r="P7" s="664">
        <v>13</v>
      </c>
      <c r="Q7" s="666">
        <v>15</v>
      </c>
      <c r="R7" s="664">
        <v>0</v>
      </c>
      <c r="S7" s="664">
        <v>67</v>
      </c>
      <c r="T7" s="664">
        <v>14</v>
      </c>
      <c r="U7" s="665">
        <v>45813.25</v>
      </c>
      <c r="V7" s="665">
        <v>46084.041666666664</v>
      </c>
      <c r="W7" s="663">
        <v>0</v>
      </c>
      <c r="X7" s="663">
        <v>0</v>
      </c>
      <c r="Y7" s="663">
        <v>0</v>
      </c>
      <c r="Z7" s="663">
        <v>0</v>
      </c>
      <c r="AA7" s="663">
        <v>0</v>
      </c>
      <c r="AB7" s="663">
        <v>0</v>
      </c>
      <c r="AC7" s="668">
        <v>16</v>
      </c>
      <c r="AD7" s="668">
        <v>13</v>
      </c>
      <c r="AE7" s="668">
        <v>1</v>
      </c>
      <c r="AF7" s="668">
        <v>2</v>
      </c>
      <c r="AG7" s="668">
        <v>3</v>
      </c>
      <c r="AH7" s="668">
        <v>5</v>
      </c>
      <c r="AI7" s="668">
        <v>23</v>
      </c>
      <c r="AJ7" s="668">
        <v>2</v>
      </c>
      <c r="AK7" s="668">
        <v>1</v>
      </c>
      <c r="AL7" s="668">
        <v>1</v>
      </c>
    </row>
    <row r="8" spans="1:38" ht="30" thickBot="1">
      <c r="A8" s="661" t="s">
        <v>6110</v>
      </c>
      <c r="B8" s="662" t="s">
        <v>6111</v>
      </c>
      <c r="C8" s="662" t="s">
        <v>6112</v>
      </c>
      <c r="D8" s="663">
        <v>1807121</v>
      </c>
      <c r="E8" s="664" t="s">
        <v>6090</v>
      </c>
      <c r="F8" s="664" t="s">
        <v>6091</v>
      </c>
      <c r="G8" s="664" t="s">
        <v>6113</v>
      </c>
      <c r="H8" s="664">
        <v>48</v>
      </c>
      <c r="I8" s="664">
        <v>48</v>
      </c>
      <c r="J8" s="664">
        <v>0</v>
      </c>
      <c r="K8" s="664">
        <v>1</v>
      </c>
      <c r="L8" s="664">
        <v>1</v>
      </c>
      <c r="M8" s="665">
        <v>46085.915972222225</v>
      </c>
      <c r="N8" s="664">
        <v>0</v>
      </c>
      <c r="O8" s="664">
        <v>0</v>
      </c>
      <c r="P8" s="664">
        <v>0</v>
      </c>
      <c r="Q8" s="666">
        <v>0</v>
      </c>
      <c r="R8" s="664">
        <v>0</v>
      </c>
      <c r="S8" s="664">
        <v>50</v>
      </c>
      <c r="T8" s="664">
        <v>0</v>
      </c>
      <c r="U8" s="665">
        <v>45930.541666666664</v>
      </c>
      <c r="V8" s="665">
        <v>46033.791666666664</v>
      </c>
      <c r="W8" s="663">
        <v>0</v>
      </c>
      <c r="X8" s="663">
        <v>0</v>
      </c>
      <c r="Y8" s="663">
        <v>0</v>
      </c>
      <c r="Z8" s="663">
        <v>0</v>
      </c>
      <c r="AA8" s="663">
        <v>0</v>
      </c>
      <c r="AB8" s="663">
        <v>0</v>
      </c>
      <c r="AC8" s="663">
        <v>0</v>
      </c>
      <c r="AD8" s="663">
        <v>0</v>
      </c>
      <c r="AE8" s="663">
        <v>0</v>
      </c>
      <c r="AF8" s="668">
        <v>1</v>
      </c>
      <c r="AG8" s="668">
        <v>16</v>
      </c>
      <c r="AH8" s="668">
        <v>17</v>
      </c>
      <c r="AI8" s="668">
        <v>14</v>
      </c>
      <c r="AJ8" s="668">
        <v>2</v>
      </c>
      <c r="AK8" s="663">
        <v>0</v>
      </c>
      <c r="AL8" s="663">
        <v>0</v>
      </c>
    </row>
    <row r="9" spans="1:38" ht="30" thickBot="1">
      <c r="A9" s="661" t="s">
        <v>6114</v>
      </c>
      <c r="B9" s="662" t="s">
        <v>6115</v>
      </c>
      <c r="C9" s="662" t="s">
        <v>6116</v>
      </c>
      <c r="D9" s="663">
        <v>1823255</v>
      </c>
      <c r="E9" s="664" t="s">
        <v>6090</v>
      </c>
      <c r="F9" s="664" t="s">
        <v>6117</v>
      </c>
      <c r="G9" s="664" t="s">
        <v>6117</v>
      </c>
      <c r="H9" s="664">
        <v>46</v>
      </c>
      <c r="I9" s="664">
        <v>46</v>
      </c>
      <c r="J9" s="664">
        <v>0</v>
      </c>
      <c r="K9" s="664">
        <v>1</v>
      </c>
      <c r="L9" s="664">
        <v>2</v>
      </c>
      <c r="M9" s="665">
        <v>46098.954861111109</v>
      </c>
      <c r="N9" s="664">
        <v>46</v>
      </c>
      <c r="O9" s="664">
        <v>1</v>
      </c>
      <c r="P9" s="664">
        <v>3</v>
      </c>
      <c r="Q9" s="666">
        <v>50</v>
      </c>
      <c r="R9" s="664">
        <v>0</v>
      </c>
      <c r="S9" s="664">
        <v>4</v>
      </c>
      <c r="T9" s="664">
        <v>3</v>
      </c>
      <c r="U9" s="665">
        <v>45944.791666666664</v>
      </c>
      <c r="V9" s="665">
        <v>46024.458333333336</v>
      </c>
      <c r="W9" s="663">
        <v>0</v>
      </c>
      <c r="X9" s="663">
        <v>0</v>
      </c>
      <c r="Y9" s="663">
        <v>0</v>
      </c>
      <c r="Z9" s="663">
        <v>0</v>
      </c>
      <c r="AA9" s="663">
        <v>0</v>
      </c>
      <c r="AB9" s="663">
        <v>0</v>
      </c>
      <c r="AC9" s="663">
        <v>0</v>
      </c>
      <c r="AD9" s="663">
        <v>0</v>
      </c>
      <c r="AE9" s="663">
        <v>0</v>
      </c>
      <c r="AF9" s="663">
        <v>0</v>
      </c>
      <c r="AG9" s="668">
        <v>2</v>
      </c>
      <c r="AH9" s="663">
        <v>0</v>
      </c>
      <c r="AI9" s="668">
        <v>1</v>
      </c>
      <c r="AJ9" s="668">
        <v>1</v>
      </c>
      <c r="AK9" s="663">
        <v>0</v>
      </c>
      <c r="AL9" s="663">
        <v>0</v>
      </c>
    </row>
    <row r="10" spans="1:38" ht="30" thickBot="1">
      <c r="A10" s="661" t="s">
        <v>6118</v>
      </c>
      <c r="B10" s="662" t="s">
        <v>6119</v>
      </c>
      <c r="C10" s="662" t="s">
        <v>6120</v>
      </c>
      <c r="D10" s="663">
        <v>1813899</v>
      </c>
      <c r="E10" s="664" t="s">
        <v>6090</v>
      </c>
      <c r="F10" s="664" t="s">
        <v>6096</v>
      </c>
      <c r="G10" s="664" t="s">
        <v>6096</v>
      </c>
      <c r="H10" s="664">
        <v>42</v>
      </c>
      <c r="I10" s="664">
        <v>42</v>
      </c>
      <c r="J10" s="664">
        <v>0</v>
      </c>
      <c r="K10" s="664">
        <v>3</v>
      </c>
      <c r="L10" s="664">
        <v>18</v>
      </c>
      <c r="M10" s="665">
        <v>46098.915972222225</v>
      </c>
      <c r="N10" s="664">
        <v>0</v>
      </c>
      <c r="O10" s="664">
        <v>15</v>
      </c>
      <c r="P10" s="664">
        <v>5</v>
      </c>
      <c r="Q10" s="666">
        <v>20</v>
      </c>
      <c r="R10" s="667">
        <v>5</v>
      </c>
      <c r="S10" s="664">
        <v>25</v>
      </c>
      <c r="T10" s="664">
        <v>5</v>
      </c>
      <c r="U10" s="665">
        <v>45938.791666666664</v>
      </c>
      <c r="V10" s="665">
        <v>45988.791666666664</v>
      </c>
      <c r="W10" s="663">
        <v>0</v>
      </c>
      <c r="X10" s="663">
        <v>0</v>
      </c>
      <c r="Y10" s="663">
        <v>0</v>
      </c>
      <c r="Z10" s="663">
        <v>0</v>
      </c>
      <c r="AA10" s="663">
        <v>0</v>
      </c>
      <c r="AB10" s="663">
        <v>0</v>
      </c>
      <c r="AC10" s="663">
        <v>0</v>
      </c>
      <c r="AD10" s="663">
        <v>0</v>
      </c>
      <c r="AE10" s="663">
        <v>0</v>
      </c>
      <c r="AF10" s="663">
        <v>0</v>
      </c>
      <c r="AG10" s="668">
        <v>7</v>
      </c>
      <c r="AH10" s="668">
        <v>18</v>
      </c>
      <c r="AI10" s="663">
        <v>0</v>
      </c>
      <c r="AJ10" s="663">
        <v>0</v>
      </c>
      <c r="AK10" s="663">
        <v>0</v>
      </c>
      <c r="AL10" s="663">
        <v>0</v>
      </c>
    </row>
    <row r="11" spans="1:38" ht="30" thickBot="1">
      <c r="A11" s="661" t="s">
        <v>6121</v>
      </c>
      <c r="B11" s="662" t="s">
        <v>6122</v>
      </c>
      <c r="C11" s="662" t="s">
        <v>6123</v>
      </c>
      <c r="D11" s="663">
        <v>1821383</v>
      </c>
      <c r="E11" s="664" t="s">
        <v>6090</v>
      </c>
      <c r="F11" s="664" t="s">
        <v>6117</v>
      </c>
      <c r="G11" s="664" t="s">
        <v>6091</v>
      </c>
      <c r="H11" s="664">
        <v>42</v>
      </c>
      <c r="I11" s="664">
        <v>42</v>
      </c>
      <c r="J11" s="664">
        <v>0</v>
      </c>
      <c r="K11" s="664">
        <v>3</v>
      </c>
      <c r="L11" s="664">
        <v>6</v>
      </c>
      <c r="M11" s="665">
        <v>46098.915972222225</v>
      </c>
      <c r="N11" s="664">
        <v>17</v>
      </c>
      <c r="O11" s="664">
        <v>3</v>
      </c>
      <c r="P11" s="664">
        <v>9</v>
      </c>
      <c r="Q11" s="666">
        <v>29</v>
      </c>
      <c r="R11" s="664">
        <v>0</v>
      </c>
      <c r="S11" s="664">
        <v>29</v>
      </c>
      <c r="T11" s="664">
        <v>9</v>
      </c>
      <c r="U11" s="665">
        <v>45938.541666666664</v>
      </c>
      <c r="V11" s="665">
        <v>46078.625</v>
      </c>
      <c r="W11" s="663">
        <v>0</v>
      </c>
      <c r="X11" s="663">
        <v>0</v>
      </c>
      <c r="Y11" s="663">
        <v>0</v>
      </c>
      <c r="Z11" s="663">
        <v>0</v>
      </c>
      <c r="AA11" s="663">
        <v>0</v>
      </c>
      <c r="AB11" s="663">
        <v>0</v>
      </c>
      <c r="AC11" s="663">
        <v>0</v>
      </c>
      <c r="AD11" s="663">
        <v>0</v>
      </c>
      <c r="AE11" s="663">
        <v>0</v>
      </c>
      <c r="AF11" s="663">
        <v>0</v>
      </c>
      <c r="AG11" s="668">
        <v>13</v>
      </c>
      <c r="AH11" s="668">
        <v>12</v>
      </c>
      <c r="AI11" s="663">
        <v>0</v>
      </c>
      <c r="AJ11" s="668">
        <v>3</v>
      </c>
      <c r="AK11" s="668">
        <v>1</v>
      </c>
      <c r="AL11" s="663">
        <v>0</v>
      </c>
    </row>
    <row r="12" spans="1:38" ht="30" thickBot="1">
      <c r="A12" s="661" t="s">
        <v>6124</v>
      </c>
      <c r="B12" s="662" t="s">
        <v>6125</v>
      </c>
      <c r="C12" s="662" t="s">
        <v>6126</v>
      </c>
      <c r="D12" s="664">
        <v>1828853</v>
      </c>
      <c r="E12" s="664" t="s">
        <v>6090</v>
      </c>
      <c r="F12" s="664" t="s">
        <v>6091</v>
      </c>
      <c r="G12" s="664" t="s">
        <v>6091</v>
      </c>
      <c r="H12" s="664">
        <v>42</v>
      </c>
      <c r="I12" s="664">
        <v>42</v>
      </c>
      <c r="J12" s="664">
        <v>0</v>
      </c>
      <c r="K12" s="664">
        <v>4</v>
      </c>
      <c r="L12" s="664">
        <v>6</v>
      </c>
      <c r="M12" s="665">
        <v>46126.915972222225</v>
      </c>
      <c r="N12" s="664">
        <v>0</v>
      </c>
      <c r="O12" s="664">
        <v>2</v>
      </c>
      <c r="P12" s="664">
        <v>38</v>
      </c>
      <c r="Q12" s="666">
        <v>40</v>
      </c>
      <c r="R12" s="664">
        <v>0</v>
      </c>
      <c r="S12" s="664">
        <v>54</v>
      </c>
      <c r="T12" s="664">
        <v>38</v>
      </c>
      <c r="U12" s="665">
        <v>45936.875</v>
      </c>
      <c r="V12" s="665">
        <v>46083.875</v>
      </c>
      <c r="W12" s="663">
        <v>0</v>
      </c>
      <c r="X12" s="663">
        <v>0</v>
      </c>
      <c r="Y12" s="663">
        <v>0</v>
      </c>
      <c r="Z12" s="663">
        <v>0</v>
      </c>
      <c r="AA12" s="663">
        <v>0</v>
      </c>
      <c r="AB12" s="663">
        <v>0</v>
      </c>
      <c r="AC12" s="663">
        <v>0</v>
      </c>
      <c r="AD12" s="663">
        <v>0</v>
      </c>
      <c r="AE12" s="663">
        <v>0</v>
      </c>
      <c r="AF12" s="663">
        <v>0</v>
      </c>
      <c r="AG12" s="668">
        <v>18</v>
      </c>
      <c r="AH12" s="668">
        <v>20</v>
      </c>
      <c r="AI12" s="668">
        <v>7</v>
      </c>
      <c r="AJ12" s="668">
        <v>5</v>
      </c>
      <c r="AK12" s="668">
        <v>3</v>
      </c>
      <c r="AL12" s="668">
        <v>1</v>
      </c>
    </row>
    <row r="13" spans="1:38" ht="30" thickBot="1">
      <c r="A13" s="661" t="s">
        <v>6127</v>
      </c>
      <c r="B13" s="662" t="s">
        <v>6128</v>
      </c>
      <c r="C13" s="662" t="s">
        <v>6129</v>
      </c>
      <c r="D13" s="664">
        <v>1814058</v>
      </c>
      <c r="E13" s="664" t="s">
        <v>6090</v>
      </c>
      <c r="F13" s="664" t="s">
        <v>125</v>
      </c>
      <c r="G13" s="664" t="s">
        <v>125</v>
      </c>
      <c r="H13" s="664">
        <v>40</v>
      </c>
      <c r="I13" s="664">
        <v>40</v>
      </c>
      <c r="J13" s="664">
        <v>0</v>
      </c>
      <c r="K13" s="664">
        <v>5</v>
      </c>
      <c r="L13" s="664">
        <v>40</v>
      </c>
      <c r="M13" s="665">
        <v>46097.915972222225</v>
      </c>
      <c r="N13" s="664">
        <v>0</v>
      </c>
      <c r="O13" s="664">
        <v>35</v>
      </c>
      <c r="P13" s="664">
        <v>20</v>
      </c>
      <c r="Q13" s="666">
        <v>55</v>
      </c>
      <c r="R13" s="664">
        <v>0</v>
      </c>
      <c r="S13" s="664">
        <v>0</v>
      </c>
      <c r="T13" s="664">
        <v>20</v>
      </c>
      <c r="U13" s="664" t="s">
        <v>125</v>
      </c>
      <c r="V13" s="664" t="s">
        <v>125</v>
      </c>
      <c r="W13" s="663">
        <v>0</v>
      </c>
      <c r="X13" s="663">
        <v>0</v>
      </c>
      <c r="Y13" s="663">
        <v>0</v>
      </c>
      <c r="Z13" s="663">
        <v>0</v>
      </c>
      <c r="AA13" s="663">
        <v>0</v>
      </c>
      <c r="AB13" s="663">
        <v>0</v>
      </c>
      <c r="AC13" s="663">
        <v>0</v>
      </c>
      <c r="AD13" s="663">
        <v>0</v>
      </c>
      <c r="AE13" s="663">
        <v>0</v>
      </c>
      <c r="AF13" s="663">
        <v>0</v>
      </c>
      <c r="AG13" s="663">
        <v>0</v>
      </c>
      <c r="AH13" s="663">
        <v>0</v>
      </c>
      <c r="AI13" s="663">
        <v>0</v>
      </c>
      <c r="AJ13" s="663">
        <v>0</v>
      </c>
      <c r="AK13" s="663">
        <v>0</v>
      </c>
      <c r="AL13" s="663">
        <v>0</v>
      </c>
    </row>
    <row r="14" spans="1:38" ht="44" thickBot="1">
      <c r="A14" s="661" t="s">
        <v>6130</v>
      </c>
      <c r="B14" s="662" t="s">
        <v>6131</v>
      </c>
      <c r="C14" s="662" t="s">
        <v>6132</v>
      </c>
      <c r="D14" s="664">
        <v>1796115</v>
      </c>
      <c r="E14" s="664" t="s">
        <v>6090</v>
      </c>
      <c r="F14" s="664" t="s">
        <v>6117</v>
      </c>
      <c r="G14" s="664" t="s">
        <v>6091</v>
      </c>
      <c r="H14" s="664">
        <v>39</v>
      </c>
      <c r="I14" s="664">
        <v>39</v>
      </c>
      <c r="J14" s="664">
        <v>0</v>
      </c>
      <c r="K14" s="664">
        <v>6</v>
      </c>
      <c r="L14" s="664">
        <v>31</v>
      </c>
      <c r="M14" s="665">
        <v>46098.915972222225</v>
      </c>
      <c r="N14" s="664">
        <v>0</v>
      </c>
      <c r="O14" s="664">
        <v>25</v>
      </c>
      <c r="P14" s="664">
        <v>7</v>
      </c>
      <c r="Q14" s="666">
        <v>32</v>
      </c>
      <c r="R14" s="664">
        <v>0</v>
      </c>
      <c r="S14" s="664">
        <v>27</v>
      </c>
      <c r="T14" s="664">
        <v>7</v>
      </c>
      <c r="U14" s="665">
        <v>45880.583333333336</v>
      </c>
      <c r="V14" s="665">
        <v>46080.583333333336</v>
      </c>
      <c r="W14" s="663">
        <v>0</v>
      </c>
      <c r="X14" s="663">
        <v>0</v>
      </c>
      <c r="Y14" s="663">
        <v>0</v>
      </c>
      <c r="Z14" s="663">
        <v>0</v>
      </c>
      <c r="AA14" s="663">
        <v>0</v>
      </c>
      <c r="AB14" s="663">
        <v>0</v>
      </c>
      <c r="AC14" s="663">
        <v>0</v>
      </c>
      <c r="AD14" s="663">
        <v>0</v>
      </c>
      <c r="AE14" s="668">
        <v>11</v>
      </c>
      <c r="AF14" s="668">
        <v>6</v>
      </c>
      <c r="AG14" s="663">
        <v>0</v>
      </c>
      <c r="AH14" s="663">
        <v>0</v>
      </c>
      <c r="AI14" s="663">
        <v>0</v>
      </c>
      <c r="AJ14" s="668">
        <v>3</v>
      </c>
      <c r="AK14" s="668">
        <v>7</v>
      </c>
      <c r="AL14" s="663">
        <v>0</v>
      </c>
    </row>
    <row r="15" spans="1:38" ht="30" thickBot="1">
      <c r="A15" s="661" t="s">
        <v>6133</v>
      </c>
      <c r="B15" s="662" t="s">
        <v>6134</v>
      </c>
      <c r="C15" s="662" t="s">
        <v>6135</v>
      </c>
      <c r="D15" s="664">
        <v>1825258</v>
      </c>
      <c r="E15" s="664" t="s">
        <v>6090</v>
      </c>
      <c r="F15" s="664" t="s">
        <v>6096</v>
      </c>
      <c r="G15" s="664" t="s">
        <v>6096</v>
      </c>
      <c r="H15" s="664">
        <v>39</v>
      </c>
      <c r="I15" s="664">
        <v>39</v>
      </c>
      <c r="J15" s="664">
        <v>0</v>
      </c>
      <c r="K15" s="664">
        <v>1</v>
      </c>
      <c r="L15" s="664">
        <v>2</v>
      </c>
      <c r="M15" s="665">
        <v>46126.915972222225</v>
      </c>
      <c r="N15" s="664">
        <v>0</v>
      </c>
      <c r="O15" s="664">
        <v>1</v>
      </c>
      <c r="P15" s="664">
        <v>6</v>
      </c>
      <c r="Q15" s="666">
        <v>7</v>
      </c>
      <c r="R15" s="667">
        <v>1</v>
      </c>
      <c r="S15" s="664">
        <v>6</v>
      </c>
      <c r="T15" s="664">
        <v>6</v>
      </c>
      <c r="U15" s="665">
        <v>46039.75</v>
      </c>
      <c r="V15" s="665">
        <v>46061.583333333336</v>
      </c>
      <c r="W15" s="663">
        <v>0</v>
      </c>
      <c r="X15" s="663">
        <v>0</v>
      </c>
      <c r="Y15" s="663">
        <v>0</v>
      </c>
      <c r="Z15" s="663">
        <v>0</v>
      </c>
      <c r="AA15" s="663">
        <v>0</v>
      </c>
      <c r="AB15" s="663">
        <v>0</v>
      </c>
      <c r="AC15" s="663">
        <v>0</v>
      </c>
      <c r="AD15" s="663">
        <v>0</v>
      </c>
      <c r="AE15" s="663">
        <v>0</v>
      </c>
      <c r="AF15" s="663">
        <v>0</v>
      </c>
      <c r="AG15" s="663">
        <v>0</v>
      </c>
      <c r="AH15" s="663">
        <v>0</v>
      </c>
      <c r="AI15" s="663">
        <v>0</v>
      </c>
      <c r="AJ15" s="668">
        <v>5</v>
      </c>
      <c r="AK15" s="668">
        <v>1</v>
      </c>
      <c r="AL15" s="663">
        <v>0</v>
      </c>
    </row>
    <row r="16" spans="1:38" ht="30" thickBot="1">
      <c r="A16" s="661" t="s">
        <v>6136</v>
      </c>
      <c r="B16" s="662" t="s">
        <v>6137</v>
      </c>
      <c r="C16" s="662" t="s">
        <v>6138</v>
      </c>
      <c r="D16" s="664">
        <v>1818047</v>
      </c>
      <c r="E16" s="664" t="s">
        <v>6090</v>
      </c>
      <c r="F16" s="664" t="s">
        <v>6097</v>
      </c>
      <c r="G16" s="664" t="s">
        <v>6097</v>
      </c>
      <c r="H16" s="664">
        <v>38</v>
      </c>
      <c r="I16" s="664">
        <v>38</v>
      </c>
      <c r="J16" s="664">
        <v>0</v>
      </c>
      <c r="K16" s="664">
        <v>1</v>
      </c>
      <c r="L16" s="664">
        <v>2</v>
      </c>
      <c r="M16" s="665">
        <v>46121.915972222225</v>
      </c>
      <c r="N16" s="664">
        <v>0</v>
      </c>
      <c r="O16" s="664">
        <v>1</v>
      </c>
      <c r="P16" s="664">
        <v>4</v>
      </c>
      <c r="Q16" s="666">
        <v>5</v>
      </c>
      <c r="R16" s="664">
        <v>0</v>
      </c>
      <c r="S16" s="664">
        <v>57</v>
      </c>
      <c r="T16" s="664">
        <v>4</v>
      </c>
      <c r="U16" s="665">
        <v>45902.041666666664</v>
      </c>
      <c r="V16" s="665">
        <v>46083.833333333336</v>
      </c>
      <c r="W16" s="663">
        <v>0</v>
      </c>
      <c r="X16" s="663">
        <v>0</v>
      </c>
      <c r="Y16" s="663">
        <v>0</v>
      </c>
      <c r="Z16" s="663">
        <v>0</v>
      </c>
      <c r="AA16" s="663">
        <v>0</v>
      </c>
      <c r="AB16" s="663">
        <v>0</v>
      </c>
      <c r="AC16" s="663">
        <v>0</v>
      </c>
      <c r="AD16" s="663">
        <v>0</v>
      </c>
      <c r="AE16" s="663">
        <v>0</v>
      </c>
      <c r="AF16" s="668">
        <v>12</v>
      </c>
      <c r="AG16" s="668">
        <v>4</v>
      </c>
      <c r="AH16" s="668">
        <v>16</v>
      </c>
      <c r="AI16" s="668">
        <v>13</v>
      </c>
      <c r="AJ16" s="668">
        <v>3</v>
      </c>
      <c r="AK16" s="668">
        <v>7</v>
      </c>
      <c r="AL16" s="668">
        <v>2</v>
      </c>
    </row>
    <row r="17" spans="1:38" ht="30" thickBot="1">
      <c r="A17" s="661" t="s">
        <v>6139</v>
      </c>
      <c r="B17" s="662" t="s">
        <v>6140</v>
      </c>
      <c r="C17" s="662" t="s">
        <v>6141</v>
      </c>
      <c r="D17" s="664">
        <v>1798178</v>
      </c>
      <c r="E17" s="664" t="s">
        <v>6090</v>
      </c>
      <c r="F17" s="664" t="s">
        <v>6101</v>
      </c>
      <c r="G17" s="664" t="s">
        <v>6105</v>
      </c>
      <c r="H17" s="664">
        <v>37</v>
      </c>
      <c r="I17" s="664">
        <v>37</v>
      </c>
      <c r="J17" s="664">
        <v>0</v>
      </c>
      <c r="K17" s="664">
        <v>16</v>
      </c>
      <c r="L17" s="664">
        <v>16</v>
      </c>
      <c r="M17" s="665">
        <v>46098.915972222225</v>
      </c>
      <c r="N17" s="664">
        <v>0</v>
      </c>
      <c r="O17" s="664">
        <v>0</v>
      </c>
      <c r="P17" s="664">
        <v>2</v>
      </c>
      <c r="Q17" s="666">
        <v>2</v>
      </c>
      <c r="R17" s="664">
        <v>0</v>
      </c>
      <c r="S17" s="664">
        <v>75</v>
      </c>
      <c r="T17" s="664">
        <v>2</v>
      </c>
      <c r="U17" s="665">
        <v>45835.75</v>
      </c>
      <c r="V17" s="665">
        <v>46047.666666666664</v>
      </c>
      <c r="W17" s="663">
        <v>0</v>
      </c>
      <c r="X17" s="663">
        <v>0</v>
      </c>
      <c r="Y17" s="663">
        <v>0</v>
      </c>
      <c r="Z17" s="663">
        <v>0</v>
      </c>
      <c r="AA17" s="663">
        <v>0</v>
      </c>
      <c r="AB17" s="663">
        <v>0</v>
      </c>
      <c r="AC17" s="668">
        <v>3</v>
      </c>
      <c r="AD17" s="668">
        <v>15</v>
      </c>
      <c r="AE17" s="668">
        <v>14</v>
      </c>
      <c r="AF17" s="668">
        <v>14</v>
      </c>
      <c r="AG17" s="668">
        <v>6</v>
      </c>
      <c r="AH17" s="668">
        <v>10</v>
      </c>
      <c r="AI17" s="663">
        <v>0</v>
      </c>
      <c r="AJ17" s="668">
        <v>13</v>
      </c>
      <c r="AK17" s="663">
        <v>0</v>
      </c>
      <c r="AL17" s="663">
        <v>0</v>
      </c>
    </row>
    <row r="18" spans="1:38" ht="30" thickBot="1">
      <c r="A18" s="661" t="s">
        <v>6142</v>
      </c>
      <c r="B18" s="662" t="s">
        <v>6143</v>
      </c>
      <c r="C18" s="662" t="s">
        <v>6144</v>
      </c>
      <c r="D18" s="664">
        <v>1857076</v>
      </c>
      <c r="E18" s="664" t="s">
        <v>6090</v>
      </c>
      <c r="F18" s="664" t="s">
        <v>6096</v>
      </c>
      <c r="G18" s="664" t="s">
        <v>6096</v>
      </c>
      <c r="H18" s="664">
        <v>36</v>
      </c>
      <c r="I18" s="664">
        <v>36</v>
      </c>
      <c r="J18" s="664">
        <v>0</v>
      </c>
      <c r="K18" s="664">
        <v>2</v>
      </c>
      <c r="L18" s="664">
        <v>3</v>
      </c>
      <c r="M18" s="665">
        <v>46126</v>
      </c>
      <c r="N18" s="664">
        <v>0</v>
      </c>
      <c r="O18" s="664">
        <v>1</v>
      </c>
      <c r="P18" s="664">
        <v>3</v>
      </c>
      <c r="Q18" s="666">
        <v>4</v>
      </c>
      <c r="R18" s="664">
        <v>0</v>
      </c>
      <c r="S18" s="664">
        <v>9</v>
      </c>
      <c r="T18" s="664">
        <v>3</v>
      </c>
      <c r="U18" s="665">
        <v>46037.875</v>
      </c>
      <c r="V18" s="665">
        <v>46082.75</v>
      </c>
      <c r="W18" s="663">
        <v>0</v>
      </c>
      <c r="X18" s="663">
        <v>0</v>
      </c>
      <c r="Y18" s="663">
        <v>0</v>
      </c>
      <c r="Z18" s="663">
        <v>0</v>
      </c>
      <c r="AA18" s="663">
        <v>0</v>
      </c>
      <c r="AB18" s="663">
        <v>0</v>
      </c>
      <c r="AC18" s="663">
        <v>0</v>
      </c>
      <c r="AD18" s="663">
        <v>0</v>
      </c>
      <c r="AE18" s="663">
        <v>0</v>
      </c>
      <c r="AF18" s="663">
        <v>0</v>
      </c>
      <c r="AG18" s="663">
        <v>0</v>
      </c>
      <c r="AH18" s="663">
        <v>0</v>
      </c>
      <c r="AI18" s="663">
        <v>0</v>
      </c>
      <c r="AJ18" s="668">
        <v>4</v>
      </c>
      <c r="AK18" s="668">
        <v>4</v>
      </c>
      <c r="AL18" s="668">
        <v>1</v>
      </c>
    </row>
    <row r="19" spans="1:38" ht="44" thickBot="1">
      <c r="A19" s="661" t="s">
        <v>6145</v>
      </c>
      <c r="B19" s="662" t="s">
        <v>6146</v>
      </c>
      <c r="C19" s="662" t="s">
        <v>2141</v>
      </c>
      <c r="D19" s="664">
        <v>1769994</v>
      </c>
      <c r="E19" s="664" t="s">
        <v>6090</v>
      </c>
      <c r="F19" s="664" t="s">
        <v>6101</v>
      </c>
      <c r="G19" s="664" t="s">
        <v>6147</v>
      </c>
      <c r="H19" s="664">
        <v>32</v>
      </c>
      <c r="I19" s="664">
        <v>32</v>
      </c>
      <c r="J19" s="664">
        <v>0</v>
      </c>
      <c r="K19" s="664">
        <v>4</v>
      </c>
      <c r="L19" s="664">
        <v>1</v>
      </c>
      <c r="M19" s="665">
        <v>46126.915972222225</v>
      </c>
      <c r="N19" s="664">
        <v>27</v>
      </c>
      <c r="O19" s="664">
        <v>0</v>
      </c>
      <c r="P19" s="664">
        <v>22</v>
      </c>
      <c r="Q19" s="666">
        <v>49</v>
      </c>
      <c r="R19" s="664">
        <v>0</v>
      </c>
      <c r="S19" s="664">
        <v>82</v>
      </c>
      <c r="T19" s="664">
        <v>25</v>
      </c>
      <c r="U19" s="665">
        <v>45739.833333333336</v>
      </c>
      <c r="V19" s="665">
        <v>46064.5</v>
      </c>
      <c r="W19" s="663">
        <v>0</v>
      </c>
      <c r="X19" s="663">
        <v>0</v>
      </c>
      <c r="Y19" s="663">
        <v>0</v>
      </c>
      <c r="Z19" s="668">
        <v>7</v>
      </c>
      <c r="AA19" s="668">
        <v>7</v>
      </c>
      <c r="AB19" s="668">
        <v>9</v>
      </c>
      <c r="AC19" s="668">
        <v>12</v>
      </c>
      <c r="AD19" s="663">
        <v>0</v>
      </c>
      <c r="AE19" s="663">
        <v>0</v>
      </c>
      <c r="AF19" s="668">
        <v>9</v>
      </c>
      <c r="AG19" s="663">
        <v>0</v>
      </c>
      <c r="AH19" s="668">
        <v>13</v>
      </c>
      <c r="AI19" s="668">
        <v>8</v>
      </c>
      <c r="AJ19" s="668">
        <v>1</v>
      </c>
      <c r="AK19" s="668">
        <v>16</v>
      </c>
      <c r="AL19" s="663">
        <v>0</v>
      </c>
    </row>
    <row r="20" spans="1:38" ht="30" thickBot="1">
      <c r="A20" s="661" t="s">
        <v>6148</v>
      </c>
      <c r="B20" s="662" t="s">
        <v>6149</v>
      </c>
      <c r="C20" s="662" t="s">
        <v>6150</v>
      </c>
      <c r="D20" s="664">
        <v>1765563</v>
      </c>
      <c r="E20" s="664" t="s">
        <v>6090</v>
      </c>
      <c r="F20" s="664" t="s">
        <v>6101</v>
      </c>
      <c r="G20" s="664" t="s">
        <v>6105</v>
      </c>
      <c r="H20" s="664">
        <v>31</v>
      </c>
      <c r="I20" s="664">
        <v>31</v>
      </c>
      <c r="J20" s="664">
        <v>0</v>
      </c>
      <c r="K20" s="664">
        <v>18</v>
      </c>
      <c r="L20" s="664">
        <v>20</v>
      </c>
      <c r="M20" s="665">
        <v>46098.915972222225</v>
      </c>
      <c r="N20" s="664">
        <v>2</v>
      </c>
      <c r="O20" s="664">
        <v>2</v>
      </c>
      <c r="P20" s="664">
        <v>11</v>
      </c>
      <c r="Q20" s="666">
        <v>15</v>
      </c>
      <c r="R20" s="667">
        <v>14</v>
      </c>
      <c r="S20" s="664">
        <v>190</v>
      </c>
      <c r="T20" s="664">
        <v>11</v>
      </c>
      <c r="U20" s="665">
        <v>45741</v>
      </c>
      <c r="V20" s="665">
        <v>46084.625</v>
      </c>
      <c r="W20" s="663">
        <v>0</v>
      </c>
      <c r="X20" s="663">
        <v>0</v>
      </c>
      <c r="Y20" s="663">
        <v>0</v>
      </c>
      <c r="Z20" s="668">
        <v>3</v>
      </c>
      <c r="AA20" s="668">
        <v>24</v>
      </c>
      <c r="AB20" s="668">
        <v>33</v>
      </c>
      <c r="AC20" s="668">
        <v>39</v>
      </c>
      <c r="AD20" s="668">
        <v>8</v>
      </c>
      <c r="AE20" s="668">
        <v>9</v>
      </c>
      <c r="AF20" s="668">
        <v>26</v>
      </c>
      <c r="AG20" s="668">
        <v>1</v>
      </c>
      <c r="AH20" s="668">
        <v>28</v>
      </c>
      <c r="AI20" s="668">
        <v>15</v>
      </c>
      <c r="AJ20" s="663">
        <v>0</v>
      </c>
      <c r="AK20" s="663">
        <v>0</v>
      </c>
      <c r="AL20" s="668">
        <v>4</v>
      </c>
    </row>
    <row r="21" spans="1:38" ht="30" thickBot="1">
      <c r="A21" s="661" t="s">
        <v>6151</v>
      </c>
      <c r="B21" s="662" t="s">
        <v>6152</v>
      </c>
      <c r="C21" s="662" t="s">
        <v>6153</v>
      </c>
      <c r="D21" s="664">
        <v>1806187</v>
      </c>
      <c r="E21" s="664" t="s">
        <v>6090</v>
      </c>
      <c r="F21" s="664" t="s">
        <v>6096</v>
      </c>
      <c r="G21" s="664" t="s">
        <v>6097</v>
      </c>
      <c r="H21" s="664">
        <v>30</v>
      </c>
      <c r="I21" s="664">
        <v>30</v>
      </c>
      <c r="J21" s="664">
        <v>0</v>
      </c>
      <c r="K21" s="664">
        <v>34</v>
      </c>
      <c r="L21" s="664">
        <v>39</v>
      </c>
      <c r="M21" s="665">
        <v>46085.915972222225</v>
      </c>
      <c r="N21" s="664">
        <v>0</v>
      </c>
      <c r="O21" s="664">
        <v>5</v>
      </c>
      <c r="P21" s="664">
        <v>4</v>
      </c>
      <c r="Q21" s="666">
        <v>9</v>
      </c>
      <c r="R21" s="664">
        <v>0</v>
      </c>
      <c r="S21" s="664">
        <v>60</v>
      </c>
      <c r="T21" s="664">
        <v>4</v>
      </c>
      <c r="U21" s="665">
        <v>45865.666666666664</v>
      </c>
      <c r="V21" s="665">
        <v>46050.708333333336</v>
      </c>
      <c r="W21" s="663">
        <v>0</v>
      </c>
      <c r="X21" s="663">
        <v>0</v>
      </c>
      <c r="Y21" s="663">
        <v>0</v>
      </c>
      <c r="Z21" s="663">
        <v>0</v>
      </c>
      <c r="AA21" s="663">
        <v>0</v>
      </c>
      <c r="AB21" s="663">
        <v>0</v>
      </c>
      <c r="AC21" s="663">
        <v>0</v>
      </c>
      <c r="AD21" s="668">
        <v>1</v>
      </c>
      <c r="AE21" s="668">
        <v>19</v>
      </c>
      <c r="AF21" s="668">
        <v>4</v>
      </c>
      <c r="AG21" s="668">
        <v>15</v>
      </c>
      <c r="AH21" s="668">
        <v>8</v>
      </c>
      <c r="AI21" s="663">
        <v>0</v>
      </c>
      <c r="AJ21" s="668">
        <v>13</v>
      </c>
      <c r="AK21" s="663">
        <v>0</v>
      </c>
      <c r="AL21" s="663">
        <v>0</v>
      </c>
    </row>
    <row r="22" spans="1:38" ht="30" thickBot="1">
      <c r="A22" s="661" t="s">
        <v>6154</v>
      </c>
      <c r="B22" s="662" t="s">
        <v>6155</v>
      </c>
      <c r="C22" s="662" t="s">
        <v>6156</v>
      </c>
      <c r="D22" s="664">
        <v>1827455</v>
      </c>
      <c r="E22" s="664" t="s">
        <v>6090</v>
      </c>
      <c r="F22" s="664" t="s">
        <v>6096</v>
      </c>
      <c r="G22" s="664" t="s">
        <v>6096</v>
      </c>
      <c r="H22" s="664">
        <v>29</v>
      </c>
      <c r="I22" s="664">
        <v>29</v>
      </c>
      <c r="J22" s="664">
        <v>0</v>
      </c>
      <c r="K22" s="664">
        <v>5</v>
      </c>
      <c r="L22" s="664">
        <v>3</v>
      </c>
      <c r="M22" s="665">
        <v>46098.915972222225</v>
      </c>
      <c r="N22" s="664">
        <v>0</v>
      </c>
      <c r="O22" s="664">
        <v>0</v>
      </c>
      <c r="P22" s="664">
        <v>10</v>
      </c>
      <c r="Q22" s="666">
        <v>10</v>
      </c>
      <c r="R22" s="664">
        <v>0</v>
      </c>
      <c r="S22" s="664">
        <v>59</v>
      </c>
      <c r="T22" s="664">
        <v>12</v>
      </c>
      <c r="U22" s="665">
        <v>45933.583333333336</v>
      </c>
      <c r="V22" s="665">
        <v>46036.875</v>
      </c>
      <c r="W22" s="663">
        <v>0</v>
      </c>
      <c r="X22" s="663">
        <v>0</v>
      </c>
      <c r="Y22" s="663">
        <v>0</v>
      </c>
      <c r="Z22" s="663">
        <v>0</v>
      </c>
      <c r="AA22" s="663">
        <v>0</v>
      </c>
      <c r="AB22" s="663">
        <v>0</v>
      </c>
      <c r="AC22" s="663">
        <v>0</v>
      </c>
      <c r="AD22" s="663">
        <v>0</v>
      </c>
      <c r="AE22" s="663">
        <v>0</v>
      </c>
      <c r="AF22" s="663">
        <v>0</v>
      </c>
      <c r="AG22" s="668">
        <v>13</v>
      </c>
      <c r="AH22" s="668">
        <v>10</v>
      </c>
      <c r="AI22" s="668">
        <v>25</v>
      </c>
      <c r="AJ22" s="668">
        <v>11</v>
      </c>
      <c r="AK22" s="663">
        <v>0</v>
      </c>
      <c r="AL22" s="663">
        <v>0</v>
      </c>
    </row>
    <row r="23" spans="1:38" ht="30" thickBot="1">
      <c r="A23" s="661" t="s">
        <v>6157</v>
      </c>
      <c r="B23" s="662" t="s">
        <v>6158</v>
      </c>
      <c r="C23" s="662" t="s">
        <v>6159</v>
      </c>
      <c r="D23" s="664">
        <v>1795918</v>
      </c>
      <c r="E23" s="664" t="s">
        <v>6090</v>
      </c>
      <c r="F23" s="664" t="s">
        <v>6096</v>
      </c>
      <c r="G23" s="664" t="s">
        <v>6160</v>
      </c>
      <c r="H23" s="664">
        <v>28</v>
      </c>
      <c r="I23" s="664">
        <v>28</v>
      </c>
      <c r="J23" s="664">
        <v>0</v>
      </c>
      <c r="K23" s="664">
        <v>19</v>
      </c>
      <c r="L23" s="664">
        <v>13</v>
      </c>
      <c r="M23" s="665">
        <v>46168.915972222225</v>
      </c>
      <c r="N23" s="664">
        <v>0</v>
      </c>
      <c r="O23" s="664">
        <v>0</v>
      </c>
      <c r="P23" s="664">
        <v>4</v>
      </c>
      <c r="Q23" s="666">
        <v>4</v>
      </c>
      <c r="R23" s="667">
        <v>5</v>
      </c>
      <c r="S23" s="664">
        <v>329</v>
      </c>
      <c r="T23" s="664">
        <v>10</v>
      </c>
      <c r="U23" s="665">
        <v>45812.083333333336</v>
      </c>
      <c r="V23" s="665">
        <v>46082.541666666664</v>
      </c>
      <c r="W23" s="663">
        <v>0</v>
      </c>
      <c r="X23" s="663">
        <v>0</v>
      </c>
      <c r="Y23" s="663">
        <v>0</v>
      </c>
      <c r="Z23" s="663">
        <v>0</v>
      </c>
      <c r="AA23" s="663">
        <v>0</v>
      </c>
      <c r="AB23" s="663">
        <v>0</v>
      </c>
      <c r="AC23" s="668">
        <v>23</v>
      </c>
      <c r="AD23" s="668">
        <v>46</v>
      </c>
      <c r="AE23" s="668">
        <v>42</v>
      </c>
      <c r="AF23" s="668">
        <v>51</v>
      </c>
      <c r="AG23" s="668">
        <v>41</v>
      </c>
      <c r="AH23" s="668">
        <v>42</v>
      </c>
      <c r="AI23" s="668">
        <v>28</v>
      </c>
      <c r="AJ23" s="668">
        <v>31</v>
      </c>
      <c r="AK23" s="668">
        <v>24</v>
      </c>
      <c r="AL23" s="668">
        <v>1</v>
      </c>
    </row>
    <row r="24" spans="1:38" ht="30" thickBot="1">
      <c r="A24" s="661" t="s">
        <v>6161</v>
      </c>
      <c r="B24" s="662"/>
      <c r="C24" s="662" t="s">
        <v>6162</v>
      </c>
      <c r="D24" s="664">
        <v>1820079</v>
      </c>
      <c r="E24" s="664" t="s">
        <v>6090</v>
      </c>
      <c r="F24" s="664" t="s">
        <v>6096</v>
      </c>
      <c r="G24" s="664" t="s">
        <v>6096</v>
      </c>
      <c r="H24" s="664">
        <v>26</v>
      </c>
      <c r="I24" s="664">
        <v>26</v>
      </c>
      <c r="J24" s="664">
        <v>0</v>
      </c>
      <c r="K24" s="664">
        <v>7</v>
      </c>
      <c r="L24" s="664">
        <v>6</v>
      </c>
      <c r="M24" s="665">
        <v>46097.915972222225</v>
      </c>
      <c r="N24" s="664">
        <v>11</v>
      </c>
      <c r="O24" s="664">
        <v>0</v>
      </c>
      <c r="P24" s="664">
        <v>12</v>
      </c>
      <c r="Q24" s="666">
        <v>23</v>
      </c>
      <c r="R24" s="667">
        <v>1</v>
      </c>
      <c r="S24" s="664">
        <v>47</v>
      </c>
      <c r="T24" s="664">
        <v>13</v>
      </c>
      <c r="U24" s="665">
        <v>45899.833333333336</v>
      </c>
      <c r="V24" s="665">
        <v>46084.833333333336</v>
      </c>
      <c r="W24" s="663">
        <v>0</v>
      </c>
      <c r="X24" s="663">
        <v>0</v>
      </c>
      <c r="Y24" s="663">
        <v>0</v>
      </c>
      <c r="Z24" s="663">
        <v>0</v>
      </c>
      <c r="AA24" s="663">
        <v>0</v>
      </c>
      <c r="AB24" s="663">
        <v>0</v>
      </c>
      <c r="AC24" s="663">
        <v>0</v>
      </c>
      <c r="AD24" s="663">
        <v>0</v>
      </c>
      <c r="AE24" s="668">
        <v>1</v>
      </c>
      <c r="AF24" s="668">
        <v>16</v>
      </c>
      <c r="AG24" s="668">
        <v>8</v>
      </c>
      <c r="AH24" s="668">
        <v>5</v>
      </c>
      <c r="AI24" s="668">
        <v>1</v>
      </c>
      <c r="AJ24" s="668">
        <v>10</v>
      </c>
      <c r="AK24" s="668">
        <v>5</v>
      </c>
      <c r="AL24" s="668">
        <v>1</v>
      </c>
    </row>
    <row r="25" spans="1:38" ht="30" thickBot="1">
      <c r="A25" s="661" t="s">
        <v>6163</v>
      </c>
      <c r="B25" s="662" t="s">
        <v>6164</v>
      </c>
      <c r="C25" s="662" t="s">
        <v>6165</v>
      </c>
      <c r="D25" s="664">
        <v>1795913</v>
      </c>
      <c r="E25" s="664" t="s">
        <v>6090</v>
      </c>
      <c r="F25" s="664" t="s">
        <v>6096</v>
      </c>
      <c r="G25" s="664" t="s">
        <v>6097</v>
      </c>
      <c r="H25" s="664">
        <v>25</v>
      </c>
      <c r="I25" s="664">
        <v>25</v>
      </c>
      <c r="J25" s="664">
        <v>0</v>
      </c>
      <c r="K25" s="664">
        <v>3</v>
      </c>
      <c r="L25" s="664">
        <v>18</v>
      </c>
      <c r="M25" s="665">
        <v>46085.957638888889</v>
      </c>
      <c r="N25" s="664">
        <v>1</v>
      </c>
      <c r="O25" s="664">
        <v>15</v>
      </c>
      <c r="P25" s="664">
        <v>39</v>
      </c>
      <c r="Q25" s="666">
        <v>55</v>
      </c>
      <c r="R25" s="664">
        <v>0</v>
      </c>
      <c r="S25" s="664">
        <v>65</v>
      </c>
      <c r="T25" s="664">
        <v>39</v>
      </c>
      <c r="U25" s="665">
        <v>45815.708333333336</v>
      </c>
      <c r="V25" s="665">
        <v>46064.458333333336</v>
      </c>
      <c r="W25" s="663">
        <v>0</v>
      </c>
      <c r="X25" s="663">
        <v>0</v>
      </c>
      <c r="Y25" s="663">
        <v>0</v>
      </c>
      <c r="Z25" s="663">
        <v>0</v>
      </c>
      <c r="AA25" s="663">
        <v>0</v>
      </c>
      <c r="AB25" s="663">
        <v>0</v>
      </c>
      <c r="AC25" s="668">
        <v>7</v>
      </c>
      <c r="AD25" s="668">
        <v>21</v>
      </c>
      <c r="AE25" s="668">
        <v>8</v>
      </c>
      <c r="AF25" s="668">
        <v>10</v>
      </c>
      <c r="AG25" s="668">
        <v>8</v>
      </c>
      <c r="AH25" s="668">
        <v>4</v>
      </c>
      <c r="AI25" s="668">
        <v>3</v>
      </c>
      <c r="AJ25" s="668">
        <v>1</v>
      </c>
      <c r="AK25" s="668">
        <v>3</v>
      </c>
      <c r="AL25" s="663">
        <v>0</v>
      </c>
    </row>
    <row r="26" spans="1:38" ht="30" thickBot="1">
      <c r="A26" s="661" t="s">
        <v>6166</v>
      </c>
      <c r="B26" s="662" t="s">
        <v>6167</v>
      </c>
      <c r="C26" s="662" t="s">
        <v>6168</v>
      </c>
      <c r="D26" s="664">
        <v>1795935</v>
      </c>
      <c r="E26" s="664" t="s">
        <v>6090</v>
      </c>
      <c r="F26" s="664" t="s">
        <v>6096</v>
      </c>
      <c r="G26" s="664" t="s">
        <v>6117</v>
      </c>
      <c r="H26" s="664">
        <v>25</v>
      </c>
      <c r="I26" s="664">
        <v>25</v>
      </c>
      <c r="J26" s="664">
        <v>0</v>
      </c>
      <c r="K26" s="664">
        <v>4</v>
      </c>
      <c r="L26" s="664">
        <v>8</v>
      </c>
      <c r="M26" s="665">
        <v>46138.405555555553</v>
      </c>
      <c r="N26" s="664">
        <v>2</v>
      </c>
      <c r="O26" s="664">
        <v>4</v>
      </c>
      <c r="P26" s="664">
        <v>8</v>
      </c>
      <c r="Q26" s="666">
        <v>14</v>
      </c>
      <c r="R26" s="664">
        <v>0</v>
      </c>
      <c r="S26" s="664">
        <v>82</v>
      </c>
      <c r="T26" s="664">
        <v>8</v>
      </c>
      <c r="U26" s="665">
        <v>45815.5</v>
      </c>
      <c r="V26" s="665">
        <v>46056.583333333336</v>
      </c>
      <c r="W26" s="663">
        <v>0</v>
      </c>
      <c r="X26" s="663">
        <v>0</v>
      </c>
      <c r="Y26" s="663">
        <v>0</v>
      </c>
      <c r="Z26" s="663">
        <v>0</v>
      </c>
      <c r="AA26" s="663">
        <v>0</v>
      </c>
      <c r="AB26" s="663">
        <v>0</v>
      </c>
      <c r="AC26" s="668">
        <v>21</v>
      </c>
      <c r="AD26" s="663">
        <v>0</v>
      </c>
      <c r="AE26" s="668">
        <v>6</v>
      </c>
      <c r="AF26" s="668">
        <v>13</v>
      </c>
      <c r="AG26" s="663">
        <v>0</v>
      </c>
      <c r="AH26" s="663">
        <v>0</v>
      </c>
      <c r="AI26" s="668">
        <v>12</v>
      </c>
      <c r="AJ26" s="668">
        <v>29</v>
      </c>
      <c r="AK26" s="668">
        <v>1</v>
      </c>
      <c r="AL26" s="663">
        <v>0</v>
      </c>
    </row>
    <row r="27" spans="1:38" ht="30" thickBot="1">
      <c r="A27" s="661" t="s">
        <v>6169</v>
      </c>
      <c r="B27" s="662" t="s">
        <v>6170</v>
      </c>
      <c r="C27" s="662" t="s">
        <v>6171</v>
      </c>
      <c r="D27" s="664">
        <v>1821578</v>
      </c>
      <c r="E27" s="664" t="s">
        <v>6090</v>
      </c>
      <c r="F27" s="664" t="s">
        <v>6096</v>
      </c>
      <c r="G27" s="664" t="s">
        <v>6097</v>
      </c>
      <c r="H27" s="664">
        <v>25</v>
      </c>
      <c r="I27" s="664">
        <v>25</v>
      </c>
      <c r="J27" s="664">
        <v>0</v>
      </c>
      <c r="K27" s="664">
        <v>3</v>
      </c>
      <c r="L27" s="664">
        <v>2</v>
      </c>
      <c r="M27" s="665">
        <v>46098.915972222225</v>
      </c>
      <c r="N27" s="664">
        <v>0</v>
      </c>
      <c r="O27" s="664">
        <v>0</v>
      </c>
      <c r="P27" s="664">
        <v>2</v>
      </c>
      <c r="Q27" s="666">
        <v>2</v>
      </c>
      <c r="R27" s="664">
        <v>0</v>
      </c>
      <c r="S27" s="664">
        <v>72</v>
      </c>
      <c r="T27" s="664">
        <v>3</v>
      </c>
      <c r="U27" s="665">
        <v>45904.875</v>
      </c>
      <c r="V27" s="665">
        <v>46084.625</v>
      </c>
      <c r="W27" s="663">
        <v>0</v>
      </c>
      <c r="X27" s="663">
        <v>0</v>
      </c>
      <c r="Y27" s="663">
        <v>0</v>
      </c>
      <c r="Z27" s="663">
        <v>0</v>
      </c>
      <c r="AA27" s="663">
        <v>0</v>
      </c>
      <c r="AB27" s="663">
        <v>0</v>
      </c>
      <c r="AC27" s="663">
        <v>0</v>
      </c>
      <c r="AD27" s="663">
        <v>0</v>
      </c>
      <c r="AE27" s="663">
        <v>0</v>
      </c>
      <c r="AF27" s="668">
        <v>8</v>
      </c>
      <c r="AG27" s="668">
        <v>3</v>
      </c>
      <c r="AH27" s="668">
        <v>33</v>
      </c>
      <c r="AI27" s="668">
        <v>8</v>
      </c>
      <c r="AJ27" s="668">
        <v>9</v>
      </c>
      <c r="AK27" s="668">
        <v>10</v>
      </c>
      <c r="AL27" s="668">
        <v>1</v>
      </c>
    </row>
    <row r="28" spans="1:38" ht="30" thickBot="1">
      <c r="A28" s="661" t="s">
        <v>6172</v>
      </c>
      <c r="B28" s="662" t="s">
        <v>6173</v>
      </c>
      <c r="C28" s="662" t="s">
        <v>6174</v>
      </c>
      <c r="D28" s="664">
        <v>1812149</v>
      </c>
      <c r="E28" s="664" t="s">
        <v>6090</v>
      </c>
      <c r="F28" s="664" t="s">
        <v>6096</v>
      </c>
      <c r="G28" s="664" t="s">
        <v>6096</v>
      </c>
      <c r="H28" s="664">
        <v>22</v>
      </c>
      <c r="I28" s="664">
        <v>22</v>
      </c>
      <c r="J28" s="664">
        <v>0</v>
      </c>
      <c r="K28" s="664">
        <v>0</v>
      </c>
      <c r="L28" s="664">
        <v>0</v>
      </c>
      <c r="M28" s="665">
        <v>46138.915972222225</v>
      </c>
      <c r="N28" s="664">
        <v>0</v>
      </c>
      <c r="O28" s="664">
        <v>0</v>
      </c>
      <c r="P28" s="664">
        <v>0</v>
      </c>
      <c r="Q28" s="666">
        <v>0</v>
      </c>
      <c r="R28" s="664">
        <v>0</v>
      </c>
      <c r="S28" s="664">
        <v>3</v>
      </c>
      <c r="T28" s="664">
        <v>0</v>
      </c>
      <c r="U28" s="665">
        <v>46064.958333333336</v>
      </c>
      <c r="V28" s="665">
        <v>46080.625</v>
      </c>
      <c r="W28" s="663">
        <v>0</v>
      </c>
      <c r="X28" s="663">
        <v>0</v>
      </c>
      <c r="Y28" s="663">
        <v>0</v>
      </c>
      <c r="Z28" s="663">
        <v>0</v>
      </c>
      <c r="AA28" s="663">
        <v>0</v>
      </c>
      <c r="AB28" s="663">
        <v>0</v>
      </c>
      <c r="AC28" s="663">
        <v>0</v>
      </c>
      <c r="AD28" s="663">
        <v>0</v>
      </c>
      <c r="AE28" s="663">
        <v>0</v>
      </c>
      <c r="AF28" s="663">
        <v>0</v>
      </c>
      <c r="AG28" s="663">
        <v>0</v>
      </c>
      <c r="AH28" s="663">
        <v>0</v>
      </c>
      <c r="AI28" s="663">
        <v>0</v>
      </c>
      <c r="AJ28" s="663">
        <v>0</v>
      </c>
      <c r="AK28" s="668">
        <v>3</v>
      </c>
      <c r="AL28" s="663">
        <v>0</v>
      </c>
    </row>
    <row r="29" spans="1:38" ht="30" thickBot="1">
      <c r="A29" s="661" t="s">
        <v>6175</v>
      </c>
      <c r="B29" s="662" t="s">
        <v>6176</v>
      </c>
      <c r="C29" s="662" t="s">
        <v>6177</v>
      </c>
      <c r="D29" s="664">
        <v>1833844</v>
      </c>
      <c r="E29" s="664" t="s">
        <v>6090</v>
      </c>
      <c r="F29" s="664" t="s">
        <v>6096</v>
      </c>
      <c r="G29" s="664" t="s">
        <v>6097</v>
      </c>
      <c r="H29" s="664">
        <v>22</v>
      </c>
      <c r="I29" s="664">
        <v>22</v>
      </c>
      <c r="J29" s="664">
        <v>0</v>
      </c>
      <c r="K29" s="664">
        <v>2</v>
      </c>
      <c r="L29" s="664">
        <v>5</v>
      </c>
      <c r="M29" s="665">
        <v>46126.915972222225</v>
      </c>
      <c r="N29" s="664">
        <v>0</v>
      </c>
      <c r="O29" s="664">
        <v>3</v>
      </c>
      <c r="P29" s="664">
        <v>17</v>
      </c>
      <c r="Q29" s="666">
        <v>20</v>
      </c>
      <c r="R29" s="664">
        <v>0</v>
      </c>
      <c r="S29" s="664">
        <v>58</v>
      </c>
      <c r="T29" s="664">
        <v>17</v>
      </c>
      <c r="U29" s="665">
        <v>45951.75</v>
      </c>
      <c r="V29" s="665">
        <v>46084.625</v>
      </c>
      <c r="W29" s="663">
        <v>0</v>
      </c>
      <c r="X29" s="663">
        <v>0</v>
      </c>
      <c r="Y29" s="663">
        <v>0</v>
      </c>
      <c r="Z29" s="663">
        <v>0</v>
      </c>
      <c r="AA29" s="663">
        <v>0</v>
      </c>
      <c r="AB29" s="663">
        <v>0</v>
      </c>
      <c r="AC29" s="663">
        <v>0</v>
      </c>
      <c r="AD29" s="663">
        <v>0</v>
      </c>
      <c r="AE29" s="663">
        <v>0</v>
      </c>
      <c r="AF29" s="663">
        <v>0</v>
      </c>
      <c r="AG29" s="668">
        <v>12</v>
      </c>
      <c r="AH29" s="668">
        <v>14</v>
      </c>
      <c r="AI29" s="668">
        <v>10</v>
      </c>
      <c r="AJ29" s="668">
        <v>11</v>
      </c>
      <c r="AK29" s="668">
        <v>8</v>
      </c>
      <c r="AL29" s="668">
        <v>3</v>
      </c>
    </row>
    <row r="30" spans="1:38" ht="30" thickBot="1">
      <c r="A30" s="661" t="s">
        <v>6178</v>
      </c>
      <c r="B30" s="662" t="s">
        <v>6179</v>
      </c>
      <c r="C30" s="662" t="s">
        <v>6180</v>
      </c>
      <c r="D30" s="664">
        <v>1784876</v>
      </c>
      <c r="E30" s="664" t="s">
        <v>6090</v>
      </c>
      <c r="F30" s="664" t="s">
        <v>6092</v>
      </c>
      <c r="G30" s="664" t="s">
        <v>6181</v>
      </c>
      <c r="H30" s="664">
        <v>19</v>
      </c>
      <c r="I30" s="664">
        <v>19</v>
      </c>
      <c r="J30" s="664">
        <v>0</v>
      </c>
      <c r="K30" s="664">
        <v>35</v>
      </c>
      <c r="L30" s="664">
        <v>58</v>
      </c>
      <c r="M30" s="665">
        <v>46098.915972222225</v>
      </c>
      <c r="N30" s="664">
        <v>0</v>
      </c>
      <c r="O30" s="664">
        <v>23</v>
      </c>
      <c r="P30" s="664">
        <v>22</v>
      </c>
      <c r="Q30" s="666">
        <v>45</v>
      </c>
      <c r="R30" s="667">
        <v>17</v>
      </c>
      <c r="S30" s="664">
        <v>119</v>
      </c>
      <c r="T30" s="664">
        <v>22</v>
      </c>
      <c r="U30" s="665">
        <v>45773.708333333336</v>
      </c>
      <c r="V30" s="665">
        <v>46058.458333333336</v>
      </c>
      <c r="W30" s="663">
        <v>0</v>
      </c>
      <c r="X30" s="663">
        <v>0</v>
      </c>
      <c r="Y30" s="663">
        <v>0</v>
      </c>
      <c r="Z30" s="663">
        <v>0</v>
      </c>
      <c r="AA30" s="668">
        <v>1</v>
      </c>
      <c r="AB30" s="668">
        <v>15</v>
      </c>
      <c r="AC30" s="668">
        <v>19</v>
      </c>
      <c r="AD30" s="668">
        <v>20</v>
      </c>
      <c r="AE30" s="668">
        <v>7</v>
      </c>
      <c r="AF30" s="668">
        <v>17</v>
      </c>
      <c r="AG30" s="668">
        <v>3</v>
      </c>
      <c r="AH30" s="668">
        <v>4</v>
      </c>
      <c r="AI30" s="668">
        <v>18</v>
      </c>
      <c r="AJ30" s="668">
        <v>11</v>
      </c>
      <c r="AK30" s="668">
        <v>4</v>
      </c>
      <c r="AL30" s="663">
        <v>0</v>
      </c>
    </row>
    <row r="31" spans="1:38" ht="30" thickBot="1">
      <c r="A31" s="661" t="s">
        <v>6182</v>
      </c>
      <c r="B31" s="662" t="s">
        <v>6183</v>
      </c>
      <c r="C31" s="662" t="s">
        <v>6184</v>
      </c>
      <c r="D31" s="664">
        <v>1812963</v>
      </c>
      <c r="E31" s="664" t="s">
        <v>6090</v>
      </c>
      <c r="F31" s="664" t="s">
        <v>6101</v>
      </c>
      <c r="G31" s="664" t="s">
        <v>6101</v>
      </c>
      <c r="H31" s="664">
        <v>16</v>
      </c>
      <c r="I31" s="664">
        <v>16</v>
      </c>
      <c r="J31" s="664">
        <v>0</v>
      </c>
      <c r="K31" s="664">
        <v>0</v>
      </c>
      <c r="L31" s="664">
        <v>0</v>
      </c>
      <c r="M31" s="665">
        <v>46138.915972222225</v>
      </c>
      <c r="N31" s="664">
        <v>0</v>
      </c>
      <c r="O31" s="664">
        <v>0</v>
      </c>
      <c r="P31" s="664">
        <v>0</v>
      </c>
      <c r="Q31" s="666">
        <v>0</v>
      </c>
      <c r="R31" s="664">
        <v>0</v>
      </c>
      <c r="S31" s="664">
        <v>22</v>
      </c>
      <c r="T31" s="664">
        <v>0</v>
      </c>
      <c r="U31" s="665">
        <v>45874.833333333336</v>
      </c>
      <c r="V31" s="665">
        <v>46078.75</v>
      </c>
      <c r="W31" s="663">
        <v>0</v>
      </c>
      <c r="X31" s="663">
        <v>0</v>
      </c>
      <c r="Y31" s="663">
        <v>0</v>
      </c>
      <c r="Z31" s="663">
        <v>0</v>
      </c>
      <c r="AA31" s="663">
        <v>0</v>
      </c>
      <c r="AB31" s="663">
        <v>0</v>
      </c>
      <c r="AC31" s="663">
        <v>0</v>
      </c>
      <c r="AD31" s="663">
        <v>0</v>
      </c>
      <c r="AE31" s="668">
        <v>4</v>
      </c>
      <c r="AF31" s="668">
        <v>4</v>
      </c>
      <c r="AG31" s="668">
        <v>4</v>
      </c>
      <c r="AH31" s="668">
        <v>1</v>
      </c>
      <c r="AI31" s="663">
        <v>0</v>
      </c>
      <c r="AJ31" s="663">
        <v>0</v>
      </c>
      <c r="AK31" s="668">
        <v>9</v>
      </c>
      <c r="AL31" s="663">
        <v>0</v>
      </c>
    </row>
    <row r="32" spans="1:38" ht="30" thickBot="1">
      <c r="A32" s="661" t="s">
        <v>6185</v>
      </c>
      <c r="B32" s="662" t="s">
        <v>6167</v>
      </c>
      <c r="C32" s="662" t="s">
        <v>6186</v>
      </c>
      <c r="D32" s="669">
        <v>1857077</v>
      </c>
      <c r="E32" s="669" t="s">
        <v>6090</v>
      </c>
      <c r="F32" s="669" t="s">
        <v>6096</v>
      </c>
      <c r="G32" s="669" t="s">
        <v>6096</v>
      </c>
      <c r="H32" s="669">
        <v>16</v>
      </c>
      <c r="I32" s="669">
        <v>16</v>
      </c>
      <c r="J32" s="669">
        <v>0</v>
      </c>
      <c r="K32" s="669">
        <v>7</v>
      </c>
      <c r="L32" s="669">
        <v>10</v>
      </c>
      <c r="M32" s="670">
        <v>46153.588888888888</v>
      </c>
      <c r="N32" s="669">
        <v>0</v>
      </c>
      <c r="O32" s="664">
        <v>3</v>
      </c>
      <c r="P32" s="664">
        <v>3</v>
      </c>
      <c r="Q32" s="666">
        <v>6</v>
      </c>
      <c r="R32" s="669">
        <v>0</v>
      </c>
      <c r="S32" s="669">
        <v>45</v>
      </c>
      <c r="T32" s="669">
        <v>3</v>
      </c>
      <c r="U32" s="670">
        <v>46036.875</v>
      </c>
      <c r="V32" s="670">
        <v>46081.125</v>
      </c>
      <c r="W32" s="663">
        <v>0</v>
      </c>
      <c r="X32" s="663">
        <v>0</v>
      </c>
      <c r="Y32" s="663">
        <v>0</v>
      </c>
      <c r="Z32" s="663">
        <v>0</v>
      </c>
      <c r="AA32" s="663">
        <v>0</v>
      </c>
      <c r="AB32" s="663">
        <v>0</v>
      </c>
      <c r="AC32" s="663">
        <v>0</v>
      </c>
      <c r="AD32" s="663">
        <v>0</v>
      </c>
      <c r="AE32" s="663">
        <v>0</v>
      </c>
      <c r="AF32" s="663">
        <v>0</v>
      </c>
      <c r="AG32" s="663">
        <v>0</v>
      </c>
      <c r="AH32" s="663">
        <v>0</v>
      </c>
      <c r="AI32" s="663">
        <v>0</v>
      </c>
      <c r="AJ32" s="668">
        <v>15</v>
      </c>
      <c r="AK32" s="668">
        <v>30</v>
      </c>
      <c r="AL32" s="663">
        <v>0</v>
      </c>
    </row>
    <row r="33" spans="1:38" ht="30" thickBot="1">
      <c r="A33" s="661" t="s">
        <v>6187</v>
      </c>
      <c r="B33" s="662" t="s">
        <v>6188</v>
      </c>
      <c r="C33" s="662" t="s">
        <v>6189</v>
      </c>
      <c r="D33" s="669">
        <v>1672216</v>
      </c>
      <c r="E33" s="669" t="s">
        <v>6090</v>
      </c>
      <c r="F33" s="669" t="s">
        <v>6096</v>
      </c>
      <c r="G33" s="669" t="s">
        <v>6113</v>
      </c>
      <c r="H33" s="669">
        <v>15</v>
      </c>
      <c r="I33" s="669">
        <v>15</v>
      </c>
      <c r="J33" s="669">
        <v>0</v>
      </c>
      <c r="K33" s="669">
        <v>23</v>
      </c>
      <c r="L33" s="669">
        <v>18</v>
      </c>
      <c r="M33" s="670">
        <v>46098.915972222225</v>
      </c>
      <c r="N33" s="669">
        <v>0</v>
      </c>
      <c r="O33" s="664">
        <v>0</v>
      </c>
      <c r="P33" s="664">
        <v>21</v>
      </c>
      <c r="Q33" s="666">
        <v>21</v>
      </c>
      <c r="R33" s="667">
        <v>7</v>
      </c>
      <c r="S33" s="669">
        <v>292</v>
      </c>
      <c r="T33" s="669">
        <v>26</v>
      </c>
      <c r="U33" s="670">
        <v>45633.791666666664</v>
      </c>
      <c r="V33" s="670">
        <v>46082.208333333336</v>
      </c>
      <c r="W33" s="668">
        <v>9</v>
      </c>
      <c r="X33" s="668">
        <v>22</v>
      </c>
      <c r="Y33" s="668">
        <v>16</v>
      </c>
      <c r="Z33" s="668">
        <v>10</v>
      </c>
      <c r="AA33" s="668">
        <v>21</v>
      </c>
      <c r="AB33" s="668">
        <v>40</v>
      </c>
      <c r="AC33" s="668">
        <v>15</v>
      </c>
      <c r="AD33" s="668">
        <v>33</v>
      </c>
      <c r="AE33" s="668">
        <v>23</v>
      </c>
      <c r="AF33" s="668">
        <v>17</v>
      </c>
      <c r="AG33" s="668">
        <v>24</v>
      </c>
      <c r="AH33" s="668">
        <v>19</v>
      </c>
      <c r="AI33" s="668">
        <v>20</v>
      </c>
      <c r="AJ33" s="668">
        <v>10</v>
      </c>
      <c r="AK33" s="668">
        <v>12</v>
      </c>
      <c r="AL33" s="668">
        <v>1</v>
      </c>
    </row>
    <row r="34" spans="1:38" ht="44" thickBot="1">
      <c r="A34" s="661" t="s">
        <v>6190</v>
      </c>
      <c r="B34" s="662" t="s">
        <v>6191</v>
      </c>
      <c r="C34" s="662" t="s">
        <v>6192</v>
      </c>
      <c r="D34" s="669">
        <v>1792194</v>
      </c>
      <c r="E34" s="669" t="s">
        <v>6090</v>
      </c>
      <c r="F34" s="669" t="s">
        <v>6091</v>
      </c>
      <c r="G34" s="669" t="s">
        <v>6091</v>
      </c>
      <c r="H34" s="669">
        <v>15</v>
      </c>
      <c r="I34" s="669">
        <v>15</v>
      </c>
      <c r="J34" s="669">
        <v>0</v>
      </c>
      <c r="K34" s="669">
        <v>6</v>
      </c>
      <c r="L34" s="669">
        <v>2</v>
      </c>
      <c r="M34" s="670">
        <v>46168.915972222225</v>
      </c>
      <c r="N34" s="669">
        <v>0</v>
      </c>
      <c r="O34" s="664">
        <v>0</v>
      </c>
      <c r="P34" s="664">
        <v>1</v>
      </c>
      <c r="Q34" s="666">
        <v>1</v>
      </c>
      <c r="R34" s="667">
        <v>18</v>
      </c>
      <c r="S34" s="669">
        <v>195</v>
      </c>
      <c r="T34" s="669">
        <v>5</v>
      </c>
      <c r="U34" s="670">
        <v>45815.125</v>
      </c>
      <c r="V34" s="670">
        <v>46084.875</v>
      </c>
      <c r="W34" s="663">
        <v>0</v>
      </c>
      <c r="X34" s="663">
        <v>0</v>
      </c>
      <c r="Y34" s="663">
        <v>0</v>
      </c>
      <c r="Z34" s="663">
        <v>0</v>
      </c>
      <c r="AA34" s="663">
        <v>0</v>
      </c>
      <c r="AB34" s="663">
        <v>0</v>
      </c>
      <c r="AC34" s="668">
        <v>49</v>
      </c>
      <c r="AD34" s="663">
        <v>0</v>
      </c>
      <c r="AE34" s="663">
        <v>0</v>
      </c>
      <c r="AF34" s="663">
        <v>0</v>
      </c>
      <c r="AG34" s="668">
        <v>21</v>
      </c>
      <c r="AH34" s="668">
        <v>27</v>
      </c>
      <c r="AI34" s="663">
        <v>0</v>
      </c>
      <c r="AJ34" s="668">
        <v>23</v>
      </c>
      <c r="AK34" s="668">
        <v>67</v>
      </c>
      <c r="AL34" s="668">
        <v>8</v>
      </c>
    </row>
    <row r="35" spans="1:38" ht="44" thickBot="1">
      <c r="A35" s="661" t="s">
        <v>6124</v>
      </c>
      <c r="B35" s="662" t="s">
        <v>6193</v>
      </c>
      <c r="C35" s="662" t="s">
        <v>6194</v>
      </c>
      <c r="D35" s="669">
        <v>1795911</v>
      </c>
      <c r="E35" s="669" t="s">
        <v>6090</v>
      </c>
      <c r="F35" s="669" t="s">
        <v>6096</v>
      </c>
      <c r="G35" s="669" t="s">
        <v>6097</v>
      </c>
      <c r="H35" s="669">
        <v>15</v>
      </c>
      <c r="I35" s="669">
        <v>15</v>
      </c>
      <c r="J35" s="669">
        <v>0</v>
      </c>
      <c r="K35" s="669">
        <v>26</v>
      </c>
      <c r="L35" s="669">
        <v>26</v>
      </c>
      <c r="M35" s="670">
        <v>46138.915972222225</v>
      </c>
      <c r="N35" s="669">
        <v>3</v>
      </c>
      <c r="O35" s="664">
        <v>0</v>
      </c>
      <c r="P35" s="664">
        <v>2</v>
      </c>
      <c r="Q35" s="666">
        <v>5</v>
      </c>
      <c r="R35" s="669">
        <v>0</v>
      </c>
      <c r="S35" s="669">
        <v>94</v>
      </c>
      <c r="T35" s="669">
        <v>2</v>
      </c>
      <c r="U35" s="670">
        <v>45813.416666666664</v>
      </c>
      <c r="V35" s="670">
        <v>46020.5</v>
      </c>
      <c r="W35" s="663">
        <v>0</v>
      </c>
      <c r="X35" s="663">
        <v>0</v>
      </c>
      <c r="Y35" s="663">
        <v>0</v>
      </c>
      <c r="Z35" s="663">
        <v>0</v>
      </c>
      <c r="AA35" s="663">
        <v>0</v>
      </c>
      <c r="AB35" s="663">
        <v>0</v>
      </c>
      <c r="AC35" s="668">
        <v>13</v>
      </c>
      <c r="AD35" s="668">
        <v>16</v>
      </c>
      <c r="AE35" s="668">
        <v>12</v>
      </c>
      <c r="AF35" s="668">
        <v>8</v>
      </c>
      <c r="AG35" s="668">
        <v>3</v>
      </c>
      <c r="AH35" s="668">
        <v>22</v>
      </c>
      <c r="AI35" s="668">
        <v>20</v>
      </c>
      <c r="AJ35" s="663">
        <v>0</v>
      </c>
      <c r="AK35" s="663">
        <v>0</v>
      </c>
      <c r="AL35" s="663">
        <v>0</v>
      </c>
    </row>
    <row r="36" spans="1:38" ht="30" thickBot="1">
      <c r="A36" s="661" t="s">
        <v>6195</v>
      </c>
      <c r="B36" s="662" t="s">
        <v>6196</v>
      </c>
      <c r="C36" s="662" t="s">
        <v>6197</v>
      </c>
      <c r="D36" s="669">
        <v>1798181</v>
      </c>
      <c r="E36" s="669" t="s">
        <v>6090</v>
      </c>
      <c r="F36" s="669" t="s">
        <v>6096</v>
      </c>
      <c r="G36" s="669" t="s">
        <v>6091</v>
      </c>
      <c r="H36" s="669">
        <v>15</v>
      </c>
      <c r="I36" s="669">
        <v>15</v>
      </c>
      <c r="J36" s="669">
        <v>0</v>
      </c>
      <c r="K36" s="669">
        <v>9</v>
      </c>
      <c r="L36" s="669">
        <v>6</v>
      </c>
      <c r="M36" s="670">
        <v>46168.915972222225</v>
      </c>
      <c r="N36" s="669">
        <v>0</v>
      </c>
      <c r="O36" s="664">
        <v>0</v>
      </c>
      <c r="P36" s="664">
        <v>16</v>
      </c>
      <c r="Q36" s="666">
        <v>16</v>
      </c>
      <c r="R36" s="669">
        <v>0</v>
      </c>
      <c r="S36" s="669">
        <v>102</v>
      </c>
      <c r="T36" s="669">
        <v>17</v>
      </c>
      <c r="U36" s="670">
        <v>45845.625</v>
      </c>
      <c r="V36" s="670">
        <v>46084</v>
      </c>
      <c r="W36" s="663">
        <v>0</v>
      </c>
      <c r="X36" s="663">
        <v>0</v>
      </c>
      <c r="Y36" s="663">
        <v>0</v>
      </c>
      <c r="Z36" s="663">
        <v>0</v>
      </c>
      <c r="AA36" s="663">
        <v>0</v>
      </c>
      <c r="AB36" s="663">
        <v>0</v>
      </c>
      <c r="AC36" s="663">
        <v>0</v>
      </c>
      <c r="AD36" s="668">
        <v>4</v>
      </c>
      <c r="AE36" s="668">
        <v>5</v>
      </c>
      <c r="AF36" s="668">
        <v>10</v>
      </c>
      <c r="AG36" s="668">
        <v>11</v>
      </c>
      <c r="AH36" s="668">
        <v>22</v>
      </c>
      <c r="AI36" s="668">
        <v>7</v>
      </c>
      <c r="AJ36" s="668">
        <v>19</v>
      </c>
      <c r="AK36" s="668">
        <v>20</v>
      </c>
      <c r="AL36" s="668">
        <v>4</v>
      </c>
    </row>
    <row r="37" spans="1:38" ht="30" thickBot="1">
      <c r="A37" s="661" t="s">
        <v>6127</v>
      </c>
      <c r="B37" s="662" t="s">
        <v>6198</v>
      </c>
      <c r="C37" s="662" t="s">
        <v>6199</v>
      </c>
      <c r="D37" s="669">
        <v>1800680</v>
      </c>
      <c r="E37" s="669" t="s">
        <v>6090</v>
      </c>
      <c r="F37" s="669" t="s">
        <v>6096</v>
      </c>
      <c r="G37" s="669" t="s">
        <v>6096</v>
      </c>
      <c r="H37" s="669">
        <v>15</v>
      </c>
      <c r="I37" s="669">
        <v>15</v>
      </c>
      <c r="J37" s="669">
        <v>0</v>
      </c>
      <c r="K37" s="669">
        <v>0</v>
      </c>
      <c r="L37" s="669">
        <v>0</v>
      </c>
      <c r="M37" s="670">
        <v>46138.915972222225</v>
      </c>
      <c r="N37" s="669">
        <v>50</v>
      </c>
      <c r="O37" s="664">
        <v>0</v>
      </c>
      <c r="P37" s="664">
        <v>33</v>
      </c>
      <c r="Q37" s="666">
        <v>83</v>
      </c>
      <c r="R37" s="669">
        <v>0</v>
      </c>
      <c r="S37" s="669">
        <v>17</v>
      </c>
      <c r="T37" s="669">
        <v>33</v>
      </c>
      <c r="U37" s="670">
        <v>45836.375</v>
      </c>
      <c r="V37" s="670">
        <v>45914.5</v>
      </c>
      <c r="W37" s="663">
        <v>0</v>
      </c>
      <c r="X37" s="663">
        <v>0</v>
      </c>
      <c r="Y37" s="663">
        <v>0</v>
      </c>
      <c r="Z37" s="663">
        <v>0</v>
      </c>
      <c r="AA37" s="663">
        <v>0</v>
      </c>
      <c r="AB37" s="663">
        <v>0</v>
      </c>
      <c r="AC37" s="668">
        <v>1</v>
      </c>
      <c r="AD37" s="668">
        <v>2</v>
      </c>
      <c r="AE37" s="663">
        <v>0</v>
      </c>
      <c r="AF37" s="668">
        <v>14</v>
      </c>
      <c r="AG37" s="663">
        <v>0</v>
      </c>
      <c r="AH37" s="663">
        <v>0</v>
      </c>
      <c r="AI37" s="663">
        <v>0</v>
      </c>
      <c r="AJ37" s="663">
        <v>0</v>
      </c>
      <c r="AK37" s="663">
        <v>0</v>
      </c>
      <c r="AL37" s="663">
        <v>0</v>
      </c>
    </row>
    <row r="38" spans="1:38" ht="30" thickBot="1">
      <c r="A38" s="661" t="s">
        <v>6200</v>
      </c>
      <c r="B38" s="662" t="s">
        <v>6201</v>
      </c>
      <c r="C38" s="662" t="s">
        <v>6202</v>
      </c>
      <c r="D38" s="669">
        <v>1806120</v>
      </c>
      <c r="E38" s="669" t="s">
        <v>6090</v>
      </c>
      <c r="F38" s="669" t="s">
        <v>6096</v>
      </c>
      <c r="G38" s="669" t="s">
        <v>6117</v>
      </c>
      <c r="H38" s="669">
        <v>15</v>
      </c>
      <c r="I38" s="669">
        <v>15</v>
      </c>
      <c r="J38" s="669">
        <v>0</v>
      </c>
      <c r="K38" s="669">
        <v>11</v>
      </c>
      <c r="L38" s="669">
        <v>14</v>
      </c>
      <c r="M38" s="670">
        <v>46153.915972222225</v>
      </c>
      <c r="N38" s="669">
        <v>0</v>
      </c>
      <c r="O38" s="664">
        <v>3</v>
      </c>
      <c r="P38" s="664">
        <v>16</v>
      </c>
      <c r="Q38" s="666">
        <v>19</v>
      </c>
      <c r="R38" s="669">
        <v>0</v>
      </c>
      <c r="S38" s="669">
        <v>81</v>
      </c>
      <c r="T38" s="669">
        <v>16</v>
      </c>
      <c r="U38" s="670">
        <v>45920.208333333336</v>
      </c>
      <c r="V38" s="670">
        <v>46065.833333333336</v>
      </c>
      <c r="W38" s="663">
        <v>0</v>
      </c>
      <c r="X38" s="663">
        <v>0</v>
      </c>
      <c r="Y38" s="663">
        <v>0</v>
      </c>
      <c r="Z38" s="663">
        <v>0</v>
      </c>
      <c r="AA38" s="663">
        <v>0</v>
      </c>
      <c r="AB38" s="663">
        <v>0</v>
      </c>
      <c r="AC38" s="663">
        <v>0</v>
      </c>
      <c r="AD38" s="663">
        <v>0</v>
      </c>
      <c r="AE38" s="663">
        <v>0</v>
      </c>
      <c r="AF38" s="668">
        <v>22</v>
      </c>
      <c r="AG38" s="668">
        <v>17</v>
      </c>
      <c r="AH38" s="668">
        <v>1</v>
      </c>
      <c r="AI38" s="668">
        <v>8</v>
      </c>
      <c r="AJ38" s="668">
        <v>26</v>
      </c>
      <c r="AK38" s="668">
        <v>7</v>
      </c>
      <c r="AL38" s="663">
        <v>0</v>
      </c>
    </row>
    <row r="39" spans="1:38" ht="30" thickBot="1">
      <c r="A39" s="661" t="s">
        <v>6203</v>
      </c>
      <c r="B39" s="662" t="s">
        <v>6167</v>
      </c>
      <c r="C39" s="662" t="s">
        <v>6204</v>
      </c>
      <c r="D39" s="669">
        <v>1820021</v>
      </c>
      <c r="E39" s="669" t="s">
        <v>6090</v>
      </c>
      <c r="F39" s="669" t="s">
        <v>6096</v>
      </c>
      <c r="G39" s="669" t="s">
        <v>6117</v>
      </c>
      <c r="H39" s="669">
        <v>15</v>
      </c>
      <c r="I39" s="669">
        <v>15</v>
      </c>
      <c r="J39" s="669">
        <v>0</v>
      </c>
      <c r="K39" s="669">
        <v>80</v>
      </c>
      <c r="L39" s="669">
        <v>80</v>
      </c>
      <c r="M39" s="670">
        <v>46155.915972222225</v>
      </c>
      <c r="N39" s="669">
        <v>0</v>
      </c>
      <c r="O39" s="664">
        <v>0</v>
      </c>
      <c r="P39" s="664">
        <v>1</v>
      </c>
      <c r="Q39" s="666">
        <v>1</v>
      </c>
      <c r="R39" s="667">
        <v>4</v>
      </c>
      <c r="S39" s="669">
        <v>139</v>
      </c>
      <c r="T39" s="669">
        <v>1</v>
      </c>
      <c r="U39" s="670">
        <v>45897.5</v>
      </c>
      <c r="V39" s="670">
        <v>46078.541666666664</v>
      </c>
      <c r="W39" s="663">
        <v>0</v>
      </c>
      <c r="X39" s="663">
        <v>0</v>
      </c>
      <c r="Y39" s="663">
        <v>0</v>
      </c>
      <c r="Z39" s="663">
        <v>0</v>
      </c>
      <c r="AA39" s="663">
        <v>0</v>
      </c>
      <c r="AB39" s="663">
        <v>0</v>
      </c>
      <c r="AC39" s="663">
        <v>0</v>
      </c>
      <c r="AD39" s="663">
        <v>0</v>
      </c>
      <c r="AE39" s="668">
        <v>13</v>
      </c>
      <c r="AF39" s="668">
        <v>54</v>
      </c>
      <c r="AG39" s="663">
        <v>0</v>
      </c>
      <c r="AH39" s="668">
        <v>32</v>
      </c>
      <c r="AI39" s="668">
        <v>2</v>
      </c>
      <c r="AJ39" s="668">
        <v>18</v>
      </c>
      <c r="AK39" s="668">
        <v>20</v>
      </c>
      <c r="AL39" s="663">
        <v>0</v>
      </c>
    </row>
    <row r="40" spans="1:38" ht="30" thickBot="1">
      <c r="A40" s="661" t="s">
        <v>6205</v>
      </c>
      <c r="B40" s="662" t="s">
        <v>6206</v>
      </c>
      <c r="C40" s="662" t="s">
        <v>6207</v>
      </c>
      <c r="D40" s="669">
        <v>1823257</v>
      </c>
      <c r="E40" s="669" t="s">
        <v>6090</v>
      </c>
      <c r="F40" s="669" t="s">
        <v>125</v>
      </c>
      <c r="G40" s="669" t="s">
        <v>125</v>
      </c>
      <c r="H40" s="669">
        <v>15</v>
      </c>
      <c r="I40" s="669">
        <v>15</v>
      </c>
      <c r="J40" s="669">
        <v>0</v>
      </c>
      <c r="K40" s="669">
        <v>0</v>
      </c>
      <c r="L40" s="669">
        <v>0</v>
      </c>
      <c r="M40" s="670">
        <v>46138.915972222225</v>
      </c>
      <c r="N40" s="669">
        <v>0</v>
      </c>
      <c r="O40" s="664">
        <v>0</v>
      </c>
      <c r="P40" s="664">
        <v>0</v>
      </c>
      <c r="Q40" s="666">
        <v>0</v>
      </c>
      <c r="R40" s="669">
        <v>0</v>
      </c>
      <c r="S40" s="669">
        <v>0</v>
      </c>
      <c r="T40" s="669">
        <v>0</v>
      </c>
      <c r="U40" s="669" t="s">
        <v>125</v>
      </c>
      <c r="V40" s="669" t="s">
        <v>125</v>
      </c>
      <c r="W40" s="663">
        <v>0</v>
      </c>
      <c r="X40" s="663">
        <v>0</v>
      </c>
      <c r="Y40" s="663">
        <v>0</v>
      </c>
      <c r="Z40" s="663">
        <v>0</v>
      </c>
      <c r="AA40" s="663">
        <v>0</v>
      </c>
      <c r="AB40" s="663">
        <v>0</v>
      </c>
      <c r="AC40" s="663">
        <v>0</v>
      </c>
      <c r="AD40" s="663">
        <v>0</v>
      </c>
      <c r="AE40" s="663">
        <v>0</v>
      </c>
      <c r="AF40" s="663">
        <v>0</v>
      </c>
      <c r="AG40" s="663">
        <v>0</v>
      </c>
      <c r="AH40" s="663">
        <v>0</v>
      </c>
      <c r="AI40" s="663">
        <v>0</v>
      </c>
      <c r="AJ40" s="663">
        <v>0</v>
      </c>
      <c r="AK40" s="663">
        <v>0</v>
      </c>
      <c r="AL40" s="663">
        <v>0</v>
      </c>
    </row>
    <row r="41" spans="1:38" ht="30" thickBot="1">
      <c r="A41" s="661" t="s">
        <v>6208</v>
      </c>
      <c r="B41" s="662" t="s">
        <v>6209</v>
      </c>
      <c r="C41" s="662" t="s">
        <v>6210</v>
      </c>
      <c r="D41" s="669">
        <v>1836281</v>
      </c>
      <c r="E41" s="669" t="s">
        <v>6090</v>
      </c>
      <c r="F41" s="669" t="s">
        <v>6097</v>
      </c>
      <c r="G41" s="669" t="s">
        <v>6097</v>
      </c>
      <c r="H41" s="669">
        <v>15</v>
      </c>
      <c r="I41" s="669">
        <v>15</v>
      </c>
      <c r="J41" s="669">
        <v>0</v>
      </c>
      <c r="K41" s="669">
        <v>2</v>
      </c>
      <c r="L41" s="669">
        <v>3</v>
      </c>
      <c r="M41" s="670">
        <v>46098.915972222225</v>
      </c>
      <c r="N41" s="669">
        <v>0</v>
      </c>
      <c r="O41" s="664">
        <v>1</v>
      </c>
      <c r="P41" s="664">
        <v>18</v>
      </c>
      <c r="Q41" s="666">
        <v>19</v>
      </c>
      <c r="R41" s="667">
        <v>6</v>
      </c>
      <c r="S41" s="669">
        <v>59</v>
      </c>
      <c r="T41" s="669">
        <v>18</v>
      </c>
      <c r="U41" s="670">
        <v>45961.875</v>
      </c>
      <c r="V41" s="670">
        <v>46079.5</v>
      </c>
      <c r="W41" s="663">
        <v>0</v>
      </c>
      <c r="X41" s="663">
        <v>0</v>
      </c>
      <c r="Y41" s="663">
        <v>0</v>
      </c>
      <c r="Z41" s="663">
        <v>0</v>
      </c>
      <c r="AA41" s="663">
        <v>0</v>
      </c>
      <c r="AB41" s="663">
        <v>0</v>
      </c>
      <c r="AC41" s="663">
        <v>0</v>
      </c>
      <c r="AD41" s="663">
        <v>0</v>
      </c>
      <c r="AE41" s="663">
        <v>0</v>
      </c>
      <c r="AF41" s="663">
        <v>0</v>
      </c>
      <c r="AG41" s="668">
        <v>1</v>
      </c>
      <c r="AH41" s="668">
        <v>32</v>
      </c>
      <c r="AI41" s="668">
        <v>3</v>
      </c>
      <c r="AJ41" s="668">
        <v>14</v>
      </c>
      <c r="AK41" s="668">
        <v>9</v>
      </c>
      <c r="AL41" s="663">
        <v>0</v>
      </c>
    </row>
    <row r="42" spans="1:38" ht="30" thickBot="1">
      <c r="A42" s="661" t="s">
        <v>6211</v>
      </c>
      <c r="B42" s="662" t="s">
        <v>6212</v>
      </c>
      <c r="C42" s="662" t="s">
        <v>6213</v>
      </c>
      <c r="D42" s="669">
        <v>1848361</v>
      </c>
      <c r="E42" s="669" t="s">
        <v>6090</v>
      </c>
      <c r="F42" s="669" t="s">
        <v>6096</v>
      </c>
      <c r="G42" s="669" t="s">
        <v>6117</v>
      </c>
      <c r="H42" s="669">
        <v>15</v>
      </c>
      <c r="I42" s="669">
        <v>15</v>
      </c>
      <c r="J42" s="669">
        <v>0</v>
      </c>
      <c r="K42" s="669">
        <v>7</v>
      </c>
      <c r="L42" s="669">
        <v>9</v>
      </c>
      <c r="M42" s="670">
        <v>46168.915972222225</v>
      </c>
      <c r="N42" s="669">
        <v>0</v>
      </c>
      <c r="O42" s="664">
        <v>2</v>
      </c>
      <c r="P42" s="664">
        <v>2</v>
      </c>
      <c r="Q42" s="666">
        <v>4</v>
      </c>
      <c r="R42" s="667">
        <v>8</v>
      </c>
      <c r="S42" s="669">
        <v>103</v>
      </c>
      <c r="T42" s="669">
        <v>2</v>
      </c>
      <c r="U42" s="670">
        <v>46007.166666666664</v>
      </c>
      <c r="V42" s="670">
        <v>46084.833333333336</v>
      </c>
      <c r="W42" s="663">
        <v>0</v>
      </c>
      <c r="X42" s="663">
        <v>0</v>
      </c>
      <c r="Y42" s="663">
        <v>0</v>
      </c>
      <c r="Z42" s="663">
        <v>0</v>
      </c>
      <c r="AA42" s="663">
        <v>0</v>
      </c>
      <c r="AB42" s="663">
        <v>0</v>
      </c>
      <c r="AC42" s="663">
        <v>0</v>
      </c>
      <c r="AD42" s="663">
        <v>0</v>
      </c>
      <c r="AE42" s="663">
        <v>0</v>
      </c>
      <c r="AF42" s="663">
        <v>0</v>
      </c>
      <c r="AG42" s="663">
        <v>0</v>
      </c>
      <c r="AH42" s="663">
        <v>0</v>
      </c>
      <c r="AI42" s="668">
        <v>26</v>
      </c>
      <c r="AJ42" s="668">
        <v>42</v>
      </c>
      <c r="AK42" s="668">
        <v>28</v>
      </c>
      <c r="AL42" s="668">
        <v>7</v>
      </c>
    </row>
    <row r="43" spans="1:38" ht="30" thickBot="1">
      <c r="A43" s="661" t="s">
        <v>6214</v>
      </c>
      <c r="B43" s="662" t="s">
        <v>6215</v>
      </c>
      <c r="C43" s="662" t="s">
        <v>6216</v>
      </c>
      <c r="D43" s="669">
        <v>1850348</v>
      </c>
      <c r="E43" s="669" t="s">
        <v>6090</v>
      </c>
      <c r="F43" s="669" t="s">
        <v>6117</v>
      </c>
      <c r="G43" s="669" t="s">
        <v>6217</v>
      </c>
      <c r="H43" s="669">
        <v>15</v>
      </c>
      <c r="I43" s="669">
        <v>15</v>
      </c>
      <c r="J43" s="669">
        <v>0</v>
      </c>
      <c r="K43" s="669">
        <v>1</v>
      </c>
      <c r="L43" s="669">
        <v>1</v>
      </c>
      <c r="M43" s="670">
        <v>46168.915972222225</v>
      </c>
      <c r="N43" s="669">
        <v>0</v>
      </c>
      <c r="O43" s="664">
        <v>0</v>
      </c>
      <c r="P43" s="664">
        <v>0</v>
      </c>
      <c r="Q43" s="666">
        <v>0</v>
      </c>
      <c r="R43" s="669">
        <v>0</v>
      </c>
      <c r="S43" s="669">
        <v>85</v>
      </c>
      <c r="T43" s="669">
        <v>0</v>
      </c>
      <c r="U43" s="670">
        <v>46021.875</v>
      </c>
      <c r="V43" s="670">
        <v>46081.458333333336</v>
      </c>
      <c r="W43" s="663">
        <v>0</v>
      </c>
      <c r="X43" s="663">
        <v>0</v>
      </c>
      <c r="Y43" s="663">
        <v>0</v>
      </c>
      <c r="Z43" s="663">
        <v>0</v>
      </c>
      <c r="AA43" s="663">
        <v>0</v>
      </c>
      <c r="AB43" s="663">
        <v>0</v>
      </c>
      <c r="AC43" s="663">
        <v>0</v>
      </c>
      <c r="AD43" s="663">
        <v>0</v>
      </c>
      <c r="AE43" s="663">
        <v>0</v>
      </c>
      <c r="AF43" s="663">
        <v>0</v>
      </c>
      <c r="AG43" s="663">
        <v>0</v>
      </c>
      <c r="AH43" s="663">
        <v>0</v>
      </c>
      <c r="AI43" s="668">
        <v>2</v>
      </c>
      <c r="AJ43" s="668">
        <v>38</v>
      </c>
      <c r="AK43" s="668">
        <v>45</v>
      </c>
      <c r="AL43" s="663">
        <v>0</v>
      </c>
    </row>
    <row r="44" spans="1:38" ht="30" thickBot="1">
      <c r="A44" s="661" t="s">
        <v>6218</v>
      </c>
      <c r="B44" s="662" t="s">
        <v>6219</v>
      </c>
      <c r="C44" s="662" t="s">
        <v>6220</v>
      </c>
      <c r="D44" s="669">
        <v>1861987</v>
      </c>
      <c r="E44" s="669" t="s">
        <v>6090</v>
      </c>
      <c r="F44" s="669" t="s">
        <v>6091</v>
      </c>
      <c r="G44" s="669" t="s">
        <v>6117</v>
      </c>
      <c r="H44" s="669">
        <v>15</v>
      </c>
      <c r="I44" s="669">
        <v>15</v>
      </c>
      <c r="J44" s="669">
        <v>0</v>
      </c>
      <c r="K44" s="669">
        <v>0</v>
      </c>
      <c r="L44" s="669">
        <v>0</v>
      </c>
      <c r="M44" s="670">
        <v>46168.915972222225</v>
      </c>
      <c r="N44" s="669">
        <v>0</v>
      </c>
      <c r="O44" s="664">
        <v>0</v>
      </c>
      <c r="P44" s="664">
        <v>0</v>
      </c>
      <c r="Q44" s="666">
        <v>0</v>
      </c>
      <c r="R44" s="669">
        <v>0</v>
      </c>
      <c r="S44" s="669">
        <v>10</v>
      </c>
      <c r="T44" s="669">
        <v>0</v>
      </c>
      <c r="U44" s="670">
        <v>46072.708333333336</v>
      </c>
      <c r="V44" s="670">
        <v>46079.541666666664</v>
      </c>
      <c r="W44" s="663">
        <v>0</v>
      </c>
      <c r="X44" s="663">
        <v>0</v>
      </c>
      <c r="Y44" s="663">
        <v>0</v>
      </c>
      <c r="Z44" s="663">
        <v>0</v>
      </c>
      <c r="AA44" s="663">
        <v>0</v>
      </c>
      <c r="AB44" s="663">
        <v>0</v>
      </c>
      <c r="AC44" s="663">
        <v>0</v>
      </c>
      <c r="AD44" s="663">
        <v>0</v>
      </c>
      <c r="AE44" s="663">
        <v>0</v>
      </c>
      <c r="AF44" s="663">
        <v>0</v>
      </c>
      <c r="AG44" s="663">
        <v>0</v>
      </c>
      <c r="AH44" s="663">
        <v>0</v>
      </c>
      <c r="AI44" s="663">
        <v>0</v>
      </c>
      <c r="AJ44" s="663">
        <v>0</v>
      </c>
      <c r="AK44" s="668">
        <v>10</v>
      </c>
      <c r="AL44" s="663">
        <v>0</v>
      </c>
    </row>
    <row r="45" spans="1:38" ht="30" thickBot="1">
      <c r="A45" s="661" t="s">
        <v>6221</v>
      </c>
      <c r="B45" s="662" t="s">
        <v>6222</v>
      </c>
      <c r="C45" s="662" t="s">
        <v>6223</v>
      </c>
      <c r="D45" s="669">
        <v>1824492</v>
      </c>
      <c r="E45" s="669" t="s">
        <v>6090</v>
      </c>
      <c r="F45" s="669" t="s">
        <v>6096</v>
      </c>
      <c r="G45" s="669" t="s">
        <v>6097</v>
      </c>
      <c r="H45" s="669">
        <v>14</v>
      </c>
      <c r="I45" s="669">
        <v>14</v>
      </c>
      <c r="J45" s="669">
        <v>0</v>
      </c>
      <c r="K45" s="669">
        <v>6</v>
      </c>
      <c r="L45" s="669">
        <v>26</v>
      </c>
      <c r="M45" s="670">
        <v>46168.915972222225</v>
      </c>
      <c r="N45" s="669">
        <v>0</v>
      </c>
      <c r="O45" s="664">
        <v>20</v>
      </c>
      <c r="P45" s="664">
        <v>7</v>
      </c>
      <c r="Q45" s="666">
        <v>27</v>
      </c>
      <c r="R45" s="667">
        <v>4</v>
      </c>
      <c r="S45" s="669">
        <v>57</v>
      </c>
      <c r="T45" s="669">
        <v>7</v>
      </c>
      <c r="U45" s="670">
        <v>45915.166666666664</v>
      </c>
      <c r="V45" s="670">
        <v>46082.708333333336</v>
      </c>
      <c r="W45" s="663">
        <v>0</v>
      </c>
      <c r="X45" s="663">
        <v>0</v>
      </c>
      <c r="Y45" s="663">
        <v>0</v>
      </c>
      <c r="Z45" s="663">
        <v>0</v>
      </c>
      <c r="AA45" s="663">
        <v>0</v>
      </c>
      <c r="AB45" s="663">
        <v>0</v>
      </c>
      <c r="AC45" s="663">
        <v>0</v>
      </c>
      <c r="AD45" s="663">
        <v>0</v>
      </c>
      <c r="AE45" s="663">
        <v>0</v>
      </c>
      <c r="AF45" s="668">
        <v>11</v>
      </c>
      <c r="AG45" s="668">
        <v>22</v>
      </c>
      <c r="AH45" s="668">
        <v>11</v>
      </c>
      <c r="AI45" s="668">
        <v>5</v>
      </c>
      <c r="AJ45" s="663">
        <v>0</v>
      </c>
      <c r="AK45" s="668">
        <v>7</v>
      </c>
      <c r="AL45" s="668">
        <v>1</v>
      </c>
    </row>
    <row r="46" spans="1:38" ht="44" thickBot="1">
      <c r="A46" s="661" t="s">
        <v>6224</v>
      </c>
      <c r="B46" s="662" t="s">
        <v>6225</v>
      </c>
      <c r="C46" s="662" t="s">
        <v>2123</v>
      </c>
      <c r="D46" s="669">
        <v>1672215</v>
      </c>
      <c r="E46" s="669" t="s">
        <v>6090</v>
      </c>
      <c r="F46" s="669" t="s">
        <v>6096</v>
      </c>
      <c r="G46" s="669" t="s">
        <v>6160</v>
      </c>
      <c r="H46" s="669">
        <v>13</v>
      </c>
      <c r="I46" s="669">
        <v>13</v>
      </c>
      <c r="J46" s="669">
        <v>0</v>
      </c>
      <c r="K46" s="669">
        <v>97</v>
      </c>
      <c r="L46" s="669">
        <v>95</v>
      </c>
      <c r="M46" s="670">
        <v>46168.915972222225</v>
      </c>
      <c r="N46" s="669">
        <v>0</v>
      </c>
      <c r="O46" s="664">
        <v>0</v>
      </c>
      <c r="P46" s="664">
        <v>8</v>
      </c>
      <c r="Q46" s="666">
        <v>8</v>
      </c>
      <c r="R46" s="667">
        <v>18</v>
      </c>
      <c r="S46" s="669">
        <v>312</v>
      </c>
      <c r="T46" s="669">
        <v>10</v>
      </c>
      <c r="U46" s="670">
        <v>45635.666666666664</v>
      </c>
      <c r="V46" s="670">
        <v>46084.708333333336</v>
      </c>
      <c r="W46" s="668">
        <v>17</v>
      </c>
      <c r="X46" s="668">
        <v>17</v>
      </c>
      <c r="Y46" s="668">
        <v>16</v>
      </c>
      <c r="Z46" s="668">
        <v>21</v>
      </c>
      <c r="AA46" s="668">
        <v>22</v>
      </c>
      <c r="AB46" s="668">
        <v>20</v>
      </c>
      <c r="AC46" s="668">
        <v>20</v>
      </c>
      <c r="AD46" s="668">
        <v>23</v>
      </c>
      <c r="AE46" s="668">
        <v>21</v>
      </c>
      <c r="AF46" s="668">
        <v>22</v>
      </c>
      <c r="AG46" s="668">
        <v>22</v>
      </c>
      <c r="AH46" s="668">
        <v>22</v>
      </c>
      <c r="AI46" s="668">
        <v>23</v>
      </c>
      <c r="AJ46" s="668">
        <v>22</v>
      </c>
      <c r="AK46" s="668">
        <v>21</v>
      </c>
      <c r="AL46" s="668">
        <v>3</v>
      </c>
    </row>
    <row r="47" spans="1:38" ht="44" thickBot="1">
      <c r="A47" s="661" t="s">
        <v>6226</v>
      </c>
      <c r="B47" s="662" t="s">
        <v>6227</v>
      </c>
      <c r="C47" s="662" t="s">
        <v>6228</v>
      </c>
      <c r="D47" s="669">
        <v>1842443</v>
      </c>
      <c r="E47" s="669" t="s">
        <v>6090</v>
      </c>
      <c r="F47" s="669" t="s">
        <v>6096</v>
      </c>
      <c r="G47" s="669" t="s">
        <v>6096</v>
      </c>
      <c r="H47" s="669">
        <v>13</v>
      </c>
      <c r="I47" s="669">
        <v>13</v>
      </c>
      <c r="J47" s="669">
        <v>0</v>
      </c>
      <c r="K47" s="669">
        <v>1</v>
      </c>
      <c r="L47" s="669">
        <v>0</v>
      </c>
      <c r="M47" s="670">
        <v>46153.915972222225</v>
      </c>
      <c r="N47" s="669">
        <v>0</v>
      </c>
      <c r="O47" s="664">
        <v>0</v>
      </c>
      <c r="P47" s="664">
        <v>0</v>
      </c>
      <c r="Q47" s="666">
        <v>0</v>
      </c>
      <c r="R47" s="667">
        <v>2</v>
      </c>
      <c r="S47" s="669">
        <v>50</v>
      </c>
      <c r="T47" s="669">
        <v>0</v>
      </c>
      <c r="U47" s="670">
        <v>45983.833333333336</v>
      </c>
      <c r="V47" s="670">
        <v>46079.541666666664</v>
      </c>
      <c r="W47" s="663">
        <v>0</v>
      </c>
      <c r="X47" s="663">
        <v>0</v>
      </c>
      <c r="Y47" s="663">
        <v>0</v>
      </c>
      <c r="Z47" s="663">
        <v>0</v>
      </c>
      <c r="AA47" s="663">
        <v>0</v>
      </c>
      <c r="AB47" s="663">
        <v>0</v>
      </c>
      <c r="AC47" s="663">
        <v>0</v>
      </c>
      <c r="AD47" s="663">
        <v>0</v>
      </c>
      <c r="AE47" s="663">
        <v>0</v>
      </c>
      <c r="AF47" s="663">
        <v>0</v>
      </c>
      <c r="AG47" s="663">
        <v>0</v>
      </c>
      <c r="AH47" s="668">
        <v>2</v>
      </c>
      <c r="AI47" s="668">
        <v>13</v>
      </c>
      <c r="AJ47" s="668">
        <v>17</v>
      </c>
      <c r="AK47" s="668">
        <v>18</v>
      </c>
      <c r="AL47" s="663">
        <v>0</v>
      </c>
    </row>
    <row r="48" spans="1:38" ht="30" thickBot="1">
      <c r="A48" s="661" t="s">
        <v>6229</v>
      </c>
      <c r="B48" s="662" t="s">
        <v>6230</v>
      </c>
      <c r="C48" s="662" t="s">
        <v>6231</v>
      </c>
      <c r="D48" s="669">
        <v>1842444</v>
      </c>
      <c r="E48" s="669" t="s">
        <v>6090</v>
      </c>
      <c r="F48" s="669" t="s">
        <v>6096</v>
      </c>
      <c r="G48" s="669" t="s">
        <v>6096</v>
      </c>
      <c r="H48" s="669">
        <v>12</v>
      </c>
      <c r="I48" s="669">
        <v>12</v>
      </c>
      <c r="J48" s="669">
        <v>0</v>
      </c>
      <c r="K48" s="669">
        <v>0</v>
      </c>
      <c r="L48" s="669">
        <v>2</v>
      </c>
      <c r="M48" s="670">
        <v>46153.915972222225</v>
      </c>
      <c r="N48" s="669">
        <v>0</v>
      </c>
      <c r="O48" s="664">
        <v>2</v>
      </c>
      <c r="P48" s="664">
        <v>15</v>
      </c>
      <c r="Q48" s="666">
        <v>17</v>
      </c>
      <c r="R48" s="669">
        <v>0</v>
      </c>
      <c r="S48" s="669">
        <v>20</v>
      </c>
      <c r="T48" s="669">
        <v>15</v>
      </c>
      <c r="U48" s="670">
        <v>45993.916666666664</v>
      </c>
      <c r="V48" s="670">
        <v>46078.666666666664</v>
      </c>
      <c r="W48" s="663">
        <v>0</v>
      </c>
      <c r="X48" s="663">
        <v>0</v>
      </c>
      <c r="Y48" s="663">
        <v>0</v>
      </c>
      <c r="Z48" s="663">
        <v>0</v>
      </c>
      <c r="AA48" s="663">
        <v>0</v>
      </c>
      <c r="AB48" s="663">
        <v>0</v>
      </c>
      <c r="AC48" s="663">
        <v>0</v>
      </c>
      <c r="AD48" s="663">
        <v>0</v>
      </c>
      <c r="AE48" s="663">
        <v>0</v>
      </c>
      <c r="AF48" s="663">
        <v>0</v>
      </c>
      <c r="AG48" s="663">
        <v>0</v>
      </c>
      <c r="AH48" s="663">
        <v>0</v>
      </c>
      <c r="AI48" s="668">
        <v>9</v>
      </c>
      <c r="AJ48" s="668">
        <v>2</v>
      </c>
      <c r="AK48" s="668">
        <v>9</v>
      </c>
      <c r="AL48" s="663">
        <v>0</v>
      </c>
    </row>
    <row r="49" spans="1:38" ht="44" thickBot="1">
      <c r="A49" s="661" t="s">
        <v>6226</v>
      </c>
      <c r="B49" s="662" t="s">
        <v>6232</v>
      </c>
      <c r="C49" s="662" t="s">
        <v>6233</v>
      </c>
      <c r="D49" s="669">
        <v>1806121</v>
      </c>
      <c r="E49" s="669" t="s">
        <v>6090</v>
      </c>
      <c r="F49" s="669" t="s">
        <v>6117</v>
      </c>
      <c r="G49" s="669" t="s">
        <v>6113</v>
      </c>
      <c r="H49" s="669">
        <v>11</v>
      </c>
      <c r="I49" s="669">
        <v>11</v>
      </c>
      <c r="J49" s="669">
        <v>0</v>
      </c>
      <c r="K49" s="669">
        <v>8</v>
      </c>
      <c r="L49" s="669">
        <v>5</v>
      </c>
      <c r="M49" s="670">
        <v>46155.915972222225</v>
      </c>
      <c r="N49" s="669">
        <v>0</v>
      </c>
      <c r="O49" s="664">
        <v>0</v>
      </c>
      <c r="P49" s="664">
        <v>12</v>
      </c>
      <c r="Q49" s="666">
        <v>12</v>
      </c>
      <c r="R49" s="669">
        <v>0</v>
      </c>
      <c r="S49" s="669">
        <v>138</v>
      </c>
      <c r="T49" s="669">
        <v>15</v>
      </c>
      <c r="U49" s="670">
        <v>45861.708333333336</v>
      </c>
      <c r="V49" s="670">
        <v>46083.458333333336</v>
      </c>
      <c r="W49" s="663">
        <v>0</v>
      </c>
      <c r="X49" s="663">
        <v>0</v>
      </c>
      <c r="Y49" s="663">
        <v>0</v>
      </c>
      <c r="Z49" s="663">
        <v>0</v>
      </c>
      <c r="AA49" s="663">
        <v>0</v>
      </c>
      <c r="AB49" s="663">
        <v>0</v>
      </c>
      <c r="AC49" s="663">
        <v>0</v>
      </c>
      <c r="AD49" s="668">
        <v>5</v>
      </c>
      <c r="AE49" s="668">
        <v>30</v>
      </c>
      <c r="AF49" s="668">
        <v>15</v>
      </c>
      <c r="AG49" s="668">
        <v>26</v>
      </c>
      <c r="AH49" s="668">
        <v>6</v>
      </c>
      <c r="AI49" s="668">
        <v>20</v>
      </c>
      <c r="AJ49" s="668">
        <v>25</v>
      </c>
      <c r="AK49" s="668">
        <v>10</v>
      </c>
      <c r="AL49" s="668">
        <v>1</v>
      </c>
    </row>
    <row r="50" spans="1:38" ht="30" thickBot="1">
      <c r="A50" s="661" t="s">
        <v>6234</v>
      </c>
      <c r="B50" s="662" t="s">
        <v>6235</v>
      </c>
      <c r="C50" s="662" t="s">
        <v>6236</v>
      </c>
      <c r="D50" s="669">
        <v>1836280</v>
      </c>
      <c r="E50" s="669" t="s">
        <v>6090</v>
      </c>
      <c r="F50" s="669" t="s">
        <v>6096</v>
      </c>
      <c r="G50" s="669" t="s">
        <v>6096</v>
      </c>
      <c r="H50" s="669">
        <v>11</v>
      </c>
      <c r="I50" s="669">
        <v>11</v>
      </c>
      <c r="J50" s="669">
        <v>0</v>
      </c>
      <c r="K50" s="669">
        <v>2</v>
      </c>
      <c r="L50" s="669">
        <v>2</v>
      </c>
      <c r="M50" s="670">
        <v>46138.915972222225</v>
      </c>
      <c r="N50" s="669">
        <v>0</v>
      </c>
      <c r="O50" s="664">
        <v>0</v>
      </c>
      <c r="P50" s="664">
        <v>1</v>
      </c>
      <c r="Q50" s="666">
        <v>1</v>
      </c>
      <c r="R50" s="669">
        <v>0</v>
      </c>
      <c r="S50" s="669">
        <v>7</v>
      </c>
      <c r="T50" s="669">
        <v>1</v>
      </c>
      <c r="U50" s="670">
        <v>45961.625</v>
      </c>
      <c r="V50" s="670">
        <v>46068.708333333336</v>
      </c>
      <c r="W50" s="663">
        <v>0</v>
      </c>
      <c r="X50" s="663">
        <v>0</v>
      </c>
      <c r="Y50" s="663">
        <v>0</v>
      </c>
      <c r="Z50" s="663">
        <v>0</v>
      </c>
      <c r="AA50" s="663">
        <v>0</v>
      </c>
      <c r="AB50" s="663">
        <v>0</v>
      </c>
      <c r="AC50" s="663">
        <v>0</v>
      </c>
      <c r="AD50" s="663">
        <v>0</v>
      </c>
      <c r="AE50" s="663">
        <v>0</v>
      </c>
      <c r="AF50" s="663">
        <v>0</v>
      </c>
      <c r="AG50" s="668">
        <v>1</v>
      </c>
      <c r="AH50" s="668">
        <v>1</v>
      </c>
      <c r="AI50" s="663">
        <v>0</v>
      </c>
      <c r="AJ50" s="668">
        <v>3</v>
      </c>
      <c r="AK50" s="668">
        <v>2</v>
      </c>
      <c r="AL50" s="663">
        <v>0</v>
      </c>
    </row>
    <row r="51" spans="1:38" ht="30" thickBot="1">
      <c r="A51" s="661" t="s">
        <v>6237</v>
      </c>
      <c r="B51" s="662" t="s">
        <v>6238</v>
      </c>
      <c r="C51" s="662" t="s">
        <v>6239</v>
      </c>
      <c r="D51" s="669">
        <v>1849775</v>
      </c>
      <c r="E51" s="669" t="s">
        <v>6090</v>
      </c>
      <c r="F51" s="669" t="s">
        <v>6096</v>
      </c>
      <c r="G51" s="669" t="s">
        <v>6096</v>
      </c>
      <c r="H51" s="669">
        <v>11</v>
      </c>
      <c r="I51" s="669">
        <v>11</v>
      </c>
      <c r="J51" s="669">
        <v>0</v>
      </c>
      <c r="K51" s="669">
        <v>1</v>
      </c>
      <c r="L51" s="669">
        <v>1</v>
      </c>
      <c r="M51" s="670">
        <v>46097</v>
      </c>
      <c r="N51" s="669">
        <v>0</v>
      </c>
      <c r="O51" s="664">
        <v>0</v>
      </c>
      <c r="P51" s="664">
        <v>2</v>
      </c>
      <c r="Q51" s="666">
        <v>2</v>
      </c>
      <c r="R51" s="667">
        <v>4</v>
      </c>
      <c r="S51" s="669">
        <v>33</v>
      </c>
      <c r="T51" s="669">
        <v>2</v>
      </c>
      <c r="U51" s="670">
        <v>46009.875</v>
      </c>
      <c r="V51" s="670">
        <v>46084.833333333336</v>
      </c>
      <c r="W51" s="663">
        <v>0</v>
      </c>
      <c r="X51" s="663">
        <v>0</v>
      </c>
      <c r="Y51" s="663">
        <v>0</v>
      </c>
      <c r="Z51" s="663">
        <v>0</v>
      </c>
      <c r="AA51" s="663">
        <v>0</v>
      </c>
      <c r="AB51" s="663">
        <v>0</v>
      </c>
      <c r="AC51" s="663">
        <v>0</v>
      </c>
      <c r="AD51" s="663">
        <v>0</v>
      </c>
      <c r="AE51" s="663">
        <v>0</v>
      </c>
      <c r="AF51" s="663">
        <v>0</v>
      </c>
      <c r="AG51" s="663">
        <v>0</v>
      </c>
      <c r="AH51" s="663">
        <v>0</v>
      </c>
      <c r="AI51" s="668">
        <v>5</v>
      </c>
      <c r="AJ51" s="668">
        <v>9</v>
      </c>
      <c r="AK51" s="668">
        <v>15</v>
      </c>
      <c r="AL51" s="668">
        <v>4</v>
      </c>
    </row>
    <row r="52" spans="1:38" ht="30" thickBot="1">
      <c r="A52" s="661" t="s">
        <v>6240</v>
      </c>
      <c r="B52" s="662" t="s">
        <v>6176</v>
      </c>
      <c r="C52" s="662" t="s">
        <v>6241</v>
      </c>
      <c r="D52" s="669">
        <v>1865424</v>
      </c>
      <c r="E52" s="669" t="s">
        <v>6090</v>
      </c>
      <c r="F52" s="669" t="s">
        <v>6096</v>
      </c>
      <c r="G52" s="669" t="s">
        <v>6096</v>
      </c>
      <c r="H52" s="669">
        <v>11</v>
      </c>
      <c r="I52" s="669">
        <v>11</v>
      </c>
      <c r="J52" s="669">
        <v>0</v>
      </c>
      <c r="K52" s="669">
        <v>1</v>
      </c>
      <c r="L52" s="669">
        <v>7</v>
      </c>
      <c r="M52" s="670">
        <v>46153.915972222225</v>
      </c>
      <c r="N52" s="669">
        <v>0</v>
      </c>
      <c r="O52" s="664">
        <v>6</v>
      </c>
      <c r="P52" s="664">
        <v>3</v>
      </c>
      <c r="Q52" s="666">
        <v>9</v>
      </c>
      <c r="R52" s="667">
        <v>3</v>
      </c>
      <c r="S52" s="669">
        <v>1</v>
      </c>
      <c r="T52" s="669">
        <v>3</v>
      </c>
      <c r="U52" s="670">
        <v>46065.791666666664</v>
      </c>
      <c r="V52" s="670">
        <v>46065.791666666664</v>
      </c>
      <c r="W52" s="663">
        <v>0</v>
      </c>
      <c r="X52" s="663">
        <v>0</v>
      </c>
      <c r="Y52" s="663">
        <v>0</v>
      </c>
      <c r="Z52" s="663">
        <v>0</v>
      </c>
      <c r="AA52" s="663">
        <v>0</v>
      </c>
      <c r="AB52" s="663">
        <v>0</v>
      </c>
      <c r="AC52" s="663">
        <v>0</v>
      </c>
      <c r="AD52" s="663">
        <v>0</v>
      </c>
      <c r="AE52" s="663">
        <v>0</v>
      </c>
      <c r="AF52" s="663">
        <v>0</v>
      </c>
      <c r="AG52" s="663">
        <v>0</v>
      </c>
      <c r="AH52" s="663">
        <v>0</v>
      </c>
      <c r="AI52" s="663">
        <v>0</v>
      </c>
      <c r="AJ52" s="663">
        <v>0</v>
      </c>
      <c r="AK52" s="668">
        <v>1</v>
      </c>
      <c r="AL52" s="663">
        <v>0</v>
      </c>
    </row>
    <row r="53" spans="1:38" ht="30" thickBot="1">
      <c r="A53" s="661" t="s">
        <v>6242</v>
      </c>
      <c r="B53" s="662" t="s">
        <v>6243</v>
      </c>
      <c r="C53" s="662" t="s">
        <v>6244</v>
      </c>
      <c r="D53" s="669">
        <v>1782737</v>
      </c>
      <c r="E53" s="669" t="s">
        <v>6090</v>
      </c>
      <c r="F53" s="669" t="s">
        <v>6096</v>
      </c>
      <c r="G53" s="669" t="s">
        <v>6097</v>
      </c>
      <c r="H53" s="669">
        <v>10</v>
      </c>
      <c r="I53" s="669">
        <v>10</v>
      </c>
      <c r="J53" s="669">
        <v>0</v>
      </c>
      <c r="K53" s="669">
        <v>9</v>
      </c>
      <c r="L53" s="669">
        <v>9</v>
      </c>
      <c r="M53" s="670">
        <v>46154.915972222225</v>
      </c>
      <c r="N53" s="669">
        <v>0</v>
      </c>
      <c r="O53" s="664">
        <v>0</v>
      </c>
      <c r="P53" s="664">
        <v>18</v>
      </c>
      <c r="Q53" s="666">
        <v>18</v>
      </c>
      <c r="R53" s="669">
        <v>0</v>
      </c>
      <c r="S53" s="669">
        <v>96</v>
      </c>
      <c r="T53" s="669">
        <v>18</v>
      </c>
      <c r="U53" s="670">
        <v>45824.625</v>
      </c>
      <c r="V53" s="670">
        <v>46083.708333333336</v>
      </c>
      <c r="W53" s="663">
        <v>0</v>
      </c>
      <c r="X53" s="663">
        <v>0</v>
      </c>
      <c r="Y53" s="663">
        <v>0</v>
      </c>
      <c r="Z53" s="663">
        <v>0</v>
      </c>
      <c r="AA53" s="663">
        <v>0</v>
      </c>
      <c r="AB53" s="663">
        <v>0</v>
      </c>
      <c r="AC53" s="668">
        <v>10</v>
      </c>
      <c r="AD53" s="668">
        <v>34</v>
      </c>
      <c r="AE53" s="668">
        <v>23</v>
      </c>
      <c r="AF53" s="668">
        <v>21</v>
      </c>
      <c r="AG53" s="668">
        <v>4</v>
      </c>
      <c r="AH53" s="663">
        <v>0</v>
      </c>
      <c r="AI53" s="663">
        <v>0</v>
      </c>
      <c r="AJ53" s="663">
        <v>0</v>
      </c>
      <c r="AK53" s="668">
        <v>2</v>
      </c>
      <c r="AL53" s="668">
        <v>2</v>
      </c>
    </row>
    <row r="54" spans="1:38" ht="30" thickBot="1">
      <c r="A54" s="661" t="s">
        <v>6136</v>
      </c>
      <c r="B54" s="662" t="s">
        <v>6245</v>
      </c>
      <c r="C54" s="662" t="s">
        <v>6246</v>
      </c>
      <c r="D54" s="669">
        <v>1784630</v>
      </c>
      <c r="E54" s="669" t="s">
        <v>6090</v>
      </c>
      <c r="F54" s="669" t="s">
        <v>6091</v>
      </c>
      <c r="G54" s="669" t="s">
        <v>6105</v>
      </c>
      <c r="H54" s="669">
        <v>10</v>
      </c>
      <c r="I54" s="669">
        <v>10</v>
      </c>
      <c r="J54" s="669">
        <v>0</v>
      </c>
      <c r="K54" s="669">
        <v>44</v>
      </c>
      <c r="L54" s="669">
        <v>42</v>
      </c>
      <c r="M54" s="670">
        <v>46098.915972222225</v>
      </c>
      <c r="N54" s="669">
        <v>0</v>
      </c>
      <c r="O54" s="664">
        <v>0</v>
      </c>
      <c r="P54" s="664">
        <v>4</v>
      </c>
      <c r="Q54" s="666">
        <v>4</v>
      </c>
      <c r="R54" s="669">
        <v>0</v>
      </c>
      <c r="S54" s="669">
        <v>105</v>
      </c>
      <c r="T54" s="669">
        <v>6</v>
      </c>
      <c r="U54" s="670">
        <v>45798.791666666664</v>
      </c>
      <c r="V54" s="670">
        <v>46072.75</v>
      </c>
      <c r="W54" s="663">
        <v>0</v>
      </c>
      <c r="X54" s="663">
        <v>0</v>
      </c>
      <c r="Y54" s="663">
        <v>0</v>
      </c>
      <c r="Z54" s="663">
        <v>0</v>
      </c>
      <c r="AA54" s="663">
        <v>0</v>
      </c>
      <c r="AB54" s="668">
        <v>2</v>
      </c>
      <c r="AC54" s="668">
        <v>15</v>
      </c>
      <c r="AD54" s="668">
        <v>13</v>
      </c>
      <c r="AE54" s="668">
        <v>17</v>
      </c>
      <c r="AF54" s="663">
        <v>0</v>
      </c>
      <c r="AG54" s="668">
        <v>18</v>
      </c>
      <c r="AH54" s="668">
        <v>17</v>
      </c>
      <c r="AI54" s="663">
        <v>0</v>
      </c>
      <c r="AJ54" s="668">
        <v>15</v>
      </c>
      <c r="AK54" s="668">
        <v>8</v>
      </c>
      <c r="AL54" s="663">
        <v>0</v>
      </c>
    </row>
    <row r="55" spans="1:38" ht="44" thickBot="1">
      <c r="A55" s="661" t="s">
        <v>6247</v>
      </c>
      <c r="B55" s="662" t="s">
        <v>6248</v>
      </c>
      <c r="C55" s="662" t="s">
        <v>6249</v>
      </c>
      <c r="D55" s="669">
        <v>1784632</v>
      </c>
      <c r="E55" s="669" t="s">
        <v>6090</v>
      </c>
      <c r="F55" s="669" t="s">
        <v>6091</v>
      </c>
      <c r="G55" s="669" t="s">
        <v>6105</v>
      </c>
      <c r="H55" s="669">
        <v>10</v>
      </c>
      <c r="I55" s="669">
        <v>10</v>
      </c>
      <c r="J55" s="669">
        <v>0</v>
      </c>
      <c r="K55" s="669">
        <v>110</v>
      </c>
      <c r="L55" s="669">
        <v>87</v>
      </c>
      <c r="M55" s="670">
        <v>46098.915972222225</v>
      </c>
      <c r="N55" s="669">
        <v>14</v>
      </c>
      <c r="O55" s="664">
        <v>0</v>
      </c>
      <c r="P55" s="664">
        <v>0</v>
      </c>
      <c r="Q55" s="666">
        <v>14</v>
      </c>
      <c r="R55" s="669">
        <v>0</v>
      </c>
      <c r="S55" s="669">
        <v>103</v>
      </c>
      <c r="T55" s="669">
        <v>8</v>
      </c>
      <c r="U55" s="670">
        <v>45798.791666666664</v>
      </c>
      <c r="V55" s="670">
        <v>46072.75</v>
      </c>
      <c r="W55" s="663">
        <v>0</v>
      </c>
      <c r="X55" s="663">
        <v>0</v>
      </c>
      <c r="Y55" s="663">
        <v>0</v>
      </c>
      <c r="Z55" s="663">
        <v>0</v>
      </c>
      <c r="AA55" s="663">
        <v>0</v>
      </c>
      <c r="AB55" s="668">
        <v>2</v>
      </c>
      <c r="AC55" s="668">
        <v>13</v>
      </c>
      <c r="AD55" s="668">
        <v>12</v>
      </c>
      <c r="AE55" s="668">
        <v>18</v>
      </c>
      <c r="AF55" s="663">
        <v>0</v>
      </c>
      <c r="AG55" s="668">
        <v>18</v>
      </c>
      <c r="AH55" s="668">
        <v>17</v>
      </c>
      <c r="AI55" s="663">
        <v>0</v>
      </c>
      <c r="AJ55" s="668">
        <v>15</v>
      </c>
      <c r="AK55" s="668">
        <v>8</v>
      </c>
      <c r="AL55" s="663">
        <v>0</v>
      </c>
    </row>
    <row r="56" spans="1:38" ht="30" thickBot="1">
      <c r="A56" s="661" t="s">
        <v>6250</v>
      </c>
      <c r="B56" s="662" t="s">
        <v>6251</v>
      </c>
      <c r="C56" s="662" t="s">
        <v>6252</v>
      </c>
      <c r="D56" s="669">
        <v>1849774</v>
      </c>
      <c r="E56" s="669" t="s">
        <v>6090</v>
      </c>
      <c r="F56" s="669" t="s">
        <v>125</v>
      </c>
      <c r="G56" s="669" t="s">
        <v>125</v>
      </c>
      <c r="H56" s="669">
        <v>10</v>
      </c>
      <c r="I56" s="669">
        <v>10</v>
      </c>
      <c r="J56" s="669">
        <v>0</v>
      </c>
      <c r="K56" s="669">
        <v>0</v>
      </c>
      <c r="L56" s="669">
        <v>0</v>
      </c>
      <c r="M56" s="670">
        <v>46097</v>
      </c>
      <c r="N56" s="669">
        <v>0</v>
      </c>
      <c r="O56" s="664">
        <v>0</v>
      </c>
      <c r="P56" s="664">
        <v>0</v>
      </c>
      <c r="Q56" s="666">
        <v>0</v>
      </c>
      <c r="R56" s="669">
        <v>0</v>
      </c>
      <c r="S56" s="669">
        <v>0</v>
      </c>
      <c r="T56" s="669">
        <v>0</v>
      </c>
      <c r="U56" s="669" t="s">
        <v>125</v>
      </c>
      <c r="V56" s="669" t="s">
        <v>125</v>
      </c>
      <c r="W56" s="663">
        <v>0</v>
      </c>
      <c r="X56" s="663">
        <v>0</v>
      </c>
      <c r="Y56" s="663">
        <v>0</v>
      </c>
      <c r="Z56" s="663">
        <v>0</v>
      </c>
      <c r="AA56" s="663">
        <v>0</v>
      </c>
      <c r="AB56" s="663">
        <v>0</v>
      </c>
      <c r="AC56" s="663">
        <v>0</v>
      </c>
      <c r="AD56" s="663">
        <v>0</v>
      </c>
      <c r="AE56" s="663">
        <v>0</v>
      </c>
      <c r="AF56" s="663">
        <v>0</v>
      </c>
      <c r="AG56" s="663">
        <v>0</v>
      </c>
      <c r="AH56" s="663">
        <v>0</v>
      </c>
      <c r="AI56" s="663">
        <v>0</v>
      </c>
      <c r="AJ56" s="663">
        <v>0</v>
      </c>
      <c r="AK56" s="663">
        <v>0</v>
      </c>
      <c r="AL56" s="663">
        <v>0</v>
      </c>
    </row>
    <row r="57" spans="1:38" ht="30" thickBot="1">
      <c r="A57" s="661" t="s">
        <v>6253</v>
      </c>
      <c r="B57" s="662" t="s">
        <v>6254</v>
      </c>
      <c r="C57" s="662" t="s">
        <v>6255</v>
      </c>
      <c r="D57" s="669">
        <v>1852430</v>
      </c>
      <c r="E57" s="669" t="s">
        <v>6090</v>
      </c>
      <c r="F57" s="669" t="s">
        <v>125</v>
      </c>
      <c r="G57" s="669" t="s">
        <v>125</v>
      </c>
      <c r="H57" s="669">
        <v>10</v>
      </c>
      <c r="I57" s="669">
        <v>10</v>
      </c>
      <c r="J57" s="669">
        <v>0</v>
      </c>
      <c r="K57" s="669">
        <v>0</v>
      </c>
      <c r="L57" s="669">
        <v>0</v>
      </c>
      <c r="M57" s="670">
        <v>46098.954861111109</v>
      </c>
      <c r="N57" s="669">
        <v>0</v>
      </c>
      <c r="O57" s="664">
        <v>0</v>
      </c>
      <c r="P57" s="664">
        <v>0</v>
      </c>
      <c r="Q57" s="666">
        <v>0</v>
      </c>
      <c r="R57" s="669">
        <v>0</v>
      </c>
      <c r="S57" s="669">
        <v>0</v>
      </c>
      <c r="T57" s="669">
        <v>0</v>
      </c>
      <c r="U57" s="669" t="s">
        <v>125</v>
      </c>
      <c r="V57" s="669" t="s">
        <v>125</v>
      </c>
      <c r="W57" s="663">
        <v>0</v>
      </c>
      <c r="X57" s="663">
        <v>0</v>
      </c>
      <c r="Y57" s="663">
        <v>0</v>
      </c>
      <c r="Z57" s="663">
        <v>0</v>
      </c>
      <c r="AA57" s="663">
        <v>0</v>
      </c>
      <c r="AB57" s="663">
        <v>0</v>
      </c>
      <c r="AC57" s="663">
        <v>0</v>
      </c>
      <c r="AD57" s="663">
        <v>0</v>
      </c>
      <c r="AE57" s="663">
        <v>0</v>
      </c>
      <c r="AF57" s="663">
        <v>0</v>
      </c>
      <c r="AG57" s="663">
        <v>0</v>
      </c>
      <c r="AH57" s="663">
        <v>0</v>
      </c>
      <c r="AI57" s="663">
        <v>0</v>
      </c>
      <c r="AJ57" s="663">
        <v>0</v>
      </c>
      <c r="AK57" s="663">
        <v>0</v>
      </c>
      <c r="AL57" s="663">
        <v>0</v>
      </c>
    </row>
    <row r="58" spans="1:38" ht="30" thickBot="1">
      <c r="A58" s="661" t="s">
        <v>6256</v>
      </c>
      <c r="B58" s="662" t="s">
        <v>6257</v>
      </c>
      <c r="C58" s="662" t="s">
        <v>6258</v>
      </c>
      <c r="D58" s="669">
        <v>1857078</v>
      </c>
      <c r="E58" s="669" t="s">
        <v>6090</v>
      </c>
      <c r="F58" s="669" t="s">
        <v>125</v>
      </c>
      <c r="G58" s="669" t="s">
        <v>125</v>
      </c>
      <c r="H58" s="669">
        <v>10</v>
      </c>
      <c r="I58" s="669">
        <v>10</v>
      </c>
      <c r="J58" s="669">
        <v>0</v>
      </c>
      <c r="K58" s="669">
        <v>0</v>
      </c>
      <c r="L58" s="669">
        <v>0</v>
      </c>
      <c r="M58" s="670">
        <v>46126</v>
      </c>
      <c r="N58" s="669">
        <v>0</v>
      </c>
      <c r="O58" s="664">
        <v>0</v>
      </c>
      <c r="P58" s="664">
        <v>0</v>
      </c>
      <c r="Q58" s="666">
        <v>0</v>
      </c>
      <c r="R58" s="669">
        <v>0</v>
      </c>
      <c r="S58" s="669">
        <v>0</v>
      </c>
      <c r="T58" s="669">
        <v>0</v>
      </c>
      <c r="U58" s="669" t="s">
        <v>125</v>
      </c>
      <c r="V58" s="669" t="s">
        <v>125</v>
      </c>
      <c r="W58" s="663">
        <v>0</v>
      </c>
      <c r="X58" s="663">
        <v>0</v>
      </c>
      <c r="Y58" s="663">
        <v>0</v>
      </c>
      <c r="Z58" s="663">
        <v>0</v>
      </c>
      <c r="AA58" s="663">
        <v>0</v>
      </c>
      <c r="AB58" s="663">
        <v>0</v>
      </c>
      <c r="AC58" s="663">
        <v>0</v>
      </c>
      <c r="AD58" s="663">
        <v>0</v>
      </c>
      <c r="AE58" s="663">
        <v>0</v>
      </c>
      <c r="AF58" s="663">
        <v>0</v>
      </c>
      <c r="AG58" s="663">
        <v>0</v>
      </c>
      <c r="AH58" s="663">
        <v>0</v>
      </c>
      <c r="AI58" s="663">
        <v>0</v>
      </c>
      <c r="AJ58" s="663">
        <v>0</v>
      </c>
      <c r="AK58" s="663">
        <v>0</v>
      </c>
      <c r="AL58" s="663">
        <v>0</v>
      </c>
    </row>
    <row r="59" spans="1:38" ht="30" thickBot="1">
      <c r="A59" s="661" t="s">
        <v>6259</v>
      </c>
      <c r="B59" s="662" t="s">
        <v>6260</v>
      </c>
      <c r="C59" s="662" t="s">
        <v>6261</v>
      </c>
      <c r="D59" s="669">
        <v>1871638</v>
      </c>
      <c r="E59" s="669" t="s">
        <v>6090</v>
      </c>
      <c r="F59" s="669" t="s">
        <v>125</v>
      </c>
      <c r="G59" s="669" t="s">
        <v>125</v>
      </c>
      <c r="H59" s="669">
        <v>10</v>
      </c>
      <c r="I59" s="669">
        <v>10</v>
      </c>
      <c r="J59" s="669">
        <v>0</v>
      </c>
      <c r="K59" s="669">
        <v>0</v>
      </c>
      <c r="L59" s="669">
        <v>0</v>
      </c>
      <c r="M59" s="670">
        <v>46168.915972222225</v>
      </c>
      <c r="N59" s="669">
        <v>0</v>
      </c>
      <c r="O59" s="664">
        <v>0</v>
      </c>
      <c r="P59" s="664">
        <v>0</v>
      </c>
      <c r="Q59" s="666">
        <v>0</v>
      </c>
      <c r="R59" s="669">
        <v>0</v>
      </c>
      <c r="S59" s="669">
        <v>0</v>
      </c>
      <c r="T59" s="669">
        <v>0</v>
      </c>
      <c r="U59" s="669" t="s">
        <v>125</v>
      </c>
      <c r="V59" s="669" t="s">
        <v>125</v>
      </c>
      <c r="W59" s="663">
        <v>0</v>
      </c>
      <c r="X59" s="663">
        <v>0</v>
      </c>
      <c r="Y59" s="663">
        <v>0</v>
      </c>
      <c r="Z59" s="663">
        <v>0</v>
      </c>
      <c r="AA59" s="663">
        <v>0</v>
      </c>
      <c r="AB59" s="663">
        <v>0</v>
      </c>
      <c r="AC59" s="663">
        <v>0</v>
      </c>
      <c r="AD59" s="663">
        <v>0</v>
      </c>
      <c r="AE59" s="663">
        <v>0</v>
      </c>
      <c r="AF59" s="663">
        <v>0</v>
      </c>
      <c r="AG59" s="663">
        <v>0</v>
      </c>
      <c r="AH59" s="663">
        <v>0</v>
      </c>
      <c r="AI59" s="663">
        <v>0</v>
      </c>
      <c r="AJ59" s="663">
        <v>0</v>
      </c>
      <c r="AK59" s="663">
        <v>0</v>
      </c>
      <c r="AL59" s="663">
        <v>0</v>
      </c>
    </row>
    <row r="60" spans="1:38" ht="44" thickBot="1">
      <c r="A60" s="661" t="s">
        <v>6169</v>
      </c>
      <c r="B60" s="662" t="s">
        <v>6262</v>
      </c>
      <c r="C60" s="662" t="s">
        <v>6263</v>
      </c>
      <c r="D60" s="669">
        <v>1808232</v>
      </c>
      <c r="E60" s="669" t="s">
        <v>6090</v>
      </c>
      <c r="F60" s="669" t="s">
        <v>6096</v>
      </c>
      <c r="G60" s="669" t="s">
        <v>6117</v>
      </c>
      <c r="H60" s="669">
        <v>9</v>
      </c>
      <c r="I60" s="669">
        <v>9</v>
      </c>
      <c r="J60" s="669">
        <v>0</v>
      </c>
      <c r="K60" s="669">
        <v>6</v>
      </c>
      <c r="L60" s="669">
        <v>9</v>
      </c>
      <c r="M60" s="670">
        <v>46153.915972222225</v>
      </c>
      <c r="N60" s="669">
        <v>0</v>
      </c>
      <c r="O60" s="664">
        <v>3</v>
      </c>
      <c r="P60" s="664">
        <v>26</v>
      </c>
      <c r="Q60" s="666">
        <v>29</v>
      </c>
      <c r="R60" s="667">
        <v>2</v>
      </c>
      <c r="S60" s="669">
        <v>69</v>
      </c>
      <c r="T60" s="669">
        <v>26</v>
      </c>
      <c r="U60" s="670">
        <v>45856.583333333336</v>
      </c>
      <c r="V60" s="670">
        <v>46081.583333333336</v>
      </c>
      <c r="W60" s="663">
        <v>0</v>
      </c>
      <c r="X60" s="663">
        <v>0</v>
      </c>
      <c r="Y60" s="663">
        <v>0</v>
      </c>
      <c r="Z60" s="663">
        <v>0</v>
      </c>
      <c r="AA60" s="663">
        <v>0</v>
      </c>
      <c r="AB60" s="663">
        <v>0</v>
      </c>
      <c r="AC60" s="663">
        <v>0</v>
      </c>
      <c r="AD60" s="668">
        <v>11</v>
      </c>
      <c r="AE60" s="668">
        <v>5</v>
      </c>
      <c r="AF60" s="668">
        <v>5</v>
      </c>
      <c r="AG60" s="668">
        <v>11</v>
      </c>
      <c r="AH60" s="668">
        <v>4</v>
      </c>
      <c r="AI60" s="668">
        <v>4</v>
      </c>
      <c r="AJ60" s="668">
        <v>15</v>
      </c>
      <c r="AK60" s="668">
        <v>14</v>
      </c>
      <c r="AL60" s="663">
        <v>0</v>
      </c>
    </row>
    <row r="61" spans="1:38" ht="30" thickBot="1">
      <c r="A61" s="661" t="s">
        <v>6264</v>
      </c>
      <c r="B61" s="662" t="s">
        <v>6265</v>
      </c>
      <c r="C61" s="662" t="s">
        <v>6266</v>
      </c>
      <c r="D61" s="669">
        <v>1818575</v>
      </c>
      <c r="E61" s="669" t="s">
        <v>6090</v>
      </c>
      <c r="F61" s="669" t="s">
        <v>6117</v>
      </c>
      <c r="G61" s="669" t="s">
        <v>6091</v>
      </c>
      <c r="H61" s="669">
        <v>9</v>
      </c>
      <c r="I61" s="669">
        <v>9</v>
      </c>
      <c r="J61" s="669">
        <v>0</v>
      </c>
      <c r="K61" s="669">
        <v>4</v>
      </c>
      <c r="L61" s="669">
        <v>7</v>
      </c>
      <c r="M61" s="670">
        <v>46153.915972222225</v>
      </c>
      <c r="N61" s="669">
        <v>0</v>
      </c>
      <c r="O61" s="664">
        <v>3</v>
      </c>
      <c r="P61" s="664">
        <v>4</v>
      </c>
      <c r="Q61" s="666">
        <v>7</v>
      </c>
      <c r="R61" s="669">
        <v>0</v>
      </c>
      <c r="S61" s="669">
        <v>110</v>
      </c>
      <c r="T61" s="669">
        <v>4</v>
      </c>
      <c r="U61" s="670">
        <v>45903.083333333336</v>
      </c>
      <c r="V61" s="670">
        <v>46084.875</v>
      </c>
      <c r="W61" s="663">
        <v>0</v>
      </c>
      <c r="X61" s="663">
        <v>0</v>
      </c>
      <c r="Y61" s="663">
        <v>0</v>
      </c>
      <c r="Z61" s="663">
        <v>0</v>
      </c>
      <c r="AA61" s="663">
        <v>0</v>
      </c>
      <c r="AB61" s="663">
        <v>0</v>
      </c>
      <c r="AC61" s="663">
        <v>0</v>
      </c>
      <c r="AD61" s="663">
        <v>0</v>
      </c>
      <c r="AE61" s="663">
        <v>0</v>
      </c>
      <c r="AF61" s="668">
        <v>16</v>
      </c>
      <c r="AG61" s="668">
        <v>24</v>
      </c>
      <c r="AH61" s="668">
        <v>26</v>
      </c>
      <c r="AI61" s="668">
        <v>9</v>
      </c>
      <c r="AJ61" s="668">
        <v>19</v>
      </c>
      <c r="AK61" s="668">
        <v>14</v>
      </c>
      <c r="AL61" s="668">
        <v>2</v>
      </c>
    </row>
    <row r="62" spans="1:38" ht="30" thickBot="1">
      <c r="A62" s="661" t="s">
        <v>6224</v>
      </c>
      <c r="B62" s="662" t="s">
        <v>6267</v>
      </c>
      <c r="C62" s="662" t="s">
        <v>6268</v>
      </c>
      <c r="D62" s="669">
        <v>1846689</v>
      </c>
      <c r="E62" s="669" t="s">
        <v>6090</v>
      </c>
      <c r="F62" s="669" t="s">
        <v>125</v>
      </c>
      <c r="G62" s="669" t="s">
        <v>125</v>
      </c>
      <c r="H62" s="669">
        <v>9</v>
      </c>
      <c r="I62" s="669">
        <v>9</v>
      </c>
      <c r="J62" s="669">
        <v>0</v>
      </c>
      <c r="K62" s="669">
        <v>0</v>
      </c>
      <c r="L62" s="669">
        <v>0</v>
      </c>
      <c r="M62" s="670">
        <v>46085.954861111109</v>
      </c>
      <c r="N62" s="669">
        <v>0</v>
      </c>
      <c r="O62" s="664">
        <v>0</v>
      </c>
      <c r="P62" s="664">
        <v>1</v>
      </c>
      <c r="Q62" s="666">
        <v>1</v>
      </c>
      <c r="R62" s="669">
        <v>0</v>
      </c>
      <c r="S62" s="669">
        <v>0</v>
      </c>
      <c r="T62" s="669">
        <v>1</v>
      </c>
      <c r="U62" s="669" t="s">
        <v>125</v>
      </c>
      <c r="V62" s="669" t="s">
        <v>125</v>
      </c>
      <c r="W62" s="663">
        <v>0</v>
      </c>
      <c r="X62" s="663">
        <v>0</v>
      </c>
      <c r="Y62" s="663">
        <v>0</v>
      </c>
      <c r="Z62" s="663">
        <v>0</v>
      </c>
      <c r="AA62" s="663">
        <v>0</v>
      </c>
      <c r="AB62" s="663">
        <v>0</v>
      </c>
      <c r="AC62" s="663">
        <v>0</v>
      </c>
      <c r="AD62" s="663">
        <v>0</v>
      </c>
      <c r="AE62" s="663">
        <v>0</v>
      </c>
      <c r="AF62" s="663">
        <v>0</v>
      </c>
      <c r="AG62" s="663">
        <v>0</v>
      </c>
      <c r="AH62" s="663">
        <v>0</v>
      </c>
      <c r="AI62" s="663">
        <v>0</v>
      </c>
      <c r="AJ62" s="663">
        <v>0</v>
      </c>
      <c r="AK62" s="663">
        <v>0</v>
      </c>
      <c r="AL62" s="663">
        <v>0</v>
      </c>
    </row>
    <row r="63" spans="1:38" ht="30" thickBot="1">
      <c r="A63" s="661" t="s">
        <v>6269</v>
      </c>
      <c r="B63" s="662" t="s">
        <v>6270</v>
      </c>
      <c r="C63" s="662" t="s">
        <v>6271</v>
      </c>
      <c r="D63" s="669">
        <v>1857079</v>
      </c>
      <c r="E63" s="669" t="s">
        <v>6090</v>
      </c>
      <c r="F63" s="669" t="s">
        <v>125</v>
      </c>
      <c r="G63" s="669" t="s">
        <v>125</v>
      </c>
      <c r="H63" s="669">
        <v>8</v>
      </c>
      <c r="I63" s="669">
        <v>8</v>
      </c>
      <c r="J63" s="669">
        <v>0</v>
      </c>
      <c r="K63" s="669">
        <v>1</v>
      </c>
      <c r="L63" s="669">
        <v>2</v>
      </c>
      <c r="M63" s="670">
        <v>46126</v>
      </c>
      <c r="N63" s="669">
        <v>0</v>
      </c>
      <c r="O63" s="664">
        <v>1</v>
      </c>
      <c r="P63" s="664">
        <v>1</v>
      </c>
      <c r="Q63" s="666">
        <v>2</v>
      </c>
      <c r="R63" s="669">
        <v>0</v>
      </c>
      <c r="S63" s="669">
        <v>0</v>
      </c>
      <c r="T63" s="669">
        <v>1</v>
      </c>
      <c r="U63" s="669" t="s">
        <v>125</v>
      </c>
      <c r="V63" s="669" t="s">
        <v>125</v>
      </c>
      <c r="W63" s="663">
        <v>0</v>
      </c>
      <c r="X63" s="663">
        <v>0</v>
      </c>
      <c r="Y63" s="663">
        <v>0</v>
      </c>
      <c r="Z63" s="663">
        <v>0</v>
      </c>
      <c r="AA63" s="663">
        <v>0</v>
      </c>
      <c r="AB63" s="663">
        <v>0</v>
      </c>
      <c r="AC63" s="663">
        <v>0</v>
      </c>
      <c r="AD63" s="663">
        <v>0</v>
      </c>
      <c r="AE63" s="663">
        <v>0</v>
      </c>
      <c r="AF63" s="663">
        <v>0</v>
      </c>
      <c r="AG63" s="663">
        <v>0</v>
      </c>
      <c r="AH63" s="663">
        <v>0</v>
      </c>
      <c r="AI63" s="663">
        <v>0</v>
      </c>
      <c r="AJ63" s="663">
        <v>0</v>
      </c>
      <c r="AK63" s="663">
        <v>0</v>
      </c>
      <c r="AL63" s="663">
        <v>0</v>
      </c>
    </row>
    <row r="64" spans="1:38" ht="30" thickBot="1">
      <c r="A64" s="661" t="s">
        <v>6272</v>
      </c>
      <c r="B64" s="662" t="s">
        <v>6273</v>
      </c>
      <c r="C64" s="662" t="s">
        <v>6274</v>
      </c>
      <c r="D64" s="669">
        <v>1861985</v>
      </c>
      <c r="E64" s="669" t="s">
        <v>6090</v>
      </c>
      <c r="F64" s="669" t="s">
        <v>125</v>
      </c>
      <c r="G64" s="669" t="s">
        <v>125</v>
      </c>
      <c r="H64" s="669">
        <v>8</v>
      </c>
      <c r="I64" s="669">
        <v>8</v>
      </c>
      <c r="J64" s="669">
        <v>0</v>
      </c>
      <c r="K64" s="669">
        <v>0</v>
      </c>
      <c r="L64" s="669">
        <v>0</v>
      </c>
      <c r="M64" s="670">
        <v>46138</v>
      </c>
      <c r="N64" s="669">
        <v>0</v>
      </c>
      <c r="O64" s="664">
        <v>0</v>
      </c>
      <c r="P64" s="664">
        <v>2</v>
      </c>
      <c r="Q64" s="666">
        <v>2</v>
      </c>
      <c r="R64" s="669">
        <v>0</v>
      </c>
      <c r="S64" s="669">
        <v>0</v>
      </c>
      <c r="T64" s="669">
        <v>2</v>
      </c>
      <c r="U64" s="669" t="s">
        <v>125</v>
      </c>
      <c r="V64" s="669" t="s">
        <v>125</v>
      </c>
      <c r="W64" s="663">
        <v>0</v>
      </c>
      <c r="X64" s="663">
        <v>0</v>
      </c>
      <c r="Y64" s="663">
        <v>0</v>
      </c>
      <c r="Z64" s="663">
        <v>0</v>
      </c>
      <c r="AA64" s="663">
        <v>0</v>
      </c>
      <c r="AB64" s="663">
        <v>0</v>
      </c>
      <c r="AC64" s="663">
        <v>0</v>
      </c>
      <c r="AD64" s="663">
        <v>0</v>
      </c>
      <c r="AE64" s="663">
        <v>0</v>
      </c>
      <c r="AF64" s="663">
        <v>0</v>
      </c>
      <c r="AG64" s="663">
        <v>0</v>
      </c>
      <c r="AH64" s="663">
        <v>0</v>
      </c>
      <c r="AI64" s="663">
        <v>0</v>
      </c>
      <c r="AJ64" s="663">
        <v>0</v>
      </c>
      <c r="AK64" s="663">
        <v>0</v>
      </c>
      <c r="AL64" s="663">
        <v>0</v>
      </c>
    </row>
    <row r="65" spans="1:38" ht="30" thickBot="1">
      <c r="A65" s="661" t="s">
        <v>6275</v>
      </c>
      <c r="B65" s="662" t="s">
        <v>6276</v>
      </c>
      <c r="C65" s="662" t="s">
        <v>6277</v>
      </c>
      <c r="D65" s="669">
        <v>1798177</v>
      </c>
      <c r="E65" s="669" t="s">
        <v>6090</v>
      </c>
      <c r="F65" s="669" t="s">
        <v>6097</v>
      </c>
      <c r="G65" s="669" t="s">
        <v>6091</v>
      </c>
      <c r="H65" s="669">
        <v>7</v>
      </c>
      <c r="I65" s="669">
        <v>7</v>
      </c>
      <c r="J65" s="669">
        <v>0</v>
      </c>
      <c r="K65" s="669">
        <v>21</v>
      </c>
      <c r="L65" s="669">
        <v>12</v>
      </c>
      <c r="M65" s="670">
        <v>46154.915972222225</v>
      </c>
      <c r="N65" s="669">
        <v>0</v>
      </c>
      <c r="O65" s="664">
        <v>0</v>
      </c>
      <c r="P65" s="664">
        <v>0</v>
      </c>
      <c r="Q65" s="666">
        <v>0</v>
      </c>
      <c r="R65" s="667">
        <v>1</v>
      </c>
      <c r="S65" s="669">
        <v>183</v>
      </c>
      <c r="T65" s="669">
        <v>4</v>
      </c>
      <c r="U65" s="670">
        <v>45825.458333333336</v>
      </c>
      <c r="V65" s="670">
        <v>46084.583333333336</v>
      </c>
      <c r="W65" s="663">
        <v>0</v>
      </c>
      <c r="X65" s="663">
        <v>0</v>
      </c>
      <c r="Y65" s="663">
        <v>0</v>
      </c>
      <c r="Z65" s="663">
        <v>0</v>
      </c>
      <c r="AA65" s="663">
        <v>0</v>
      </c>
      <c r="AB65" s="663">
        <v>0</v>
      </c>
      <c r="AC65" s="668">
        <v>9</v>
      </c>
      <c r="AD65" s="668">
        <v>16</v>
      </c>
      <c r="AE65" s="668">
        <v>18</v>
      </c>
      <c r="AF65" s="668">
        <v>12</v>
      </c>
      <c r="AG65" s="668">
        <v>18</v>
      </c>
      <c r="AH65" s="668">
        <v>26</v>
      </c>
      <c r="AI65" s="668">
        <v>22</v>
      </c>
      <c r="AJ65" s="668">
        <v>29</v>
      </c>
      <c r="AK65" s="668">
        <v>29</v>
      </c>
      <c r="AL65" s="668">
        <v>4</v>
      </c>
    </row>
    <row r="66" spans="1:38" ht="30" thickBot="1">
      <c r="A66" s="661" t="s">
        <v>6278</v>
      </c>
      <c r="B66" s="662" t="s">
        <v>6279</v>
      </c>
      <c r="C66" s="662" t="s">
        <v>6280</v>
      </c>
      <c r="D66" s="669">
        <v>1806190</v>
      </c>
      <c r="E66" s="669" t="s">
        <v>6090</v>
      </c>
      <c r="F66" s="669" t="s">
        <v>6096</v>
      </c>
      <c r="G66" s="669" t="s">
        <v>6096</v>
      </c>
      <c r="H66" s="669">
        <v>7</v>
      </c>
      <c r="I66" s="669">
        <v>7</v>
      </c>
      <c r="J66" s="669">
        <v>0</v>
      </c>
      <c r="K66" s="669">
        <v>1</v>
      </c>
      <c r="L66" s="669">
        <v>3</v>
      </c>
      <c r="M66" s="670">
        <v>46138.915972222225</v>
      </c>
      <c r="N66" s="669">
        <v>0</v>
      </c>
      <c r="O66" s="664">
        <v>2</v>
      </c>
      <c r="P66" s="664">
        <v>0</v>
      </c>
      <c r="Q66" s="666">
        <v>2</v>
      </c>
      <c r="R66" s="669">
        <v>0</v>
      </c>
      <c r="S66" s="669">
        <v>7</v>
      </c>
      <c r="T66" s="669">
        <v>0</v>
      </c>
      <c r="U66" s="670">
        <v>46035.708333333336</v>
      </c>
      <c r="V66" s="670">
        <v>46071.666666666664</v>
      </c>
      <c r="W66" s="663">
        <v>0</v>
      </c>
      <c r="X66" s="663">
        <v>0</v>
      </c>
      <c r="Y66" s="663">
        <v>0</v>
      </c>
      <c r="Z66" s="663">
        <v>0</v>
      </c>
      <c r="AA66" s="663">
        <v>0</v>
      </c>
      <c r="AB66" s="663">
        <v>0</v>
      </c>
      <c r="AC66" s="663">
        <v>0</v>
      </c>
      <c r="AD66" s="663">
        <v>0</v>
      </c>
      <c r="AE66" s="663">
        <v>0</v>
      </c>
      <c r="AF66" s="663">
        <v>0</v>
      </c>
      <c r="AG66" s="663">
        <v>0</v>
      </c>
      <c r="AH66" s="663">
        <v>0</v>
      </c>
      <c r="AI66" s="663">
        <v>0</v>
      </c>
      <c r="AJ66" s="668">
        <v>4</v>
      </c>
      <c r="AK66" s="668">
        <v>3</v>
      </c>
      <c r="AL66" s="663">
        <v>0</v>
      </c>
    </row>
    <row r="67" spans="1:38" ht="30" thickBot="1">
      <c r="A67" s="661" t="s">
        <v>6281</v>
      </c>
      <c r="B67" s="662" t="s">
        <v>6282</v>
      </c>
      <c r="C67" s="662" t="s">
        <v>6283</v>
      </c>
      <c r="D67" s="669">
        <v>1810816</v>
      </c>
      <c r="E67" s="669" t="s">
        <v>6090</v>
      </c>
      <c r="F67" s="669" t="s">
        <v>6096</v>
      </c>
      <c r="G67" s="669" t="s">
        <v>6113</v>
      </c>
      <c r="H67" s="669">
        <v>6</v>
      </c>
      <c r="I67" s="669">
        <v>6</v>
      </c>
      <c r="J67" s="669">
        <v>0</v>
      </c>
      <c r="K67" s="669">
        <v>5</v>
      </c>
      <c r="L67" s="669">
        <v>3</v>
      </c>
      <c r="M67" s="670">
        <v>46126.915972222225</v>
      </c>
      <c r="N67" s="669">
        <v>0</v>
      </c>
      <c r="O67" s="664">
        <v>0</v>
      </c>
      <c r="P67" s="664">
        <v>9</v>
      </c>
      <c r="Q67" s="666">
        <v>9</v>
      </c>
      <c r="R67" s="669">
        <v>0</v>
      </c>
      <c r="S67" s="669">
        <v>181</v>
      </c>
      <c r="T67" s="669">
        <v>11</v>
      </c>
      <c r="U67" s="670">
        <v>45945.041666666664</v>
      </c>
      <c r="V67" s="670">
        <v>46083.541666666664</v>
      </c>
      <c r="W67" s="663">
        <v>0</v>
      </c>
      <c r="X67" s="663">
        <v>0</v>
      </c>
      <c r="Y67" s="663">
        <v>0</v>
      </c>
      <c r="Z67" s="663">
        <v>0</v>
      </c>
      <c r="AA67" s="663">
        <v>0</v>
      </c>
      <c r="AB67" s="663">
        <v>0</v>
      </c>
      <c r="AC67" s="663">
        <v>0</v>
      </c>
      <c r="AD67" s="663">
        <v>0</v>
      </c>
      <c r="AE67" s="663">
        <v>0</v>
      </c>
      <c r="AF67" s="663">
        <v>0</v>
      </c>
      <c r="AG67" s="668">
        <v>26</v>
      </c>
      <c r="AH67" s="668">
        <v>44</v>
      </c>
      <c r="AI67" s="668">
        <v>49</v>
      </c>
      <c r="AJ67" s="668">
        <v>46</v>
      </c>
      <c r="AK67" s="668">
        <v>15</v>
      </c>
      <c r="AL67" s="668">
        <v>1</v>
      </c>
    </row>
    <row r="68" spans="1:38" ht="30" thickBot="1">
      <c r="A68" s="661" t="s">
        <v>6284</v>
      </c>
      <c r="B68" s="662" t="s">
        <v>6285</v>
      </c>
      <c r="C68" s="662" t="s">
        <v>6286</v>
      </c>
      <c r="D68" s="669">
        <v>1859532</v>
      </c>
      <c r="E68" s="669" t="s">
        <v>6090</v>
      </c>
      <c r="F68" s="669" t="s">
        <v>6096</v>
      </c>
      <c r="G68" s="669" t="s">
        <v>6096</v>
      </c>
      <c r="H68" s="669">
        <v>6</v>
      </c>
      <c r="I68" s="669">
        <v>6</v>
      </c>
      <c r="J68" s="669">
        <v>0</v>
      </c>
      <c r="K68" s="669">
        <v>0</v>
      </c>
      <c r="L68" s="669">
        <v>0</v>
      </c>
      <c r="M68" s="670">
        <v>46126</v>
      </c>
      <c r="N68" s="669">
        <v>0</v>
      </c>
      <c r="O68" s="664">
        <v>0</v>
      </c>
      <c r="P68" s="664">
        <v>0</v>
      </c>
      <c r="Q68" s="666">
        <v>0</v>
      </c>
      <c r="R68" s="667">
        <v>3</v>
      </c>
      <c r="S68" s="669">
        <v>1</v>
      </c>
      <c r="T68" s="669">
        <v>0</v>
      </c>
      <c r="U68" s="670">
        <v>46084.708333333336</v>
      </c>
      <c r="V68" s="670">
        <v>46084.708333333336</v>
      </c>
      <c r="W68" s="663">
        <v>0</v>
      </c>
      <c r="X68" s="663">
        <v>0</v>
      </c>
      <c r="Y68" s="663">
        <v>0</v>
      </c>
      <c r="Z68" s="663">
        <v>0</v>
      </c>
      <c r="AA68" s="663">
        <v>0</v>
      </c>
      <c r="AB68" s="663">
        <v>0</v>
      </c>
      <c r="AC68" s="663">
        <v>0</v>
      </c>
      <c r="AD68" s="663">
        <v>0</v>
      </c>
      <c r="AE68" s="663">
        <v>0</v>
      </c>
      <c r="AF68" s="663">
        <v>0</v>
      </c>
      <c r="AG68" s="663">
        <v>0</v>
      </c>
      <c r="AH68" s="663">
        <v>0</v>
      </c>
      <c r="AI68" s="663">
        <v>0</v>
      </c>
      <c r="AJ68" s="663">
        <v>0</v>
      </c>
      <c r="AK68" s="663">
        <v>0</v>
      </c>
      <c r="AL68" s="668">
        <v>1</v>
      </c>
    </row>
    <row r="69" spans="1:38" ht="30" thickBot="1">
      <c r="A69" s="661" t="s">
        <v>6287</v>
      </c>
      <c r="B69" s="662" t="s">
        <v>6288</v>
      </c>
      <c r="C69" s="662" t="s">
        <v>6289</v>
      </c>
      <c r="D69" s="669">
        <v>1859533</v>
      </c>
      <c r="E69" s="669" t="s">
        <v>6090</v>
      </c>
      <c r="F69" s="669" t="s">
        <v>6092</v>
      </c>
      <c r="G69" s="669" t="s">
        <v>6092</v>
      </c>
      <c r="H69" s="669">
        <v>6</v>
      </c>
      <c r="I69" s="669">
        <v>6</v>
      </c>
      <c r="J69" s="669">
        <v>0</v>
      </c>
      <c r="K69" s="669">
        <v>0</v>
      </c>
      <c r="L69" s="669">
        <v>0</v>
      </c>
      <c r="M69" s="670">
        <v>46126</v>
      </c>
      <c r="N69" s="669">
        <v>0</v>
      </c>
      <c r="O69" s="664">
        <v>0</v>
      </c>
      <c r="P69" s="664">
        <v>1</v>
      </c>
      <c r="Q69" s="666">
        <v>1</v>
      </c>
      <c r="R69" s="669">
        <v>0</v>
      </c>
      <c r="S69" s="669">
        <v>3</v>
      </c>
      <c r="T69" s="669">
        <v>1</v>
      </c>
      <c r="U69" s="670">
        <v>46047.583333333336</v>
      </c>
      <c r="V69" s="670">
        <v>46063.583333333336</v>
      </c>
      <c r="W69" s="663">
        <v>0</v>
      </c>
      <c r="X69" s="663">
        <v>0</v>
      </c>
      <c r="Y69" s="663">
        <v>0</v>
      </c>
      <c r="Z69" s="663">
        <v>0</v>
      </c>
      <c r="AA69" s="663">
        <v>0</v>
      </c>
      <c r="AB69" s="663">
        <v>0</v>
      </c>
      <c r="AC69" s="663">
        <v>0</v>
      </c>
      <c r="AD69" s="663">
        <v>0</v>
      </c>
      <c r="AE69" s="663">
        <v>0</v>
      </c>
      <c r="AF69" s="663">
        <v>0</v>
      </c>
      <c r="AG69" s="663">
        <v>0</v>
      </c>
      <c r="AH69" s="663">
        <v>0</v>
      </c>
      <c r="AI69" s="663">
        <v>0</v>
      </c>
      <c r="AJ69" s="668">
        <v>1</v>
      </c>
      <c r="AK69" s="668">
        <v>2</v>
      </c>
      <c r="AL69" s="663">
        <v>0</v>
      </c>
    </row>
    <row r="70" spans="1:38" ht="30" thickBot="1">
      <c r="A70" s="661" t="s">
        <v>6290</v>
      </c>
      <c r="B70" s="662" t="s">
        <v>6291</v>
      </c>
      <c r="C70" s="662" t="s">
        <v>6292</v>
      </c>
      <c r="D70" s="669">
        <v>1859534</v>
      </c>
      <c r="E70" s="669" t="s">
        <v>6090</v>
      </c>
      <c r="F70" s="669" t="s">
        <v>6101</v>
      </c>
      <c r="G70" s="669" t="s">
        <v>6101</v>
      </c>
      <c r="H70" s="669">
        <v>6</v>
      </c>
      <c r="I70" s="669">
        <v>6</v>
      </c>
      <c r="J70" s="669">
        <v>0</v>
      </c>
      <c r="K70" s="669">
        <v>0</v>
      </c>
      <c r="L70" s="669">
        <v>0</v>
      </c>
      <c r="M70" s="670">
        <v>46126</v>
      </c>
      <c r="N70" s="669">
        <v>0</v>
      </c>
      <c r="O70" s="664">
        <v>0</v>
      </c>
      <c r="P70" s="664">
        <v>1</v>
      </c>
      <c r="Q70" s="666">
        <v>1</v>
      </c>
      <c r="R70" s="669">
        <v>0</v>
      </c>
      <c r="S70" s="669">
        <v>3</v>
      </c>
      <c r="T70" s="669">
        <v>1</v>
      </c>
      <c r="U70" s="670">
        <v>46049.458333333336</v>
      </c>
      <c r="V70" s="670">
        <v>46051.5</v>
      </c>
      <c r="W70" s="663">
        <v>0</v>
      </c>
      <c r="X70" s="663">
        <v>0</v>
      </c>
      <c r="Y70" s="663">
        <v>0</v>
      </c>
      <c r="Z70" s="663">
        <v>0</v>
      </c>
      <c r="AA70" s="663">
        <v>0</v>
      </c>
      <c r="AB70" s="663">
        <v>0</v>
      </c>
      <c r="AC70" s="663">
        <v>0</v>
      </c>
      <c r="AD70" s="663">
        <v>0</v>
      </c>
      <c r="AE70" s="663">
        <v>0</v>
      </c>
      <c r="AF70" s="663">
        <v>0</v>
      </c>
      <c r="AG70" s="663">
        <v>0</v>
      </c>
      <c r="AH70" s="663">
        <v>0</v>
      </c>
      <c r="AI70" s="663">
        <v>0</v>
      </c>
      <c r="AJ70" s="668">
        <v>3</v>
      </c>
      <c r="AK70" s="663">
        <v>0</v>
      </c>
      <c r="AL70" s="663">
        <v>0</v>
      </c>
    </row>
    <row r="71" spans="1:38" ht="30" thickBot="1">
      <c r="A71" s="661" t="s">
        <v>6175</v>
      </c>
      <c r="B71" s="662" t="s">
        <v>6291</v>
      </c>
      <c r="C71" s="662" t="s">
        <v>6293</v>
      </c>
      <c r="D71" s="669">
        <v>1860639</v>
      </c>
      <c r="E71" s="669" t="s">
        <v>6090</v>
      </c>
      <c r="F71" s="669" t="s">
        <v>6092</v>
      </c>
      <c r="G71" s="669" t="s">
        <v>6092</v>
      </c>
      <c r="H71" s="669">
        <v>6</v>
      </c>
      <c r="I71" s="669">
        <v>6</v>
      </c>
      <c r="J71" s="669">
        <v>0</v>
      </c>
      <c r="K71" s="669">
        <v>0</v>
      </c>
      <c r="L71" s="669">
        <v>0</v>
      </c>
      <c r="M71" s="670">
        <v>46138.915972222225</v>
      </c>
      <c r="N71" s="669">
        <v>0</v>
      </c>
      <c r="O71" s="664">
        <v>0</v>
      </c>
      <c r="P71" s="664">
        <v>1</v>
      </c>
      <c r="Q71" s="666">
        <v>1</v>
      </c>
      <c r="R71" s="669">
        <v>0</v>
      </c>
      <c r="S71" s="669">
        <v>3</v>
      </c>
      <c r="T71" s="669">
        <v>1</v>
      </c>
      <c r="U71" s="670">
        <v>46058.083333333336</v>
      </c>
      <c r="V71" s="670">
        <v>46060.666666666664</v>
      </c>
      <c r="W71" s="663">
        <v>0</v>
      </c>
      <c r="X71" s="663">
        <v>0</v>
      </c>
      <c r="Y71" s="663">
        <v>0</v>
      </c>
      <c r="Z71" s="663">
        <v>0</v>
      </c>
      <c r="AA71" s="663">
        <v>0</v>
      </c>
      <c r="AB71" s="663">
        <v>0</v>
      </c>
      <c r="AC71" s="663">
        <v>0</v>
      </c>
      <c r="AD71" s="663">
        <v>0</v>
      </c>
      <c r="AE71" s="663">
        <v>0</v>
      </c>
      <c r="AF71" s="663">
        <v>0</v>
      </c>
      <c r="AG71" s="663">
        <v>0</v>
      </c>
      <c r="AH71" s="663">
        <v>0</v>
      </c>
      <c r="AI71" s="663">
        <v>0</v>
      </c>
      <c r="AJ71" s="663">
        <v>0</v>
      </c>
      <c r="AK71" s="668">
        <v>3</v>
      </c>
      <c r="AL71" s="663">
        <v>0</v>
      </c>
    </row>
    <row r="72" spans="1:38" ht="30" thickBot="1">
      <c r="A72" s="661" t="s">
        <v>6294</v>
      </c>
      <c r="B72" s="662" t="s">
        <v>6295</v>
      </c>
      <c r="C72" s="662" t="s">
        <v>6296</v>
      </c>
      <c r="D72" s="669">
        <v>1672213</v>
      </c>
      <c r="E72" s="669" t="s">
        <v>6090</v>
      </c>
      <c r="F72" s="669" t="s">
        <v>6117</v>
      </c>
      <c r="G72" s="669" t="s">
        <v>6217</v>
      </c>
      <c r="H72" s="669">
        <v>5</v>
      </c>
      <c r="I72" s="669">
        <v>5</v>
      </c>
      <c r="J72" s="669">
        <v>0</v>
      </c>
      <c r="K72" s="669">
        <v>10</v>
      </c>
      <c r="L72" s="669">
        <v>9</v>
      </c>
      <c r="M72" s="670">
        <v>46126.915972222225</v>
      </c>
      <c r="N72" s="669">
        <v>0</v>
      </c>
      <c r="O72" s="664">
        <v>0</v>
      </c>
      <c r="P72" s="664">
        <v>129</v>
      </c>
      <c r="Q72" s="666">
        <v>129</v>
      </c>
      <c r="R72" s="669">
        <v>0</v>
      </c>
      <c r="S72" s="669">
        <v>85</v>
      </c>
      <c r="T72" s="669">
        <v>130</v>
      </c>
      <c r="U72" s="670">
        <v>45642.666666666664</v>
      </c>
      <c r="V72" s="670">
        <v>46077.958333333336</v>
      </c>
      <c r="W72" s="668">
        <v>1</v>
      </c>
      <c r="X72" s="668">
        <v>11</v>
      </c>
      <c r="Y72" s="668">
        <v>22</v>
      </c>
      <c r="Z72" s="668">
        <v>13</v>
      </c>
      <c r="AA72" s="668">
        <v>3</v>
      </c>
      <c r="AB72" s="668">
        <v>10</v>
      </c>
      <c r="AC72" s="668">
        <v>7</v>
      </c>
      <c r="AD72" s="663">
        <v>0</v>
      </c>
      <c r="AE72" s="668">
        <v>3</v>
      </c>
      <c r="AF72" s="668">
        <v>5</v>
      </c>
      <c r="AG72" s="668">
        <v>1</v>
      </c>
      <c r="AH72" s="668">
        <v>2</v>
      </c>
      <c r="AI72" s="668">
        <v>1</v>
      </c>
      <c r="AJ72" s="668">
        <v>1</v>
      </c>
      <c r="AK72" s="668">
        <v>5</v>
      </c>
      <c r="AL72" s="663">
        <v>0</v>
      </c>
    </row>
    <row r="73" spans="1:38" ht="44" thickBot="1">
      <c r="A73" s="661" t="s">
        <v>6297</v>
      </c>
      <c r="B73" s="662" t="s">
        <v>6298</v>
      </c>
      <c r="C73" s="662" t="s">
        <v>6299</v>
      </c>
      <c r="D73" s="669">
        <v>1781934</v>
      </c>
      <c r="E73" s="669" t="s">
        <v>6090</v>
      </c>
      <c r="F73" s="669" t="s">
        <v>6160</v>
      </c>
      <c r="G73" s="669" t="s">
        <v>6105</v>
      </c>
      <c r="H73" s="669">
        <v>5</v>
      </c>
      <c r="I73" s="669">
        <v>5</v>
      </c>
      <c r="J73" s="669">
        <v>0</v>
      </c>
      <c r="K73" s="669">
        <v>0</v>
      </c>
      <c r="L73" s="669">
        <v>7</v>
      </c>
      <c r="M73" s="670">
        <v>46138.915972222225</v>
      </c>
      <c r="N73" s="669">
        <v>0</v>
      </c>
      <c r="O73" s="664">
        <v>7</v>
      </c>
      <c r="P73" s="664">
        <v>10</v>
      </c>
      <c r="Q73" s="666">
        <v>17</v>
      </c>
      <c r="R73" s="669">
        <v>0</v>
      </c>
      <c r="S73" s="669">
        <v>36</v>
      </c>
      <c r="T73" s="669">
        <v>10</v>
      </c>
      <c r="U73" s="670">
        <v>45781.666666666664</v>
      </c>
      <c r="V73" s="670">
        <v>46072.791666666664</v>
      </c>
      <c r="W73" s="663">
        <v>0</v>
      </c>
      <c r="X73" s="663">
        <v>0</v>
      </c>
      <c r="Y73" s="663">
        <v>0</v>
      </c>
      <c r="Z73" s="663">
        <v>0</v>
      </c>
      <c r="AA73" s="663">
        <v>0</v>
      </c>
      <c r="AB73" s="668">
        <v>9</v>
      </c>
      <c r="AC73" s="668">
        <v>9</v>
      </c>
      <c r="AD73" s="668">
        <v>4</v>
      </c>
      <c r="AE73" s="668">
        <v>1</v>
      </c>
      <c r="AF73" s="663">
        <v>0</v>
      </c>
      <c r="AG73" s="663">
        <v>0</v>
      </c>
      <c r="AH73" s="668">
        <v>4</v>
      </c>
      <c r="AI73" s="663">
        <v>0</v>
      </c>
      <c r="AJ73" s="668">
        <v>1</v>
      </c>
      <c r="AK73" s="668">
        <v>8</v>
      </c>
      <c r="AL73" s="663">
        <v>0</v>
      </c>
    </row>
    <row r="74" spans="1:38" ht="44" thickBot="1">
      <c r="A74" s="661" t="s">
        <v>6124</v>
      </c>
      <c r="B74" s="662" t="s">
        <v>6300</v>
      </c>
      <c r="C74" s="662" t="s">
        <v>6301</v>
      </c>
      <c r="D74" s="669">
        <v>1792945</v>
      </c>
      <c r="E74" s="669" t="s">
        <v>6090</v>
      </c>
      <c r="F74" s="669" t="s">
        <v>6101</v>
      </c>
      <c r="G74" s="669" t="s">
        <v>6147</v>
      </c>
      <c r="H74" s="669">
        <v>5</v>
      </c>
      <c r="I74" s="669">
        <v>5</v>
      </c>
      <c r="J74" s="669">
        <v>0</v>
      </c>
      <c r="K74" s="669">
        <v>12</v>
      </c>
      <c r="L74" s="669">
        <v>11</v>
      </c>
      <c r="M74" s="670">
        <v>46442.255671296298</v>
      </c>
      <c r="N74" s="669">
        <v>0</v>
      </c>
      <c r="O74" s="664">
        <v>0</v>
      </c>
      <c r="P74" s="664">
        <v>101</v>
      </c>
      <c r="Q74" s="666">
        <v>101</v>
      </c>
      <c r="R74" s="669">
        <v>0</v>
      </c>
      <c r="S74" s="669">
        <v>136</v>
      </c>
      <c r="T74" s="669">
        <v>102</v>
      </c>
      <c r="U74" s="670">
        <v>45800.291666666664</v>
      </c>
      <c r="V74" s="670">
        <v>46070.375</v>
      </c>
      <c r="W74" s="663">
        <v>0</v>
      </c>
      <c r="X74" s="663">
        <v>0</v>
      </c>
      <c r="Y74" s="663">
        <v>0</v>
      </c>
      <c r="Z74" s="663">
        <v>0</v>
      </c>
      <c r="AA74" s="663">
        <v>0</v>
      </c>
      <c r="AB74" s="668">
        <v>35</v>
      </c>
      <c r="AC74" s="668">
        <v>33</v>
      </c>
      <c r="AD74" s="668">
        <v>22</v>
      </c>
      <c r="AE74" s="668">
        <v>16</v>
      </c>
      <c r="AF74" s="668">
        <v>1</v>
      </c>
      <c r="AG74" s="663">
        <v>0</v>
      </c>
      <c r="AH74" s="668">
        <v>11</v>
      </c>
      <c r="AI74" s="668">
        <v>6</v>
      </c>
      <c r="AJ74" s="668">
        <v>7</v>
      </c>
      <c r="AK74" s="668">
        <v>5</v>
      </c>
      <c r="AL74" s="663">
        <v>0</v>
      </c>
    </row>
    <row r="75" spans="1:38" ht="30" thickBot="1">
      <c r="A75" s="661" t="s">
        <v>6302</v>
      </c>
      <c r="B75" s="662" t="s">
        <v>6303</v>
      </c>
      <c r="C75" s="662" t="s">
        <v>6304</v>
      </c>
      <c r="D75" s="669">
        <v>1834199</v>
      </c>
      <c r="E75" s="669" t="s">
        <v>6090</v>
      </c>
      <c r="F75" s="669" t="s">
        <v>6305</v>
      </c>
      <c r="G75" s="669" t="s">
        <v>6096</v>
      </c>
      <c r="H75" s="669">
        <v>5</v>
      </c>
      <c r="I75" s="669">
        <v>5</v>
      </c>
      <c r="J75" s="669">
        <v>0</v>
      </c>
      <c r="K75" s="669">
        <v>0</v>
      </c>
      <c r="L75" s="669">
        <v>0</v>
      </c>
      <c r="M75" s="670">
        <v>46138.915972222225</v>
      </c>
      <c r="N75" s="669">
        <v>0</v>
      </c>
      <c r="O75" s="664">
        <v>0</v>
      </c>
      <c r="P75" s="664">
        <v>1</v>
      </c>
      <c r="Q75" s="666">
        <v>1</v>
      </c>
      <c r="R75" s="667">
        <v>4</v>
      </c>
      <c r="S75" s="669">
        <v>19</v>
      </c>
      <c r="T75" s="669">
        <v>1</v>
      </c>
      <c r="U75" s="670">
        <v>45964.625</v>
      </c>
      <c r="V75" s="670">
        <v>46084.541666666664</v>
      </c>
      <c r="W75" s="663">
        <v>0</v>
      </c>
      <c r="X75" s="663">
        <v>0</v>
      </c>
      <c r="Y75" s="663">
        <v>0</v>
      </c>
      <c r="Z75" s="663">
        <v>0</v>
      </c>
      <c r="AA75" s="663">
        <v>0</v>
      </c>
      <c r="AB75" s="663">
        <v>0</v>
      </c>
      <c r="AC75" s="663">
        <v>0</v>
      </c>
      <c r="AD75" s="663">
        <v>0</v>
      </c>
      <c r="AE75" s="663">
        <v>0</v>
      </c>
      <c r="AF75" s="663">
        <v>0</v>
      </c>
      <c r="AG75" s="663">
        <v>0</v>
      </c>
      <c r="AH75" s="668">
        <v>9</v>
      </c>
      <c r="AI75" s="668">
        <v>9</v>
      </c>
      <c r="AJ75" s="663">
        <v>0</v>
      </c>
      <c r="AK75" s="663">
        <v>0</v>
      </c>
      <c r="AL75" s="668">
        <v>1</v>
      </c>
    </row>
    <row r="76" spans="1:38" ht="30" thickBot="1">
      <c r="A76" s="661" t="s">
        <v>6306</v>
      </c>
      <c r="B76" s="662" t="s">
        <v>6307</v>
      </c>
      <c r="C76" s="662" t="s">
        <v>6308</v>
      </c>
      <c r="D76" s="669">
        <v>1861983</v>
      </c>
      <c r="E76" s="669" t="s">
        <v>6090</v>
      </c>
      <c r="F76" s="669" t="s">
        <v>6096</v>
      </c>
      <c r="G76" s="669" t="s">
        <v>6096</v>
      </c>
      <c r="H76" s="669">
        <v>5</v>
      </c>
      <c r="I76" s="669">
        <v>5</v>
      </c>
      <c r="J76" s="669">
        <v>0</v>
      </c>
      <c r="K76" s="669">
        <v>0</v>
      </c>
      <c r="L76" s="669">
        <v>0</v>
      </c>
      <c r="M76" s="670">
        <v>46138</v>
      </c>
      <c r="N76" s="669">
        <v>0</v>
      </c>
      <c r="O76" s="664">
        <v>0</v>
      </c>
      <c r="P76" s="664">
        <v>2</v>
      </c>
      <c r="Q76" s="666">
        <v>2</v>
      </c>
      <c r="R76" s="669">
        <v>0</v>
      </c>
      <c r="S76" s="669">
        <v>3</v>
      </c>
      <c r="T76" s="669">
        <v>2</v>
      </c>
      <c r="U76" s="670">
        <v>46058.958333333336</v>
      </c>
      <c r="V76" s="670">
        <v>46071.791666666664</v>
      </c>
      <c r="W76" s="663">
        <v>0</v>
      </c>
      <c r="X76" s="663">
        <v>0</v>
      </c>
      <c r="Y76" s="663">
        <v>0</v>
      </c>
      <c r="Z76" s="663">
        <v>0</v>
      </c>
      <c r="AA76" s="663">
        <v>0</v>
      </c>
      <c r="AB76" s="663">
        <v>0</v>
      </c>
      <c r="AC76" s="663">
        <v>0</v>
      </c>
      <c r="AD76" s="663">
        <v>0</v>
      </c>
      <c r="AE76" s="663">
        <v>0</v>
      </c>
      <c r="AF76" s="663">
        <v>0</v>
      </c>
      <c r="AG76" s="663">
        <v>0</v>
      </c>
      <c r="AH76" s="663">
        <v>0</v>
      </c>
      <c r="AI76" s="663">
        <v>0</v>
      </c>
      <c r="AJ76" s="663">
        <v>0</v>
      </c>
      <c r="AK76" s="668">
        <v>3</v>
      </c>
      <c r="AL76" s="663">
        <v>0</v>
      </c>
    </row>
    <row r="77" spans="1:38" ht="30" thickBot="1">
      <c r="A77" s="661" t="s">
        <v>6309</v>
      </c>
      <c r="B77" s="662" t="s">
        <v>6310</v>
      </c>
      <c r="C77" s="662" t="s">
        <v>6311</v>
      </c>
      <c r="D77" s="669">
        <v>1861986</v>
      </c>
      <c r="E77" s="669" t="s">
        <v>6090</v>
      </c>
      <c r="F77" s="669" t="s">
        <v>6096</v>
      </c>
      <c r="G77" s="669" t="s">
        <v>6096</v>
      </c>
      <c r="H77" s="669">
        <v>5</v>
      </c>
      <c r="I77" s="669">
        <v>5</v>
      </c>
      <c r="J77" s="669">
        <v>0</v>
      </c>
      <c r="K77" s="669">
        <v>1</v>
      </c>
      <c r="L77" s="669">
        <v>1</v>
      </c>
      <c r="M77" s="670">
        <v>46138</v>
      </c>
      <c r="N77" s="669">
        <v>0</v>
      </c>
      <c r="O77" s="664">
        <v>0</v>
      </c>
      <c r="P77" s="664">
        <v>1</v>
      </c>
      <c r="Q77" s="666">
        <v>1</v>
      </c>
      <c r="R77" s="669">
        <v>0</v>
      </c>
      <c r="S77" s="669">
        <v>4</v>
      </c>
      <c r="T77" s="669">
        <v>1</v>
      </c>
      <c r="U77" s="670">
        <v>46058.958333333336</v>
      </c>
      <c r="V77" s="670">
        <v>46071.791666666664</v>
      </c>
      <c r="W77" s="663">
        <v>0</v>
      </c>
      <c r="X77" s="663">
        <v>0</v>
      </c>
      <c r="Y77" s="663">
        <v>0</v>
      </c>
      <c r="Z77" s="663">
        <v>0</v>
      </c>
      <c r="AA77" s="663">
        <v>0</v>
      </c>
      <c r="AB77" s="663">
        <v>0</v>
      </c>
      <c r="AC77" s="663">
        <v>0</v>
      </c>
      <c r="AD77" s="663">
        <v>0</v>
      </c>
      <c r="AE77" s="663">
        <v>0</v>
      </c>
      <c r="AF77" s="663">
        <v>0</v>
      </c>
      <c r="AG77" s="663">
        <v>0</v>
      </c>
      <c r="AH77" s="663">
        <v>0</v>
      </c>
      <c r="AI77" s="663">
        <v>0</v>
      </c>
      <c r="AJ77" s="663">
        <v>0</v>
      </c>
      <c r="AK77" s="668">
        <v>4</v>
      </c>
      <c r="AL77" s="663">
        <v>0</v>
      </c>
    </row>
    <row r="78" spans="1:38" ht="30" thickBot="1">
      <c r="A78" s="661" t="s">
        <v>6106</v>
      </c>
      <c r="B78" s="662" t="s">
        <v>6312</v>
      </c>
      <c r="C78" s="662" t="s">
        <v>6313</v>
      </c>
      <c r="D78" s="669">
        <v>1863916</v>
      </c>
      <c r="E78" s="669" t="s">
        <v>6090</v>
      </c>
      <c r="F78" s="669" t="s">
        <v>125</v>
      </c>
      <c r="G78" s="669" t="s">
        <v>125</v>
      </c>
      <c r="H78" s="669">
        <v>5</v>
      </c>
      <c r="I78" s="669">
        <v>5</v>
      </c>
      <c r="J78" s="669">
        <v>0</v>
      </c>
      <c r="K78" s="669">
        <v>1</v>
      </c>
      <c r="L78" s="669">
        <v>1</v>
      </c>
      <c r="M78" s="670">
        <v>46138</v>
      </c>
      <c r="N78" s="669">
        <v>0</v>
      </c>
      <c r="O78" s="664">
        <v>0</v>
      </c>
      <c r="P78" s="664">
        <v>0</v>
      </c>
      <c r="Q78" s="666">
        <v>0</v>
      </c>
      <c r="R78" s="669">
        <v>0</v>
      </c>
      <c r="S78" s="669">
        <v>0</v>
      </c>
      <c r="T78" s="669">
        <v>0</v>
      </c>
      <c r="U78" s="669" t="s">
        <v>125</v>
      </c>
      <c r="V78" s="669" t="s">
        <v>125</v>
      </c>
      <c r="W78" s="663">
        <v>0</v>
      </c>
      <c r="X78" s="663">
        <v>0</v>
      </c>
      <c r="Y78" s="663">
        <v>0</v>
      </c>
      <c r="Z78" s="663">
        <v>0</v>
      </c>
      <c r="AA78" s="663">
        <v>0</v>
      </c>
      <c r="AB78" s="663">
        <v>0</v>
      </c>
      <c r="AC78" s="663">
        <v>0</v>
      </c>
      <c r="AD78" s="663">
        <v>0</v>
      </c>
      <c r="AE78" s="663">
        <v>0</v>
      </c>
      <c r="AF78" s="663">
        <v>0</v>
      </c>
      <c r="AG78" s="663">
        <v>0</v>
      </c>
      <c r="AH78" s="663">
        <v>0</v>
      </c>
      <c r="AI78" s="663">
        <v>0</v>
      </c>
      <c r="AJ78" s="663">
        <v>0</v>
      </c>
      <c r="AK78" s="663">
        <v>0</v>
      </c>
      <c r="AL78" s="663">
        <v>0</v>
      </c>
    </row>
    <row r="79" spans="1:38" ht="30" thickBot="1">
      <c r="A79" s="661" t="s">
        <v>6314</v>
      </c>
      <c r="B79" s="662" t="s">
        <v>6315</v>
      </c>
      <c r="C79" s="662" t="s">
        <v>6316</v>
      </c>
      <c r="D79" s="669">
        <v>1870270</v>
      </c>
      <c r="E79" s="669" t="s">
        <v>6090</v>
      </c>
      <c r="F79" s="669" t="s">
        <v>6117</v>
      </c>
      <c r="G79" s="669" t="s">
        <v>6117</v>
      </c>
      <c r="H79" s="669">
        <v>5</v>
      </c>
      <c r="I79" s="669">
        <v>5</v>
      </c>
      <c r="J79" s="669">
        <v>0</v>
      </c>
      <c r="K79" s="669">
        <v>0</v>
      </c>
      <c r="L79" s="669">
        <v>1</v>
      </c>
      <c r="M79" s="670">
        <v>46168.915972222225</v>
      </c>
      <c r="N79" s="669">
        <v>0</v>
      </c>
      <c r="O79" s="664">
        <v>1</v>
      </c>
      <c r="P79" s="664">
        <v>0</v>
      </c>
      <c r="Q79" s="666">
        <v>1</v>
      </c>
      <c r="R79" s="667">
        <v>1</v>
      </c>
      <c r="S79" s="669">
        <v>3</v>
      </c>
      <c r="T79" s="669">
        <v>0</v>
      </c>
      <c r="U79" s="670">
        <v>46081.625</v>
      </c>
      <c r="V79" s="670">
        <v>46084.791666666664</v>
      </c>
      <c r="W79" s="663">
        <v>0</v>
      </c>
      <c r="X79" s="663">
        <v>0</v>
      </c>
      <c r="Y79" s="663">
        <v>0</v>
      </c>
      <c r="Z79" s="663">
        <v>0</v>
      </c>
      <c r="AA79" s="663">
        <v>0</v>
      </c>
      <c r="AB79" s="663">
        <v>0</v>
      </c>
      <c r="AC79" s="663">
        <v>0</v>
      </c>
      <c r="AD79" s="663">
        <v>0</v>
      </c>
      <c r="AE79" s="663">
        <v>0</v>
      </c>
      <c r="AF79" s="663">
        <v>0</v>
      </c>
      <c r="AG79" s="663">
        <v>0</v>
      </c>
      <c r="AH79" s="663">
        <v>0</v>
      </c>
      <c r="AI79" s="663">
        <v>0</v>
      </c>
      <c r="AJ79" s="663">
        <v>0</v>
      </c>
      <c r="AK79" s="668">
        <v>1</v>
      </c>
      <c r="AL79" s="668">
        <v>2</v>
      </c>
    </row>
    <row r="80" spans="1:38" ht="30" thickBot="1">
      <c r="A80" s="661" t="s">
        <v>6317</v>
      </c>
      <c r="B80" s="662" t="s">
        <v>6318</v>
      </c>
      <c r="C80" s="662" t="s">
        <v>6319</v>
      </c>
      <c r="D80" s="669">
        <v>1795206</v>
      </c>
      <c r="E80" s="669" t="s">
        <v>6090</v>
      </c>
      <c r="F80" s="669" t="s">
        <v>6217</v>
      </c>
      <c r="G80" s="669" t="s">
        <v>6113</v>
      </c>
      <c r="H80" s="669">
        <v>4</v>
      </c>
      <c r="I80" s="669">
        <v>4</v>
      </c>
      <c r="J80" s="669">
        <v>0</v>
      </c>
      <c r="K80" s="669">
        <v>83</v>
      </c>
      <c r="L80" s="669">
        <v>87</v>
      </c>
      <c r="M80" s="670">
        <v>46138.915972222225</v>
      </c>
      <c r="N80" s="669">
        <v>0</v>
      </c>
      <c r="O80" s="664">
        <v>4</v>
      </c>
      <c r="P80" s="664">
        <v>103</v>
      </c>
      <c r="Q80" s="666">
        <v>107</v>
      </c>
      <c r="R80" s="669">
        <v>0</v>
      </c>
      <c r="S80" s="669">
        <v>104</v>
      </c>
      <c r="T80" s="669">
        <v>103</v>
      </c>
      <c r="U80" s="670">
        <v>45830.625</v>
      </c>
      <c r="V80" s="670">
        <v>46073.666666666664</v>
      </c>
      <c r="W80" s="663">
        <v>0</v>
      </c>
      <c r="X80" s="663">
        <v>0</v>
      </c>
      <c r="Y80" s="663">
        <v>0</v>
      </c>
      <c r="Z80" s="663">
        <v>0</v>
      </c>
      <c r="AA80" s="663">
        <v>0</v>
      </c>
      <c r="AB80" s="663">
        <v>0</v>
      </c>
      <c r="AC80" s="668">
        <v>6</v>
      </c>
      <c r="AD80" s="668">
        <v>27</v>
      </c>
      <c r="AE80" s="668">
        <v>10</v>
      </c>
      <c r="AF80" s="668">
        <v>32</v>
      </c>
      <c r="AG80" s="668">
        <v>26</v>
      </c>
      <c r="AH80" s="663">
        <v>0</v>
      </c>
      <c r="AI80" s="663">
        <v>0</v>
      </c>
      <c r="AJ80" s="663">
        <v>0</v>
      </c>
      <c r="AK80" s="668">
        <v>3</v>
      </c>
      <c r="AL80" s="663">
        <v>0</v>
      </c>
    </row>
    <row r="81" spans="1:38" ht="30" thickBot="1">
      <c r="A81" s="661" t="s">
        <v>6320</v>
      </c>
      <c r="B81" s="662" t="s">
        <v>6321</v>
      </c>
      <c r="C81" s="662" t="s">
        <v>6322</v>
      </c>
      <c r="D81" s="669">
        <v>1804280</v>
      </c>
      <c r="E81" s="669" t="s">
        <v>6090</v>
      </c>
      <c r="F81" s="669" t="s">
        <v>6097</v>
      </c>
      <c r="G81" s="669" t="s">
        <v>6217</v>
      </c>
      <c r="H81" s="669">
        <v>4</v>
      </c>
      <c r="I81" s="669">
        <v>4</v>
      </c>
      <c r="J81" s="669">
        <v>0</v>
      </c>
      <c r="K81" s="669">
        <v>1</v>
      </c>
      <c r="L81" s="669">
        <v>23</v>
      </c>
      <c r="M81" s="670">
        <v>46153.915972222225</v>
      </c>
      <c r="N81" s="669">
        <v>0</v>
      </c>
      <c r="O81" s="664">
        <v>22</v>
      </c>
      <c r="P81" s="664">
        <v>22</v>
      </c>
      <c r="Q81" s="666">
        <v>44</v>
      </c>
      <c r="R81" s="669">
        <v>0</v>
      </c>
      <c r="S81" s="669">
        <v>136</v>
      </c>
      <c r="T81" s="669">
        <v>22</v>
      </c>
      <c r="U81" s="670">
        <v>45859.541666666664</v>
      </c>
      <c r="V81" s="670">
        <v>46080.291666666664</v>
      </c>
      <c r="W81" s="663">
        <v>0</v>
      </c>
      <c r="X81" s="663">
        <v>0</v>
      </c>
      <c r="Y81" s="663">
        <v>0</v>
      </c>
      <c r="Z81" s="663">
        <v>0</v>
      </c>
      <c r="AA81" s="663">
        <v>0</v>
      </c>
      <c r="AB81" s="663">
        <v>0</v>
      </c>
      <c r="AC81" s="663">
        <v>0</v>
      </c>
      <c r="AD81" s="668">
        <v>17</v>
      </c>
      <c r="AE81" s="668">
        <v>29</v>
      </c>
      <c r="AF81" s="668">
        <v>43</v>
      </c>
      <c r="AG81" s="668">
        <v>27</v>
      </c>
      <c r="AH81" s="668">
        <v>9</v>
      </c>
      <c r="AI81" s="668">
        <v>1</v>
      </c>
      <c r="AJ81" s="668">
        <v>3</v>
      </c>
      <c r="AK81" s="668">
        <v>7</v>
      </c>
      <c r="AL81" s="663">
        <v>0</v>
      </c>
    </row>
    <row r="82" spans="1:38" ht="44" thickBot="1">
      <c r="A82" s="661" t="s">
        <v>6242</v>
      </c>
      <c r="B82" s="662" t="s">
        <v>6323</v>
      </c>
      <c r="C82" s="662" t="s">
        <v>6324</v>
      </c>
      <c r="D82" s="669">
        <v>1813048</v>
      </c>
      <c r="E82" s="669" t="s">
        <v>6090</v>
      </c>
      <c r="F82" s="669" t="s">
        <v>6217</v>
      </c>
      <c r="G82" s="669" t="s">
        <v>6217</v>
      </c>
      <c r="H82" s="669">
        <v>4</v>
      </c>
      <c r="I82" s="669">
        <v>4</v>
      </c>
      <c r="J82" s="669">
        <v>0</v>
      </c>
      <c r="K82" s="669">
        <v>17</v>
      </c>
      <c r="L82" s="669">
        <v>18</v>
      </c>
      <c r="M82" s="670">
        <v>46097.915972222225</v>
      </c>
      <c r="N82" s="669">
        <v>0</v>
      </c>
      <c r="O82" s="664">
        <v>1</v>
      </c>
      <c r="P82" s="664">
        <v>43</v>
      </c>
      <c r="Q82" s="666">
        <v>44</v>
      </c>
      <c r="R82" s="667">
        <v>26</v>
      </c>
      <c r="S82" s="669">
        <v>74</v>
      </c>
      <c r="T82" s="669">
        <v>43</v>
      </c>
      <c r="U82" s="670">
        <v>45897.625</v>
      </c>
      <c r="V82" s="670">
        <v>46083.75</v>
      </c>
      <c r="W82" s="663">
        <v>0</v>
      </c>
      <c r="X82" s="663">
        <v>0</v>
      </c>
      <c r="Y82" s="663">
        <v>0</v>
      </c>
      <c r="Z82" s="663">
        <v>0</v>
      </c>
      <c r="AA82" s="663">
        <v>0</v>
      </c>
      <c r="AB82" s="663">
        <v>0</v>
      </c>
      <c r="AC82" s="663">
        <v>0</v>
      </c>
      <c r="AD82" s="663">
        <v>0</v>
      </c>
      <c r="AE82" s="668">
        <v>2</v>
      </c>
      <c r="AF82" s="668">
        <v>21</v>
      </c>
      <c r="AG82" s="668">
        <v>21</v>
      </c>
      <c r="AH82" s="668">
        <v>20</v>
      </c>
      <c r="AI82" s="663">
        <v>0</v>
      </c>
      <c r="AJ82" s="668">
        <v>9</v>
      </c>
      <c r="AK82" s="663">
        <v>0</v>
      </c>
      <c r="AL82" s="668">
        <v>1</v>
      </c>
    </row>
    <row r="83" spans="1:38" ht="44" thickBot="1">
      <c r="A83" s="661" t="s">
        <v>6325</v>
      </c>
      <c r="B83" s="662" t="s">
        <v>6326</v>
      </c>
      <c r="C83" s="662" t="s">
        <v>6327</v>
      </c>
      <c r="D83" s="669">
        <v>1839777</v>
      </c>
      <c r="E83" s="669" t="s">
        <v>6090</v>
      </c>
      <c r="F83" s="669" t="s">
        <v>6096</v>
      </c>
      <c r="G83" s="669" t="s">
        <v>6097</v>
      </c>
      <c r="H83" s="669">
        <v>4</v>
      </c>
      <c r="I83" s="669">
        <v>4</v>
      </c>
      <c r="J83" s="669">
        <v>0</v>
      </c>
      <c r="K83" s="669">
        <v>0</v>
      </c>
      <c r="L83" s="669">
        <v>0</v>
      </c>
      <c r="M83" s="670">
        <v>46138.915972222225</v>
      </c>
      <c r="N83" s="669">
        <v>0</v>
      </c>
      <c r="O83" s="664">
        <v>0</v>
      </c>
      <c r="P83" s="664">
        <v>5</v>
      </c>
      <c r="Q83" s="666">
        <v>5</v>
      </c>
      <c r="R83" s="669">
        <v>0</v>
      </c>
      <c r="S83" s="669">
        <v>49</v>
      </c>
      <c r="T83" s="669">
        <v>5</v>
      </c>
      <c r="U83" s="670">
        <v>45975.875</v>
      </c>
      <c r="V83" s="670">
        <v>46078.708333333336</v>
      </c>
      <c r="W83" s="663">
        <v>0</v>
      </c>
      <c r="X83" s="663">
        <v>0</v>
      </c>
      <c r="Y83" s="663">
        <v>0</v>
      </c>
      <c r="Z83" s="663">
        <v>0</v>
      </c>
      <c r="AA83" s="663">
        <v>0</v>
      </c>
      <c r="AB83" s="663">
        <v>0</v>
      </c>
      <c r="AC83" s="663">
        <v>0</v>
      </c>
      <c r="AD83" s="663">
        <v>0</v>
      </c>
      <c r="AE83" s="663">
        <v>0</v>
      </c>
      <c r="AF83" s="663">
        <v>0</v>
      </c>
      <c r="AG83" s="663">
        <v>0</v>
      </c>
      <c r="AH83" s="668">
        <v>11</v>
      </c>
      <c r="AI83" s="668">
        <v>8</v>
      </c>
      <c r="AJ83" s="668">
        <v>26</v>
      </c>
      <c r="AK83" s="668">
        <v>4</v>
      </c>
      <c r="AL83" s="663">
        <v>0</v>
      </c>
    </row>
    <row r="84" spans="1:38" ht="44" thickBot="1">
      <c r="A84" s="661" t="s">
        <v>6328</v>
      </c>
      <c r="B84" s="662" t="s">
        <v>6329</v>
      </c>
      <c r="C84" s="662" t="s">
        <v>6330</v>
      </c>
      <c r="D84" s="669">
        <v>1861984</v>
      </c>
      <c r="E84" s="669" t="s">
        <v>6090</v>
      </c>
      <c r="F84" s="669" t="s">
        <v>125</v>
      </c>
      <c r="G84" s="669" t="s">
        <v>125</v>
      </c>
      <c r="H84" s="669">
        <v>4</v>
      </c>
      <c r="I84" s="669">
        <v>4</v>
      </c>
      <c r="J84" s="669">
        <v>0</v>
      </c>
      <c r="K84" s="669">
        <v>0</v>
      </c>
      <c r="L84" s="669">
        <v>0</v>
      </c>
      <c r="M84" s="670">
        <v>46138</v>
      </c>
      <c r="N84" s="669">
        <v>0</v>
      </c>
      <c r="O84" s="664">
        <v>0</v>
      </c>
      <c r="P84" s="664">
        <v>6</v>
      </c>
      <c r="Q84" s="666">
        <v>6</v>
      </c>
      <c r="R84" s="669">
        <v>0</v>
      </c>
      <c r="S84" s="669">
        <v>0</v>
      </c>
      <c r="T84" s="669">
        <v>6</v>
      </c>
      <c r="U84" s="669" t="s">
        <v>125</v>
      </c>
      <c r="V84" s="669" t="s">
        <v>125</v>
      </c>
      <c r="W84" s="663">
        <v>0</v>
      </c>
      <c r="X84" s="663">
        <v>0</v>
      </c>
      <c r="Y84" s="663">
        <v>0</v>
      </c>
      <c r="Z84" s="663">
        <v>0</v>
      </c>
      <c r="AA84" s="663">
        <v>0</v>
      </c>
      <c r="AB84" s="663">
        <v>0</v>
      </c>
      <c r="AC84" s="663">
        <v>0</v>
      </c>
      <c r="AD84" s="663">
        <v>0</v>
      </c>
      <c r="AE84" s="663">
        <v>0</v>
      </c>
      <c r="AF84" s="663">
        <v>0</v>
      </c>
      <c r="AG84" s="663">
        <v>0</v>
      </c>
      <c r="AH84" s="663">
        <v>0</v>
      </c>
      <c r="AI84" s="663">
        <v>0</v>
      </c>
      <c r="AJ84" s="663">
        <v>0</v>
      </c>
      <c r="AK84" s="663">
        <v>0</v>
      </c>
      <c r="AL84" s="663">
        <v>0</v>
      </c>
    </row>
    <row r="85" spans="1:38" ht="30" thickBot="1">
      <c r="A85" s="661" t="s">
        <v>6284</v>
      </c>
      <c r="B85" s="662" t="s">
        <v>6331</v>
      </c>
      <c r="C85" s="662" t="s">
        <v>6332</v>
      </c>
      <c r="D85" s="669">
        <v>1795207</v>
      </c>
      <c r="E85" s="669" t="s">
        <v>6090</v>
      </c>
      <c r="F85" s="669" t="s">
        <v>6117</v>
      </c>
      <c r="G85" s="669" t="s">
        <v>6091</v>
      </c>
      <c r="H85" s="669">
        <v>3</v>
      </c>
      <c r="I85" s="669">
        <v>3</v>
      </c>
      <c r="J85" s="669">
        <v>0</v>
      </c>
      <c r="K85" s="669">
        <v>29</v>
      </c>
      <c r="L85" s="669">
        <v>36</v>
      </c>
      <c r="M85" s="670">
        <v>46168.915972222225</v>
      </c>
      <c r="N85" s="669">
        <v>0</v>
      </c>
      <c r="O85" s="664">
        <v>7</v>
      </c>
      <c r="P85" s="664">
        <v>0</v>
      </c>
      <c r="Q85" s="666">
        <v>7</v>
      </c>
      <c r="R85" s="667">
        <v>9</v>
      </c>
      <c r="S85" s="669">
        <v>113</v>
      </c>
      <c r="T85" s="669">
        <v>0</v>
      </c>
      <c r="U85" s="670">
        <v>45808.208333333336</v>
      </c>
      <c r="V85" s="670">
        <v>46084.833333333336</v>
      </c>
      <c r="W85" s="663">
        <v>0</v>
      </c>
      <c r="X85" s="663">
        <v>0</v>
      </c>
      <c r="Y85" s="663">
        <v>0</v>
      </c>
      <c r="Z85" s="663">
        <v>0</v>
      </c>
      <c r="AA85" s="663">
        <v>0</v>
      </c>
      <c r="AB85" s="668">
        <v>1</v>
      </c>
      <c r="AC85" s="668">
        <v>3</v>
      </c>
      <c r="AD85" s="668">
        <v>6</v>
      </c>
      <c r="AE85" s="668">
        <v>38</v>
      </c>
      <c r="AF85" s="668">
        <v>18</v>
      </c>
      <c r="AG85" s="668">
        <v>27</v>
      </c>
      <c r="AH85" s="668">
        <v>5</v>
      </c>
      <c r="AI85" s="668">
        <v>4</v>
      </c>
      <c r="AJ85" s="668">
        <v>1</v>
      </c>
      <c r="AK85" s="668">
        <v>7</v>
      </c>
      <c r="AL85" s="668">
        <v>3</v>
      </c>
    </row>
    <row r="86" spans="1:38" ht="30" thickBot="1">
      <c r="A86" s="661" t="s">
        <v>6333</v>
      </c>
      <c r="B86" s="662" t="s">
        <v>6334</v>
      </c>
      <c r="C86" s="662" t="s">
        <v>6335</v>
      </c>
      <c r="D86" s="669">
        <v>1804001</v>
      </c>
      <c r="E86" s="669" t="s">
        <v>6090</v>
      </c>
      <c r="F86" s="669" t="s">
        <v>6096</v>
      </c>
      <c r="G86" s="669" t="s">
        <v>6113</v>
      </c>
      <c r="H86" s="669">
        <v>3</v>
      </c>
      <c r="I86" s="669">
        <v>3</v>
      </c>
      <c r="J86" s="669">
        <v>0</v>
      </c>
      <c r="K86" s="669">
        <v>66</v>
      </c>
      <c r="L86" s="669">
        <v>104</v>
      </c>
      <c r="M86" s="670">
        <v>46154.915972222225</v>
      </c>
      <c r="N86" s="669">
        <v>0</v>
      </c>
      <c r="O86" s="664">
        <v>38</v>
      </c>
      <c r="P86" s="664">
        <v>16</v>
      </c>
      <c r="Q86" s="666">
        <v>54</v>
      </c>
      <c r="R86" s="667">
        <v>43</v>
      </c>
      <c r="S86" s="669">
        <v>257</v>
      </c>
      <c r="T86" s="669">
        <v>16</v>
      </c>
      <c r="U86" s="670">
        <v>45841.083333333336</v>
      </c>
      <c r="V86" s="670">
        <v>46085.083333333336</v>
      </c>
      <c r="W86" s="663">
        <v>0</v>
      </c>
      <c r="X86" s="663">
        <v>0</v>
      </c>
      <c r="Y86" s="663">
        <v>0</v>
      </c>
      <c r="Z86" s="663">
        <v>0</v>
      </c>
      <c r="AA86" s="663">
        <v>0</v>
      </c>
      <c r="AB86" s="663">
        <v>0</v>
      </c>
      <c r="AC86" s="663">
        <v>0</v>
      </c>
      <c r="AD86" s="668">
        <v>29</v>
      </c>
      <c r="AE86" s="668">
        <v>21</v>
      </c>
      <c r="AF86" s="668">
        <v>41</v>
      </c>
      <c r="AG86" s="668">
        <v>28</v>
      </c>
      <c r="AH86" s="668">
        <v>24</v>
      </c>
      <c r="AI86" s="668">
        <v>32</v>
      </c>
      <c r="AJ86" s="668">
        <v>41</v>
      </c>
      <c r="AK86" s="668">
        <v>33</v>
      </c>
      <c r="AL86" s="668">
        <v>8</v>
      </c>
    </row>
    <row r="87" spans="1:38" ht="30" thickBot="1">
      <c r="A87" s="661" t="s">
        <v>6336</v>
      </c>
      <c r="B87" s="662" t="s">
        <v>6337</v>
      </c>
      <c r="C87" s="662" t="s">
        <v>6338</v>
      </c>
      <c r="D87" s="669">
        <v>1824490</v>
      </c>
      <c r="E87" s="669" t="s">
        <v>6090</v>
      </c>
      <c r="F87" s="669" t="s">
        <v>6096</v>
      </c>
      <c r="G87" s="669" t="s">
        <v>6096</v>
      </c>
      <c r="H87" s="669">
        <v>3</v>
      </c>
      <c r="I87" s="669">
        <v>3</v>
      </c>
      <c r="J87" s="669">
        <v>0</v>
      </c>
      <c r="K87" s="669">
        <v>0</v>
      </c>
      <c r="L87" s="669">
        <v>0</v>
      </c>
      <c r="M87" s="670">
        <v>46138.915972222225</v>
      </c>
      <c r="N87" s="669">
        <v>0</v>
      </c>
      <c r="O87" s="664">
        <v>0</v>
      </c>
      <c r="P87" s="664">
        <v>0</v>
      </c>
      <c r="Q87" s="666">
        <v>0</v>
      </c>
      <c r="R87" s="667">
        <v>2</v>
      </c>
      <c r="S87" s="669">
        <v>9</v>
      </c>
      <c r="T87" s="669">
        <v>0</v>
      </c>
      <c r="U87" s="670">
        <v>45944.833333333336</v>
      </c>
      <c r="V87" s="670">
        <v>46079.791666666664</v>
      </c>
      <c r="W87" s="663">
        <v>0</v>
      </c>
      <c r="X87" s="663">
        <v>0</v>
      </c>
      <c r="Y87" s="663">
        <v>0</v>
      </c>
      <c r="Z87" s="663">
        <v>0</v>
      </c>
      <c r="AA87" s="663">
        <v>0</v>
      </c>
      <c r="AB87" s="663">
        <v>0</v>
      </c>
      <c r="AC87" s="663">
        <v>0</v>
      </c>
      <c r="AD87" s="663">
        <v>0</v>
      </c>
      <c r="AE87" s="663">
        <v>0</v>
      </c>
      <c r="AF87" s="663">
        <v>0</v>
      </c>
      <c r="AG87" s="668">
        <v>1</v>
      </c>
      <c r="AH87" s="668">
        <v>3</v>
      </c>
      <c r="AI87" s="663">
        <v>0</v>
      </c>
      <c r="AJ87" s="663">
        <v>0</v>
      </c>
      <c r="AK87" s="668">
        <v>5</v>
      </c>
      <c r="AL87" s="663">
        <v>0</v>
      </c>
    </row>
    <row r="88" spans="1:38" ht="44" thickBot="1">
      <c r="A88" s="661" t="s">
        <v>6339</v>
      </c>
      <c r="B88" s="662" t="s">
        <v>6340</v>
      </c>
      <c r="C88" s="662" t="s">
        <v>6341</v>
      </c>
      <c r="D88" s="669">
        <v>1804283</v>
      </c>
      <c r="E88" s="669" t="s">
        <v>6090</v>
      </c>
      <c r="F88" s="669" t="s">
        <v>6096</v>
      </c>
      <c r="G88" s="669" t="s">
        <v>6091</v>
      </c>
      <c r="H88" s="669">
        <v>2</v>
      </c>
      <c r="I88" s="669">
        <v>2</v>
      </c>
      <c r="J88" s="669">
        <v>0</v>
      </c>
      <c r="K88" s="669">
        <v>14</v>
      </c>
      <c r="L88" s="669">
        <v>16</v>
      </c>
      <c r="M88" s="670">
        <v>46138.404166666667</v>
      </c>
      <c r="N88" s="669">
        <v>0</v>
      </c>
      <c r="O88" s="664">
        <v>2</v>
      </c>
      <c r="P88" s="664">
        <v>8</v>
      </c>
      <c r="Q88" s="666">
        <v>10</v>
      </c>
      <c r="R88" s="667">
        <v>2</v>
      </c>
      <c r="S88" s="669">
        <v>147</v>
      </c>
      <c r="T88" s="669">
        <v>8</v>
      </c>
      <c r="U88" s="670">
        <v>45841.083333333336</v>
      </c>
      <c r="V88" s="670">
        <v>46082.5</v>
      </c>
      <c r="W88" s="663">
        <v>0</v>
      </c>
      <c r="X88" s="663">
        <v>0</v>
      </c>
      <c r="Y88" s="663">
        <v>0</v>
      </c>
      <c r="Z88" s="663">
        <v>0</v>
      </c>
      <c r="AA88" s="663">
        <v>0</v>
      </c>
      <c r="AB88" s="663">
        <v>0</v>
      </c>
      <c r="AC88" s="663">
        <v>0</v>
      </c>
      <c r="AD88" s="668">
        <v>19</v>
      </c>
      <c r="AE88" s="668">
        <v>17</v>
      </c>
      <c r="AF88" s="668">
        <v>12</v>
      </c>
      <c r="AG88" s="668">
        <v>14</v>
      </c>
      <c r="AH88" s="668">
        <v>34</v>
      </c>
      <c r="AI88" s="668">
        <v>13</v>
      </c>
      <c r="AJ88" s="668">
        <v>23</v>
      </c>
      <c r="AK88" s="668">
        <v>14</v>
      </c>
      <c r="AL88" s="668">
        <v>1</v>
      </c>
    </row>
    <row r="89" spans="1:38" ht="30" thickBot="1">
      <c r="A89" s="661" t="s">
        <v>6214</v>
      </c>
      <c r="B89" s="662" t="s">
        <v>6342</v>
      </c>
      <c r="C89" s="662" t="s">
        <v>6343</v>
      </c>
      <c r="D89" s="669">
        <v>1795208</v>
      </c>
      <c r="E89" s="669" t="s">
        <v>6090</v>
      </c>
      <c r="F89" s="669" t="s">
        <v>6096</v>
      </c>
      <c r="G89" s="669" t="s">
        <v>6091</v>
      </c>
      <c r="H89" s="669">
        <v>1</v>
      </c>
      <c r="I89" s="669">
        <v>1</v>
      </c>
      <c r="J89" s="669">
        <v>0</v>
      </c>
      <c r="K89" s="669">
        <v>18</v>
      </c>
      <c r="L89" s="669">
        <v>9</v>
      </c>
      <c r="M89" s="670">
        <v>46153.915972222225</v>
      </c>
      <c r="N89" s="669">
        <v>0</v>
      </c>
      <c r="O89" s="664">
        <v>0</v>
      </c>
      <c r="P89" s="664">
        <v>0</v>
      </c>
      <c r="Q89" s="666">
        <v>0</v>
      </c>
      <c r="R89" s="667">
        <v>6</v>
      </c>
      <c r="S89" s="669">
        <v>200</v>
      </c>
      <c r="T89" s="669">
        <v>9</v>
      </c>
      <c r="U89" s="670">
        <v>45818.125</v>
      </c>
      <c r="V89" s="670">
        <v>46083.75</v>
      </c>
      <c r="W89" s="663">
        <v>0</v>
      </c>
      <c r="X89" s="663">
        <v>0</v>
      </c>
      <c r="Y89" s="663">
        <v>0</v>
      </c>
      <c r="Z89" s="663">
        <v>0</v>
      </c>
      <c r="AA89" s="663">
        <v>0</v>
      </c>
      <c r="AB89" s="663">
        <v>0</v>
      </c>
      <c r="AC89" s="668">
        <v>11</v>
      </c>
      <c r="AD89" s="668">
        <v>74</v>
      </c>
      <c r="AE89" s="668">
        <v>24</v>
      </c>
      <c r="AF89" s="668">
        <v>24</v>
      </c>
      <c r="AG89" s="668">
        <v>18</v>
      </c>
      <c r="AH89" s="668">
        <v>10</v>
      </c>
      <c r="AI89" s="668">
        <v>8</v>
      </c>
      <c r="AJ89" s="668">
        <v>16</v>
      </c>
      <c r="AK89" s="668">
        <v>12</v>
      </c>
      <c r="AL89" s="668">
        <v>3</v>
      </c>
    </row>
    <row r="90" spans="1:38" ht="30" thickBot="1">
      <c r="A90" s="661" t="s">
        <v>6344</v>
      </c>
      <c r="B90" s="662" t="s">
        <v>6345</v>
      </c>
      <c r="C90" s="662" t="s">
        <v>6346</v>
      </c>
      <c r="D90" s="669">
        <v>1805028</v>
      </c>
      <c r="E90" s="669" t="s">
        <v>6090</v>
      </c>
      <c r="F90" s="669" t="s">
        <v>6101</v>
      </c>
      <c r="G90" s="669" t="s">
        <v>6092</v>
      </c>
      <c r="H90" s="669">
        <v>1</v>
      </c>
      <c r="I90" s="669">
        <v>1</v>
      </c>
      <c r="J90" s="669">
        <v>0</v>
      </c>
      <c r="K90" s="669">
        <v>8</v>
      </c>
      <c r="L90" s="669">
        <v>17</v>
      </c>
      <c r="M90" s="670">
        <v>46354.642766203702</v>
      </c>
      <c r="N90" s="669">
        <v>0</v>
      </c>
      <c r="O90" s="664">
        <v>9</v>
      </c>
      <c r="P90" s="664">
        <v>3</v>
      </c>
      <c r="Q90" s="666">
        <v>12</v>
      </c>
      <c r="R90" s="669">
        <v>0</v>
      </c>
      <c r="S90" s="669">
        <v>88</v>
      </c>
      <c r="T90" s="669">
        <v>3</v>
      </c>
      <c r="U90" s="670">
        <v>45860.875</v>
      </c>
      <c r="V90" s="670">
        <v>46022.083333333336</v>
      </c>
      <c r="W90" s="663">
        <v>0</v>
      </c>
      <c r="X90" s="663">
        <v>0</v>
      </c>
      <c r="Y90" s="663">
        <v>0</v>
      </c>
      <c r="Z90" s="663">
        <v>0</v>
      </c>
      <c r="AA90" s="663">
        <v>0</v>
      </c>
      <c r="AB90" s="663">
        <v>0</v>
      </c>
      <c r="AC90" s="663">
        <v>0</v>
      </c>
      <c r="AD90" s="668">
        <v>1</v>
      </c>
      <c r="AE90" s="668">
        <v>6</v>
      </c>
      <c r="AF90" s="668">
        <v>23</v>
      </c>
      <c r="AG90" s="668">
        <v>26</v>
      </c>
      <c r="AH90" s="668">
        <v>19</v>
      </c>
      <c r="AI90" s="668">
        <v>13</v>
      </c>
      <c r="AJ90" s="663">
        <v>0</v>
      </c>
      <c r="AK90" s="663">
        <v>0</v>
      </c>
      <c r="AL90" s="663">
        <v>0</v>
      </c>
    </row>
    <row r="91" spans="1:38" ht="30" thickBot="1">
      <c r="A91" s="661" t="s">
        <v>6347</v>
      </c>
      <c r="B91" s="662" t="s">
        <v>6158</v>
      </c>
      <c r="C91" s="662" t="s">
        <v>6348</v>
      </c>
      <c r="D91" s="669">
        <v>1818573</v>
      </c>
      <c r="E91" s="669" t="s">
        <v>6090</v>
      </c>
      <c r="F91" s="669" t="s">
        <v>6096</v>
      </c>
      <c r="G91" s="669" t="s">
        <v>6217</v>
      </c>
      <c r="H91" s="669">
        <v>1</v>
      </c>
      <c r="I91" s="669">
        <v>1</v>
      </c>
      <c r="J91" s="669">
        <v>0</v>
      </c>
      <c r="K91" s="669">
        <v>53</v>
      </c>
      <c r="L91" s="669">
        <v>56</v>
      </c>
      <c r="M91" s="670">
        <v>46138.404166666667</v>
      </c>
      <c r="N91" s="669">
        <v>0</v>
      </c>
      <c r="O91" s="664">
        <v>3</v>
      </c>
      <c r="P91" s="664">
        <v>3</v>
      </c>
      <c r="Q91" s="666">
        <v>6</v>
      </c>
      <c r="R91" s="667">
        <v>4</v>
      </c>
      <c r="S91" s="669">
        <v>153</v>
      </c>
      <c r="T91" s="669">
        <v>3</v>
      </c>
      <c r="U91" s="670">
        <v>45897.5</v>
      </c>
      <c r="V91" s="670">
        <v>46084.583333333336</v>
      </c>
      <c r="W91" s="663">
        <v>0</v>
      </c>
      <c r="X91" s="663">
        <v>0</v>
      </c>
      <c r="Y91" s="663">
        <v>0</v>
      </c>
      <c r="Z91" s="663">
        <v>0</v>
      </c>
      <c r="AA91" s="663">
        <v>0</v>
      </c>
      <c r="AB91" s="663">
        <v>0</v>
      </c>
      <c r="AC91" s="663">
        <v>0</v>
      </c>
      <c r="AD91" s="663">
        <v>0</v>
      </c>
      <c r="AE91" s="668">
        <v>1</v>
      </c>
      <c r="AF91" s="668">
        <v>22</v>
      </c>
      <c r="AG91" s="668">
        <v>23</v>
      </c>
      <c r="AH91" s="668">
        <v>10</v>
      </c>
      <c r="AI91" s="668">
        <v>14</v>
      </c>
      <c r="AJ91" s="668">
        <v>39</v>
      </c>
      <c r="AK91" s="668">
        <v>40</v>
      </c>
      <c r="AL91" s="668">
        <v>4</v>
      </c>
    </row>
    <row r="92" spans="1:38" ht="30" thickBot="1">
      <c r="A92" s="661" t="s">
        <v>6224</v>
      </c>
      <c r="B92" s="662" t="s">
        <v>6349</v>
      </c>
      <c r="C92" s="662" t="s">
        <v>6350</v>
      </c>
      <c r="D92" s="669">
        <v>1821577</v>
      </c>
      <c r="E92" s="669" t="s">
        <v>6090</v>
      </c>
      <c r="F92" s="669" t="s">
        <v>6096</v>
      </c>
      <c r="G92" s="669" t="s">
        <v>6097</v>
      </c>
      <c r="H92" s="669">
        <v>1</v>
      </c>
      <c r="I92" s="669">
        <v>1</v>
      </c>
      <c r="J92" s="669">
        <v>0</v>
      </c>
      <c r="K92" s="669">
        <v>12</v>
      </c>
      <c r="L92" s="669">
        <v>12</v>
      </c>
      <c r="M92" s="670">
        <v>46138.915972222225</v>
      </c>
      <c r="N92" s="669">
        <v>0</v>
      </c>
      <c r="O92" s="664">
        <v>0</v>
      </c>
      <c r="P92" s="664">
        <v>1</v>
      </c>
      <c r="Q92" s="666">
        <v>1</v>
      </c>
      <c r="R92" s="667">
        <v>5</v>
      </c>
      <c r="S92" s="669">
        <v>84</v>
      </c>
      <c r="T92" s="669">
        <v>1</v>
      </c>
      <c r="U92" s="670">
        <v>45917.416666666664</v>
      </c>
      <c r="V92" s="670">
        <v>46084.833333333336</v>
      </c>
      <c r="W92" s="663">
        <v>0</v>
      </c>
      <c r="X92" s="663">
        <v>0</v>
      </c>
      <c r="Y92" s="663">
        <v>0</v>
      </c>
      <c r="Z92" s="663">
        <v>0</v>
      </c>
      <c r="AA92" s="663">
        <v>0</v>
      </c>
      <c r="AB92" s="663">
        <v>0</v>
      </c>
      <c r="AC92" s="663">
        <v>0</v>
      </c>
      <c r="AD92" s="663">
        <v>0</v>
      </c>
      <c r="AE92" s="663">
        <v>0</v>
      </c>
      <c r="AF92" s="668">
        <v>5</v>
      </c>
      <c r="AG92" s="663">
        <v>0</v>
      </c>
      <c r="AH92" s="668">
        <v>39</v>
      </c>
      <c r="AI92" s="668">
        <v>2</v>
      </c>
      <c r="AJ92" s="668">
        <v>28</v>
      </c>
      <c r="AK92" s="668">
        <v>9</v>
      </c>
      <c r="AL92" s="668">
        <v>1</v>
      </c>
    </row>
    <row r="93" spans="1:38" ht="30" thickBot="1">
      <c r="A93" s="661" t="s">
        <v>6351</v>
      </c>
      <c r="B93" s="662" t="s">
        <v>6352</v>
      </c>
      <c r="C93" s="662" t="s">
        <v>6353</v>
      </c>
      <c r="D93" s="669">
        <v>1829209</v>
      </c>
      <c r="E93" s="669" t="s">
        <v>6090</v>
      </c>
      <c r="F93" s="669" t="s">
        <v>6096</v>
      </c>
      <c r="G93" s="669" t="s">
        <v>6097</v>
      </c>
      <c r="H93" s="669">
        <v>1</v>
      </c>
      <c r="I93" s="669">
        <v>1</v>
      </c>
      <c r="J93" s="669">
        <v>0</v>
      </c>
      <c r="K93" s="669">
        <v>6</v>
      </c>
      <c r="L93" s="669">
        <v>5</v>
      </c>
      <c r="M93" s="670">
        <v>46168.915972222225</v>
      </c>
      <c r="N93" s="669">
        <v>0</v>
      </c>
      <c r="O93" s="664">
        <v>0</v>
      </c>
      <c r="P93" s="664">
        <v>22</v>
      </c>
      <c r="Q93" s="666">
        <v>22</v>
      </c>
      <c r="R93" s="667">
        <v>11</v>
      </c>
      <c r="S93" s="669">
        <v>91</v>
      </c>
      <c r="T93" s="669">
        <v>23</v>
      </c>
      <c r="U93" s="670">
        <v>45937.666666666664</v>
      </c>
      <c r="V93" s="670">
        <v>46082.625</v>
      </c>
      <c r="W93" s="663">
        <v>0</v>
      </c>
      <c r="X93" s="663">
        <v>0</v>
      </c>
      <c r="Y93" s="663">
        <v>0</v>
      </c>
      <c r="Z93" s="663">
        <v>0</v>
      </c>
      <c r="AA93" s="663">
        <v>0</v>
      </c>
      <c r="AB93" s="663">
        <v>0</v>
      </c>
      <c r="AC93" s="663">
        <v>0</v>
      </c>
      <c r="AD93" s="663">
        <v>0</v>
      </c>
      <c r="AE93" s="663">
        <v>0</v>
      </c>
      <c r="AF93" s="663">
        <v>0</v>
      </c>
      <c r="AG93" s="668">
        <v>11</v>
      </c>
      <c r="AH93" s="668">
        <v>15</v>
      </c>
      <c r="AI93" s="668">
        <v>20</v>
      </c>
      <c r="AJ93" s="668">
        <v>27</v>
      </c>
      <c r="AK93" s="668">
        <v>17</v>
      </c>
      <c r="AL93" s="668">
        <v>1</v>
      </c>
    </row>
    <row r="94" spans="1:38" ht="30" thickBot="1">
      <c r="A94" s="661" t="s">
        <v>6354</v>
      </c>
      <c r="B94" s="662" t="s">
        <v>6355</v>
      </c>
      <c r="C94" s="662" t="s">
        <v>6356</v>
      </c>
      <c r="D94" s="669">
        <v>1863917</v>
      </c>
      <c r="E94" s="669" t="s">
        <v>6090</v>
      </c>
      <c r="F94" s="669" t="s">
        <v>6096</v>
      </c>
      <c r="G94" s="669" t="s">
        <v>6096</v>
      </c>
      <c r="H94" s="669">
        <v>1</v>
      </c>
      <c r="I94" s="669">
        <v>1</v>
      </c>
      <c r="J94" s="669">
        <v>0</v>
      </c>
      <c r="K94" s="669">
        <v>2</v>
      </c>
      <c r="L94" s="669">
        <v>4</v>
      </c>
      <c r="M94" s="670">
        <v>46138</v>
      </c>
      <c r="N94" s="669">
        <v>0</v>
      </c>
      <c r="O94" s="664">
        <v>2</v>
      </c>
      <c r="P94" s="664">
        <v>1</v>
      </c>
      <c r="Q94" s="666">
        <v>3</v>
      </c>
      <c r="R94" s="669">
        <v>0</v>
      </c>
      <c r="S94" s="669">
        <v>1</v>
      </c>
      <c r="T94" s="669">
        <v>1</v>
      </c>
      <c r="U94" s="670">
        <v>46064.916666666664</v>
      </c>
      <c r="V94" s="670">
        <v>46064.916666666664</v>
      </c>
      <c r="W94" s="663">
        <v>0</v>
      </c>
      <c r="X94" s="663">
        <v>0</v>
      </c>
      <c r="Y94" s="663">
        <v>0</v>
      </c>
      <c r="Z94" s="663">
        <v>0</v>
      </c>
      <c r="AA94" s="663">
        <v>0</v>
      </c>
      <c r="AB94" s="663">
        <v>0</v>
      </c>
      <c r="AC94" s="663">
        <v>0</v>
      </c>
      <c r="AD94" s="663">
        <v>0</v>
      </c>
      <c r="AE94" s="663">
        <v>0</v>
      </c>
      <c r="AF94" s="663">
        <v>0</v>
      </c>
      <c r="AG94" s="663">
        <v>0</v>
      </c>
      <c r="AH94" s="663">
        <v>0</v>
      </c>
      <c r="AI94" s="663">
        <v>0</v>
      </c>
      <c r="AJ94" s="663">
        <v>0</v>
      </c>
      <c r="AK94" s="668">
        <v>1</v>
      </c>
      <c r="AL94" s="663">
        <v>0</v>
      </c>
    </row>
    <row r="95" spans="1:38" ht="30" thickBot="1">
      <c r="A95" s="661" t="s">
        <v>6357</v>
      </c>
      <c r="B95" s="662" t="s">
        <v>6358</v>
      </c>
      <c r="C95" s="662" t="s">
        <v>6359</v>
      </c>
      <c r="D95" s="669">
        <v>1867497</v>
      </c>
      <c r="E95" s="669" t="s">
        <v>6090</v>
      </c>
      <c r="F95" s="669" t="s">
        <v>6117</v>
      </c>
      <c r="G95" s="669" t="s">
        <v>6117</v>
      </c>
      <c r="H95" s="669">
        <v>1</v>
      </c>
      <c r="I95" s="669">
        <v>1</v>
      </c>
      <c r="J95" s="669">
        <v>0</v>
      </c>
      <c r="K95" s="669">
        <v>3</v>
      </c>
      <c r="L95" s="669">
        <v>4</v>
      </c>
      <c r="M95" s="670">
        <v>46168.915972222225</v>
      </c>
      <c r="N95" s="669">
        <v>0</v>
      </c>
      <c r="O95" s="664">
        <v>1</v>
      </c>
      <c r="P95" s="664">
        <v>0</v>
      </c>
      <c r="Q95" s="666">
        <v>1</v>
      </c>
      <c r="R95" s="667">
        <v>4</v>
      </c>
      <c r="S95" s="669">
        <v>18</v>
      </c>
      <c r="T95" s="669">
        <v>0</v>
      </c>
      <c r="U95" s="670">
        <v>46071.791666666664</v>
      </c>
      <c r="V95" s="670">
        <v>46084.375</v>
      </c>
      <c r="W95" s="663">
        <v>0</v>
      </c>
      <c r="X95" s="663">
        <v>0</v>
      </c>
      <c r="Y95" s="663">
        <v>0</v>
      </c>
      <c r="Z95" s="663">
        <v>0</v>
      </c>
      <c r="AA95" s="663">
        <v>0</v>
      </c>
      <c r="AB95" s="663">
        <v>0</v>
      </c>
      <c r="AC95" s="663">
        <v>0</v>
      </c>
      <c r="AD95" s="663">
        <v>0</v>
      </c>
      <c r="AE95" s="663">
        <v>0</v>
      </c>
      <c r="AF95" s="663">
        <v>0</v>
      </c>
      <c r="AG95" s="663">
        <v>0</v>
      </c>
      <c r="AH95" s="663">
        <v>0</v>
      </c>
      <c r="AI95" s="663">
        <v>0</v>
      </c>
      <c r="AJ95" s="663">
        <v>0</v>
      </c>
      <c r="AK95" s="668">
        <v>13</v>
      </c>
      <c r="AL95" s="668">
        <v>5</v>
      </c>
    </row>
    <row r="96" spans="1:38" ht="30" thickBot="1">
      <c r="A96" s="661" t="s">
        <v>6360</v>
      </c>
      <c r="B96" s="662" t="s">
        <v>6361</v>
      </c>
      <c r="C96" s="662" t="s">
        <v>6362</v>
      </c>
      <c r="D96" s="669">
        <v>1520019</v>
      </c>
      <c r="E96" s="669" t="s">
        <v>6090</v>
      </c>
      <c r="F96" s="669" t="s">
        <v>6096</v>
      </c>
      <c r="G96" s="669" t="s">
        <v>6096</v>
      </c>
      <c r="H96" s="671">
        <v>0</v>
      </c>
      <c r="I96" s="669">
        <v>0</v>
      </c>
      <c r="J96" s="669">
        <v>0</v>
      </c>
      <c r="K96" s="669">
        <v>0</v>
      </c>
      <c r="L96" s="669">
        <v>0</v>
      </c>
      <c r="M96" s="669" t="s">
        <v>6363</v>
      </c>
      <c r="N96" s="669">
        <v>0</v>
      </c>
      <c r="O96" s="664">
        <v>0</v>
      </c>
      <c r="P96" s="664">
        <v>5</v>
      </c>
      <c r="Q96" s="666">
        <v>5</v>
      </c>
      <c r="R96" s="669">
        <v>0</v>
      </c>
      <c r="S96" s="669">
        <v>5</v>
      </c>
      <c r="T96" s="669">
        <v>5</v>
      </c>
      <c r="U96" s="670">
        <v>45734.916666666664</v>
      </c>
      <c r="V96" s="670">
        <v>45744</v>
      </c>
      <c r="W96" s="663">
        <v>0</v>
      </c>
      <c r="X96" s="663">
        <v>0</v>
      </c>
      <c r="Y96" s="663">
        <v>0</v>
      </c>
      <c r="Z96" s="668">
        <v>5</v>
      </c>
      <c r="AA96" s="663">
        <v>0</v>
      </c>
      <c r="AB96" s="663">
        <v>0</v>
      </c>
      <c r="AC96" s="663">
        <v>0</v>
      </c>
      <c r="AD96" s="663">
        <v>0</v>
      </c>
      <c r="AE96" s="663">
        <v>0</v>
      </c>
      <c r="AF96" s="663">
        <v>0</v>
      </c>
      <c r="AG96" s="663">
        <v>0</v>
      </c>
      <c r="AH96" s="663">
        <v>0</v>
      </c>
      <c r="AI96" s="663">
        <v>0</v>
      </c>
      <c r="AJ96" s="663">
        <v>0</v>
      </c>
      <c r="AK96" s="663">
        <v>0</v>
      </c>
      <c r="AL96" s="663">
        <v>0</v>
      </c>
    </row>
    <row r="97" spans="1:38" ht="30" thickBot="1">
      <c r="A97" s="661" t="s">
        <v>6127</v>
      </c>
      <c r="B97" s="662" t="s">
        <v>6364</v>
      </c>
      <c r="C97" s="662" t="s">
        <v>2117</v>
      </c>
      <c r="D97" s="669">
        <v>1672214</v>
      </c>
      <c r="E97" s="669" t="s">
        <v>6090</v>
      </c>
      <c r="F97" s="669" t="s">
        <v>6117</v>
      </c>
      <c r="G97" s="669" t="s">
        <v>6217</v>
      </c>
      <c r="H97" s="671">
        <v>0</v>
      </c>
      <c r="I97" s="669">
        <v>0</v>
      </c>
      <c r="J97" s="669">
        <v>0</v>
      </c>
      <c r="K97" s="669">
        <v>2</v>
      </c>
      <c r="L97" s="669">
        <v>15</v>
      </c>
      <c r="M97" s="669" t="s">
        <v>6363</v>
      </c>
      <c r="N97" s="669">
        <v>0</v>
      </c>
      <c r="O97" s="664">
        <v>13</v>
      </c>
      <c r="P97" s="664">
        <v>67</v>
      </c>
      <c r="Q97" s="666">
        <v>80</v>
      </c>
      <c r="R97" s="669">
        <v>0</v>
      </c>
      <c r="S97" s="669">
        <v>20</v>
      </c>
      <c r="T97" s="669">
        <v>67</v>
      </c>
      <c r="U97" s="670">
        <v>45635.458333333336</v>
      </c>
      <c r="V97" s="670">
        <v>45850.541666666664</v>
      </c>
      <c r="W97" s="668">
        <v>2</v>
      </c>
      <c r="X97" s="668">
        <v>6</v>
      </c>
      <c r="Y97" s="668">
        <v>2</v>
      </c>
      <c r="Z97" s="663">
        <v>0</v>
      </c>
      <c r="AA97" s="668">
        <v>4</v>
      </c>
      <c r="AB97" s="668">
        <v>3</v>
      </c>
      <c r="AC97" s="668">
        <v>2</v>
      </c>
      <c r="AD97" s="668">
        <v>1</v>
      </c>
      <c r="AE97" s="663">
        <v>0</v>
      </c>
      <c r="AF97" s="663">
        <v>0</v>
      </c>
      <c r="AG97" s="663">
        <v>0</v>
      </c>
      <c r="AH97" s="663">
        <v>0</v>
      </c>
      <c r="AI97" s="663">
        <v>0</v>
      </c>
      <c r="AJ97" s="663">
        <v>0</v>
      </c>
      <c r="AK97" s="663">
        <v>0</v>
      </c>
      <c r="AL97" s="663">
        <v>0</v>
      </c>
    </row>
    <row r="98" spans="1:38" ht="30" thickBot="1">
      <c r="A98" s="661" t="s">
        <v>6365</v>
      </c>
      <c r="B98" s="662" t="s">
        <v>6366</v>
      </c>
      <c r="C98" s="662" t="s">
        <v>6367</v>
      </c>
      <c r="D98" s="669">
        <v>1686028</v>
      </c>
      <c r="E98" s="669" t="s">
        <v>6090</v>
      </c>
      <c r="F98" s="669" t="s">
        <v>6096</v>
      </c>
      <c r="G98" s="669" t="s">
        <v>6097</v>
      </c>
      <c r="H98" s="671">
        <v>0</v>
      </c>
      <c r="I98" s="669">
        <v>0</v>
      </c>
      <c r="J98" s="669">
        <v>0</v>
      </c>
      <c r="K98" s="669">
        <v>58</v>
      </c>
      <c r="L98" s="669">
        <v>53</v>
      </c>
      <c r="M98" s="669" t="s">
        <v>6363</v>
      </c>
      <c r="N98" s="669">
        <v>0</v>
      </c>
      <c r="O98" s="664">
        <v>0</v>
      </c>
      <c r="P98" s="664">
        <v>0</v>
      </c>
      <c r="Q98" s="666">
        <v>0</v>
      </c>
      <c r="R98" s="669">
        <v>0</v>
      </c>
      <c r="S98" s="669">
        <v>88</v>
      </c>
      <c r="T98" s="669">
        <v>1</v>
      </c>
      <c r="U98" s="670">
        <v>45647.416666666664</v>
      </c>
      <c r="V98" s="670">
        <v>45900.625</v>
      </c>
      <c r="W98" s="668">
        <v>3</v>
      </c>
      <c r="X98" s="668">
        <v>17</v>
      </c>
      <c r="Y98" s="668">
        <v>22</v>
      </c>
      <c r="Z98" s="668">
        <v>5</v>
      </c>
      <c r="AA98" s="668">
        <v>15</v>
      </c>
      <c r="AB98" s="668">
        <v>6</v>
      </c>
      <c r="AC98" s="668">
        <v>1</v>
      </c>
      <c r="AD98" s="668">
        <v>10</v>
      </c>
      <c r="AE98" s="668">
        <v>9</v>
      </c>
      <c r="AF98" s="663">
        <v>0</v>
      </c>
      <c r="AG98" s="663">
        <v>0</v>
      </c>
      <c r="AH98" s="663">
        <v>0</v>
      </c>
      <c r="AI98" s="663">
        <v>0</v>
      </c>
      <c r="AJ98" s="663">
        <v>0</v>
      </c>
      <c r="AK98" s="663">
        <v>0</v>
      </c>
      <c r="AL98" s="663">
        <v>0</v>
      </c>
    </row>
    <row r="99" spans="1:38" ht="30" thickBot="1">
      <c r="A99" s="661" t="s">
        <v>6368</v>
      </c>
      <c r="B99" s="662" t="s">
        <v>6369</v>
      </c>
      <c r="C99" s="662" t="s">
        <v>6370</v>
      </c>
      <c r="D99" s="669">
        <v>1686031</v>
      </c>
      <c r="E99" s="669" t="s">
        <v>6090</v>
      </c>
      <c r="F99" s="669" t="s">
        <v>6096</v>
      </c>
      <c r="G99" s="669" t="s">
        <v>6096</v>
      </c>
      <c r="H99" s="671">
        <v>0</v>
      </c>
      <c r="I99" s="669">
        <v>0</v>
      </c>
      <c r="J99" s="669">
        <v>0</v>
      </c>
      <c r="K99" s="669">
        <v>2</v>
      </c>
      <c r="L99" s="669">
        <v>4</v>
      </c>
      <c r="M99" s="669" t="s">
        <v>6363</v>
      </c>
      <c r="N99" s="669">
        <v>0</v>
      </c>
      <c r="O99" s="664">
        <v>2</v>
      </c>
      <c r="P99" s="664">
        <v>4</v>
      </c>
      <c r="Q99" s="666">
        <v>6</v>
      </c>
      <c r="R99" s="669">
        <v>0</v>
      </c>
      <c r="S99" s="669">
        <v>14</v>
      </c>
      <c r="T99" s="669">
        <v>4</v>
      </c>
      <c r="U99" s="670">
        <v>45660.833333333336</v>
      </c>
      <c r="V99" s="670">
        <v>45693.5</v>
      </c>
      <c r="W99" s="663">
        <v>0</v>
      </c>
      <c r="X99" s="668">
        <v>13</v>
      </c>
      <c r="Y99" s="668">
        <v>1</v>
      </c>
      <c r="Z99" s="663">
        <v>0</v>
      </c>
      <c r="AA99" s="663">
        <v>0</v>
      </c>
      <c r="AB99" s="663">
        <v>0</v>
      </c>
      <c r="AC99" s="663">
        <v>0</v>
      </c>
      <c r="AD99" s="663">
        <v>0</v>
      </c>
      <c r="AE99" s="663">
        <v>0</v>
      </c>
      <c r="AF99" s="663">
        <v>0</v>
      </c>
      <c r="AG99" s="663">
        <v>0</v>
      </c>
      <c r="AH99" s="663">
        <v>0</v>
      </c>
      <c r="AI99" s="663">
        <v>0</v>
      </c>
      <c r="AJ99" s="663">
        <v>0</v>
      </c>
      <c r="AK99" s="663">
        <v>0</v>
      </c>
      <c r="AL99" s="663">
        <v>0</v>
      </c>
    </row>
    <row r="100" spans="1:38" ht="30" thickBot="1">
      <c r="A100" s="661" t="s">
        <v>6371</v>
      </c>
      <c r="B100" s="662" t="s">
        <v>6372</v>
      </c>
      <c r="C100" s="662" t="s">
        <v>6373</v>
      </c>
      <c r="D100" s="669">
        <v>1717726</v>
      </c>
      <c r="E100" s="669" t="s">
        <v>6090</v>
      </c>
      <c r="F100" s="669" t="s">
        <v>6096</v>
      </c>
      <c r="G100" s="669" t="s">
        <v>6096</v>
      </c>
      <c r="H100" s="671">
        <v>0</v>
      </c>
      <c r="I100" s="669">
        <v>0</v>
      </c>
      <c r="J100" s="669">
        <v>0</v>
      </c>
      <c r="K100" s="669">
        <v>1</v>
      </c>
      <c r="L100" s="669">
        <v>0</v>
      </c>
      <c r="M100" s="669" t="s">
        <v>6363</v>
      </c>
      <c r="N100" s="669">
        <v>0</v>
      </c>
      <c r="O100" s="664">
        <v>0</v>
      </c>
      <c r="P100" s="664">
        <v>6</v>
      </c>
      <c r="Q100" s="666">
        <v>6</v>
      </c>
      <c r="R100" s="669">
        <v>0</v>
      </c>
      <c r="S100" s="669">
        <v>43</v>
      </c>
      <c r="T100" s="669">
        <v>7</v>
      </c>
      <c r="U100" s="670">
        <v>45690.916666666664</v>
      </c>
      <c r="V100" s="670">
        <v>45769.666666666664</v>
      </c>
      <c r="W100" s="663">
        <v>0</v>
      </c>
      <c r="X100" s="663">
        <v>0</v>
      </c>
      <c r="Y100" s="668">
        <v>14</v>
      </c>
      <c r="Z100" s="668">
        <v>18</v>
      </c>
      <c r="AA100" s="668">
        <v>11</v>
      </c>
      <c r="AB100" s="663">
        <v>0</v>
      </c>
      <c r="AC100" s="663">
        <v>0</v>
      </c>
      <c r="AD100" s="663">
        <v>0</v>
      </c>
      <c r="AE100" s="663">
        <v>0</v>
      </c>
      <c r="AF100" s="663">
        <v>0</v>
      </c>
      <c r="AG100" s="663">
        <v>0</v>
      </c>
      <c r="AH100" s="663">
        <v>0</v>
      </c>
      <c r="AI100" s="663">
        <v>0</v>
      </c>
      <c r="AJ100" s="663">
        <v>0</v>
      </c>
      <c r="AK100" s="663">
        <v>0</v>
      </c>
      <c r="AL100" s="663">
        <v>0</v>
      </c>
    </row>
    <row r="101" spans="1:38" ht="30" thickBot="1">
      <c r="A101" s="661" t="s">
        <v>6374</v>
      </c>
      <c r="B101" s="662" t="s">
        <v>6375</v>
      </c>
      <c r="C101" s="662" t="s">
        <v>6376</v>
      </c>
      <c r="D101" s="669">
        <v>1742683</v>
      </c>
      <c r="E101" s="669" t="s">
        <v>6090</v>
      </c>
      <c r="F101" s="669" t="s">
        <v>6096</v>
      </c>
      <c r="G101" s="669" t="s">
        <v>6096</v>
      </c>
      <c r="H101" s="671">
        <v>0</v>
      </c>
      <c r="I101" s="669">
        <v>0</v>
      </c>
      <c r="J101" s="669">
        <v>0</v>
      </c>
      <c r="K101" s="669">
        <v>2</v>
      </c>
      <c r="L101" s="669">
        <v>4</v>
      </c>
      <c r="M101" s="669" t="s">
        <v>6363</v>
      </c>
      <c r="N101" s="669">
        <v>0</v>
      </c>
      <c r="O101" s="664">
        <v>2</v>
      </c>
      <c r="P101" s="664">
        <v>1</v>
      </c>
      <c r="Q101" s="666">
        <v>3</v>
      </c>
      <c r="R101" s="669">
        <v>0</v>
      </c>
      <c r="S101" s="669">
        <v>6</v>
      </c>
      <c r="T101" s="669">
        <v>1</v>
      </c>
      <c r="U101" s="670">
        <v>45706</v>
      </c>
      <c r="V101" s="670">
        <v>45728.625</v>
      </c>
      <c r="W101" s="663">
        <v>0</v>
      </c>
      <c r="X101" s="663">
        <v>0</v>
      </c>
      <c r="Y101" s="668">
        <v>2</v>
      </c>
      <c r="Z101" s="668">
        <v>4</v>
      </c>
      <c r="AA101" s="663">
        <v>0</v>
      </c>
      <c r="AB101" s="663">
        <v>0</v>
      </c>
      <c r="AC101" s="663">
        <v>0</v>
      </c>
      <c r="AD101" s="663">
        <v>0</v>
      </c>
      <c r="AE101" s="663">
        <v>0</v>
      </c>
      <c r="AF101" s="663">
        <v>0</v>
      </c>
      <c r="AG101" s="663">
        <v>0</v>
      </c>
      <c r="AH101" s="663">
        <v>0</v>
      </c>
      <c r="AI101" s="663">
        <v>0</v>
      </c>
      <c r="AJ101" s="663">
        <v>0</v>
      </c>
      <c r="AK101" s="663">
        <v>0</v>
      </c>
      <c r="AL101" s="663">
        <v>0</v>
      </c>
    </row>
    <row r="102" spans="1:38" ht="30" thickBot="1">
      <c r="A102" s="661" t="s">
        <v>6377</v>
      </c>
      <c r="B102" s="662" t="s">
        <v>6378</v>
      </c>
      <c r="C102" s="662" t="s">
        <v>6379</v>
      </c>
      <c r="D102" s="669">
        <v>1750227</v>
      </c>
      <c r="E102" s="669" t="s">
        <v>6090</v>
      </c>
      <c r="F102" s="669" t="s">
        <v>6101</v>
      </c>
      <c r="G102" s="669" t="s">
        <v>6101</v>
      </c>
      <c r="H102" s="671">
        <v>0</v>
      </c>
      <c r="I102" s="669">
        <v>0</v>
      </c>
      <c r="J102" s="669">
        <v>0</v>
      </c>
      <c r="K102" s="669">
        <v>1</v>
      </c>
      <c r="L102" s="669">
        <v>1</v>
      </c>
      <c r="M102" s="669" t="s">
        <v>6363</v>
      </c>
      <c r="N102" s="669">
        <v>0</v>
      </c>
      <c r="O102" s="664">
        <v>0</v>
      </c>
      <c r="P102" s="664">
        <v>9</v>
      </c>
      <c r="Q102" s="666">
        <v>9</v>
      </c>
      <c r="R102" s="669">
        <v>0</v>
      </c>
      <c r="S102" s="669">
        <v>8</v>
      </c>
      <c r="T102" s="669">
        <v>9</v>
      </c>
      <c r="U102" s="670">
        <v>45938.458333333336</v>
      </c>
      <c r="V102" s="670">
        <v>45959.541666666664</v>
      </c>
      <c r="W102" s="663">
        <v>0</v>
      </c>
      <c r="X102" s="663">
        <v>0</v>
      </c>
      <c r="Y102" s="663">
        <v>0</v>
      </c>
      <c r="Z102" s="663">
        <v>0</v>
      </c>
      <c r="AA102" s="663">
        <v>0</v>
      </c>
      <c r="AB102" s="663">
        <v>0</v>
      </c>
      <c r="AC102" s="663">
        <v>0</v>
      </c>
      <c r="AD102" s="663">
        <v>0</v>
      </c>
      <c r="AE102" s="663">
        <v>0</v>
      </c>
      <c r="AF102" s="663">
        <v>0</v>
      </c>
      <c r="AG102" s="668">
        <v>8</v>
      </c>
      <c r="AH102" s="663">
        <v>0</v>
      </c>
      <c r="AI102" s="663">
        <v>0</v>
      </c>
      <c r="AJ102" s="663">
        <v>0</v>
      </c>
      <c r="AK102" s="663">
        <v>0</v>
      </c>
      <c r="AL102" s="663">
        <v>0</v>
      </c>
    </row>
    <row r="103" spans="1:38" ht="44" thickBot="1">
      <c r="A103" s="661" t="s">
        <v>6380</v>
      </c>
      <c r="B103" s="662" t="s">
        <v>6381</v>
      </c>
      <c r="C103" s="662" t="s">
        <v>6382</v>
      </c>
      <c r="D103" s="669">
        <v>1765561</v>
      </c>
      <c r="E103" s="669" t="s">
        <v>6090</v>
      </c>
      <c r="F103" s="669" t="s">
        <v>6096</v>
      </c>
      <c r="G103" s="669" t="s">
        <v>6096</v>
      </c>
      <c r="H103" s="671">
        <v>0</v>
      </c>
      <c r="I103" s="669">
        <v>0</v>
      </c>
      <c r="J103" s="669">
        <v>0</v>
      </c>
      <c r="K103" s="669">
        <v>0</v>
      </c>
      <c r="L103" s="669">
        <v>0</v>
      </c>
      <c r="M103" s="669" t="s">
        <v>6363</v>
      </c>
      <c r="N103" s="669">
        <v>0</v>
      </c>
      <c r="O103" s="664">
        <v>0</v>
      </c>
      <c r="P103" s="664">
        <v>2</v>
      </c>
      <c r="Q103" s="666">
        <v>2</v>
      </c>
      <c r="R103" s="669">
        <v>0</v>
      </c>
      <c r="S103" s="669">
        <v>2</v>
      </c>
      <c r="T103" s="669">
        <v>2</v>
      </c>
      <c r="U103" s="670">
        <v>45747.833333333336</v>
      </c>
      <c r="V103" s="670">
        <v>45748.666666666664</v>
      </c>
      <c r="W103" s="663">
        <v>0</v>
      </c>
      <c r="X103" s="663">
        <v>0</v>
      </c>
      <c r="Y103" s="663">
        <v>0</v>
      </c>
      <c r="Z103" s="668">
        <v>1</v>
      </c>
      <c r="AA103" s="668">
        <v>1</v>
      </c>
      <c r="AB103" s="663">
        <v>0</v>
      </c>
      <c r="AC103" s="663">
        <v>0</v>
      </c>
      <c r="AD103" s="663">
        <v>0</v>
      </c>
      <c r="AE103" s="663">
        <v>0</v>
      </c>
      <c r="AF103" s="663">
        <v>0</v>
      </c>
      <c r="AG103" s="663">
        <v>0</v>
      </c>
      <c r="AH103" s="663">
        <v>0</v>
      </c>
      <c r="AI103" s="663">
        <v>0</v>
      </c>
      <c r="AJ103" s="663">
        <v>0</v>
      </c>
      <c r="AK103" s="663">
        <v>0</v>
      </c>
      <c r="AL103" s="663">
        <v>0</v>
      </c>
    </row>
    <row r="104" spans="1:38" ht="44" thickBot="1">
      <c r="A104" s="661" t="s">
        <v>6383</v>
      </c>
      <c r="B104" s="662" t="s">
        <v>6384</v>
      </c>
      <c r="C104" s="662" t="s">
        <v>2129</v>
      </c>
      <c r="D104" s="669">
        <v>1765562</v>
      </c>
      <c r="E104" s="669" t="s">
        <v>6090</v>
      </c>
      <c r="F104" s="669" t="s">
        <v>6101</v>
      </c>
      <c r="G104" s="669" t="s">
        <v>6147</v>
      </c>
      <c r="H104" s="671">
        <v>0</v>
      </c>
      <c r="I104" s="669">
        <v>0</v>
      </c>
      <c r="J104" s="669">
        <v>0</v>
      </c>
      <c r="K104" s="669">
        <v>26</v>
      </c>
      <c r="L104" s="669">
        <v>29</v>
      </c>
      <c r="M104" s="669" t="s">
        <v>6363</v>
      </c>
      <c r="N104" s="669">
        <v>0</v>
      </c>
      <c r="O104" s="664">
        <v>3</v>
      </c>
      <c r="P104" s="664">
        <v>8</v>
      </c>
      <c r="Q104" s="666">
        <v>11</v>
      </c>
      <c r="R104" s="667">
        <v>31</v>
      </c>
      <c r="S104" s="669">
        <v>205</v>
      </c>
      <c r="T104" s="669">
        <v>8</v>
      </c>
      <c r="U104" s="670">
        <v>45741</v>
      </c>
      <c r="V104" s="670">
        <v>46083.875</v>
      </c>
      <c r="W104" s="663">
        <v>0</v>
      </c>
      <c r="X104" s="663">
        <v>0</v>
      </c>
      <c r="Y104" s="663">
        <v>0</v>
      </c>
      <c r="Z104" s="668">
        <v>3</v>
      </c>
      <c r="AA104" s="668">
        <v>25</v>
      </c>
      <c r="AB104" s="668">
        <v>33</v>
      </c>
      <c r="AC104" s="668">
        <v>39</v>
      </c>
      <c r="AD104" s="668">
        <v>8</v>
      </c>
      <c r="AE104" s="668">
        <v>10</v>
      </c>
      <c r="AF104" s="668">
        <v>26</v>
      </c>
      <c r="AG104" s="668">
        <v>9</v>
      </c>
      <c r="AH104" s="668">
        <v>31</v>
      </c>
      <c r="AI104" s="668">
        <v>4</v>
      </c>
      <c r="AJ104" s="663">
        <v>0</v>
      </c>
      <c r="AK104" s="668">
        <v>16</v>
      </c>
      <c r="AL104" s="668">
        <v>1</v>
      </c>
    </row>
    <row r="105" spans="1:38" ht="30" thickBot="1">
      <c r="A105" s="661" t="s">
        <v>6385</v>
      </c>
      <c r="B105" s="662" t="s">
        <v>6386</v>
      </c>
      <c r="C105" s="662" t="s">
        <v>2135</v>
      </c>
      <c r="D105" s="669">
        <v>1773355</v>
      </c>
      <c r="E105" s="669" t="s">
        <v>6090</v>
      </c>
      <c r="F105" s="669" t="s">
        <v>6101</v>
      </c>
      <c r="G105" s="669" t="s">
        <v>6101</v>
      </c>
      <c r="H105" s="671">
        <v>0</v>
      </c>
      <c r="I105" s="669">
        <v>0</v>
      </c>
      <c r="J105" s="669">
        <v>0</v>
      </c>
      <c r="K105" s="669">
        <v>4</v>
      </c>
      <c r="L105" s="669">
        <v>1</v>
      </c>
      <c r="M105" s="669" t="s">
        <v>6363</v>
      </c>
      <c r="N105" s="669">
        <v>0</v>
      </c>
      <c r="O105" s="664">
        <v>0</v>
      </c>
      <c r="P105" s="664">
        <v>0</v>
      </c>
      <c r="Q105" s="666">
        <v>0</v>
      </c>
      <c r="R105" s="669">
        <v>0</v>
      </c>
      <c r="S105" s="669">
        <v>98</v>
      </c>
      <c r="T105" s="669">
        <v>2</v>
      </c>
      <c r="U105" s="670">
        <v>45737.75</v>
      </c>
      <c r="V105" s="670">
        <v>45821.708333333336</v>
      </c>
      <c r="W105" s="663">
        <v>0</v>
      </c>
      <c r="X105" s="663">
        <v>0</v>
      </c>
      <c r="Y105" s="663">
        <v>0</v>
      </c>
      <c r="Z105" s="668">
        <v>15</v>
      </c>
      <c r="AA105" s="668">
        <v>17</v>
      </c>
      <c r="AB105" s="668">
        <v>41</v>
      </c>
      <c r="AC105" s="668">
        <v>25</v>
      </c>
      <c r="AD105" s="663">
        <v>0</v>
      </c>
      <c r="AE105" s="663">
        <v>0</v>
      </c>
      <c r="AF105" s="663">
        <v>0</v>
      </c>
      <c r="AG105" s="663">
        <v>0</v>
      </c>
      <c r="AH105" s="663">
        <v>0</v>
      </c>
      <c r="AI105" s="663">
        <v>0</v>
      </c>
      <c r="AJ105" s="663">
        <v>0</v>
      </c>
      <c r="AK105" s="663">
        <v>0</v>
      </c>
      <c r="AL105" s="663">
        <v>0</v>
      </c>
    </row>
    <row r="106" spans="1:38" ht="30" thickBot="1">
      <c r="A106" s="661" t="s">
        <v>6317</v>
      </c>
      <c r="B106" s="662" t="s">
        <v>6318</v>
      </c>
      <c r="C106" s="662" t="s">
        <v>2145</v>
      </c>
      <c r="D106" s="669">
        <v>1773356</v>
      </c>
      <c r="E106" s="669" t="s">
        <v>6090</v>
      </c>
      <c r="F106" s="669" t="s">
        <v>6117</v>
      </c>
      <c r="G106" s="669" t="s">
        <v>6217</v>
      </c>
      <c r="H106" s="671">
        <v>0</v>
      </c>
      <c r="I106" s="669">
        <v>0</v>
      </c>
      <c r="J106" s="669">
        <v>0</v>
      </c>
      <c r="K106" s="669">
        <v>12</v>
      </c>
      <c r="L106" s="669">
        <v>13</v>
      </c>
      <c r="M106" s="669" t="s">
        <v>6363</v>
      </c>
      <c r="N106" s="669">
        <v>0</v>
      </c>
      <c r="O106" s="664">
        <v>1</v>
      </c>
      <c r="P106" s="664">
        <v>3</v>
      </c>
      <c r="Q106" s="666">
        <v>4</v>
      </c>
      <c r="R106" s="669">
        <v>0</v>
      </c>
      <c r="S106" s="669">
        <v>67</v>
      </c>
      <c r="T106" s="669">
        <v>3</v>
      </c>
      <c r="U106" s="670">
        <v>45791.083333333336</v>
      </c>
      <c r="V106" s="670">
        <v>45830.541666666664</v>
      </c>
      <c r="W106" s="663">
        <v>0</v>
      </c>
      <c r="X106" s="663">
        <v>0</v>
      </c>
      <c r="Y106" s="663">
        <v>0</v>
      </c>
      <c r="Z106" s="663">
        <v>0</v>
      </c>
      <c r="AA106" s="663">
        <v>0</v>
      </c>
      <c r="AB106" s="668">
        <v>29</v>
      </c>
      <c r="AC106" s="668">
        <v>38</v>
      </c>
      <c r="AD106" s="663">
        <v>0</v>
      </c>
      <c r="AE106" s="663">
        <v>0</v>
      </c>
      <c r="AF106" s="663">
        <v>0</v>
      </c>
      <c r="AG106" s="663">
        <v>0</v>
      </c>
      <c r="AH106" s="663">
        <v>0</v>
      </c>
      <c r="AI106" s="663">
        <v>0</v>
      </c>
      <c r="AJ106" s="663">
        <v>0</v>
      </c>
      <c r="AK106" s="663">
        <v>0</v>
      </c>
      <c r="AL106" s="663">
        <v>0</v>
      </c>
    </row>
    <row r="107" spans="1:38" ht="30" thickBot="1">
      <c r="A107" s="661" t="s">
        <v>6387</v>
      </c>
      <c r="B107" s="662" t="s">
        <v>6388</v>
      </c>
      <c r="C107" s="662" t="s">
        <v>6389</v>
      </c>
      <c r="D107" s="669">
        <v>1781936</v>
      </c>
      <c r="E107" s="669" t="s">
        <v>6090</v>
      </c>
      <c r="F107" s="669" t="s">
        <v>6096</v>
      </c>
      <c r="G107" s="669" t="s">
        <v>6096</v>
      </c>
      <c r="H107" s="671">
        <v>0</v>
      </c>
      <c r="I107" s="669">
        <v>0</v>
      </c>
      <c r="J107" s="669">
        <v>0</v>
      </c>
      <c r="K107" s="669">
        <v>9</v>
      </c>
      <c r="L107" s="669">
        <v>9</v>
      </c>
      <c r="M107" s="669" t="s">
        <v>6363</v>
      </c>
      <c r="N107" s="669">
        <v>41</v>
      </c>
      <c r="O107" s="664">
        <v>0</v>
      </c>
      <c r="P107" s="664">
        <v>25</v>
      </c>
      <c r="Q107" s="666">
        <v>66</v>
      </c>
      <c r="R107" s="667">
        <v>10</v>
      </c>
      <c r="S107" s="669">
        <v>39</v>
      </c>
      <c r="T107" s="669">
        <v>25</v>
      </c>
      <c r="U107" s="670">
        <v>45804.708333333336</v>
      </c>
      <c r="V107" s="670">
        <v>45962.75</v>
      </c>
      <c r="W107" s="663">
        <v>0</v>
      </c>
      <c r="X107" s="663">
        <v>0</v>
      </c>
      <c r="Y107" s="663">
        <v>0</v>
      </c>
      <c r="Z107" s="663">
        <v>0</v>
      </c>
      <c r="AA107" s="663">
        <v>0</v>
      </c>
      <c r="AB107" s="668">
        <v>3</v>
      </c>
      <c r="AC107" s="668">
        <v>12</v>
      </c>
      <c r="AD107" s="668">
        <v>12</v>
      </c>
      <c r="AE107" s="668">
        <v>8</v>
      </c>
      <c r="AF107" s="668">
        <v>2</v>
      </c>
      <c r="AG107" s="668">
        <v>1</v>
      </c>
      <c r="AH107" s="668">
        <v>1</v>
      </c>
      <c r="AI107" s="663">
        <v>0</v>
      </c>
      <c r="AJ107" s="663">
        <v>0</v>
      </c>
      <c r="AK107" s="663">
        <v>0</v>
      </c>
      <c r="AL107" s="663">
        <v>0</v>
      </c>
    </row>
    <row r="108" spans="1:38" ht="30" thickBot="1">
      <c r="A108" s="661" t="s">
        <v>6390</v>
      </c>
      <c r="B108" s="662" t="s">
        <v>6391</v>
      </c>
      <c r="C108" s="662" t="s">
        <v>6392</v>
      </c>
      <c r="D108" s="669">
        <v>1782015</v>
      </c>
      <c r="E108" s="669" t="s">
        <v>6090</v>
      </c>
      <c r="F108" s="669" t="s">
        <v>6096</v>
      </c>
      <c r="G108" s="669" t="s">
        <v>6113</v>
      </c>
      <c r="H108" s="671">
        <v>0</v>
      </c>
      <c r="I108" s="669">
        <v>0</v>
      </c>
      <c r="J108" s="669">
        <v>0</v>
      </c>
      <c r="K108" s="669">
        <v>9</v>
      </c>
      <c r="L108" s="669">
        <v>6</v>
      </c>
      <c r="M108" s="669" t="s">
        <v>6363</v>
      </c>
      <c r="N108" s="669">
        <v>0</v>
      </c>
      <c r="O108" s="664">
        <v>0</v>
      </c>
      <c r="P108" s="664">
        <v>2</v>
      </c>
      <c r="Q108" s="666">
        <v>2</v>
      </c>
      <c r="R108" s="667">
        <v>10</v>
      </c>
      <c r="S108" s="669">
        <v>292</v>
      </c>
      <c r="T108" s="669">
        <v>5</v>
      </c>
      <c r="U108" s="670">
        <v>45762.75</v>
      </c>
      <c r="V108" s="670">
        <v>46083.458333333336</v>
      </c>
      <c r="W108" s="663">
        <v>0</v>
      </c>
      <c r="X108" s="663">
        <v>0</v>
      </c>
      <c r="Y108" s="663">
        <v>0</v>
      </c>
      <c r="Z108" s="663">
        <v>0</v>
      </c>
      <c r="AA108" s="668">
        <v>18</v>
      </c>
      <c r="AB108" s="668">
        <v>29</v>
      </c>
      <c r="AC108" s="668">
        <v>31</v>
      </c>
      <c r="AD108" s="668">
        <v>25</v>
      </c>
      <c r="AE108" s="668">
        <v>31</v>
      </c>
      <c r="AF108" s="668">
        <v>20</v>
      </c>
      <c r="AG108" s="668">
        <v>28</v>
      </c>
      <c r="AH108" s="668">
        <v>27</v>
      </c>
      <c r="AI108" s="668">
        <v>29</v>
      </c>
      <c r="AJ108" s="668">
        <v>25</v>
      </c>
      <c r="AK108" s="668">
        <v>27</v>
      </c>
      <c r="AL108" s="668">
        <v>2</v>
      </c>
    </row>
    <row r="109" spans="1:38" ht="30" thickBot="1">
      <c r="A109" s="661" t="s">
        <v>6393</v>
      </c>
      <c r="B109" s="662" t="s">
        <v>6394</v>
      </c>
      <c r="C109" s="662" t="s">
        <v>6395</v>
      </c>
      <c r="D109" s="669">
        <v>1786353</v>
      </c>
      <c r="E109" s="669" t="s">
        <v>6090</v>
      </c>
      <c r="F109" s="669" t="s">
        <v>6217</v>
      </c>
      <c r="G109" s="669" t="s">
        <v>6113</v>
      </c>
      <c r="H109" s="671">
        <v>0</v>
      </c>
      <c r="I109" s="669">
        <v>0</v>
      </c>
      <c r="J109" s="669">
        <v>0</v>
      </c>
      <c r="K109" s="669">
        <v>17</v>
      </c>
      <c r="L109" s="669">
        <v>17</v>
      </c>
      <c r="M109" s="669" t="s">
        <v>6363</v>
      </c>
      <c r="N109" s="669">
        <v>0</v>
      </c>
      <c r="O109" s="664">
        <v>0</v>
      </c>
      <c r="P109" s="664">
        <v>2</v>
      </c>
      <c r="Q109" s="666">
        <v>2</v>
      </c>
      <c r="R109" s="667">
        <v>7</v>
      </c>
      <c r="S109" s="669">
        <v>117</v>
      </c>
      <c r="T109" s="669">
        <v>2</v>
      </c>
      <c r="U109" s="670">
        <v>45778.625</v>
      </c>
      <c r="V109" s="670">
        <v>46065.958333333336</v>
      </c>
      <c r="W109" s="663">
        <v>0</v>
      </c>
      <c r="X109" s="663">
        <v>0</v>
      </c>
      <c r="Y109" s="663">
        <v>0</v>
      </c>
      <c r="Z109" s="663">
        <v>0</v>
      </c>
      <c r="AA109" s="663">
        <v>0</v>
      </c>
      <c r="AB109" s="668">
        <v>16</v>
      </c>
      <c r="AC109" s="668">
        <v>13</v>
      </c>
      <c r="AD109" s="668">
        <v>12</v>
      </c>
      <c r="AE109" s="668">
        <v>8</v>
      </c>
      <c r="AF109" s="668">
        <v>13</v>
      </c>
      <c r="AG109" s="668">
        <v>18</v>
      </c>
      <c r="AH109" s="668">
        <v>8</v>
      </c>
      <c r="AI109" s="668">
        <v>11</v>
      </c>
      <c r="AJ109" s="668">
        <v>11</v>
      </c>
      <c r="AK109" s="668">
        <v>7</v>
      </c>
      <c r="AL109" s="663">
        <v>0</v>
      </c>
    </row>
    <row r="110" spans="1:38" ht="30" thickBot="1">
      <c r="A110" s="661" t="s">
        <v>6396</v>
      </c>
      <c r="B110" s="662" t="s">
        <v>6397</v>
      </c>
      <c r="C110" s="662" t="s">
        <v>6398</v>
      </c>
      <c r="D110" s="669">
        <v>1788048</v>
      </c>
      <c r="E110" s="669" t="s">
        <v>6090</v>
      </c>
      <c r="F110" s="669" t="s">
        <v>6096</v>
      </c>
      <c r="G110" s="669" t="s">
        <v>6117</v>
      </c>
      <c r="H110" s="671">
        <v>0</v>
      </c>
      <c r="I110" s="669">
        <v>0</v>
      </c>
      <c r="J110" s="669">
        <v>0</v>
      </c>
      <c r="K110" s="669">
        <v>15</v>
      </c>
      <c r="L110" s="669">
        <v>16</v>
      </c>
      <c r="M110" s="669" t="s">
        <v>6363</v>
      </c>
      <c r="N110" s="669">
        <v>0</v>
      </c>
      <c r="O110" s="664">
        <v>1</v>
      </c>
      <c r="P110" s="664">
        <v>7</v>
      </c>
      <c r="Q110" s="666">
        <v>8</v>
      </c>
      <c r="R110" s="667">
        <v>1</v>
      </c>
      <c r="S110" s="669">
        <v>141</v>
      </c>
      <c r="T110" s="669">
        <v>7</v>
      </c>
      <c r="U110" s="670">
        <v>45789.958333333336</v>
      </c>
      <c r="V110" s="670">
        <v>46083.666666666664</v>
      </c>
      <c r="W110" s="663">
        <v>0</v>
      </c>
      <c r="X110" s="663">
        <v>0</v>
      </c>
      <c r="Y110" s="663">
        <v>0</v>
      </c>
      <c r="Z110" s="663">
        <v>0</v>
      </c>
      <c r="AA110" s="663">
        <v>0</v>
      </c>
      <c r="AB110" s="668">
        <v>21</v>
      </c>
      <c r="AC110" s="668">
        <v>13</v>
      </c>
      <c r="AD110" s="668">
        <v>15</v>
      </c>
      <c r="AE110" s="668">
        <v>7</v>
      </c>
      <c r="AF110" s="668">
        <v>32</v>
      </c>
      <c r="AG110" s="668">
        <v>7</v>
      </c>
      <c r="AH110" s="668">
        <v>14</v>
      </c>
      <c r="AI110" s="668">
        <v>14</v>
      </c>
      <c r="AJ110" s="668">
        <v>4</v>
      </c>
      <c r="AK110" s="668">
        <v>13</v>
      </c>
      <c r="AL110" s="668">
        <v>1</v>
      </c>
    </row>
    <row r="111" spans="1:38" ht="44" thickBot="1">
      <c r="A111" s="661" t="s">
        <v>6269</v>
      </c>
      <c r="B111" s="662" t="s">
        <v>6399</v>
      </c>
      <c r="C111" s="662" t="s">
        <v>6400</v>
      </c>
      <c r="D111" s="669">
        <v>1790498</v>
      </c>
      <c r="E111" s="669" t="s">
        <v>6090</v>
      </c>
      <c r="F111" s="669" t="s">
        <v>6096</v>
      </c>
      <c r="G111" s="669" t="s">
        <v>6096</v>
      </c>
      <c r="H111" s="671">
        <v>0</v>
      </c>
      <c r="I111" s="669">
        <v>0</v>
      </c>
      <c r="J111" s="669">
        <v>0</v>
      </c>
      <c r="K111" s="669">
        <v>156</v>
      </c>
      <c r="L111" s="669">
        <v>171</v>
      </c>
      <c r="M111" s="669" t="s">
        <v>6363</v>
      </c>
      <c r="N111" s="669">
        <v>0</v>
      </c>
      <c r="O111" s="664">
        <v>15</v>
      </c>
      <c r="P111" s="664">
        <v>20</v>
      </c>
      <c r="Q111" s="666">
        <v>35</v>
      </c>
      <c r="R111" s="669">
        <v>0</v>
      </c>
      <c r="S111" s="669">
        <v>52</v>
      </c>
      <c r="T111" s="669">
        <v>20</v>
      </c>
      <c r="U111" s="670">
        <v>45796.791666666664</v>
      </c>
      <c r="V111" s="670">
        <v>45937.708333333336</v>
      </c>
      <c r="W111" s="663">
        <v>0</v>
      </c>
      <c r="X111" s="663">
        <v>0</v>
      </c>
      <c r="Y111" s="663">
        <v>0</v>
      </c>
      <c r="Z111" s="663">
        <v>0</v>
      </c>
      <c r="AA111" s="663">
        <v>0</v>
      </c>
      <c r="AB111" s="668">
        <v>5</v>
      </c>
      <c r="AC111" s="668">
        <v>8</v>
      </c>
      <c r="AD111" s="668">
        <v>15</v>
      </c>
      <c r="AE111" s="668">
        <v>7</v>
      </c>
      <c r="AF111" s="668">
        <v>13</v>
      </c>
      <c r="AG111" s="668">
        <v>4</v>
      </c>
      <c r="AH111" s="663">
        <v>0</v>
      </c>
      <c r="AI111" s="663">
        <v>0</v>
      </c>
      <c r="AJ111" s="663">
        <v>0</v>
      </c>
      <c r="AK111" s="663">
        <v>0</v>
      </c>
      <c r="AL111" s="663">
        <v>0</v>
      </c>
    </row>
    <row r="112" spans="1:38" ht="44" thickBot="1">
      <c r="A112" s="661" t="s">
        <v>6401</v>
      </c>
      <c r="B112" s="662" t="s">
        <v>6402</v>
      </c>
      <c r="C112" s="662" t="s">
        <v>6403</v>
      </c>
      <c r="D112" s="669">
        <v>1790499</v>
      </c>
      <c r="E112" s="669" t="s">
        <v>6090</v>
      </c>
      <c r="F112" s="669" t="s">
        <v>6097</v>
      </c>
      <c r="G112" s="669" t="s">
        <v>6117</v>
      </c>
      <c r="H112" s="671">
        <v>0</v>
      </c>
      <c r="I112" s="669">
        <v>0</v>
      </c>
      <c r="J112" s="669">
        <v>0</v>
      </c>
      <c r="K112" s="669">
        <v>27</v>
      </c>
      <c r="L112" s="669">
        <v>78</v>
      </c>
      <c r="M112" s="669" t="s">
        <v>6363</v>
      </c>
      <c r="N112" s="669">
        <v>0</v>
      </c>
      <c r="O112" s="664">
        <v>51</v>
      </c>
      <c r="P112" s="664">
        <v>37</v>
      </c>
      <c r="Q112" s="666">
        <v>88</v>
      </c>
      <c r="R112" s="669">
        <v>0</v>
      </c>
      <c r="S112" s="669">
        <v>59</v>
      </c>
      <c r="T112" s="669">
        <v>37</v>
      </c>
      <c r="U112" s="670">
        <v>45804.541666666664</v>
      </c>
      <c r="V112" s="670">
        <v>45997.666666666664</v>
      </c>
      <c r="W112" s="663">
        <v>0</v>
      </c>
      <c r="X112" s="663">
        <v>0</v>
      </c>
      <c r="Y112" s="663">
        <v>0</v>
      </c>
      <c r="Z112" s="663">
        <v>0</v>
      </c>
      <c r="AA112" s="663">
        <v>0</v>
      </c>
      <c r="AB112" s="668">
        <v>1</v>
      </c>
      <c r="AC112" s="663">
        <v>0</v>
      </c>
      <c r="AD112" s="668">
        <v>5</v>
      </c>
      <c r="AE112" s="668">
        <v>9</v>
      </c>
      <c r="AF112" s="668">
        <v>20</v>
      </c>
      <c r="AG112" s="668">
        <v>4</v>
      </c>
      <c r="AH112" s="663">
        <v>0</v>
      </c>
      <c r="AI112" s="668">
        <v>20</v>
      </c>
      <c r="AJ112" s="663">
        <v>0</v>
      </c>
      <c r="AK112" s="663">
        <v>0</v>
      </c>
      <c r="AL112" s="663">
        <v>0</v>
      </c>
    </row>
    <row r="113" spans="1:38" ht="30" thickBot="1">
      <c r="A113" s="661" t="s">
        <v>6404</v>
      </c>
      <c r="B113" s="662" t="s">
        <v>6405</v>
      </c>
      <c r="C113" s="662" t="s">
        <v>6406</v>
      </c>
      <c r="D113" s="669">
        <v>1791057</v>
      </c>
      <c r="E113" s="669" t="s">
        <v>6090</v>
      </c>
      <c r="F113" s="669" t="s">
        <v>6091</v>
      </c>
      <c r="G113" s="669" t="s">
        <v>6091</v>
      </c>
      <c r="H113" s="671">
        <v>0</v>
      </c>
      <c r="I113" s="669">
        <v>0</v>
      </c>
      <c r="J113" s="669">
        <v>0</v>
      </c>
      <c r="K113" s="669">
        <v>0</v>
      </c>
      <c r="L113" s="669">
        <v>0</v>
      </c>
      <c r="M113" s="669" t="s">
        <v>6363</v>
      </c>
      <c r="N113" s="669">
        <v>0</v>
      </c>
      <c r="O113" s="664">
        <v>0</v>
      </c>
      <c r="P113" s="664">
        <v>0</v>
      </c>
      <c r="Q113" s="666">
        <v>0</v>
      </c>
      <c r="R113" s="669">
        <v>0</v>
      </c>
      <c r="S113" s="669">
        <v>1</v>
      </c>
      <c r="T113" s="669">
        <v>0</v>
      </c>
      <c r="U113" s="670">
        <v>45851.833333333336</v>
      </c>
      <c r="V113" s="670">
        <v>45851.833333333336</v>
      </c>
      <c r="W113" s="663">
        <v>0</v>
      </c>
      <c r="X113" s="663">
        <v>0</v>
      </c>
      <c r="Y113" s="663">
        <v>0</v>
      </c>
      <c r="Z113" s="663">
        <v>0</v>
      </c>
      <c r="AA113" s="663">
        <v>0</v>
      </c>
      <c r="AB113" s="663">
        <v>0</v>
      </c>
      <c r="AC113" s="663">
        <v>0</v>
      </c>
      <c r="AD113" s="668">
        <v>1</v>
      </c>
      <c r="AE113" s="663">
        <v>0</v>
      </c>
      <c r="AF113" s="663">
        <v>0</v>
      </c>
      <c r="AG113" s="663">
        <v>0</v>
      </c>
      <c r="AH113" s="663">
        <v>0</v>
      </c>
      <c r="AI113" s="663">
        <v>0</v>
      </c>
      <c r="AJ113" s="663">
        <v>0</v>
      </c>
      <c r="AK113" s="663">
        <v>0</v>
      </c>
      <c r="AL113" s="663">
        <v>0</v>
      </c>
    </row>
    <row r="114" spans="1:38" ht="30" thickBot="1">
      <c r="A114" s="661" t="s">
        <v>6368</v>
      </c>
      <c r="B114" s="662" t="s">
        <v>6407</v>
      </c>
      <c r="C114" s="662" t="s">
        <v>6408</v>
      </c>
      <c r="D114" s="669">
        <v>1795209</v>
      </c>
      <c r="E114" s="669" t="s">
        <v>6090</v>
      </c>
      <c r="F114" s="669" t="s">
        <v>6091</v>
      </c>
      <c r="G114" s="669" t="s">
        <v>6092</v>
      </c>
      <c r="H114" s="671">
        <v>0</v>
      </c>
      <c r="I114" s="669">
        <v>0</v>
      </c>
      <c r="J114" s="669">
        <v>0</v>
      </c>
      <c r="K114" s="669">
        <v>26</v>
      </c>
      <c r="L114" s="669">
        <v>28</v>
      </c>
      <c r="M114" s="669" t="s">
        <v>6363</v>
      </c>
      <c r="N114" s="669">
        <v>0</v>
      </c>
      <c r="O114" s="664">
        <v>2</v>
      </c>
      <c r="P114" s="664">
        <v>0</v>
      </c>
      <c r="Q114" s="666">
        <v>2</v>
      </c>
      <c r="R114" s="667">
        <v>16</v>
      </c>
      <c r="S114" s="669">
        <v>127</v>
      </c>
      <c r="T114" s="669">
        <v>0</v>
      </c>
      <c r="U114" s="670">
        <v>45880.708333333336</v>
      </c>
      <c r="V114" s="670">
        <v>46084.708333333336</v>
      </c>
      <c r="W114" s="663">
        <v>0</v>
      </c>
      <c r="X114" s="663">
        <v>0</v>
      </c>
      <c r="Y114" s="663">
        <v>0</v>
      </c>
      <c r="Z114" s="663">
        <v>0</v>
      </c>
      <c r="AA114" s="663">
        <v>0</v>
      </c>
      <c r="AB114" s="663">
        <v>0</v>
      </c>
      <c r="AC114" s="663">
        <v>0</v>
      </c>
      <c r="AD114" s="663">
        <v>0</v>
      </c>
      <c r="AE114" s="668">
        <v>24</v>
      </c>
      <c r="AF114" s="668">
        <v>33</v>
      </c>
      <c r="AG114" s="668">
        <v>32</v>
      </c>
      <c r="AH114" s="668">
        <v>11</v>
      </c>
      <c r="AI114" s="663">
        <v>0</v>
      </c>
      <c r="AJ114" s="668">
        <v>11</v>
      </c>
      <c r="AK114" s="668">
        <v>14</v>
      </c>
      <c r="AL114" s="668">
        <v>2</v>
      </c>
    </row>
    <row r="115" spans="1:38" ht="30" thickBot="1">
      <c r="A115" s="661" t="s">
        <v>6409</v>
      </c>
      <c r="B115" s="662" t="s">
        <v>6410</v>
      </c>
      <c r="C115" s="662" t="s">
        <v>6411</v>
      </c>
      <c r="D115" s="669">
        <v>1795912</v>
      </c>
      <c r="E115" s="669" t="s">
        <v>6090</v>
      </c>
      <c r="F115" s="669" t="s">
        <v>6096</v>
      </c>
      <c r="G115" s="669" t="s">
        <v>6096</v>
      </c>
      <c r="H115" s="671">
        <v>0</v>
      </c>
      <c r="I115" s="669">
        <v>0</v>
      </c>
      <c r="J115" s="669">
        <v>0</v>
      </c>
      <c r="K115" s="669">
        <v>1</v>
      </c>
      <c r="L115" s="669">
        <v>3</v>
      </c>
      <c r="M115" s="669" t="s">
        <v>6363</v>
      </c>
      <c r="N115" s="669">
        <v>0</v>
      </c>
      <c r="O115" s="664">
        <v>2</v>
      </c>
      <c r="P115" s="664">
        <v>5</v>
      </c>
      <c r="Q115" s="666">
        <v>7</v>
      </c>
      <c r="R115" s="669">
        <v>0</v>
      </c>
      <c r="S115" s="669">
        <v>17</v>
      </c>
      <c r="T115" s="669">
        <v>5</v>
      </c>
      <c r="U115" s="670">
        <v>45812.083333333336</v>
      </c>
      <c r="V115" s="670">
        <v>45835.625</v>
      </c>
      <c r="W115" s="663">
        <v>0</v>
      </c>
      <c r="X115" s="663">
        <v>0</v>
      </c>
      <c r="Y115" s="663">
        <v>0</v>
      </c>
      <c r="Z115" s="663">
        <v>0</v>
      </c>
      <c r="AA115" s="663">
        <v>0</v>
      </c>
      <c r="AB115" s="663">
        <v>0</v>
      </c>
      <c r="AC115" s="668">
        <v>17</v>
      </c>
      <c r="AD115" s="663">
        <v>0</v>
      </c>
      <c r="AE115" s="663">
        <v>0</v>
      </c>
      <c r="AF115" s="663">
        <v>0</v>
      </c>
      <c r="AG115" s="663">
        <v>0</v>
      </c>
      <c r="AH115" s="663">
        <v>0</v>
      </c>
      <c r="AI115" s="663">
        <v>0</v>
      </c>
      <c r="AJ115" s="663">
        <v>0</v>
      </c>
      <c r="AK115" s="663">
        <v>0</v>
      </c>
      <c r="AL115" s="663">
        <v>0</v>
      </c>
    </row>
    <row r="116" spans="1:38" ht="30" thickBot="1">
      <c r="A116" s="661" t="s">
        <v>6320</v>
      </c>
      <c r="B116" s="662" t="s">
        <v>6412</v>
      </c>
      <c r="C116" s="662" t="s">
        <v>6413</v>
      </c>
      <c r="D116" s="669">
        <v>1796500</v>
      </c>
      <c r="E116" s="669" t="s">
        <v>6090</v>
      </c>
      <c r="F116" s="669" t="s">
        <v>6096</v>
      </c>
      <c r="G116" s="669" t="s">
        <v>6096</v>
      </c>
      <c r="H116" s="671">
        <v>0</v>
      </c>
      <c r="I116" s="669">
        <v>0</v>
      </c>
      <c r="J116" s="669">
        <v>0</v>
      </c>
      <c r="K116" s="669">
        <v>8</v>
      </c>
      <c r="L116" s="669">
        <v>22</v>
      </c>
      <c r="M116" s="669" t="s">
        <v>6363</v>
      </c>
      <c r="N116" s="669">
        <v>0</v>
      </c>
      <c r="O116" s="664">
        <v>14</v>
      </c>
      <c r="P116" s="664">
        <v>32</v>
      </c>
      <c r="Q116" s="666">
        <v>46</v>
      </c>
      <c r="R116" s="669">
        <v>0</v>
      </c>
      <c r="S116" s="669">
        <v>30</v>
      </c>
      <c r="T116" s="669">
        <v>32</v>
      </c>
      <c r="U116" s="670">
        <v>45820.041666666664</v>
      </c>
      <c r="V116" s="670">
        <v>45933.208333333336</v>
      </c>
      <c r="W116" s="663">
        <v>0</v>
      </c>
      <c r="X116" s="663">
        <v>0</v>
      </c>
      <c r="Y116" s="663">
        <v>0</v>
      </c>
      <c r="Z116" s="663">
        <v>0</v>
      </c>
      <c r="AA116" s="663">
        <v>0</v>
      </c>
      <c r="AB116" s="663">
        <v>0</v>
      </c>
      <c r="AC116" s="668">
        <v>6</v>
      </c>
      <c r="AD116" s="668">
        <v>17</v>
      </c>
      <c r="AE116" s="668">
        <v>3</v>
      </c>
      <c r="AF116" s="668">
        <v>2</v>
      </c>
      <c r="AG116" s="668">
        <v>2</v>
      </c>
      <c r="AH116" s="663">
        <v>0</v>
      </c>
      <c r="AI116" s="663">
        <v>0</v>
      </c>
      <c r="AJ116" s="663">
        <v>0</v>
      </c>
      <c r="AK116" s="663">
        <v>0</v>
      </c>
      <c r="AL116" s="663">
        <v>0</v>
      </c>
    </row>
    <row r="117" spans="1:38" ht="44" thickBot="1">
      <c r="A117" s="661" t="s">
        <v>6414</v>
      </c>
      <c r="B117" s="662" t="s">
        <v>6415</v>
      </c>
      <c r="C117" s="662" t="s">
        <v>6416</v>
      </c>
      <c r="D117" s="669">
        <v>1798174</v>
      </c>
      <c r="E117" s="669" t="s">
        <v>6090</v>
      </c>
      <c r="F117" s="669" t="s">
        <v>6096</v>
      </c>
      <c r="G117" s="669" t="s">
        <v>6217</v>
      </c>
      <c r="H117" s="671">
        <v>0</v>
      </c>
      <c r="I117" s="669">
        <v>0</v>
      </c>
      <c r="J117" s="669">
        <v>0</v>
      </c>
      <c r="K117" s="669">
        <v>42</v>
      </c>
      <c r="L117" s="669">
        <v>47</v>
      </c>
      <c r="M117" s="669" t="s">
        <v>6363</v>
      </c>
      <c r="N117" s="669">
        <v>0</v>
      </c>
      <c r="O117" s="664">
        <v>5</v>
      </c>
      <c r="P117" s="664">
        <v>9</v>
      </c>
      <c r="Q117" s="666">
        <v>14</v>
      </c>
      <c r="R117" s="667">
        <v>8</v>
      </c>
      <c r="S117" s="669">
        <v>189</v>
      </c>
      <c r="T117" s="669">
        <v>9</v>
      </c>
      <c r="U117" s="670">
        <v>45826.083333333336</v>
      </c>
      <c r="V117" s="670">
        <v>46083.666666666664</v>
      </c>
      <c r="W117" s="663">
        <v>0</v>
      </c>
      <c r="X117" s="663">
        <v>0</v>
      </c>
      <c r="Y117" s="663">
        <v>0</v>
      </c>
      <c r="Z117" s="663">
        <v>0</v>
      </c>
      <c r="AA117" s="663">
        <v>0</v>
      </c>
      <c r="AB117" s="663">
        <v>0</v>
      </c>
      <c r="AC117" s="668">
        <v>16</v>
      </c>
      <c r="AD117" s="668">
        <v>34</v>
      </c>
      <c r="AE117" s="668">
        <v>22</v>
      </c>
      <c r="AF117" s="668">
        <v>14</v>
      </c>
      <c r="AG117" s="668">
        <v>29</v>
      </c>
      <c r="AH117" s="668">
        <v>19</v>
      </c>
      <c r="AI117" s="668">
        <v>21</v>
      </c>
      <c r="AJ117" s="668">
        <v>17</v>
      </c>
      <c r="AK117" s="668">
        <v>16</v>
      </c>
      <c r="AL117" s="668">
        <v>1</v>
      </c>
    </row>
    <row r="118" spans="1:38" ht="44" thickBot="1">
      <c r="A118" s="661" t="s">
        <v>6417</v>
      </c>
      <c r="B118" s="662" t="s">
        <v>6418</v>
      </c>
      <c r="C118" s="662" t="s">
        <v>6419</v>
      </c>
      <c r="D118" s="669">
        <v>1798175</v>
      </c>
      <c r="E118" s="669" t="s">
        <v>6090</v>
      </c>
      <c r="F118" s="669" t="s">
        <v>6096</v>
      </c>
      <c r="G118" s="669" t="s">
        <v>6096</v>
      </c>
      <c r="H118" s="671">
        <v>0</v>
      </c>
      <c r="I118" s="669">
        <v>0</v>
      </c>
      <c r="J118" s="669">
        <v>0</v>
      </c>
      <c r="K118" s="669">
        <v>2</v>
      </c>
      <c r="L118" s="669">
        <v>9</v>
      </c>
      <c r="M118" s="669" t="s">
        <v>6363</v>
      </c>
      <c r="N118" s="669">
        <v>0</v>
      </c>
      <c r="O118" s="664">
        <v>7</v>
      </c>
      <c r="P118" s="664">
        <v>18</v>
      </c>
      <c r="Q118" s="666">
        <v>25</v>
      </c>
      <c r="R118" s="669">
        <v>0</v>
      </c>
      <c r="S118" s="669">
        <v>24</v>
      </c>
      <c r="T118" s="669">
        <v>18</v>
      </c>
      <c r="U118" s="670">
        <v>46008.5</v>
      </c>
      <c r="V118" s="670">
        <v>46078.833333333336</v>
      </c>
      <c r="W118" s="663">
        <v>0</v>
      </c>
      <c r="X118" s="663">
        <v>0</v>
      </c>
      <c r="Y118" s="663">
        <v>0</v>
      </c>
      <c r="Z118" s="663">
        <v>0</v>
      </c>
      <c r="AA118" s="663">
        <v>0</v>
      </c>
      <c r="AB118" s="663">
        <v>0</v>
      </c>
      <c r="AC118" s="663">
        <v>0</v>
      </c>
      <c r="AD118" s="663">
        <v>0</v>
      </c>
      <c r="AE118" s="663">
        <v>0</v>
      </c>
      <c r="AF118" s="663">
        <v>0</v>
      </c>
      <c r="AG118" s="663">
        <v>0</v>
      </c>
      <c r="AH118" s="663">
        <v>0</v>
      </c>
      <c r="AI118" s="668">
        <v>3</v>
      </c>
      <c r="AJ118" s="668">
        <v>6</v>
      </c>
      <c r="AK118" s="668">
        <v>15</v>
      </c>
      <c r="AL118" s="663">
        <v>0</v>
      </c>
    </row>
    <row r="119" spans="1:38" ht="30" thickBot="1">
      <c r="A119" s="661" t="s">
        <v>6420</v>
      </c>
      <c r="B119" s="662" t="s">
        <v>6421</v>
      </c>
      <c r="C119" s="662" t="s">
        <v>6422</v>
      </c>
      <c r="D119" s="669">
        <v>1798176</v>
      </c>
      <c r="E119" s="669" t="s">
        <v>6090</v>
      </c>
      <c r="F119" s="669" t="s">
        <v>6096</v>
      </c>
      <c r="G119" s="669" t="s">
        <v>6117</v>
      </c>
      <c r="H119" s="671">
        <v>0</v>
      </c>
      <c r="I119" s="669">
        <v>0</v>
      </c>
      <c r="J119" s="669">
        <v>0</v>
      </c>
      <c r="K119" s="669">
        <v>4</v>
      </c>
      <c r="L119" s="669">
        <v>1</v>
      </c>
      <c r="M119" s="669" t="s">
        <v>6363</v>
      </c>
      <c r="N119" s="669">
        <v>0</v>
      </c>
      <c r="O119" s="664">
        <v>9</v>
      </c>
      <c r="P119" s="664">
        <v>28</v>
      </c>
      <c r="Q119" s="666">
        <v>37</v>
      </c>
      <c r="R119" s="667">
        <v>15</v>
      </c>
      <c r="S119" s="669">
        <v>134</v>
      </c>
      <c r="T119" s="669">
        <v>31</v>
      </c>
      <c r="U119" s="670">
        <v>45828.041666666664</v>
      </c>
      <c r="V119" s="670">
        <v>46069.416666666664</v>
      </c>
      <c r="W119" s="663">
        <v>0</v>
      </c>
      <c r="X119" s="663">
        <v>0</v>
      </c>
      <c r="Y119" s="663">
        <v>0</v>
      </c>
      <c r="Z119" s="663">
        <v>0</v>
      </c>
      <c r="AA119" s="663">
        <v>0</v>
      </c>
      <c r="AB119" s="663">
        <v>0</v>
      </c>
      <c r="AC119" s="668">
        <v>7</v>
      </c>
      <c r="AD119" s="668">
        <v>24</v>
      </c>
      <c r="AE119" s="668">
        <v>19</v>
      </c>
      <c r="AF119" s="668">
        <v>12</v>
      </c>
      <c r="AG119" s="668">
        <v>21</v>
      </c>
      <c r="AH119" s="668">
        <v>13</v>
      </c>
      <c r="AI119" s="668">
        <v>15</v>
      </c>
      <c r="AJ119" s="668">
        <v>13</v>
      </c>
      <c r="AK119" s="668">
        <v>10</v>
      </c>
      <c r="AL119" s="663">
        <v>0</v>
      </c>
    </row>
    <row r="120" spans="1:38" ht="30" thickBot="1">
      <c r="A120" s="661" t="s">
        <v>6229</v>
      </c>
      <c r="B120" s="662" t="s">
        <v>6423</v>
      </c>
      <c r="C120" s="662" t="s">
        <v>6424</v>
      </c>
      <c r="D120" s="669">
        <v>1799500</v>
      </c>
      <c r="E120" s="669" t="s">
        <v>6090</v>
      </c>
      <c r="F120" s="669" t="s">
        <v>6091</v>
      </c>
      <c r="G120" s="669" t="s">
        <v>6092</v>
      </c>
      <c r="H120" s="671">
        <v>0</v>
      </c>
      <c r="I120" s="669">
        <v>0</v>
      </c>
      <c r="J120" s="669">
        <v>0</v>
      </c>
      <c r="K120" s="669">
        <v>19</v>
      </c>
      <c r="L120" s="669">
        <v>24</v>
      </c>
      <c r="M120" s="669" t="s">
        <v>6363</v>
      </c>
      <c r="N120" s="669">
        <v>0</v>
      </c>
      <c r="O120" s="664">
        <v>5</v>
      </c>
      <c r="P120" s="664">
        <v>6</v>
      </c>
      <c r="Q120" s="666">
        <v>11</v>
      </c>
      <c r="R120" s="667">
        <v>5</v>
      </c>
      <c r="S120" s="669">
        <v>231</v>
      </c>
      <c r="T120" s="669">
        <v>6</v>
      </c>
      <c r="U120" s="670">
        <v>45850.291666666664</v>
      </c>
      <c r="V120" s="670">
        <v>46083.5</v>
      </c>
      <c r="W120" s="663">
        <v>0</v>
      </c>
      <c r="X120" s="663">
        <v>0</v>
      </c>
      <c r="Y120" s="663">
        <v>0</v>
      </c>
      <c r="Z120" s="663">
        <v>0</v>
      </c>
      <c r="AA120" s="663">
        <v>0</v>
      </c>
      <c r="AB120" s="663">
        <v>0</v>
      </c>
      <c r="AC120" s="663">
        <v>0</v>
      </c>
      <c r="AD120" s="668">
        <v>18</v>
      </c>
      <c r="AE120" s="668">
        <v>42</v>
      </c>
      <c r="AF120" s="668">
        <v>42</v>
      </c>
      <c r="AG120" s="668">
        <v>42</v>
      </c>
      <c r="AH120" s="668">
        <v>11</v>
      </c>
      <c r="AI120" s="668">
        <v>33</v>
      </c>
      <c r="AJ120" s="668">
        <v>22</v>
      </c>
      <c r="AK120" s="668">
        <v>20</v>
      </c>
      <c r="AL120" s="668">
        <v>1</v>
      </c>
    </row>
    <row r="121" spans="1:38" ht="30" thickBot="1">
      <c r="A121" s="661" t="s">
        <v>6425</v>
      </c>
      <c r="B121" s="662" t="s">
        <v>6426</v>
      </c>
      <c r="C121" s="662" t="s">
        <v>6427</v>
      </c>
      <c r="D121" s="669">
        <v>1800751</v>
      </c>
      <c r="E121" s="669" t="s">
        <v>6090</v>
      </c>
      <c r="F121" s="669" t="s">
        <v>6101</v>
      </c>
      <c r="G121" s="669" t="s">
        <v>6147</v>
      </c>
      <c r="H121" s="671">
        <v>0</v>
      </c>
      <c r="I121" s="669">
        <v>0</v>
      </c>
      <c r="J121" s="669">
        <v>0</v>
      </c>
      <c r="K121" s="669">
        <v>0</v>
      </c>
      <c r="L121" s="669">
        <v>2</v>
      </c>
      <c r="M121" s="669" t="s">
        <v>6363</v>
      </c>
      <c r="N121" s="669">
        <v>0</v>
      </c>
      <c r="O121" s="664">
        <v>2</v>
      </c>
      <c r="P121" s="664">
        <v>3</v>
      </c>
      <c r="Q121" s="666">
        <v>5</v>
      </c>
      <c r="R121" s="669">
        <v>0</v>
      </c>
      <c r="S121" s="669">
        <v>44</v>
      </c>
      <c r="T121" s="669">
        <v>3</v>
      </c>
      <c r="U121" s="670">
        <v>45833.458333333336</v>
      </c>
      <c r="V121" s="670">
        <v>45911.291666666664</v>
      </c>
      <c r="W121" s="663">
        <v>0</v>
      </c>
      <c r="X121" s="663">
        <v>0</v>
      </c>
      <c r="Y121" s="663">
        <v>0</v>
      </c>
      <c r="Z121" s="663">
        <v>0</v>
      </c>
      <c r="AA121" s="663">
        <v>0</v>
      </c>
      <c r="AB121" s="663">
        <v>0</v>
      </c>
      <c r="AC121" s="668">
        <v>5</v>
      </c>
      <c r="AD121" s="668">
        <v>22</v>
      </c>
      <c r="AE121" s="668">
        <v>5</v>
      </c>
      <c r="AF121" s="668">
        <v>12</v>
      </c>
      <c r="AG121" s="663">
        <v>0</v>
      </c>
      <c r="AH121" s="663">
        <v>0</v>
      </c>
      <c r="AI121" s="663">
        <v>0</v>
      </c>
      <c r="AJ121" s="663">
        <v>0</v>
      </c>
      <c r="AK121" s="663">
        <v>0</v>
      </c>
      <c r="AL121" s="663">
        <v>0</v>
      </c>
    </row>
    <row r="122" spans="1:38" ht="30" thickBot="1">
      <c r="A122" s="661" t="s">
        <v>6354</v>
      </c>
      <c r="B122" s="662" t="s">
        <v>6428</v>
      </c>
      <c r="C122" s="662" t="s">
        <v>6429</v>
      </c>
      <c r="D122" s="669">
        <v>1801517</v>
      </c>
      <c r="E122" s="669" t="s">
        <v>6090</v>
      </c>
      <c r="F122" s="669" t="s">
        <v>6091</v>
      </c>
      <c r="G122" s="669" t="s">
        <v>6091</v>
      </c>
      <c r="H122" s="671">
        <v>0</v>
      </c>
      <c r="I122" s="669">
        <v>0</v>
      </c>
      <c r="J122" s="669">
        <v>0</v>
      </c>
      <c r="K122" s="669">
        <v>1</v>
      </c>
      <c r="L122" s="669">
        <v>5</v>
      </c>
      <c r="M122" s="669" t="s">
        <v>6363</v>
      </c>
      <c r="N122" s="669">
        <v>0</v>
      </c>
      <c r="O122" s="664">
        <v>4</v>
      </c>
      <c r="P122" s="664">
        <v>14</v>
      </c>
      <c r="Q122" s="666">
        <v>18</v>
      </c>
      <c r="R122" s="667">
        <v>6</v>
      </c>
      <c r="S122" s="669">
        <v>43</v>
      </c>
      <c r="T122" s="669">
        <v>14</v>
      </c>
      <c r="U122" s="670">
        <v>45842.666666666664</v>
      </c>
      <c r="V122" s="670">
        <v>46070.458333333336</v>
      </c>
      <c r="W122" s="663">
        <v>0</v>
      </c>
      <c r="X122" s="663">
        <v>0</v>
      </c>
      <c r="Y122" s="663">
        <v>0</v>
      </c>
      <c r="Z122" s="663">
        <v>0</v>
      </c>
      <c r="AA122" s="663">
        <v>0</v>
      </c>
      <c r="AB122" s="663">
        <v>0</v>
      </c>
      <c r="AC122" s="663">
        <v>0</v>
      </c>
      <c r="AD122" s="668">
        <v>4</v>
      </c>
      <c r="AE122" s="668">
        <v>8</v>
      </c>
      <c r="AF122" s="668">
        <v>11</v>
      </c>
      <c r="AG122" s="668">
        <v>3</v>
      </c>
      <c r="AH122" s="668">
        <v>11</v>
      </c>
      <c r="AI122" s="663">
        <v>0</v>
      </c>
      <c r="AJ122" s="663">
        <v>0</v>
      </c>
      <c r="AK122" s="668">
        <v>6</v>
      </c>
      <c r="AL122" s="663">
        <v>0</v>
      </c>
    </row>
    <row r="123" spans="1:38" ht="30" thickBot="1">
      <c r="A123" s="661" t="s">
        <v>6430</v>
      </c>
      <c r="B123" s="662" t="s">
        <v>6431</v>
      </c>
      <c r="C123" s="662" t="s">
        <v>6432</v>
      </c>
      <c r="D123" s="669">
        <v>1801519</v>
      </c>
      <c r="E123" s="669" t="s">
        <v>6090</v>
      </c>
      <c r="F123" s="669" t="s">
        <v>6096</v>
      </c>
      <c r="G123" s="669" t="s">
        <v>6096</v>
      </c>
      <c r="H123" s="671">
        <v>0</v>
      </c>
      <c r="I123" s="669">
        <v>0</v>
      </c>
      <c r="J123" s="669">
        <v>0</v>
      </c>
      <c r="K123" s="669">
        <v>0</v>
      </c>
      <c r="L123" s="669">
        <v>1</v>
      </c>
      <c r="M123" s="669" t="s">
        <v>6363</v>
      </c>
      <c r="N123" s="669">
        <v>0</v>
      </c>
      <c r="O123" s="664">
        <v>1</v>
      </c>
      <c r="P123" s="664">
        <v>2</v>
      </c>
      <c r="Q123" s="666">
        <v>3</v>
      </c>
      <c r="R123" s="669">
        <v>0</v>
      </c>
      <c r="S123" s="669">
        <v>6</v>
      </c>
      <c r="T123" s="669">
        <v>2</v>
      </c>
      <c r="U123" s="670">
        <v>45834.791666666664</v>
      </c>
      <c r="V123" s="670">
        <v>45847.041666666664</v>
      </c>
      <c r="W123" s="663">
        <v>0</v>
      </c>
      <c r="X123" s="663">
        <v>0</v>
      </c>
      <c r="Y123" s="663">
        <v>0</v>
      </c>
      <c r="Z123" s="663">
        <v>0</v>
      </c>
      <c r="AA123" s="663">
        <v>0</v>
      </c>
      <c r="AB123" s="663">
        <v>0</v>
      </c>
      <c r="AC123" s="668">
        <v>3</v>
      </c>
      <c r="AD123" s="668">
        <v>3</v>
      </c>
      <c r="AE123" s="663">
        <v>0</v>
      </c>
      <c r="AF123" s="663">
        <v>0</v>
      </c>
      <c r="AG123" s="663">
        <v>0</v>
      </c>
      <c r="AH123" s="663">
        <v>0</v>
      </c>
      <c r="AI123" s="663">
        <v>0</v>
      </c>
      <c r="AJ123" s="663">
        <v>0</v>
      </c>
      <c r="AK123" s="663">
        <v>0</v>
      </c>
      <c r="AL123" s="663">
        <v>0</v>
      </c>
    </row>
    <row r="124" spans="1:38" ht="30" thickBot="1">
      <c r="A124" s="661" t="s">
        <v>6433</v>
      </c>
      <c r="B124" s="662" t="s">
        <v>6434</v>
      </c>
      <c r="C124" s="662" t="s">
        <v>6435</v>
      </c>
      <c r="D124" s="669">
        <v>1805027</v>
      </c>
      <c r="E124" s="669" t="s">
        <v>6090</v>
      </c>
      <c r="F124" s="669" t="s">
        <v>6101</v>
      </c>
      <c r="G124" s="669" t="s">
        <v>6109</v>
      </c>
      <c r="H124" s="671">
        <v>0</v>
      </c>
      <c r="I124" s="669">
        <v>0</v>
      </c>
      <c r="J124" s="669">
        <v>0</v>
      </c>
      <c r="K124" s="669">
        <v>38</v>
      </c>
      <c r="L124" s="669">
        <v>59</v>
      </c>
      <c r="M124" s="669" t="s">
        <v>6363</v>
      </c>
      <c r="N124" s="669">
        <v>0</v>
      </c>
      <c r="O124" s="664">
        <v>21</v>
      </c>
      <c r="P124" s="664">
        <v>7</v>
      </c>
      <c r="Q124" s="666">
        <v>28</v>
      </c>
      <c r="R124" s="669">
        <v>0</v>
      </c>
      <c r="S124" s="669">
        <v>63</v>
      </c>
      <c r="T124" s="669">
        <v>7</v>
      </c>
      <c r="U124" s="670">
        <v>45866.625</v>
      </c>
      <c r="V124" s="670">
        <v>46010.583333333336</v>
      </c>
      <c r="W124" s="663">
        <v>0</v>
      </c>
      <c r="X124" s="663">
        <v>0</v>
      </c>
      <c r="Y124" s="663">
        <v>0</v>
      </c>
      <c r="Z124" s="663">
        <v>0</v>
      </c>
      <c r="AA124" s="663">
        <v>0</v>
      </c>
      <c r="AB124" s="663">
        <v>0</v>
      </c>
      <c r="AC124" s="663">
        <v>0</v>
      </c>
      <c r="AD124" s="668">
        <v>2</v>
      </c>
      <c r="AE124" s="668">
        <v>15</v>
      </c>
      <c r="AF124" s="668">
        <v>14</v>
      </c>
      <c r="AG124" s="668">
        <v>12</v>
      </c>
      <c r="AH124" s="668">
        <v>12</v>
      </c>
      <c r="AI124" s="668">
        <v>8</v>
      </c>
      <c r="AJ124" s="663">
        <v>0</v>
      </c>
      <c r="AK124" s="663">
        <v>0</v>
      </c>
      <c r="AL124" s="663">
        <v>0</v>
      </c>
    </row>
    <row r="125" spans="1:38" ht="30" thickBot="1">
      <c r="A125" s="661" t="s">
        <v>6436</v>
      </c>
      <c r="B125" s="662" t="s">
        <v>6437</v>
      </c>
      <c r="C125" s="662" t="s">
        <v>6438</v>
      </c>
      <c r="D125" s="669">
        <v>1806740</v>
      </c>
      <c r="E125" s="669" t="s">
        <v>6439</v>
      </c>
      <c r="F125" s="669" t="s">
        <v>6097</v>
      </c>
      <c r="G125" s="669" t="s">
        <v>6097</v>
      </c>
      <c r="H125" s="671">
        <v>0</v>
      </c>
      <c r="I125" s="669">
        <v>0</v>
      </c>
      <c r="J125" s="669">
        <v>0</v>
      </c>
      <c r="K125" s="669">
        <v>5</v>
      </c>
      <c r="L125" s="669">
        <v>4</v>
      </c>
      <c r="M125" s="669" t="s">
        <v>6363</v>
      </c>
      <c r="N125" s="669">
        <v>0</v>
      </c>
      <c r="O125" s="664">
        <v>0</v>
      </c>
      <c r="P125" s="664">
        <v>6</v>
      </c>
      <c r="Q125" s="666">
        <v>6</v>
      </c>
      <c r="R125" s="669">
        <v>0</v>
      </c>
      <c r="S125" s="669">
        <v>42</v>
      </c>
      <c r="T125" s="669">
        <v>7</v>
      </c>
      <c r="U125" s="670">
        <v>45852.875</v>
      </c>
      <c r="V125" s="670">
        <v>45996.5</v>
      </c>
      <c r="W125" s="663">
        <v>0</v>
      </c>
      <c r="X125" s="663">
        <v>0</v>
      </c>
      <c r="Y125" s="663">
        <v>0</v>
      </c>
      <c r="Z125" s="663">
        <v>0</v>
      </c>
      <c r="AA125" s="663">
        <v>0</v>
      </c>
      <c r="AB125" s="663">
        <v>0</v>
      </c>
      <c r="AC125" s="663">
        <v>0</v>
      </c>
      <c r="AD125" s="668">
        <v>4</v>
      </c>
      <c r="AE125" s="668">
        <v>7</v>
      </c>
      <c r="AF125" s="668">
        <v>5</v>
      </c>
      <c r="AG125" s="668">
        <v>14</v>
      </c>
      <c r="AH125" s="668">
        <v>10</v>
      </c>
      <c r="AI125" s="668">
        <v>2</v>
      </c>
      <c r="AJ125" s="663">
        <v>0</v>
      </c>
      <c r="AK125" s="663">
        <v>0</v>
      </c>
      <c r="AL125" s="663">
        <v>0</v>
      </c>
    </row>
    <row r="126" spans="1:38" ht="30" thickBot="1">
      <c r="A126" s="661" t="s">
        <v>6440</v>
      </c>
      <c r="B126" s="662" t="s">
        <v>6441</v>
      </c>
      <c r="C126" s="662" t="s">
        <v>6442</v>
      </c>
      <c r="D126" s="669">
        <v>1807119</v>
      </c>
      <c r="E126" s="669" t="s">
        <v>6090</v>
      </c>
      <c r="F126" s="669" t="s">
        <v>6091</v>
      </c>
      <c r="G126" s="669" t="s">
        <v>6091</v>
      </c>
      <c r="H126" s="671">
        <v>0</v>
      </c>
      <c r="I126" s="669">
        <v>0</v>
      </c>
      <c r="J126" s="669">
        <v>0</v>
      </c>
      <c r="K126" s="669">
        <v>0</v>
      </c>
      <c r="L126" s="669">
        <v>6</v>
      </c>
      <c r="M126" s="669" t="s">
        <v>6363</v>
      </c>
      <c r="N126" s="669">
        <v>0</v>
      </c>
      <c r="O126" s="664">
        <v>6</v>
      </c>
      <c r="P126" s="664">
        <v>3</v>
      </c>
      <c r="Q126" s="666">
        <v>9</v>
      </c>
      <c r="R126" s="669">
        <v>0</v>
      </c>
      <c r="S126" s="669">
        <v>4</v>
      </c>
      <c r="T126" s="669">
        <v>3</v>
      </c>
      <c r="U126" s="670">
        <v>45866.625</v>
      </c>
      <c r="V126" s="670">
        <v>45872.791666666664</v>
      </c>
      <c r="W126" s="663">
        <v>0</v>
      </c>
      <c r="X126" s="663">
        <v>0</v>
      </c>
      <c r="Y126" s="663">
        <v>0</v>
      </c>
      <c r="Z126" s="663">
        <v>0</v>
      </c>
      <c r="AA126" s="663">
        <v>0</v>
      </c>
      <c r="AB126" s="663">
        <v>0</v>
      </c>
      <c r="AC126" s="663">
        <v>0</v>
      </c>
      <c r="AD126" s="668">
        <v>1</v>
      </c>
      <c r="AE126" s="668">
        <v>3</v>
      </c>
      <c r="AF126" s="663">
        <v>0</v>
      </c>
      <c r="AG126" s="663">
        <v>0</v>
      </c>
      <c r="AH126" s="663">
        <v>0</v>
      </c>
      <c r="AI126" s="663">
        <v>0</v>
      </c>
      <c r="AJ126" s="663">
        <v>0</v>
      </c>
      <c r="AK126" s="663">
        <v>0</v>
      </c>
      <c r="AL126" s="663">
        <v>0</v>
      </c>
    </row>
    <row r="127" spans="1:38" ht="30" thickBot="1">
      <c r="A127" s="661" t="s">
        <v>6443</v>
      </c>
      <c r="B127" s="662" t="s">
        <v>6444</v>
      </c>
      <c r="C127" s="662" t="s">
        <v>6445</v>
      </c>
      <c r="D127" s="669">
        <v>1807120</v>
      </c>
      <c r="E127" s="669" t="s">
        <v>6090</v>
      </c>
      <c r="F127" s="669" t="s">
        <v>6096</v>
      </c>
      <c r="G127" s="669" t="s">
        <v>6096</v>
      </c>
      <c r="H127" s="671">
        <v>0</v>
      </c>
      <c r="I127" s="669">
        <v>0</v>
      </c>
      <c r="J127" s="669">
        <v>0</v>
      </c>
      <c r="K127" s="669">
        <v>0</v>
      </c>
      <c r="L127" s="669">
        <v>7</v>
      </c>
      <c r="M127" s="669" t="s">
        <v>6363</v>
      </c>
      <c r="N127" s="669">
        <v>0</v>
      </c>
      <c r="O127" s="664">
        <v>7</v>
      </c>
      <c r="P127" s="664">
        <v>3</v>
      </c>
      <c r="Q127" s="666">
        <v>10</v>
      </c>
      <c r="R127" s="669">
        <v>0</v>
      </c>
      <c r="S127" s="669">
        <v>13</v>
      </c>
      <c r="T127" s="669">
        <v>3</v>
      </c>
      <c r="U127" s="670">
        <v>45853</v>
      </c>
      <c r="V127" s="670">
        <v>45926.875</v>
      </c>
      <c r="W127" s="663">
        <v>0</v>
      </c>
      <c r="X127" s="663">
        <v>0</v>
      </c>
      <c r="Y127" s="663">
        <v>0</v>
      </c>
      <c r="Z127" s="663">
        <v>0</v>
      </c>
      <c r="AA127" s="663">
        <v>0</v>
      </c>
      <c r="AB127" s="663">
        <v>0</v>
      </c>
      <c r="AC127" s="663">
        <v>0</v>
      </c>
      <c r="AD127" s="668">
        <v>12</v>
      </c>
      <c r="AE127" s="663">
        <v>0</v>
      </c>
      <c r="AF127" s="668">
        <v>1</v>
      </c>
      <c r="AG127" s="663">
        <v>0</v>
      </c>
      <c r="AH127" s="663">
        <v>0</v>
      </c>
      <c r="AI127" s="663">
        <v>0</v>
      </c>
      <c r="AJ127" s="663">
        <v>0</v>
      </c>
      <c r="AK127" s="663">
        <v>0</v>
      </c>
      <c r="AL127" s="663">
        <v>0</v>
      </c>
    </row>
    <row r="128" spans="1:38" ht="30" thickBot="1">
      <c r="A128" s="661" t="s">
        <v>6446</v>
      </c>
      <c r="B128" s="662" t="s">
        <v>6447</v>
      </c>
      <c r="C128" s="662" t="s">
        <v>6448</v>
      </c>
      <c r="D128" s="669">
        <v>1810532</v>
      </c>
      <c r="E128" s="669" t="s">
        <v>6090</v>
      </c>
      <c r="F128" s="669" t="s">
        <v>6096</v>
      </c>
      <c r="G128" s="669" t="s">
        <v>6097</v>
      </c>
      <c r="H128" s="671">
        <v>0</v>
      </c>
      <c r="I128" s="669">
        <v>0</v>
      </c>
      <c r="J128" s="669">
        <v>0</v>
      </c>
      <c r="K128" s="669">
        <v>2</v>
      </c>
      <c r="L128" s="669">
        <v>8</v>
      </c>
      <c r="M128" s="669" t="s">
        <v>6363</v>
      </c>
      <c r="N128" s="669">
        <v>0</v>
      </c>
      <c r="O128" s="664">
        <v>6</v>
      </c>
      <c r="P128" s="664">
        <v>12</v>
      </c>
      <c r="Q128" s="666">
        <v>18</v>
      </c>
      <c r="R128" s="667">
        <v>4</v>
      </c>
      <c r="S128" s="669">
        <v>48</v>
      </c>
      <c r="T128" s="669">
        <v>12</v>
      </c>
      <c r="U128" s="670">
        <v>45904.625</v>
      </c>
      <c r="V128" s="670">
        <v>46084.583333333336</v>
      </c>
      <c r="W128" s="663">
        <v>0</v>
      </c>
      <c r="X128" s="663">
        <v>0</v>
      </c>
      <c r="Y128" s="663">
        <v>0</v>
      </c>
      <c r="Z128" s="663">
        <v>0</v>
      </c>
      <c r="AA128" s="663">
        <v>0</v>
      </c>
      <c r="AB128" s="663">
        <v>0</v>
      </c>
      <c r="AC128" s="663">
        <v>0</v>
      </c>
      <c r="AD128" s="663">
        <v>0</v>
      </c>
      <c r="AE128" s="663">
        <v>0</v>
      </c>
      <c r="AF128" s="668">
        <v>8</v>
      </c>
      <c r="AG128" s="668">
        <v>22</v>
      </c>
      <c r="AH128" s="668">
        <v>10</v>
      </c>
      <c r="AI128" s="668">
        <v>5</v>
      </c>
      <c r="AJ128" s="663">
        <v>0</v>
      </c>
      <c r="AK128" s="668">
        <v>1</v>
      </c>
      <c r="AL128" s="668">
        <v>2</v>
      </c>
    </row>
    <row r="129" spans="1:38" ht="30" thickBot="1">
      <c r="A129" s="661" t="s">
        <v>6449</v>
      </c>
      <c r="B129" s="662" t="s">
        <v>6450</v>
      </c>
      <c r="C129" s="662" t="s">
        <v>6451</v>
      </c>
      <c r="D129" s="669">
        <v>1812961</v>
      </c>
      <c r="E129" s="669" t="s">
        <v>6090</v>
      </c>
      <c r="F129" s="669" t="s">
        <v>6097</v>
      </c>
      <c r="G129" s="669" t="s">
        <v>6091</v>
      </c>
      <c r="H129" s="671">
        <v>0</v>
      </c>
      <c r="I129" s="669">
        <v>0</v>
      </c>
      <c r="J129" s="669">
        <v>0</v>
      </c>
      <c r="K129" s="669">
        <v>4</v>
      </c>
      <c r="L129" s="669">
        <v>14</v>
      </c>
      <c r="M129" s="669" t="s">
        <v>6363</v>
      </c>
      <c r="N129" s="669">
        <v>0</v>
      </c>
      <c r="O129" s="664">
        <v>10</v>
      </c>
      <c r="P129" s="664">
        <v>1</v>
      </c>
      <c r="Q129" s="666">
        <v>11</v>
      </c>
      <c r="R129" s="667">
        <v>3</v>
      </c>
      <c r="S129" s="669">
        <v>63</v>
      </c>
      <c r="T129" s="669">
        <v>1</v>
      </c>
      <c r="U129" s="670">
        <v>45871.958333333336</v>
      </c>
      <c r="V129" s="670">
        <v>46079.416666666664</v>
      </c>
      <c r="W129" s="663">
        <v>0</v>
      </c>
      <c r="X129" s="663">
        <v>0</v>
      </c>
      <c r="Y129" s="663">
        <v>0</v>
      </c>
      <c r="Z129" s="663">
        <v>0</v>
      </c>
      <c r="AA129" s="663">
        <v>0</v>
      </c>
      <c r="AB129" s="663">
        <v>0</v>
      </c>
      <c r="AC129" s="663">
        <v>0</v>
      </c>
      <c r="AD129" s="663">
        <v>0</v>
      </c>
      <c r="AE129" s="668">
        <v>21</v>
      </c>
      <c r="AF129" s="668">
        <v>10</v>
      </c>
      <c r="AG129" s="668">
        <v>8</v>
      </c>
      <c r="AH129" s="668">
        <v>7</v>
      </c>
      <c r="AI129" s="668">
        <v>5</v>
      </c>
      <c r="AJ129" s="668">
        <v>4</v>
      </c>
      <c r="AK129" s="668">
        <v>8</v>
      </c>
      <c r="AL129" s="663">
        <v>0</v>
      </c>
    </row>
    <row r="130" spans="1:38" ht="30" thickBot="1">
      <c r="A130" s="661" t="s">
        <v>6452</v>
      </c>
      <c r="B130" s="662" t="s">
        <v>6453</v>
      </c>
      <c r="C130" s="662" t="s">
        <v>6454</v>
      </c>
      <c r="D130" s="669">
        <v>1812962</v>
      </c>
      <c r="E130" s="669" t="s">
        <v>6090</v>
      </c>
      <c r="F130" s="669" t="s">
        <v>6096</v>
      </c>
      <c r="G130" s="669" t="s">
        <v>6117</v>
      </c>
      <c r="H130" s="671">
        <v>0</v>
      </c>
      <c r="I130" s="669">
        <v>0</v>
      </c>
      <c r="J130" s="669">
        <v>0</v>
      </c>
      <c r="K130" s="669">
        <v>116</v>
      </c>
      <c r="L130" s="669">
        <v>113</v>
      </c>
      <c r="M130" s="669" t="s">
        <v>6363</v>
      </c>
      <c r="N130" s="669">
        <v>0</v>
      </c>
      <c r="O130" s="664">
        <v>0</v>
      </c>
      <c r="P130" s="664">
        <v>11</v>
      </c>
      <c r="Q130" s="666">
        <v>11</v>
      </c>
      <c r="R130" s="669">
        <v>0</v>
      </c>
      <c r="S130" s="669">
        <v>164</v>
      </c>
      <c r="T130" s="669">
        <v>14</v>
      </c>
      <c r="U130" s="670">
        <v>45870.833333333336</v>
      </c>
      <c r="V130" s="670">
        <v>46062.416666666664</v>
      </c>
      <c r="W130" s="663">
        <v>0</v>
      </c>
      <c r="X130" s="663">
        <v>0</v>
      </c>
      <c r="Y130" s="663">
        <v>0</v>
      </c>
      <c r="Z130" s="663">
        <v>0</v>
      </c>
      <c r="AA130" s="663">
        <v>0</v>
      </c>
      <c r="AB130" s="663">
        <v>0</v>
      </c>
      <c r="AC130" s="663">
        <v>0</v>
      </c>
      <c r="AD130" s="663">
        <v>0</v>
      </c>
      <c r="AE130" s="668">
        <v>12</v>
      </c>
      <c r="AF130" s="668">
        <v>51</v>
      </c>
      <c r="AG130" s="668">
        <v>7</v>
      </c>
      <c r="AH130" s="668">
        <v>64</v>
      </c>
      <c r="AI130" s="668">
        <v>1</v>
      </c>
      <c r="AJ130" s="668">
        <v>28</v>
      </c>
      <c r="AK130" s="668">
        <v>1</v>
      </c>
      <c r="AL130" s="663">
        <v>0</v>
      </c>
    </row>
    <row r="131" spans="1:38" ht="44" thickBot="1">
      <c r="A131" s="661" t="s">
        <v>6455</v>
      </c>
      <c r="B131" s="662" t="s">
        <v>6456</v>
      </c>
      <c r="C131" s="662" t="s">
        <v>6457</v>
      </c>
      <c r="D131" s="669">
        <v>1813901</v>
      </c>
      <c r="E131" s="669" t="s">
        <v>6090</v>
      </c>
      <c r="F131" s="669" t="s">
        <v>6101</v>
      </c>
      <c r="G131" s="669" t="s">
        <v>6147</v>
      </c>
      <c r="H131" s="671">
        <v>0</v>
      </c>
      <c r="I131" s="669">
        <v>0</v>
      </c>
      <c r="J131" s="669">
        <v>0</v>
      </c>
      <c r="K131" s="669">
        <v>12</v>
      </c>
      <c r="L131" s="669">
        <v>18</v>
      </c>
      <c r="M131" s="669" t="s">
        <v>6363</v>
      </c>
      <c r="N131" s="669">
        <v>0</v>
      </c>
      <c r="O131" s="664">
        <v>6</v>
      </c>
      <c r="P131" s="664">
        <v>21</v>
      </c>
      <c r="Q131" s="666">
        <v>27</v>
      </c>
      <c r="R131" s="669">
        <v>0</v>
      </c>
      <c r="S131" s="669">
        <v>121</v>
      </c>
      <c r="T131" s="669">
        <v>21</v>
      </c>
      <c r="U131" s="670">
        <v>45892.25</v>
      </c>
      <c r="V131" s="670">
        <v>46075.75</v>
      </c>
      <c r="W131" s="663">
        <v>0</v>
      </c>
      <c r="X131" s="663">
        <v>0</v>
      </c>
      <c r="Y131" s="663">
        <v>0</v>
      </c>
      <c r="Z131" s="663">
        <v>0</v>
      </c>
      <c r="AA131" s="663">
        <v>0</v>
      </c>
      <c r="AB131" s="663">
        <v>0</v>
      </c>
      <c r="AC131" s="663">
        <v>0</v>
      </c>
      <c r="AD131" s="663">
        <v>0</v>
      </c>
      <c r="AE131" s="668">
        <v>4</v>
      </c>
      <c r="AF131" s="668">
        <v>38</v>
      </c>
      <c r="AG131" s="668">
        <v>14</v>
      </c>
      <c r="AH131" s="668">
        <v>31</v>
      </c>
      <c r="AI131" s="668">
        <v>16</v>
      </c>
      <c r="AJ131" s="668">
        <v>9</v>
      </c>
      <c r="AK131" s="668">
        <v>9</v>
      </c>
      <c r="AL131" s="663">
        <v>0</v>
      </c>
    </row>
    <row r="132" spans="1:38" ht="30" thickBot="1">
      <c r="A132" s="661" t="s">
        <v>6458</v>
      </c>
      <c r="B132" s="662" t="s">
        <v>6459</v>
      </c>
      <c r="C132" s="662" t="s">
        <v>6460</v>
      </c>
      <c r="D132" s="669">
        <v>1813904</v>
      </c>
      <c r="E132" s="669" t="s">
        <v>6461</v>
      </c>
      <c r="F132" s="669" t="s">
        <v>6096</v>
      </c>
      <c r="G132" s="669" t="s">
        <v>6096</v>
      </c>
      <c r="H132" s="671">
        <v>0</v>
      </c>
      <c r="I132" s="669">
        <v>0</v>
      </c>
      <c r="J132" s="669">
        <v>0</v>
      </c>
      <c r="K132" s="669">
        <v>1</v>
      </c>
      <c r="L132" s="669">
        <v>2</v>
      </c>
      <c r="M132" s="669" t="s">
        <v>6363</v>
      </c>
      <c r="N132" s="669">
        <v>0</v>
      </c>
      <c r="O132" s="664">
        <v>1</v>
      </c>
      <c r="P132" s="664">
        <v>3</v>
      </c>
      <c r="Q132" s="666">
        <v>4</v>
      </c>
      <c r="R132" s="669">
        <v>0</v>
      </c>
      <c r="S132" s="669">
        <v>6</v>
      </c>
      <c r="T132" s="669">
        <v>3</v>
      </c>
      <c r="U132" s="670">
        <v>45883.875</v>
      </c>
      <c r="V132" s="670">
        <v>45989.291666666664</v>
      </c>
      <c r="W132" s="663">
        <v>0</v>
      </c>
      <c r="X132" s="663">
        <v>0</v>
      </c>
      <c r="Y132" s="663">
        <v>0</v>
      </c>
      <c r="Z132" s="663">
        <v>0</v>
      </c>
      <c r="AA132" s="663">
        <v>0</v>
      </c>
      <c r="AB132" s="663">
        <v>0</v>
      </c>
      <c r="AC132" s="663">
        <v>0</v>
      </c>
      <c r="AD132" s="663">
        <v>0</v>
      </c>
      <c r="AE132" s="668">
        <v>2</v>
      </c>
      <c r="AF132" s="668">
        <v>1</v>
      </c>
      <c r="AG132" s="668">
        <v>2</v>
      </c>
      <c r="AH132" s="668">
        <v>1</v>
      </c>
      <c r="AI132" s="663">
        <v>0</v>
      </c>
      <c r="AJ132" s="663">
        <v>0</v>
      </c>
      <c r="AK132" s="663">
        <v>0</v>
      </c>
      <c r="AL132" s="663">
        <v>0</v>
      </c>
    </row>
    <row r="133" spans="1:38" ht="30" thickBot="1">
      <c r="A133" s="661" t="s">
        <v>6462</v>
      </c>
      <c r="B133" s="662" t="s">
        <v>6463</v>
      </c>
      <c r="C133" s="662" t="s">
        <v>6464</v>
      </c>
      <c r="D133" s="669">
        <v>1814376</v>
      </c>
      <c r="E133" s="669" t="s">
        <v>6090</v>
      </c>
      <c r="F133" s="669" t="s">
        <v>6113</v>
      </c>
      <c r="G133" s="669" t="s">
        <v>6113</v>
      </c>
      <c r="H133" s="671">
        <v>0</v>
      </c>
      <c r="I133" s="669">
        <v>0</v>
      </c>
      <c r="J133" s="669">
        <v>0</v>
      </c>
      <c r="K133" s="669">
        <v>3</v>
      </c>
      <c r="L133" s="669">
        <v>3</v>
      </c>
      <c r="M133" s="669" t="s">
        <v>6363</v>
      </c>
      <c r="N133" s="669">
        <v>0</v>
      </c>
      <c r="O133" s="664">
        <v>0</v>
      </c>
      <c r="P133" s="664">
        <v>4</v>
      </c>
      <c r="Q133" s="666">
        <v>4</v>
      </c>
      <c r="R133" s="669">
        <v>0</v>
      </c>
      <c r="S133" s="669">
        <v>45</v>
      </c>
      <c r="T133" s="669">
        <v>4</v>
      </c>
      <c r="U133" s="670">
        <v>45891.75</v>
      </c>
      <c r="V133" s="670">
        <v>46047.541666666664</v>
      </c>
      <c r="W133" s="663">
        <v>0</v>
      </c>
      <c r="X133" s="663">
        <v>0</v>
      </c>
      <c r="Y133" s="663">
        <v>0</v>
      </c>
      <c r="Z133" s="663">
        <v>0</v>
      </c>
      <c r="AA133" s="663">
        <v>0</v>
      </c>
      <c r="AB133" s="663">
        <v>0</v>
      </c>
      <c r="AC133" s="663">
        <v>0</v>
      </c>
      <c r="AD133" s="663">
        <v>0</v>
      </c>
      <c r="AE133" s="668">
        <v>4</v>
      </c>
      <c r="AF133" s="668">
        <v>22</v>
      </c>
      <c r="AG133" s="668">
        <v>8</v>
      </c>
      <c r="AH133" s="668">
        <v>5</v>
      </c>
      <c r="AI133" s="668">
        <v>5</v>
      </c>
      <c r="AJ133" s="668">
        <v>1</v>
      </c>
      <c r="AK133" s="663">
        <v>0</v>
      </c>
      <c r="AL133" s="663">
        <v>0</v>
      </c>
    </row>
    <row r="134" spans="1:38" ht="30" thickBot="1">
      <c r="A134" s="661" t="s">
        <v>6465</v>
      </c>
      <c r="B134" s="662" t="s">
        <v>6466</v>
      </c>
      <c r="C134" s="662" t="s">
        <v>6467</v>
      </c>
      <c r="D134" s="669">
        <v>1818574</v>
      </c>
      <c r="E134" s="669" t="s">
        <v>6090</v>
      </c>
      <c r="F134" s="669" t="s">
        <v>6096</v>
      </c>
      <c r="G134" s="669" t="s">
        <v>6096</v>
      </c>
      <c r="H134" s="671">
        <v>0</v>
      </c>
      <c r="I134" s="669">
        <v>0</v>
      </c>
      <c r="J134" s="669">
        <v>0</v>
      </c>
      <c r="K134" s="669">
        <v>2</v>
      </c>
      <c r="L134" s="669">
        <v>1</v>
      </c>
      <c r="M134" s="669" t="s">
        <v>6363</v>
      </c>
      <c r="N134" s="669">
        <v>0</v>
      </c>
      <c r="O134" s="664">
        <v>0</v>
      </c>
      <c r="P134" s="664">
        <v>2</v>
      </c>
      <c r="Q134" s="666">
        <v>2</v>
      </c>
      <c r="R134" s="669">
        <v>0</v>
      </c>
      <c r="S134" s="669">
        <v>50</v>
      </c>
      <c r="T134" s="669">
        <v>3</v>
      </c>
      <c r="U134" s="670">
        <v>45897.5</v>
      </c>
      <c r="V134" s="670">
        <v>46056.875</v>
      </c>
      <c r="W134" s="663">
        <v>0</v>
      </c>
      <c r="X134" s="663">
        <v>0</v>
      </c>
      <c r="Y134" s="663">
        <v>0</v>
      </c>
      <c r="Z134" s="663">
        <v>0</v>
      </c>
      <c r="AA134" s="663">
        <v>0</v>
      </c>
      <c r="AB134" s="663">
        <v>0</v>
      </c>
      <c r="AC134" s="663">
        <v>0</v>
      </c>
      <c r="AD134" s="663">
        <v>0</v>
      </c>
      <c r="AE134" s="668">
        <v>1</v>
      </c>
      <c r="AF134" s="668">
        <v>15</v>
      </c>
      <c r="AG134" s="668">
        <v>15</v>
      </c>
      <c r="AH134" s="668">
        <v>10</v>
      </c>
      <c r="AI134" s="663">
        <v>0</v>
      </c>
      <c r="AJ134" s="668">
        <v>5</v>
      </c>
      <c r="AK134" s="668">
        <v>4</v>
      </c>
      <c r="AL134" s="663">
        <v>0</v>
      </c>
    </row>
    <row r="135" spans="1:38" ht="30" thickBot="1">
      <c r="A135" s="661" t="s">
        <v>6468</v>
      </c>
      <c r="B135" s="662" t="s">
        <v>6469</v>
      </c>
      <c r="C135" s="662" t="s">
        <v>6470</v>
      </c>
      <c r="D135" s="669">
        <v>1821387</v>
      </c>
      <c r="E135" s="669" t="s">
        <v>6090</v>
      </c>
      <c r="F135" s="669" t="s">
        <v>6096</v>
      </c>
      <c r="G135" s="669" t="s">
        <v>6096</v>
      </c>
      <c r="H135" s="671">
        <v>0</v>
      </c>
      <c r="I135" s="669">
        <v>0</v>
      </c>
      <c r="J135" s="669">
        <v>0</v>
      </c>
      <c r="K135" s="669">
        <v>0</v>
      </c>
      <c r="L135" s="669">
        <v>0</v>
      </c>
      <c r="M135" s="669" t="s">
        <v>6363</v>
      </c>
      <c r="N135" s="669">
        <v>0</v>
      </c>
      <c r="O135" s="664">
        <v>0</v>
      </c>
      <c r="P135" s="664">
        <v>1</v>
      </c>
      <c r="Q135" s="666">
        <v>1</v>
      </c>
      <c r="R135" s="669">
        <v>0</v>
      </c>
      <c r="S135" s="669">
        <v>4</v>
      </c>
      <c r="T135" s="669">
        <v>1</v>
      </c>
      <c r="U135" s="670">
        <v>45902.666666666664</v>
      </c>
      <c r="V135" s="670">
        <v>45948.875</v>
      </c>
      <c r="W135" s="663">
        <v>0</v>
      </c>
      <c r="X135" s="663">
        <v>0</v>
      </c>
      <c r="Y135" s="663">
        <v>0</v>
      </c>
      <c r="Z135" s="663">
        <v>0</v>
      </c>
      <c r="AA135" s="663">
        <v>0</v>
      </c>
      <c r="AB135" s="663">
        <v>0</v>
      </c>
      <c r="AC135" s="663">
        <v>0</v>
      </c>
      <c r="AD135" s="663">
        <v>0</v>
      </c>
      <c r="AE135" s="663">
        <v>0</v>
      </c>
      <c r="AF135" s="668">
        <v>3</v>
      </c>
      <c r="AG135" s="668">
        <v>1</v>
      </c>
      <c r="AH135" s="663">
        <v>0</v>
      </c>
      <c r="AI135" s="663">
        <v>0</v>
      </c>
      <c r="AJ135" s="663">
        <v>0</v>
      </c>
      <c r="AK135" s="663">
        <v>0</v>
      </c>
      <c r="AL135" s="663">
        <v>0</v>
      </c>
    </row>
    <row r="136" spans="1:38" ht="30" thickBot="1">
      <c r="A136" s="661" t="s">
        <v>6385</v>
      </c>
      <c r="B136" s="662" t="s">
        <v>6471</v>
      </c>
      <c r="C136" s="662" t="s">
        <v>6472</v>
      </c>
      <c r="D136" s="669">
        <v>1821580</v>
      </c>
      <c r="E136" s="669" t="s">
        <v>6090</v>
      </c>
      <c r="F136" s="669" t="s">
        <v>6092</v>
      </c>
      <c r="G136" s="669" t="s">
        <v>6109</v>
      </c>
      <c r="H136" s="671">
        <v>0</v>
      </c>
      <c r="I136" s="669">
        <v>0</v>
      </c>
      <c r="J136" s="669">
        <v>0</v>
      </c>
      <c r="K136" s="669">
        <v>3</v>
      </c>
      <c r="L136" s="669">
        <v>3</v>
      </c>
      <c r="M136" s="669" t="s">
        <v>6363</v>
      </c>
      <c r="N136" s="669">
        <v>1</v>
      </c>
      <c r="O136" s="664">
        <v>0</v>
      </c>
      <c r="P136" s="664">
        <v>3</v>
      </c>
      <c r="Q136" s="666">
        <v>4</v>
      </c>
      <c r="R136" s="669">
        <v>0</v>
      </c>
      <c r="S136" s="669">
        <v>43</v>
      </c>
      <c r="T136" s="669">
        <v>3</v>
      </c>
      <c r="U136" s="670">
        <v>45906.708333333336</v>
      </c>
      <c r="V136" s="670">
        <v>46003</v>
      </c>
      <c r="W136" s="663">
        <v>0</v>
      </c>
      <c r="X136" s="663">
        <v>0</v>
      </c>
      <c r="Y136" s="663">
        <v>0</v>
      </c>
      <c r="Z136" s="663">
        <v>0</v>
      </c>
      <c r="AA136" s="663">
        <v>0</v>
      </c>
      <c r="AB136" s="663">
        <v>0</v>
      </c>
      <c r="AC136" s="663">
        <v>0</v>
      </c>
      <c r="AD136" s="663">
        <v>0</v>
      </c>
      <c r="AE136" s="663">
        <v>0</v>
      </c>
      <c r="AF136" s="668">
        <v>20</v>
      </c>
      <c r="AG136" s="668">
        <v>11</v>
      </c>
      <c r="AH136" s="668">
        <v>6</v>
      </c>
      <c r="AI136" s="668">
        <v>6</v>
      </c>
      <c r="AJ136" s="663">
        <v>0</v>
      </c>
      <c r="AK136" s="663">
        <v>0</v>
      </c>
      <c r="AL136" s="663">
        <v>0</v>
      </c>
    </row>
    <row r="137" spans="1:38" ht="30" thickBot="1">
      <c r="A137" s="661" t="s">
        <v>6473</v>
      </c>
      <c r="B137" s="662" t="s">
        <v>6201</v>
      </c>
      <c r="C137" s="662" t="s">
        <v>6474</v>
      </c>
      <c r="D137" s="669">
        <v>1822189</v>
      </c>
      <c r="E137" s="669" t="s">
        <v>6090</v>
      </c>
      <c r="F137" s="669" t="s">
        <v>6101</v>
      </c>
      <c r="G137" s="669" t="s">
        <v>6101</v>
      </c>
      <c r="H137" s="671">
        <v>0</v>
      </c>
      <c r="I137" s="669">
        <v>0</v>
      </c>
      <c r="J137" s="669">
        <v>0</v>
      </c>
      <c r="K137" s="669">
        <v>3</v>
      </c>
      <c r="L137" s="669">
        <v>4</v>
      </c>
      <c r="M137" s="669" t="s">
        <v>6363</v>
      </c>
      <c r="N137" s="669">
        <v>0</v>
      </c>
      <c r="O137" s="664">
        <v>1</v>
      </c>
      <c r="P137" s="664">
        <v>9</v>
      </c>
      <c r="Q137" s="666">
        <v>10</v>
      </c>
      <c r="R137" s="667">
        <v>4</v>
      </c>
      <c r="S137" s="669">
        <v>12</v>
      </c>
      <c r="T137" s="669">
        <v>9</v>
      </c>
      <c r="U137" s="670">
        <v>45912.666666666664</v>
      </c>
      <c r="V137" s="670">
        <v>46084.375</v>
      </c>
      <c r="W137" s="663">
        <v>0</v>
      </c>
      <c r="X137" s="663">
        <v>0</v>
      </c>
      <c r="Y137" s="663">
        <v>0</v>
      </c>
      <c r="Z137" s="663">
        <v>0</v>
      </c>
      <c r="AA137" s="663">
        <v>0</v>
      </c>
      <c r="AB137" s="663">
        <v>0</v>
      </c>
      <c r="AC137" s="663">
        <v>0</v>
      </c>
      <c r="AD137" s="663">
        <v>0</v>
      </c>
      <c r="AE137" s="663">
        <v>0</v>
      </c>
      <c r="AF137" s="668">
        <v>5</v>
      </c>
      <c r="AG137" s="668">
        <v>1</v>
      </c>
      <c r="AH137" s="663">
        <v>0</v>
      </c>
      <c r="AI137" s="663">
        <v>0</v>
      </c>
      <c r="AJ137" s="668">
        <v>2</v>
      </c>
      <c r="AK137" s="668">
        <v>3</v>
      </c>
      <c r="AL137" s="668">
        <v>1</v>
      </c>
    </row>
    <row r="138" spans="1:38" ht="30" thickBot="1">
      <c r="A138" s="661" t="s">
        <v>6175</v>
      </c>
      <c r="B138" s="662" t="s">
        <v>6475</v>
      </c>
      <c r="C138" s="662" t="s">
        <v>6476</v>
      </c>
      <c r="D138" s="669">
        <v>1822192</v>
      </c>
      <c r="E138" s="669" t="s">
        <v>6090</v>
      </c>
      <c r="F138" s="669" t="s">
        <v>6096</v>
      </c>
      <c r="G138" s="669" t="s">
        <v>6096</v>
      </c>
      <c r="H138" s="671">
        <v>0</v>
      </c>
      <c r="I138" s="669">
        <v>0</v>
      </c>
      <c r="J138" s="669">
        <v>0</v>
      </c>
      <c r="K138" s="669">
        <v>2</v>
      </c>
      <c r="L138" s="669">
        <v>1</v>
      </c>
      <c r="M138" s="669" t="s">
        <v>6363</v>
      </c>
      <c r="N138" s="669">
        <v>13</v>
      </c>
      <c r="O138" s="664">
        <v>0</v>
      </c>
      <c r="P138" s="664">
        <v>0</v>
      </c>
      <c r="Q138" s="666">
        <v>13</v>
      </c>
      <c r="R138" s="669">
        <v>0</v>
      </c>
      <c r="S138" s="669">
        <v>36</v>
      </c>
      <c r="T138" s="669">
        <v>1</v>
      </c>
      <c r="U138" s="670">
        <v>45916.041666666664</v>
      </c>
      <c r="V138" s="670">
        <v>45954.041666666664</v>
      </c>
      <c r="W138" s="663">
        <v>0</v>
      </c>
      <c r="X138" s="663">
        <v>0</v>
      </c>
      <c r="Y138" s="663">
        <v>0</v>
      </c>
      <c r="Z138" s="663">
        <v>0</v>
      </c>
      <c r="AA138" s="663">
        <v>0</v>
      </c>
      <c r="AB138" s="663">
        <v>0</v>
      </c>
      <c r="AC138" s="663">
        <v>0</v>
      </c>
      <c r="AD138" s="663">
        <v>0</v>
      </c>
      <c r="AE138" s="663">
        <v>0</v>
      </c>
      <c r="AF138" s="668">
        <v>12</v>
      </c>
      <c r="AG138" s="668">
        <v>24</v>
      </c>
      <c r="AH138" s="663">
        <v>0</v>
      </c>
      <c r="AI138" s="663">
        <v>0</v>
      </c>
      <c r="AJ138" s="663">
        <v>0</v>
      </c>
      <c r="AK138" s="663">
        <v>0</v>
      </c>
      <c r="AL138" s="663">
        <v>0</v>
      </c>
    </row>
    <row r="139" spans="1:38" ht="44" thickBot="1">
      <c r="A139" s="661" t="s">
        <v>6368</v>
      </c>
      <c r="B139" s="662" t="s">
        <v>6477</v>
      </c>
      <c r="C139" s="662" t="s">
        <v>6478</v>
      </c>
      <c r="D139" s="669">
        <v>1822193</v>
      </c>
      <c r="E139" s="669" t="s">
        <v>6090</v>
      </c>
      <c r="F139" s="669" t="s">
        <v>6096</v>
      </c>
      <c r="G139" s="669" t="s">
        <v>6096</v>
      </c>
      <c r="H139" s="671">
        <v>0</v>
      </c>
      <c r="I139" s="669">
        <v>0</v>
      </c>
      <c r="J139" s="669">
        <v>0</v>
      </c>
      <c r="K139" s="669">
        <v>2</v>
      </c>
      <c r="L139" s="669">
        <v>1</v>
      </c>
      <c r="M139" s="669" t="s">
        <v>6363</v>
      </c>
      <c r="N139" s="669">
        <v>0</v>
      </c>
      <c r="O139" s="664">
        <v>0</v>
      </c>
      <c r="P139" s="664">
        <v>4</v>
      </c>
      <c r="Q139" s="666">
        <v>4</v>
      </c>
      <c r="R139" s="669">
        <v>0</v>
      </c>
      <c r="S139" s="669">
        <v>45</v>
      </c>
      <c r="T139" s="669">
        <v>5</v>
      </c>
      <c r="U139" s="670">
        <v>45916.041666666664</v>
      </c>
      <c r="V139" s="670">
        <v>45994.166666666664</v>
      </c>
      <c r="W139" s="663">
        <v>0</v>
      </c>
      <c r="X139" s="663">
        <v>0</v>
      </c>
      <c r="Y139" s="663">
        <v>0</v>
      </c>
      <c r="Z139" s="663">
        <v>0</v>
      </c>
      <c r="AA139" s="663">
        <v>0</v>
      </c>
      <c r="AB139" s="663">
        <v>0</v>
      </c>
      <c r="AC139" s="663">
        <v>0</v>
      </c>
      <c r="AD139" s="663">
        <v>0</v>
      </c>
      <c r="AE139" s="663">
        <v>0</v>
      </c>
      <c r="AF139" s="668">
        <v>12</v>
      </c>
      <c r="AG139" s="668">
        <v>25</v>
      </c>
      <c r="AH139" s="668">
        <v>3</v>
      </c>
      <c r="AI139" s="668">
        <v>5</v>
      </c>
      <c r="AJ139" s="663">
        <v>0</v>
      </c>
      <c r="AK139" s="663">
        <v>0</v>
      </c>
      <c r="AL139" s="663">
        <v>0</v>
      </c>
    </row>
    <row r="140" spans="1:38" ht="30" thickBot="1">
      <c r="A140" s="661" t="s">
        <v>6479</v>
      </c>
      <c r="B140" s="662" t="s">
        <v>6480</v>
      </c>
      <c r="C140" s="662" t="s">
        <v>6481</v>
      </c>
      <c r="D140" s="669">
        <v>1822194</v>
      </c>
      <c r="E140" s="669" t="s">
        <v>6090</v>
      </c>
      <c r="F140" s="669" t="s">
        <v>6096</v>
      </c>
      <c r="G140" s="669" t="s">
        <v>6096</v>
      </c>
      <c r="H140" s="671">
        <v>0</v>
      </c>
      <c r="I140" s="669">
        <v>0</v>
      </c>
      <c r="J140" s="669">
        <v>0</v>
      </c>
      <c r="K140" s="669">
        <v>2</v>
      </c>
      <c r="L140" s="669">
        <v>4</v>
      </c>
      <c r="M140" s="669" t="s">
        <v>6363</v>
      </c>
      <c r="N140" s="669">
        <v>0</v>
      </c>
      <c r="O140" s="664">
        <v>2</v>
      </c>
      <c r="P140" s="664">
        <v>10</v>
      </c>
      <c r="Q140" s="666">
        <v>12</v>
      </c>
      <c r="R140" s="669">
        <v>0</v>
      </c>
      <c r="S140" s="669">
        <v>38</v>
      </c>
      <c r="T140" s="669">
        <v>10</v>
      </c>
      <c r="U140" s="670">
        <v>45921.666666666664</v>
      </c>
      <c r="V140" s="670">
        <v>45930.708333333336</v>
      </c>
      <c r="W140" s="663">
        <v>0</v>
      </c>
      <c r="X140" s="663">
        <v>0</v>
      </c>
      <c r="Y140" s="663">
        <v>0</v>
      </c>
      <c r="Z140" s="663">
        <v>0</v>
      </c>
      <c r="AA140" s="663">
        <v>0</v>
      </c>
      <c r="AB140" s="663">
        <v>0</v>
      </c>
      <c r="AC140" s="663">
        <v>0</v>
      </c>
      <c r="AD140" s="663">
        <v>0</v>
      </c>
      <c r="AE140" s="663">
        <v>0</v>
      </c>
      <c r="AF140" s="668">
        <v>38</v>
      </c>
      <c r="AG140" s="663">
        <v>0</v>
      </c>
      <c r="AH140" s="663">
        <v>0</v>
      </c>
      <c r="AI140" s="663">
        <v>0</v>
      </c>
      <c r="AJ140" s="663">
        <v>0</v>
      </c>
      <c r="AK140" s="663">
        <v>0</v>
      </c>
      <c r="AL140" s="663">
        <v>0</v>
      </c>
    </row>
    <row r="141" spans="1:38" ht="30" thickBot="1">
      <c r="A141" s="661" t="s">
        <v>6482</v>
      </c>
      <c r="B141" s="662" t="s">
        <v>6483</v>
      </c>
      <c r="C141" s="662" t="s">
        <v>6484</v>
      </c>
      <c r="D141" s="669">
        <v>1822195</v>
      </c>
      <c r="E141" s="669" t="s">
        <v>6090</v>
      </c>
      <c r="F141" s="669" t="s">
        <v>6096</v>
      </c>
      <c r="G141" s="669" t="s">
        <v>6096</v>
      </c>
      <c r="H141" s="671">
        <v>0</v>
      </c>
      <c r="I141" s="669">
        <v>0</v>
      </c>
      <c r="J141" s="669">
        <v>0</v>
      </c>
      <c r="K141" s="669">
        <v>6</v>
      </c>
      <c r="L141" s="669">
        <v>7</v>
      </c>
      <c r="M141" s="669" t="s">
        <v>6363</v>
      </c>
      <c r="N141" s="669">
        <v>0</v>
      </c>
      <c r="O141" s="664">
        <v>1</v>
      </c>
      <c r="P141" s="664">
        <v>0</v>
      </c>
      <c r="Q141" s="666">
        <v>1</v>
      </c>
      <c r="R141" s="669">
        <v>0</v>
      </c>
      <c r="S141" s="669">
        <v>1</v>
      </c>
      <c r="T141" s="669">
        <v>0</v>
      </c>
      <c r="U141" s="670">
        <v>45926.625</v>
      </c>
      <c r="V141" s="670">
        <v>45926.625</v>
      </c>
      <c r="W141" s="663">
        <v>0</v>
      </c>
      <c r="X141" s="663">
        <v>0</v>
      </c>
      <c r="Y141" s="663">
        <v>0</v>
      </c>
      <c r="Z141" s="663">
        <v>0</v>
      </c>
      <c r="AA141" s="663">
        <v>0</v>
      </c>
      <c r="AB141" s="663">
        <v>0</v>
      </c>
      <c r="AC141" s="663">
        <v>0</v>
      </c>
      <c r="AD141" s="663">
        <v>0</v>
      </c>
      <c r="AE141" s="663">
        <v>0</v>
      </c>
      <c r="AF141" s="668">
        <v>1</v>
      </c>
      <c r="AG141" s="663">
        <v>0</v>
      </c>
      <c r="AH141" s="663">
        <v>0</v>
      </c>
      <c r="AI141" s="663">
        <v>0</v>
      </c>
      <c r="AJ141" s="663">
        <v>0</v>
      </c>
      <c r="AK141" s="663">
        <v>0</v>
      </c>
      <c r="AL141" s="663">
        <v>0</v>
      </c>
    </row>
    <row r="142" spans="1:38" ht="30" thickBot="1">
      <c r="A142" s="661" t="s">
        <v>6226</v>
      </c>
      <c r="B142" s="662" t="s">
        <v>6485</v>
      </c>
      <c r="C142" s="662" t="s">
        <v>6486</v>
      </c>
      <c r="D142" s="669">
        <v>1824489</v>
      </c>
      <c r="E142" s="669" t="s">
        <v>6090</v>
      </c>
      <c r="F142" s="669" t="s">
        <v>6096</v>
      </c>
      <c r="G142" s="669" t="s">
        <v>6305</v>
      </c>
      <c r="H142" s="671">
        <v>0</v>
      </c>
      <c r="I142" s="669">
        <v>0</v>
      </c>
      <c r="J142" s="669">
        <v>0</v>
      </c>
      <c r="K142" s="669">
        <v>1</v>
      </c>
      <c r="L142" s="669">
        <v>1</v>
      </c>
      <c r="M142" s="669" t="s">
        <v>6363</v>
      </c>
      <c r="N142" s="669">
        <v>27</v>
      </c>
      <c r="O142" s="664">
        <v>0</v>
      </c>
      <c r="P142" s="664">
        <v>1</v>
      </c>
      <c r="Q142" s="666">
        <v>28</v>
      </c>
      <c r="R142" s="669">
        <v>0</v>
      </c>
      <c r="S142" s="669">
        <v>22</v>
      </c>
      <c r="T142" s="669">
        <v>1</v>
      </c>
      <c r="U142" s="670">
        <v>45912.625</v>
      </c>
      <c r="V142" s="670">
        <v>45966.125</v>
      </c>
      <c r="W142" s="663">
        <v>0</v>
      </c>
      <c r="X142" s="663">
        <v>0</v>
      </c>
      <c r="Y142" s="663">
        <v>0</v>
      </c>
      <c r="Z142" s="663">
        <v>0</v>
      </c>
      <c r="AA142" s="663">
        <v>0</v>
      </c>
      <c r="AB142" s="663">
        <v>0</v>
      </c>
      <c r="AC142" s="663">
        <v>0</v>
      </c>
      <c r="AD142" s="663">
        <v>0</v>
      </c>
      <c r="AE142" s="663">
        <v>0</v>
      </c>
      <c r="AF142" s="668">
        <v>13</v>
      </c>
      <c r="AG142" s="668">
        <v>8</v>
      </c>
      <c r="AH142" s="668">
        <v>1</v>
      </c>
      <c r="AI142" s="663">
        <v>0</v>
      </c>
      <c r="AJ142" s="663">
        <v>0</v>
      </c>
      <c r="AK142" s="663">
        <v>0</v>
      </c>
      <c r="AL142" s="663">
        <v>0</v>
      </c>
    </row>
    <row r="143" spans="1:38" ht="30" thickBot="1">
      <c r="A143" s="661" t="s">
        <v>6487</v>
      </c>
      <c r="B143" s="662" t="s">
        <v>6170</v>
      </c>
      <c r="C143" s="662" t="s">
        <v>6488</v>
      </c>
      <c r="D143" s="669">
        <v>1824493</v>
      </c>
      <c r="E143" s="669" t="s">
        <v>6090</v>
      </c>
      <c r="F143" s="669" t="s">
        <v>6117</v>
      </c>
      <c r="G143" s="669" t="s">
        <v>6113</v>
      </c>
      <c r="H143" s="671">
        <v>0</v>
      </c>
      <c r="I143" s="669">
        <v>0</v>
      </c>
      <c r="J143" s="669">
        <v>0</v>
      </c>
      <c r="K143" s="669">
        <v>2</v>
      </c>
      <c r="L143" s="669">
        <v>2</v>
      </c>
      <c r="M143" s="669" t="s">
        <v>6363</v>
      </c>
      <c r="N143" s="669">
        <v>0</v>
      </c>
      <c r="O143" s="664">
        <v>0</v>
      </c>
      <c r="P143" s="664">
        <v>12</v>
      </c>
      <c r="Q143" s="672"/>
      <c r="R143" s="669">
        <v>0</v>
      </c>
      <c r="S143" s="669">
        <v>137</v>
      </c>
      <c r="T143" s="669">
        <v>12</v>
      </c>
      <c r="U143" s="670">
        <v>45914.833333333336</v>
      </c>
      <c r="V143" s="670">
        <v>46073.791666666664</v>
      </c>
      <c r="W143" s="663">
        <v>0</v>
      </c>
      <c r="X143" s="663">
        <v>0</v>
      </c>
      <c r="Y143" s="663">
        <v>0</v>
      </c>
      <c r="Z143" s="663">
        <v>0</v>
      </c>
      <c r="AA143" s="663">
        <v>0</v>
      </c>
      <c r="AB143" s="663">
        <v>0</v>
      </c>
      <c r="AC143" s="663">
        <v>0</v>
      </c>
      <c r="AD143" s="663">
        <v>0</v>
      </c>
      <c r="AE143" s="663">
        <v>0</v>
      </c>
      <c r="AF143" s="668">
        <v>18</v>
      </c>
      <c r="AG143" s="668">
        <v>41</v>
      </c>
      <c r="AH143" s="668">
        <v>39</v>
      </c>
      <c r="AI143" s="668">
        <v>17</v>
      </c>
      <c r="AJ143" s="668">
        <v>15</v>
      </c>
      <c r="AK143" s="668">
        <v>7</v>
      </c>
      <c r="AL143" s="663">
        <v>0</v>
      </c>
    </row>
    <row r="144" spans="1:38" ht="30" thickBot="1">
      <c r="A144" s="661" t="s">
        <v>6489</v>
      </c>
      <c r="B144" s="662" t="s">
        <v>6490</v>
      </c>
      <c r="C144" s="662" t="s">
        <v>6491</v>
      </c>
      <c r="D144" s="669">
        <v>1824501</v>
      </c>
      <c r="E144" s="669" t="s">
        <v>6090</v>
      </c>
      <c r="F144" s="669" t="s">
        <v>6096</v>
      </c>
      <c r="G144" s="669" t="s">
        <v>6096</v>
      </c>
      <c r="H144" s="671">
        <v>0</v>
      </c>
      <c r="I144" s="669">
        <v>0</v>
      </c>
      <c r="J144" s="669">
        <v>0</v>
      </c>
      <c r="K144" s="669">
        <v>0</v>
      </c>
      <c r="L144" s="669">
        <v>1</v>
      </c>
      <c r="M144" s="669" t="s">
        <v>6363</v>
      </c>
      <c r="N144" s="669">
        <v>0</v>
      </c>
      <c r="O144" s="664">
        <v>1</v>
      </c>
      <c r="P144" s="664">
        <v>0</v>
      </c>
      <c r="Q144" s="666">
        <v>1</v>
      </c>
      <c r="R144" s="669">
        <v>0</v>
      </c>
      <c r="S144" s="669">
        <v>8</v>
      </c>
      <c r="T144" s="669">
        <v>0</v>
      </c>
      <c r="U144" s="670">
        <v>45916.041666666664</v>
      </c>
      <c r="V144" s="670">
        <v>45924.833333333336</v>
      </c>
      <c r="W144" s="663">
        <v>0</v>
      </c>
      <c r="X144" s="663">
        <v>0</v>
      </c>
      <c r="Y144" s="663">
        <v>0</v>
      </c>
      <c r="Z144" s="663">
        <v>0</v>
      </c>
      <c r="AA144" s="663">
        <v>0</v>
      </c>
      <c r="AB144" s="663">
        <v>0</v>
      </c>
      <c r="AC144" s="663">
        <v>0</v>
      </c>
      <c r="AD144" s="663">
        <v>0</v>
      </c>
      <c r="AE144" s="663">
        <v>0</v>
      </c>
      <c r="AF144" s="668">
        <v>8</v>
      </c>
      <c r="AG144" s="663">
        <v>0</v>
      </c>
      <c r="AH144" s="663">
        <v>0</v>
      </c>
      <c r="AI144" s="663">
        <v>0</v>
      </c>
      <c r="AJ144" s="663">
        <v>0</v>
      </c>
      <c r="AK144" s="663">
        <v>0</v>
      </c>
      <c r="AL144" s="663">
        <v>0</v>
      </c>
    </row>
    <row r="145" spans="1:38" ht="30" thickBot="1">
      <c r="A145" s="661" t="s">
        <v>6492</v>
      </c>
      <c r="B145" s="662" t="s">
        <v>6167</v>
      </c>
      <c r="C145" s="662" t="s">
        <v>6493</v>
      </c>
      <c r="D145" s="669">
        <v>1825925</v>
      </c>
      <c r="E145" s="669" t="s">
        <v>6090</v>
      </c>
      <c r="F145" s="669" t="s">
        <v>6096</v>
      </c>
      <c r="G145" s="669" t="s">
        <v>6096</v>
      </c>
      <c r="H145" s="671">
        <v>0</v>
      </c>
      <c r="I145" s="669">
        <v>0</v>
      </c>
      <c r="J145" s="669">
        <v>0</v>
      </c>
      <c r="K145" s="669">
        <v>2</v>
      </c>
      <c r="L145" s="669">
        <v>2</v>
      </c>
      <c r="M145" s="669" t="s">
        <v>6363</v>
      </c>
      <c r="N145" s="669">
        <v>26</v>
      </c>
      <c r="O145" s="664">
        <v>0</v>
      </c>
      <c r="P145" s="664">
        <v>3</v>
      </c>
      <c r="Q145" s="666">
        <v>29</v>
      </c>
      <c r="R145" s="669">
        <v>0</v>
      </c>
      <c r="S145" s="669">
        <v>20</v>
      </c>
      <c r="T145" s="669">
        <v>3</v>
      </c>
      <c r="U145" s="670">
        <v>45922.791666666664</v>
      </c>
      <c r="V145" s="670">
        <v>45980.416666666664</v>
      </c>
      <c r="W145" s="663">
        <v>0</v>
      </c>
      <c r="X145" s="663">
        <v>0</v>
      </c>
      <c r="Y145" s="663">
        <v>0</v>
      </c>
      <c r="Z145" s="663">
        <v>0</v>
      </c>
      <c r="AA145" s="663">
        <v>0</v>
      </c>
      <c r="AB145" s="663">
        <v>0</v>
      </c>
      <c r="AC145" s="663">
        <v>0</v>
      </c>
      <c r="AD145" s="663">
        <v>0</v>
      </c>
      <c r="AE145" s="663">
        <v>0</v>
      </c>
      <c r="AF145" s="668">
        <v>5</v>
      </c>
      <c r="AG145" s="668">
        <v>10</v>
      </c>
      <c r="AH145" s="668">
        <v>5</v>
      </c>
      <c r="AI145" s="663">
        <v>0</v>
      </c>
      <c r="AJ145" s="663">
        <v>0</v>
      </c>
      <c r="AK145" s="663">
        <v>0</v>
      </c>
      <c r="AL145" s="663">
        <v>0</v>
      </c>
    </row>
    <row r="146" spans="1:38" ht="30" thickBot="1">
      <c r="A146" s="661" t="s">
        <v>6494</v>
      </c>
      <c r="B146" s="662" t="s">
        <v>6495</v>
      </c>
      <c r="C146" s="662" t="s">
        <v>6496</v>
      </c>
      <c r="D146" s="669">
        <v>1831761</v>
      </c>
      <c r="E146" s="669" t="s">
        <v>6090</v>
      </c>
      <c r="F146" s="669" t="s">
        <v>6305</v>
      </c>
      <c r="G146" s="669" t="s">
        <v>6305</v>
      </c>
      <c r="H146" s="671">
        <v>0</v>
      </c>
      <c r="I146" s="669">
        <v>0</v>
      </c>
      <c r="J146" s="669">
        <v>0</v>
      </c>
      <c r="K146" s="669">
        <v>0</v>
      </c>
      <c r="L146" s="669">
        <v>0</v>
      </c>
      <c r="M146" s="669" t="s">
        <v>6363</v>
      </c>
      <c r="N146" s="669">
        <v>49</v>
      </c>
      <c r="O146" s="664">
        <v>0</v>
      </c>
      <c r="P146" s="664">
        <v>0</v>
      </c>
      <c r="Q146" s="666">
        <v>49</v>
      </c>
      <c r="R146" s="669">
        <v>0</v>
      </c>
      <c r="S146" s="669">
        <v>1</v>
      </c>
      <c r="T146" s="669">
        <v>0</v>
      </c>
      <c r="U146" s="670">
        <v>45972.5</v>
      </c>
      <c r="V146" s="670">
        <v>45972.5</v>
      </c>
      <c r="W146" s="663">
        <v>0</v>
      </c>
      <c r="X146" s="663">
        <v>0</v>
      </c>
      <c r="Y146" s="663">
        <v>0</v>
      </c>
      <c r="Z146" s="663">
        <v>0</v>
      </c>
      <c r="AA146" s="663">
        <v>0</v>
      </c>
      <c r="AB146" s="663">
        <v>0</v>
      </c>
      <c r="AC146" s="663">
        <v>0</v>
      </c>
      <c r="AD146" s="663">
        <v>0</v>
      </c>
      <c r="AE146" s="663">
        <v>0</v>
      </c>
      <c r="AF146" s="663">
        <v>0</v>
      </c>
      <c r="AG146" s="663">
        <v>0</v>
      </c>
      <c r="AH146" s="668">
        <v>1</v>
      </c>
      <c r="AI146" s="663">
        <v>0</v>
      </c>
      <c r="AJ146" s="663">
        <v>0</v>
      </c>
      <c r="AK146" s="663">
        <v>0</v>
      </c>
      <c r="AL146" s="663">
        <v>0</v>
      </c>
    </row>
    <row r="147" spans="1:38" ht="44" thickBot="1">
      <c r="A147" s="662" t="s">
        <v>6224</v>
      </c>
      <c r="B147" s="662" t="s">
        <v>6497</v>
      </c>
      <c r="C147" s="662" t="s">
        <v>6498</v>
      </c>
      <c r="D147" s="669">
        <v>1833843</v>
      </c>
      <c r="E147" s="669" t="s">
        <v>6090</v>
      </c>
      <c r="F147" s="669" t="s">
        <v>6096</v>
      </c>
      <c r="G147" s="669" t="s">
        <v>6097</v>
      </c>
      <c r="H147" s="671">
        <v>0</v>
      </c>
      <c r="I147" s="669">
        <v>0</v>
      </c>
      <c r="J147" s="669">
        <v>0</v>
      </c>
      <c r="K147" s="669">
        <v>9</v>
      </c>
      <c r="L147" s="669">
        <v>10</v>
      </c>
      <c r="M147" s="669" t="s">
        <v>6363</v>
      </c>
      <c r="N147" s="669">
        <v>0</v>
      </c>
      <c r="O147" s="664">
        <v>1</v>
      </c>
      <c r="P147" s="664">
        <v>12</v>
      </c>
      <c r="Q147" s="666">
        <v>13</v>
      </c>
      <c r="R147" s="667">
        <v>5</v>
      </c>
      <c r="S147" s="669">
        <v>92</v>
      </c>
      <c r="T147" s="669">
        <v>12</v>
      </c>
      <c r="U147" s="670">
        <v>45952.5</v>
      </c>
      <c r="V147" s="670">
        <v>46084.75</v>
      </c>
      <c r="W147" s="663">
        <v>0</v>
      </c>
      <c r="X147" s="663">
        <v>0</v>
      </c>
      <c r="Y147" s="663">
        <v>0</v>
      </c>
      <c r="Z147" s="663">
        <v>0</v>
      </c>
      <c r="AA147" s="663">
        <v>0</v>
      </c>
      <c r="AB147" s="663">
        <v>0</v>
      </c>
      <c r="AC147" s="663">
        <v>0</v>
      </c>
      <c r="AD147" s="663">
        <v>0</v>
      </c>
      <c r="AE147" s="663">
        <v>0</v>
      </c>
      <c r="AF147" s="663">
        <v>0</v>
      </c>
      <c r="AG147" s="668">
        <v>5</v>
      </c>
      <c r="AH147" s="668">
        <v>24</v>
      </c>
      <c r="AI147" s="668">
        <v>19</v>
      </c>
      <c r="AJ147" s="668">
        <v>21</v>
      </c>
      <c r="AK147" s="668">
        <v>21</v>
      </c>
      <c r="AL147" s="668">
        <v>2</v>
      </c>
    </row>
    <row r="148" spans="1:38" ht="44" thickBot="1">
      <c r="A148" s="662" t="s">
        <v>6499</v>
      </c>
      <c r="B148" s="662" t="s">
        <v>6500</v>
      </c>
      <c r="C148" s="662" t="s">
        <v>6501</v>
      </c>
      <c r="D148" s="669">
        <v>1834197</v>
      </c>
      <c r="E148" s="669" t="s">
        <v>6090</v>
      </c>
      <c r="F148" s="669" t="s">
        <v>6096</v>
      </c>
      <c r="G148" s="669" t="s">
        <v>6097</v>
      </c>
      <c r="H148" s="671">
        <v>0</v>
      </c>
      <c r="I148" s="669">
        <v>0</v>
      </c>
      <c r="J148" s="669">
        <v>0</v>
      </c>
      <c r="K148" s="669">
        <v>8</v>
      </c>
      <c r="L148" s="669">
        <v>6</v>
      </c>
      <c r="M148" s="669" t="s">
        <v>6363</v>
      </c>
      <c r="N148" s="669">
        <v>0</v>
      </c>
      <c r="O148" s="664">
        <v>0</v>
      </c>
      <c r="P148" s="664">
        <v>0</v>
      </c>
      <c r="Q148" s="666">
        <v>0</v>
      </c>
      <c r="R148" s="667">
        <v>10</v>
      </c>
      <c r="S148" s="669">
        <v>70</v>
      </c>
      <c r="T148" s="669">
        <v>0</v>
      </c>
      <c r="U148" s="670">
        <v>45952.833333333336</v>
      </c>
      <c r="V148" s="670">
        <v>46083.666666666664</v>
      </c>
      <c r="W148" s="663">
        <v>0</v>
      </c>
      <c r="X148" s="663">
        <v>0</v>
      </c>
      <c r="Y148" s="663">
        <v>0</v>
      </c>
      <c r="Z148" s="663">
        <v>0</v>
      </c>
      <c r="AA148" s="663">
        <v>0</v>
      </c>
      <c r="AB148" s="663">
        <v>0</v>
      </c>
      <c r="AC148" s="663">
        <v>0</v>
      </c>
      <c r="AD148" s="663">
        <v>0</v>
      </c>
      <c r="AE148" s="663">
        <v>0</v>
      </c>
      <c r="AF148" s="663">
        <v>0</v>
      </c>
      <c r="AG148" s="668">
        <v>2</v>
      </c>
      <c r="AH148" s="668">
        <v>11</v>
      </c>
      <c r="AI148" s="668">
        <v>16</v>
      </c>
      <c r="AJ148" s="668">
        <v>21</v>
      </c>
      <c r="AK148" s="668">
        <v>19</v>
      </c>
      <c r="AL148" s="668">
        <v>1</v>
      </c>
    </row>
    <row r="149" spans="1:38" ht="30" thickBot="1">
      <c r="A149" s="662" t="s">
        <v>6224</v>
      </c>
      <c r="B149" s="662" t="s">
        <v>6502</v>
      </c>
      <c r="C149" s="662" t="s">
        <v>6503</v>
      </c>
      <c r="D149" s="669">
        <v>1834198</v>
      </c>
      <c r="E149" s="669" t="s">
        <v>6090</v>
      </c>
      <c r="F149" s="669" t="s">
        <v>6096</v>
      </c>
      <c r="G149" s="669" t="s">
        <v>6096</v>
      </c>
      <c r="H149" s="671">
        <v>0</v>
      </c>
      <c r="I149" s="669">
        <v>0</v>
      </c>
      <c r="J149" s="669">
        <v>0</v>
      </c>
      <c r="K149" s="669">
        <v>1</v>
      </c>
      <c r="L149" s="669">
        <v>2</v>
      </c>
      <c r="M149" s="669" t="s">
        <v>6363</v>
      </c>
      <c r="N149" s="669">
        <v>0</v>
      </c>
      <c r="O149" s="664">
        <v>1</v>
      </c>
      <c r="P149" s="664">
        <v>1</v>
      </c>
      <c r="Q149" s="666">
        <v>2</v>
      </c>
      <c r="R149" s="669">
        <v>0</v>
      </c>
      <c r="S149" s="669">
        <v>9</v>
      </c>
      <c r="T149" s="669">
        <v>1</v>
      </c>
      <c r="U149" s="670">
        <v>45958.375</v>
      </c>
      <c r="V149" s="670">
        <v>45988.541666666664</v>
      </c>
      <c r="W149" s="663">
        <v>0</v>
      </c>
      <c r="X149" s="663">
        <v>0</v>
      </c>
      <c r="Y149" s="663">
        <v>0</v>
      </c>
      <c r="Z149" s="663">
        <v>0</v>
      </c>
      <c r="AA149" s="663">
        <v>0</v>
      </c>
      <c r="AB149" s="663">
        <v>0</v>
      </c>
      <c r="AC149" s="663">
        <v>0</v>
      </c>
      <c r="AD149" s="663">
        <v>0</v>
      </c>
      <c r="AE149" s="663">
        <v>0</v>
      </c>
      <c r="AF149" s="663">
        <v>0</v>
      </c>
      <c r="AG149" s="668">
        <v>3</v>
      </c>
      <c r="AH149" s="668">
        <v>6</v>
      </c>
      <c r="AI149" s="663">
        <v>0</v>
      </c>
      <c r="AJ149" s="663">
        <v>0</v>
      </c>
      <c r="AK149" s="663">
        <v>0</v>
      </c>
      <c r="AL149" s="663">
        <v>0</v>
      </c>
    </row>
    <row r="150" spans="1:38" ht="30" thickBot="1">
      <c r="A150" s="661" t="s">
        <v>6504</v>
      </c>
      <c r="B150" s="662" t="s">
        <v>6505</v>
      </c>
      <c r="C150" s="662" t="s">
        <v>6506</v>
      </c>
      <c r="D150" s="669">
        <v>1836279</v>
      </c>
      <c r="E150" s="669" t="s">
        <v>6090</v>
      </c>
      <c r="F150" s="669" t="s">
        <v>6096</v>
      </c>
      <c r="G150" s="669" t="s">
        <v>6096</v>
      </c>
      <c r="H150" s="671">
        <v>0</v>
      </c>
      <c r="I150" s="669">
        <v>0</v>
      </c>
      <c r="J150" s="669">
        <v>0</v>
      </c>
      <c r="K150" s="669">
        <v>21</v>
      </c>
      <c r="L150" s="669">
        <v>23</v>
      </c>
      <c r="M150" s="669" t="s">
        <v>6363</v>
      </c>
      <c r="N150" s="669">
        <v>0</v>
      </c>
      <c r="O150" s="664">
        <v>2</v>
      </c>
      <c r="P150" s="664">
        <v>5</v>
      </c>
      <c r="Q150" s="666">
        <v>7</v>
      </c>
      <c r="R150" s="667">
        <v>11</v>
      </c>
      <c r="S150" s="669">
        <v>15</v>
      </c>
      <c r="T150" s="669">
        <v>5</v>
      </c>
      <c r="U150" s="670">
        <v>45961.625</v>
      </c>
      <c r="V150" s="670">
        <v>46080.75</v>
      </c>
      <c r="W150" s="663">
        <v>0</v>
      </c>
      <c r="X150" s="663">
        <v>0</v>
      </c>
      <c r="Y150" s="663">
        <v>0</v>
      </c>
      <c r="Z150" s="663">
        <v>0</v>
      </c>
      <c r="AA150" s="663">
        <v>0</v>
      </c>
      <c r="AB150" s="663">
        <v>0</v>
      </c>
      <c r="AC150" s="663">
        <v>0</v>
      </c>
      <c r="AD150" s="663">
        <v>0</v>
      </c>
      <c r="AE150" s="663">
        <v>0</v>
      </c>
      <c r="AF150" s="663">
        <v>0</v>
      </c>
      <c r="AG150" s="668">
        <v>1</v>
      </c>
      <c r="AH150" s="668">
        <v>1</v>
      </c>
      <c r="AI150" s="663">
        <v>0</v>
      </c>
      <c r="AJ150" s="668">
        <v>3</v>
      </c>
      <c r="AK150" s="668">
        <v>10</v>
      </c>
      <c r="AL150" s="663">
        <v>0</v>
      </c>
    </row>
    <row r="151" spans="1:38" ht="30" thickBot="1">
      <c r="A151" s="661" t="s">
        <v>6401</v>
      </c>
      <c r="B151" s="662" t="s">
        <v>6507</v>
      </c>
      <c r="C151" s="662" t="s">
        <v>6508</v>
      </c>
      <c r="D151" s="669">
        <v>1837961</v>
      </c>
      <c r="E151" s="669" t="s">
        <v>6090</v>
      </c>
      <c r="F151" s="669" t="s">
        <v>6096</v>
      </c>
      <c r="G151" s="669" t="s">
        <v>6096</v>
      </c>
      <c r="H151" s="671">
        <v>0</v>
      </c>
      <c r="I151" s="669">
        <v>0</v>
      </c>
      <c r="J151" s="669">
        <v>0</v>
      </c>
      <c r="K151" s="669">
        <v>0</v>
      </c>
      <c r="L151" s="669">
        <v>0</v>
      </c>
      <c r="M151" s="669" t="s">
        <v>6363</v>
      </c>
      <c r="N151" s="669">
        <v>0</v>
      </c>
      <c r="O151" s="664">
        <v>0</v>
      </c>
      <c r="P151" s="664">
        <v>0</v>
      </c>
      <c r="Q151" s="666">
        <v>0</v>
      </c>
      <c r="R151" s="669">
        <v>0</v>
      </c>
      <c r="S151" s="669">
        <v>2</v>
      </c>
      <c r="T151" s="669">
        <v>0</v>
      </c>
      <c r="U151" s="670">
        <v>45973.625</v>
      </c>
      <c r="V151" s="670">
        <v>45979.541666666664</v>
      </c>
      <c r="W151" s="663">
        <v>0</v>
      </c>
      <c r="X151" s="663">
        <v>0</v>
      </c>
      <c r="Y151" s="663">
        <v>0</v>
      </c>
      <c r="Z151" s="663">
        <v>0</v>
      </c>
      <c r="AA151" s="663">
        <v>0</v>
      </c>
      <c r="AB151" s="663">
        <v>0</v>
      </c>
      <c r="AC151" s="663">
        <v>0</v>
      </c>
      <c r="AD151" s="663">
        <v>0</v>
      </c>
      <c r="AE151" s="663">
        <v>0</v>
      </c>
      <c r="AF151" s="663">
        <v>0</v>
      </c>
      <c r="AG151" s="663">
        <v>0</v>
      </c>
      <c r="AH151" s="668">
        <v>2</v>
      </c>
      <c r="AI151" s="663">
        <v>0</v>
      </c>
      <c r="AJ151" s="663">
        <v>0</v>
      </c>
      <c r="AK151" s="663">
        <v>0</v>
      </c>
      <c r="AL151" s="663">
        <v>0</v>
      </c>
    </row>
    <row r="152" spans="1:38" ht="30" thickBot="1">
      <c r="A152" s="661" t="s">
        <v>6509</v>
      </c>
      <c r="B152" s="662" t="s">
        <v>6510</v>
      </c>
      <c r="C152" s="662" t="s">
        <v>6511</v>
      </c>
      <c r="D152" s="669">
        <v>1841368</v>
      </c>
      <c r="E152" s="669" t="s">
        <v>6090</v>
      </c>
      <c r="F152" s="669" t="s">
        <v>6096</v>
      </c>
      <c r="G152" s="669" t="s">
        <v>6096</v>
      </c>
      <c r="H152" s="671">
        <v>0</v>
      </c>
      <c r="I152" s="669">
        <v>0</v>
      </c>
      <c r="J152" s="669">
        <v>0</v>
      </c>
      <c r="K152" s="669">
        <v>1</v>
      </c>
      <c r="L152" s="669">
        <v>6</v>
      </c>
      <c r="M152" s="669" t="s">
        <v>6363</v>
      </c>
      <c r="N152" s="669">
        <v>0</v>
      </c>
      <c r="O152" s="664">
        <v>5</v>
      </c>
      <c r="P152" s="664">
        <v>3</v>
      </c>
      <c r="Q152" s="666">
        <v>8</v>
      </c>
      <c r="R152" s="669">
        <v>0</v>
      </c>
      <c r="S152" s="669">
        <v>10</v>
      </c>
      <c r="T152" s="669">
        <v>3</v>
      </c>
      <c r="U152" s="670">
        <v>45987.708333333336</v>
      </c>
      <c r="V152" s="670">
        <v>46036.833333333336</v>
      </c>
      <c r="W152" s="663">
        <v>0</v>
      </c>
      <c r="X152" s="663">
        <v>0</v>
      </c>
      <c r="Y152" s="663">
        <v>0</v>
      </c>
      <c r="Z152" s="663">
        <v>0</v>
      </c>
      <c r="AA152" s="663">
        <v>0</v>
      </c>
      <c r="AB152" s="663">
        <v>0</v>
      </c>
      <c r="AC152" s="663">
        <v>0</v>
      </c>
      <c r="AD152" s="663">
        <v>0</v>
      </c>
      <c r="AE152" s="663">
        <v>0</v>
      </c>
      <c r="AF152" s="663">
        <v>0</v>
      </c>
      <c r="AG152" s="663">
        <v>0</v>
      </c>
      <c r="AH152" s="668">
        <v>1</v>
      </c>
      <c r="AI152" s="668">
        <v>5</v>
      </c>
      <c r="AJ152" s="668">
        <v>4</v>
      </c>
      <c r="AK152" s="663">
        <v>0</v>
      </c>
      <c r="AL152" s="663">
        <v>0</v>
      </c>
    </row>
    <row r="153" spans="1:38" ht="30" thickBot="1">
      <c r="A153" s="661" t="s">
        <v>6512</v>
      </c>
      <c r="B153" s="662" t="s">
        <v>6513</v>
      </c>
      <c r="C153" s="662" t="s">
        <v>6514</v>
      </c>
      <c r="D153" s="669">
        <v>1844248</v>
      </c>
      <c r="E153" s="669" t="s">
        <v>6090</v>
      </c>
      <c r="F153" s="669" t="s">
        <v>6096</v>
      </c>
      <c r="G153" s="669" t="s">
        <v>6096</v>
      </c>
      <c r="H153" s="671">
        <v>0</v>
      </c>
      <c r="I153" s="669">
        <v>0</v>
      </c>
      <c r="J153" s="669">
        <v>0</v>
      </c>
      <c r="K153" s="669">
        <v>0</v>
      </c>
      <c r="L153" s="669">
        <v>1</v>
      </c>
      <c r="M153" s="669" t="s">
        <v>6363</v>
      </c>
      <c r="N153" s="669">
        <v>0</v>
      </c>
      <c r="O153" s="664">
        <v>1</v>
      </c>
      <c r="P153" s="664">
        <v>5</v>
      </c>
      <c r="Q153" s="666">
        <v>6</v>
      </c>
      <c r="R153" s="669">
        <v>0</v>
      </c>
      <c r="S153" s="669">
        <v>19</v>
      </c>
      <c r="T153" s="669">
        <v>5</v>
      </c>
      <c r="U153" s="670">
        <v>45989.625</v>
      </c>
      <c r="V153" s="670">
        <v>46003.666666666664</v>
      </c>
      <c r="W153" s="663">
        <v>0</v>
      </c>
      <c r="X153" s="663">
        <v>0</v>
      </c>
      <c r="Y153" s="663">
        <v>0</v>
      </c>
      <c r="Z153" s="663">
        <v>0</v>
      </c>
      <c r="AA153" s="663">
        <v>0</v>
      </c>
      <c r="AB153" s="663">
        <v>0</v>
      </c>
      <c r="AC153" s="663">
        <v>0</v>
      </c>
      <c r="AD153" s="663">
        <v>0</v>
      </c>
      <c r="AE153" s="663">
        <v>0</v>
      </c>
      <c r="AF153" s="663">
        <v>0</v>
      </c>
      <c r="AG153" s="663">
        <v>0</v>
      </c>
      <c r="AH153" s="668">
        <v>3</v>
      </c>
      <c r="AI153" s="668">
        <v>16</v>
      </c>
      <c r="AJ153" s="663">
        <v>0</v>
      </c>
      <c r="AK153" s="663">
        <v>0</v>
      </c>
      <c r="AL153" s="663">
        <v>0</v>
      </c>
    </row>
    <row r="154" spans="1:38" ht="30" thickBot="1">
      <c r="A154" s="661" t="s">
        <v>6515</v>
      </c>
      <c r="B154" s="662" t="s">
        <v>6516</v>
      </c>
      <c r="C154" s="662" t="s">
        <v>6517</v>
      </c>
      <c r="D154" s="669">
        <v>1845675</v>
      </c>
      <c r="E154" s="669" t="s">
        <v>6090</v>
      </c>
      <c r="F154" s="669" t="s">
        <v>6096</v>
      </c>
      <c r="G154" s="669" t="s">
        <v>6096</v>
      </c>
      <c r="H154" s="671">
        <v>0</v>
      </c>
      <c r="I154" s="669">
        <v>0</v>
      </c>
      <c r="J154" s="669">
        <v>0</v>
      </c>
      <c r="K154" s="669">
        <v>1</v>
      </c>
      <c r="L154" s="669">
        <v>8</v>
      </c>
      <c r="M154" s="669" t="s">
        <v>6363</v>
      </c>
      <c r="N154" s="669">
        <v>0</v>
      </c>
      <c r="O154" s="664">
        <v>7</v>
      </c>
      <c r="P154" s="664">
        <v>20</v>
      </c>
      <c r="Q154" s="666">
        <v>27</v>
      </c>
      <c r="R154" s="667">
        <v>1</v>
      </c>
      <c r="S154" s="669">
        <v>20</v>
      </c>
      <c r="T154" s="669">
        <v>20</v>
      </c>
      <c r="U154" s="670">
        <v>45993.916666666664</v>
      </c>
      <c r="V154" s="670">
        <v>46074.541666666664</v>
      </c>
      <c r="W154" s="663">
        <v>0</v>
      </c>
      <c r="X154" s="663">
        <v>0</v>
      </c>
      <c r="Y154" s="663">
        <v>0</v>
      </c>
      <c r="Z154" s="663">
        <v>0</v>
      </c>
      <c r="AA154" s="663">
        <v>0</v>
      </c>
      <c r="AB154" s="663">
        <v>0</v>
      </c>
      <c r="AC154" s="663">
        <v>0</v>
      </c>
      <c r="AD154" s="663">
        <v>0</v>
      </c>
      <c r="AE154" s="663">
        <v>0</v>
      </c>
      <c r="AF154" s="663">
        <v>0</v>
      </c>
      <c r="AG154" s="663">
        <v>0</v>
      </c>
      <c r="AH154" s="663">
        <v>0</v>
      </c>
      <c r="AI154" s="668">
        <v>17</v>
      </c>
      <c r="AJ154" s="668">
        <v>1</v>
      </c>
      <c r="AK154" s="668">
        <v>2</v>
      </c>
      <c r="AL154" s="663">
        <v>0</v>
      </c>
    </row>
    <row r="155" spans="1:38" ht="30" thickBot="1">
      <c r="A155" s="661" t="s">
        <v>6518</v>
      </c>
      <c r="B155" s="662" t="s">
        <v>6519</v>
      </c>
      <c r="C155" s="662" t="s">
        <v>6520</v>
      </c>
      <c r="D155" s="669">
        <v>1848363</v>
      </c>
      <c r="E155" s="669" t="s">
        <v>6090</v>
      </c>
      <c r="F155" s="669" t="s">
        <v>6091</v>
      </c>
      <c r="G155" s="669" t="s">
        <v>6091</v>
      </c>
      <c r="H155" s="671">
        <v>0</v>
      </c>
      <c r="I155" s="669">
        <v>0</v>
      </c>
      <c r="J155" s="669">
        <v>0</v>
      </c>
      <c r="K155" s="669">
        <v>0</v>
      </c>
      <c r="L155" s="669">
        <v>3</v>
      </c>
      <c r="M155" s="669" t="s">
        <v>6363</v>
      </c>
      <c r="N155" s="669">
        <v>0</v>
      </c>
      <c r="O155" s="664">
        <v>3</v>
      </c>
      <c r="P155" s="664">
        <v>0</v>
      </c>
      <c r="Q155" s="666">
        <v>3</v>
      </c>
      <c r="R155" s="667">
        <v>1</v>
      </c>
      <c r="S155" s="669">
        <v>4</v>
      </c>
      <c r="T155" s="669">
        <v>0</v>
      </c>
      <c r="U155" s="670">
        <v>46010.625</v>
      </c>
      <c r="V155" s="670">
        <v>46084.833333333336</v>
      </c>
      <c r="W155" s="663">
        <v>0</v>
      </c>
      <c r="X155" s="663">
        <v>0</v>
      </c>
      <c r="Y155" s="663">
        <v>0</v>
      </c>
      <c r="Z155" s="663">
        <v>0</v>
      </c>
      <c r="AA155" s="663">
        <v>0</v>
      </c>
      <c r="AB155" s="663">
        <v>0</v>
      </c>
      <c r="AC155" s="663">
        <v>0</v>
      </c>
      <c r="AD155" s="663">
        <v>0</v>
      </c>
      <c r="AE155" s="663">
        <v>0</v>
      </c>
      <c r="AF155" s="663">
        <v>0</v>
      </c>
      <c r="AG155" s="663">
        <v>0</v>
      </c>
      <c r="AH155" s="663">
        <v>0</v>
      </c>
      <c r="AI155" s="668">
        <v>1</v>
      </c>
      <c r="AJ155" s="668">
        <v>1</v>
      </c>
      <c r="AK155" s="663">
        <v>0</v>
      </c>
      <c r="AL155" s="668">
        <v>2</v>
      </c>
    </row>
    <row r="156" spans="1:38" ht="30" thickBot="1">
      <c r="A156" s="661" t="s">
        <v>6521</v>
      </c>
      <c r="B156" s="662" t="s">
        <v>6522</v>
      </c>
      <c r="C156" s="662" t="s">
        <v>6523</v>
      </c>
      <c r="D156" s="669">
        <v>1852671</v>
      </c>
      <c r="E156" s="669" t="s">
        <v>6090</v>
      </c>
      <c r="F156" s="669" t="s">
        <v>6096</v>
      </c>
      <c r="G156" s="669" t="s">
        <v>6096</v>
      </c>
      <c r="H156" s="671">
        <v>0</v>
      </c>
      <c r="I156" s="669">
        <v>0</v>
      </c>
      <c r="J156" s="669">
        <v>0</v>
      </c>
      <c r="K156" s="669">
        <v>11</v>
      </c>
      <c r="L156" s="669">
        <v>14</v>
      </c>
      <c r="M156" s="669" t="s">
        <v>6363</v>
      </c>
      <c r="N156" s="669">
        <v>0</v>
      </c>
      <c r="O156" s="664">
        <v>3</v>
      </c>
      <c r="P156" s="664">
        <v>2</v>
      </c>
      <c r="Q156" s="666">
        <v>5</v>
      </c>
      <c r="R156" s="669">
        <v>0</v>
      </c>
      <c r="S156" s="669">
        <v>30</v>
      </c>
      <c r="T156" s="669">
        <v>2</v>
      </c>
      <c r="U156" s="670">
        <v>46025.541666666664</v>
      </c>
      <c r="V156" s="670">
        <v>46070.583333333336</v>
      </c>
      <c r="W156" s="663">
        <v>0</v>
      </c>
      <c r="X156" s="663">
        <v>0</v>
      </c>
      <c r="Y156" s="663">
        <v>0</v>
      </c>
      <c r="Z156" s="663">
        <v>0</v>
      </c>
      <c r="AA156" s="663">
        <v>0</v>
      </c>
      <c r="AB156" s="663">
        <v>0</v>
      </c>
      <c r="AC156" s="663">
        <v>0</v>
      </c>
      <c r="AD156" s="663">
        <v>0</v>
      </c>
      <c r="AE156" s="663">
        <v>0</v>
      </c>
      <c r="AF156" s="663">
        <v>0</v>
      </c>
      <c r="AG156" s="663">
        <v>0</v>
      </c>
      <c r="AH156" s="663">
        <v>0</v>
      </c>
      <c r="AI156" s="663">
        <v>0</v>
      </c>
      <c r="AJ156" s="668">
        <v>16</v>
      </c>
      <c r="AK156" s="668">
        <v>14</v>
      </c>
      <c r="AL156" s="663">
        <v>0</v>
      </c>
    </row>
    <row r="157" spans="1:38" ht="30" thickBot="1">
      <c r="A157" s="661" t="s">
        <v>6524</v>
      </c>
      <c r="B157" s="662" t="s">
        <v>6525</v>
      </c>
      <c r="C157" s="662" t="s">
        <v>6526</v>
      </c>
      <c r="D157" s="669">
        <v>1853316</v>
      </c>
      <c r="E157" s="669" t="s">
        <v>6090</v>
      </c>
      <c r="F157" s="669" t="s">
        <v>6096</v>
      </c>
      <c r="G157" s="669" t="s">
        <v>6096</v>
      </c>
      <c r="H157" s="671">
        <v>0</v>
      </c>
      <c r="I157" s="669">
        <v>0</v>
      </c>
      <c r="J157" s="669">
        <v>0</v>
      </c>
      <c r="K157" s="669">
        <v>9</v>
      </c>
      <c r="L157" s="669">
        <v>8</v>
      </c>
      <c r="M157" s="669" t="s">
        <v>6363</v>
      </c>
      <c r="N157" s="669">
        <v>0</v>
      </c>
      <c r="O157" s="664">
        <v>0</v>
      </c>
      <c r="P157" s="664">
        <v>0</v>
      </c>
      <c r="Q157" s="666">
        <v>0</v>
      </c>
      <c r="R157" s="667">
        <v>3</v>
      </c>
      <c r="S157" s="669">
        <v>29</v>
      </c>
      <c r="T157" s="669">
        <v>1</v>
      </c>
      <c r="U157" s="670">
        <v>46029.833333333336</v>
      </c>
      <c r="V157" s="670">
        <v>46085.125</v>
      </c>
      <c r="W157" s="663">
        <v>0</v>
      </c>
      <c r="X157" s="663">
        <v>0</v>
      </c>
      <c r="Y157" s="663">
        <v>0</v>
      </c>
      <c r="Z157" s="663">
        <v>0</v>
      </c>
      <c r="AA157" s="663">
        <v>0</v>
      </c>
      <c r="AB157" s="663">
        <v>0</v>
      </c>
      <c r="AC157" s="663">
        <v>0</v>
      </c>
      <c r="AD157" s="663">
        <v>0</v>
      </c>
      <c r="AE157" s="663">
        <v>0</v>
      </c>
      <c r="AF157" s="663">
        <v>0</v>
      </c>
      <c r="AG157" s="663">
        <v>0</v>
      </c>
      <c r="AH157" s="663">
        <v>0</v>
      </c>
      <c r="AI157" s="663">
        <v>0</v>
      </c>
      <c r="AJ157" s="668">
        <v>14</v>
      </c>
      <c r="AK157" s="668">
        <v>14</v>
      </c>
      <c r="AL157" s="668">
        <v>1</v>
      </c>
    </row>
    <row r="158" spans="1:38" ht="44" thickBot="1">
      <c r="A158" s="661" t="s">
        <v>6527</v>
      </c>
      <c r="B158" s="662" t="s">
        <v>6528</v>
      </c>
      <c r="C158" s="662" t="s">
        <v>6529</v>
      </c>
      <c r="D158" s="669">
        <v>1860637</v>
      </c>
      <c r="E158" s="669" t="s">
        <v>6090</v>
      </c>
      <c r="F158" s="669" t="s">
        <v>6091</v>
      </c>
      <c r="G158" s="669" t="s">
        <v>6091</v>
      </c>
      <c r="H158" s="671">
        <v>0</v>
      </c>
      <c r="I158" s="669">
        <v>0</v>
      </c>
      <c r="J158" s="669">
        <v>0</v>
      </c>
      <c r="K158" s="669">
        <v>1</v>
      </c>
      <c r="L158" s="669">
        <v>2</v>
      </c>
      <c r="M158" s="669" t="s">
        <v>6363</v>
      </c>
      <c r="N158" s="669">
        <v>0</v>
      </c>
      <c r="O158" s="664">
        <v>1</v>
      </c>
      <c r="P158" s="664">
        <v>1</v>
      </c>
      <c r="Q158" s="666">
        <v>2</v>
      </c>
      <c r="R158" s="667">
        <v>9</v>
      </c>
      <c r="S158" s="669">
        <v>13</v>
      </c>
      <c r="T158" s="669">
        <v>1</v>
      </c>
      <c r="U158" s="670">
        <v>46050.541666666664</v>
      </c>
      <c r="V158" s="670">
        <v>46085.291666666664</v>
      </c>
      <c r="W158" s="663">
        <v>0</v>
      </c>
      <c r="X158" s="663">
        <v>0</v>
      </c>
      <c r="Y158" s="663">
        <v>0</v>
      </c>
      <c r="Z158" s="663">
        <v>0</v>
      </c>
      <c r="AA158" s="663">
        <v>0</v>
      </c>
      <c r="AB158" s="663">
        <v>0</v>
      </c>
      <c r="AC158" s="663">
        <v>0</v>
      </c>
      <c r="AD158" s="663">
        <v>0</v>
      </c>
      <c r="AE158" s="663">
        <v>0</v>
      </c>
      <c r="AF158" s="663">
        <v>0</v>
      </c>
      <c r="AG158" s="663">
        <v>0</v>
      </c>
      <c r="AH158" s="663">
        <v>0</v>
      </c>
      <c r="AI158" s="663">
        <v>0</v>
      </c>
      <c r="AJ158" s="668">
        <v>2</v>
      </c>
      <c r="AK158" s="668">
        <v>8</v>
      </c>
      <c r="AL158" s="668">
        <v>3</v>
      </c>
    </row>
    <row r="159" spans="1:38" ht="30" thickBot="1">
      <c r="A159" s="661" t="s">
        <v>6530</v>
      </c>
      <c r="B159" s="662" t="s">
        <v>6531</v>
      </c>
      <c r="C159" s="662" t="s">
        <v>6532</v>
      </c>
      <c r="D159" s="669">
        <v>1865332</v>
      </c>
      <c r="E159" s="669" t="s">
        <v>6090</v>
      </c>
      <c r="F159" s="669" t="s">
        <v>6096</v>
      </c>
      <c r="G159" s="669" t="s">
        <v>6096</v>
      </c>
      <c r="H159" s="671">
        <v>0</v>
      </c>
      <c r="I159" s="669">
        <v>0</v>
      </c>
      <c r="J159" s="669">
        <v>0</v>
      </c>
      <c r="K159" s="669">
        <v>1</v>
      </c>
      <c r="L159" s="669">
        <v>0</v>
      </c>
      <c r="M159" s="669" t="s">
        <v>6363</v>
      </c>
      <c r="N159" s="669">
        <v>0</v>
      </c>
      <c r="O159" s="664">
        <v>0</v>
      </c>
      <c r="P159" s="664">
        <v>0</v>
      </c>
      <c r="Q159" s="666">
        <v>0</v>
      </c>
      <c r="R159" s="667">
        <v>13</v>
      </c>
      <c r="S159" s="669">
        <v>27</v>
      </c>
      <c r="T159" s="669">
        <v>0</v>
      </c>
      <c r="U159" s="670">
        <v>46070.708333333336</v>
      </c>
      <c r="V159" s="670">
        <v>46085.25</v>
      </c>
      <c r="W159" s="663">
        <v>0</v>
      </c>
      <c r="X159" s="663">
        <v>0</v>
      </c>
      <c r="Y159" s="663">
        <v>0</v>
      </c>
      <c r="Z159" s="663">
        <v>0</v>
      </c>
      <c r="AA159" s="663">
        <v>0</v>
      </c>
      <c r="AB159" s="663">
        <v>0</v>
      </c>
      <c r="AC159" s="663">
        <v>0</v>
      </c>
      <c r="AD159" s="663">
        <v>0</v>
      </c>
      <c r="AE159" s="663">
        <v>0</v>
      </c>
      <c r="AF159" s="663">
        <v>0</v>
      </c>
      <c r="AG159" s="663">
        <v>0</v>
      </c>
      <c r="AH159" s="663">
        <v>0</v>
      </c>
      <c r="AI159" s="663">
        <v>0</v>
      </c>
      <c r="AJ159" s="663">
        <v>0</v>
      </c>
      <c r="AK159" s="668">
        <v>21</v>
      </c>
      <c r="AL159" s="668">
        <v>6</v>
      </c>
    </row>
  </sheetData>
  <mergeCells count="19">
    <mergeCell ref="W1:W2"/>
    <mergeCell ref="M1:M2"/>
    <mergeCell ref="R1:R2"/>
    <mergeCell ref="S1:S2"/>
    <mergeCell ref="T1:T2"/>
    <mergeCell ref="U1:U2"/>
    <mergeCell ref="V1:V2"/>
    <mergeCell ref="L1:L2"/>
    <mergeCell ref="A1:A2"/>
    <mergeCell ref="B1:B2"/>
    <mergeCell ref="C1:C2"/>
    <mergeCell ref="D1:D2"/>
    <mergeCell ref="E1:E2"/>
    <mergeCell ref="F1:F2"/>
    <mergeCell ref="G1:G2"/>
    <mergeCell ref="H1:H2"/>
    <mergeCell ref="I1:I2"/>
    <mergeCell ref="J1:J2"/>
    <mergeCell ref="K1:K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4072D-29D7-3C41-A135-ADE0D699BF37}">
  <dimension ref="A1:W51"/>
  <sheetViews>
    <sheetView zoomScale="84" workbookViewId="0">
      <selection activeCell="G55" sqref="G55"/>
    </sheetView>
  </sheetViews>
  <sheetFormatPr baseColWidth="10" defaultColWidth="11.5" defaultRowHeight="15"/>
  <cols>
    <col min="1" max="1" width="13.83203125" style="324" bestFit="1" customWidth="1"/>
    <col min="2" max="2" width="14.1640625" style="324" bestFit="1" customWidth="1"/>
    <col min="3" max="3" width="16.6640625" bestFit="1" customWidth="1"/>
    <col min="4" max="4" width="14.1640625" bestFit="1" customWidth="1"/>
    <col min="5" max="5" width="48.83203125" bestFit="1" customWidth="1"/>
    <col min="6" max="6" width="13.1640625" style="44" customWidth="1"/>
    <col min="7" max="7" width="14.5" customWidth="1"/>
    <col min="8" max="8" width="10.83203125" style="42" customWidth="1"/>
    <col min="9" max="9" width="16.1640625" style="329" bestFit="1" customWidth="1"/>
    <col min="10" max="10" width="16" style="44" customWidth="1"/>
    <col min="11" max="11" width="15.1640625" style="329" bestFit="1" customWidth="1"/>
    <col min="12" max="12" width="16.5" style="42" customWidth="1"/>
    <col min="13" max="13" width="15.1640625" style="42" customWidth="1"/>
    <col min="15" max="15" width="16" bestFit="1" customWidth="1"/>
    <col min="16" max="16" width="14" bestFit="1" customWidth="1"/>
    <col min="17" max="17" width="13.83203125" customWidth="1"/>
    <col min="18" max="20" width="12.33203125" style="44" customWidth="1"/>
    <col min="21" max="21" width="12.33203125" style="352" customWidth="1"/>
    <col min="22" max="22" width="15.6640625" customWidth="1"/>
    <col min="23" max="23" width="18.1640625" customWidth="1"/>
  </cols>
  <sheetData>
    <row r="1" spans="1:23">
      <c r="A1" s="218" t="s">
        <v>4256</v>
      </c>
      <c r="B1" s="218" t="s">
        <v>4257</v>
      </c>
      <c r="C1" s="218" t="s">
        <v>4258</v>
      </c>
      <c r="D1" s="218" t="s">
        <v>2680</v>
      </c>
      <c r="E1" s="218" t="s">
        <v>2681</v>
      </c>
      <c r="F1" s="166" t="s">
        <v>4259</v>
      </c>
      <c r="G1" s="218" t="s">
        <v>2683</v>
      </c>
      <c r="H1" s="218" t="s">
        <v>2676</v>
      </c>
      <c r="I1" s="218" t="s">
        <v>2677</v>
      </c>
      <c r="J1" s="218" t="s">
        <v>2678</v>
      </c>
      <c r="K1" s="218" t="s">
        <v>2679</v>
      </c>
      <c r="L1" s="218" t="s">
        <v>4260</v>
      </c>
      <c r="M1" s="218" t="s">
        <v>4261</v>
      </c>
      <c r="N1" s="218" t="s">
        <v>4262</v>
      </c>
      <c r="O1" s="218" t="s">
        <v>4263</v>
      </c>
      <c r="P1" s="218" t="s">
        <v>4264</v>
      </c>
      <c r="Q1" s="218" t="s">
        <v>4265</v>
      </c>
      <c r="R1" s="218" t="s">
        <v>4266</v>
      </c>
      <c r="S1" s="218" t="s">
        <v>4528</v>
      </c>
      <c r="T1" s="218" t="s">
        <v>4529</v>
      </c>
      <c r="U1" s="218" t="s">
        <v>4267</v>
      </c>
      <c r="V1" s="218" t="s">
        <v>2682</v>
      </c>
      <c r="W1" s="218" t="s">
        <v>4268</v>
      </c>
    </row>
    <row r="2" spans="1:23">
      <c r="A2" s="324">
        <v>46023</v>
      </c>
      <c r="B2" s="324">
        <v>46054</v>
      </c>
      <c r="C2" t="s">
        <v>4269</v>
      </c>
      <c r="D2" t="s">
        <v>4301</v>
      </c>
      <c r="E2" t="s">
        <v>2885</v>
      </c>
      <c r="F2" s="44" t="s">
        <v>4271</v>
      </c>
      <c r="H2" s="42" t="s">
        <v>2697</v>
      </c>
      <c r="I2" s="329">
        <v>15490.79</v>
      </c>
      <c r="J2" s="44">
        <v>1</v>
      </c>
      <c r="K2" s="329">
        <f>Table12[[#This Row],[Original Amount]]*Table12[[#This Row],[ER to EUR]]</f>
        <v>15490.79</v>
      </c>
      <c r="L2" s="42" t="s">
        <v>125</v>
      </c>
      <c r="M2" s="42" t="s">
        <v>125</v>
      </c>
      <c r="O2" t="s">
        <v>2741</v>
      </c>
      <c r="P2" t="s">
        <v>2723</v>
      </c>
      <c r="Q2" s="44" t="s">
        <v>125</v>
      </c>
      <c r="R2" s="44" t="s">
        <v>4274</v>
      </c>
      <c r="U2" s="352" t="e">
        <f>Table12[[#This Row],[Occupied Seats ]]/Table12[[#This Row],[Seats]]</f>
        <v>#DIV/0!</v>
      </c>
    </row>
    <row r="3" spans="1:23">
      <c r="A3" s="336">
        <v>46024</v>
      </c>
      <c r="B3" s="336">
        <v>46081</v>
      </c>
      <c r="C3" s="337" t="s">
        <v>4269</v>
      </c>
      <c r="D3" s="337" t="s">
        <v>3683</v>
      </c>
      <c r="E3" s="337" t="s">
        <v>4131</v>
      </c>
      <c r="F3" s="340" t="s">
        <v>4271</v>
      </c>
      <c r="G3" s="337"/>
      <c r="H3" s="338" t="s">
        <v>2697</v>
      </c>
      <c r="I3" s="339">
        <v>5176.5</v>
      </c>
      <c r="J3" s="340">
        <v>1</v>
      </c>
      <c r="K3" s="339">
        <f>Table12[[#This Row],[Original Amount]]*Table12[[#This Row],[ER to EUR]]</f>
        <v>5176.5</v>
      </c>
      <c r="L3" s="338"/>
      <c r="M3" s="338"/>
      <c r="N3" s="349"/>
      <c r="O3" s="337" t="s">
        <v>2705</v>
      </c>
      <c r="P3" s="337" t="s">
        <v>2735</v>
      </c>
      <c r="Q3" s="340" t="s">
        <v>125</v>
      </c>
      <c r="R3" s="340" t="s">
        <v>4274</v>
      </c>
      <c r="S3" s="340"/>
      <c r="T3" s="340"/>
      <c r="U3" s="354" t="e">
        <f>Table12[[#This Row],[Occupied Seats ]]/Table12[[#This Row],[Seats]]</f>
        <v>#DIV/0!</v>
      </c>
    </row>
    <row r="4" spans="1:23">
      <c r="A4" s="324">
        <v>46050</v>
      </c>
      <c r="B4" s="324">
        <v>46081</v>
      </c>
      <c r="C4" t="s">
        <v>4269</v>
      </c>
      <c r="D4" t="s">
        <v>4295</v>
      </c>
      <c r="E4" t="s">
        <v>4296</v>
      </c>
      <c r="F4" s="44" t="s">
        <v>4271</v>
      </c>
      <c r="H4" s="42" t="s">
        <v>2697</v>
      </c>
      <c r="I4" s="329">
        <v>2420.46</v>
      </c>
      <c r="J4" s="44">
        <v>1</v>
      </c>
      <c r="K4" s="329">
        <f>Table12[[#This Row],[Original Amount]]*Table12[[#This Row],[ER to EUR]]</f>
        <v>2420.46</v>
      </c>
      <c r="O4" t="s">
        <v>2741</v>
      </c>
      <c r="P4" t="s">
        <v>2723</v>
      </c>
      <c r="Q4" s="44" t="s">
        <v>125</v>
      </c>
      <c r="R4" s="44" t="s">
        <v>4274</v>
      </c>
      <c r="U4" s="352" t="e">
        <f>Table12[[#This Row],[Occupied Seats ]]/Table12[[#This Row],[Seats]]</f>
        <v>#DIV/0!</v>
      </c>
    </row>
    <row r="5" spans="1:23">
      <c r="A5" s="324">
        <v>45992</v>
      </c>
      <c r="B5" s="324">
        <v>46081</v>
      </c>
      <c r="C5" t="s">
        <v>4269</v>
      </c>
      <c r="D5" t="s">
        <v>4166</v>
      </c>
      <c r="E5" t="s">
        <v>4277</v>
      </c>
      <c r="F5" s="44" t="s">
        <v>4271</v>
      </c>
      <c r="H5" s="42" t="s">
        <v>2697</v>
      </c>
      <c r="I5" s="329">
        <v>781.83</v>
      </c>
      <c r="J5" s="44">
        <v>1</v>
      </c>
      <c r="K5" s="329">
        <f>Table12[[#This Row],[Original Amount]]*Table12[[#This Row],[ER to EUR]]</f>
        <v>781.83</v>
      </c>
      <c r="L5" s="42" t="s">
        <v>125</v>
      </c>
      <c r="M5" s="42" t="s">
        <v>125</v>
      </c>
      <c r="O5" t="s">
        <v>2794</v>
      </c>
      <c r="P5" t="s">
        <v>2731</v>
      </c>
      <c r="Q5" s="44" t="s">
        <v>125</v>
      </c>
      <c r="R5" s="44" t="s">
        <v>4274</v>
      </c>
      <c r="U5" s="352" t="e">
        <f>Table12[[#This Row],[Occupied Seats ]]/Table12[[#This Row],[Seats]]</f>
        <v>#DIV/0!</v>
      </c>
    </row>
    <row r="6" spans="1:23">
      <c r="A6" s="324">
        <v>46040</v>
      </c>
      <c r="B6" s="324">
        <v>46040</v>
      </c>
      <c r="C6" t="s">
        <v>4269</v>
      </c>
      <c r="D6" t="s">
        <v>4303</v>
      </c>
      <c r="E6" t="s">
        <v>4304</v>
      </c>
      <c r="F6" s="44" t="s">
        <v>4271</v>
      </c>
      <c r="H6" s="42" t="s">
        <v>2697</v>
      </c>
      <c r="I6" s="329">
        <v>598.5</v>
      </c>
      <c r="J6" s="44">
        <v>1</v>
      </c>
      <c r="K6" s="329">
        <f>Table12[[#This Row],[Original Amount]]*Table12[[#This Row],[ER to EUR]]</f>
        <v>598.5</v>
      </c>
      <c r="O6" t="s">
        <v>4205</v>
      </c>
      <c r="P6" t="s">
        <v>4206</v>
      </c>
      <c r="Q6" s="44" t="s">
        <v>125</v>
      </c>
      <c r="R6" s="44" t="s">
        <v>4274</v>
      </c>
      <c r="U6" s="352" t="e">
        <f>Table12[[#This Row],[Occupied Seats ]]/Table12[[#This Row],[Seats]]</f>
        <v>#DIV/0!</v>
      </c>
    </row>
    <row r="7" spans="1:23">
      <c r="A7" s="336">
        <v>46032</v>
      </c>
      <c r="B7" s="336">
        <v>46063</v>
      </c>
      <c r="C7" s="337" t="s">
        <v>4269</v>
      </c>
      <c r="D7" s="337" t="s">
        <v>3193</v>
      </c>
      <c r="E7" s="337" t="s">
        <v>4314</v>
      </c>
      <c r="F7" s="340" t="s">
        <v>4271</v>
      </c>
      <c r="G7" s="337"/>
      <c r="H7" s="338" t="s">
        <v>2548</v>
      </c>
      <c r="I7" s="339">
        <v>499</v>
      </c>
      <c r="J7" s="340">
        <v>0.85128099999999995</v>
      </c>
      <c r="K7" s="339">
        <f>Table12[[#This Row],[Original Amount]]*Table12[[#This Row],[ER to EUR]]</f>
        <v>424.789219</v>
      </c>
      <c r="L7" s="338"/>
      <c r="M7" s="338"/>
      <c r="N7" s="349"/>
      <c r="O7" s="337" t="s">
        <v>2741</v>
      </c>
      <c r="P7" s="337" t="s">
        <v>2723</v>
      </c>
      <c r="Q7" s="340" t="s">
        <v>125</v>
      </c>
      <c r="R7" s="340" t="s">
        <v>4274</v>
      </c>
      <c r="S7" s="340"/>
      <c r="T7" s="340"/>
      <c r="U7" s="354" t="e">
        <f>Table12[[#This Row],[Occupied Seats ]]/Table12[[#This Row],[Seats]]</f>
        <v>#DIV/0!</v>
      </c>
    </row>
    <row r="8" spans="1:23">
      <c r="A8" s="324">
        <v>46045</v>
      </c>
      <c r="B8" s="324">
        <v>46076</v>
      </c>
      <c r="C8" t="s">
        <v>4269</v>
      </c>
      <c r="D8" t="s">
        <v>3140</v>
      </c>
      <c r="E8" t="s">
        <v>4292</v>
      </c>
      <c r="F8" s="44" t="s">
        <v>4271</v>
      </c>
      <c r="H8" s="42" t="s">
        <v>2697</v>
      </c>
      <c r="I8" s="329">
        <v>379</v>
      </c>
      <c r="J8" s="44">
        <v>1</v>
      </c>
      <c r="K8" s="329">
        <f>Table12[[#This Row],[Original Amount]]*Table12[[#This Row],[ER to EUR]]</f>
        <v>379</v>
      </c>
      <c r="O8" t="s">
        <v>2749</v>
      </c>
      <c r="P8" t="s">
        <v>2750</v>
      </c>
      <c r="Q8" s="44" t="s">
        <v>125</v>
      </c>
      <c r="R8" s="44" t="s">
        <v>4274</v>
      </c>
      <c r="U8" s="352" t="e">
        <f>Table12[[#This Row],[Occupied Seats ]]/Table12[[#This Row],[Seats]]</f>
        <v>#DIV/0!</v>
      </c>
    </row>
    <row r="9" spans="1:23">
      <c r="A9" s="325">
        <v>46023</v>
      </c>
      <c r="B9" s="325">
        <v>46054</v>
      </c>
      <c r="C9" s="326" t="s">
        <v>4269</v>
      </c>
      <c r="D9" s="326" t="s">
        <v>2796</v>
      </c>
      <c r="E9" s="326" t="s">
        <v>2797</v>
      </c>
      <c r="F9" s="328" t="s">
        <v>4287</v>
      </c>
      <c r="G9" s="326"/>
      <c r="H9" s="327" t="s">
        <v>2697</v>
      </c>
      <c r="I9" s="330">
        <v>313.20999999999998</v>
      </c>
      <c r="J9" s="328">
        <v>1</v>
      </c>
      <c r="K9" s="330">
        <f>Table12[[#This Row],[Original Amount]]*Table12[[#This Row],[ER to EUR]]</f>
        <v>313.20999999999998</v>
      </c>
      <c r="L9" s="327"/>
      <c r="M9" s="327"/>
      <c r="N9" s="330">
        <f>Table12[[#This Row],[Amount in EUR]]</f>
        <v>313.20999999999998</v>
      </c>
      <c r="O9" s="326" t="s">
        <v>2705</v>
      </c>
      <c r="P9" s="326" t="s">
        <v>2735</v>
      </c>
      <c r="Q9" s="328" t="s">
        <v>125</v>
      </c>
      <c r="R9" s="328" t="s">
        <v>4288</v>
      </c>
      <c r="S9" s="328"/>
      <c r="T9" s="328"/>
      <c r="U9" s="383" t="e">
        <f>Table12[[#This Row],[Occupied Seats ]]/Table12[[#This Row],[Seats]]</f>
        <v>#DIV/0!</v>
      </c>
    </row>
    <row r="10" spans="1:23">
      <c r="A10" s="336">
        <v>46039</v>
      </c>
      <c r="B10" s="336">
        <v>46070</v>
      </c>
      <c r="C10" s="337" t="s">
        <v>4269</v>
      </c>
      <c r="D10" s="337" t="s">
        <v>4309</v>
      </c>
      <c r="E10" s="337" t="s">
        <v>4310</v>
      </c>
      <c r="F10" s="340" t="s">
        <v>4271</v>
      </c>
      <c r="G10" s="337"/>
      <c r="H10" s="338" t="s">
        <v>2548</v>
      </c>
      <c r="I10" s="339">
        <v>360</v>
      </c>
      <c r="J10" s="340">
        <v>0.85128099999999995</v>
      </c>
      <c r="K10" s="339">
        <f>Table12[[#This Row],[Original Amount]]*Table12[[#This Row],[ER to EUR]]</f>
        <v>306.46116000000001</v>
      </c>
      <c r="L10" s="338"/>
      <c r="M10" s="338"/>
      <c r="N10" s="349"/>
      <c r="O10" s="337" t="s">
        <v>4205</v>
      </c>
      <c r="P10" s="337" t="s">
        <v>4206</v>
      </c>
      <c r="Q10" s="340" t="s">
        <v>125</v>
      </c>
      <c r="R10" s="340" t="s">
        <v>4274</v>
      </c>
      <c r="S10" s="340"/>
      <c r="T10" s="340"/>
      <c r="U10" s="354" t="e">
        <f>Table12[[#This Row],[Occupied Seats ]]/Table12[[#This Row],[Seats]]</f>
        <v>#DIV/0!</v>
      </c>
    </row>
    <row r="11" spans="1:23">
      <c r="A11" s="324">
        <v>45893</v>
      </c>
      <c r="B11" s="324">
        <v>46258</v>
      </c>
      <c r="C11" t="s">
        <v>4280</v>
      </c>
      <c r="D11" t="s">
        <v>3678</v>
      </c>
      <c r="E11" t="s">
        <v>4281</v>
      </c>
      <c r="F11" s="44" t="s">
        <v>4271</v>
      </c>
      <c r="H11" s="42" t="s">
        <v>2697</v>
      </c>
      <c r="I11" s="329">
        <v>299</v>
      </c>
      <c r="J11" s="44">
        <v>1</v>
      </c>
      <c r="K11" s="329">
        <f>Table12[[#This Row],[Original Amount]]*Table12[[#This Row],[ER to EUR]]</f>
        <v>299</v>
      </c>
      <c r="O11" t="s">
        <v>2741</v>
      </c>
      <c r="P11" t="s">
        <v>2723</v>
      </c>
      <c r="Q11" s="44" t="s">
        <v>125</v>
      </c>
      <c r="R11" s="44" t="s">
        <v>4274</v>
      </c>
      <c r="S11" s="44">
        <v>1</v>
      </c>
      <c r="T11" s="44">
        <v>1</v>
      </c>
      <c r="U11" s="352">
        <f>Table12[[#This Row],[Occupied Seats ]]/Table12[[#This Row],[Seats]]</f>
        <v>1</v>
      </c>
    </row>
    <row r="12" spans="1:23">
      <c r="A12" s="324">
        <v>46028</v>
      </c>
      <c r="B12" s="324">
        <v>46059</v>
      </c>
      <c r="C12" t="s">
        <v>4269</v>
      </c>
      <c r="D12" t="s">
        <v>3864</v>
      </c>
      <c r="E12" t="s">
        <v>4285</v>
      </c>
      <c r="F12" s="44" t="s">
        <v>4271</v>
      </c>
      <c r="H12" s="42" t="s">
        <v>2548</v>
      </c>
      <c r="I12" s="329">
        <v>349</v>
      </c>
      <c r="J12" s="41">
        <v>0.85128099999999995</v>
      </c>
      <c r="K12" s="329">
        <f>Table12[[#This Row],[Original Amount]]*Table12[[#This Row],[ER to EUR]]</f>
        <v>297.09706899999998</v>
      </c>
      <c r="O12" t="s">
        <v>2705</v>
      </c>
      <c r="P12" t="s">
        <v>2735</v>
      </c>
      <c r="Q12" s="44" t="s">
        <v>125</v>
      </c>
      <c r="R12" s="44" t="s">
        <v>4274</v>
      </c>
      <c r="U12" s="352" t="e">
        <f>Table12[[#This Row],[Occupied Seats ]]/Table12[[#This Row],[Seats]]</f>
        <v>#DIV/0!</v>
      </c>
    </row>
    <row r="13" spans="1:23">
      <c r="A13" s="324">
        <v>46029</v>
      </c>
      <c r="B13" s="324">
        <v>46060</v>
      </c>
      <c r="C13" t="s">
        <v>4269</v>
      </c>
      <c r="D13" t="s">
        <v>3873</v>
      </c>
      <c r="E13" t="s">
        <v>4313</v>
      </c>
      <c r="F13" s="44" t="s">
        <v>4271</v>
      </c>
      <c r="H13" s="42" t="s">
        <v>2697</v>
      </c>
      <c r="I13" s="329">
        <v>272.32</v>
      </c>
      <c r="J13" s="42">
        <v>1</v>
      </c>
      <c r="K13" s="329">
        <f>Table12[[#This Row],[Original Amount]]*Table12[[#This Row],[ER to EUR]]</f>
        <v>272.32</v>
      </c>
      <c r="O13" t="s">
        <v>4205</v>
      </c>
      <c r="P13" t="s">
        <v>4206</v>
      </c>
      <c r="Q13" s="44" t="s">
        <v>125</v>
      </c>
      <c r="R13" s="44" t="s">
        <v>4274</v>
      </c>
      <c r="U13" s="352" t="e">
        <f>Table12[[#This Row],[Occupied Seats ]]/Table12[[#This Row],[Seats]]</f>
        <v>#DIV/0!</v>
      </c>
    </row>
    <row r="14" spans="1:23">
      <c r="A14" s="324">
        <v>46039</v>
      </c>
      <c r="B14" s="324">
        <v>46070</v>
      </c>
      <c r="C14" t="s">
        <v>4269</v>
      </c>
      <c r="D14" t="s">
        <v>3116</v>
      </c>
      <c r="E14" t="s">
        <v>4276</v>
      </c>
      <c r="F14" s="44" t="s">
        <v>4271</v>
      </c>
      <c r="H14" s="42" t="s">
        <v>2697</v>
      </c>
      <c r="I14" s="329">
        <v>250.91</v>
      </c>
      <c r="J14" s="44">
        <v>1</v>
      </c>
      <c r="K14" s="329">
        <f>Table12[[#This Row],[Original Amount]]*Table12[[#This Row],[ER to EUR]]</f>
        <v>250.91</v>
      </c>
      <c r="L14" s="42" t="s">
        <v>125</v>
      </c>
      <c r="M14" s="42" t="s">
        <v>125</v>
      </c>
      <c r="O14" t="s">
        <v>2794</v>
      </c>
      <c r="P14" t="s">
        <v>3041</v>
      </c>
      <c r="Q14" s="44" t="s">
        <v>125</v>
      </c>
      <c r="R14" s="44" t="s">
        <v>4274</v>
      </c>
      <c r="U14" s="352" t="e">
        <f>Table12[[#This Row],[Occupied Seats ]]/Table12[[#This Row],[Seats]]</f>
        <v>#DIV/0!</v>
      </c>
    </row>
    <row r="15" spans="1:23">
      <c r="A15" s="336">
        <v>46037</v>
      </c>
      <c r="B15" s="336">
        <v>46096</v>
      </c>
      <c r="C15" s="337" t="s">
        <v>4269</v>
      </c>
      <c r="D15" s="337" t="s">
        <v>2815</v>
      </c>
      <c r="E15" s="337" t="s">
        <v>3103</v>
      </c>
      <c r="F15" s="340" t="s">
        <v>4271</v>
      </c>
      <c r="G15" s="337"/>
      <c r="H15" s="338" t="s">
        <v>2697</v>
      </c>
      <c r="I15" s="339">
        <v>239.68</v>
      </c>
      <c r="J15" s="340">
        <v>1</v>
      </c>
      <c r="K15" s="339">
        <f>Table12[[#This Row],[Original Amount]]*Table12[[#This Row],[ER to EUR]]</f>
        <v>239.68</v>
      </c>
      <c r="L15" s="338"/>
      <c r="M15" s="338"/>
      <c r="N15" s="349"/>
      <c r="O15" s="337" t="s">
        <v>2819</v>
      </c>
      <c r="P15" s="337" t="s">
        <v>2817</v>
      </c>
      <c r="Q15" s="340" t="s">
        <v>125</v>
      </c>
      <c r="R15" s="340" t="s">
        <v>4274</v>
      </c>
      <c r="S15" s="340"/>
      <c r="T15" s="340"/>
      <c r="U15" s="354" t="e">
        <f>Table12[[#This Row],[Occupied Seats ]]/Table12[[#This Row],[Seats]]</f>
        <v>#DIV/0!</v>
      </c>
    </row>
    <row r="16" spans="1:23">
      <c r="A16" s="324">
        <v>46030</v>
      </c>
      <c r="B16" s="324">
        <v>46061</v>
      </c>
      <c r="C16" t="s">
        <v>4269</v>
      </c>
      <c r="D16" t="s">
        <v>3884</v>
      </c>
      <c r="E16" t="s">
        <v>4315</v>
      </c>
      <c r="F16" s="44" t="s">
        <v>4271</v>
      </c>
      <c r="H16" s="42" t="s">
        <v>2697</v>
      </c>
      <c r="I16" s="329">
        <v>236.81</v>
      </c>
      <c r="J16" s="44">
        <v>1</v>
      </c>
      <c r="K16" s="329">
        <f>Table12[[#This Row],[Original Amount]]*Table12[[#This Row],[ER to EUR]]</f>
        <v>236.81</v>
      </c>
      <c r="O16" t="s">
        <v>2741</v>
      </c>
      <c r="P16" t="s">
        <v>2723</v>
      </c>
      <c r="Q16" s="44" t="s">
        <v>125</v>
      </c>
      <c r="R16" s="44" t="s">
        <v>4274</v>
      </c>
      <c r="U16" s="352" t="e">
        <f>Table12[[#This Row],[Occupied Seats ]]/Table12[[#This Row],[Seats]]</f>
        <v>#DIV/0!</v>
      </c>
    </row>
    <row r="17" spans="1:21">
      <c r="A17" s="324">
        <v>46031</v>
      </c>
      <c r="B17" s="324">
        <v>46062</v>
      </c>
      <c r="C17" t="s">
        <v>4269</v>
      </c>
      <c r="D17" t="s">
        <v>4067</v>
      </c>
      <c r="E17" t="s">
        <v>4293</v>
      </c>
      <c r="F17" s="44" t="s">
        <v>4271</v>
      </c>
      <c r="H17" s="42" t="s">
        <v>2697</v>
      </c>
      <c r="I17" s="329">
        <v>213.01</v>
      </c>
      <c r="J17" s="44">
        <v>1</v>
      </c>
      <c r="K17" s="329">
        <f>Table12[[#This Row],[Original Amount]]*Table12[[#This Row],[ER to EUR]]</f>
        <v>213.01</v>
      </c>
      <c r="O17" t="s">
        <v>2749</v>
      </c>
      <c r="P17" t="s">
        <v>2750</v>
      </c>
      <c r="Q17" s="44" t="s">
        <v>125</v>
      </c>
      <c r="R17" s="44" t="s">
        <v>4274</v>
      </c>
      <c r="U17" s="352" t="e">
        <f>Table12[[#This Row],[Occupied Seats ]]/Table12[[#This Row],[Seats]]</f>
        <v>#DIV/0!</v>
      </c>
    </row>
    <row r="18" spans="1:21">
      <c r="A18" s="324">
        <v>46047</v>
      </c>
      <c r="B18" s="324">
        <v>46078</v>
      </c>
      <c r="C18" t="s">
        <v>4269</v>
      </c>
      <c r="D18" t="s">
        <v>3248</v>
      </c>
      <c r="E18" t="s">
        <v>3938</v>
      </c>
      <c r="F18" s="44" t="s">
        <v>4271</v>
      </c>
      <c r="H18" s="42" t="s">
        <v>2548</v>
      </c>
      <c r="I18" s="329">
        <v>238</v>
      </c>
      <c r="J18" s="41">
        <v>0.85128099999999995</v>
      </c>
      <c r="K18" s="329">
        <f>Table12[[#This Row],[Original Amount]]*Table12[[#This Row],[ER to EUR]]</f>
        <v>202.60487799999999</v>
      </c>
      <c r="L18" s="42" t="s">
        <v>125</v>
      </c>
      <c r="M18" s="42" t="s">
        <v>125</v>
      </c>
      <c r="O18" t="s">
        <v>2794</v>
      </c>
      <c r="P18" t="s">
        <v>2731</v>
      </c>
      <c r="Q18" s="44" t="s">
        <v>125</v>
      </c>
      <c r="R18" s="44" t="s">
        <v>4274</v>
      </c>
      <c r="U18" s="352" t="e">
        <f>Table12[[#This Row],[Occupied Seats ]]/Table12[[#This Row],[Seats]]</f>
        <v>#DIV/0!</v>
      </c>
    </row>
    <row r="19" spans="1:21">
      <c r="A19" s="336">
        <v>46051</v>
      </c>
      <c r="B19" s="336">
        <v>46081</v>
      </c>
      <c r="C19" s="337" t="s">
        <v>4269</v>
      </c>
      <c r="D19" s="337" t="s">
        <v>3349</v>
      </c>
      <c r="E19" s="337" t="s">
        <v>3350</v>
      </c>
      <c r="F19" s="340" t="s">
        <v>4271</v>
      </c>
      <c r="G19" s="337"/>
      <c r="H19" s="338" t="s">
        <v>2548</v>
      </c>
      <c r="I19" s="339">
        <v>238</v>
      </c>
      <c r="J19" s="340">
        <v>0.85128099999999995</v>
      </c>
      <c r="K19" s="339">
        <f>Table12[[#This Row],[Original Amount]]*Table12[[#This Row],[ER to EUR]]</f>
        <v>202.60487799999999</v>
      </c>
      <c r="L19" s="338"/>
      <c r="M19" s="338"/>
      <c r="N19" s="349"/>
      <c r="O19" s="337" t="s">
        <v>4205</v>
      </c>
      <c r="P19" s="337" t="s">
        <v>4206</v>
      </c>
      <c r="Q19" s="340" t="s">
        <v>125</v>
      </c>
      <c r="R19" s="340" t="s">
        <v>4274</v>
      </c>
      <c r="S19" s="340"/>
      <c r="T19" s="340"/>
      <c r="U19" s="354" t="e">
        <f>Table12[[#This Row],[Occupied Seats ]]/Table12[[#This Row],[Seats]]</f>
        <v>#DIV/0!</v>
      </c>
    </row>
    <row r="20" spans="1:21">
      <c r="A20" s="336">
        <v>46041</v>
      </c>
      <c r="B20" s="336">
        <v>46072</v>
      </c>
      <c r="C20" s="337" t="s">
        <v>4269</v>
      </c>
      <c r="D20" s="337" t="s">
        <v>2766</v>
      </c>
      <c r="E20" s="337" t="s">
        <v>4306</v>
      </c>
      <c r="F20" s="340" t="s">
        <v>4271</v>
      </c>
      <c r="G20" s="337"/>
      <c r="H20" s="338" t="s">
        <v>2697</v>
      </c>
      <c r="I20" s="339">
        <v>192.44</v>
      </c>
      <c r="J20" s="340">
        <v>1</v>
      </c>
      <c r="K20" s="339">
        <f>Table12[[#This Row],[Original Amount]]*Table12[[#This Row],[ER to EUR]]</f>
        <v>192.44</v>
      </c>
      <c r="L20" s="338"/>
      <c r="M20" s="338"/>
      <c r="N20" s="349"/>
      <c r="O20" s="337" t="s">
        <v>4205</v>
      </c>
      <c r="P20" s="337" t="s">
        <v>4206</v>
      </c>
      <c r="Q20" s="340" t="s">
        <v>125</v>
      </c>
      <c r="R20" s="340" t="s">
        <v>4274</v>
      </c>
      <c r="S20" s="340"/>
      <c r="T20" s="340"/>
      <c r="U20" s="354" t="e">
        <f>Table12[[#This Row],[Occupied Seats ]]/Table12[[#This Row],[Seats]]</f>
        <v>#DIV/0!</v>
      </c>
    </row>
    <row r="21" spans="1:21">
      <c r="A21" s="324">
        <v>46050</v>
      </c>
      <c r="B21" s="324">
        <v>46081</v>
      </c>
      <c r="C21" t="s">
        <v>4269</v>
      </c>
      <c r="D21" t="s">
        <v>4224</v>
      </c>
      <c r="E21" t="s">
        <v>4225</v>
      </c>
      <c r="F21" s="44" t="s">
        <v>4271</v>
      </c>
      <c r="H21" s="42" t="s">
        <v>2697</v>
      </c>
      <c r="I21" s="329">
        <v>190.84</v>
      </c>
      <c r="J21" s="44">
        <v>1</v>
      </c>
      <c r="K21" s="329">
        <f>Table12[[#This Row],[Original Amount]]*Table12[[#This Row],[ER to EUR]]</f>
        <v>190.84</v>
      </c>
      <c r="N21" s="42"/>
      <c r="O21" t="s">
        <v>2794</v>
      </c>
      <c r="P21" t="s">
        <v>2731</v>
      </c>
      <c r="Q21" s="44" t="s">
        <v>125</v>
      </c>
      <c r="R21" s="44" t="s">
        <v>4274</v>
      </c>
      <c r="U21" s="352" t="e">
        <f>Table12[[#This Row],[Occupied Seats ]]/Table12[[#This Row],[Seats]]</f>
        <v>#DIV/0!</v>
      </c>
    </row>
    <row r="22" spans="1:21">
      <c r="A22" s="336">
        <v>46040</v>
      </c>
      <c r="B22" s="336">
        <v>46071</v>
      </c>
      <c r="C22" s="337" t="s">
        <v>4269</v>
      </c>
      <c r="D22" s="337" t="s">
        <v>2815</v>
      </c>
      <c r="E22" s="337" t="s">
        <v>2816</v>
      </c>
      <c r="F22" s="340" t="s">
        <v>4271</v>
      </c>
      <c r="G22" s="337"/>
      <c r="H22" s="338" t="s">
        <v>2697</v>
      </c>
      <c r="I22" s="339">
        <v>187.25</v>
      </c>
      <c r="J22" s="340">
        <v>1</v>
      </c>
      <c r="K22" s="339">
        <f>Table12[[#This Row],[Original Amount]]*Table12[[#This Row],[ER to EUR]]</f>
        <v>187.25</v>
      </c>
      <c r="L22" s="338"/>
      <c r="M22" s="338"/>
      <c r="N22" s="349"/>
      <c r="O22" s="337" t="s">
        <v>2819</v>
      </c>
      <c r="P22" s="337" t="s">
        <v>2817</v>
      </c>
      <c r="Q22" s="340" t="s">
        <v>125</v>
      </c>
      <c r="R22" s="340" t="s">
        <v>4274</v>
      </c>
      <c r="S22" s="340"/>
      <c r="T22" s="340"/>
      <c r="U22" s="354" t="e">
        <f>Table12[[#This Row],[Occupied Seats ]]/Table12[[#This Row],[Seats]]</f>
        <v>#DIV/0!</v>
      </c>
    </row>
    <row r="23" spans="1:21">
      <c r="A23" s="324">
        <v>46037</v>
      </c>
      <c r="B23" s="324">
        <v>46068</v>
      </c>
      <c r="C23" t="s">
        <v>4269</v>
      </c>
      <c r="D23" t="s">
        <v>3492</v>
      </c>
      <c r="E23" t="s">
        <v>4289</v>
      </c>
      <c r="F23" s="44" t="s">
        <v>4271</v>
      </c>
      <c r="H23" s="42" t="s">
        <v>2697</v>
      </c>
      <c r="I23" s="329">
        <v>186</v>
      </c>
      <c r="J23" s="44">
        <v>1</v>
      </c>
      <c r="K23" s="329">
        <f>Table12[[#This Row],[Original Amount]]*Table12[[#This Row],[ER to EUR]]</f>
        <v>186</v>
      </c>
      <c r="O23" t="s">
        <v>2705</v>
      </c>
      <c r="P23" t="s">
        <v>2735</v>
      </c>
      <c r="Q23" s="44" t="s">
        <v>125</v>
      </c>
      <c r="R23" s="44" t="s">
        <v>4274</v>
      </c>
      <c r="U23" s="352" t="e">
        <f>Table12[[#This Row],[Occupied Seats ]]/Table12[[#This Row],[Seats]]</f>
        <v>#DIV/0!</v>
      </c>
    </row>
    <row r="24" spans="1:21">
      <c r="A24" s="324">
        <v>46052</v>
      </c>
      <c r="B24" s="324">
        <v>46081</v>
      </c>
      <c r="C24" t="s">
        <v>4269</v>
      </c>
      <c r="D24" t="s">
        <v>2766</v>
      </c>
      <c r="E24" t="s">
        <v>4308</v>
      </c>
      <c r="F24" s="44" t="s">
        <v>4271</v>
      </c>
      <c r="H24" s="42" t="s">
        <v>2548</v>
      </c>
      <c r="I24" s="329">
        <v>210</v>
      </c>
      <c r="J24" s="41">
        <v>0.85128099999999995</v>
      </c>
      <c r="K24" s="329">
        <f>Table12[[#This Row],[Original Amount]]*Table12[[#This Row],[ER to EUR]]</f>
        <v>178.76900999999998</v>
      </c>
      <c r="O24" t="s">
        <v>4205</v>
      </c>
      <c r="P24" t="s">
        <v>4206</v>
      </c>
      <c r="Q24" s="44" t="s">
        <v>125</v>
      </c>
      <c r="R24" s="44" t="s">
        <v>4274</v>
      </c>
      <c r="U24" s="352" t="e">
        <f>Table12[[#This Row],[Occupied Seats ]]/Table12[[#This Row],[Seats]]</f>
        <v>#DIV/0!</v>
      </c>
    </row>
    <row r="25" spans="1:21">
      <c r="A25" s="324">
        <v>46010</v>
      </c>
      <c r="B25" s="324">
        <v>46375</v>
      </c>
      <c r="C25" t="s">
        <v>4280</v>
      </c>
      <c r="D25" t="s">
        <v>4093</v>
      </c>
      <c r="E25" t="s">
        <v>4290</v>
      </c>
      <c r="F25" s="44" t="s">
        <v>4271</v>
      </c>
      <c r="H25" s="42" t="s">
        <v>2548</v>
      </c>
      <c r="I25" s="329">
        <v>192</v>
      </c>
      <c r="J25" s="41">
        <v>0.85128099999999995</v>
      </c>
      <c r="K25" s="329">
        <f>Table12[[#This Row],[Original Amount]]*Table12[[#This Row],[ER to EUR]]</f>
        <v>163.44595199999998</v>
      </c>
      <c r="O25" t="s">
        <v>2819</v>
      </c>
      <c r="P25" t="s">
        <v>2817</v>
      </c>
      <c r="Q25" s="44" t="s">
        <v>125</v>
      </c>
      <c r="R25" s="44" t="s">
        <v>4274</v>
      </c>
      <c r="U25" s="352" t="e">
        <f>Table12[[#This Row],[Occupied Seats ]]/Table12[[#This Row],[Seats]]</f>
        <v>#DIV/0!</v>
      </c>
    </row>
    <row r="26" spans="1:21">
      <c r="A26" s="324">
        <v>46045</v>
      </c>
      <c r="B26" s="324">
        <v>46076</v>
      </c>
      <c r="C26" t="s">
        <v>4269</v>
      </c>
      <c r="D26" t="s">
        <v>2993</v>
      </c>
      <c r="E26" t="s">
        <v>4003</v>
      </c>
      <c r="F26" s="44" t="s">
        <v>4271</v>
      </c>
      <c r="H26" s="42" t="s">
        <v>2697</v>
      </c>
      <c r="I26" s="329">
        <v>160.04</v>
      </c>
      <c r="J26" s="44">
        <v>1</v>
      </c>
      <c r="K26" s="329">
        <f>Table12[[#This Row],[Original Amount]]*Table12[[#This Row],[ER to EUR]]</f>
        <v>160.04</v>
      </c>
      <c r="L26" s="42" t="s">
        <v>125</v>
      </c>
      <c r="M26" s="42" t="s">
        <v>125</v>
      </c>
      <c r="O26" t="s">
        <v>4205</v>
      </c>
      <c r="P26" t="s">
        <v>4206</v>
      </c>
      <c r="Q26" s="44" t="s">
        <v>125</v>
      </c>
      <c r="R26" s="44" t="s">
        <v>4274</v>
      </c>
      <c r="U26" s="352" t="e">
        <f>Table12[[#This Row],[Occupied Seats ]]/Table12[[#This Row],[Seats]]</f>
        <v>#DIV/0!</v>
      </c>
    </row>
    <row r="27" spans="1:21">
      <c r="A27" s="324">
        <v>46025</v>
      </c>
      <c r="B27" s="324">
        <v>46056</v>
      </c>
      <c r="C27" t="s">
        <v>4269</v>
      </c>
      <c r="D27" t="s">
        <v>2737</v>
      </c>
      <c r="E27" t="s">
        <v>3851</v>
      </c>
      <c r="F27" s="44" t="s">
        <v>4271</v>
      </c>
      <c r="H27" s="42" t="s">
        <v>2548</v>
      </c>
      <c r="I27" s="329">
        <v>180</v>
      </c>
      <c r="J27" s="41">
        <v>0.85128099999999995</v>
      </c>
      <c r="K27" s="329">
        <f>Table12[[#This Row],[Original Amount]]*Table12[[#This Row],[ER to EUR]]</f>
        <v>153.23058</v>
      </c>
      <c r="O27" t="s">
        <v>4205</v>
      </c>
      <c r="P27" t="s">
        <v>4206</v>
      </c>
      <c r="Q27" s="44" t="s">
        <v>125</v>
      </c>
      <c r="R27" s="44" t="s">
        <v>4274</v>
      </c>
      <c r="U27" s="352" t="e">
        <f>Table12[[#This Row],[Occupied Seats ]]/Table12[[#This Row],[Seats]]</f>
        <v>#DIV/0!</v>
      </c>
    </row>
    <row r="28" spans="1:21">
      <c r="A28" s="324">
        <v>46037</v>
      </c>
      <c r="B28" s="324">
        <v>46068</v>
      </c>
      <c r="C28" t="s">
        <v>4269</v>
      </c>
      <c r="D28" t="s">
        <v>4096</v>
      </c>
      <c r="E28" t="s">
        <v>4279</v>
      </c>
      <c r="F28" s="44" t="s">
        <v>4271</v>
      </c>
      <c r="H28" s="42" t="s">
        <v>2697</v>
      </c>
      <c r="I28" s="329">
        <v>140</v>
      </c>
      <c r="J28" s="44">
        <v>1</v>
      </c>
      <c r="K28" s="329">
        <f>Table12[[#This Row],[Original Amount]]*Table12[[#This Row],[ER to EUR]]</f>
        <v>140</v>
      </c>
      <c r="O28" t="s">
        <v>4205</v>
      </c>
      <c r="P28" t="s">
        <v>4206</v>
      </c>
      <c r="Q28" s="44" t="s">
        <v>125</v>
      </c>
      <c r="R28" s="44" t="s">
        <v>4274</v>
      </c>
      <c r="U28" s="352" t="e">
        <f>Table12[[#This Row],[Occupied Seats ]]/Table12[[#This Row],[Seats]]</f>
        <v>#DIV/0!</v>
      </c>
    </row>
    <row r="29" spans="1:21">
      <c r="A29" s="324">
        <v>46049</v>
      </c>
      <c r="B29" s="324">
        <v>46080</v>
      </c>
      <c r="C29" t="s">
        <v>4269</v>
      </c>
      <c r="D29" t="s">
        <v>2766</v>
      </c>
      <c r="E29" t="s">
        <v>4307</v>
      </c>
      <c r="F29" s="44" t="s">
        <v>4271</v>
      </c>
      <c r="H29" s="42" t="s">
        <v>2548</v>
      </c>
      <c r="I29" s="329">
        <v>140</v>
      </c>
      <c r="J29" s="41">
        <v>0.85128099999999995</v>
      </c>
      <c r="K29" s="329">
        <f>Table12[[#This Row],[Original Amount]]*Table12[[#This Row],[ER to EUR]]</f>
        <v>119.17934</v>
      </c>
      <c r="L29" s="42" t="s">
        <v>125</v>
      </c>
      <c r="M29" s="42" t="s">
        <v>125</v>
      </c>
      <c r="O29" t="s">
        <v>4205</v>
      </c>
      <c r="P29" t="s">
        <v>4206</v>
      </c>
      <c r="Q29" s="44"/>
      <c r="R29" s="44" t="s">
        <v>4274</v>
      </c>
      <c r="U29" s="352" t="e">
        <f>Table12[[#This Row],[Occupied Seats ]]/Table12[[#This Row],[Seats]]</f>
        <v>#DIV/0!</v>
      </c>
    </row>
    <row r="30" spans="1:21">
      <c r="A30" s="325">
        <v>45975</v>
      </c>
      <c r="B30" s="325">
        <v>46005</v>
      </c>
      <c r="C30" s="326" t="s">
        <v>4269</v>
      </c>
      <c r="D30" s="326" t="s">
        <v>2812</v>
      </c>
      <c r="E30" s="326" t="s">
        <v>2813</v>
      </c>
      <c r="F30" s="328" t="s">
        <v>4287</v>
      </c>
      <c r="G30" s="326"/>
      <c r="H30" s="327" t="s">
        <v>2697</v>
      </c>
      <c r="I30" s="330">
        <v>118.99</v>
      </c>
      <c r="J30" s="328">
        <v>1</v>
      </c>
      <c r="K30" s="330">
        <f>Table12[[#This Row],[Original Amount]]*Table12[[#This Row],[ER to EUR]]</f>
        <v>118.99</v>
      </c>
      <c r="L30" s="327"/>
      <c r="M30" s="327"/>
      <c r="N30" s="330">
        <f>Table12[[#This Row],[Amount in EUR]]</f>
        <v>118.99</v>
      </c>
      <c r="O30" s="326" t="s">
        <v>2705</v>
      </c>
      <c r="P30" s="326" t="s">
        <v>2735</v>
      </c>
      <c r="Q30" s="328" t="s">
        <v>125</v>
      </c>
      <c r="R30" s="328" t="s">
        <v>4288</v>
      </c>
      <c r="S30" s="328"/>
      <c r="T30" s="328"/>
      <c r="U30" s="383" t="e">
        <f>Table12[[#This Row],[Occupied Seats ]]/Table12[[#This Row],[Seats]]</f>
        <v>#DIV/0!</v>
      </c>
    </row>
    <row r="31" spans="1:21">
      <c r="A31" s="324">
        <v>46028</v>
      </c>
      <c r="B31" s="324">
        <v>46059</v>
      </c>
      <c r="C31" t="s">
        <v>4269</v>
      </c>
      <c r="D31" t="s">
        <v>3269</v>
      </c>
      <c r="E31" t="s">
        <v>4318</v>
      </c>
      <c r="F31" s="44" t="s">
        <v>4271</v>
      </c>
      <c r="H31" s="42" t="s">
        <v>2697</v>
      </c>
      <c r="I31" s="329">
        <v>89</v>
      </c>
      <c r="J31" s="44">
        <v>1</v>
      </c>
      <c r="K31" s="329">
        <f>Table12[[#This Row],[Original Amount]]*Table12[[#This Row],[ER to EUR]]</f>
        <v>89</v>
      </c>
      <c r="O31" t="s">
        <v>4205</v>
      </c>
      <c r="P31" t="s">
        <v>4206</v>
      </c>
      <c r="Q31" s="44" t="s">
        <v>125</v>
      </c>
      <c r="R31" s="44" t="s">
        <v>4274</v>
      </c>
      <c r="U31" s="352" t="e">
        <f>Table12[[#This Row],[Occupied Seats ]]/Table12[[#This Row],[Seats]]</f>
        <v>#DIV/0!</v>
      </c>
    </row>
    <row r="32" spans="1:21">
      <c r="A32" s="324">
        <v>46041</v>
      </c>
      <c r="B32" s="324">
        <v>46072</v>
      </c>
      <c r="C32" t="s">
        <v>4269</v>
      </c>
      <c r="D32" t="s">
        <v>4096</v>
      </c>
      <c r="E32" t="s">
        <v>4278</v>
      </c>
      <c r="F32" s="44" t="s">
        <v>4271</v>
      </c>
      <c r="H32" s="42" t="s">
        <v>2548</v>
      </c>
      <c r="I32" s="329">
        <v>100</v>
      </c>
      <c r="J32" s="41">
        <v>0.85128099999999995</v>
      </c>
      <c r="K32" s="329">
        <f>Table12[[#This Row],[Original Amount]]*Table12[[#This Row],[ER to EUR]]</f>
        <v>85.128099999999989</v>
      </c>
      <c r="O32" t="s">
        <v>4205</v>
      </c>
      <c r="P32" t="s">
        <v>4206</v>
      </c>
      <c r="Q32" s="44" t="s">
        <v>125</v>
      </c>
      <c r="R32" s="44" t="s">
        <v>4274</v>
      </c>
      <c r="U32" s="352" t="e">
        <f>Table12[[#This Row],[Occupied Seats ]]/Table12[[#This Row],[Seats]]</f>
        <v>#DIV/0!</v>
      </c>
    </row>
    <row r="33" spans="1:21">
      <c r="A33" s="324">
        <v>46027</v>
      </c>
      <c r="B33" s="324">
        <v>46058</v>
      </c>
      <c r="C33" t="s">
        <v>4269</v>
      </c>
      <c r="D33" t="s">
        <v>4144</v>
      </c>
      <c r="E33" t="s">
        <v>4291</v>
      </c>
      <c r="F33" s="44" t="s">
        <v>4271</v>
      </c>
      <c r="H33" s="42" t="s">
        <v>2548</v>
      </c>
      <c r="I33" s="329">
        <v>99</v>
      </c>
      <c r="J33" s="41">
        <v>0.85128099999999995</v>
      </c>
      <c r="K33" s="329">
        <f>Table12[[#This Row],[Original Amount]]*Table12[[#This Row],[ER to EUR]]</f>
        <v>84.276818999999989</v>
      </c>
      <c r="O33" t="s">
        <v>4205</v>
      </c>
      <c r="P33" t="s">
        <v>4206</v>
      </c>
      <c r="Q33" s="44" t="s">
        <v>125</v>
      </c>
      <c r="R33" s="44" t="s">
        <v>4274</v>
      </c>
      <c r="U33" s="352" t="e">
        <f>Table12[[#This Row],[Occupied Seats ]]/Table12[[#This Row],[Seats]]</f>
        <v>#DIV/0!</v>
      </c>
    </row>
    <row r="34" spans="1:21">
      <c r="A34" s="325">
        <v>46013</v>
      </c>
      <c r="B34" s="325">
        <v>46044</v>
      </c>
      <c r="C34" s="326" t="s">
        <v>4269</v>
      </c>
      <c r="D34" s="326" t="s">
        <v>3534</v>
      </c>
      <c r="E34" s="326" t="s">
        <v>4305</v>
      </c>
      <c r="F34" s="328" t="s">
        <v>4287</v>
      </c>
      <c r="G34" s="326"/>
      <c r="H34" s="327" t="s">
        <v>2697</v>
      </c>
      <c r="I34" s="330">
        <v>83.18</v>
      </c>
      <c r="J34" s="328">
        <v>1</v>
      </c>
      <c r="K34" s="330">
        <f>Table12[[#This Row],[Original Amount]]*Table12[[#This Row],[ER to EUR]]</f>
        <v>83.18</v>
      </c>
      <c r="L34" s="327"/>
      <c r="M34" s="327"/>
      <c r="N34" s="330">
        <f>Table12[[#This Row],[Amount in EUR]]</f>
        <v>83.18</v>
      </c>
      <c r="O34" s="326" t="s">
        <v>2705</v>
      </c>
      <c r="P34" s="326" t="s">
        <v>2735</v>
      </c>
      <c r="Q34" s="328" t="s">
        <v>125</v>
      </c>
      <c r="R34" s="328" t="s">
        <v>4288</v>
      </c>
      <c r="S34" s="328"/>
      <c r="T34" s="328"/>
      <c r="U34" s="383" t="e">
        <f>Table12[[#This Row],[Occupied Seats ]]/Table12[[#This Row],[Seats]]</f>
        <v>#DIV/0!</v>
      </c>
    </row>
    <row r="35" spans="1:21">
      <c r="A35" s="324">
        <v>46028</v>
      </c>
      <c r="B35" s="324">
        <v>46059</v>
      </c>
      <c r="C35" t="s">
        <v>4269</v>
      </c>
      <c r="D35" t="s">
        <v>4297</v>
      </c>
      <c r="E35" t="s">
        <v>3924</v>
      </c>
      <c r="F35" s="44" t="s">
        <v>4271</v>
      </c>
      <c r="H35" s="42" t="s">
        <v>2697</v>
      </c>
      <c r="I35" s="329">
        <v>82.64</v>
      </c>
      <c r="J35" s="44">
        <v>1</v>
      </c>
      <c r="K35" s="329">
        <f>Table12[[#This Row],[Original Amount]]*Table12[[#This Row],[ER to EUR]]</f>
        <v>82.64</v>
      </c>
      <c r="O35" t="s">
        <v>4298</v>
      </c>
      <c r="P35" t="s">
        <v>2735</v>
      </c>
      <c r="Q35" s="44" t="s">
        <v>125</v>
      </c>
      <c r="R35" s="44" t="s">
        <v>4274</v>
      </c>
      <c r="U35" s="352" t="e">
        <f>Table12[[#This Row],[Occupied Seats ]]/Table12[[#This Row],[Seats]]</f>
        <v>#DIV/0!</v>
      </c>
    </row>
    <row r="36" spans="1:21">
      <c r="A36" s="324">
        <v>46039</v>
      </c>
      <c r="B36" s="324">
        <v>46070</v>
      </c>
      <c r="C36" t="s">
        <v>4269</v>
      </c>
      <c r="D36" t="s">
        <v>2833</v>
      </c>
      <c r="E36" t="s">
        <v>4284</v>
      </c>
      <c r="F36" s="44" t="s">
        <v>4271</v>
      </c>
      <c r="H36" s="42" t="s">
        <v>2697</v>
      </c>
      <c r="I36" s="329">
        <v>81</v>
      </c>
      <c r="J36" s="44">
        <v>1</v>
      </c>
      <c r="K36" s="329">
        <f>Table12[[#This Row],[Original Amount]]*Table12[[#This Row],[ER to EUR]]</f>
        <v>81</v>
      </c>
      <c r="O36" t="s">
        <v>2819</v>
      </c>
      <c r="P36" t="s">
        <v>2817</v>
      </c>
      <c r="Q36" s="44" t="s">
        <v>125</v>
      </c>
      <c r="R36" s="44" t="s">
        <v>4274</v>
      </c>
      <c r="U36" s="352" t="e">
        <f>Table12[[#This Row],[Occupied Seats ]]/Table12[[#This Row],[Seats]]</f>
        <v>#DIV/0!</v>
      </c>
    </row>
    <row r="37" spans="1:21">
      <c r="A37" s="324">
        <v>46026</v>
      </c>
      <c r="B37" s="324">
        <v>46057</v>
      </c>
      <c r="C37" t="s">
        <v>4269</v>
      </c>
      <c r="D37" t="s">
        <v>4282</v>
      </c>
      <c r="E37" t="s">
        <v>4283</v>
      </c>
      <c r="F37" s="44" t="s">
        <v>4271</v>
      </c>
      <c r="H37" s="42" t="s">
        <v>2548</v>
      </c>
      <c r="I37" s="329">
        <v>87</v>
      </c>
      <c r="J37" s="41">
        <v>0.85128099999999995</v>
      </c>
      <c r="K37" s="329">
        <f>Table12[[#This Row],[Original Amount]]*Table12[[#This Row],[ER to EUR]]</f>
        <v>74.061447000000001</v>
      </c>
      <c r="O37" t="s">
        <v>4205</v>
      </c>
      <c r="P37" t="s">
        <v>4206</v>
      </c>
      <c r="Q37" s="44" t="s">
        <v>125</v>
      </c>
      <c r="R37" s="44" t="s">
        <v>4274</v>
      </c>
      <c r="U37" s="352" t="e">
        <f>Table12[[#This Row],[Occupied Seats ]]/Table12[[#This Row],[Seats]]</f>
        <v>#DIV/0!</v>
      </c>
    </row>
    <row r="38" spans="1:21">
      <c r="A38" s="324">
        <v>46036</v>
      </c>
      <c r="B38" s="324">
        <v>46067</v>
      </c>
      <c r="C38" t="s">
        <v>4269</v>
      </c>
      <c r="D38" t="s">
        <v>2830</v>
      </c>
      <c r="E38" t="s">
        <v>4273</v>
      </c>
      <c r="F38" s="44" t="s">
        <v>4271</v>
      </c>
      <c r="H38" s="42" t="s">
        <v>2697</v>
      </c>
      <c r="I38" s="329">
        <v>65.540000000000006</v>
      </c>
      <c r="J38" s="42">
        <v>1</v>
      </c>
      <c r="K38" s="329">
        <f>Table12[[#This Row],[Original Amount]]*Table12[[#This Row],[ER to EUR]]</f>
        <v>65.540000000000006</v>
      </c>
      <c r="O38" t="s">
        <v>2741</v>
      </c>
      <c r="P38" t="s">
        <v>2723</v>
      </c>
      <c r="Q38" s="44" t="s">
        <v>125</v>
      </c>
      <c r="R38" s="44" t="s">
        <v>4274</v>
      </c>
      <c r="U38" s="352" t="e">
        <f>Table12[[#This Row],[Occupied Seats ]]/Table12[[#This Row],[Seats]]</f>
        <v>#DIV/0!</v>
      </c>
    </row>
    <row r="39" spans="1:21">
      <c r="A39" s="336">
        <v>46051</v>
      </c>
      <c r="B39" s="336">
        <v>46081</v>
      </c>
      <c r="C39" s="337" t="s">
        <v>4269</v>
      </c>
      <c r="D39" s="337" t="s">
        <v>2956</v>
      </c>
      <c r="E39" s="337" t="s">
        <v>3214</v>
      </c>
      <c r="F39" s="340" t="s">
        <v>4271</v>
      </c>
      <c r="G39" s="337"/>
      <c r="H39" s="338" t="s">
        <v>2697</v>
      </c>
      <c r="I39" s="339">
        <v>62.49</v>
      </c>
      <c r="J39" s="340">
        <v>1</v>
      </c>
      <c r="K39" s="339">
        <f>Table12[[#This Row],[Original Amount]]*Table12[[#This Row],[ER to EUR]]</f>
        <v>62.49</v>
      </c>
      <c r="L39" s="338"/>
      <c r="M39" s="338"/>
      <c r="N39" s="349"/>
      <c r="O39" s="337" t="s">
        <v>4205</v>
      </c>
      <c r="P39" s="337" t="s">
        <v>4206</v>
      </c>
      <c r="Q39" s="340" t="s">
        <v>125</v>
      </c>
      <c r="R39" s="340" t="s">
        <v>4317</v>
      </c>
      <c r="S39" s="340"/>
      <c r="T39" s="340"/>
      <c r="U39" s="354" t="e">
        <f>Table12[[#This Row],[Occupied Seats ]]/Table12[[#This Row],[Seats]]</f>
        <v>#DIV/0!</v>
      </c>
    </row>
    <row r="40" spans="1:21">
      <c r="A40" s="324">
        <v>46028</v>
      </c>
      <c r="B40" s="324">
        <v>46393</v>
      </c>
      <c r="C40" t="s">
        <v>4280</v>
      </c>
      <c r="D40" t="s">
        <v>2782</v>
      </c>
      <c r="E40" t="s">
        <v>4294</v>
      </c>
      <c r="F40" s="44" t="s">
        <v>4271</v>
      </c>
      <c r="H40" s="42" t="s">
        <v>2548</v>
      </c>
      <c r="I40" s="329">
        <v>69</v>
      </c>
      <c r="J40" s="41">
        <v>0.85128099999999995</v>
      </c>
      <c r="K40" s="329">
        <f>Table12[[#This Row],[Original Amount]]*Table12[[#This Row],[ER to EUR]]</f>
        <v>58.738388999999998</v>
      </c>
      <c r="O40" t="s">
        <v>2705</v>
      </c>
      <c r="P40" t="s">
        <v>2735</v>
      </c>
      <c r="Q40" s="44" t="s">
        <v>125</v>
      </c>
      <c r="R40" s="44" t="s">
        <v>4274</v>
      </c>
      <c r="U40" s="352" t="e">
        <f>Table12[[#This Row],[Occupied Seats ]]/Table12[[#This Row],[Seats]]</f>
        <v>#DIV/0!</v>
      </c>
    </row>
    <row r="41" spans="1:21">
      <c r="A41" s="331">
        <v>46030</v>
      </c>
      <c r="B41" s="331">
        <v>46061</v>
      </c>
      <c r="C41" s="332" t="s">
        <v>4269</v>
      </c>
      <c r="D41" s="332" t="s">
        <v>2830</v>
      </c>
      <c r="E41" s="332" t="s">
        <v>4270</v>
      </c>
      <c r="F41" s="335" t="s">
        <v>4271</v>
      </c>
      <c r="G41" s="332"/>
      <c r="H41" s="333" t="s">
        <v>2697</v>
      </c>
      <c r="I41" s="334">
        <v>49.99</v>
      </c>
      <c r="J41" s="333">
        <v>1</v>
      </c>
      <c r="K41" s="334">
        <f>Table12[[#This Row],[Original Amount]]*Table12[[#This Row],[ER to EUR]]</f>
        <v>49.99</v>
      </c>
      <c r="L41" s="333"/>
      <c r="M41" s="333"/>
      <c r="N41" s="333"/>
      <c r="O41" s="332" t="s">
        <v>2741</v>
      </c>
      <c r="P41" s="332" t="s">
        <v>2723</v>
      </c>
      <c r="Q41" s="335" t="s">
        <v>125</v>
      </c>
      <c r="R41" s="335" t="s">
        <v>4272</v>
      </c>
      <c r="S41" s="335"/>
      <c r="T41" s="335"/>
      <c r="U41" s="351" t="e">
        <f>Table12[[#This Row],[Occupied Seats ]]/Table12[[#This Row],[Seats]]</f>
        <v>#DIV/0!</v>
      </c>
    </row>
    <row r="42" spans="1:21">
      <c r="A42" s="331">
        <v>46028</v>
      </c>
      <c r="B42" s="331">
        <v>46059</v>
      </c>
      <c r="C42" s="332" t="s">
        <v>4269</v>
      </c>
      <c r="D42" s="332" t="s">
        <v>4311</v>
      </c>
      <c r="E42" s="332" t="s">
        <v>4312</v>
      </c>
      <c r="F42" s="335" t="s">
        <v>4271</v>
      </c>
      <c r="G42" s="332"/>
      <c r="H42" s="333" t="s">
        <v>2697</v>
      </c>
      <c r="I42" s="334">
        <v>48.55</v>
      </c>
      <c r="J42" s="335">
        <v>1</v>
      </c>
      <c r="K42" s="334">
        <f>Table12[[#This Row],[Original Amount]]*Table12[[#This Row],[ER to EUR]]</f>
        <v>48.55</v>
      </c>
      <c r="L42" s="333"/>
      <c r="M42" s="333"/>
      <c r="N42" s="350"/>
      <c r="O42" s="332" t="s">
        <v>2749</v>
      </c>
      <c r="P42" s="332" t="s">
        <v>2750</v>
      </c>
      <c r="Q42" s="335" t="s">
        <v>125</v>
      </c>
      <c r="R42" s="335" t="s">
        <v>4272</v>
      </c>
      <c r="S42" s="335"/>
      <c r="T42" s="335"/>
      <c r="U42" s="353" t="e">
        <f>Table12[[#This Row],[Occupied Seats ]]/Table12[[#This Row],[Seats]]</f>
        <v>#DIV/0!</v>
      </c>
    </row>
    <row r="43" spans="1:21">
      <c r="A43" s="325">
        <v>45997</v>
      </c>
      <c r="B43" s="325">
        <v>46028</v>
      </c>
      <c r="C43" s="326" t="s">
        <v>4269</v>
      </c>
      <c r="D43" s="326" t="s">
        <v>2777</v>
      </c>
      <c r="E43" s="326" t="s">
        <v>4286</v>
      </c>
      <c r="F43" s="328" t="s">
        <v>4287</v>
      </c>
      <c r="G43" s="326"/>
      <c r="H43" s="327" t="s">
        <v>2697</v>
      </c>
      <c r="I43" s="330">
        <v>46.41</v>
      </c>
      <c r="J43" s="328">
        <v>1</v>
      </c>
      <c r="K43" s="330">
        <f>Table12[[#This Row],[Original Amount]]*Table12[[#This Row],[ER to EUR]]</f>
        <v>46.41</v>
      </c>
      <c r="L43" s="327"/>
      <c r="M43" s="327"/>
      <c r="N43" s="330">
        <f>Table12[[#This Row],[Amount in EUR]]</f>
        <v>46.41</v>
      </c>
      <c r="O43" s="326" t="s">
        <v>2705</v>
      </c>
      <c r="P43" s="326" t="s">
        <v>2735</v>
      </c>
      <c r="Q43" s="328" t="s">
        <v>125</v>
      </c>
      <c r="R43" s="328" t="s">
        <v>4288</v>
      </c>
      <c r="S43" s="328"/>
      <c r="T43" s="328"/>
      <c r="U43" s="383" t="e">
        <f>Table12[[#This Row],[Occupied Seats ]]/Table12[[#This Row],[Seats]]</f>
        <v>#DIV/0!</v>
      </c>
    </row>
    <row r="44" spans="1:21">
      <c r="A44" s="324">
        <v>46043</v>
      </c>
      <c r="B44" s="324">
        <v>46074</v>
      </c>
      <c r="C44" t="s">
        <v>4269</v>
      </c>
      <c r="D44" t="s">
        <v>4299</v>
      </c>
      <c r="E44" t="s">
        <v>3868</v>
      </c>
      <c r="F44" s="44" t="s">
        <v>4271</v>
      </c>
      <c r="H44" s="42" t="s">
        <v>2697</v>
      </c>
      <c r="I44" s="329">
        <v>43.38</v>
      </c>
      <c r="J44" s="44">
        <v>1</v>
      </c>
      <c r="K44" s="329">
        <f>Table12[[#This Row],[Original Amount]]*Table12[[#This Row],[ER to EUR]]</f>
        <v>43.38</v>
      </c>
      <c r="O44" t="s">
        <v>4298</v>
      </c>
      <c r="P44" t="s">
        <v>2735</v>
      </c>
      <c r="Q44" s="44" t="s">
        <v>125</v>
      </c>
      <c r="R44" s="44" t="s">
        <v>4274</v>
      </c>
      <c r="U44" s="352" t="e">
        <f>Table12[[#This Row],[Occupied Seats ]]/Table12[[#This Row],[Seats]]</f>
        <v>#DIV/0!</v>
      </c>
    </row>
    <row r="45" spans="1:21">
      <c r="A45" s="324">
        <v>46006</v>
      </c>
      <c r="B45" s="324">
        <v>46037</v>
      </c>
      <c r="C45" t="s">
        <v>4269</v>
      </c>
      <c r="D45" t="s">
        <v>4078</v>
      </c>
      <c r="E45" t="s">
        <v>4079</v>
      </c>
      <c r="F45" s="44" t="s">
        <v>4271</v>
      </c>
      <c r="H45" s="42" t="s">
        <v>2697</v>
      </c>
      <c r="I45" s="329">
        <v>28.56</v>
      </c>
      <c r="J45" s="44">
        <v>1</v>
      </c>
      <c r="K45" s="329">
        <f>Table12[[#This Row],[Original Amount]]*Table12[[#This Row],[ER to EUR]]</f>
        <v>28.56</v>
      </c>
      <c r="O45" t="s">
        <v>4205</v>
      </c>
      <c r="P45" t="s">
        <v>4206</v>
      </c>
      <c r="Q45" s="44" t="s">
        <v>125</v>
      </c>
      <c r="R45" s="44" t="s">
        <v>4274</v>
      </c>
      <c r="U45" s="352" t="e">
        <f>Table12[[#This Row],[Occupied Seats ]]/Table12[[#This Row],[Seats]]</f>
        <v>#DIV/0!</v>
      </c>
    </row>
    <row r="46" spans="1:21">
      <c r="A46" s="324">
        <v>46043</v>
      </c>
      <c r="B46" s="324">
        <v>46044</v>
      </c>
      <c r="C46" t="s">
        <v>4269</v>
      </c>
      <c r="D46" t="s">
        <v>2830</v>
      </c>
      <c r="E46" t="s">
        <v>4275</v>
      </c>
      <c r="F46" s="44" t="s">
        <v>4271</v>
      </c>
      <c r="H46" s="42" t="s">
        <v>2697</v>
      </c>
      <c r="I46" s="329">
        <v>25.02</v>
      </c>
      <c r="J46" s="42">
        <v>1</v>
      </c>
      <c r="K46" s="329">
        <f>Table12[[#This Row],[Original Amount]]*Table12[[#This Row],[ER to EUR]]</f>
        <v>25.02</v>
      </c>
      <c r="O46" t="s">
        <v>2741</v>
      </c>
      <c r="P46" t="s">
        <v>2723</v>
      </c>
      <c r="Q46" s="44" t="s">
        <v>125</v>
      </c>
      <c r="R46" s="44" t="s">
        <v>4274</v>
      </c>
      <c r="U46" s="352" t="e">
        <f>Table12[[#This Row],[Occupied Seats ]]/Table12[[#This Row],[Seats]]</f>
        <v>#DIV/0!</v>
      </c>
    </row>
    <row r="47" spans="1:21">
      <c r="A47" s="324">
        <v>46025</v>
      </c>
      <c r="B47" s="324">
        <v>46056</v>
      </c>
      <c r="C47" t="s">
        <v>4269</v>
      </c>
      <c r="D47" t="s">
        <v>3462</v>
      </c>
      <c r="E47" t="s">
        <v>3463</v>
      </c>
      <c r="F47" s="44" t="s">
        <v>4271</v>
      </c>
      <c r="H47" s="42" t="s">
        <v>2697</v>
      </c>
      <c r="I47" s="329">
        <v>23.99</v>
      </c>
      <c r="J47" s="44">
        <v>1</v>
      </c>
      <c r="K47" s="329">
        <f>Table12[[#This Row],[Original Amount]]*Table12[[#This Row],[ER to EUR]]</f>
        <v>23.99</v>
      </c>
      <c r="O47" t="s">
        <v>2741</v>
      </c>
      <c r="P47" t="s">
        <v>2723</v>
      </c>
      <c r="Q47" s="44" t="s">
        <v>125</v>
      </c>
      <c r="R47" s="44" t="s">
        <v>4274</v>
      </c>
      <c r="U47" s="352" t="e">
        <f>Table12[[#This Row],[Occupied Seats ]]/Table12[[#This Row],[Seats]]</f>
        <v>#DIV/0!</v>
      </c>
    </row>
    <row r="48" spans="1:21">
      <c r="A48" s="324">
        <v>46027</v>
      </c>
      <c r="B48" s="324">
        <v>46058</v>
      </c>
      <c r="C48" t="s">
        <v>4269</v>
      </c>
      <c r="D48" t="s">
        <v>3068</v>
      </c>
      <c r="E48" t="s">
        <v>4300</v>
      </c>
      <c r="F48" s="44" t="s">
        <v>4271</v>
      </c>
      <c r="H48" s="42" t="s">
        <v>2548</v>
      </c>
      <c r="I48" s="329">
        <v>25</v>
      </c>
      <c r="J48" s="41">
        <v>0.85128099999999995</v>
      </c>
      <c r="K48" s="329">
        <f>Table12[[#This Row],[Original Amount]]*Table12[[#This Row],[ER to EUR]]</f>
        <v>21.282024999999997</v>
      </c>
      <c r="O48" t="s">
        <v>2741</v>
      </c>
      <c r="P48" t="s">
        <v>2723</v>
      </c>
      <c r="Q48" s="44" t="s">
        <v>125</v>
      </c>
      <c r="R48" s="44" t="s">
        <v>4274</v>
      </c>
      <c r="U48" s="352" t="e">
        <f>Table12[[#This Row],[Occupied Seats ]]/Table12[[#This Row],[Seats]]</f>
        <v>#DIV/0!</v>
      </c>
    </row>
    <row r="49" spans="1:21">
      <c r="A49" s="324">
        <v>46033</v>
      </c>
      <c r="B49" s="324">
        <v>46064</v>
      </c>
      <c r="C49" t="s">
        <v>4269</v>
      </c>
      <c r="D49" t="s">
        <v>4070</v>
      </c>
      <c r="E49" t="s">
        <v>4302</v>
      </c>
      <c r="F49" s="44" t="s">
        <v>4271</v>
      </c>
      <c r="H49" s="42" t="s">
        <v>2697</v>
      </c>
      <c r="I49" s="329">
        <v>20</v>
      </c>
      <c r="J49" s="44">
        <v>1</v>
      </c>
      <c r="K49" s="329">
        <f>Table12[[#This Row],[Original Amount]]*Table12[[#This Row],[ER to EUR]]</f>
        <v>20</v>
      </c>
      <c r="O49" t="s">
        <v>2819</v>
      </c>
      <c r="P49" t="s">
        <v>2817</v>
      </c>
      <c r="Q49" s="44" t="s">
        <v>125</v>
      </c>
      <c r="R49" s="44" t="s">
        <v>4274</v>
      </c>
      <c r="S49" s="44">
        <v>3</v>
      </c>
      <c r="T49" s="44">
        <v>2</v>
      </c>
      <c r="U49" s="352">
        <f>Table12[[#This Row],[Occupied Seats ]]/Table12[[#This Row],[Seats]]</f>
        <v>0.66666666666666663</v>
      </c>
    </row>
    <row r="50" spans="1:21">
      <c r="A50" s="324">
        <v>46042</v>
      </c>
      <c r="B50" s="324">
        <v>46073</v>
      </c>
      <c r="C50" t="s">
        <v>4269</v>
      </c>
      <c r="D50" t="s">
        <v>2996</v>
      </c>
      <c r="E50" t="s">
        <v>2997</v>
      </c>
      <c r="F50" s="44" t="s">
        <v>4271</v>
      </c>
      <c r="H50" s="42" t="s">
        <v>2697</v>
      </c>
      <c r="I50" s="329">
        <v>19.329999999999998</v>
      </c>
      <c r="J50" s="44">
        <v>1</v>
      </c>
      <c r="K50" s="329">
        <f>Table12[[#This Row],[Original Amount]]*Table12[[#This Row],[ER to EUR]]</f>
        <v>19.329999999999998</v>
      </c>
      <c r="O50" t="s">
        <v>4205</v>
      </c>
      <c r="P50" t="s">
        <v>4206</v>
      </c>
      <c r="Q50" s="44" t="s">
        <v>125</v>
      </c>
      <c r="R50" s="44" t="s">
        <v>4274</v>
      </c>
      <c r="U50" s="352" t="e">
        <f>Table12[[#This Row],[Occupied Seats ]]/Table12[[#This Row],[Seats]]</f>
        <v>#DIV/0!</v>
      </c>
    </row>
    <row r="51" spans="1:21">
      <c r="A51" s="324">
        <v>46011</v>
      </c>
      <c r="B51" s="324">
        <v>46042</v>
      </c>
      <c r="C51" t="s">
        <v>4269</v>
      </c>
      <c r="D51" t="s">
        <v>3920</v>
      </c>
      <c r="E51" t="s">
        <v>4316</v>
      </c>
      <c r="F51" s="44" t="s">
        <v>4271</v>
      </c>
      <c r="H51" s="42" t="s">
        <v>2548</v>
      </c>
      <c r="I51" s="329">
        <v>12.5</v>
      </c>
      <c r="J51" s="41">
        <v>0.85128099999999995</v>
      </c>
      <c r="K51" s="329">
        <f>Table12[[#This Row],[Original Amount]]*Table12[[#This Row],[ER to EUR]]</f>
        <v>10.641012499999999</v>
      </c>
      <c r="O51" t="s">
        <v>2705</v>
      </c>
      <c r="P51" t="s">
        <v>2735</v>
      </c>
      <c r="Q51" s="44" t="s">
        <v>125</v>
      </c>
      <c r="R51" s="44" t="s">
        <v>4317</v>
      </c>
      <c r="U51" s="352" t="e">
        <f>Table12[[#This Row],[Occupied Seats ]]/Table12[[#This Row],[Seats]]</f>
        <v>#DIV/0!</v>
      </c>
    </row>
  </sheetData>
  <dataValidations count="7">
    <dataValidation type="list" allowBlank="1" showInputMessage="1" showErrorMessage="1" sqref="G45:G1048576 G2:G43" xr:uid="{C31D1168-B7FB-844F-8C0B-3AA6417D22AA}">
      <formula1>"Business Support &amp; Compliance,Design,Education &amp; Training,Financial Management,Marketing,Mobility, Meals &amp; Accommodation,Operations, Assets &amp; Infrastructure,Software"</formula1>
    </dataValidation>
    <dataValidation type="list" allowBlank="1" showInputMessage="1" showErrorMessage="1" sqref="F2:F1048576" xr:uid="{F0BD6388-C998-A24E-B9C8-C6459313E323}">
      <formula1>"Active,Suspended"</formula1>
    </dataValidation>
    <dataValidation type="list" allowBlank="1" showInputMessage="1" showErrorMessage="1" sqref="H2:H1048576" xr:uid="{E7032445-72D1-FC44-A3BD-889BA4922846}">
      <formula1>"EUR,USD,CLP"</formula1>
    </dataValidation>
    <dataValidation type="list" allowBlank="1" showInputMessage="1" showErrorMessage="1" sqref="C2:C1048576" xr:uid="{BCC4DE5C-B577-BD48-BA9C-C23C6DAD7A42}">
      <formula1>"Monthly,Annual"</formula1>
    </dataValidation>
    <dataValidation type="list" allowBlank="1" showInputMessage="1" showErrorMessage="1" sqref="P2:P1048576" xr:uid="{EA480AEC-A9FE-0349-805A-2A2B545FF75A}">
      <formula1>"Design,Finanzas,Gerencia,Marketing,Operaciones,Servicio al Cliente,Tech &amp; Data"</formula1>
    </dataValidation>
    <dataValidation type="list" allowBlank="1" showInputMessage="1" showErrorMessage="1" sqref="O2:O1048576" xr:uid="{4354758A-BE75-D84C-B355-190F010A4524}">
      <formula1>"Nicolás Orbenes,José Ignacio Donoso,Drina Bascon,Edward Marinao,Manuel Felisatti,Francisca Hepp,Giovanny Bravo"</formula1>
    </dataValidation>
    <dataValidation type="list" allowBlank="1" showInputMessage="1" showErrorMessage="1" sqref="R2:R1048576" xr:uid="{C4B6A1DD-0A52-8745-9BC7-3482F47955AC}">
      <formula1>"Keep,On Leave,Verify,Unsubscribe"</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0B875-9C1A-4142-A348-47C60E0A4A40}">
  <dimension ref="A1:J16"/>
  <sheetViews>
    <sheetView zoomScale="94" zoomScaleNormal="94" workbookViewId="0">
      <selection activeCell="H22" sqref="H21:H22"/>
    </sheetView>
  </sheetViews>
  <sheetFormatPr baseColWidth="10" defaultColWidth="11.5" defaultRowHeight="15"/>
  <cols>
    <col min="1" max="1" width="19.1640625" bestFit="1" customWidth="1"/>
    <col min="2" max="3" width="19.33203125" customWidth="1"/>
    <col min="4" max="4" width="34.83203125" customWidth="1"/>
    <col min="5" max="5" width="25.1640625" customWidth="1"/>
    <col min="6" max="6" width="14" style="44" bestFit="1" customWidth="1"/>
    <col min="7" max="7" width="25.6640625" style="44" customWidth="1"/>
    <col min="8" max="8" width="14.1640625" style="44" customWidth="1"/>
    <col min="9" max="9" width="13.5" customWidth="1"/>
    <col min="10" max="10" width="19" customWidth="1"/>
  </cols>
  <sheetData>
    <row r="1" spans="1:10">
      <c r="A1" s="4" t="s">
        <v>0</v>
      </c>
      <c r="B1" s="290" t="s">
        <v>1</v>
      </c>
      <c r="C1" s="291" t="s">
        <v>2</v>
      </c>
      <c r="D1" s="290" t="s">
        <v>3</v>
      </c>
      <c r="E1" s="291" t="s">
        <v>4</v>
      </c>
      <c r="F1" s="290" t="s">
        <v>5</v>
      </c>
      <c r="G1" s="294" t="s">
        <v>6</v>
      </c>
      <c r="H1" s="291" t="s">
        <v>7</v>
      </c>
      <c r="I1" s="4" t="s">
        <v>8</v>
      </c>
      <c r="J1" s="4" t="s">
        <v>9</v>
      </c>
    </row>
    <row r="2" spans="1:10">
      <c r="A2" t="s">
        <v>10</v>
      </c>
      <c r="B2" s="292">
        <f>+SUMIFS(INGRESOS!J:J,INGRESOS!T:T,Tabla9[[#This Row],[PAIS]])</f>
        <v>46940.560000000012</v>
      </c>
      <c r="C2" s="293">
        <f>+COUNTIF('RESUMEN CLIENTES'!C:C,Tabla9[[#This Row],[PAIS]])</f>
        <v>7</v>
      </c>
      <c r="D2" s="292">
        <f>+SUMIFS(INGRESOS!J:J,INGRESOS!T:T,Tabla9[[#This Row],[PAIS]],'RESUMEN CLIENTES'!M:M,"&lt;&gt;ELIMINADO",'RESUMEN CLIENTES'!M:M,"&lt;&gt;SUSPENDIDO",'RESUMEN CLIENTES'!M:M,"&lt;&gt;EN PAUSA")</f>
        <v>41960.98</v>
      </c>
      <c r="E2" s="44">
        <f>+COUNTIFS('RESUMEN CLIENTES'!M:M, "&lt;&gt;ELIMINADO",'RESUMEN CLIENTES'!M:M, "&lt;&gt;SUSPENDIDO",'RESUMEN CLIENTES'!M:M, "&lt;&gt;EN PAUSA",'RESUMEN CLIENTES'!C:C,Tabla9[[#This Row],[PAIS]])</f>
        <v>5</v>
      </c>
      <c r="F2" s="295">
        <f>+COUNTIFS('RESUMEN CLIENTES'!M:M,"OK",'RESUMEN CLIENTES'!C:C,Tabla9[[#This Row],[PAIS]])</f>
        <v>5</v>
      </c>
      <c r="G2" s="44">
        <f>+COUNTIFS('RESUMEN CLIENTES'!M:M, "&lt;&gt;OK",'RESUMEN CLIENTES'!M:M, "&lt;&gt;ELIMINADO",'RESUMEN CLIENTES'!M:M, "&lt;&gt;EVALUACION",'RESUMEN CLIENTES'!C:C,Tabla9[[#This Row],[PAIS]])</f>
        <v>0</v>
      </c>
      <c r="H2" s="293">
        <f>+COUNTIFS('RESUMEN CLIENTES'!M:M,"ELIMINADO",'RESUMEN CLIENTES'!C:C,Tabla9[[#This Row],[PAIS]])</f>
        <v>2</v>
      </c>
      <c r="I2" s="289">
        <f>+IFERROR(AVERAGEIF('RESUMEN CLIENTES'!C:C,Tabla9[[#This Row],[PAIS]],'RESUMEN CLIENTES'!X:X),0)</f>
        <v>-0.11472892187177905</v>
      </c>
      <c r="J2" s="2">
        <f ca="1">+AVERAGEIF('RESUMEN CLIENTES'!C:C,Tabla9[[#This Row],[PAIS]],'RESUMEN CLIENTES'!K:K)</f>
        <v>1012.4136961451246</v>
      </c>
    </row>
    <row r="3" spans="1:10">
      <c r="A3" t="s">
        <v>11</v>
      </c>
      <c r="B3" s="292">
        <f>+SUMIFS(INGRESOS!J:J,INGRESOS!T:T,Tabla9[[#This Row],[PAIS]])</f>
        <v>352821.83464257838</v>
      </c>
      <c r="C3" s="293">
        <f>+COUNTIF('RESUMEN CLIENTES'!C:C,Tabla9[[#This Row],[PAIS]])</f>
        <v>40</v>
      </c>
      <c r="D3" s="292">
        <f>+SUMIFS(INGRESOS!J:J,INGRESOS!T:T,Tabla9[[#This Row],[PAIS]],'RESUMEN CLIENTES'!M:M,"&lt;&gt;ELIMINADO",'RESUMEN CLIENTES'!M:M,"&lt;&gt;SUSPENDIDO",'RESUMEN CLIENTES'!M:M,"&lt;&gt;EN PAUSA")</f>
        <v>333797.96545857837</v>
      </c>
      <c r="E3" s="44">
        <f>+COUNTIFS('RESUMEN CLIENTES'!M:M, "&lt;&gt;ELIMINADO",'RESUMEN CLIENTES'!M:M, "&lt;&gt;SUSPENDIDO",'RESUMEN CLIENTES'!M:M, "&lt;&gt;EN PAUSA",'RESUMEN CLIENTES'!C:C,Tabla9[[#This Row],[PAIS]])</f>
        <v>34</v>
      </c>
      <c r="F3" s="295">
        <f>+COUNTIFS('RESUMEN CLIENTES'!M:M,"OK",'RESUMEN CLIENTES'!C:C,Tabla9[[#This Row],[PAIS]])</f>
        <v>32</v>
      </c>
      <c r="G3" s="44">
        <f>+COUNTIFS('RESUMEN CLIENTES'!M:M, "&lt;&gt;OK",'RESUMEN CLIENTES'!M:M, "&lt;&gt;ELIMINADO",'RESUMEN CLIENTES'!M:M, "&lt;&gt;EVALUACION",'RESUMEN CLIENTES'!C:C,Tabla9[[#This Row],[PAIS]])</f>
        <v>3</v>
      </c>
      <c r="H3" s="293">
        <f>+COUNTIFS('RESUMEN CLIENTES'!M:M,"ELIMINADO",'RESUMEN CLIENTES'!C:C,Tabla9[[#This Row],[PAIS]])</f>
        <v>5</v>
      </c>
      <c r="I3" s="289">
        <f>+IFERROR(AVERAGEIF('RESUMEN CLIENTES'!C:C,Tabla9[[#This Row],[PAIS]],'RESUMEN CLIENTES'!X:X),0)</f>
        <v>-0.17691517883825583</v>
      </c>
      <c r="J3" s="2">
        <f ca="1">+AVERAGEIF('RESUMEN CLIENTES'!C:C,Tabla9[[#This Row],[PAIS]],'RESUMEN CLIENTES'!K:K)</f>
        <v>2007.0301694104037</v>
      </c>
    </row>
    <row r="4" spans="1:10">
      <c r="A4" t="s">
        <v>12</v>
      </c>
      <c r="B4" s="292">
        <f>+SUMIFS(INGRESOS!J:J,INGRESOS!T:T,Tabla9[[#This Row],[PAIS]])</f>
        <v>190195.21582157179</v>
      </c>
      <c r="C4" s="293">
        <f>+COUNTIF('RESUMEN CLIENTES'!C:C,Tabla9[[#This Row],[PAIS]])</f>
        <v>37</v>
      </c>
      <c r="D4" s="292">
        <f>+SUMIFS(INGRESOS!J:J,INGRESOS!T:T,Tabla9[[#This Row],[PAIS]],'RESUMEN CLIENTES'!M:M,"&lt;&gt;ELIMINADO",'RESUMEN CLIENTES'!M:M,"&lt;&gt;SUSPENDIDO",'RESUMEN CLIENTES'!M:M,"&lt;&gt;EN PAUSA")</f>
        <v>183666.35582157178</v>
      </c>
      <c r="E4" s="44">
        <f>+COUNTIFS('RESUMEN CLIENTES'!M:M, "&lt;&gt;ELIMINADO",'RESUMEN CLIENTES'!M:M, "&lt;&gt;SUSPENDIDO",'RESUMEN CLIENTES'!M:M, "&lt;&gt;EN PAUSA",'RESUMEN CLIENTES'!C:C,Tabla9[[#This Row],[PAIS]])</f>
        <v>27</v>
      </c>
      <c r="F4" s="295">
        <f>+COUNTIFS('RESUMEN CLIENTES'!M:M,"OK",'RESUMEN CLIENTES'!C:C,Tabla9[[#This Row],[PAIS]])</f>
        <v>22</v>
      </c>
      <c r="G4" s="44">
        <f>+COUNTIFS('RESUMEN CLIENTES'!M:M, "&lt;&gt;OK",'RESUMEN CLIENTES'!M:M, "&lt;&gt;ELIMINADO",'RESUMEN CLIENTES'!M:M, "&lt;&gt;EVALUACION",'RESUMEN CLIENTES'!C:C,Tabla9[[#This Row],[PAIS]])</f>
        <v>7</v>
      </c>
      <c r="H4" s="293">
        <f>+COUNTIFS('RESUMEN CLIENTES'!M:M,"ELIMINADO",'RESUMEN CLIENTES'!C:C,Tabla9[[#This Row],[PAIS]])</f>
        <v>8</v>
      </c>
      <c r="I4" s="289">
        <f>+IFERROR(AVERAGEIF('RESUMEN CLIENTES'!C:C,Tabla9[[#This Row],[PAIS]],'RESUMEN CLIENTES'!X:X),0)</f>
        <v>-0.71041005291005299</v>
      </c>
      <c r="J4" s="2">
        <f ca="1">+AVERAGEIF('RESUMEN CLIENTES'!C:C,Tabla9[[#This Row],[PAIS]],'RESUMEN CLIENTES'!K:K)</f>
        <v>1108.7346855801291</v>
      </c>
    </row>
    <row r="5" spans="1:10">
      <c r="A5" t="s">
        <v>13</v>
      </c>
      <c r="B5" s="292">
        <f>+SUMIFS(INGRESOS!J:J,INGRESOS!T:T,Tabla9[[#This Row],[PAIS]])</f>
        <v>258606.3499999998</v>
      </c>
      <c r="C5" s="293">
        <f>+COUNTIF('RESUMEN CLIENTES'!C:C,Tabla9[[#This Row],[PAIS]])</f>
        <v>44</v>
      </c>
      <c r="D5" s="292">
        <f>+SUMIFS(INGRESOS!J:J,INGRESOS!T:T,Tabla9[[#This Row],[PAIS]],'RESUMEN CLIENTES'!M:M,"&lt;&gt;ELIMINADO",'RESUMEN CLIENTES'!M:M,"&lt;&gt;SUSPENDIDO",'RESUMEN CLIENTES'!M:M,"&lt;&gt;EN PAUSA")</f>
        <v>244807.49999999983</v>
      </c>
      <c r="E5" s="44">
        <f>+COUNTIFS('RESUMEN CLIENTES'!M:M, "&lt;&gt;ELIMINADO",'RESUMEN CLIENTES'!M:M, "&lt;&gt;SUSPENDIDO",'RESUMEN CLIENTES'!M:M, "&lt;&gt;EN PAUSA",'RESUMEN CLIENTES'!C:C,Tabla9[[#This Row],[PAIS]])</f>
        <v>34</v>
      </c>
      <c r="F5" s="295">
        <f>+COUNTIFS('RESUMEN CLIENTES'!M:M,"OK",'RESUMEN CLIENTES'!C:C,Tabla9[[#This Row],[PAIS]])</f>
        <v>31</v>
      </c>
      <c r="G5" s="44">
        <f>+COUNTIFS('RESUMEN CLIENTES'!M:M, "&lt;&gt;OK",'RESUMEN CLIENTES'!M:M, "&lt;&gt;ELIMINADO",'RESUMEN CLIENTES'!M:M, "&lt;&gt;EVALUACION",'RESUMEN CLIENTES'!C:C,Tabla9[[#This Row],[PAIS]])</f>
        <v>3</v>
      </c>
      <c r="H5" s="293">
        <f>+COUNTIFS('RESUMEN CLIENTES'!M:M,"ELIMINADO",'RESUMEN CLIENTES'!C:C,Tabla9[[#This Row],[PAIS]])</f>
        <v>7</v>
      </c>
      <c r="I5" s="289">
        <f>+IFERROR(AVERAGEIF('RESUMEN CLIENTES'!C:C,Tabla9[[#This Row],[PAIS]],'RESUMEN CLIENTES'!X:X),0)</f>
        <v>0.65397914618929098</v>
      </c>
      <c r="J5" s="2">
        <f ca="1">+AVERAGEIF('RESUMEN CLIENTES'!C:C,Tabla9[[#This Row],[PAIS]],'RESUMEN CLIENTES'!K:K)</f>
        <v>1283.8597518119507</v>
      </c>
    </row>
    <row r="6" spans="1:10">
      <c r="A6" t="s">
        <v>14</v>
      </c>
      <c r="B6" s="292">
        <f>+SUMIFS(INGRESOS!J:J,INGRESOS!T:T,Tabla9[[#This Row],[PAIS]])</f>
        <v>139621.02999999997</v>
      </c>
      <c r="C6" s="293">
        <f>+COUNTIF('RESUMEN CLIENTES'!C:C,Tabla9[[#This Row],[PAIS]])</f>
        <v>26</v>
      </c>
      <c r="D6" s="292">
        <f>+SUMIFS(INGRESOS!J:J,INGRESOS!T:T,Tabla9[[#This Row],[PAIS]],'RESUMEN CLIENTES'!M:M,"&lt;&gt;ELIMINADO",'RESUMEN CLIENTES'!M:M,"&lt;&gt;SUSPENDIDO",'RESUMEN CLIENTES'!M:M,"&lt;&gt;EN PAUSA")</f>
        <v>134040.77999999994</v>
      </c>
      <c r="E6" s="44">
        <f>+COUNTIFS('RESUMEN CLIENTES'!M:M, "&lt;&gt;ELIMINADO",'RESUMEN CLIENTES'!M:M, "&lt;&gt;SUSPENDIDO",'RESUMEN CLIENTES'!M:M, "&lt;&gt;EN PAUSA",'RESUMEN CLIENTES'!C:C,Tabla9[[#This Row],[PAIS]])</f>
        <v>15</v>
      </c>
      <c r="F6" s="295">
        <f>+COUNTIFS('RESUMEN CLIENTES'!M:M,"OK",'RESUMEN CLIENTES'!C:C,Tabla9[[#This Row],[PAIS]])</f>
        <v>13</v>
      </c>
      <c r="G6" s="44">
        <f>+COUNTIFS('RESUMEN CLIENTES'!M:M, "&lt;&gt;OK",'RESUMEN CLIENTES'!M:M, "&lt;&gt;ELIMINADO",'RESUMEN CLIENTES'!M:M, "&lt;&gt;EVALUACION",'RESUMEN CLIENTES'!C:C,Tabla9[[#This Row],[PAIS]])</f>
        <v>3</v>
      </c>
      <c r="H6" s="293">
        <f>+COUNTIFS('RESUMEN CLIENTES'!M:M,"ELIMINADO",'RESUMEN CLIENTES'!C:C,Tabla9[[#This Row],[PAIS]])</f>
        <v>10</v>
      </c>
      <c r="I6" s="289">
        <f>+IFERROR(AVERAGEIF('RESUMEN CLIENTES'!C:C,Tabla9[[#This Row],[PAIS]],'RESUMEN CLIENTES'!X:X),0)</f>
        <v>1.7408730158730157</v>
      </c>
      <c r="J6" s="2">
        <f ca="1">+AVERAGEIF('RESUMEN CLIENTES'!C:C,Tabla9[[#This Row],[PAIS]],'RESUMEN CLIENTES'!K:K)</f>
        <v>1496.6065490897995</v>
      </c>
    </row>
    <row r="7" spans="1:10">
      <c r="A7" t="s">
        <v>15</v>
      </c>
      <c r="B7" s="292">
        <f>+SUMIFS(INGRESOS!J:J,INGRESOS!T:T,Tabla9[[#This Row],[PAIS]])</f>
        <v>24584.899999999994</v>
      </c>
      <c r="C7" s="293">
        <f>+COUNTIF('RESUMEN CLIENTES'!C:C,Tabla9[[#This Row],[PAIS]])</f>
        <v>4</v>
      </c>
      <c r="D7" s="292">
        <f>+SUMIFS(INGRESOS!J:J,INGRESOS!T:T,Tabla9[[#This Row],[PAIS]],'RESUMEN CLIENTES'!M:M,"&lt;&gt;ELIMINADO",'RESUMEN CLIENTES'!M:M,"&lt;&gt;SUSPENDIDO",'RESUMEN CLIENTES'!M:M,"&lt;&gt;EN PAUSA")</f>
        <v>24101.399999999994</v>
      </c>
      <c r="E7" s="44">
        <f>+COUNTIFS('RESUMEN CLIENTES'!M:M, "&lt;&gt;ELIMINADO",'RESUMEN CLIENTES'!M:M, "&lt;&gt;SUSPENDIDO",'RESUMEN CLIENTES'!M:M, "&lt;&gt;EN PAUSA",'RESUMEN CLIENTES'!C:C,Tabla9[[#This Row],[PAIS]])</f>
        <v>3</v>
      </c>
      <c r="F7" s="295">
        <f>+COUNTIFS('RESUMEN CLIENTES'!M:M,"OK",'RESUMEN CLIENTES'!C:C,Tabla9[[#This Row],[PAIS]])</f>
        <v>3</v>
      </c>
      <c r="G7" s="44">
        <f>+COUNTIFS('RESUMEN CLIENTES'!M:M, "&lt;&gt;OK",'RESUMEN CLIENTES'!M:M, "&lt;&gt;ELIMINADO",'RESUMEN CLIENTES'!M:M, "&lt;&gt;EVALUACION",'RESUMEN CLIENTES'!C:C,Tabla9[[#This Row],[PAIS]])</f>
        <v>0</v>
      </c>
      <c r="H7" s="293">
        <f>+COUNTIFS('RESUMEN CLIENTES'!M:M,"ELIMINADO",'RESUMEN CLIENTES'!C:C,Tabla9[[#This Row],[PAIS]])</f>
        <v>1</v>
      </c>
      <c r="I7" s="289">
        <f>+IFERROR(AVERAGEIF('RESUMEN CLIENTES'!C:C,Tabla9[[#This Row],[PAIS]],'RESUMEN CLIENTES'!X:X),0)</f>
        <v>0.21548821548821551</v>
      </c>
      <c r="J7" s="2">
        <f ca="1">+AVERAGEIF('RESUMEN CLIENTES'!C:C,Tabla9[[#This Row],[PAIS]],'RESUMEN CLIENTES'!K:K)</f>
        <v>882.67875000000026</v>
      </c>
    </row>
    <row r="8" spans="1:10">
      <c r="A8" t="s">
        <v>16</v>
      </c>
      <c r="B8" s="292">
        <f>+SUMIFS(INGRESOS!J:J,INGRESOS!T:T,Tabla9[[#This Row],[PAIS]])</f>
        <v>110948.23998208105</v>
      </c>
      <c r="C8" s="293">
        <f>+COUNTIF('RESUMEN CLIENTES'!C:C,Tabla9[[#This Row],[PAIS]])</f>
        <v>16</v>
      </c>
      <c r="D8" s="292">
        <f>+SUMIFS(INGRESOS!J:J,INGRESOS!T:T,Tabla9[[#This Row],[PAIS]],'RESUMEN CLIENTES'!M:M,"&lt;&gt;ELIMINADO",'RESUMEN CLIENTES'!M:M,"&lt;&gt;SUSPENDIDO",'RESUMEN CLIENTES'!M:M,"&lt;&gt;EN PAUSA")</f>
        <v>98053.869982081058</v>
      </c>
      <c r="E8" s="44">
        <f>+COUNTIFS('RESUMEN CLIENTES'!M:M, "&lt;&gt;ELIMINADO",'RESUMEN CLIENTES'!M:M, "&lt;&gt;SUSPENDIDO",'RESUMEN CLIENTES'!M:M, "&lt;&gt;EN PAUSA",'RESUMEN CLIENTES'!C:C,Tabla9[[#This Row],[PAIS]])</f>
        <v>14</v>
      </c>
      <c r="F8" s="295">
        <f>+COUNTIFS('RESUMEN CLIENTES'!M:M,"OK",'RESUMEN CLIENTES'!C:C,Tabla9[[#This Row],[PAIS]])</f>
        <v>14</v>
      </c>
      <c r="G8" s="44">
        <f>+COUNTIFS('RESUMEN CLIENTES'!M:M, "&lt;&gt;OK",'RESUMEN CLIENTES'!M:M, "&lt;&gt;ELIMINADO",'RESUMEN CLIENTES'!M:M, "&lt;&gt;EVALUACION",'RESUMEN CLIENTES'!C:C,Tabla9[[#This Row],[PAIS]])</f>
        <v>0</v>
      </c>
      <c r="H8" s="293">
        <f>+COUNTIFS('RESUMEN CLIENTES'!M:M,"ELIMINADO",'RESUMEN CLIENTES'!C:C,Tabla9[[#This Row],[PAIS]])</f>
        <v>2</v>
      </c>
      <c r="I8" s="289">
        <f>+IFERROR(AVERAGEIF('RESUMEN CLIENTES'!C:C,Tabla9[[#This Row],[PAIS]],'RESUMEN CLIENTES'!X:X),0)</f>
        <v>-0.22333734167110453</v>
      </c>
      <c r="J8" s="2">
        <f ca="1">+AVERAGEIF('RESUMEN CLIENTES'!C:C,Tabla9[[#This Row],[PAIS]],'RESUMEN CLIENTES'!K:K)</f>
        <v>1266.5718099780763</v>
      </c>
    </row>
    <row r="9" spans="1:10">
      <c r="A9" t="s">
        <v>17</v>
      </c>
      <c r="B9" s="292">
        <f>+SUMIFS(INGRESOS!J:J,INGRESOS!T:T,Tabla9[[#This Row],[PAIS]])</f>
        <v>4113.53</v>
      </c>
      <c r="C9" s="293">
        <f>+COUNTIF('RESUMEN CLIENTES'!C:C,Tabla9[[#This Row],[PAIS]])</f>
        <v>2</v>
      </c>
      <c r="D9" s="292">
        <f>+SUMIFS(INGRESOS!J:J,INGRESOS!T:T,Tabla9[[#This Row],[PAIS]],'RESUMEN CLIENTES'!M:M,"&lt;&gt;ELIMINADO",'RESUMEN CLIENTES'!M:M,"&lt;&gt;SUSPENDIDO",'RESUMEN CLIENTES'!M:M,"&lt;&gt;EN PAUSA")</f>
        <v>4113.53</v>
      </c>
      <c r="E9" s="44">
        <f>+COUNTIFS('RESUMEN CLIENTES'!M:M, "&lt;&gt;ELIMINADO",'RESUMEN CLIENTES'!M:M, "&lt;&gt;SUSPENDIDO",'RESUMEN CLIENTES'!M:M, "&lt;&gt;EN PAUSA",'RESUMEN CLIENTES'!C:C,Tabla9[[#This Row],[PAIS]])</f>
        <v>0</v>
      </c>
      <c r="F9" s="295">
        <f>+COUNTIFS('RESUMEN CLIENTES'!M:M,"OK",'RESUMEN CLIENTES'!C:C,Tabla9[[#This Row],[PAIS]])</f>
        <v>0</v>
      </c>
      <c r="G9" s="44">
        <f>+COUNTIFS('RESUMEN CLIENTES'!M:M, "&lt;&gt;OK",'RESUMEN CLIENTES'!M:M, "&lt;&gt;ELIMINADO",'RESUMEN CLIENTES'!M:M, "&lt;&gt;EVALUACION",'RESUMEN CLIENTES'!C:C,Tabla9[[#This Row],[PAIS]])</f>
        <v>0</v>
      </c>
      <c r="H9" s="293">
        <f>+COUNTIFS('RESUMEN CLIENTES'!M:M,"ELIMINADO",'RESUMEN CLIENTES'!C:C,Tabla9[[#This Row],[PAIS]])</f>
        <v>2</v>
      </c>
      <c r="I9" s="289">
        <f>+IFERROR(AVERAGEIF('RESUMEN CLIENTES'!C:C,Tabla9[[#This Row],[PAIS]],'RESUMEN CLIENTES'!X:X),0)</f>
        <v>0</v>
      </c>
      <c r="J9" s="2">
        <f ca="1">+AVERAGEIF('RESUMEN CLIENTES'!C:C,Tabla9[[#This Row],[PAIS]],'RESUMEN CLIENTES'!K:K)</f>
        <v>2056.7649999999999</v>
      </c>
    </row>
    <row r="10" spans="1:10">
      <c r="A10" t="s">
        <v>18</v>
      </c>
      <c r="B10" s="292">
        <f>+SUMIFS(INGRESOS!J:J,INGRESOS!T:T,Tabla9[[#This Row],[PAIS]])</f>
        <v>19956.669999999998</v>
      </c>
      <c r="C10" s="293">
        <f>+COUNTIF('RESUMEN CLIENTES'!C:C,Tabla9[[#This Row],[PAIS]])</f>
        <v>2</v>
      </c>
      <c r="D10" s="292">
        <f>+SUMIFS(INGRESOS!J:J,INGRESOS!T:T,Tabla9[[#This Row],[PAIS]],'RESUMEN CLIENTES'!M:M,"&lt;&gt;ELIMINADO",'RESUMEN CLIENTES'!M:M,"&lt;&gt;SUSPENDIDO",'RESUMEN CLIENTES'!M:M,"&lt;&gt;EN PAUSA")</f>
        <v>19956.669999999998</v>
      </c>
      <c r="E10" s="44">
        <f>+COUNTIFS('RESUMEN CLIENTES'!M:M, "&lt;&gt;ELIMINADO",'RESUMEN CLIENTES'!M:M, "&lt;&gt;SUSPENDIDO",'RESUMEN CLIENTES'!M:M, "&lt;&gt;EN PAUSA",'RESUMEN CLIENTES'!C:C,Tabla9[[#This Row],[PAIS]])</f>
        <v>2</v>
      </c>
      <c r="F10" s="295">
        <f>+COUNTIFS('RESUMEN CLIENTES'!M:M,"OK",'RESUMEN CLIENTES'!C:C,Tabla9[[#This Row],[PAIS]])</f>
        <v>2</v>
      </c>
      <c r="G10" s="44">
        <f>+COUNTIFS('RESUMEN CLIENTES'!M:M, "&lt;&gt;OK",'RESUMEN CLIENTES'!M:M, "&lt;&gt;ELIMINADO",'RESUMEN CLIENTES'!M:M, "&lt;&gt;EVALUACION",'RESUMEN CLIENTES'!C:C,Tabla9[[#This Row],[PAIS]])</f>
        <v>0</v>
      </c>
      <c r="H10" s="293">
        <f>+COUNTIFS('RESUMEN CLIENTES'!M:M,"ELIMINADO",'RESUMEN CLIENTES'!C:C,Tabla9[[#This Row],[PAIS]])</f>
        <v>0</v>
      </c>
      <c r="I10" s="289">
        <f>+IFERROR(AVERAGEIF('RESUMEN CLIENTES'!C:C,Tabla9[[#This Row],[PAIS]],'RESUMEN CLIENTES'!X:X),0)</f>
        <v>-8.4837962962964308</v>
      </c>
      <c r="J10" s="2">
        <f ca="1">+AVERAGEIF('RESUMEN CLIENTES'!C:C,Tabla9[[#This Row],[PAIS]],'RESUMEN CLIENTES'!K:K)</f>
        <v>1221.9049999999997</v>
      </c>
    </row>
    <row r="11" spans="1:10">
      <c r="A11" t="s">
        <v>19</v>
      </c>
      <c r="B11" s="292">
        <f>+SUMIFS(INGRESOS!J:J,INGRESOS!T:T,Tabla9[[#This Row],[PAIS]])</f>
        <v>36289.256090406809</v>
      </c>
      <c r="C11" s="293">
        <f>+COUNTIF('RESUMEN CLIENTES'!C:C,Tabla9[[#This Row],[PAIS]])</f>
        <v>4</v>
      </c>
      <c r="D11" s="292">
        <f>+SUMIFS(INGRESOS!J:J,INGRESOS!T:T,Tabla9[[#This Row],[PAIS]],'RESUMEN CLIENTES'!M:M,"&lt;&gt;ELIMINADO",'RESUMEN CLIENTES'!M:M,"&lt;&gt;SUSPENDIDO",'RESUMEN CLIENTES'!M:M,"&lt;&gt;EN PAUSA")</f>
        <v>32413.848970275776</v>
      </c>
      <c r="E11" s="44">
        <f>+COUNTIFS('RESUMEN CLIENTES'!M:M, "&lt;&gt;ELIMINADO",'RESUMEN CLIENTES'!M:M, "&lt;&gt;SUSPENDIDO",'RESUMEN CLIENTES'!M:M, "&lt;&gt;EN PAUSA",'RESUMEN CLIENTES'!C:C,Tabla9[[#This Row],[PAIS]])</f>
        <v>3</v>
      </c>
      <c r="F11" s="295">
        <f>+COUNTIFS('RESUMEN CLIENTES'!M:M,"OK",'RESUMEN CLIENTES'!C:C,Tabla9[[#This Row],[PAIS]])</f>
        <v>2</v>
      </c>
      <c r="G11" s="44">
        <f>+COUNTIFS('RESUMEN CLIENTES'!M:M, "&lt;&gt;OK",'RESUMEN CLIENTES'!M:M, "&lt;&gt;ELIMINADO",'RESUMEN CLIENTES'!M:M, "&lt;&gt;EVALUACION",'RESUMEN CLIENTES'!C:C,Tabla9[[#This Row],[PAIS]])</f>
        <v>1</v>
      </c>
      <c r="H11" s="293">
        <f>+COUNTIFS('RESUMEN CLIENTES'!M:M,"ELIMINADO",'RESUMEN CLIENTES'!C:C,Tabla9[[#This Row],[PAIS]])</f>
        <v>1</v>
      </c>
      <c r="I11" s="289">
        <f>+IFERROR(AVERAGEIF('RESUMEN CLIENTES'!C:C,Tabla9[[#This Row],[PAIS]],'RESUMEN CLIENTES'!X:X),0)</f>
        <v>0.5</v>
      </c>
      <c r="J11" s="2">
        <f ca="1">+AVERAGEIF('RESUMEN CLIENTES'!C:C,Tabla9[[#This Row],[PAIS]],'RESUMEN CLIENTES'!K:K)</f>
        <v>1121.6540652019203</v>
      </c>
    </row>
    <row r="12" spans="1:10">
      <c r="A12" t="s">
        <v>20</v>
      </c>
      <c r="B12" s="292">
        <f>+SUMIFS(INGRESOS!J:J,INGRESOS!T:T,Tabla9[[#This Row],[PAIS]])</f>
        <v>50327.443749933838</v>
      </c>
      <c r="C12" s="293">
        <f>+COUNTIF('RESUMEN CLIENTES'!C:C,Tabla9[[#This Row],[PAIS]])</f>
        <v>8</v>
      </c>
      <c r="D12" s="292">
        <f>+SUMIFS(INGRESOS!J:J,INGRESOS!T:T,Tabla9[[#This Row],[PAIS]],'RESUMEN CLIENTES'!M:M,"&lt;&gt;ELIMINADO",'RESUMEN CLIENTES'!M:M,"&lt;&gt;SUSPENDIDO",'RESUMEN CLIENTES'!M:M,"&lt;&gt;EN PAUSA")</f>
        <v>49118.833749933838</v>
      </c>
      <c r="E12" s="44">
        <f>+COUNTIFS('RESUMEN CLIENTES'!M:M, "&lt;&gt;ELIMINADO",'RESUMEN CLIENTES'!M:M, "&lt;&gt;SUSPENDIDO",'RESUMEN CLIENTES'!M:M, "&lt;&gt;EN PAUSA",'RESUMEN CLIENTES'!C:C,Tabla9[[#This Row],[PAIS]])</f>
        <v>5</v>
      </c>
      <c r="F12" s="295">
        <f>+COUNTIFS('RESUMEN CLIENTES'!M:M,"OK",'RESUMEN CLIENTES'!C:C,Tabla9[[#This Row],[PAIS]])</f>
        <v>5</v>
      </c>
      <c r="G12" s="44">
        <f>+COUNTIFS('RESUMEN CLIENTES'!M:M, "&lt;&gt;OK",'RESUMEN CLIENTES'!M:M, "&lt;&gt;ELIMINADO",'RESUMEN CLIENTES'!M:M, "&lt;&gt;EVALUACION",'RESUMEN CLIENTES'!C:C,Tabla9[[#This Row],[PAIS]])</f>
        <v>1</v>
      </c>
      <c r="H12" s="293">
        <f>+COUNTIFS('RESUMEN CLIENTES'!M:M,"ELIMINADO",'RESUMEN CLIENTES'!C:C,Tabla9[[#This Row],[PAIS]])</f>
        <v>2</v>
      </c>
      <c r="I12" s="289">
        <f>+IFERROR(AVERAGEIF('RESUMEN CLIENTES'!C:C,Tabla9[[#This Row],[PAIS]],'RESUMEN CLIENTES'!X:X),0)</f>
        <v>-1.8530139451192083</v>
      </c>
      <c r="J12" s="2">
        <f ca="1">+AVERAGEIF('RESUMEN CLIENTES'!C:C,Tabla9[[#This Row],[PAIS]],'RESUMEN CLIENTES'!K:K)</f>
        <v>1027.413798361717</v>
      </c>
    </row>
    <row r="13" spans="1:10">
      <c r="A13" t="s">
        <v>21</v>
      </c>
      <c r="B13" s="292">
        <f>+SUMIFS(INGRESOS!J:J,INGRESOS!T:T,Tabla9[[#This Row],[PAIS]])</f>
        <v>18745.88</v>
      </c>
      <c r="C13" s="293">
        <f>+COUNTIF('RESUMEN CLIENTES'!C:C,Tabla9[[#This Row],[PAIS]])</f>
        <v>2</v>
      </c>
      <c r="D13" s="292">
        <f>+SUMIFS(INGRESOS!J:J,INGRESOS!T:T,Tabla9[[#This Row],[PAIS]],'RESUMEN CLIENTES'!M:M,"&lt;&gt;ELIMINADO",'RESUMEN CLIENTES'!M:M,"&lt;&gt;SUSPENDIDO",'RESUMEN CLIENTES'!M:M,"&lt;&gt;EN PAUSA")</f>
        <v>18745.88</v>
      </c>
      <c r="E13" s="44">
        <f>+COUNTIFS('RESUMEN CLIENTES'!M:M, "&lt;&gt;ELIMINADO",'RESUMEN CLIENTES'!M:M, "&lt;&gt;SUSPENDIDO",'RESUMEN CLIENTES'!M:M, "&lt;&gt;EN PAUSA",'RESUMEN CLIENTES'!C:C,Tabla9[[#This Row],[PAIS]])</f>
        <v>2</v>
      </c>
      <c r="F13" s="295">
        <f>+COUNTIFS('RESUMEN CLIENTES'!M:M,"OK",'RESUMEN CLIENTES'!C:C,Tabla9[[#This Row],[PAIS]])</f>
        <v>2</v>
      </c>
      <c r="G13" s="44">
        <f>+COUNTIFS('RESUMEN CLIENTES'!M:M, "&lt;&gt;OK",'RESUMEN CLIENTES'!M:M, "&lt;&gt;ELIMINADO",'RESUMEN CLIENTES'!M:M, "&lt;&gt;EVALUACION",'RESUMEN CLIENTES'!C:C,Tabla9[[#This Row],[PAIS]])</f>
        <v>0</v>
      </c>
      <c r="H13" s="293">
        <f>+COUNTIFS('RESUMEN CLIENTES'!M:M,"ELIMINADO",'RESUMEN CLIENTES'!C:C,Tabla9[[#This Row],[PAIS]])</f>
        <v>0</v>
      </c>
      <c r="I13" s="289">
        <f>+IFERROR(AVERAGEIF('RESUMEN CLIENTES'!C:C,Tabla9[[#This Row],[PAIS]],'RESUMEN CLIENTES'!X:X),0)</f>
        <v>0.6828703703665977</v>
      </c>
      <c r="J13" s="2">
        <f ca="1">+AVERAGEIF('RESUMEN CLIENTES'!C:C,Tabla9[[#This Row],[PAIS]],'RESUMEN CLIENTES'!K:K)</f>
        <v>1219.1107142857143</v>
      </c>
    </row>
    <row r="14" spans="1:10">
      <c r="A14" t="s">
        <v>22</v>
      </c>
      <c r="B14" s="292">
        <f>+SUMIFS(INGRESOS!J:J,INGRESOS!T:T,Tabla9[[#This Row],[PAIS]])</f>
        <v>25972.679469161227</v>
      </c>
      <c r="C14" s="293">
        <f>+COUNTIF('RESUMEN CLIENTES'!C:C,Tabla9[[#This Row],[PAIS]])</f>
        <v>6</v>
      </c>
      <c r="D14" s="292">
        <f>+SUMIFS(INGRESOS!J:J,INGRESOS!T:T,Tabla9[[#This Row],[PAIS]],'RESUMEN CLIENTES'!M:M,"&lt;&gt;ELIMINADO",'RESUMEN CLIENTES'!M:M,"&lt;&gt;SUSPENDIDO",'RESUMEN CLIENTES'!M:M,"&lt;&gt;EN PAUSA")</f>
        <v>25722.679469161227</v>
      </c>
      <c r="E14" s="44">
        <f>+COUNTIFS('RESUMEN CLIENTES'!M:M, "&lt;&gt;ELIMINADO",'RESUMEN CLIENTES'!M:M, "&lt;&gt;SUSPENDIDO",'RESUMEN CLIENTES'!M:M, "&lt;&gt;EN PAUSA",'RESUMEN CLIENTES'!C:C,Tabla9[[#This Row],[PAIS]])</f>
        <v>4</v>
      </c>
      <c r="F14" s="295">
        <f>+COUNTIFS('RESUMEN CLIENTES'!M:M,"OK",'RESUMEN CLIENTES'!C:C,Tabla9[[#This Row],[PAIS]])</f>
        <v>2</v>
      </c>
      <c r="G14" s="44">
        <f>+COUNTIFS('RESUMEN CLIENTES'!M:M, "&lt;&gt;OK",'RESUMEN CLIENTES'!M:M, "&lt;&gt;ELIMINADO",'RESUMEN CLIENTES'!M:M, "&lt;&gt;EVALUACION",'RESUMEN CLIENTES'!C:C,Tabla9[[#This Row],[PAIS]])</f>
        <v>2</v>
      </c>
      <c r="H14" s="293">
        <f>+COUNTIFS('RESUMEN CLIENTES'!M:M,"ELIMINADO",'RESUMEN CLIENTES'!C:C,Tabla9[[#This Row],[PAIS]])</f>
        <v>1</v>
      </c>
      <c r="I14" s="289">
        <f>+IFERROR(AVERAGEIF('RESUMEN CLIENTES'!C:C,Tabla9[[#This Row],[PAIS]],'RESUMEN CLIENTES'!X:X),0)</f>
        <v>-2.2000000000000002</v>
      </c>
      <c r="J14" s="2">
        <f ca="1">+AVERAGEIF('RESUMEN CLIENTES'!C:C,Tabla9[[#This Row],[PAIS]],'RESUMEN CLIENTES'!K:K)</f>
        <v>858.22980108363527</v>
      </c>
    </row>
    <row r="15" spans="1:10">
      <c r="A15" t="s">
        <v>23</v>
      </c>
      <c r="B15" s="292">
        <f>+SUMIFS(INGRESOS!J:J,INGRESOS!T:T,Tabla9[[#This Row],[PAIS]])</f>
        <v>1971.62</v>
      </c>
      <c r="C15" s="293">
        <f>+COUNTIF('RESUMEN CLIENTES'!C:C,Tabla9[[#This Row],[PAIS]])</f>
        <v>1</v>
      </c>
      <c r="D15" s="292">
        <f>+SUMIFS(INGRESOS!J:J,INGRESOS!T:T,Tabla9[[#This Row],[PAIS]],'RESUMEN CLIENTES'!M:M,"&lt;&gt;ELIMINADO",'RESUMEN CLIENTES'!M:M,"&lt;&gt;SUSPENDIDO",'RESUMEN CLIENTES'!M:M,"&lt;&gt;EN PAUSA")</f>
        <v>1971.62</v>
      </c>
      <c r="E15" s="44">
        <f>+COUNTIFS('RESUMEN CLIENTES'!M:M, "&lt;&gt;ELIMINADO",'RESUMEN CLIENTES'!M:M, "&lt;&gt;SUSPENDIDO",'RESUMEN CLIENTES'!M:M, "&lt;&gt;EN PAUSA",'RESUMEN CLIENTES'!C:C,Tabla9[[#This Row],[PAIS]])</f>
        <v>0</v>
      </c>
      <c r="F15" s="295">
        <f>+COUNTIFS('RESUMEN CLIENTES'!M:M,"OK",'RESUMEN CLIENTES'!C:C,Tabla9[[#This Row],[PAIS]])</f>
        <v>0</v>
      </c>
      <c r="G15" s="44">
        <f>+COUNTIFS('RESUMEN CLIENTES'!M:M, "&lt;&gt;OK",'RESUMEN CLIENTES'!M:M, "&lt;&gt;ELIMINADO",'RESUMEN CLIENTES'!M:M, "&lt;&gt;EVALUACION",'RESUMEN CLIENTES'!C:C,Tabla9[[#This Row],[PAIS]])</f>
        <v>0</v>
      </c>
      <c r="H15" s="293">
        <f>+COUNTIFS('RESUMEN CLIENTES'!M:M,"ELIMINADO",'RESUMEN CLIENTES'!C:C,Tabla9[[#This Row],[PAIS]])</f>
        <v>1</v>
      </c>
      <c r="I15" s="289">
        <f>+IFERROR(AVERAGEIF('RESUMEN CLIENTES'!C:C,Tabla9[[#This Row],[PAIS]],'RESUMEN CLIENTES'!X:X),0)</f>
        <v>-2</v>
      </c>
      <c r="J15" s="2">
        <f ca="1">+AVERAGEIF('RESUMEN CLIENTES'!C:C,Tabla9[[#This Row],[PAIS]],'RESUMEN CLIENTES'!K:K)</f>
        <v>241.62</v>
      </c>
    </row>
    <row r="16" spans="1:10">
      <c r="A16" t="s">
        <v>24</v>
      </c>
      <c r="B16" s="292">
        <f>+SUMIFS(INGRESOS!J:J,INGRESOS!T:T,Tabla9[[#This Row],[PAIS]])</f>
        <v>13637.760000000004</v>
      </c>
      <c r="C16" s="293">
        <f>+COUNTIF('RESUMEN CLIENTES'!C:C,Tabla9[[#This Row],[PAIS]])</f>
        <v>1</v>
      </c>
      <c r="D16" s="292">
        <f>+SUMIFS(INGRESOS!J:J,INGRESOS!T:T,Tabla9[[#This Row],[PAIS]],'RESUMEN CLIENTES'!M:M,"&lt;&gt;ELIMINADO",'RESUMEN CLIENTES'!M:M,"&lt;&gt;SUSPENDIDO",'RESUMEN CLIENTES'!M:M,"&lt;&gt;EN PAUSA")</f>
        <v>13637.760000000004</v>
      </c>
      <c r="E16" s="44">
        <f>+COUNTIFS('RESUMEN CLIENTES'!M:M, "&lt;&gt;ELIMINADO",'RESUMEN CLIENTES'!M:M, "&lt;&gt;SUSPENDIDO",'RESUMEN CLIENTES'!M:M, "&lt;&gt;EN PAUSA",'RESUMEN CLIENTES'!C:C,Tabla9[[#This Row],[PAIS]])</f>
        <v>1</v>
      </c>
      <c r="F16" s="295">
        <f>+COUNTIFS('RESUMEN CLIENTES'!M:M,"OK",'RESUMEN CLIENTES'!C:C,Tabla9[[#This Row],[PAIS]])</f>
        <v>1</v>
      </c>
      <c r="G16" s="44">
        <f>+COUNTIFS('RESUMEN CLIENTES'!M:M, "&lt;&gt;OK",'RESUMEN CLIENTES'!M:M, "&lt;&gt;ELIMINADO",'RESUMEN CLIENTES'!M:M, "&lt;&gt;EVALUACION",'RESUMEN CLIENTES'!C:C,Tabla9[[#This Row],[PAIS]])</f>
        <v>0</v>
      </c>
      <c r="H16" s="293">
        <f>+COUNTIFS('RESUMEN CLIENTES'!M:M,"ELIMINADO",'RESUMEN CLIENTES'!C:C,Tabla9[[#This Row],[PAIS]])</f>
        <v>0</v>
      </c>
      <c r="I16" s="289">
        <f>+IFERROR(AVERAGEIF('RESUMEN CLIENTES'!C:C,Tabla9[[#This Row],[PAIS]],'RESUMEN CLIENTES'!X:X),0)</f>
        <v>0.5625</v>
      </c>
      <c r="J16" s="2">
        <f ca="1">+AVERAGEIF('RESUMEN CLIENTES'!C:C,Tabla9[[#This Row],[PAIS]],'RESUMEN CLIENTES'!K:K)</f>
        <v>2272.9600000000005</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D8446-9AAA-408A-86D3-9CE2EA5B182D}">
  <dimension ref="A1:M18"/>
  <sheetViews>
    <sheetView zoomScale="79" zoomScaleNormal="88" workbookViewId="0">
      <selection activeCell="G30" sqref="G30"/>
    </sheetView>
  </sheetViews>
  <sheetFormatPr baseColWidth="10" defaultColWidth="11.5" defaultRowHeight="15"/>
  <cols>
    <col min="1" max="1" width="13.1640625" style="10" customWidth="1"/>
    <col min="2" max="2" width="20.6640625" style="10" bestFit="1" customWidth="1"/>
    <col min="3" max="3" width="24.6640625" style="10" bestFit="1" customWidth="1"/>
    <col min="4" max="4" width="27.1640625" style="55" customWidth="1"/>
    <col min="5" max="5" width="34.33203125" style="55" bestFit="1" customWidth="1"/>
    <col min="6" max="6" width="26.83203125" style="55" customWidth="1"/>
    <col min="7" max="7" width="18.83203125" style="10" customWidth="1"/>
    <col min="8" max="8" width="20.33203125" style="10" bestFit="1" customWidth="1"/>
    <col min="9" max="9" width="21.83203125" style="304" customWidth="1"/>
    <col min="10" max="10" width="27.1640625" style="65" customWidth="1"/>
    <col min="11" max="11" width="29.83203125" style="65" bestFit="1" customWidth="1"/>
    <col min="12" max="12" width="31" style="301" customWidth="1"/>
    <col min="13" max="13" width="30.6640625" style="11" bestFit="1" customWidth="1"/>
  </cols>
  <sheetData>
    <row r="1" spans="1:13" s="4" customFormat="1">
      <c r="A1" s="13" t="s">
        <v>25</v>
      </c>
      <c r="B1" s="66" t="s">
        <v>26</v>
      </c>
      <c r="C1" s="313" t="s">
        <v>27</v>
      </c>
      <c r="D1" s="314" t="s">
        <v>28</v>
      </c>
      <c r="E1" s="66" t="s">
        <v>29</v>
      </c>
      <c r="F1" s="64" t="s">
        <v>30</v>
      </c>
      <c r="G1" s="313" t="s">
        <v>31</v>
      </c>
      <c r="H1" s="314" t="s">
        <v>32</v>
      </c>
      <c r="I1" s="303" t="s">
        <v>33</v>
      </c>
      <c r="J1" s="14" t="s">
        <v>34</v>
      </c>
      <c r="K1" s="14" t="s">
        <v>35</v>
      </c>
      <c r="L1" s="298" t="s">
        <v>36</v>
      </c>
      <c r="M1" s="14" t="s">
        <v>37</v>
      </c>
    </row>
    <row r="2" spans="1:13">
      <c r="A2" s="58">
        <v>45597</v>
      </c>
      <c r="B2" s="238">
        <v>0</v>
      </c>
      <c r="C2" s="68">
        <f>IFERROR(
   COUNTIFS(
      'RESUMEN CLIENTES'!$G:$G, "&gt;="&amp;DATE(YEAR($A2),MONTH($A2),1),
      'RESUMEN CLIENTES'!$G:$G, "&lt;"&amp;EDATE(DATE(YEAR($A2),MONTH($A2),1),1)),
0)</f>
        <v>0</v>
      </c>
      <c r="D2" s="315">
        <f>IFERROR(
   COUNTIFS(
      'RESUMEN CLIENTES'!$G:$G, "&gt;="&amp;DATE(YEAR($A2),MONTH($A2),1),
      'RESUMEN CLIENTES'!$G:$G, "&lt;"&amp;EDATE(DATE(YEAR($A2),MONTH($A2),1),1),
      'RESUMEN CLIENTES'!$M:$M, "&lt;&gt;ELIMINADO",
      'RESUMEN CLIENTES'!$M:$M, "&lt;&gt;SUSPENDIDO",'RESUMEN CLIENTES'!$M:$M, "&lt;&gt;EN PAUSA"
   ),
0)</f>
        <v>0</v>
      </c>
      <c r="E2" s="238">
        <f>SUM(INDEX(Tabla711[NUEVOS CLIENTES TOTAL],1):Tabla711[[#This Row],[NUEVOS CLIENTES TOTAL]])-SUM(INDEX(Tabla711[ELIMINADOS X MES],1):Tabla711[[#This Row],[ELIMINADOS X MES]])-SUM(INDEX(Tabla711[PAUSA/SUSP X MES],1):Tabla711[[#This Row],[PAUSA/SUSP X MES]])</f>
        <v>0</v>
      </c>
      <c r="F2" s="302">
        <f>+IFERROR(((Tabla711[[#This Row],[NUEVOS CLIENTES TOTAL]]-Tabla711[[#This Row],[NUEVOS CLIENTES VIGENTES]])/Tabla711[[#This Row],[NUEVOS CLIENTES TOTAL]]),0)</f>
        <v>0</v>
      </c>
      <c r="G2" s="68">
        <f>IFERROR(
   COUNTIFS('RESUMEN CLIENTES'!M:M,"ELIMINADO",'RESUMEN CLIENTES'!$J:$J, "&gt;="&amp;DATE(YEAR($A2),MONTH($A2),1),
      'RESUMEN CLIENTES'!$J:$J, "&lt;"&amp;EDATE(DATE(YEAR($A2),MONTH($A2),1),1)),
0)</f>
        <v>0</v>
      </c>
      <c r="H2" s="315">
        <f>COUNTIFS('RESUMEN CLIENTES'!M:M,"SUSPENDIDO",'RESUMEN CLIENTES'!$J:$J, "&gt;="&amp;DATE(YEAR(Tabla711[[#This Row],[MES]]),MONTH(Tabla711[[#This Row],[MES]]),1),
      'RESUMEN CLIENTES'!$J:$J, "&lt;"&amp;EDATE(DATE(YEAR(Tabla711[[#This Row],[MES]]),MONTH(Tabla711[[#This Row],[MES]]),1),1))+COUNTIFS('RESUMEN CLIENTES'!M:M,"EN PAUSA",'RESUMEN CLIENTES'!$J:$J, "&gt;="&amp;DATE(YEAR(Tabla711[[#This Row],[MES]]),MONTH(Tabla711[[#This Row],[MES]]),1),
      'RESUMEN CLIENTES'!$J:$J, "&lt;"&amp;EDATE(DATE(YEAR(Tabla711[[#This Row],[MES]]),MONTH(Tabla711[[#This Row],[MES]]),1),1))</f>
        <v>0</v>
      </c>
      <c r="I2" s="302" cm="1">
        <f t="array" ref="I2">+IFERROR(SUM(Tabla711[[#This Row],[ELIMINADOS X MES]:[PAUSA/SUSP X MES]]/Tabla711[[#This Row],[CANTIDAD CLIENTES ACTIVOS X MES]]),0)</f>
        <v>0</v>
      </c>
      <c r="J2" s="69">
        <f>IFERROR(
   SUMIFS(
      'RESUMEN CLIENTES'!$H:$H,
      'RESUMEN CLIENTES'!$G:$G, "&gt;="&amp;DATE(YEAR($A2),MONTH($A2),1),
      'RESUMEN CLIENTES'!$G:$G, "&lt;"&amp;EDATE(DATE(YEAR($A2),MONTH($A2),1),1),
      'RESUMEN CLIENTES'!$M:$M, "&lt;&gt;NO CONTINUA",
      'RESUMEN CLIENTES'!$M:$M, "&lt;&gt;SUSPENDIDO",
      'RESUMEN CLIENTES'!$O:$O, "&lt;&gt;ELIMINADO"
   ),
0)</f>
        <v>0</v>
      </c>
      <c r="K2" s="318">
        <f ca="1">+Tabla7[[#This Row],[INGRESO MES RECIBIDO NETO]]-Tabla711[[#This Row],[INGRESO NUEVOS CLIENTES]]</f>
        <v>0</v>
      </c>
      <c r="L2" s="299">
        <f>+IFERROR(Tabla711[[#This Row],[INGRESO NUEVOS CLIENTES]]/Tabla7[[#This Row],[INGRESO MES RECIBIDO]],0)</f>
        <v>0</v>
      </c>
      <c r="M2" s="12">
        <f>+IFERROR(Tabla711[[#This Row],[INGRESO NUEVOS CLIENTES]]/Tabla711[[#This Row],[NUEVOS CLIENTES VIGENTES]],0)</f>
        <v>0</v>
      </c>
    </row>
    <row r="3" spans="1:13">
      <c r="A3" s="24">
        <v>45627</v>
      </c>
      <c r="B3" s="238">
        <f t="shared" ref="B3:B16" si="0">+E2</f>
        <v>0</v>
      </c>
      <c r="C3" s="68">
        <f>IFERROR(
   COUNTIFS(
      'RESUMEN CLIENTES'!$G:$G, "&gt;="&amp;DATE(YEAR($A3),MONTH($A3),1),
      'RESUMEN CLIENTES'!$G:$G, "&lt;"&amp;EDATE(DATE(YEAR($A3),MONTH($A3),1),1)),
0)</f>
        <v>0</v>
      </c>
      <c r="D3" s="315">
        <f>IFERROR(
   COUNTIFS(
      'RESUMEN CLIENTES'!$G:$G, "&gt;="&amp;DATE(YEAR($A3),MONTH($A3),1),
      'RESUMEN CLIENTES'!$G:$G, "&lt;"&amp;EDATE(DATE(YEAR($A3),MONTH($A3),1),1),
      'RESUMEN CLIENTES'!$M:$M, "&lt;&gt;ELIMINADO",
      'RESUMEN CLIENTES'!$M:$M, "&lt;&gt;SUSPENDIDO",'RESUMEN CLIENTES'!$M:$M, "&lt;&gt;EN PAUSA"
   ),
0)</f>
        <v>0</v>
      </c>
      <c r="E3" s="238">
        <f>SUM(INDEX(Tabla711[NUEVOS CLIENTES TOTAL],1):Tabla711[[#This Row],[NUEVOS CLIENTES TOTAL]])-SUM(INDEX(Tabla711[ELIMINADOS X MES],1):Tabla711[[#This Row],[ELIMINADOS X MES]])-SUM(INDEX(Tabla711[PAUSA/SUSP X MES],1):Tabla711[[#This Row],[PAUSA/SUSP X MES]])</f>
        <v>0</v>
      </c>
      <c r="F3" s="302">
        <f>+IFERROR(((Tabla711[[#This Row],[NUEVOS CLIENTES TOTAL]]-Tabla711[[#This Row],[NUEVOS CLIENTES VIGENTES]])/Tabla711[[#This Row],[NUEVOS CLIENTES TOTAL]]),0)</f>
        <v>0</v>
      </c>
      <c r="G3" s="68">
        <f>IFERROR(
   COUNTIFS('RESUMEN CLIENTES'!M:M,"ELIMINADO",'RESUMEN CLIENTES'!$J:$J, "&gt;="&amp;DATE(YEAR($A3),MONTH($A3),1),
      'RESUMEN CLIENTES'!$J:$J, "&lt;"&amp;EDATE(DATE(YEAR($A3),MONTH($A3),1),1)),
0)</f>
        <v>0</v>
      </c>
      <c r="H3" s="315">
        <f>COUNTIFS('RESUMEN CLIENTES'!M:M,"SUSPENDIDO",'RESUMEN CLIENTES'!$J:$J, "&gt;="&amp;DATE(YEAR(Tabla711[[#This Row],[MES]]),MONTH(Tabla711[[#This Row],[MES]]),1),
      'RESUMEN CLIENTES'!$J:$J, "&lt;"&amp;EDATE(DATE(YEAR(Tabla711[[#This Row],[MES]]),MONTH(Tabla711[[#This Row],[MES]]),1),1))+COUNTIFS('RESUMEN CLIENTES'!M:M,"EN PAUSA",'RESUMEN CLIENTES'!$J:$J, "&gt;="&amp;DATE(YEAR(Tabla711[[#This Row],[MES]]),MONTH(Tabla711[[#This Row],[MES]]),1),
      'RESUMEN CLIENTES'!$J:$J, "&lt;"&amp;EDATE(DATE(YEAR(Tabla711[[#This Row],[MES]]),MONTH(Tabla711[[#This Row],[MES]]),1),1))</f>
        <v>0</v>
      </c>
      <c r="I3" s="302" cm="1">
        <f t="array" ref="I3">+IFERROR(SUM(Tabla711[[#This Row],[ELIMINADOS X MES]:[PAUSA/SUSP X MES]]/Tabla711[[#This Row],[CANTIDAD CLIENTES ACTIVOS X MES]]),0)</f>
        <v>0</v>
      </c>
      <c r="J3" s="69">
        <f>IFERROR(
   SUMIFS(
      'RESUMEN CLIENTES'!$H:$H,
      'RESUMEN CLIENTES'!$G:$G, "&gt;="&amp;DATE(YEAR($A3),MONTH($A3),1),
      'RESUMEN CLIENTES'!$G:$G, "&lt;"&amp;EDATE(DATE(YEAR($A3),MONTH($A3),1),1),
      'RESUMEN CLIENTES'!$M:$M, "&lt;&gt;NO CONTINUA",
      'RESUMEN CLIENTES'!$M:$M, "&lt;&gt;SUSPENDIDO",
      'RESUMEN CLIENTES'!$O:$O, "&lt;&gt;ELIMINADO"
   ),
0)</f>
        <v>0</v>
      </c>
      <c r="K3" s="318">
        <f ca="1">+Tabla7[[#This Row],[INGRESO MES RECIBIDO NETO]]-Tabla711[[#This Row],[INGRESO NUEVOS CLIENTES]]</f>
        <v>0</v>
      </c>
      <c r="L3" s="299">
        <f>+IFERROR(Tabla711[[#This Row],[INGRESO NUEVOS CLIENTES]]/Tabla7[[#This Row],[INGRESO MES RECIBIDO]],0)</f>
        <v>0</v>
      </c>
      <c r="M3" s="12">
        <f>+IFERROR(Tabla711[[#This Row],[INGRESO NUEVOS CLIENTES]]/Tabla711[[#This Row],[NUEVOS CLIENTES VIGENTES]],0)</f>
        <v>0</v>
      </c>
    </row>
    <row r="4" spans="1:13">
      <c r="A4" s="58">
        <v>45658</v>
      </c>
      <c r="B4" s="238">
        <f t="shared" si="0"/>
        <v>0</v>
      </c>
      <c r="C4" s="68">
        <f>IFERROR(
   COUNTIFS(
      'RESUMEN CLIENTES'!$G:$G, "&gt;="&amp;DATE(YEAR($A4),MONTH($A4),1),
      'RESUMEN CLIENTES'!$G:$G, "&lt;"&amp;EDATE(DATE(YEAR($A4),MONTH($A4),1),1)),
0)</f>
        <v>3</v>
      </c>
      <c r="D4" s="315">
        <f>IFERROR(
   COUNTIFS(
      'RESUMEN CLIENTES'!$G:$G, "&gt;="&amp;DATE(YEAR($A4),MONTH($A4),1),
      'RESUMEN CLIENTES'!$G:$G, "&lt;"&amp;EDATE(DATE(YEAR($A4),MONTH($A4),1),1),
      'RESUMEN CLIENTES'!$M:$M, "&lt;&gt;ELIMINADO",
      'RESUMEN CLIENTES'!$M:$M, "&lt;&gt;SUSPENDIDO",'RESUMEN CLIENTES'!$M:$M, "&lt;&gt;EN PAUSA"
   ),
0)</f>
        <v>3</v>
      </c>
      <c r="E4" s="238">
        <f>SUM(INDEX(Tabla711[NUEVOS CLIENTES TOTAL],1):Tabla711[[#This Row],[NUEVOS CLIENTES TOTAL]])-SUM(INDEX(Tabla711[ELIMINADOS X MES],1):Tabla711[[#This Row],[ELIMINADOS X MES]])-SUM(INDEX(Tabla711[PAUSA/SUSP X MES],1):Tabla711[[#This Row],[PAUSA/SUSP X MES]])</f>
        <v>3</v>
      </c>
      <c r="F4" s="302">
        <f>+IFERROR(((Tabla711[[#This Row],[NUEVOS CLIENTES TOTAL]]-Tabla711[[#This Row],[NUEVOS CLIENTES VIGENTES]])/Tabla711[[#This Row],[NUEVOS CLIENTES TOTAL]]),0)</f>
        <v>0</v>
      </c>
      <c r="G4" s="68">
        <f>IFERROR(
   COUNTIFS('RESUMEN CLIENTES'!M:M,"ELIMINADO",'RESUMEN CLIENTES'!$J:$J, "&gt;="&amp;DATE(YEAR($A4),MONTH($A4),1),
      'RESUMEN CLIENTES'!$J:$J, "&lt;"&amp;EDATE(DATE(YEAR($A4),MONTH($A4),1),1)),
0)</f>
        <v>0</v>
      </c>
      <c r="H4" s="315">
        <f>COUNTIFS('RESUMEN CLIENTES'!M:M,"SUSPENDIDO",'RESUMEN CLIENTES'!$J:$J, "&gt;="&amp;DATE(YEAR(Tabla711[[#This Row],[MES]]),MONTH(Tabla711[[#This Row],[MES]]),1),
      'RESUMEN CLIENTES'!$J:$J, "&lt;"&amp;EDATE(DATE(YEAR(Tabla711[[#This Row],[MES]]),MONTH(Tabla711[[#This Row],[MES]]),1),1))+COUNTIFS('RESUMEN CLIENTES'!M:M,"EN PAUSA",'RESUMEN CLIENTES'!$J:$J, "&gt;="&amp;DATE(YEAR(Tabla711[[#This Row],[MES]]),MONTH(Tabla711[[#This Row],[MES]]),1),
      'RESUMEN CLIENTES'!$J:$J, "&lt;"&amp;EDATE(DATE(YEAR(Tabla711[[#This Row],[MES]]),MONTH(Tabla711[[#This Row],[MES]]),1),1))</f>
        <v>0</v>
      </c>
      <c r="I4" s="302" cm="1">
        <f t="array" ref="I4">+IFERROR(SUM(Tabla711[[#This Row],[ELIMINADOS X MES]:[PAUSA/SUSP X MES]]/Tabla711[[#This Row],[CANTIDAD CLIENTES ACTIVOS X MES]]),0)</f>
        <v>0</v>
      </c>
      <c r="J4" s="69">
        <f>IFERROR(
   SUMIFS(
      'RESUMEN CLIENTES'!$H:$H,
      'RESUMEN CLIENTES'!$G:$G, "&gt;="&amp;DATE(YEAR($A4),MONTH($A4),1),
      'RESUMEN CLIENTES'!$G:$G, "&lt;"&amp;EDATE(DATE(YEAR($A4),MONTH($A4),1),1),
      'RESUMEN CLIENTES'!$M:$M, "&lt;&gt;NO CONTINUA",
      'RESUMEN CLIENTES'!$M:$M, "&lt;&gt;SUSPENDIDO",
      'RESUMEN CLIENTES'!$O:$O, "&lt;&gt;ELIMINADO"
   ),
0)</f>
        <v>10953.596271247383</v>
      </c>
      <c r="K4" s="318">
        <f ca="1">+Tabla7[[#This Row],[INGRESO MES RECIBIDO NETO]]-Tabla711[[#This Row],[INGRESO NUEVOS CLIENTES]]</f>
        <v>0</v>
      </c>
      <c r="L4" s="299">
        <f>+IFERROR(Tabla711[[#This Row],[INGRESO NUEVOS CLIENTES]]/Tabla7[[#This Row],[INGRESO MES RECIBIDO]],0)</f>
        <v>1</v>
      </c>
      <c r="M4" s="12">
        <f>+IFERROR(Tabla711[[#This Row],[INGRESO NUEVOS CLIENTES]]/Tabla711[[#This Row],[NUEVOS CLIENTES VIGENTES]],0)</f>
        <v>3651.1987570824608</v>
      </c>
    </row>
    <row r="5" spans="1:13">
      <c r="A5" s="24">
        <v>45689</v>
      </c>
      <c r="B5" s="238">
        <f t="shared" si="0"/>
        <v>3</v>
      </c>
      <c r="C5" s="68">
        <f>IFERROR(
   COUNTIFS(
      'RESUMEN CLIENTES'!$G:$G, "&gt;="&amp;DATE(YEAR($A5),MONTH($A5),1),
      'RESUMEN CLIENTES'!$G:$G, "&lt;"&amp;EDATE(DATE(YEAR($A5),MONTH($A5),1),1)),
0)</f>
        <v>1</v>
      </c>
      <c r="D5" s="315">
        <f>IFERROR(
   COUNTIFS(
      'RESUMEN CLIENTES'!$G:$G, "&gt;="&amp;DATE(YEAR($A5),MONTH($A5),1),
      'RESUMEN CLIENTES'!$G:$G, "&lt;"&amp;EDATE(DATE(YEAR($A5),MONTH($A5),1),1),
      'RESUMEN CLIENTES'!$M:$M, "&lt;&gt;ELIMINADO",
      'RESUMEN CLIENTES'!$M:$M, "&lt;&gt;SUSPENDIDO",'RESUMEN CLIENTES'!$M:$M, "&lt;&gt;EN PAUSA"
   ),
0)</f>
        <v>1</v>
      </c>
      <c r="E5" s="238">
        <f>SUM(INDEX(Tabla711[NUEVOS CLIENTES TOTAL],1):Tabla711[[#This Row],[NUEVOS CLIENTES TOTAL]])-SUM(INDEX(Tabla711[ELIMINADOS X MES],1):Tabla711[[#This Row],[ELIMINADOS X MES]])-SUM(INDEX(Tabla711[PAUSA/SUSP X MES],1):Tabla711[[#This Row],[PAUSA/SUSP X MES]])</f>
        <v>4</v>
      </c>
      <c r="F5" s="302">
        <f>+IFERROR(((Tabla711[[#This Row],[NUEVOS CLIENTES TOTAL]]-Tabla711[[#This Row],[NUEVOS CLIENTES VIGENTES]])/Tabla711[[#This Row],[NUEVOS CLIENTES TOTAL]]),0)</f>
        <v>0</v>
      </c>
      <c r="G5" s="68">
        <f>IFERROR(
   COUNTIFS('RESUMEN CLIENTES'!M:M,"ELIMINADO",'RESUMEN CLIENTES'!$J:$J, "&gt;="&amp;DATE(YEAR($A5),MONTH($A5),1),
      'RESUMEN CLIENTES'!$J:$J, "&lt;"&amp;EDATE(DATE(YEAR($A5),MONTH($A5),1),1)),
0)</f>
        <v>0</v>
      </c>
      <c r="H5" s="315">
        <f>COUNTIFS('RESUMEN CLIENTES'!M:M,"SUSPENDIDO",'RESUMEN CLIENTES'!$J:$J, "&gt;="&amp;DATE(YEAR(Tabla711[[#This Row],[MES]]),MONTH(Tabla711[[#This Row],[MES]]),1),
      'RESUMEN CLIENTES'!$J:$J, "&lt;"&amp;EDATE(DATE(YEAR(Tabla711[[#This Row],[MES]]),MONTH(Tabla711[[#This Row],[MES]]),1),1))+COUNTIFS('RESUMEN CLIENTES'!M:M,"EN PAUSA",'RESUMEN CLIENTES'!$J:$J, "&gt;="&amp;DATE(YEAR(Tabla711[[#This Row],[MES]]),MONTH(Tabla711[[#This Row],[MES]]),1),
      'RESUMEN CLIENTES'!$J:$J, "&lt;"&amp;EDATE(DATE(YEAR(Tabla711[[#This Row],[MES]]),MONTH(Tabla711[[#This Row],[MES]]),1),1))</f>
        <v>0</v>
      </c>
      <c r="I5" s="302" cm="1">
        <f t="array" ref="I5">+IFERROR(SUM(Tabla711[[#This Row],[ELIMINADOS X MES]:[PAUSA/SUSP X MES]]/Tabla711[[#This Row],[CANTIDAD CLIENTES ACTIVOS X MES]]),0)</f>
        <v>0</v>
      </c>
      <c r="J5" s="69">
        <f>IFERROR(
   SUMIFS(
      'RESUMEN CLIENTES'!$H:$H,
      'RESUMEN CLIENTES'!$G:$G, "&gt;="&amp;DATE(YEAR($A5),MONTH($A5),1),
      'RESUMEN CLIENTES'!$G:$G, "&lt;"&amp;EDATE(DATE(YEAR($A5),MONTH($A5),1),1),
      'RESUMEN CLIENTES'!$M:$M, "&lt;&gt;NO CONTINUA",
      'RESUMEN CLIENTES'!$M:$M, "&lt;&gt;SUSPENDIDO",
      'RESUMEN CLIENTES'!$O:$O, "&lt;&gt;ELIMINADO"
   ),
0)</f>
        <v>10194.845567790571</v>
      </c>
      <c r="K5" s="318">
        <f ca="1">+Tabla7[[#This Row],[INGRESO MES RECIBIDO NETO]]-Tabla711[[#This Row],[INGRESO NUEVOS CLIENTES]]</f>
        <v>0</v>
      </c>
      <c r="L5" s="299">
        <f>+IFERROR(Tabla711[[#This Row],[INGRESO NUEVOS CLIENTES]]/Tabla7[[#This Row],[INGRESO MES RECIBIDO]],0)</f>
        <v>0.9619999810563008</v>
      </c>
      <c r="M5" s="12">
        <f>+IFERROR(Tabla711[[#This Row],[INGRESO NUEVOS CLIENTES]]/Tabla711[[#This Row],[NUEVOS CLIENTES VIGENTES]],0)</f>
        <v>10194.845567790571</v>
      </c>
    </row>
    <row r="6" spans="1:13">
      <c r="A6" s="58">
        <v>45717</v>
      </c>
      <c r="B6" s="238">
        <f t="shared" si="0"/>
        <v>4</v>
      </c>
      <c r="C6" s="68">
        <f>IFERROR(
   COUNTIFS(
      'RESUMEN CLIENTES'!$G:$G, "&gt;="&amp;DATE(YEAR($A6),MONTH($A6),1),
      'RESUMEN CLIENTES'!$G:$G, "&lt;"&amp;EDATE(DATE(YEAR($A6),MONTH($A6),1),1)),
0)</f>
        <v>14</v>
      </c>
      <c r="D6" s="315">
        <f>IFERROR(
   COUNTIFS(
      'RESUMEN CLIENTES'!$G:$G, "&gt;="&amp;DATE(YEAR($A6),MONTH($A6),1),
      'RESUMEN CLIENTES'!$G:$G, "&lt;"&amp;EDATE(DATE(YEAR($A6),MONTH($A6),1),1),
      'RESUMEN CLIENTES'!$M:$M, "&lt;&gt;ELIMINADO",
      'RESUMEN CLIENTES'!$M:$M, "&lt;&gt;SUSPENDIDO",'RESUMEN CLIENTES'!$M:$M, "&lt;&gt;EN PAUSA"
   ),
0)</f>
        <v>12</v>
      </c>
      <c r="E6" s="238">
        <f>SUM(INDEX(Tabla711[NUEVOS CLIENTES TOTAL],1):Tabla711[[#This Row],[NUEVOS CLIENTES TOTAL]])-SUM(INDEX(Tabla711[ELIMINADOS X MES],1):Tabla711[[#This Row],[ELIMINADOS X MES]])-SUM(INDEX(Tabla711[PAUSA/SUSP X MES],1):Tabla711[[#This Row],[PAUSA/SUSP X MES]])</f>
        <v>17</v>
      </c>
      <c r="F6" s="302">
        <f>+IFERROR(((Tabla711[[#This Row],[NUEVOS CLIENTES TOTAL]]-Tabla711[[#This Row],[NUEVOS CLIENTES VIGENTES]])/Tabla711[[#This Row],[NUEVOS CLIENTES TOTAL]]),0)</f>
        <v>0.14285714285714285</v>
      </c>
      <c r="G6" s="68">
        <f>IFERROR(
   COUNTIFS('RESUMEN CLIENTES'!M:M,"ELIMINADO",'RESUMEN CLIENTES'!$J:$J, "&gt;="&amp;DATE(YEAR($A6),MONTH($A6),1),
      'RESUMEN CLIENTES'!$J:$J, "&lt;"&amp;EDATE(DATE(YEAR($A6),MONTH($A6),1),1)),
0)</f>
        <v>1</v>
      </c>
      <c r="H6" s="315">
        <f>COUNTIFS('RESUMEN CLIENTES'!M:M,"SUSPENDIDO",'RESUMEN CLIENTES'!$J:$J, "&gt;="&amp;DATE(YEAR(Tabla711[[#This Row],[MES]]),MONTH(Tabla711[[#This Row],[MES]]),1),
      'RESUMEN CLIENTES'!$J:$J, "&lt;"&amp;EDATE(DATE(YEAR(Tabla711[[#This Row],[MES]]),MONTH(Tabla711[[#This Row],[MES]]),1),1))+COUNTIFS('RESUMEN CLIENTES'!M:M,"EN PAUSA",'RESUMEN CLIENTES'!$J:$J, "&gt;="&amp;DATE(YEAR(Tabla711[[#This Row],[MES]]),MONTH(Tabla711[[#This Row],[MES]]),1),
      'RESUMEN CLIENTES'!$J:$J, "&lt;"&amp;EDATE(DATE(YEAR(Tabla711[[#This Row],[MES]]),MONTH(Tabla711[[#This Row],[MES]]),1),1))</f>
        <v>0</v>
      </c>
      <c r="I6" s="302" cm="1">
        <f t="array" ref="I6">+IFERROR(SUM(Tabla711[[#This Row],[ELIMINADOS X MES]:[PAUSA/SUSP X MES]]/Tabla711[[#This Row],[CANTIDAD CLIENTES ACTIVOS X MES]]),0)</f>
        <v>5.8823529411764705E-2</v>
      </c>
      <c r="J6" s="69">
        <f>IFERROR(
   SUMIFS(
      'RESUMEN CLIENTES'!$H:$H,
      'RESUMEN CLIENTES'!$G:$G, "&gt;="&amp;DATE(YEAR($A6),MONTH($A6),1),
      'RESUMEN CLIENTES'!$G:$G, "&lt;"&amp;EDATE(DATE(YEAR($A6),MONTH($A6),1),1),
      'RESUMEN CLIENTES'!$M:$M, "&lt;&gt;NO CONTINUA",
      'RESUMEN CLIENTES'!$M:$M, "&lt;&gt;SUSPENDIDO",
      'RESUMEN CLIENTES'!$O:$O, "&lt;&gt;ELIMINADO"
   ),
0)</f>
        <v>23806.247551999997</v>
      </c>
      <c r="K6" s="318">
        <f ca="1">+Tabla7[[#This Row],[INGRESO MES RECIBIDO NETO]]-Tabla711[[#This Row],[INGRESO NUEVOS CLIENTES]]</f>
        <v>1264.9213000000054</v>
      </c>
      <c r="L6" s="299">
        <f>+IFERROR(Tabla711[[#This Row],[INGRESO NUEVOS CLIENTES]]/Tabla7[[#This Row],[INGRESO MES RECIBIDO]],0)</f>
        <v>0.91883980886724459</v>
      </c>
      <c r="M6" s="12">
        <f>+IFERROR(Tabla711[[#This Row],[INGRESO NUEVOS CLIENTES]]/Tabla711[[#This Row],[NUEVOS CLIENTES VIGENTES]],0)</f>
        <v>1983.8539626666663</v>
      </c>
    </row>
    <row r="7" spans="1:13">
      <c r="A7" s="24">
        <v>45748</v>
      </c>
      <c r="B7" s="238">
        <f t="shared" si="0"/>
        <v>17</v>
      </c>
      <c r="C7" s="68">
        <f>IFERROR(
   COUNTIFS(
      'RESUMEN CLIENTES'!$G:$G, "&gt;="&amp;DATE(YEAR($A7),MONTH($A7),1),
      'RESUMEN CLIENTES'!$G:$G, "&lt;"&amp;EDATE(DATE(YEAR($A7),MONTH($A7),1),1)),
0)</f>
        <v>19</v>
      </c>
      <c r="D7" s="315">
        <f>IFERROR(
   COUNTIFS(
      'RESUMEN CLIENTES'!$G:$G, "&gt;="&amp;DATE(YEAR($A7),MONTH($A7),1),
      'RESUMEN CLIENTES'!$G:$G, "&lt;"&amp;EDATE(DATE(YEAR($A7),MONTH($A7),1),1),
      'RESUMEN CLIENTES'!$M:$M, "&lt;&gt;ELIMINADO",
      'RESUMEN CLIENTES'!$M:$M, "&lt;&gt;SUSPENDIDO",'RESUMEN CLIENTES'!$M:$M, "&lt;&gt;EN PAUSA"
   ),
0)</f>
        <v>17</v>
      </c>
      <c r="E7" s="238">
        <f>SUM(INDEX(Tabla711[NUEVOS CLIENTES TOTAL],1):Tabla711[[#This Row],[NUEVOS CLIENTES TOTAL]])-SUM(INDEX(Tabla711[ELIMINADOS X MES],1):Tabla711[[#This Row],[ELIMINADOS X MES]])-SUM(INDEX(Tabla711[PAUSA/SUSP X MES],1):Tabla711[[#This Row],[PAUSA/SUSP X MES]])</f>
        <v>34</v>
      </c>
      <c r="F7" s="302">
        <f>+IFERROR(((Tabla711[[#This Row],[NUEVOS CLIENTES TOTAL]]-Tabla711[[#This Row],[NUEVOS CLIENTES VIGENTES]])/Tabla711[[#This Row],[NUEVOS CLIENTES TOTAL]]),0)</f>
        <v>0.10526315789473684</v>
      </c>
      <c r="G7" s="68">
        <f>IFERROR(
   COUNTIFS('RESUMEN CLIENTES'!M:M,"ELIMINADO",'RESUMEN CLIENTES'!$J:$J, "&gt;="&amp;DATE(YEAR($A7),MONTH($A7),1),
      'RESUMEN CLIENTES'!$J:$J, "&lt;"&amp;EDATE(DATE(YEAR($A7),MONTH($A7),1),1)),
0)</f>
        <v>1</v>
      </c>
      <c r="H7" s="315">
        <f>COUNTIFS('RESUMEN CLIENTES'!M:M,"SUSPENDIDO",'RESUMEN CLIENTES'!$J:$J, "&gt;="&amp;DATE(YEAR(Tabla711[[#This Row],[MES]]),MONTH(Tabla711[[#This Row],[MES]]),1),
      'RESUMEN CLIENTES'!$J:$J, "&lt;"&amp;EDATE(DATE(YEAR(Tabla711[[#This Row],[MES]]),MONTH(Tabla711[[#This Row],[MES]]),1),1))+COUNTIFS('RESUMEN CLIENTES'!M:M,"EN PAUSA",'RESUMEN CLIENTES'!$J:$J, "&gt;="&amp;DATE(YEAR(Tabla711[[#This Row],[MES]]),MONTH(Tabla711[[#This Row],[MES]]),1),
      'RESUMEN CLIENTES'!$J:$J, "&lt;"&amp;EDATE(DATE(YEAR(Tabla711[[#This Row],[MES]]),MONTH(Tabla711[[#This Row],[MES]]),1),1))</f>
        <v>1</v>
      </c>
      <c r="I7" s="302" cm="1">
        <f t="array" ref="I7">+IFERROR(SUM(Tabla711[[#This Row],[ELIMINADOS X MES]:[PAUSA/SUSP X MES]]/Tabla711[[#This Row],[CANTIDAD CLIENTES ACTIVOS X MES]]),0)</f>
        <v>5.8823529411764705E-2</v>
      </c>
      <c r="J7" s="69">
        <f>IFERROR(
   SUMIFS(
      'RESUMEN CLIENTES'!$H:$H,
      'RESUMEN CLIENTES'!$G:$G, "&gt;="&amp;DATE(YEAR($A7),MONTH($A7),1),
      'RESUMEN CLIENTES'!$G:$G, "&lt;"&amp;EDATE(DATE(YEAR($A7),MONTH($A7),1),1),
      'RESUMEN CLIENTES'!$M:$M, "&lt;&gt;NO CONTINUA",
      'RESUMEN CLIENTES'!$M:$M, "&lt;&gt;SUSPENDIDO",
      'RESUMEN CLIENTES'!$O:$O, "&lt;&gt;ELIMINADO"
   ),
0)</f>
        <v>55354.633400320272</v>
      </c>
      <c r="K7" s="318">
        <f ca="1">+Tabla7[[#This Row],[INGRESO MES RECIBIDO NETO]]-Tabla711[[#This Row],[INGRESO NUEVOS CLIENTES]]</f>
        <v>3824.4900000000052</v>
      </c>
      <c r="L7" s="299">
        <f>+IFERROR(Tabla711[[#This Row],[INGRESO NUEVOS CLIENTES]]/Tabla7[[#This Row],[INGRESO MES RECIBIDO]],0)</f>
        <v>0.91283477268186164</v>
      </c>
      <c r="M7" s="12">
        <f>+IFERROR(Tabla711[[#This Row],[INGRESO NUEVOS CLIENTES]]/Tabla711[[#This Row],[NUEVOS CLIENTES VIGENTES]],0)</f>
        <v>3256.1549059011923</v>
      </c>
    </row>
    <row r="8" spans="1:13">
      <c r="A8" s="58">
        <v>45778</v>
      </c>
      <c r="B8" s="238">
        <f t="shared" si="0"/>
        <v>34</v>
      </c>
      <c r="C8" s="68">
        <f>IFERROR(
   COUNTIFS(
      'RESUMEN CLIENTES'!$G:$G, "&gt;="&amp;DATE(YEAR($A8),MONTH($A8),1),
      'RESUMEN CLIENTES'!$G:$G, "&lt;"&amp;EDATE(DATE(YEAR($A8),MONTH($A8),1),1)),
0)</f>
        <v>15</v>
      </c>
      <c r="D8" s="315">
        <f>IFERROR(
   COUNTIFS(
      'RESUMEN CLIENTES'!$G:$G, "&gt;="&amp;DATE(YEAR($A8),MONTH($A8),1),
      'RESUMEN CLIENTES'!$G:$G, "&lt;"&amp;EDATE(DATE(YEAR($A8),MONTH($A8),1),1),
      'RESUMEN CLIENTES'!$M:$M, "&lt;&gt;ELIMINADO",
      'RESUMEN CLIENTES'!$M:$M, "&lt;&gt;SUSPENDIDO",'RESUMEN CLIENTES'!$M:$M, "&lt;&gt;EN PAUSA"
   ),
0)</f>
        <v>13</v>
      </c>
      <c r="E8" s="238">
        <f>SUM(INDEX(Tabla711[NUEVOS CLIENTES TOTAL],1):Tabla711[[#This Row],[NUEVOS CLIENTES TOTAL]])-SUM(INDEX(Tabla711[ELIMINADOS X MES],1):Tabla711[[#This Row],[ELIMINADOS X MES]])-SUM(INDEX(Tabla711[PAUSA/SUSP X MES],1):Tabla711[[#This Row],[PAUSA/SUSP X MES]])</f>
        <v>48</v>
      </c>
      <c r="F8" s="302">
        <f>+IFERROR(((Tabla711[[#This Row],[NUEVOS CLIENTES TOTAL]]-Tabla711[[#This Row],[NUEVOS CLIENTES VIGENTES]])/Tabla711[[#This Row],[NUEVOS CLIENTES TOTAL]]),0)</f>
        <v>0.13333333333333333</v>
      </c>
      <c r="G8" s="68">
        <f>IFERROR(
   COUNTIFS('RESUMEN CLIENTES'!M:M,"ELIMINADO",'RESUMEN CLIENTES'!$J:$J, "&gt;="&amp;DATE(YEAR($A8),MONTH($A8),1),
      'RESUMEN CLIENTES'!$J:$J, "&lt;"&amp;EDATE(DATE(YEAR($A8),MONTH($A8),1),1)),
0)</f>
        <v>1</v>
      </c>
      <c r="H8" s="315">
        <f>COUNTIFS('RESUMEN CLIENTES'!M:M,"SUSPENDIDO",'RESUMEN CLIENTES'!$J:$J, "&gt;="&amp;DATE(YEAR(Tabla711[[#This Row],[MES]]),MONTH(Tabla711[[#This Row],[MES]]),1),
      'RESUMEN CLIENTES'!$J:$J, "&lt;"&amp;EDATE(DATE(YEAR(Tabla711[[#This Row],[MES]]),MONTH(Tabla711[[#This Row],[MES]]),1),1))+COUNTIFS('RESUMEN CLIENTES'!M:M,"EN PAUSA",'RESUMEN CLIENTES'!$J:$J, "&gt;="&amp;DATE(YEAR(Tabla711[[#This Row],[MES]]),MONTH(Tabla711[[#This Row],[MES]]),1),
      'RESUMEN CLIENTES'!$J:$J, "&lt;"&amp;EDATE(DATE(YEAR(Tabla711[[#This Row],[MES]]),MONTH(Tabla711[[#This Row],[MES]]),1),1))</f>
        <v>0</v>
      </c>
      <c r="I8" s="302" cm="1">
        <f t="array" ref="I8">+IFERROR(SUM(Tabla711[[#This Row],[ELIMINADOS X MES]:[PAUSA/SUSP X MES]]/Tabla711[[#This Row],[CANTIDAD CLIENTES ACTIVOS X MES]]),0)</f>
        <v>2.0833333333333332E-2</v>
      </c>
      <c r="J8" s="69">
        <f>IFERROR(
   SUMIFS(
      'RESUMEN CLIENTES'!$H:$H,
      'RESUMEN CLIENTES'!$G:$G, "&gt;="&amp;DATE(YEAR($A8),MONTH($A8),1),
      'RESUMEN CLIENTES'!$G:$G, "&lt;"&amp;EDATE(DATE(YEAR($A8),MONTH($A8),1),1),
      'RESUMEN CLIENTES'!$M:$M, "&lt;&gt;NO CONTINUA",
      'RESUMEN CLIENTES'!$M:$M, "&lt;&gt;SUSPENDIDO",
      'RESUMEN CLIENTES'!$O:$O, "&lt;&gt;ELIMINADO"
   ),
0)</f>
        <v>29040.86</v>
      </c>
      <c r="K8" s="318">
        <f ca="1">+Tabla7[[#This Row],[INGRESO MES RECIBIDO NETO]]-Tabla711[[#This Row],[INGRESO NUEVOS CLIENTES]]</f>
        <v>28167.780000000013</v>
      </c>
      <c r="L8" s="299">
        <f>+IFERROR(Tabla711[[#This Row],[INGRESO NUEVOS CLIENTES]]/Tabla7[[#This Row],[INGRESO MES RECIBIDO]],0)</f>
        <v>0.49509809437204022</v>
      </c>
      <c r="M8" s="12">
        <f>+IFERROR(Tabla711[[#This Row],[INGRESO NUEVOS CLIENTES]]/Tabla711[[#This Row],[NUEVOS CLIENTES VIGENTES]],0)</f>
        <v>2233.9123076923079</v>
      </c>
    </row>
    <row r="9" spans="1:13">
      <c r="A9" s="24">
        <v>45809</v>
      </c>
      <c r="B9" s="238">
        <f t="shared" si="0"/>
        <v>48</v>
      </c>
      <c r="C9" s="68">
        <f>IFERROR(
   COUNTIFS(
      'RESUMEN CLIENTES'!$G:$G, "&gt;="&amp;DATE(YEAR($A9),MONTH($A9),1),
      'RESUMEN CLIENTES'!$G:$G, "&lt;"&amp;EDATE(DATE(YEAR($A9),MONTH($A9),1),1)),
0)</f>
        <v>19</v>
      </c>
      <c r="D9" s="315">
        <f>IFERROR(
   COUNTIFS(
      'RESUMEN CLIENTES'!$G:$G, "&gt;="&amp;DATE(YEAR($A9),MONTH($A9),1),
      'RESUMEN CLIENTES'!$G:$G, "&lt;"&amp;EDATE(DATE(YEAR($A9),MONTH($A9),1),1),
      'RESUMEN CLIENTES'!$M:$M, "&lt;&gt;ELIMINADO",
      'RESUMEN CLIENTES'!$M:$M, "&lt;&gt;SUSPENDIDO",'RESUMEN CLIENTES'!$M:$M, "&lt;&gt;EN PAUSA"
   ),
0)</f>
        <v>12</v>
      </c>
      <c r="E9" s="238">
        <f>SUM(INDEX(Tabla711[NUEVOS CLIENTES TOTAL],1):Tabla711[[#This Row],[NUEVOS CLIENTES TOTAL]])-SUM(INDEX(Tabla711[ELIMINADOS X MES],1):Tabla711[[#This Row],[ELIMINADOS X MES]])-SUM(INDEX(Tabla711[PAUSA/SUSP X MES],1):Tabla711[[#This Row],[PAUSA/SUSP X MES]])</f>
        <v>63</v>
      </c>
      <c r="F9" s="302">
        <f>+IFERROR(((Tabla711[[#This Row],[NUEVOS CLIENTES TOTAL]]-Tabla711[[#This Row],[NUEVOS CLIENTES VIGENTES]])/Tabla711[[#This Row],[NUEVOS CLIENTES TOTAL]]),0)</f>
        <v>0.36842105263157893</v>
      </c>
      <c r="G9" s="68">
        <f>IFERROR(
   COUNTIFS('RESUMEN CLIENTES'!M:M,"ELIMINADO",'RESUMEN CLIENTES'!$J:$J, "&gt;="&amp;DATE(YEAR($A9),MONTH($A9),1),
      'RESUMEN CLIENTES'!$J:$J, "&lt;"&amp;EDATE(DATE(YEAR($A9),MONTH($A9),1),1)),
0)</f>
        <v>4</v>
      </c>
      <c r="H9" s="315">
        <f>COUNTIFS('RESUMEN CLIENTES'!M:M,"SUSPENDIDO",'RESUMEN CLIENTES'!$J:$J, "&gt;="&amp;DATE(YEAR(Tabla711[[#This Row],[MES]]),MONTH(Tabla711[[#This Row],[MES]]),1),
      'RESUMEN CLIENTES'!$J:$J, "&lt;"&amp;EDATE(DATE(YEAR(Tabla711[[#This Row],[MES]]),MONTH(Tabla711[[#This Row],[MES]]),1),1))+COUNTIFS('RESUMEN CLIENTES'!M:M,"EN PAUSA",'RESUMEN CLIENTES'!$J:$J, "&gt;="&amp;DATE(YEAR(Tabla711[[#This Row],[MES]]),MONTH(Tabla711[[#This Row],[MES]]),1),
      'RESUMEN CLIENTES'!$J:$J, "&lt;"&amp;EDATE(DATE(YEAR(Tabla711[[#This Row],[MES]]),MONTH(Tabla711[[#This Row],[MES]]),1),1))</f>
        <v>0</v>
      </c>
      <c r="I9" s="302" cm="1">
        <f t="array" ref="I9">+IFERROR(SUM(Tabla711[[#This Row],[ELIMINADOS X MES]:[PAUSA/SUSP X MES]]/Tabla711[[#This Row],[CANTIDAD CLIENTES ACTIVOS X MES]]),0)</f>
        <v>6.3492063492063489E-2</v>
      </c>
      <c r="J9" s="69">
        <f>IFERROR(
   SUMIFS(
      'RESUMEN CLIENTES'!$H:$H,
      'RESUMEN CLIENTES'!$G:$G, "&gt;="&amp;DATE(YEAR($A9),MONTH($A9),1),
      'RESUMEN CLIENTES'!$G:$G, "&lt;"&amp;EDATE(DATE(YEAR($A9),MONTH($A9),1),1),
      'RESUMEN CLIENTES'!$M:$M, "&lt;&gt;NO CONTINUA",
      'RESUMEN CLIENTES'!$M:$M, "&lt;&gt;SUSPENDIDO",
      'RESUMEN CLIENTES'!$O:$O, "&lt;&gt;ELIMINADO"
   ),
0)</f>
        <v>27977.157448086302</v>
      </c>
      <c r="K9" s="318">
        <f ca="1">+Tabla7[[#This Row],[INGRESO MES RECIBIDO NETO]]-Tabla711[[#This Row],[INGRESO NUEVOS CLIENTES]]</f>
        <v>52514.866476185489</v>
      </c>
      <c r="L9" s="299">
        <f>+IFERROR(Tabla711[[#This Row],[INGRESO NUEVOS CLIENTES]]/Tabla7[[#This Row],[INGRESO MES RECIBIDO]],0)</f>
        <v>0.33905954756913931</v>
      </c>
      <c r="M9" s="12">
        <f>+IFERROR(Tabla711[[#This Row],[INGRESO NUEVOS CLIENTES]]/Tabla711[[#This Row],[NUEVOS CLIENTES VIGENTES]],0)</f>
        <v>2331.4297873405253</v>
      </c>
    </row>
    <row r="10" spans="1:13">
      <c r="A10" s="58">
        <v>45839</v>
      </c>
      <c r="B10" s="238">
        <f t="shared" si="0"/>
        <v>63</v>
      </c>
      <c r="C10" s="68">
        <f>IFERROR(
   COUNTIFS(
      'RESUMEN CLIENTES'!$G:$G, "&gt;="&amp;DATE(YEAR($A10),MONTH($A10),1),
      'RESUMEN CLIENTES'!$G:$G, "&lt;"&amp;EDATE(DATE(YEAR($A10),MONTH($A10),1),1)),
0)</f>
        <v>31</v>
      </c>
      <c r="D10" s="315">
        <f>IFERROR(
   COUNTIFS(
      'RESUMEN CLIENTES'!$G:$G, "&gt;="&amp;DATE(YEAR($A10),MONTH($A10),1),
      'RESUMEN CLIENTES'!$G:$G, "&lt;"&amp;EDATE(DATE(YEAR($A10),MONTH($A10),1),1),
      'RESUMEN CLIENTES'!$M:$M, "&lt;&gt;ELIMINADO",
      'RESUMEN CLIENTES'!$M:$M, "&lt;&gt;SUSPENDIDO",'RESUMEN CLIENTES'!$M:$M, "&lt;&gt;EN PAUSA"
   ),
0)</f>
        <v>21</v>
      </c>
      <c r="E10" s="238">
        <f>SUM(INDEX(Tabla711[NUEVOS CLIENTES TOTAL],1):Tabla711[[#This Row],[NUEVOS CLIENTES TOTAL]])-SUM(INDEX(Tabla711[ELIMINADOS X MES],1):Tabla711[[#This Row],[ELIMINADOS X MES]])-SUM(INDEX(Tabla711[PAUSA/SUSP X MES],1):Tabla711[[#This Row],[PAUSA/SUSP X MES]])</f>
        <v>84</v>
      </c>
      <c r="F10" s="302">
        <f>+IFERROR(((Tabla711[[#This Row],[NUEVOS CLIENTES TOTAL]]-Tabla711[[#This Row],[NUEVOS CLIENTES VIGENTES]])/Tabla711[[#This Row],[NUEVOS CLIENTES TOTAL]]),0)</f>
        <v>0.32258064516129031</v>
      </c>
      <c r="G10" s="68">
        <f>IFERROR(
   COUNTIFS('RESUMEN CLIENTES'!M:M,"ELIMINADO",'RESUMEN CLIENTES'!$J:$J, "&gt;="&amp;DATE(YEAR($A10),MONTH($A10),1),
      'RESUMEN CLIENTES'!$J:$J, "&lt;"&amp;EDATE(DATE(YEAR($A10),MONTH($A10),1),1)),
0)</f>
        <v>8</v>
      </c>
      <c r="H10" s="315">
        <f>COUNTIFS('RESUMEN CLIENTES'!M:M,"SUSPENDIDO",'RESUMEN CLIENTES'!$J:$J, "&gt;="&amp;DATE(YEAR(Tabla711[[#This Row],[MES]]),MONTH(Tabla711[[#This Row],[MES]]),1),
      'RESUMEN CLIENTES'!$J:$J, "&lt;"&amp;EDATE(DATE(YEAR(Tabla711[[#This Row],[MES]]),MONTH(Tabla711[[#This Row],[MES]]),1),1))+COUNTIFS('RESUMEN CLIENTES'!M:M,"EN PAUSA",'RESUMEN CLIENTES'!$J:$J, "&gt;="&amp;DATE(YEAR(Tabla711[[#This Row],[MES]]),MONTH(Tabla711[[#This Row],[MES]]),1),
      'RESUMEN CLIENTES'!$J:$J, "&lt;"&amp;EDATE(DATE(YEAR(Tabla711[[#This Row],[MES]]),MONTH(Tabla711[[#This Row],[MES]]),1),1))</f>
        <v>2</v>
      </c>
      <c r="I10" s="302" cm="1">
        <f t="array" ref="I10">+IFERROR(SUM(Tabla711[[#This Row],[ELIMINADOS X MES]:[PAUSA/SUSP X MES]]/Tabla711[[#This Row],[CANTIDAD CLIENTES ACTIVOS X MES]]),0)</f>
        <v>0.11904761904761904</v>
      </c>
      <c r="J10" s="69">
        <f>IFERROR(
   SUMIFS(
      'RESUMEN CLIENTES'!$H:$H,
      'RESUMEN CLIENTES'!$G:$G, "&gt;="&amp;DATE(YEAR($A10),MONTH($A10),1),
      'RESUMEN CLIENTES'!$G:$G, "&lt;"&amp;EDATE(DATE(YEAR($A10),MONTH($A10),1),1),
      'RESUMEN CLIENTES'!$M:$M, "&lt;&gt;NO CONTINUA",
      'RESUMEN CLIENTES'!$M:$M, "&lt;&gt;SUSPENDIDO",
      'RESUMEN CLIENTES'!$O:$O, "&lt;&gt;ELIMINADO"
   ),
0)</f>
        <v>59875.76739864533</v>
      </c>
      <c r="K10" s="318">
        <f ca="1">+Tabla7[[#This Row],[INGRESO MES RECIBIDO NETO]]-Tabla711[[#This Row],[INGRESO NUEVOS CLIENTES]]</f>
        <v>77621.473254817902</v>
      </c>
      <c r="L10" s="299">
        <f>+IFERROR(Tabla711[[#This Row],[INGRESO NUEVOS CLIENTES]]/Tabla7[[#This Row],[INGRESO MES RECIBIDO]],0)</f>
        <v>0.42656742170209738</v>
      </c>
      <c r="M10" s="12">
        <f>+IFERROR(Tabla711[[#This Row],[INGRESO NUEVOS CLIENTES]]/Tabla711[[#This Row],[NUEVOS CLIENTES VIGENTES]],0)</f>
        <v>2851.2270189831111</v>
      </c>
    </row>
    <row r="11" spans="1:13">
      <c r="A11" s="24">
        <v>45870</v>
      </c>
      <c r="B11" s="238">
        <f t="shared" si="0"/>
        <v>84</v>
      </c>
      <c r="C11" s="68">
        <f>IFERROR(
   COUNTIFS(
      'RESUMEN CLIENTES'!$G:$G, "&gt;="&amp;DATE(YEAR($A11),MONTH($A11),1),
      'RESUMEN CLIENTES'!$G:$G, "&lt;"&amp;EDATE(DATE(YEAR($A11),MONTH($A11),1),1)),
0)</f>
        <v>26</v>
      </c>
      <c r="D11" s="315">
        <f>IFERROR(
   COUNTIFS(
      'RESUMEN CLIENTES'!$G:$G, "&gt;="&amp;DATE(YEAR($A11),MONTH($A11),1),
      'RESUMEN CLIENTES'!$G:$G, "&lt;"&amp;EDATE(DATE(YEAR($A11),MONTH($A11),1),1),
      'RESUMEN CLIENTES'!$M:$M, "&lt;&gt;ELIMINADO",
      'RESUMEN CLIENTES'!$M:$M, "&lt;&gt;SUSPENDIDO",'RESUMEN CLIENTES'!$M:$M, "&lt;&gt;EN PAUSA"
   ),
0)</f>
        <v>14</v>
      </c>
      <c r="E11" s="238">
        <f>SUM(INDEX(Tabla711[NUEVOS CLIENTES TOTAL],1):Tabla711[[#This Row],[NUEVOS CLIENTES TOTAL]])-SUM(INDEX(Tabla711[ELIMINADOS X MES],1):Tabla711[[#This Row],[ELIMINADOS X MES]])-SUM(INDEX(Tabla711[PAUSA/SUSP X MES],1):Tabla711[[#This Row],[PAUSA/SUSP X MES]])</f>
        <v>101</v>
      </c>
      <c r="F11" s="302">
        <f>+IFERROR(((Tabla711[[#This Row],[NUEVOS CLIENTES TOTAL]]-Tabla711[[#This Row],[NUEVOS CLIENTES VIGENTES]])/Tabla711[[#This Row],[NUEVOS CLIENTES TOTAL]]),0)</f>
        <v>0.46153846153846156</v>
      </c>
      <c r="G11" s="68">
        <f>IFERROR(
   COUNTIFS('RESUMEN CLIENTES'!M:M,"ELIMINADO",'RESUMEN CLIENTES'!$J:$J, "&gt;="&amp;DATE(YEAR($A11),MONTH($A11),1),
      'RESUMEN CLIENTES'!$J:$J, "&lt;"&amp;EDATE(DATE(YEAR($A11),MONTH($A11),1),1)),
0)</f>
        <v>7</v>
      </c>
      <c r="H11" s="315">
        <f>COUNTIFS('RESUMEN CLIENTES'!M:M,"SUSPENDIDO",'RESUMEN CLIENTES'!$J:$J, "&gt;="&amp;DATE(YEAR(Tabla711[[#This Row],[MES]]),MONTH(Tabla711[[#This Row],[MES]]),1),
      'RESUMEN CLIENTES'!$J:$J, "&lt;"&amp;EDATE(DATE(YEAR(Tabla711[[#This Row],[MES]]),MONTH(Tabla711[[#This Row],[MES]]),1),1))+COUNTIFS('RESUMEN CLIENTES'!M:M,"EN PAUSA",'RESUMEN CLIENTES'!$J:$J, "&gt;="&amp;DATE(YEAR(Tabla711[[#This Row],[MES]]),MONTH(Tabla711[[#This Row],[MES]]),1),
      'RESUMEN CLIENTES'!$J:$J, "&lt;"&amp;EDATE(DATE(YEAR(Tabla711[[#This Row],[MES]]),MONTH(Tabla711[[#This Row],[MES]]),1),1))</f>
        <v>2</v>
      </c>
      <c r="I11" s="302" cm="1">
        <f t="array" ref="I11">+IFERROR(SUM(Tabla711[[#This Row],[ELIMINADOS X MES]:[PAUSA/SUSP X MES]]/Tabla711[[#This Row],[CANTIDAD CLIENTES ACTIVOS X MES]]),0)</f>
        <v>8.9108910891089119E-2</v>
      </c>
      <c r="J11" s="69">
        <f>IFERROR(
   SUMIFS(
      'RESUMEN CLIENTES'!$H:$H,
      'RESUMEN CLIENTES'!$G:$G, "&gt;="&amp;DATE(YEAR($A11),MONTH($A11),1),
      'RESUMEN CLIENTES'!$G:$G, "&lt;"&amp;EDATE(DATE(YEAR($A11),MONTH($A11),1),1),
      'RESUMEN CLIENTES'!$M:$M, "&lt;&gt;NO CONTINUA",
      'RESUMEN CLIENTES'!$M:$M, "&lt;&gt;SUSPENDIDO",
      'RESUMEN CLIENTES'!$O:$O, "&lt;&gt;ELIMINADO"
   ),
0)</f>
        <v>38553.396824034346</v>
      </c>
      <c r="K11" s="318">
        <f ca="1">+Tabla7[[#This Row],[INGRESO MES RECIBIDO NETO]]-Tabla711[[#This Row],[INGRESO NUEVOS CLIENTES]]</f>
        <v>102086.80205128732</v>
      </c>
      <c r="L11" s="299">
        <f>+IFERROR(Tabla711[[#This Row],[INGRESO NUEVOS CLIENTES]]/Tabla7[[#This Row],[INGRESO MES RECIBIDO]],0)</f>
        <v>0.26758582167932654</v>
      </c>
      <c r="M11" s="12">
        <f>+IFERROR(Tabla711[[#This Row],[INGRESO NUEVOS CLIENTES]]/Tabla711[[#This Row],[NUEVOS CLIENTES VIGENTES]],0)</f>
        <v>2753.8140588595961</v>
      </c>
    </row>
    <row r="12" spans="1:13">
      <c r="A12" s="58">
        <v>45901</v>
      </c>
      <c r="B12" s="238">
        <f t="shared" si="0"/>
        <v>101</v>
      </c>
      <c r="C12" s="68">
        <f>IFERROR(
   COUNTIFS(
      'RESUMEN CLIENTES'!$G:$G, "&gt;="&amp;DATE(YEAR($A12),MONTH($A12),1),
      'RESUMEN CLIENTES'!$G:$G, "&lt;"&amp;EDATE(DATE(YEAR($A12),MONTH($A12),1),1)),
0)</f>
        <v>14</v>
      </c>
      <c r="D12" s="315">
        <f>IFERROR(
   COUNTIFS(
      'RESUMEN CLIENTES'!$G:$G, "&gt;="&amp;DATE(YEAR($A12),MONTH($A12),1),
      'RESUMEN CLIENTES'!$G:$G, "&lt;"&amp;EDATE(DATE(YEAR($A12),MONTH($A12),1),1),
      'RESUMEN CLIENTES'!$M:$M, "&lt;&gt;ELIMINADO",
      'RESUMEN CLIENTES'!$M:$M, "&lt;&gt;SUSPENDIDO",'RESUMEN CLIENTES'!$M:$M, "&lt;&gt;EN PAUSA"
   ),
0)</f>
        <v>9</v>
      </c>
      <c r="E12" s="238">
        <f>SUM(INDEX(Tabla711[NUEVOS CLIENTES TOTAL],1):Tabla711[[#This Row],[NUEVOS CLIENTES TOTAL]])-SUM(INDEX(Tabla711[ELIMINADOS X MES],1):Tabla711[[#This Row],[ELIMINADOS X MES]])-SUM(INDEX(Tabla711[PAUSA/SUSP X MES],1):Tabla711[[#This Row],[PAUSA/SUSP X MES]])</f>
        <v>111</v>
      </c>
      <c r="F12" s="302">
        <f>+IFERROR(((Tabla711[[#This Row],[NUEVOS CLIENTES TOTAL]]-Tabla711[[#This Row],[NUEVOS CLIENTES VIGENTES]])/Tabla711[[#This Row],[NUEVOS CLIENTES TOTAL]]),0)</f>
        <v>0.35714285714285715</v>
      </c>
      <c r="G12" s="68">
        <f>IFERROR(
   COUNTIFS('RESUMEN CLIENTES'!M:M,"ELIMINADO",'RESUMEN CLIENTES'!$J:$J, "&gt;="&amp;DATE(YEAR($A12),MONTH($A12),1),
      'RESUMEN CLIENTES'!$J:$J, "&lt;"&amp;EDATE(DATE(YEAR($A12),MONTH($A12),1),1)),
0)</f>
        <v>3</v>
      </c>
      <c r="H12" s="315">
        <f>COUNTIFS('RESUMEN CLIENTES'!M:M,"SUSPENDIDO",'RESUMEN CLIENTES'!$J:$J, "&gt;="&amp;DATE(YEAR(Tabla711[[#This Row],[MES]]),MONTH(Tabla711[[#This Row],[MES]]),1),
      'RESUMEN CLIENTES'!$J:$J, "&lt;"&amp;EDATE(DATE(YEAR(Tabla711[[#This Row],[MES]]),MONTH(Tabla711[[#This Row],[MES]]),1),1))+COUNTIFS('RESUMEN CLIENTES'!M:M,"EN PAUSA",'RESUMEN CLIENTES'!$J:$J, "&gt;="&amp;DATE(YEAR(Tabla711[[#This Row],[MES]]),MONTH(Tabla711[[#This Row],[MES]]),1),
      'RESUMEN CLIENTES'!$J:$J, "&lt;"&amp;EDATE(DATE(YEAR(Tabla711[[#This Row],[MES]]),MONTH(Tabla711[[#This Row],[MES]]),1),1))</f>
        <v>1</v>
      </c>
      <c r="I12" s="302" cm="1">
        <f t="array" ref="I12">+IFERROR(SUM(Tabla711[[#This Row],[ELIMINADOS X MES]:[PAUSA/SUSP X MES]]/Tabla711[[#This Row],[CANTIDAD CLIENTES ACTIVOS X MES]]),0)</f>
        <v>3.6036036036036036E-2</v>
      </c>
      <c r="J12" s="70">
        <f>IFERROR(
   SUMIFS(
      'RESUMEN CLIENTES'!$H:$H,
      'RESUMEN CLIENTES'!$G:$G, "&gt;="&amp;DATE(YEAR($A12),MONTH($A12),1),
      'RESUMEN CLIENTES'!$G:$G, "&lt;"&amp;EDATE(DATE(YEAR($A12),MONTH($A12),1),1),
      'RESUMEN CLIENTES'!$M:$M, "&lt;&gt;NO CONTINUA",
      'RESUMEN CLIENTES'!$M:$M, "&lt;&gt;SUSPENDIDO",
      'RESUMEN CLIENTES'!$O:$O, "&lt;&gt;ELIMINADO"
   ),
0)</f>
        <v>38447.401666666665</v>
      </c>
      <c r="K12" s="319">
        <f ca="1">+Tabla7[[#This Row],[INGRESO MES RECIBIDO NETO]]-Tabla711[[#This Row],[INGRESO NUEVOS CLIENTES]]</f>
        <v>85161.902317003842</v>
      </c>
      <c r="L12" s="300">
        <f>+IFERROR(Tabla711[[#This Row],[INGRESO NUEVOS CLIENTES]]/Tabla7[[#This Row],[INGRESO MES RECIBIDO]],0)</f>
        <v>0.30144220196170796</v>
      </c>
      <c r="M12" s="59">
        <f>+IFERROR(Tabla711[[#This Row],[INGRESO NUEVOS CLIENTES]]/Tabla711[[#This Row],[NUEVOS CLIENTES VIGENTES]],0)</f>
        <v>4271.9335185185182</v>
      </c>
    </row>
    <row r="13" spans="1:13">
      <c r="A13" s="24">
        <v>45931</v>
      </c>
      <c r="B13" s="238">
        <f t="shared" si="0"/>
        <v>111</v>
      </c>
      <c r="C13" s="68">
        <f>IFERROR(
   COUNTIFS(
      'RESUMEN CLIENTES'!$G:$G, "&gt;="&amp;DATE(YEAR($A13),MONTH($A13),1),
      'RESUMEN CLIENTES'!$G:$G, "&lt;"&amp;EDATE(DATE(YEAR($A13),MONTH($A13),1),1)),
0)</f>
        <v>11</v>
      </c>
      <c r="D13" s="315">
        <f>IFERROR(
   COUNTIFS(
      'RESUMEN CLIENTES'!$G:$G, "&gt;="&amp;DATE(YEAR($A13),MONTH($A13),1),
      'RESUMEN CLIENTES'!$G:$G, "&lt;"&amp;EDATE(DATE(YEAR($A13),MONTH($A13),1),1),
      'RESUMEN CLIENTES'!$M:$M, "&lt;&gt;ELIMINADO",
      'RESUMEN CLIENTES'!$M:$M, "&lt;&gt;SUSPENDIDO",'RESUMEN CLIENTES'!$M:$M, "&lt;&gt;EN PAUSA"
   ),
0)</f>
        <v>8</v>
      </c>
      <c r="E13" s="238">
        <f>SUM(INDEX(Tabla711[NUEVOS CLIENTES TOTAL],1):Tabla711[[#This Row],[NUEVOS CLIENTES TOTAL]])-SUM(INDEX(Tabla711[ELIMINADOS X MES],1):Tabla711[[#This Row],[ELIMINADOS X MES]])-SUM(INDEX(Tabla711[PAUSA/SUSP X MES],1):Tabla711[[#This Row],[PAUSA/SUSP X MES]])</f>
        <v>113</v>
      </c>
      <c r="F13" s="302">
        <f>+IFERROR(((Tabla711[[#This Row],[NUEVOS CLIENTES TOTAL]]-Tabla711[[#This Row],[NUEVOS CLIENTES VIGENTES]])/Tabla711[[#This Row],[NUEVOS CLIENTES TOTAL]]),0)</f>
        <v>0.27272727272727271</v>
      </c>
      <c r="G13" s="68">
        <f>IFERROR(
   COUNTIFS('RESUMEN CLIENTES'!M:M,"ELIMINADO",'RESUMEN CLIENTES'!$J:$J, "&gt;="&amp;DATE(YEAR($A13),MONTH($A13),1),
      'RESUMEN CLIENTES'!$J:$J, "&lt;"&amp;EDATE(DATE(YEAR($A13),MONTH($A13),1),1)),
0)</f>
        <v>8</v>
      </c>
      <c r="H13" s="315">
        <f>COUNTIFS('RESUMEN CLIENTES'!M:M,"SUSPENDIDO",'RESUMEN CLIENTES'!$J:$J, "&gt;="&amp;DATE(YEAR(Tabla711[[#This Row],[MES]]),MONTH(Tabla711[[#This Row],[MES]]),1),
      'RESUMEN CLIENTES'!$J:$J, "&lt;"&amp;EDATE(DATE(YEAR(Tabla711[[#This Row],[MES]]),MONTH(Tabla711[[#This Row],[MES]]),1),1))+COUNTIFS('RESUMEN CLIENTES'!M:M,"EN PAUSA",'RESUMEN CLIENTES'!$J:$J, "&gt;="&amp;DATE(YEAR(Tabla711[[#This Row],[MES]]),MONTH(Tabla711[[#This Row],[MES]]),1),
      'RESUMEN CLIENTES'!$J:$J, "&lt;"&amp;EDATE(DATE(YEAR(Tabla711[[#This Row],[MES]]),MONTH(Tabla711[[#This Row],[MES]]),1),1))</f>
        <v>1</v>
      </c>
      <c r="I13" s="302" cm="1">
        <f t="array" ref="I13">+IFERROR(SUM(Tabla711[[#This Row],[ELIMINADOS X MES]:[PAUSA/SUSP X MES]]/Tabla711[[#This Row],[CANTIDAD CLIENTES ACTIVOS X MES]]),0)</f>
        <v>7.9646017699115043E-2</v>
      </c>
      <c r="J13" s="69">
        <f>IFERROR(
   SUMIFS(
      'RESUMEN CLIENTES'!$H:$H,
      'RESUMEN CLIENTES'!$G:$G, "&gt;="&amp;DATE(YEAR($A13),MONTH($A13),1),
      'RESUMEN CLIENTES'!$G:$G, "&lt;"&amp;EDATE(DATE(YEAR($A13),MONTH($A13),1),1),
      'RESUMEN CLIENTES'!$M:$M, "&lt;&gt;NO CONTINUA",
      'RESUMEN CLIENTES'!$M:$M, "&lt;&gt;SUSPENDIDO",
      'RESUMEN CLIENTES'!$O:$O, "&lt;&gt;ELIMINADO"
   ),
0)</f>
        <v>16415.086298031863</v>
      </c>
      <c r="K13" s="318">
        <f ca="1">+Tabla7[[#This Row],[INGRESO MES RECIBIDO NETO]]-Tabla711[[#This Row],[INGRESO NUEVOS CLIENTES]]</f>
        <v>98921.170673255503</v>
      </c>
      <c r="L13" s="299">
        <f>+IFERROR(Tabla711[[#This Row],[INGRESO NUEVOS CLIENTES]]/Tabla7[[#This Row],[INGRESO MES RECIBIDO]],0)</f>
        <v>0.14082161027099616</v>
      </c>
      <c r="M13" s="12">
        <f>+IFERROR(Tabla711[[#This Row],[INGRESO NUEVOS CLIENTES]]/Tabla711[[#This Row],[NUEVOS CLIENTES VIGENTES]],0)</f>
        <v>2051.8857872539829</v>
      </c>
    </row>
    <row r="14" spans="1:13">
      <c r="A14" s="58">
        <v>45962</v>
      </c>
      <c r="B14" s="238">
        <f t="shared" si="0"/>
        <v>113</v>
      </c>
      <c r="C14" s="68">
        <f>IFERROR(
   COUNTIFS(
      'RESUMEN CLIENTES'!$G:$G, "&gt;="&amp;DATE(YEAR($A14),MONTH($A14),1),
      'RESUMEN CLIENTES'!$G:$G, "&lt;"&amp;EDATE(DATE(YEAR($A14),MONTH($A14),1),1)),
0)</f>
        <v>13</v>
      </c>
      <c r="D14" s="315">
        <f>IFERROR(
   COUNTIFS(
      'RESUMEN CLIENTES'!$G:$G, "&gt;="&amp;DATE(YEAR($A14),MONTH($A14),1),
      'RESUMEN CLIENTES'!$G:$G, "&lt;"&amp;EDATE(DATE(YEAR($A14),MONTH($A14),1),1),
      'RESUMEN CLIENTES'!$M:$M, "&lt;&gt;ELIMINADO",
      'RESUMEN CLIENTES'!$M:$M, "&lt;&gt;SUSPENDIDO",'RESUMEN CLIENTES'!$M:$M, "&lt;&gt;EN PAUSA"
   ),
0)</f>
        <v>8</v>
      </c>
      <c r="E14" s="238">
        <f>SUM(INDEX(Tabla711[NUEVOS CLIENTES TOTAL],1):Tabla711[[#This Row],[NUEVOS CLIENTES TOTAL]])-SUM(INDEX(Tabla711[ELIMINADOS X MES],1):Tabla711[[#This Row],[ELIMINADOS X MES]])-SUM(INDEX(Tabla711[PAUSA/SUSP X MES],1):Tabla711[[#This Row],[PAUSA/SUSP X MES]])</f>
        <v>119</v>
      </c>
      <c r="F14" s="302">
        <f>+IFERROR(((Tabla711[[#This Row],[NUEVOS CLIENTES TOTAL]]-Tabla711[[#This Row],[NUEVOS CLIENTES VIGENTES]])/Tabla711[[#This Row],[NUEVOS CLIENTES TOTAL]]),0)</f>
        <v>0.38461538461538464</v>
      </c>
      <c r="G14" s="508">
        <f>IFERROR(
   COUNTIFS('RESUMEN CLIENTES'!M:M,"ELIMINADO",'RESUMEN CLIENTES'!$J:$J, "&gt;="&amp;DATE(YEAR($A14),MONTH($A14),1),
      'RESUMEN CLIENTES'!$J:$J, "&lt;"&amp;EDATE(DATE(YEAR($A14),MONTH($A14),1),1)),
0)</f>
        <v>6</v>
      </c>
      <c r="H14" s="509">
        <f>COUNTIFS('RESUMEN CLIENTES'!M:M,"SUSPENDIDO",'RESUMEN CLIENTES'!$J:$J, "&gt;="&amp;DATE(YEAR(Tabla711[[#This Row],[MES]]),MONTH(Tabla711[[#This Row],[MES]]),1),
      'RESUMEN CLIENTES'!$J:$J, "&lt;"&amp;EDATE(DATE(YEAR(Tabla711[[#This Row],[MES]]),MONTH(Tabla711[[#This Row],[MES]]),1),1))+COUNTIFS('RESUMEN CLIENTES'!M:M,"EN PAUSA",'RESUMEN CLIENTES'!$J:$J, "&gt;="&amp;DATE(YEAR(Tabla711[[#This Row],[MES]]),MONTH(Tabla711[[#This Row],[MES]]),1),
      'RESUMEN CLIENTES'!$J:$J, "&lt;"&amp;EDATE(DATE(YEAR(Tabla711[[#This Row],[MES]]),MONTH(Tabla711[[#This Row],[MES]]),1),1))</f>
        <v>1</v>
      </c>
      <c r="I14" s="302" cm="1">
        <f t="array" ref="I14">+IFERROR(SUM(Tabla711[[#This Row],[ELIMINADOS X MES]:[PAUSA/SUSP X MES]]/Tabla711[[#This Row],[CANTIDAD CLIENTES ACTIVOS X MES]]),0)</f>
        <v>5.8823529411764705E-2</v>
      </c>
      <c r="J14" s="70">
        <f>IFERROR(
   SUMIFS(
      'RESUMEN CLIENTES'!$H:$H,
      'RESUMEN CLIENTES'!$G:$G, "&gt;="&amp;DATE(YEAR($A14),MONTH($A14),1),
      'RESUMEN CLIENTES'!$G:$G, "&lt;"&amp;EDATE(DATE(YEAR($A14),MONTH($A14),1),1),
      'RESUMEN CLIENTES'!$M:$M, "&lt;&gt;NO CONTINUA",
      'RESUMEN CLIENTES'!$M:$M, "&lt;&gt;SUSPENDIDO",
      'RESUMEN CLIENTES'!$O:$O, "&lt;&gt;ELIMINADO"
   ),
0)</f>
        <v>33508.030000000006</v>
      </c>
      <c r="K14" s="319">
        <f ca="1">+Tabla7[[#This Row],[INGRESO MES RECIBIDO NETO]]-Tabla711[[#This Row],[INGRESO NUEVOS CLIENTES]]</f>
        <v>97491.537339425733</v>
      </c>
      <c r="L14" s="300">
        <f>+IFERROR(Tabla711[[#This Row],[INGRESO NUEVOS CLIENTES]]/Tabla7[[#This Row],[INGRESO MES RECIBIDO]],0)</f>
        <v>0.24889219494480672</v>
      </c>
      <c r="M14" s="59">
        <f>+IFERROR(Tabla711[[#This Row],[INGRESO NUEVOS CLIENTES]]/Tabla711[[#This Row],[NUEVOS CLIENTES VIGENTES]],0)</f>
        <v>4188.5037500000008</v>
      </c>
    </row>
    <row r="15" spans="1:13">
      <c r="A15" s="24">
        <v>45992</v>
      </c>
      <c r="B15" s="238">
        <f t="shared" si="0"/>
        <v>119</v>
      </c>
      <c r="C15" s="68">
        <f>IFERROR(
   COUNTIFS(
      'RESUMEN CLIENTES'!$G:$G, "&gt;="&amp;DATE(YEAR($A15),MONTH($A15),1),
      'RESUMEN CLIENTES'!$G:$G, "&lt;"&amp;EDATE(DATE(YEAR($A15),MONTH($A15),1),1)),
0)</f>
        <v>10</v>
      </c>
      <c r="D15" s="315">
        <f>IFERROR(
   COUNTIFS(
      'RESUMEN CLIENTES'!$G:$G, "&gt;="&amp;DATE(YEAR($A15),MONTH($A15),1),
      'RESUMEN CLIENTES'!$G:$G, "&lt;"&amp;EDATE(DATE(YEAR($A15),MONTH($A15),1),1),
      'RESUMEN CLIENTES'!$M:$M, "&lt;&gt;ELIMINADO",
      'RESUMEN CLIENTES'!$M:$M, "&lt;&gt;SUSPENDIDO",'RESUMEN CLIENTES'!$M:$M, "&lt;&gt;EN PAUSA"
   ),
0)</f>
        <v>8</v>
      </c>
      <c r="E15" s="238">
        <f>SUM(INDEX(Tabla711[NUEVOS CLIENTES TOTAL],1):Tabla711[[#This Row],[NUEVOS CLIENTES TOTAL]])-SUM(INDEX(Tabla711[ELIMINADOS X MES],1):Tabla711[[#This Row],[ELIMINADOS X MES]])-SUM(INDEX(Tabla711[PAUSA/SUSP X MES],1):Tabla711[[#This Row],[PAUSA/SUSP X MES]])</f>
        <v>126</v>
      </c>
      <c r="F15" s="302">
        <f>+IFERROR(((Tabla711[[#This Row],[NUEVOS CLIENTES TOTAL]]-Tabla711[[#This Row],[NUEVOS CLIENTES VIGENTES]])/Tabla711[[#This Row],[NUEVOS CLIENTES TOTAL]]),0)</f>
        <v>0.2</v>
      </c>
      <c r="G15" s="512">
        <f>IFERROR(
   COUNTIFS('RESUMEN CLIENTES'!M:M,"ELIMINADO",'RESUMEN CLIENTES'!$J:$J, "&gt;="&amp;DATE(YEAR($A15),MONTH($A15),1),
      'RESUMEN CLIENTES'!$J:$J, "&lt;"&amp;EDATE(DATE(YEAR($A15),MONTH($A15),1),1)),
0)</f>
        <v>2</v>
      </c>
      <c r="H15" s="513">
        <f>COUNTIFS('RESUMEN CLIENTES'!M:M,"SUSPENDIDO",'RESUMEN CLIENTES'!$J:$J, "&gt;="&amp;DATE(YEAR(Tabla711[[#This Row],[MES]]),MONTH(Tabla711[[#This Row],[MES]]),1),
      'RESUMEN CLIENTES'!$J:$J, "&lt;"&amp;EDATE(DATE(YEAR(Tabla711[[#This Row],[MES]]),MONTH(Tabla711[[#This Row],[MES]]),1),1))+COUNTIFS('RESUMEN CLIENTES'!M:M,"EN PAUSA",'RESUMEN CLIENTES'!$J:$J, "&gt;="&amp;DATE(YEAR(Tabla711[[#This Row],[MES]]),MONTH(Tabla711[[#This Row],[MES]]),1),
      'RESUMEN CLIENTES'!$J:$J, "&lt;"&amp;EDATE(DATE(YEAR(Tabla711[[#This Row],[MES]]),MONTH(Tabla711[[#This Row],[MES]]),1),1))</f>
        <v>1</v>
      </c>
      <c r="I15" s="302" cm="1">
        <f t="array" ref="I15">+IFERROR(SUM(Tabla711[[#This Row],[ELIMINADOS X MES]:[PAUSA/SUSP X MES]]/Tabla711[[#This Row],[CANTIDAD CLIENTES ACTIVOS X MES]]),0)</f>
        <v>2.3809523809523808E-2</v>
      </c>
      <c r="J15" s="69">
        <f>IFERROR(
   SUMIFS(
      'RESUMEN CLIENTES'!$H:$H,
      'RESUMEN CLIENTES'!$G:$G, "&gt;="&amp;DATE(YEAR($A15),MONTH($A15),1),
      'RESUMEN CLIENTES'!$G:$G, "&lt;"&amp;EDATE(DATE(YEAR($A15),MONTH($A15),1),1),
      'RESUMEN CLIENTES'!$M:$M, "&lt;&gt;NO CONTINUA",
      'RESUMEN CLIENTES'!$M:$M, "&lt;&gt;SUSPENDIDO",
      'RESUMEN CLIENTES'!$O:$O, "&lt;&gt;ELIMINADO"
   ),
0)</f>
        <v>15377.920000000002</v>
      </c>
      <c r="K15" s="318">
        <f ca="1">+Tabla7[[#This Row],[INGRESO MES RECIBIDO NETO]]-Tabla711[[#This Row],[INGRESO NUEVOS CLIENTES]]</f>
        <v>102844.55111034538</v>
      </c>
      <c r="L15" s="299">
        <f>+IFERROR(Tabla711[[#This Row],[INGRESO NUEVOS CLIENTES]]/Tabla7[[#This Row],[INGRESO MES RECIBIDO]],0)</f>
        <v>0.12587764004161525</v>
      </c>
      <c r="M15" s="12">
        <f>+IFERROR(Tabla711[[#This Row],[INGRESO NUEVOS CLIENTES]]/Tabla711[[#This Row],[NUEVOS CLIENTES VIGENTES]],0)</f>
        <v>1922.2400000000002</v>
      </c>
    </row>
    <row r="16" spans="1:13" ht="16.25" customHeight="1">
      <c r="A16" s="58">
        <v>46023</v>
      </c>
      <c r="B16" s="238">
        <f t="shared" si="0"/>
        <v>126</v>
      </c>
      <c r="C16" s="508">
        <f>IFERROR(
   COUNTIFS(
      'RESUMEN CLIENTES'!$G:$G, "&gt;="&amp;DATE(YEAR($A16),MONTH($A16),1),
      'RESUMEN CLIENTES'!$G:$G, "&lt;"&amp;EDATE(DATE(YEAR($A16),MONTH($A16),1),1)),
0)</f>
        <v>15</v>
      </c>
      <c r="D16" s="509">
        <f>IFERROR(
   COUNTIFS(
      'RESUMEN CLIENTES'!$G:$G, "&gt;="&amp;DATE(YEAR($A16),MONTH($A16),1),
      'RESUMEN CLIENTES'!$G:$G, "&lt;"&amp;EDATE(DATE(YEAR($A16),MONTH($A16),1),1),
      'RESUMEN CLIENTES'!$M:$M, "&lt;&gt;ELIMINADO",
      'RESUMEN CLIENTES'!$M:$M, "&lt;&gt;SUSPENDIDO",'RESUMEN CLIENTES'!$M:$M, "&lt;&gt;EN PAUSA"
   ),
0)</f>
        <v>14</v>
      </c>
      <c r="E16" s="238">
        <f>SUM(INDEX(Tabla711[NUEVOS CLIENTES TOTAL],1):Tabla711[[#This Row],[NUEVOS CLIENTES TOTAL]])-SUM(INDEX(Tabla711[ELIMINADOS X MES],1):Tabla711[[#This Row],[ELIMINADOS X MES]])-SUM(INDEX(Tabla711[PAUSA/SUSP X MES],1):Tabla711[[#This Row],[PAUSA/SUSP X MES]])</f>
        <v>140</v>
      </c>
      <c r="F16" s="302">
        <f>+IFERROR(((Tabla711[[#This Row],[NUEVOS CLIENTES TOTAL]]-Tabla711[[#This Row],[NUEVOS CLIENTES VIGENTES]])/Tabla711[[#This Row],[NUEVOS CLIENTES TOTAL]]),0)</f>
        <v>6.6666666666666666E-2</v>
      </c>
      <c r="G16" s="514">
        <f>IFERROR(
   COUNTIFS('RESUMEN CLIENTES'!M:M,"ELIMINADO",'RESUMEN CLIENTES'!$J:$J, "&gt;="&amp;DATE(YEAR($A16),MONTH($A16),1),
      'RESUMEN CLIENTES'!$J:$J, "&lt;"&amp;EDATE(DATE(YEAR($A16),MONTH($A16),1),1)),
0)</f>
        <v>1</v>
      </c>
      <c r="H16" s="515">
        <f>COUNTIFS('RESUMEN CLIENTES'!M:M,"SUSPENDIDO",'RESUMEN CLIENTES'!$J:$J, "&gt;="&amp;DATE(YEAR(Tabla711[[#This Row],[MES]]),MONTH(Tabla711[[#This Row],[MES]]),1),
      'RESUMEN CLIENTES'!$J:$J, "&lt;"&amp;EDATE(DATE(YEAR(Tabla711[[#This Row],[MES]]),MONTH(Tabla711[[#This Row],[MES]]),1),1))+COUNTIFS('RESUMEN CLIENTES'!M:M,"EN PAUSA",'RESUMEN CLIENTES'!$J:$J, "&gt;="&amp;DATE(YEAR(Tabla711[[#This Row],[MES]]),MONTH(Tabla711[[#This Row],[MES]]),1),
      'RESUMEN CLIENTES'!$J:$J, "&lt;"&amp;EDATE(DATE(YEAR(Tabla711[[#This Row],[MES]]),MONTH(Tabla711[[#This Row],[MES]]),1),1))</f>
        <v>0</v>
      </c>
      <c r="I16" s="302" cm="1">
        <f t="array" ref="I16">+IFERROR(SUM(Tabla711[[#This Row],[ELIMINADOS X MES]:[PAUSA/SUSP X MES]]/Tabla711[[#This Row],[CANTIDAD CLIENTES ACTIVOS X MES]]),0)</f>
        <v>7.1428571428571426E-3</v>
      </c>
      <c r="J16" s="69">
        <f>IFERROR(
   SUMIFS(
      'RESUMEN CLIENTES'!$H:$H,
      'RESUMEN CLIENTES'!$G:$G, "&gt;="&amp;DATE(YEAR($A16),MONTH($A16),1),
      'RESUMEN CLIENTES'!$G:$G, "&lt;"&amp;EDATE(DATE(YEAR($A16),MONTH($A16),1),1),
      'RESUMEN CLIENTES'!$M:$M, "&lt;&gt;NO CONTINUA",
      'RESUMEN CLIENTES'!$M:$M, "&lt;&gt;SUSPENDIDO",
      'RESUMEN CLIENTES'!$O:$O, "&lt;&gt;ELIMINADO"
   ),
0)</f>
        <v>18763.639999999992</v>
      </c>
      <c r="K16" s="318">
        <f ca="1">+Tabla7[[#This Row],[INGRESO MES RECIBIDO NETO]]-Tabla711[[#This Row],[INGRESO NUEVOS CLIENTES]]</f>
        <v>117507.47137522508</v>
      </c>
      <c r="L16" s="299">
        <f>+IFERROR(Tabla711[[#This Row],[INGRESO NUEVOS CLIENTES]]/Tabla7[[#This Row],[INGRESO MES RECIBIDO]],0)</f>
        <v>0.13319639891355101</v>
      </c>
      <c r="M16" s="12">
        <f>+IFERROR(Tabla711[[#This Row],[INGRESO NUEVOS CLIENTES]]/Tabla711[[#This Row],[NUEVOS CLIENTES VIGENTES]],0)</f>
        <v>1340.2599999999995</v>
      </c>
    </row>
    <row r="17" spans="1:13" ht="16" thickBot="1">
      <c r="A17" s="24">
        <v>46054</v>
      </c>
      <c r="B17" s="238">
        <f>+E16</f>
        <v>140</v>
      </c>
      <c r="C17" s="510">
        <f>IFERROR(
   COUNTIFS(
      'RESUMEN CLIENTES'!$G:$G, "&gt;="&amp;DATE(YEAR($A17),MONTH($A17),1),
      'RESUMEN CLIENTES'!$G:$G, "&lt;"&amp;EDATE(DATE(YEAR($A17),MONTH($A17),1),1)),
0)</f>
        <v>5</v>
      </c>
      <c r="D17" s="511">
        <f>IFERROR(
   COUNTIFS(
      'RESUMEN CLIENTES'!$G:$G, "&gt;="&amp;DATE(YEAR($A17),MONTH($A17),1),
      'RESUMEN CLIENTES'!$G:$G, "&lt;"&amp;EDATE(DATE(YEAR($A17),MONTH($A17),1),1),
      'RESUMEN CLIENTES'!$M:$M, "&lt;&gt;ELIMINADO",
      'RESUMEN CLIENTES'!$M:$M, "&lt;&gt;SUSPENDIDO",'RESUMEN CLIENTES'!$M:$M, "&lt;&gt;EN PAUSA"
   ),
0)</f>
        <v>5</v>
      </c>
      <c r="E17" s="238">
        <f>SUM(INDEX(Tabla711[NUEVOS CLIENTES TOTAL],1):Tabla711[[#This Row],[NUEVOS CLIENTES TOTAL]])-SUM(INDEX(Tabla711[ELIMINADOS X MES],1):Tabla711[[#This Row],[ELIMINADOS X MES]])-SUM(INDEX(Tabla711[PAUSA/SUSP X MES],1):Tabla711[[#This Row],[PAUSA/SUSP X MES]])</f>
        <v>145</v>
      </c>
      <c r="F17" s="302">
        <f>+IFERROR(((Tabla711[[#This Row],[NUEVOS CLIENTES TOTAL]]-Tabla711[[#This Row],[NUEVOS CLIENTES VIGENTES]])/Tabla711[[#This Row],[NUEVOS CLIENTES TOTAL]]),0)</f>
        <v>0</v>
      </c>
      <c r="G17" s="316">
        <f>IFERROR(
   COUNTIFS('RESUMEN CLIENTES'!M:M,"ELIMINADO",'RESUMEN CLIENTES'!$J:$J, "&gt;="&amp;DATE(YEAR($A17),MONTH($A17),1),
      'RESUMEN CLIENTES'!$J:$J, "&lt;"&amp;EDATE(DATE(YEAR($A17),MONTH($A17),1),1)),
0)</f>
        <v>0</v>
      </c>
      <c r="H17" s="317">
        <f>COUNTIFS('RESUMEN CLIENTES'!M:M,"SUSPENDIDO",'RESUMEN CLIENTES'!$J:$J, "&gt;="&amp;DATE(YEAR(Tabla711[[#This Row],[MES]]),MONTH(Tabla711[[#This Row],[MES]]),1),
      'RESUMEN CLIENTES'!$J:$J, "&lt;"&amp;EDATE(DATE(YEAR(Tabla711[[#This Row],[MES]]),MONTH(Tabla711[[#This Row],[MES]]),1),1))+COUNTIFS('RESUMEN CLIENTES'!M:M,"EN PAUSA",'RESUMEN CLIENTES'!$J:$J, "&gt;="&amp;DATE(YEAR(Tabla711[[#This Row],[MES]]),MONTH(Tabla711[[#This Row],[MES]]),1),
      'RESUMEN CLIENTES'!$J:$J, "&lt;"&amp;EDATE(DATE(YEAR(Tabla711[[#This Row],[MES]]),MONTH(Tabla711[[#This Row],[MES]]),1),1))</f>
        <v>0</v>
      </c>
      <c r="I17" s="302" cm="1">
        <f t="array" ref="I17">+IFERROR(SUM(Tabla711[[#This Row],[ELIMINADOS X MES]:[PAUSA/SUSP X MES]]/Tabla711[[#This Row],[CANTIDAD CLIENTES ACTIVOS X MES]]),0)</f>
        <v>0</v>
      </c>
      <c r="J17" s="69">
        <f>IFERROR(
   SUMIFS(
      'RESUMEN CLIENTES'!$H:$H,
      'RESUMEN CLIENTES'!$G:$G, "&gt;="&amp;DATE(YEAR($A17),MONTH($A17),1),
      'RESUMEN CLIENTES'!$G:$G, "&lt;"&amp;EDATE(DATE(YEAR($A17),MONTH($A17),1),1),
      'RESUMEN CLIENTES'!$M:$M, "&lt;&gt;NO CONTINUA",
      'RESUMEN CLIENTES'!$M:$M, "&lt;&gt;SUSPENDIDO",
      'RESUMEN CLIENTES'!$O:$O, "&lt;&gt;ELIMINADO"
   ),
0)</f>
        <v>4602.3399999999992</v>
      </c>
      <c r="K17" s="318">
        <f ca="1">+Tabla7[[#This Row],[INGRESO MES RECIBIDO NETO]]-Tabla711[[#This Row],[INGRESO NUEVOS CLIENTES]]</f>
        <v>107391.02960195117</v>
      </c>
      <c r="L17" s="299">
        <f>+IFERROR(Tabla711[[#This Row],[INGRESO NUEVOS CLIENTES]]/Tabla7[[#This Row],[INGRESO MES RECIBIDO]],0)</f>
        <v>3.9853942657173749E-2</v>
      </c>
      <c r="M17" s="12">
        <f>+IFERROR(Tabla711[[#This Row],[INGRESO NUEVOS CLIENTES]]/Tabla711[[#This Row],[NUEVOS CLIENTES VIGENTES]],0)</f>
        <v>920.46799999999985</v>
      </c>
    </row>
    <row r="18" spans="1:13">
      <c r="A18" s="58">
        <v>46082</v>
      </c>
      <c r="B18" s="238">
        <f>+E17</f>
        <v>145</v>
      </c>
      <c r="C18" s="508">
        <f>IFERROR(
   COUNTIFS(
      'RESUMEN CLIENTES'!$G:$G, "&gt;="&amp;DATE(YEAR($A18),MONTH($A18),1),
      'RESUMEN CLIENTES'!$G:$G, "&lt;"&amp;EDATE(DATE(YEAR($A18),MONTH($A18),1),1)),
0)</f>
        <v>4</v>
      </c>
      <c r="D18" s="509">
        <f>IFERROR(
   COUNTIFS(
      'RESUMEN CLIENTES'!$G:$G, "&gt;="&amp;DATE(YEAR($A18),MONTH($A18),1),
      'RESUMEN CLIENTES'!$G:$G, "&lt;"&amp;EDATE(DATE(YEAR($A18),MONTH($A18),1),1),
      'RESUMEN CLIENTES'!$M:$M, "&lt;&gt;ELIMINADO",
      'RESUMEN CLIENTES'!$M:$M, "&lt;&gt;SUSPENDIDO",'RESUMEN CLIENTES'!$M:$M, "&lt;&gt;EN PAUSA"
   ),
0)</f>
        <v>4</v>
      </c>
      <c r="E18" s="238">
        <f>SUM(INDEX(Tabla711[NUEVOS CLIENTES TOTAL],1):Tabla711[[#This Row],[NUEVOS CLIENTES TOTAL]])-SUM(INDEX(Tabla711[ELIMINADOS X MES],1):Tabla711[[#This Row],[ELIMINADOS X MES]])-SUM(INDEX(Tabla711[PAUSA/SUSP X MES],1):Tabla711[[#This Row],[PAUSA/SUSP X MES]])</f>
        <v>149</v>
      </c>
      <c r="F18" s="302">
        <f>+IFERROR(((Tabla711[[#This Row],[NUEVOS CLIENTES TOTAL]]-Tabla711[[#This Row],[NUEVOS CLIENTES VIGENTES]])/Tabla711[[#This Row],[NUEVOS CLIENTES TOTAL]]),0)</f>
        <v>0</v>
      </c>
      <c r="G18" s="514">
        <f>IFERROR(
   COUNTIFS('RESUMEN CLIENTES'!M:M,"ELIMINADO",'RESUMEN CLIENTES'!$J:$J, "&gt;="&amp;DATE(YEAR($A18),MONTH($A18),1),
      'RESUMEN CLIENTES'!$J:$J, "&lt;"&amp;EDATE(DATE(YEAR($A18),MONTH($A18),1),1)),
0)</f>
        <v>0</v>
      </c>
      <c r="H18" s="515">
        <f>COUNTIFS('RESUMEN CLIENTES'!M:M,"SUSPENDIDO",'RESUMEN CLIENTES'!$J:$J, "&gt;="&amp;DATE(YEAR(Tabla711[[#This Row],[MES]]),MONTH(Tabla711[[#This Row],[MES]]),1),
      'RESUMEN CLIENTES'!$J:$J, "&lt;"&amp;EDATE(DATE(YEAR(Tabla711[[#This Row],[MES]]),MONTH(Tabla711[[#This Row],[MES]]),1),1))+COUNTIFS('RESUMEN CLIENTES'!M:M,"EN PAUSA",'RESUMEN CLIENTES'!$J:$J, "&gt;="&amp;DATE(YEAR(Tabla711[[#This Row],[MES]]),MONTH(Tabla711[[#This Row],[MES]]),1),
      'RESUMEN CLIENTES'!$J:$J, "&lt;"&amp;EDATE(DATE(YEAR(Tabla711[[#This Row],[MES]]),MONTH(Tabla711[[#This Row],[MES]]),1),1))</f>
        <v>0</v>
      </c>
      <c r="I18" s="302" cm="1">
        <f t="array" ref="I18">+IFERROR(SUM(Tabla711[[#This Row],[ELIMINADOS X MES]:[PAUSA/SUSP X MES]]/Tabla711[[#This Row],[CANTIDAD CLIENTES ACTIVOS X MES]]),0)</f>
        <v>0</v>
      </c>
      <c r="J18" s="576">
        <f>IFERROR(
   SUMIFS(
      'RESUMEN CLIENTES'!$H:$H,
      'RESUMEN CLIENTES'!$G:$G, "&gt;="&amp;DATE(YEAR($A18),MONTH($A18),1),
      'RESUMEN CLIENTES'!$G:$G, "&lt;"&amp;EDATE(DATE(YEAR($A18),MONTH($A18),1),1),
      'RESUMEN CLIENTES'!$M:$M, "&lt;&gt;NO CONTINUA",
      'RESUMEN CLIENTES'!$M:$M, "&lt;&gt;SUSPENDIDO",
      'RESUMEN CLIENTES'!$O:$O, "&lt;&gt;ELIMINADO"
   ),
0)</f>
        <v>6529.0999999999995</v>
      </c>
      <c r="K18" s="12">
        <f ca="1">+Tabla7[[#This Row],[INGRESO MES RECIBIDO NETO]]-Tabla711[[#This Row],[INGRESO NUEVOS CLIENTES]]</f>
        <v>30534.95182941277</v>
      </c>
      <c r="L18" s="577">
        <f>+IFERROR(Tabla711[[#This Row],[INGRESO NUEVOS CLIENTES]]/Tabla7[[#This Row],[INGRESO MES RECIBIDO]],0)</f>
        <v>0.17034396381960218</v>
      </c>
      <c r="M18" s="12">
        <f>+IFERROR(Tabla711[[#This Row],[INGRESO NUEVOS CLIENTES]]/Tabla711[[#This Row],[NUEVOS CLIENTES VIGENTES]],0)</f>
        <v>1632.2749999999999</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BECCD-E233-1B4A-9FD6-2FC1A474DD68}">
  <dimension ref="A2:O70"/>
  <sheetViews>
    <sheetView topLeftCell="A22" workbookViewId="0">
      <selection activeCell="J41" sqref="J41"/>
    </sheetView>
  </sheetViews>
  <sheetFormatPr baseColWidth="10" defaultColWidth="10.6640625" defaultRowHeight="15"/>
  <cols>
    <col min="1" max="1" width="13.33203125" bestFit="1" customWidth="1"/>
    <col min="2" max="2" width="12.6640625" bestFit="1" customWidth="1"/>
    <col min="3" max="3" width="29.6640625" bestFit="1" customWidth="1"/>
    <col min="4" max="4" width="22.5" bestFit="1" customWidth="1"/>
    <col min="5" max="5" width="16.6640625" bestFit="1" customWidth="1"/>
    <col min="7" max="7" width="13.6640625" bestFit="1" customWidth="1"/>
    <col min="8" max="8" width="12.6640625" bestFit="1" customWidth="1"/>
    <col min="9" max="9" width="27.33203125" customWidth="1"/>
    <col min="10" max="10" width="20.5" customWidth="1"/>
    <col min="11" max="11" width="27.6640625" bestFit="1" customWidth="1"/>
    <col min="13" max="13" width="27.6640625" bestFit="1" customWidth="1"/>
    <col min="15" max="15" width="22.1640625" bestFit="1" customWidth="1"/>
  </cols>
  <sheetData>
    <row r="2" spans="1:15" ht="16" thickBot="1">
      <c r="A2" s="752" t="s">
        <v>4365</v>
      </c>
      <c r="B2" s="753"/>
      <c r="G2" s="752" t="s">
        <v>4366</v>
      </c>
      <c r="H2" s="753"/>
      <c r="M2" s="76" t="s">
        <v>4367</v>
      </c>
      <c r="O2" s="174" t="s">
        <v>4368</v>
      </c>
    </row>
    <row r="3" spans="1:15">
      <c r="M3" s="77" t="s">
        <v>4369</v>
      </c>
      <c r="O3" s="175" t="s">
        <v>2709</v>
      </c>
    </row>
    <row r="4" spans="1:15" ht="16" thickBot="1">
      <c r="A4" s="28" t="s">
        <v>4370</v>
      </c>
      <c r="B4" s="29" t="s">
        <v>4371</v>
      </c>
      <c r="C4" s="29" t="s">
        <v>4372</v>
      </c>
      <c r="D4" s="29" t="s">
        <v>4373</v>
      </c>
      <c r="E4" s="30" t="s">
        <v>4374</v>
      </c>
      <c r="G4" s="28" t="s">
        <v>4375</v>
      </c>
      <c r="H4" s="29" t="s">
        <v>4371</v>
      </c>
      <c r="I4" s="29" t="s">
        <v>4376</v>
      </c>
      <c r="J4" s="29" t="s">
        <v>4373</v>
      </c>
      <c r="K4" s="30" t="s">
        <v>4374</v>
      </c>
      <c r="M4" s="77" t="s">
        <v>4377</v>
      </c>
      <c r="O4" s="176" t="s">
        <v>2751</v>
      </c>
    </row>
    <row r="5" spans="1:15">
      <c r="A5" t="s">
        <v>4365</v>
      </c>
      <c r="B5" t="s">
        <v>2697</v>
      </c>
      <c r="C5" s="31">
        <v>1</v>
      </c>
      <c r="D5" s="33">
        <f>1/Table11112[[#This Row],[Precio de 1 Eur para Ago. 2025]]</f>
        <v>1</v>
      </c>
      <c r="E5" t="s">
        <v>4378</v>
      </c>
      <c r="G5" s="39" t="s">
        <v>4366</v>
      </c>
      <c r="H5" s="44" t="s">
        <v>2697</v>
      </c>
      <c r="I5" s="31">
        <v>1</v>
      </c>
      <c r="J5" s="33">
        <f>1/Table111329[[#This Row],[Precio de 1 Eur para Oct. 2025]]</f>
        <v>1</v>
      </c>
      <c r="K5" t="s">
        <v>4378</v>
      </c>
      <c r="M5" s="77" t="s">
        <v>4379</v>
      </c>
    </row>
    <row r="6" spans="1:15" ht="16" thickBot="1">
      <c r="A6" t="s">
        <v>4365</v>
      </c>
      <c r="B6" t="s">
        <v>2548</v>
      </c>
      <c r="C6" s="46">
        <v>1.0357000000000001</v>
      </c>
      <c r="D6" s="41">
        <f>1/Table11112[[#This Row],[Precio de 1 Eur para Ago. 2025]]</f>
        <v>0.96553055904219365</v>
      </c>
      <c r="E6" s="22" t="s">
        <v>4380</v>
      </c>
      <c r="G6" s="39" t="s">
        <v>4366</v>
      </c>
      <c r="H6" s="44" t="s">
        <v>2548</v>
      </c>
      <c r="I6" s="46">
        <v>1.1737</v>
      </c>
      <c r="J6" s="41">
        <f>1/Table111329[[#This Row],[Precio de 1 Eur para Oct. 2025]]</f>
        <v>0.85200647524921191</v>
      </c>
      <c r="K6" s="23" t="s">
        <v>4380</v>
      </c>
      <c r="M6" s="78" t="s">
        <v>4381</v>
      </c>
    </row>
    <row r="7" spans="1:15">
      <c r="A7" t="s">
        <v>4365</v>
      </c>
      <c r="B7" t="s">
        <v>2543</v>
      </c>
      <c r="C7" s="45">
        <v>1035.58</v>
      </c>
      <c r="D7" s="35">
        <f>1/Table11112[[#This Row],[Precio de 1 Eur para Ago. 2025]]</f>
        <v>9.6564244191660721E-4</v>
      </c>
      <c r="E7" s="23" t="s">
        <v>4380</v>
      </c>
      <c r="G7" s="39" t="s">
        <v>4366</v>
      </c>
      <c r="H7" s="44" t="s">
        <v>2543</v>
      </c>
      <c r="I7" s="45">
        <v>1128.53</v>
      </c>
      <c r="J7" s="35">
        <f>1/Table111329[[#This Row],[Precio de 1 Eur para Oct. 2025]]</f>
        <v>8.8610847739980332E-4</v>
      </c>
      <c r="K7" s="23" t="s">
        <v>4380</v>
      </c>
    </row>
    <row r="8" spans="1:15" ht="16" thickBot="1">
      <c r="G8" s="39"/>
      <c r="I8" s="40"/>
      <c r="J8" s="35"/>
      <c r="K8" s="23"/>
    </row>
    <row r="9" spans="1:15" ht="16" thickBot="1">
      <c r="A9" s="752" t="s">
        <v>4382</v>
      </c>
      <c r="B9" s="753"/>
      <c r="G9" s="752" t="s">
        <v>4383</v>
      </c>
      <c r="H9" s="753"/>
      <c r="I9" s="40"/>
      <c r="J9" s="35"/>
      <c r="K9" s="23"/>
    </row>
    <row r="11" spans="1:15">
      <c r="A11" s="28" t="s">
        <v>4375</v>
      </c>
      <c r="B11" s="29" t="s">
        <v>4371</v>
      </c>
      <c r="C11" s="29" t="s">
        <v>4372</v>
      </c>
      <c r="D11" s="29" t="s">
        <v>4373</v>
      </c>
      <c r="E11" s="30" t="s">
        <v>4374</v>
      </c>
      <c r="G11" s="28" t="s">
        <v>4375</v>
      </c>
      <c r="H11" s="29" t="s">
        <v>4371</v>
      </c>
      <c r="I11" s="29" t="s">
        <v>4384</v>
      </c>
      <c r="J11" s="29" t="s">
        <v>4373</v>
      </c>
      <c r="K11" s="30" t="s">
        <v>4374</v>
      </c>
    </row>
    <row r="12" spans="1:15">
      <c r="A12" t="s">
        <v>4382</v>
      </c>
      <c r="B12" t="s">
        <v>2697</v>
      </c>
      <c r="C12" s="31">
        <v>1</v>
      </c>
      <c r="D12" s="33">
        <f>1/Table111124[[#This Row],[Precio de 1 Eur para Ago. 2025]]</f>
        <v>1</v>
      </c>
      <c r="E12" t="s">
        <v>4378</v>
      </c>
      <c r="G12" t="s">
        <v>4383</v>
      </c>
      <c r="H12" s="44" t="s">
        <v>2697</v>
      </c>
      <c r="I12" s="31">
        <v>1</v>
      </c>
      <c r="J12" s="33">
        <f>1/Table111430[[#This Row],[Precio de 1 Eur para Nov. 2025]]</f>
        <v>1</v>
      </c>
      <c r="K12" t="s">
        <v>4378</v>
      </c>
    </row>
    <row r="13" spans="1:15">
      <c r="A13" t="s">
        <v>4382</v>
      </c>
      <c r="B13" t="s">
        <v>2548</v>
      </c>
      <c r="C13" s="46">
        <v>1.0421</v>
      </c>
      <c r="D13" s="41">
        <f>1/Table111124[[#This Row],[Precio de 1 Eur para Ago. 2025]]</f>
        <v>0.95960080606467713</v>
      </c>
      <c r="E13" s="22" t="s">
        <v>4380</v>
      </c>
      <c r="G13" t="s">
        <v>4383</v>
      </c>
      <c r="H13" s="44" t="s">
        <v>2548</v>
      </c>
      <c r="I13" s="34">
        <v>1.1598999999999999</v>
      </c>
      <c r="J13" s="35">
        <f>1/Table111430[[#This Row],[Precio de 1 Eur para Nov. 2025]]</f>
        <v>0.86214328821450126</v>
      </c>
      <c r="K13" s="23" t="s">
        <v>4380</v>
      </c>
    </row>
    <row r="14" spans="1:15">
      <c r="A14" t="s">
        <v>4382</v>
      </c>
      <c r="B14" t="s">
        <v>2543</v>
      </c>
      <c r="C14" s="45">
        <v>996.23</v>
      </c>
      <c r="D14" s="35">
        <f>1/Table111124[[#This Row],[Precio de 1 Eur para Ago. 2025]]</f>
        <v>1.003784266685404E-3</v>
      </c>
      <c r="E14" s="23" t="s">
        <v>4380</v>
      </c>
      <c r="G14" t="s">
        <v>4383</v>
      </c>
      <c r="H14" s="44" t="s">
        <v>2543</v>
      </c>
      <c r="I14" s="36">
        <v>1092.95</v>
      </c>
      <c r="J14" s="35">
        <f>1/Table111430[[#This Row],[Precio de 1 Eur para Nov. 2025]]</f>
        <v>9.1495493846928031E-4</v>
      </c>
      <c r="K14" s="23" t="s">
        <v>4380</v>
      </c>
    </row>
    <row r="15" spans="1:15" ht="16" thickBot="1">
      <c r="I15" s="40"/>
      <c r="J15" s="35"/>
      <c r="K15" s="23"/>
    </row>
    <row r="16" spans="1:15" ht="16" thickBot="1">
      <c r="A16" s="752" t="s">
        <v>4385</v>
      </c>
      <c r="B16" s="753"/>
      <c r="G16" s="752" t="s">
        <v>4386</v>
      </c>
      <c r="H16" s="753"/>
      <c r="I16" s="40"/>
      <c r="J16" s="35"/>
      <c r="K16" s="23"/>
    </row>
    <row r="18" spans="1:11">
      <c r="A18" s="28" t="s">
        <v>4375</v>
      </c>
      <c r="B18" s="29" t="s">
        <v>4371</v>
      </c>
      <c r="C18" s="29" t="s">
        <v>4372</v>
      </c>
      <c r="D18" s="29" t="s">
        <v>4373</v>
      </c>
      <c r="E18" s="30" t="s">
        <v>4374</v>
      </c>
      <c r="G18" s="28" t="s">
        <v>4375</v>
      </c>
      <c r="H18" s="29" t="s">
        <v>4371</v>
      </c>
      <c r="I18" s="29" t="s">
        <v>4387</v>
      </c>
      <c r="J18" s="29" t="s">
        <v>4373</v>
      </c>
      <c r="K18" s="30" t="s">
        <v>4374</v>
      </c>
    </row>
    <row r="19" spans="1:11">
      <c r="A19" t="s">
        <v>4385</v>
      </c>
      <c r="B19" t="s">
        <v>2697</v>
      </c>
      <c r="C19" s="31">
        <v>1</v>
      </c>
      <c r="D19" s="33">
        <f>1/Table1111221[[#This Row],[Precio de 1 Eur para Ago. 2025]]</f>
        <v>1</v>
      </c>
      <c r="E19" t="s">
        <v>4378</v>
      </c>
      <c r="G19" t="s">
        <v>4386</v>
      </c>
      <c r="H19" s="44" t="s">
        <v>2697</v>
      </c>
      <c r="I19" s="31">
        <v>1</v>
      </c>
      <c r="J19" s="33">
        <f>1/Table111531[[#This Row],[Precio de 1 Eur para Dic. 2025]]</f>
        <v>1</v>
      </c>
      <c r="K19" t="s">
        <v>4378</v>
      </c>
    </row>
    <row r="20" spans="1:11">
      <c r="A20" t="s">
        <v>4385</v>
      </c>
      <c r="B20" t="s">
        <v>2548</v>
      </c>
      <c r="C20" s="46">
        <v>1.0823</v>
      </c>
      <c r="D20" s="41">
        <f>1/Table1111221[[#This Row],[Precio de 1 Eur para Ago. 2025]]</f>
        <v>0.92395823708768365</v>
      </c>
      <c r="E20" s="22" t="s">
        <v>4380</v>
      </c>
      <c r="G20" t="s">
        <v>4386</v>
      </c>
      <c r="H20" s="44" t="s">
        <v>2548</v>
      </c>
      <c r="I20" s="34">
        <v>1.1609</v>
      </c>
      <c r="J20" s="35">
        <f>1/Table111531[[#This Row],[Precio de 1 Eur para Dic. 2025]]</f>
        <v>0.86140063743647166</v>
      </c>
      <c r="K20" s="23" t="s">
        <v>4380</v>
      </c>
    </row>
    <row r="21" spans="1:11">
      <c r="A21" t="s">
        <v>4385</v>
      </c>
      <c r="B21" t="s">
        <v>2543</v>
      </c>
      <c r="C21" s="45">
        <v>1008.03</v>
      </c>
      <c r="D21" s="35">
        <f>1/Table1111221[[#This Row],[Precio de 1 Eur para Ago. 2025]]</f>
        <v>9.9203396724303851E-4</v>
      </c>
      <c r="E21" s="23" t="s">
        <v>4380</v>
      </c>
      <c r="G21" t="s">
        <v>4386</v>
      </c>
      <c r="H21" s="44" t="s">
        <v>2543</v>
      </c>
      <c r="I21" s="36">
        <v>1079.4000000000001</v>
      </c>
      <c r="J21" s="35">
        <f>1/Table111531[[#This Row],[Precio de 1 Eur para Dic. 2025]]</f>
        <v>9.2644061515656843E-4</v>
      </c>
      <c r="K21" s="23" t="s">
        <v>4380</v>
      </c>
    </row>
    <row r="22" spans="1:11" ht="16" thickBot="1">
      <c r="I22" s="40"/>
      <c r="J22" s="35"/>
      <c r="K22" s="23"/>
    </row>
    <row r="23" spans="1:11" ht="16" thickBot="1">
      <c r="A23" s="752" t="s">
        <v>4388</v>
      </c>
      <c r="B23" s="753"/>
      <c r="G23" s="752" t="s">
        <v>4389</v>
      </c>
      <c r="H23" s="753"/>
      <c r="I23" s="40"/>
      <c r="J23" s="35"/>
      <c r="K23" s="23"/>
    </row>
    <row r="25" spans="1:11">
      <c r="A25" s="28" t="s">
        <v>4375</v>
      </c>
      <c r="B25" s="29" t="s">
        <v>4371</v>
      </c>
      <c r="C25" s="29" t="s">
        <v>4372</v>
      </c>
      <c r="D25" s="29" t="s">
        <v>4373</v>
      </c>
      <c r="E25" s="30" t="s">
        <v>4374</v>
      </c>
      <c r="G25" s="28" t="s">
        <v>4375</v>
      </c>
      <c r="H25" s="29" t="s">
        <v>4371</v>
      </c>
      <c r="I25" s="29" t="s">
        <v>4390</v>
      </c>
      <c r="J25" s="29" t="s">
        <v>4373</v>
      </c>
      <c r="K25" s="30" t="s">
        <v>4374</v>
      </c>
    </row>
    <row r="26" spans="1:11">
      <c r="A26" t="s">
        <v>4388</v>
      </c>
      <c r="B26" t="s">
        <v>2697</v>
      </c>
      <c r="C26" s="31">
        <v>1</v>
      </c>
      <c r="D26" s="33">
        <f>1/Table1111222[[#This Row],[Precio de 1 Eur para Ago. 2025]]</f>
        <v>1</v>
      </c>
      <c r="E26" t="s">
        <v>4378</v>
      </c>
      <c r="G26" t="s">
        <v>4389</v>
      </c>
      <c r="H26" s="44" t="s">
        <v>2697</v>
      </c>
      <c r="I26" s="31">
        <v>1</v>
      </c>
      <c r="J26" s="33">
        <f>1/Table111632[[#This Row],[Precio de 1 Eur para Ene. 2026]]</f>
        <v>1</v>
      </c>
      <c r="K26" t="s">
        <v>4378</v>
      </c>
    </row>
    <row r="27" spans="1:11">
      <c r="A27" t="s">
        <v>4388</v>
      </c>
      <c r="B27" t="s">
        <v>2548</v>
      </c>
      <c r="C27" s="46">
        <v>1.1225000000000001</v>
      </c>
      <c r="D27" s="35">
        <f>1/Table1111222[[#This Row],[Precio de 1 Eur para Ago. 2025]]</f>
        <v>0.89086859688195985</v>
      </c>
      <c r="E27" s="22" t="s">
        <v>4380</v>
      </c>
      <c r="G27" t="s">
        <v>4389</v>
      </c>
      <c r="H27" s="44" t="s">
        <v>2548</v>
      </c>
      <c r="I27" s="34">
        <v>1.1747000000000001</v>
      </c>
      <c r="J27" s="35">
        <f>1/Table111632[[#This Row],[Precio de 1 Eur para Ene. 2026]]</f>
        <v>0.85128117817315052</v>
      </c>
      <c r="K27" s="23" t="s">
        <v>4380</v>
      </c>
    </row>
    <row r="28" spans="1:11">
      <c r="A28" t="s">
        <v>4388</v>
      </c>
      <c r="B28" t="s">
        <v>2543</v>
      </c>
      <c r="C28" s="45">
        <v>1080.31</v>
      </c>
      <c r="D28" s="35">
        <f>1/Table1111222[[#This Row],[Precio de 1 Eur para Ago. 2025]]</f>
        <v>9.2566022715701978E-4</v>
      </c>
      <c r="E28" s="23" t="s">
        <v>4380</v>
      </c>
      <c r="G28" t="s">
        <v>4389</v>
      </c>
      <c r="H28" s="44" t="s">
        <v>2543</v>
      </c>
      <c r="I28" s="36">
        <v>1057.8599999999999</v>
      </c>
      <c r="J28" s="35">
        <f>1/Table111632[[#This Row],[Precio de 1 Eur para Ene. 2026]]</f>
        <v>9.4530467169568757E-4</v>
      </c>
      <c r="K28" s="23" t="s">
        <v>4380</v>
      </c>
    </row>
    <row r="29" spans="1:11" ht="16" thickBot="1">
      <c r="I29" s="40"/>
      <c r="J29" s="35"/>
      <c r="K29" s="23"/>
    </row>
    <row r="30" spans="1:11" ht="16" thickBot="1">
      <c r="A30" s="752" t="s">
        <v>4391</v>
      </c>
      <c r="B30" s="753"/>
      <c r="G30" s="752" t="s">
        <v>4392</v>
      </c>
      <c r="H30" s="753"/>
      <c r="I30" s="40"/>
      <c r="J30" s="35"/>
      <c r="K30" s="23"/>
    </row>
    <row r="32" spans="1:11">
      <c r="A32" s="28" t="s">
        <v>4375</v>
      </c>
      <c r="B32" s="29" t="s">
        <v>4371</v>
      </c>
      <c r="C32" s="29" t="s">
        <v>4372</v>
      </c>
      <c r="D32" s="29" t="s">
        <v>4373</v>
      </c>
      <c r="E32" s="30" t="s">
        <v>4374</v>
      </c>
      <c r="G32" s="28" t="s">
        <v>4375</v>
      </c>
      <c r="H32" s="29" t="s">
        <v>4371</v>
      </c>
      <c r="I32" s="29" t="s">
        <v>4393</v>
      </c>
      <c r="J32" s="29" t="s">
        <v>4373</v>
      </c>
      <c r="K32" s="30" t="s">
        <v>4374</v>
      </c>
    </row>
    <row r="33" spans="1:11">
      <c r="A33" t="s">
        <v>4391</v>
      </c>
      <c r="B33" t="s">
        <v>2697</v>
      </c>
      <c r="C33" s="31">
        <v>1</v>
      </c>
      <c r="D33" s="33">
        <f>1/Table1111223[[#This Row],[Precio de 1 Eur para Ago. 2025]]</f>
        <v>1</v>
      </c>
      <c r="E33" t="s">
        <v>4378</v>
      </c>
      <c r="G33" t="s">
        <v>4392</v>
      </c>
      <c r="H33" s="44" t="s">
        <v>2697</v>
      </c>
      <c r="I33" s="31">
        <v>1</v>
      </c>
      <c r="J33" s="33">
        <f>1/Table111733[[#This Row],[Precio de 1 Eur para Feb. 2026]]</f>
        <v>1</v>
      </c>
      <c r="K33" t="s">
        <v>4378</v>
      </c>
    </row>
    <row r="34" spans="1:11">
      <c r="A34" t="s">
        <v>4391</v>
      </c>
      <c r="B34" t="s">
        <v>2548</v>
      </c>
      <c r="C34" s="46">
        <v>1.1276999999999999</v>
      </c>
      <c r="D34" s="41">
        <f>1/Table1111223[[#This Row],[Precio de 1 Eur para Ago. 2025]]</f>
        <v>0.88676066329697623</v>
      </c>
      <c r="E34" s="22" t="s">
        <v>4380</v>
      </c>
      <c r="G34" t="s">
        <v>4392</v>
      </c>
      <c r="H34" s="44" t="s">
        <v>2548</v>
      </c>
      <c r="I34" s="34">
        <v>1.1854</v>
      </c>
      <c r="J34" s="35">
        <f>1/Table111733[[#This Row],[Precio de 1 Eur para Feb. 2026]]</f>
        <v>0.84359709802598282</v>
      </c>
      <c r="K34" s="23" t="s">
        <v>4380</v>
      </c>
    </row>
    <row r="35" spans="1:11">
      <c r="A35" t="s">
        <v>4391</v>
      </c>
      <c r="B35" t="s">
        <v>2543</v>
      </c>
      <c r="C35" s="45">
        <v>1062.3399999999999</v>
      </c>
      <c r="D35" s="35">
        <f>1/Table1111223[[#This Row],[Precio de 1 Eur para Ago. 2025]]</f>
        <v>9.4131822203814234E-4</v>
      </c>
      <c r="E35" s="23" t="s">
        <v>4380</v>
      </c>
      <c r="G35" t="s">
        <v>4392</v>
      </c>
      <c r="H35" s="44" t="s">
        <v>2543</v>
      </c>
      <c r="I35" s="36">
        <v>1027.04</v>
      </c>
      <c r="J35" s="35">
        <f>1/Table111733[[#This Row],[Precio de 1 Eur para Feb. 2026]]</f>
        <v>9.7367191151269677E-4</v>
      </c>
      <c r="K35" s="23" t="s">
        <v>4380</v>
      </c>
    </row>
    <row r="36" spans="1:11" ht="16" thickBot="1">
      <c r="I36" s="40"/>
      <c r="J36" s="35"/>
      <c r="K36" s="23"/>
    </row>
    <row r="37" spans="1:11" ht="16" thickBot="1">
      <c r="A37" s="752" t="s">
        <v>4394</v>
      </c>
      <c r="B37" s="753"/>
      <c r="G37" s="752" t="s">
        <v>4395</v>
      </c>
      <c r="H37" s="753"/>
      <c r="I37" s="40"/>
      <c r="J37" s="35"/>
      <c r="K37" s="23"/>
    </row>
    <row r="39" spans="1:11">
      <c r="A39" s="28" t="s">
        <v>4375</v>
      </c>
      <c r="B39" s="29" t="s">
        <v>4371</v>
      </c>
      <c r="C39" s="29" t="s">
        <v>4372</v>
      </c>
      <c r="D39" s="29" t="s">
        <v>4373</v>
      </c>
      <c r="E39" s="30" t="s">
        <v>4374</v>
      </c>
      <c r="G39" s="28" t="s">
        <v>4375</v>
      </c>
      <c r="H39" s="29" t="s">
        <v>4371</v>
      </c>
      <c r="I39" s="29" t="s">
        <v>4396</v>
      </c>
      <c r="J39" s="29" t="s">
        <v>4373</v>
      </c>
      <c r="K39" s="30" t="s">
        <v>4374</v>
      </c>
    </row>
    <row r="40" spans="1:11">
      <c r="A40" t="s">
        <v>4394</v>
      </c>
      <c r="B40" t="s">
        <v>2697</v>
      </c>
      <c r="C40" s="31">
        <v>1</v>
      </c>
      <c r="D40" s="33">
        <f>1/Table1111224[[#This Row],[Precio de 1 Eur para Ago. 2025]]</f>
        <v>1</v>
      </c>
      <c r="E40" t="s">
        <v>4378</v>
      </c>
      <c r="G40" t="s">
        <v>4395</v>
      </c>
      <c r="H40" s="44" t="s">
        <v>2697</v>
      </c>
      <c r="I40" s="31">
        <v>1</v>
      </c>
      <c r="J40" s="33">
        <f>1/Table111834[[#This Row],[Precio de 1 Eur para Mar. 2026]]</f>
        <v>1</v>
      </c>
      <c r="K40" t="s">
        <v>4378</v>
      </c>
    </row>
    <row r="41" spans="1:11">
      <c r="A41" t="s">
        <v>4394</v>
      </c>
      <c r="B41" t="s">
        <v>2548</v>
      </c>
      <c r="C41" s="46">
        <v>1.1533</v>
      </c>
      <c r="D41" s="41">
        <f>1/Table1111224[[#This Row],[Precio de 1 Eur para Ago. 2025]]</f>
        <v>0.86707708315269227</v>
      </c>
      <c r="E41" s="22" t="s">
        <v>4380</v>
      </c>
      <c r="G41" t="s">
        <v>4395</v>
      </c>
      <c r="H41" s="44" t="s">
        <v>2548</v>
      </c>
      <c r="I41" s="34">
        <v>1.1818</v>
      </c>
      <c r="J41" s="35">
        <f>1/Table111834[[#This Row],[Precio de 1 Eur para Mar. 2026]]</f>
        <v>0.8461668641056016</v>
      </c>
      <c r="K41" s="23" t="s">
        <v>4380</v>
      </c>
    </row>
    <row r="42" spans="1:11">
      <c r="A42" t="s">
        <v>4394</v>
      </c>
      <c r="B42" t="s">
        <v>2543</v>
      </c>
      <c r="C42" s="45">
        <v>1074.93</v>
      </c>
      <c r="D42" s="35">
        <f>1/Table1111224[[#This Row],[Precio de 1 Eur para Ago. 2025]]</f>
        <v>9.3029313536695409E-4</v>
      </c>
      <c r="E42" s="23" t="s">
        <v>4380</v>
      </c>
      <c r="G42" t="s">
        <v>4395</v>
      </c>
      <c r="H42" s="44" t="s">
        <v>2543</v>
      </c>
      <c r="I42" s="36">
        <v>1032.51</v>
      </c>
      <c r="J42" s="35">
        <f>1/Table111834[[#This Row],[Precio de 1 Eur para Mar. 2026]]</f>
        <v>9.6851362214409541E-4</v>
      </c>
      <c r="K42" s="23" t="s">
        <v>4380</v>
      </c>
    </row>
    <row r="43" spans="1:11" ht="16" thickBot="1">
      <c r="I43" s="40"/>
      <c r="J43" s="35"/>
      <c r="K43" s="23"/>
    </row>
    <row r="44" spans="1:11" ht="16" thickBot="1">
      <c r="A44" s="752" t="s">
        <v>4397</v>
      </c>
      <c r="B44" s="753"/>
      <c r="G44" s="752" t="s">
        <v>4398</v>
      </c>
      <c r="H44" s="753"/>
      <c r="I44" s="40"/>
      <c r="J44" s="35"/>
      <c r="K44" s="23"/>
    </row>
    <row r="46" spans="1:11">
      <c r="A46" s="28" t="s">
        <v>4375</v>
      </c>
      <c r="B46" s="29" t="s">
        <v>4371</v>
      </c>
      <c r="C46" s="29" t="s">
        <v>4372</v>
      </c>
      <c r="D46" s="29" t="s">
        <v>4373</v>
      </c>
      <c r="E46" s="30" t="s">
        <v>4374</v>
      </c>
      <c r="G46" s="28" t="s">
        <v>4375</v>
      </c>
      <c r="H46" s="29" t="s">
        <v>4371</v>
      </c>
      <c r="I46" s="29" t="s">
        <v>4399</v>
      </c>
      <c r="J46" s="29" t="s">
        <v>4373</v>
      </c>
      <c r="K46" s="30" t="s">
        <v>4374</v>
      </c>
    </row>
    <row r="47" spans="1:11">
      <c r="A47" t="s">
        <v>4397</v>
      </c>
      <c r="B47" t="s">
        <v>2697</v>
      </c>
      <c r="C47" s="31">
        <v>1</v>
      </c>
      <c r="D47" s="33">
        <f>1/Table1111225[[#This Row],[Precio de 1 Eur para Ago. 2025]]</f>
        <v>1</v>
      </c>
      <c r="E47" t="s">
        <v>4378</v>
      </c>
      <c r="G47" t="s">
        <v>4398</v>
      </c>
      <c r="H47" s="44" t="s">
        <v>2697</v>
      </c>
      <c r="I47" s="31">
        <v>1</v>
      </c>
      <c r="J47" s="33">
        <f>1/Table111935[[#This Row],[Precio de 1 Eur para Abr. 2026]]</f>
        <v>1</v>
      </c>
      <c r="K47" t="s">
        <v>4378</v>
      </c>
    </row>
    <row r="48" spans="1:11">
      <c r="A48" t="s">
        <v>4397</v>
      </c>
      <c r="B48" t="s">
        <v>2548</v>
      </c>
      <c r="C48" s="46">
        <v>1.1675</v>
      </c>
      <c r="D48" s="41">
        <f>1/Table1111225[[#This Row],[Precio de 1 Eur para Ago. 2025]]</f>
        <v>0.85653104925053536</v>
      </c>
      <c r="E48" s="22" t="s">
        <v>4380</v>
      </c>
      <c r="G48" t="s">
        <v>4398</v>
      </c>
      <c r="H48" s="44" t="s">
        <v>2548</v>
      </c>
      <c r="I48" s="34"/>
      <c r="J48" s="35" t="e">
        <f>1/Table111935[[#This Row],[Precio de 1 Eur para Abr. 2026]]</f>
        <v>#DIV/0!</v>
      </c>
      <c r="K48" s="26"/>
    </row>
    <row r="49" spans="1:11">
      <c r="A49" t="s">
        <v>4397</v>
      </c>
      <c r="B49" t="s">
        <v>2543</v>
      </c>
      <c r="C49" s="45">
        <v>1111.69</v>
      </c>
      <c r="D49" s="35">
        <f>1/Table1111225[[#This Row],[Precio de 1 Eur para Ago. 2025]]</f>
        <v>8.995313441696875E-4</v>
      </c>
      <c r="E49" s="23" t="s">
        <v>4380</v>
      </c>
      <c r="G49" t="s">
        <v>4398</v>
      </c>
      <c r="H49" s="44" t="s">
        <v>2543</v>
      </c>
      <c r="I49" s="36"/>
      <c r="J49" s="35" t="e">
        <f>1/Table111935[[#This Row],[Precio de 1 Eur para Abr. 2026]]</f>
        <v>#DIV/0!</v>
      </c>
      <c r="K49" s="23"/>
    </row>
    <row r="50" spans="1:11" ht="16" thickBot="1">
      <c r="I50" s="40"/>
      <c r="J50" s="35"/>
      <c r="K50" s="23"/>
    </row>
    <row r="51" spans="1:11" ht="16" thickBot="1">
      <c r="A51" s="752" t="s">
        <v>4400</v>
      </c>
      <c r="B51" s="753"/>
      <c r="G51" s="752" t="s">
        <v>4401</v>
      </c>
      <c r="H51" s="753"/>
      <c r="I51" s="40"/>
      <c r="J51" s="35"/>
      <c r="K51" s="23"/>
    </row>
    <row r="53" spans="1:11">
      <c r="A53" s="28" t="s">
        <v>4375</v>
      </c>
      <c r="B53" s="29" t="s">
        <v>4371</v>
      </c>
      <c r="C53" s="29" t="s">
        <v>4372</v>
      </c>
      <c r="D53" s="29" t="s">
        <v>4373</v>
      </c>
      <c r="E53" s="30" t="s">
        <v>4374</v>
      </c>
      <c r="G53" s="28" t="s">
        <v>4375</v>
      </c>
      <c r="H53" s="29" t="s">
        <v>4371</v>
      </c>
      <c r="I53" s="29" t="s">
        <v>4402</v>
      </c>
      <c r="J53" s="29" t="s">
        <v>4373</v>
      </c>
      <c r="K53" s="30" t="s">
        <v>4374</v>
      </c>
    </row>
    <row r="54" spans="1:11">
      <c r="A54" t="s">
        <v>4400</v>
      </c>
      <c r="B54" t="s">
        <v>2697</v>
      </c>
      <c r="C54" s="31">
        <v>1</v>
      </c>
      <c r="D54" s="33">
        <f>1/Table1111226[[#This Row],[Precio de 1 Eur para Ago. 2025]]</f>
        <v>1</v>
      </c>
      <c r="E54" t="s">
        <v>4378</v>
      </c>
      <c r="G54" t="s">
        <v>4401</v>
      </c>
      <c r="H54" s="44" t="s">
        <v>2697</v>
      </c>
      <c r="I54" s="31">
        <v>1</v>
      </c>
      <c r="J54" s="33">
        <f>1/Table112036[[#This Row],[Precio de 1 Eur para May. 2026]]</f>
        <v>1</v>
      </c>
      <c r="K54" t="s">
        <v>4378</v>
      </c>
    </row>
    <row r="55" spans="1:11">
      <c r="A55" t="s">
        <v>4400</v>
      </c>
      <c r="B55" t="s">
        <v>2548</v>
      </c>
      <c r="C55" s="74">
        <v>1.165</v>
      </c>
      <c r="D55" s="35">
        <f>1/Table1111226[[#This Row],[Precio de 1 Eur para Ago. 2025]]</f>
        <v>0.85836909871244638</v>
      </c>
      <c r="E55" s="22" t="s">
        <v>4380</v>
      </c>
      <c r="G55" t="s">
        <v>4401</v>
      </c>
      <c r="H55" s="44" t="s">
        <v>2548</v>
      </c>
      <c r="I55" s="34"/>
      <c r="J55" s="35" t="e">
        <f>1/Table112036[[#This Row],[Precio de 1 Eur para May. 2026]]</f>
        <v>#DIV/0!</v>
      </c>
      <c r="K55" s="26"/>
    </row>
    <row r="56" spans="1:11">
      <c r="A56" t="s">
        <v>4400</v>
      </c>
      <c r="B56" t="s">
        <v>2543</v>
      </c>
      <c r="C56" s="75">
        <v>1125.3499999999999</v>
      </c>
      <c r="D56" s="35">
        <f>1/Table1111226[[#This Row],[Precio de 1 Eur para Ago. 2025]]</f>
        <v>8.8861243168791935E-4</v>
      </c>
      <c r="E56" s="23" t="s">
        <v>4380</v>
      </c>
      <c r="G56" t="s">
        <v>4401</v>
      </c>
      <c r="H56" s="44" t="s">
        <v>2543</v>
      </c>
      <c r="I56" s="36"/>
      <c r="J56" s="35" t="e">
        <f>1/Table112036[[#This Row],[Precio de 1 Eur para May. 2026]]</f>
        <v>#DIV/0!</v>
      </c>
      <c r="K56" s="23"/>
    </row>
    <row r="57" spans="1:11" ht="16" thickBot="1">
      <c r="I57" s="40"/>
      <c r="J57" s="35"/>
      <c r="K57" s="23"/>
    </row>
    <row r="58" spans="1:11" ht="16" thickBot="1">
      <c r="A58" s="752" t="s">
        <v>4403</v>
      </c>
      <c r="B58" s="753"/>
      <c r="C58" s="75"/>
      <c r="D58" s="35"/>
      <c r="E58" s="23"/>
      <c r="G58" s="752" t="s">
        <v>4404</v>
      </c>
      <c r="H58" s="753"/>
      <c r="I58" s="40"/>
      <c r="J58" s="35"/>
      <c r="K58" s="23"/>
    </row>
    <row r="60" spans="1:11">
      <c r="A60" s="28" t="s">
        <v>4375</v>
      </c>
      <c r="B60" s="29" t="s">
        <v>4371</v>
      </c>
      <c r="C60" s="29" t="s">
        <v>4405</v>
      </c>
      <c r="D60" s="29" t="s">
        <v>4373</v>
      </c>
      <c r="E60" s="30" t="s">
        <v>4374</v>
      </c>
      <c r="G60" s="28" t="s">
        <v>4375</v>
      </c>
      <c r="H60" s="29" t="s">
        <v>4371</v>
      </c>
      <c r="I60" s="29" t="s">
        <v>4399</v>
      </c>
      <c r="J60" s="29" t="s">
        <v>4373</v>
      </c>
      <c r="K60" s="30" t="s">
        <v>4374</v>
      </c>
    </row>
    <row r="61" spans="1:11">
      <c r="A61" t="s">
        <v>4403</v>
      </c>
      <c r="B61" s="44" t="s">
        <v>2697</v>
      </c>
      <c r="C61" s="31">
        <v>1</v>
      </c>
      <c r="D61" s="33">
        <f>1/Table111228[[#This Row],[Precio de 1 Eur para Sep. 2025]]</f>
        <v>1</v>
      </c>
      <c r="E61" t="s">
        <v>4378</v>
      </c>
      <c r="G61" t="s">
        <v>4398</v>
      </c>
      <c r="H61" s="44" t="s">
        <v>2697</v>
      </c>
      <c r="I61" s="31">
        <v>1</v>
      </c>
      <c r="J61" s="33">
        <f>1/Table1119[[#This Row],[Precio de 1 Eur para Abr. 2026]]</f>
        <v>1</v>
      </c>
      <c r="K61" t="s">
        <v>4378</v>
      </c>
    </row>
    <row r="62" spans="1:11">
      <c r="A62" t="s">
        <v>4403</v>
      </c>
      <c r="B62" s="44" t="s">
        <v>2548</v>
      </c>
      <c r="C62" s="34">
        <v>1.1712</v>
      </c>
      <c r="D62" s="41">
        <f>1/Table111228[[#This Row],[Precio de 1 Eur para Sep. 2025]]</f>
        <v>0.85382513661202186</v>
      </c>
      <c r="E62" s="22" t="s">
        <v>4380</v>
      </c>
      <c r="G62" t="s">
        <v>4398</v>
      </c>
      <c r="H62" s="44" t="s">
        <v>2548</v>
      </c>
      <c r="I62" s="34"/>
      <c r="J62" s="35" t="e">
        <f>1/Table1119[[#This Row],[Precio de 1 Eur para Abr. 2026]]</f>
        <v>#DIV/0!</v>
      </c>
      <c r="K62" s="26"/>
    </row>
    <row r="63" spans="1:11">
      <c r="A63" t="s">
        <v>4403</v>
      </c>
      <c r="B63" s="44" t="s">
        <v>2543</v>
      </c>
      <c r="C63" s="36">
        <v>1137.1099999999999</v>
      </c>
      <c r="D63" s="35">
        <f>1/Table111228[[#This Row],[Precio de 1 Eur para Sep. 2025]]</f>
        <v>8.7942239537072058E-4</v>
      </c>
      <c r="E63" s="23" t="s">
        <v>4380</v>
      </c>
      <c r="G63" t="s">
        <v>4398</v>
      </c>
      <c r="H63" s="44" t="s">
        <v>2543</v>
      </c>
      <c r="I63" s="36"/>
      <c r="J63" s="35" t="e">
        <f>1/Table1119[[#This Row],[Precio de 1 Eur para Abr. 2026]]</f>
        <v>#DIV/0!</v>
      </c>
      <c r="K63" s="23"/>
    </row>
    <row r="65" spans="7:11" ht="16" thickBot="1">
      <c r="G65" s="752" t="s">
        <v>4406</v>
      </c>
      <c r="H65" s="753"/>
      <c r="I65" s="40"/>
      <c r="J65" s="35"/>
      <c r="K65" s="23"/>
    </row>
    <row r="67" spans="7:11">
      <c r="G67" s="28" t="s">
        <v>4375</v>
      </c>
      <c r="H67" s="29" t="s">
        <v>4371</v>
      </c>
      <c r="I67" s="29" t="s">
        <v>4402</v>
      </c>
      <c r="J67" s="29" t="s">
        <v>4373</v>
      </c>
      <c r="K67" s="30" t="s">
        <v>4374</v>
      </c>
    </row>
    <row r="68" spans="7:11">
      <c r="G68" t="s">
        <v>4401</v>
      </c>
      <c r="H68" s="44" t="s">
        <v>2697</v>
      </c>
      <c r="I68" s="31">
        <v>1</v>
      </c>
      <c r="J68" s="33">
        <f>1/Table1120[[#This Row],[Precio de 1 Eur para May. 2026]]</f>
        <v>1</v>
      </c>
      <c r="K68" t="s">
        <v>4378</v>
      </c>
    </row>
    <row r="69" spans="7:11">
      <c r="G69" t="s">
        <v>4401</v>
      </c>
      <c r="H69" s="44" t="s">
        <v>2548</v>
      </c>
      <c r="I69" s="34"/>
      <c r="J69" s="35" t="e">
        <f>1/Table1120[[#This Row],[Precio de 1 Eur para May. 2026]]</f>
        <v>#DIV/0!</v>
      </c>
      <c r="K69" s="26"/>
    </row>
    <row r="70" spans="7:11">
      <c r="G70" t="s">
        <v>4401</v>
      </c>
      <c r="H70" s="44" t="s">
        <v>2543</v>
      </c>
      <c r="I70" s="36"/>
      <c r="J70" s="35" t="e">
        <f>1/Table1120[[#This Row],[Precio de 1 Eur para May. 2026]]</f>
        <v>#DIV/0!</v>
      </c>
      <c r="K70" s="23"/>
    </row>
  </sheetData>
  <mergeCells count="19">
    <mergeCell ref="G44:H44"/>
    <mergeCell ref="G51:H51"/>
    <mergeCell ref="G58:H58"/>
    <mergeCell ref="G65:H65"/>
    <mergeCell ref="G2:H2"/>
    <mergeCell ref="G9:H9"/>
    <mergeCell ref="G16:H16"/>
    <mergeCell ref="G23:H23"/>
    <mergeCell ref="G30:H30"/>
    <mergeCell ref="G37:H37"/>
    <mergeCell ref="A37:B37"/>
    <mergeCell ref="A44:B44"/>
    <mergeCell ref="A51:B51"/>
    <mergeCell ref="A58:B58"/>
    <mergeCell ref="A2:B2"/>
    <mergeCell ref="A9:B9"/>
    <mergeCell ref="A16:B16"/>
    <mergeCell ref="A23:B23"/>
    <mergeCell ref="A30:B30"/>
  </mergeCells>
  <phoneticPr fontId="7" type="noConversion"/>
  <dataValidations count="1">
    <dataValidation type="list" allowBlank="1" showInputMessage="1" showErrorMessage="1" sqref="M4" xr:uid="{C3C60EF8-6BDC-4D6D-8947-234673BD82BB}">
      <formula1>$M$3:$M$6</formula1>
    </dataValidation>
  </dataValidations>
  <hyperlinks>
    <hyperlink ref="E6" r:id="rId1" xr:uid="{F1C7B0E3-74CF-024B-B455-F78FE52B3A8B}"/>
    <hyperlink ref="E7" r:id="rId2" xr:uid="{5EAFA744-DE9F-6241-BC61-3CF0C9FF8C73}"/>
    <hyperlink ref="E13" r:id="rId3" xr:uid="{D27C3E1D-428C-3642-BB66-BDBCA49D0AE8}"/>
    <hyperlink ref="E14" r:id="rId4" xr:uid="{3E235397-85E7-284B-8338-8C457CFFE2FD}"/>
    <hyperlink ref="E20" r:id="rId5" xr:uid="{4B40051D-FAC7-BE41-8D38-6F0D1D23B8EA}"/>
    <hyperlink ref="E21" r:id="rId6" xr:uid="{AF4A5AEC-8254-6F4F-909A-2966F45FABF6}"/>
    <hyperlink ref="E27" r:id="rId7" xr:uid="{AAB7B68C-0391-834F-9C0E-0DC1DAA3DBE7}"/>
    <hyperlink ref="E28" r:id="rId8" xr:uid="{AC5F6A23-AC2B-054B-918A-2AC576A7E722}"/>
    <hyperlink ref="E34" r:id="rId9" xr:uid="{14E59FA3-A26C-AF47-9360-4B67B7A319B5}"/>
    <hyperlink ref="E35" r:id="rId10" xr:uid="{48321948-FFDF-644E-8416-EAD3FE4BC7A6}"/>
    <hyperlink ref="E41" r:id="rId11" xr:uid="{5DC3A846-6DF1-4C41-A917-A14952B987F3}"/>
    <hyperlink ref="E42" r:id="rId12" xr:uid="{F41EA6B2-277A-B440-AC7A-570708B59987}"/>
    <hyperlink ref="E48" r:id="rId13" xr:uid="{1B67D1CC-09DE-0247-80DE-2E2AF11413A0}"/>
    <hyperlink ref="E49" r:id="rId14" xr:uid="{5EAFEAFE-C5AF-9145-B6A6-EB83B260E837}"/>
    <hyperlink ref="E55" r:id="rId15" xr:uid="{CB058C0E-A038-7642-B21D-176C4997E81F}"/>
    <hyperlink ref="E56" r:id="rId16" xr:uid="{28ACBA9F-CCDF-4E49-B2BA-F72FA0F03600}"/>
    <hyperlink ref="E62" r:id="rId17" xr:uid="{EA61C5F4-1BA8-9D43-B737-65794BBE0BDB}"/>
    <hyperlink ref="E63" r:id="rId18" xr:uid="{553855F7-F26A-0347-A7B4-384A44E55076}"/>
    <hyperlink ref="K6" r:id="rId19" xr:uid="{A83F43A0-8939-114C-A794-481FF9A05499}"/>
    <hyperlink ref="K7" r:id="rId20" xr:uid="{299B63B1-0540-084C-9B62-BE133F9C238B}"/>
    <hyperlink ref="K13" r:id="rId21" xr:uid="{E42B0370-6FEA-C545-85AF-0684A932624F}"/>
    <hyperlink ref="K14" r:id="rId22" xr:uid="{7B79395E-AC62-4844-A1E1-8DFF4DD6A261}"/>
    <hyperlink ref="K20" r:id="rId23" xr:uid="{94CE15F6-EC0A-9644-8BB6-711BE23292C9}"/>
    <hyperlink ref="K21" r:id="rId24" xr:uid="{801AA148-D999-7243-B688-A81F10846EEA}"/>
    <hyperlink ref="K28" r:id="rId25" xr:uid="{DBD56BF0-6AF5-F545-B49C-532257718CDB}"/>
    <hyperlink ref="K27" r:id="rId26" xr:uid="{25C6BFCA-41E6-4C4F-A2F8-01149AE73704}"/>
    <hyperlink ref="K35" r:id="rId27" xr:uid="{9CC447FC-EA22-D84E-B50C-D3DD0EA7140D}"/>
    <hyperlink ref="K34" r:id="rId28" xr:uid="{D922DE33-6A03-DB4A-AC49-C053D5AB21F9}"/>
    <hyperlink ref="K42" r:id="rId29" xr:uid="{3F1639C3-A89A-7F46-8561-FDA27E962E70}"/>
    <hyperlink ref="K41" r:id="rId30" xr:uid="{3660D178-2496-DB44-B4CE-42D799FC0776}"/>
  </hyperlinks>
  <pageMargins left="0.7" right="0.7" top="0.75" bottom="0.75" header="0.3" footer="0.3"/>
  <tableParts count="19">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97699-441D-482D-B6D5-FC1C6EA7F3E6}">
  <dimension ref="A1:AC627"/>
  <sheetViews>
    <sheetView workbookViewId="0">
      <selection activeCell="F632" sqref="F632"/>
    </sheetView>
  </sheetViews>
  <sheetFormatPr baseColWidth="10" defaultRowHeight="15"/>
  <cols>
    <col min="1" max="1" width="17.83203125" bestFit="1" customWidth="1"/>
    <col min="2" max="2" width="20.83203125" bestFit="1" customWidth="1"/>
    <col min="3" max="3" width="35.6640625" hidden="1" customWidth="1"/>
    <col min="4" max="4" width="13.5" hidden="1" customWidth="1"/>
    <col min="5" max="5" width="10.6640625" bestFit="1" customWidth="1"/>
    <col min="6" max="6" width="69.1640625" bestFit="1" customWidth="1"/>
    <col min="7" max="7" width="59.1640625" hidden="1" customWidth="1"/>
    <col min="8" max="8" width="27.83203125" bestFit="1" customWidth="1"/>
    <col min="9" max="9" width="16.33203125" bestFit="1" customWidth="1"/>
    <col min="10" max="10" width="12.1640625" bestFit="1" customWidth="1"/>
    <col min="11" max="11" width="11.6640625" bestFit="1" customWidth="1"/>
    <col min="12" max="12" width="14" bestFit="1" customWidth="1"/>
    <col min="13" max="13" width="13.1640625" hidden="1" customWidth="1"/>
    <col min="14" max="14" width="13.1640625" customWidth="1"/>
    <col min="15" max="15" width="17.6640625" hidden="1" customWidth="1"/>
    <col min="16" max="16" width="9.83203125" hidden="1" customWidth="1"/>
    <col min="17" max="17" width="13.83203125" hidden="1" customWidth="1"/>
    <col min="18" max="18" width="14.5" hidden="1" customWidth="1"/>
    <col min="19" max="19" width="6.5" hidden="1" customWidth="1"/>
    <col min="20" max="20" width="13.6640625" hidden="1" customWidth="1"/>
    <col min="21" max="21" width="9.6640625" hidden="1" customWidth="1"/>
    <col min="22" max="22" width="27.6640625" hidden="1" customWidth="1"/>
    <col min="23" max="23" width="25.6640625" hidden="1" customWidth="1"/>
    <col min="24" max="24" width="35.1640625" hidden="1" customWidth="1"/>
    <col min="25" max="25" width="28.5" hidden="1" customWidth="1"/>
    <col min="26" max="26" width="15.33203125" hidden="1" customWidth="1"/>
    <col min="27" max="27" width="7.33203125" hidden="1" customWidth="1"/>
    <col min="28" max="28" width="34.83203125" hidden="1" customWidth="1"/>
    <col min="29" max="29" width="15.5" hidden="1" customWidth="1"/>
  </cols>
  <sheetData>
    <row r="1" spans="1:29">
      <c r="A1" t="s">
        <v>4934</v>
      </c>
      <c r="B1" t="s">
        <v>4935</v>
      </c>
      <c r="C1" t="s">
        <v>4936</v>
      </c>
      <c r="D1" t="s">
        <v>4937</v>
      </c>
      <c r="E1" t="s">
        <v>4938</v>
      </c>
      <c r="F1" t="s">
        <v>2681</v>
      </c>
      <c r="G1" t="s">
        <v>4939</v>
      </c>
      <c r="H1" t="s">
        <v>4940</v>
      </c>
      <c r="I1" t="s">
        <v>4941</v>
      </c>
      <c r="J1" t="s">
        <v>4942</v>
      </c>
      <c r="K1" t="s">
        <v>4943</v>
      </c>
      <c r="L1" t="s">
        <v>4944</v>
      </c>
      <c r="M1" t="s">
        <v>4945</v>
      </c>
      <c r="N1" t="s">
        <v>4947</v>
      </c>
      <c r="O1" t="s">
        <v>4946</v>
      </c>
      <c r="P1" t="s">
        <v>6005</v>
      </c>
      <c r="Q1" t="s">
        <v>4948</v>
      </c>
      <c r="R1" t="s">
        <v>4949</v>
      </c>
      <c r="S1" t="s">
        <v>4950</v>
      </c>
      <c r="T1" t="s">
        <v>4951</v>
      </c>
      <c r="U1" t="s">
        <v>4952</v>
      </c>
      <c r="V1" t="s">
        <v>2682</v>
      </c>
      <c r="W1" t="s">
        <v>4953</v>
      </c>
      <c r="X1" t="s">
        <v>4954</v>
      </c>
      <c r="Y1" t="s">
        <v>4955</v>
      </c>
      <c r="Z1" t="s">
        <v>4956</v>
      </c>
      <c r="AA1" t="s">
        <v>4957</v>
      </c>
      <c r="AB1" t="s">
        <v>4958</v>
      </c>
      <c r="AC1" t="s">
        <v>4959</v>
      </c>
    </row>
    <row r="2" spans="1:29" hidden="1">
      <c r="A2" s="10">
        <v>46081</v>
      </c>
      <c r="B2" s="10">
        <v>46081</v>
      </c>
      <c r="C2" t="s">
        <v>4960</v>
      </c>
      <c r="D2" t="s">
        <v>4961</v>
      </c>
      <c r="E2" t="s">
        <v>4962</v>
      </c>
      <c r="F2" t="s">
        <v>4963</v>
      </c>
      <c r="G2" t="s">
        <v>4964</v>
      </c>
      <c r="H2" t="s">
        <v>4672</v>
      </c>
      <c r="I2" t="s">
        <v>4672</v>
      </c>
      <c r="J2" t="s">
        <v>4672</v>
      </c>
      <c r="K2" t="s">
        <v>4672</v>
      </c>
      <c r="L2" t="s">
        <v>2697</v>
      </c>
      <c r="M2">
        <f>37896</f>
        <v>37896</v>
      </c>
      <c r="N2" s="641">
        <f>+transaction_statement_01_Jan_2026_28_Feb_2026[[#This Row],[Orig amount]]/100</f>
        <v>378.96</v>
      </c>
      <c r="O2" t="s">
        <v>2697</v>
      </c>
      <c r="P2">
        <v>37896</v>
      </c>
      <c r="Q2">
        <v>37896</v>
      </c>
      <c r="S2">
        <v>0</v>
      </c>
      <c r="T2" t="s">
        <v>2697</v>
      </c>
      <c r="U2">
        <v>146552</v>
      </c>
      <c r="V2" t="s">
        <v>4965</v>
      </c>
      <c r="X2" t="s">
        <v>4672</v>
      </c>
      <c r="Y2" t="s">
        <v>4672</v>
      </c>
      <c r="Z2" t="s">
        <v>4672</v>
      </c>
      <c r="AB2" t="s">
        <v>4672</v>
      </c>
      <c r="AC2" t="s">
        <v>4672</v>
      </c>
    </row>
    <row r="3" spans="1:29" hidden="1">
      <c r="A3" s="10">
        <v>46081</v>
      </c>
      <c r="B3" s="10">
        <v>46081</v>
      </c>
      <c r="C3" t="s">
        <v>4966</v>
      </c>
      <c r="D3" t="s">
        <v>4967</v>
      </c>
      <c r="E3" t="s">
        <v>4962</v>
      </c>
      <c r="F3" t="s">
        <v>4968</v>
      </c>
      <c r="G3" t="s">
        <v>4969</v>
      </c>
      <c r="H3" t="s">
        <v>4970</v>
      </c>
      <c r="I3" t="s">
        <v>4672</v>
      </c>
      <c r="J3" t="s">
        <v>4672</v>
      </c>
      <c r="K3" t="s">
        <v>4672</v>
      </c>
      <c r="L3" t="s">
        <v>2697</v>
      </c>
      <c r="M3">
        <v>180000</v>
      </c>
      <c r="N3" s="641">
        <f>+transaction_statement_01_Jan_2026_28_Feb_2026[[#This Row],[Orig amount]]/100</f>
        <v>1800</v>
      </c>
      <c r="O3" t="s">
        <v>2697</v>
      </c>
      <c r="P3">
        <v>-180000</v>
      </c>
      <c r="Q3">
        <v>-180000</v>
      </c>
      <c r="S3">
        <v>0</v>
      </c>
      <c r="T3" t="s">
        <v>2697</v>
      </c>
      <c r="U3">
        <v>108656</v>
      </c>
      <c r="V3" t="s">
        <v>4965</v>
      </c>
      <c r="X3" t="s">
        <v>4672</v>
      </c>
      <c r="Y3" t="s">
        <v>4971</v>
      </c>
      <c r="Z3" t="s">
        <v>4972</v>
      </c>
      <c r="AB3" t="s">
        <v>4672</v>
      </c>
      <c r="AC3" t="s">
        <v>4672</v>
      </c>
    </row>
    <row r="4" spans="1:29" hidden="1">
      <c r="A4" s="10">
        <v>46081</v>
      </c>
      <c r="B4" s="10">
        <v>46081</v>
      </c>
      <c r="C4" t="s">
        <v>4973</v>
      </c>
      <c r="D4" t="s">
        <v>4961</v>
      </c>
      <c r="E4" t="s">
        <v>4962</v>
      </c>
      <c r="F4" t="s">
        <v>4963</v>
      </c>
      <c r="G4" t="s">
        <v>4964</v>
      </c>
      <c r="H4" t="s">
        <v>4672</v>
      </c>
      <c r="I4" t="s">
        <v>4672</v>
      </c>
      <c r="J4" t="s">
        <v>4672</v>
      </c>
      <c r="K4" t="s">
        <v>4672</v>
      </c>
      <c r="L4" t="s">
        <v>2697</v>
      </c>
      <c r="M4">
        <v>94777</v>
      </c>
      <c r="N4" s="641">
        <f>+transaction_statement_01_Jan_2026_28_Feb_2026[[#This Row],[Orig amount]]/100</f>
        <v>947.77</v>
      </c>
      <c r="O4" t="s">
        <v>2697</v>
      </c>
      <c r="P4">
        <v>94777</v>
      </c>
      <c r="Q4">
        <v>94777</v>
      </c>
      <c r="S4">
        <v>0</v>
      </c>
      <c r="T4" t="s">
        <v>2697</v>
      </c>
      <c r="U4">
        <v>288656</v>
      </c>
      <c r="V4" t="s">
        <v>4965</v>
      </c>
      <c r="X4" t="s">
        <v>4672</v>
      </c>
      <c r="Y4" t="s">
        <v>4672</v>
      </c>
      <c r="Z4" t="s">
        <v>4672</v>
      </c>
      <c r="AB4" t="s">
        <v>4672</v>
      </c>
      <c r="AC4" t="s">
        <v>4672</v>
      </c>
    </row>
    <row r="5" spans="1:29" hidden="1">
      <c r="A5" s="10">
        <v>46081</v>
      </c>
      <c r="B5" s="10">
        <v>46081</v>
      </c>
      <c r="C5" t="s">
        <v>4974</v>
      </c>
      <c r="D5" t="s">
        <v>4961</v>
      </c>
      <c r="E5" t="s">
        <v>4962</v>
      </c>
      <c r="F5" t="s">
        <v>4963</v>
      </c>
      <c r="G5" t="s">
        <v>4964</v>
      </c>
      <c r="H5" t="s">
        <v>4672</v>
      </c>
      <c r="I5" t="s">
        <v>4672</v>
      </c>
      <c r="J5" t="s">
        <v>4672</v>
      </c>
      <c r="K5" t="s">
        <v>4672</v>
      </c>
      <c r="L5" t="s">
        <v>2697</v>
      </c>
      <c r="M5">
        <v>65663</v>
      </c>
      <c r="N5" s="641">
        <f>+transaction_statement_01_Jan_2026_28_Feb_2026[[#This Row],[Orig amount]]/100</f>
        <v>656.63</v>
      </c>
      <c r="O5" t="s">
        <v>2697</v>
      </c>
      <c r="P5">
        <v>65663</v>
      </c>
      <c r="Q5">
        <v>65663</v>
      </c>
      <c r="S5">
        <v>0</v>
      </c>
      <c r="T5" t="s">
        <v>2697</v>
      </c>
      <c r="U5">
        <v>193879</v>
      </c>
      <c r="V5" t="s">
        <v>4965</v>
      </c>
      <c r="X5" t="s">
        <v>4672</v>
      </c>
      <c r="Y5" t="s">
        <v>4672</v>
      </c>
      <c r="Z5" t="s">
        <v>4672</v>
      </c>
      <c r="AB5" t="s">
        <v>4672</v>
      </c>
      <c r="AC5" t="s">
        <v>4672</v>
      </c>
    </row>
    <row r="6" spans="1:29" hidden="1">
      <c r="A6" s="10">
        <v>46081</v>
      </c>
      <c r="B6" s="10">
        <v>46081</v>
      </c>
      <c r="C6" t="s">
        <v>4975</v>
      </c>
      <c r="D6" t="s">
        <v>4961</v>
      </c>
      <c r="E6" t="s">
        <v>4962</v>
      </c>
      <c r="F6" t="s">
        <v>4963</v>
      </c>
      <c r="G6" t="s">
        <v>4964</v>
      </c>
      <c r="H6" t="s">
        <v>4672</v>
      </c>
      <c r="I6" t="s">
        <v>4672</v>
      </c>
      <c r="J6" t="s">
        <v>4672</v>
      </c>
      <c r="K6" t="s">
        <v>4672</v>
      </c>
      <c r="L6" t="s">
        <v>2697</v>
      </c>
      <c r="M6">
        <v>93629</v>
      </c>
      <c r="N6" s="641">
        <f>+transaction_statement_01_Jan_2026_28_Feb_2026[[#This Row],[Orig amount]]/100</f>
        <v>936.29</v>
      </c>
      <c r="O6" t="s">
        <v>2697</v>
      </c>
      <c r="P6">
        <v>93629</v>
      </c>
      <c r="Q6">
        <v>93629</v>
      </c>
      <c r="S6">
        <v>0</v>
      </c>
      <c r="T6" t="s">
        <v>2697</v>
      </c>
      <c r="U6">
        <v>128216</v>
      </c>
      <c r="V6" t="s">
        <v>4965</v>
      </c>
      <c r="X6" t="s">
        <v>4672</v>
      </c>
      <c r="Y6" t="s">
        <v>4672</v>
      </c>
      <c r="Z6" t="s">
        <v>4672</v>
      </c>
      <c r="AB6" t="s">
        <v>4672</v>
      </c>
      <c r="AC6" t="s">
        <v>4672</v>
      </c>
    </row>
    <row r="7" spans="1:29" hidden="1">
      <c r="A7" s="10">
        <v>46081</v>
      </c>
      <c r="B7" s="10">
        <v>46081</v>
      </c>
      <c r="C7" t="s">
        <v>4976</v>
      </c>
      <c r="D7" t="s">
        <v>4977</v>
      </c>
      <c r="E7" t="s">
        <v>4962</v>
      </c>
      <c r="F7" t="s">
        <v>4978</v>
      </c>
      <c r="G7" t="s">
        <v>4672</v>
      </c>
      <c r="H7" t="s">
        <v>4970</v>
      </c>
      <c r="I7" t="s">
        <v>4979</v>
      </c>
      <c r="J7" t="s">
        <v>4980</v>
      </c>
      <c r="K7" t="s">
        <v>4981</v>
      </c>
      <c r="L7" t="s">
        <v>2548</v>
      </c>
      <c r="M7">
        <v>9900</v>
      </c>
      <c r="N7" s="641">
        <f>+transaction_statement_01_Jan_2026_28_Feb_2026[[#This Row],[Orig amount]]/100</f>
        <v>99</v>
      </c>
      <c r="O7" t="s">
        <v>2697</v>
      </c>
      <c r="P7">
        <v>-8392</v>
      </c>
      <c r="Q7">
        <v>-8476</v>
      </c>
      <c r="R7">
        <v>1179795</v>
      </c>
      <c r="S7">
        <v>-84</v>
      </c>
      <c r="T7" t="s">
        <v>2697</v>
      </c>
      <c r="U7">
        <v>34587</v>
      </c>
      <c r="V7" t="s">
        <v>4965</v>
      </c>
      <c r="X7" t="s">
        <v>4672</v>
      </c>
      <c r="Y7" t="s">
        <v>4672</v>
      </c>
      <c r="Z7" t="s">
        <v>4672</v>
      </c>
      <c r="AA7">
        <v>7399</v>
      </c>
      <c r="AB7" t="s">
        <v>4672</v>
      </c>
      <c r="AC7" t="s">
        <v>4672</v>
      </c>
    </row>
    <row r="8" spans="1:29" hidden="1">
      <c r="A8" s="10">
        <v>46079</v>
      </c>
      <c r="B8" s="10">
        <v>46081</v>
      </c>
      <c r="C8" t="s">
        <v>4982</v>
      </c>
      <c r="D8" t="s">
        <v>4977</v>
      </c>
      <c r="E8" t="s">
        <v>4962</v>
      </c>
      <c r="F8" t="s">
        <v>4983</v>
      </c>
      <c r="G8" t="s">
        <v>4672</v>
      </c>
      <c r="H8" t="s">
        <v>4970</v>
      </c>
      <c r="I8" t="s">
        <v>4984</v>
      </c>
      <c r="J8" t="s">
        <v>4985</v>
      </c>
      <c r="K8" t="s">
        <v>4981</v>
      </c>
      <c r="L8" t="s">
        <v>4986</v>
      </c>
      <c r="M8">
        <v>21000</v>
      </c>
      <c r="N8" s="641">
        <f>+transaction_statement_01_Jan_2026_28_Feb_2026[[#This Row],[Orig amount]]/100</f>
        <v>210</v>
      </c>
      <c r="O8" t="s">
        <v>2697</v>
      </c>
      <c r="P8">
        <v>-38</v>
      </c>
      <c r="Q8">
        <v>-38</v>
      </c>
      <c r="R8">
        <v>557364952</v>
      </c>
      <c r="S8">
        <v>0</v>
      </c>
      <c r="T8" t="s">
        <v>2697</v>
      </c>
      <c r="U8">
        <v>43063</v>
      </c>
      <c r="V8" t="s">
        <v>4965</v>
      </c>
      <c r="X8" t="s">
        <v>4672</v>
      </c>
      <c r="Y8" t="s">
        <v>4672</v>
      </c>
      <c r="Z8" t="s">
        <v>4672</v>
      </c>
      <c r="AA8">
        <v>4784</v>
      </c>
      <c r="AB8" t="s">
        <v>4672</v>
      </c>
      <c r="AC8" t="s">
        <v>4672</v>
      </c>
    </row>
    <row r="9" spans="1:29">
      <c r="A9" s="10">
        <v>46079</v>
      </c>
      <c r="B9" s="10">
        <v>46081</v>
      </c>
      <c r="C9" t="s">
        <v>4987</v>
      </c>
      <c r="D9" t="s">
        <v>4977</v>
      </c>
      <c r="E9" t="s">
        <v>4962</v>
      </c>
      <c r="F9" t="s">
        <v>4988</v>
      </c>
      <c r="G9" t="s">
        <v>4672</v>
      </c>
      <c r="H9" t="s">
        <v>2794</v>
      </c>
      <c r="I9" t="s">
        <v>4989</v>
      </c>
      <c r="J9" t="s">
        <v>4990</v>
      </c>
      <c r="K9" t="s">
        <v>4981</v>
      </c>
      <c r="L9" t="s">
        <v>2697</v>
      </c>
      <c r="M9">
        <v>1200</v>
      </c>
      <c r="N9" s="641">
        <f>+transaction_statement_01_Jan_2026_28_Feb_2026[[#This Row],[Orig amount]]/100</f>
        <v>12</v>
      </c>
      <c r="O9" t="s">
        <v>2697</v>
      </c>
      <c r="P9">
        <v>-1200</v>
      </c>
      <c r="Q9">
        <v>-1200</v>
      </c>
      <c r="S9">
        <v>0</v>
      </c>
      <c r="T9" t="s">
        <v>2697</v>
      </c>
      <c r="U9">
        <v>43101</v>
      </c>
      <c r="V9" t="s">
        <v>4965</v>
      </c>
      <c r="X9" t="s">
        <v>4672</v>
      </c>
      <c r="Y9" t="s">
        <v>4672</v>
      </c>
      <c r="Z9" t="s">
        <v>4672</v>
      </c>
      <c r="AA9">
        <v>7523</v>
      </c>
      <c r="AB9" t="s">
        <v>4672</v>
      </c>
      <c r="AC9" t="s">
        <v>4672</v>
      </c>
    </row>
    <row r="10" spans="1:29" hidden="1">
      <c r="A10" s="10">
        <v>46080</v>
      </c>
      <c r="B10" s="10">
        <v>46081</v>
      </c>
      <c r="C10" t="s">
        <v>4991</v>
      </c>
      <c r="D10" t="s">
        <v>4977</v>
      </c>
      <c r="E10" t="s">
        <v>4962</v>
      </c>
      <c r="F10" t="s">
        <v>4992</v>
      </c>
      <c r="G10" t="s">
        <v>4672</v>
      </c>
      <c r="H10" t="s">
        <v>4970</v>
      </c>
      <c r="I10" t="s">
        <v>4979</v>
      </c>
      <c r="J10" t="s">
        <v>4980</v>
      </c>
      <c r="K10" t="s">
        <v>4981</v>
      </c>
      <c r="L10" t="s">
        <v>2697</v>
      </c>
      <c r="M10">
        <v>9149</v>
      </c>
      <c r="N10" s="641">
        <f>+transaction_statement_01_Jan_2026_28_Feb_2026[[#This Row],[Orig amount]]/100</f>
        <v>91.49</v>
      </c>
      <c r="O10" t="s">
        <v>2697</v>
      </c>
      <c r="P10">
        <v>-9149</v>
      </c>
      <c r="Q10">
        <v>-9149</v>
      </c>
      <c r="S10">
        <v>0</v>
      </c>
      <c r="T10" t="s">
        <v>2697</v>
      </c>
      <c r="U10">
        <v>44301</v>
      </c>
      <c r="V10" t="s">
        <v>4965</v>
      </c>
      <c r="X10" t="s">
        <v>4672</v>
      </c>
      <c r="Y10" t="s">
        <v>4672</v>
      </c>
      <c r="Z10" t="s">
        <v>4672</v>
      </c>
      <c r="AA10">
        <v>4112</v>
      </c>
      <c r="AB10" t="s">
        <v>4672</v>
      </c>
      <c r="AC10" t="s">
        <v>4672</v>
      </c>
    </row>
    <row r="11" spans="1:29">
      <c r="A11" s="10">
        <v>46080</v>
      </c>
      <c r="B11" s="10">
        <v>46081</v>
      </c>
      <c r="C11" t="s">
        <v>4993</v>
      </c>
      <c r="D11" t="s">
        <v>4977</v>
      </c>
      <c r="E11" t="s">
        <v>4962</v>
      </c>
      <c r="F11" t="s">
        <v>4992</v>
      </c>
      <c r="G11" t="s">
        <v>4672</v>
      </c>
      <c r="H11" t="s">
        <v>4994</v>
      </c>
      <c r="I11" t="s">
        <v>4995</v>
      </c>
      <c r="J11" t="s">
        <v>4996</v>
      </c>
      <c r="K11" t="s">
        <v>4981</v>
      </c>
      <c r="L11" t="s">
        <v>2697</v>
      </c>
      <c r="M11">
        <v>7749</v>
      </c>
      <c r="N11" s="642">
        <f>+transaction_statement_01_Jan_2026_28_Feb_2026[[#This Row],[Orig amount]]/100</f>
        <v>77.489999999999995</v>
      </c>
      <c r="O11" t="s">
        <v>2697</v>
      </c>
      <c r="P11">
        <v>-7749</v>
      </c>
      <c r="Q11">
        <v>-7749</v>
      </c>
      <c r="S11">
        <v>0</v>
      </c>
      <c r="T11" t="s">
        <v>2697</v>
      </c>
      <c r="U11">
        <v>53450</v>
      </c>
      <c r="V11" t="s">
        <v>4965</v>
      </c>
      <c r="X11" t="s">
        <v>4672</v>
      </c>
      <c r="Y11" t="s">
        <v>4672</v>
      </c>
      <c r="Z11" t="s">
        <v>4672</v>
      </c>
      <c r="AA11">
        <v>4112</v>
      </c>
      <c r="AB11" t="s">
        <v>4672</v>
      </c>
      <c r="AC11" t="s">
        <v>4672</v>
      </c>
    </row>
    <row r="12" spans="1:29" hidden="1">
      <c r="A12" s="10">
        <v>46080</v>
      </c>
      <c r="B12" s="10">
        <v>46081</v>
      </c>
      <c r="C12" t="s">
        <v>4997</v>
      </c>
      <c r="D12" t="s">
        <v>4977</v>
      </c>
      <c r="E12" t="s">
        <v>4962</v>
      </c>
      <c r="F12" t="s">
        <v>4998</v>
      </c>
      <c r="G12" t="s">
        <v>4672</v>
      </c>
      <c r="H12" t="s">
        <v>4970</v>
      </c>
      <c r="I12" t="s">
        <v>4979</v>
      </c>
      <c r="J12" t="s">
        <v>4980</v>
      </c>
      <c r="K12" t="s">
        <v>4981</v>
      </c>
      <c r="L12" t="s">
        <v>2697</v>
      </c>
      <c r="M12">
        <v>36056</v>
      </c>
      <c r="N12" s="641">
        <f>+transaction_statement_01_Jan_2026_28_Feb_2026[[#This Row],[Orig amount]]/100</f>
        <v>360.56</v>
      </c>
      <c r="O12" t="s">
        <v>2697</v>
      </c>
      <c r="P12">
        <v>-36056</v>
      </c>
      <c r="Q12">
        <v>-36056</v>
      </c>
      <c r="S12">
        <v>0</v>
      </c>
      <c r="T12" t="s">
        <v>2697</v>
      </c>
      <c r="U12">
        <v>61199</v>
      </c>
      <c r="V12" t="s">
        <v>4965</v>
      </c>
      <c r="X12" t="s">
        <v>4672</v>
      </c>
      <c r="Y12" t="s">
        <v>4672</v>
      </c>
      <c r="Z12" t="s">
        <v>4672</v>
      </c>
      <c r="AA12">
        <v>4722</v>
      </c>
      <c r="AB12" t="s">
        <v>4672</v>
      </c>
      <c r="AC12" t="s">
        <v>4672</v>
      </c>
    </row>
    <row r="13" spans="1:29" hidden="1">
      <c r="A13" s="10">
        <v>46080</v>
      </c>
      <c r="B13" s="10">
        <v>46081</v>
      </c>
      <c r="C13" t="s">
        <v>4999</v>
      </c>
      <c r="D13" t="s">
        <v>4977</v>
      </c>
      <c r="E13" t="s">
        <v>4962</v>
      </c>
      <c r="F13" t="s">
        <v>5000</v>
      </c>
      <c r="G13" t="s">
        <v>4672</v>
      </c>
      <c r="H13" t="s">
        <v>4970</v>
      </c>
      <c r="I13" t="s">
        <v>4979</v>
      </c>
      <c r="J13" t="s">
        <v>4980</v>
      </c>
      <c r="K13" t="s">
        <v>4981</v>
      </c>
      <c r="L13" t="s">
        <v>2697</v>
      </c>
      <c r="M13">
        <v>5831</v>
      </c>
      <c r="N13" s="641">
        <f>+transaction_statement_01_Jan_2026_28_Feb_2026[[#This Row],[Orig amount]]/100</f>
        <v>58.31</v>
      </c>
      <c r="O13" t="s">
        <v>2697</v>
      </c>
      <c r="P13">
        <v>-5831</v>
      </c>
      <c r="Q13">
        <v>-5831</v>
      </c>
      <c r="S13">
        <v>0</v>
      </c>
      <c r="T13" t="s">
        <v>2697</v>
      </c>
      <c r="U13">
        <v>97255</v>
      </c>
      <c r="V13" t="s">
        <v>4965</v>
      </c>
      <c r="X13" t="s">
        <v>4672</v>
      </c>
      <c r="Y13" t="s">
        <v>4672</v>
      </c>
      <c r="Z13" t="s">
        <v>4672</v>
      </c>
      <c r="AA13">
        <v>7372</v>
      </c>
      <c r="AB13" t="s">
        <v>4672</v>
      </c>
      <c r="AC13" t="s">
        <v>4672</v>
      </c>
    </row>
    <row r="14" spans="1:29">
      <c r="A14" s="10">
        <v>46079</v>
      </c>
      <c r="B14" s="10">
        <v>46081</v>
      </c>
      <c r="C14" t="s">
        <v>5001</v>
      </c>
      <c r="D14" t="s">
        <v>4977</v>
      </c>
      <c r="E14" t="s">
        <v>4962</v>
      </c>
      <c r="F14" t="s">
        <v>5002</v>
      </c>
      <c r="G14" t="s">
        <v>4672</v>
      </c>
      <c r="H14" t="s">
        <v>2794</v>
      </c>
      <c r="I14" t="s">
        <v>4989</v>
      </c>
      <c r="J14" t="s">
        <v>4990</v>
      </c>
      <c r="K14" t="s">
        <v>4981</v>
      </c>
      <c r="L14" t="s">
        <v>2697</v>
      </c>
      <c r="M14">
        <v>3602</v>
      </c>
      <c r="N14" s="642">
        <f>+transaction_statement_01_Jan_2026_28_Feb_2026[[#This Row],[Orig amount]]/100</f>
        <v>36.020000000000003</v>
      </c>
      <c r="O14" t="s">
        <v>2697</v>
      </c>
      <c r="P14">
        <v>-3602</v>
      </c>
      <c r="Q14">
        <v>-3602</v>
      </c>
      <c r="S14">
        <v>0</v>
      </c>
      <c r="T14" t="s">
        <v>2697</v>
      </c>
      <c r="U14">
        <v>103086</v>
      </c>
      <c r="V14" t="s">
        <v>4965</v>
      </c>
      <c r="X14" t="s">
        <v>4672</v>
      </c>
      <c r="Y14" t="s">
        <v>4672</v>
      </c>
      <c r="Z14" t="s">
        <v>4672</v>
      </c>
      <c r="AA14">
        <v>5541</v>
      </c>
      <c r="AB14" t="s">
        <v>4672</v>
      </c>
      <c r="AC14" t="s">
        <v>4672</v>
      </c>
    </row>
    <row r="15" spans="1:29">
      <c r="A15" s="10">
        <v>46079</v>
      </c>
      <c r="B15" s="10">
        <v>46081</v>
      </c>
      <c r="C15" t="s">
        <v>5003</v>
      </c>
      <c r="D15" t="s">
        <v>4977</v>
      </c>
      <c r="E15" t="s">
        <v>4962</v>
      </c>
      <c r="F15" t="s">
        <v>5002</v>
      </c>
      <c r="G15" t="s">
        <v>4672</v>
      </c>
      <c r="H15" t="s">
        <v>2794</v>
      </c>
      <c r="I15" t="s">
        <v>4989</v>
      </c>
      <c r="J15" t="s">
        <v>4990</v>
      </c>
      <c r="K15" t="s">
        <v>4981</v>
      </c>
      <c r="L15" t="s">
        <v>2697</v>
      </c>
      <c r="M15">
        <v>1310</v>
      </c>
      <c r="N15" s="642">
        <f>+transaction_statement_01_Jan_2026_28_Feb_2026[[#This Row],[Orig amount]]/100</f>
        <v>13.1</v>
      </c>
      <c r="O15" t="s">
        <v>2697</v>
      </c>
      <c r="P15">
        <v>-1310</v>
      </c>
      <c r="Q15">
        <v>-1310</v>
      </c>
      <c r="S15">
        <v>0</v>
      </c>
      <c r="T15" t="s">
        <v>2697</v>
      </c>
      <c r="U15">
        <v>106688</v>
      </c>
      <c r="V15" t="s">
        <v>4965</v>
      </c>
      <c r="X15" t="s">
        <v>4672</v>
      </c>
      <c r="Y15" t="s">
        <v>4672</v>
      </c>
      <c r="Z15" t="s">
        <v>4672</v>
      </c>
      <c r="AA15">
        <v>5541</v>
      </c>
      <c r="AB15" t="s">
        <v>4672</v>
      </c>
      <c r="AC15" t="s">
        <v>4672</v>
      </c>
    </row>
    <row r="16" spans="1:29" hidden="1">
      <c r="A16" s="10">
        <v>46081</v>
      </c>
      <c r="B16" s="10">
        <v>46081</v>
      </c>
      <c r="C16" t="s">
        <v>5004</v>
      </c>
      <c r="D16" t="s">
        <v>4967</v>
      </c>
      <c r="E16" t="s">
        <v>4962</v>
      </c>
      <c r="F16" t="s">
        <v>5005</v>
      </c>
      <c r="G16" t="s">
        <v>5006</v>
      </c>
      <c r="H16" t="s">
        <v>4970</v>
      </c>
      <c r="I16" t="s">
        <v>4672</v>
      </c>
      <c r="J16" t="s">
        <v>4672</v>
      </c>
      <c r="K16" t="s">
        <v>4672</v>
      </c>
      <c r="L16" t="s">
        <v>2543</v>
      </c>
      <c r="M16">
        <v>1456000</v>
      </c>
      <c r="N16" s="641">
        <f>+transaction_statement_01_Jan_2026_28_Feb_2026[[#This Row],[Orig amount]]/100</f>
        <v>14560</v>
      </c>
      <c r="O16" t="s">
        <v>2697</v>
      </c>
      <c r="P16">
        <v>-141356</v>
      </c>
      <c r="Q16">
        <v>-142770</v>
      </c>
      <c r="R16">
        <v>1030028002</v>
      </c>
      <c r="S16">
        <v>-1414</v>
      </c>
      <c r="T16" t="s">
        <v>2697</v>
      </c>
      <c r="U16">
        <v>107998</v>
      </c>
      <c r="V16" t="s">
        <v>4965</v>
      </c>
      <c r="W16">
        <v>350283904</v>
      </c>
      <c r="X16" t="s">
        <v>4672</v>
      </c>
      <c r="Y16" t="s">
        <v>4672</v>
      </c>
      <c r="Z16" t="s">
        <v>5007</v>
      </c>
      <c r="AB16" t="s">
        <v>4672</v>
      </c>
      <c r="AC16" t="s">
        <v>4672</v>
      </c>
    </row>
    <row r="17" spans="1:29" hidden="1">
      <c r="A17" s="10">
        <v>46081</v>
      </c>
      <c r="B17" s="10">
        <v>46081</v>
      </c>
      <c r="C17" t="s">
        <v>5008</v>
      </c>
      <c r="D17" t="s">
        <v>4967</v>
      </c>
      <c r="E17" t="s">
        <v>4962</v>
      </c>
      <c r="F17" t="s">
        <v>5009</v>
      </c>
      <c r="G17" t="s">
        <v>5010</v>
      </c>
      <c r="H17" t="s">
        <v>4970</v>
      </c>
      <c r="I17" t="s">
        <v>4672</v>
      </c>
      <c r="J17" t="s">
        <v>4672</v>
      </c>
      <c r="K17" t="s">
        <v>4672</v>
      </c>
      <c r="L17" t="s">
        <v>2697</v>
      </c>
      <c r="M17">
        <v>270000</v>
      </c>
      <c r="N17" s="641">
        <f>+transaction_statement_01_Jan_2026_28_Feb_2026[[#This Row],[Orig amount]]/100</f>
        <v>2700</v>
      </c>
      <c r="O17" t="s">
        <v>2697</v>
      </c>
      <c r="P17">
        <v>-270000</v>
      </c>
      <c r="Q17">
        <v>-270000</v>
      </c>
      <c r="S17">
        <v>0</v>
      </c>
      <c r="T17" t="s">
        <v>2697</v>
      </c>
      <c r="U17">
        <v>250768</v>
      </c>
      <c r="V17" t="s">
        <v>4965</v>
      </c>
      <c r="X17" t="s">
        <v>4672</v>
      </c>
      <c r="Y17" t="s">
        <v>5011</v>
      </c>
      <c r="Z17" t="s">
        <v>5012</v>
      </c>
      <c r="AB17" t="s">
        <v>4672</v>
      </c>
      <c r="AC17" t="s">
        <v>4672</v>
      </c>
    </row>
    <row r="18" spans="1:29" hidden="1">
      <c r="A18" s="10">
        <v>46080</v>
      </c>
      <c r="B18" s="10">
        <v>46081</v>
      </c>
      <c r="C18" t="s">
        <v>5013</v>
      </c>
      <c r="D18" t="s">
        <v>4977</v>
      </c>
      <c r="E18" t="s">
        <v>4962</v>
      </c>
      <c r="F18" t="s">
        <v>5014</v>
      </c>
      <c r="G18" t="s">
        <v>4672</v>
      </c>
      <c r="H18" t="s">
        <v>4970</v>
      </c>
      <c r="I18" t="s">
        <v>4979</v>
      </c>
      <c r="J18" t="s">
        <v>4980</v>
      </c>
      <c r="K18" t="s">
        <v>4981</v>
      </c>
      <c r="L18" t="s">
        <v>2697</v>
      </c>
      <c r="M18">
        <v>75294</v>
      </c>
      <c r="N18" s="641">
        <f>+transaction_statement_01_Jan_2026_28_Feb_2026[[#This Row],[Orig amount]]/100</f>
        <v>752.94</v>
      </c>
      <c r="O18" t="s">
        <v>2697</v>
      </c>
      <c r="P18">
        <v>-75294</v>
      </c>
      <c r="Q18">
        <v>-75294</v>
      </c>
      <c r="S18">
        <v>0</v>
      </c>
      <c r="T18" t="s">
        <v>2697</v>
      </c>
      <c r="U18">
        <v>520768</v>
      </c>
      <c r="V18" t="s">
        <v>4965</v>
      </c>
      <c r="X18" t="s">
        <v>4672</v>
      </c>
      <c r="Y18" t="s">
        <v>4672</v>
      </c>
      <c r="Z18" t="s">
        <v>4672</v>
      </c>
      <c r="AA18">
        <v>7011</v>
      </c>
      <c r="AB18" t="s">
        <v>4672</v>
      </c>
      <c r="AC18" t="s">
        <v>4672</v>
      </c>
    </row>
    <row r="19" spans="1:29" hidden="1">
      <c r="A19" s="10">
        <v>46081</v>
      </c>
      <c r="B19" s="10">
        <v>46081</v>
      </c>
      <c r="C19" t="s">
        <v>5015</v>
      </c>
      <c r="D19" t="s">
        <v>4967</v>
      </c>
      <c r="E19" t="s">
        <v>4962</v>
      </c>
      <c r="F19" t="s">
        <v>5016</v>
      </c>
      <c r="G19" t="s">
        <v>5010</v>
      </c>
      <c r="H19" t="s">
        <v>4970</v>
      </c>
      <c r="I19" t="s">
        <v>4672</v>
      </c>
      <c r="J19" t="s">
        <v>4672</v>
      </c>
      <c r="K19" t="s">
        <v>4672</v>
      </c>
      <c r="L19" t="s">
        <v>2697</v>
      </c>
      <c r="M19">
        <v>50040</v>
      </c>
      <c r="N19" s="641">
        <f>+transaction_statement_01_Jan_2026_28_Feb_2026[[#This Row],[Orig amount]]/100</f>
        <v>500.4</v>
      </c>
      <c r="O19" t="s">
        <v>2697</v>
      </c>
      <c r="P19">
        <v>-50040</v>
      </c>
      <c r="Q19">
        <v>-50040</v>
      </c>
      <c r="S19">
        <v>0</v>
      </c>
      <c r="T19" t="s">
        <v>2697</v>
      </c>
      <c r="U19">
        <v>596062</v>
      </c>
      <c r="V19" t="s">
        <v>4965</v>
      </c>
      <c r="X19" t="s">
        <v>4672</v>
      </c>
      <c r="Y19" t="s">
        <v>5017</v>
      </c>
      <c r="Z19" t="s">
        <v>5018</v>
      </c>
      <c r="AB19" t="s">
        <v>4672</v>
      </c>
      <c r="AC19" t="s">
        <v>4672</v>
      </c>
    </row>
    <row r="20" spans="1:29" hidden="1">
      <c r="A20" s="10">
        <v>46081</v>
      </c>
      <c r="B20" s="10">
        <v>46081</v>
      </c>
      <c r="C20" t="s">
        <v>5019</v>
      </c>
      <c r="D20" t="s">
        <v>4967</v>
      </c>
      <c r="E20" t="s">
        <v>4962</v>
      </c>
      <c r="F20" t="s">
        <v>5020</v>
      </c>
      <c r="G20" t="s">
        <v>5021</v>
      </c>
      <c r="H20" t="s">
        <v>4970</v>
      </c>
      <c r="I20" t="s">
        <v>4672</v>
      </c>
      <c r="J20" t="s">
        <v>4672</v>
      </c>
      <c r="K20" t="s">
        <v>4672</v>
      </c>
      <c r="L20" t="s">
        <v>2697</v>
      </c>
      <c r="M20">
        <v>293652</v>
      </c>
      <c r="N20" s="641">
        <f>+transaction_statement_01_Jan_2026_28_Feb_2026[[#This Row],[Orig amount]]/100</f>
        <v>2936.52</v>
      </c>
      <c r="O20" t="s">
        <v>2697</v>
      </c>
      <c r="P20">
        <v>-293652</v>
      </c>
      <c r="Q20">
        <v>-293652</v>
      </c>
      <c r="S20">
        <v>0</v>
      </c>
      <c r="T20" t="s">
        <v>2697</v>
      </c>
      <c r="U20">
        <v>646102</v>
      </c>
      <c r="V20" t="s">
        <v>4965</v>
      </c>
      <c r="X20" t="s">
        <v>4672</v>
      </c>
      <c r="Y20" t="s">
        <v>5022</v>
      </c>
      <c r="Z20" t="s">
        <v>5023</v>
      </c>
      <c r="AB20" t="s">
        <v>4672</v>
      </c>
      <c r="AC20" t="s">
        <v>4672</v>
      </c>
    </row>
    <row r="21" spans="1:29" hidden="1">
      <c r="A21" s="10">
        <v>46081</v>
      </c>
      <c r="B21" s="10">
        <v>46081</v>
      </c>
      <c r="C21" t="s">
        <v>5024</v>
      </c>
      <c r="D21" t="s">
        <v>4961</v>
      </c>
      <c r="E21" t="s">
        <v>4962</v>
      </c>
      <c r="F21" t="s">
        <v>5025</v>
      </c>
      <c r="G21" t="s">
        <v>5026</v>
      </c>
      <c r="H21" t="s">
        <v>4672</v>
      </c>
      <c r="I21" t="s">
        <v>4672</v>
      </c>
      <c r="J21" t="s">
        <v>4672</v>
      </c>
      <c r="K21" t="s">
        <v>4672</v>
      </c>
      <c r="L21" t="s">
        <v>2697</v>
      </c>
      <c r="M21">
        <v>413624</v>
      </c>
      <c r="N21" s="641">
        <f>+transaction_statement_01_Jan_2026_28_Feb_2026[[#This Row],[Orig amount]]/100</f>
        <v>4136.24</v>
      </c>
      <c r="O21" t="s">
        <v>2697</v>
      </c>
      <c r="P21">
        <v>413624</v>
      </c>
      <c r="Q21">
        <v>413624</v>
      </c>
      <c r="S21">
        <v>0</v>
      </c>
      <c r="T21" t="s">
        <v>2697</v>
      </c>
      <c r="U21">
        <v>939754</v>
      </c>
      <c r="V21" t="s">
        <v>4965</v>
      </c>
      <c r="X21" t="s">
        <v>4672</v>
      </c>
      <c r="Y21" t="s">
        <v>4672</v>
      </c>
      <c r="Z21" t="s">
        <v>4672</v>
      </c>
      <c r="AB21" t="s">
        <v>4672</v>
      </c>
      <c r="AC21" t="s">
        <v>4672</v>
      </c>
    </row>
    <row r="22" spans="1:29" hidden="1">
      <c r="A22" s="10">
        <v>46080</v>
      </c>
      <c r="B22" s="10">
        <v>46080</v>
      </c>
      <c r="C22" t="s">
        <v>5027</v>
      </c>
      <c r="D22" t="s">
        <v>4967</v>
      </c>
      <c r="E22" t="s">
        <v>4962</v>
      </c>
      <c r="F22" t="s">
        <v>5028</v>
      </c>
      <c r="G22" t="s">
        <v>5029</v>
      </c>
      <c r="H22" t="s">
        <v>4970</v>
      </c>
      <c r="I22" t="s">
        <v>4672</v>
      </c>
      <c r="J22" t="s">
        <v>4672</v>
      </c>
      <c r="K22" t="s">
        <v>4672</v>
      </c>
      <c r="L22" t="s">
        <v>2697</v>
      </c>
      <c r="M22">
        <v>100000</v>
      </c>
      <c r="N22" s="641">
        <f>+transaction_statement_01_Jan_2026_28_Feb_2026[[#This Row],[Orig amount]]/100</f>
        <v>1000</v>
      </c>
      <c r="O22" t="s">
        <v>2697</v>
      </c>
      <c r="P22">
        <v>-100000</v>
      </c>
      <c r="Q22">
        <v>-100000</v>
      </c>
      <c r="S22">
        <v>0</v>
      </c>
      <c r="T22" t="s">
        <v>2697</v>
      </c>
      <c r="U22">
        <v>526130</v>
      </c>
      <c r="V22" t="s">
        <v>4965</v>
      </c>
      <c r="X22" t="s">
        <v>4672</v>
      </c>
      <c r="Y22" t="s">
        <v>5030</v>
      </c>
      <c r="Z22" t="s">
        <v>5031</v>
      </c>
      <c r="AB22" t="s">
        <v>4672</v>
      </c>
      <c r="AC22" t="s">
        <v>4672</v>
      </c>
    </row>
    <row r="23" spans="1:29" hidden="1">
      <c r="A23" s="10">
        <v>46080</v>
      </c>
      <c r="B23" s="10">
        <v>46080</v>
      </c>
      <c r="C23" t="s">
        <v>5032</v>
      </c>
      <c r="D23" t="s">
        <v>4961</v>
      </c>
      <c r="E23" t="s">
        <v>4962</v>
      </c>
      <c r="F23" t="s">
        <v>5025</v>
      </c>
      <c r="G23" t="s">
        <v>5026</v>
      </c>
      <c r="H23" t="s">
        <v>4672</v>
      </c>
      <c r="I23" t="s">
        <v>4672</v>
      </c>
      <c r="J23" t="s">
        <v>4672</v>
      </c>
      <c r="K23" t="s">
        <v>4672</v>
      </c>
      <c r="L23" t="s">
        <v>2697</v>
      </c>
      <c r="M23">
        <v>331114</v>
      </c>
      <c r="N23" s="641">
        <f>+transaction_statement_01_Jan_2026_28_Feb_2026[[#This Row],[Orig amount]]/100</f>
        <v>3311.14</v>
      </c>
      <c r="O23" t="s">
        <v>2697</v>
      </c>
      <c r="P23">
        <v>331114</v>
      </c>
      <c r="Q23">
        <v>331114</v>
      </c>
      <c r="S23">
        <v>0</v>
      </c>
      <c r="T23" t="s">
        <v>2697</v>
      </c>
      <c r="U23">
        <v>626130</v>
      </c>
      <c r="V23" t="s">
        <v>4965</v>
      </c>
      <c r="X23" t="s">
        <v>4672</v>
      </c>
      <c r="Y23" t="s">
        <v>4672</v>
      </c>
      <c r="Z23" t="s">
        <v>4672</v>
      </c>
      <c r="AB23" t="s">
        <v>4672</v>
      </c>
      <c r="AC23" t="s">
        <v>4672</v>
      </c>
    </row>
    <row r="24" spans="1:29" hidden="1">
      <c r="A24" s="10">
        <v>46080</v>
      </c>
      <c r="B24" s="10">
        <v>46080</v>
      </c>
      <c r="C24" t="s">
        <v>5033</v>
      </c>
      <c r="D24" t="s">
        <v>4961</v>
      </c>
      <c r="E24" t="s">
        <v>4962</v>
      </c>
      <c r="F24" t="s">
        <v>5025</v>
      </c>
      <c r="G24" t="s">
        <v>5026</v>
      </c>
      <c r="H24" t="s">
        <v>4672</v>
      </c>
      <c r="I24" t="s">
        <v>4672</v>
      </c>
      <c r="J24" t="s">
        <v>4672</v>
      </c>
      <c r="K24" t="s">
        <v>4672</v>
      </c>
      <c r="L24" t="s">
        <v>2697</v>
      </c>
      <c r="M24">
        <v>94777</v>
      </c>
      <c r="N24" s="641">
        <f>+transaction_statement_01_Jan_2026_28_Feb_2026[[#This Row],[Orig amount]]/100</f>
        <v>947.77</v>
      </c>
      <c r="O24" t="s">
        <v>2697</v>
      </c>
      <c r="P24">
        <v>94777</v>
      </c>
      <c r="Q24">
        <v>94777</v>
      </c>
      <c r="S24">
        <v>0</v>
      </c>
      <c r="T24" t="s">
        <v>2697</v>
      </c>
      <c r="U24">
        <v>295016</v>
      </c>
      <c r="V24" t="s">
        <v>4965</v>
      </c>
      <c r="X24" t="s">
        <v>4672</v>
      </c>
      <c r="Y24" t="s">
        <v>4672</v>
      </c>
      <c r="Z24" t="s">
        <v>4672</v>
      </c>
      <c r="AB24" t="s">
        <v>4672</v>
      </c>
      <c r="AC24" t="s">
        <v>4672</v>
      </c>
    </row>
    <row r="25" spans="1:29" hidden="1">
      <c r="A25" s="10">
        <v>46080</v>
      </c>
      <c r="B25" s="10">
        <v>46080</v>
      </c>
      <c r="C25" t="s">
        <v>5034</v>
      </c>
      <c r="D25" t="s">
        <v>4967</v>
      </c>
      <c r="E25" t="s">
        <v>4962</v>
      </c>
      <c r="F25" t="s">
        <v>5035</v>
      </c>
      <c r="G25" t="s">
        <v>5036</v>
      </c>
      <c r="H25" t="s">
        <v>4970</v>
      </c>
      <c r="I25" t="s">
        <v>4672</v>
      </c>
      <c r="J25" t="s">
        <v>4672</v>
      </c>
      <c r="K25" t="s">
        <v>4672</v>
      </c>
      <c r="L25" t="s">
        <v>2697</v>
      </c>
      <c r="M25">
        <v>166600</v>
      </c>
      <c r="N25" s="641">
        <f>+transaction_statement_01_Jan_2026_28_Feb_2026[[#This Row],[Orig amount]]/100</f>
        <v>1666</v>
      </c>
      <c r="O25" t="s">
        <v>2697</v>
      </c>
      <c r="P25">
        <v>-166600</v>
      </c>
      <c r="Q25">
        <v>-166600</v>
      </c>
      <c r="S25">
        <v>0</v>
      </c>
      <c r="T25" t="s">
        <v>2697</v>
      </c>
      <c r="U25">
        <v>200239</v>
      </c>
      <c r="V25" t="s">
        <v>4965</v>
      </c>
      <c r="X25" t="s">
        <v>4672</v>
      </c>
      <c r="Y25" t="s">
        <v>5037</v>
      </c>
      <c r="Z25" t="s">
        <v>5038</v>
      </c>
      <c r="AB25" t="s">
        <v>4672</v>
      </c>
      <c r="AC25" t="s">
        <v>4672</v>
      </c>
    </row>
    <row r="26" spans="1:29" hidden="1">
      <c r="A26" s="10">
        <v>46080</v>
      </c>
      <c r="B26" s="10">
        <v>46080</v>
      </c>
      <c r="C26" t="s">
        <v>5039</v>
      </c>
      <c r="D26" t="s">
        <v>4961</v>
      </c>
      <c r="E26" t="s">
        <v>4962</v>
      </c>
      <c r="F26" t="s">
        <v>5025</v>
      </c>
      <c r="G26" t="s">
        <v>5026</v>
      </c>
      <c r="H26" t="s">
        <v>4672</v>
      </c>
      <c r="I26" t="s">
        <v>4672</v>
      </c>
      <c r="J26" t="s">
        <v>4672</v>
      </c>
      <c r="K26" t="s">
        <v>4672</v>
      </c>
      <c r="L26" t="s">
        <v>2697</v>
      </c>
      <c r="M26">
        <v>266863</v>
      </c>
      <c r="N26" s="641">
        <f>+transaction_statement_01_Jan_2026_28_Feb_2026[[#This Row],[Orig amount]]/100</f>
        <v>2668.63</v>
      </c>
      <c r="O26" t="s">
        <v>2697</v>
      </c>
      <c r="P26">
        <v>266863</v>
      </c>
      <c r="Q26">
        <v>266863</v>
      </c>
      <c r="S26">
        <v>0</v>
      </c>
      <c r="T26" t="s">
        <v>2697</v>
      </c>
      <c r="U26">
        <v>366839</v>
      </c>
      <c r="V26" t="s">
        <v>4965</v>
      </c>
      <c r="X26" t="s">
        <v>4672</v>
      </c>
      <c r="Y26" t="s">
        <v>4672</v>
      </c>
      <c r="Z26" t="s">
        <v>4672</v>
      </c>
      <c r="AB26" t="s">
        <v>4672</v>
      </c>
      <c r="AC26" t="s">
        <v>4672</v>
      </c>
    </row>
    <row r="27" spans="1:29" hidden="1">
      <c r="A27" s="10">
        <v>46080</v>
      </c>
      <c r="B27" s="10">
        <v>46080</v>
      </c>
      <c r="C27" t="s">
        <v>5040</v>
      </c>
      <c r="D27" t="s">
        <v>4967</v>
      </c>
      <c r="E27" t="s">
        <v>4962</v>
      </c>
      <c r="F27" t="s">
        <v>5041</v>
      </c>
      <c r="G27" t="s">
        <v>5042</v>
      </c>
      <c r="H27" t="s">
        <v>4970</v>
      </c>
      <c r="I27" t="s">
        <v>4672</v>
      </c>
      <c r="J27" t="s">
        <v>4672</v>
      </c>
      <c r="K27" t="s">
        <v>4672</v>
      </c>
      <c r="L27" t="s">
        <v>2697</v>
      </c>
      <c r="M27">
        <v>250000</v>
      </c>
      <c r="N27" s="641">
        <f>+transaction_statement_01_Jan_2026_28_Feb_2026[[#This Row],[Orig amount]]/100</f>
        <v>2500</v>
      </c>
      <c r="O27" t="s">
        <v>2697</v>
      </c>
      <c r="P27">
        <v>-250000</v>
      </c>
      <c r="Q27">
        <v>-250000</v>
      </c>
      <c r="S27">
        <v>0</v>
      </c>
      <c r="T27" t="s">
        <v>2697</v>
      </c>
      <c r="U27">
        <v>99976</v>
      </c>
      <c r="V27" t="s">
        <v>4965</v>
      </c>
      <c r="X27" t="s">
        <v>4672</v>
      </c>
      <c r="Y27" t="s">
        <v>5043</v>
      </c>
      <c r="Z27" t="s">
        <v>5044</v>
      </c>
      <c r="AB27" t="s">
        <v>4672</v>
      </c>
      <c r="AC27" t="s">
        <v>4672</v>
      </c>
    </row>
    <row r="28" spans="1:29" hidden="1">
      <c r="A28" s="10">
        <v>46080</v>
      </c>
      <c r="B28" s="10">
        <v>46080</v>
      </c>
      <c r="C28" t="s">
        <v>5045</v>
      </c>
      <c r="D28" t="s">
        <v>4967</v>
      </c>
      <c r="E28" t="s">
        <v>4962</v>
      </c>
      <c r="F28" t="s">
        <v>5046</v>
      </c>
      <c r="G28" t="s">
        <v>4672</v>
      </c>
      <c r="H28" t="s">
        <v>4970</v>
      </c>
      <c r="I28" t="s">
        <v>4672</v>
      </c>
      <c r="J28" t="s">
        <v>4672</v>
      </c>
      <c r="K28" t="s">
        <v>4672</v>
      </c>
      <c r="L28" t="s">
        <v>2697</v>
      </c>
      <c r="M28">
        <v>35000</v>
      </c>
      <c r="N28" s="641">
        <f>+transaction_statement_01_Jan_2026_28_Feb_2026[[#This Row],[Orig amount]]/100</f>
        <v>350</v>
      </c>
      <c r="O28" t="s">
        <v>2697</v>
      </c>
      <c r="P28">
        <v>-35000</v>
      </c>
      <c r="Q28">
        <v>-35000</v>
      </c>
      <c r="S28">
        <v>0</v>
      </c>
      <c r="T28" t="s">
        <v>2697</v>
      </c>
      <c r="U28">
        <v>0</v>
      </c>
      <c r="V28" t="s">
        <v>5047</v>
      </c>
      <c r="X28" t="s">
        <v>4672</v>
      </c>
      <c r="Y28" t="s">
        <v>4672</v>
      </c>
      <c r="Z28" t="s">
        <v>4672</v>
      </c>
      <c r="AB28" t="s">
        <v>4672</v>
      </c>
      <c r="AC28" t="s">
        <v>4672</v>
      </c>
    </row>
    <row r="29" spans="1:29" hidden="1">
      <c r="A29" s="10">
        <v>46080</v>
      </c>
      <c r="B29" s="10">
        <v>46080</v>
      </c>
      <c r="C29" t="s">
        <v>5045</v>
      </c>
      <c r="D29" t="s">
        <v>4967</v>
      </c>
      <c r="E29" t="s">
        <v>4962</v>
      </c>
      <c r="F29" t="s">
        <v>5048</v>
      </c>
      <c r="G29" t="s">
        <v>4672</v>
      </c>
      <c r="H29" t="s">
        <v>4970</v>
      </c>
      <c r="I29" t="s">
        <v>4672</v>
      </c>
      <c r="J29" t="s">
        <v>4672</v>
      </c>
      <c r="K29" t="s">
        <v>4672</v>
      </c>
      <c r="L29" t="s">
        <v>2697</v>
      </c>
      <c r="M29">
        <v>-35000</v>
      </c>
      <c r="N29" s="641">
        <f>+transaction_statement_01_Jan_2026_28_Feb_2026[[#This Row],[Orig amount]]/100</f>
        <v>-350</v>
      </c>
      <c r="O29" t="s">
        <v>2697</v>
      </c>
      <c r="P29">
        <v>35000</v>
      </c>
      <c r="Q29">
        <v>35000</v>
      </c>
      <c r="S29">
        <v>0</v>
      </c>
      <c r="T29" t="s">
        <v>2697</v>
      </c>
      <c r="U29">
        <v>349976</v>
      </c>
      <c r="V29" t="s">
        <v>4965</v>
      </c>
      <c r="X29" t="s">
        <v>4672</v>
      </c>
      <c r="Y29" t="s">
        <v>4672</v>
      </c>
      <c r="Z29" t="s">
        <v>4672</v>
      </c>
      <c r="AB29" t="s">
        <v>4672</v>
      </c>
      <c r="AC29" t="s">
        <v>4672</v>
      </c>
    </row>
    <row r="30" spans="1:29" hidden="1">
      <c r="A30" s="10">
        <v>46080</v>
      </c>
      <c r="B30" s="10">
        <v>46080</v>
      </c>
      <c r="C30" t="s">
        <v>5049</v>
      </c>
      <c r="D30" t="s">
        <v>4961</v>
      </c>
      <c r="E30" t="s">
        <v>4962</v>
      </c>
      <c r="F30" t="s">
        <v>5050</v>
      </c>
      <c r="G30" t="s">
        <v>5051</v>
      </c>
      <c r="H30" t="s">
        <v>4672</v>
      </c>
      <c r="I30" t="s">
        <v>4672</v>
      </c>
      <c r="J30" t="s">
        <v>4672</v>
      </c>
      <c r="K30" t="s">
        <v>4672</v>
      </c>
      <c r="L30" t="s">
        <v>2697</v>
      </c>
      <c r="M30">
        <v>35000</v>
      </c>
      <c r="N30" s="641">
        <f>+transaction_statement_01_Jan_2026_28_Feb_2026[[#This Row],[Orig amount]]/100</f>
        <v>350</v>
      </c>
      <c r="O30" t="s">
        <v>2697</v>
      </c>
      <c r="P30">
        <v>35000</v>
      </c>
      <c r="Q30">
        <v>35000</v>
      </c>
      <c r="S30">
        <v>0</v>
      </c>
      <c r="T30" t="s">
        <v>2697</v>
      </c>
      <c r="U30">
        <v>35000</v>
      </c>
      <c r="V30" t="s">
        <v>5047</v>
      </c>
      <c r="X30" t="s">
        <v>4672</v>
      </c>
      <c r="Y30" t="s">
        <v>4672</v>
      </c>
      <c r="Z30" t="s">
        <v>4672</v>
      </c>
      <c r="AB30" t="s">
        <v>4672</v>
      </c>
      <c r="AC30" t="s">
        <v>4672</v>
      </c>
    </row>
    <row r="31" spans="1:29" hidden="1">
      <c r="A31" s="10">
        <v>46080</v>
      </c>
      <c r="B31" s="10">
        <v>46080</v>
      </c>
      <c r="C31" t="s">
        <v>5052</v>
      </c>
      <c r="D31" t="s">
        <v>4967</v>
      </c>
      <c r="E31" t="s">
        <v>4962</v>
      </c>
      <c r="F31" t="s">
        <v>5053</v>
      </c>
      <c r="G31" t="s">
        <v>5054</v>
      </c>
      <c r="H31" t="s">
        <v>4970</v>
      </c>
      <c r="I31" t="s">
        <v>4672</v>
      </c>
      <c r="J31" t="s">
        <v>4672</v>
      </c>
      <c r="K31" t="s">
        <v>4672</v>
      </c>
      <c r="L31" t="s">
        <v>2697</v>
      </c>
      <c r="M31">
        <v>1000000</v>
      </c>
      <c r="N31" s="641">
        <f>+transaction_statement_01_Jan_2026_28_Feb_2026[[#This Row],[Orig amount]]/100</f>
        <v>10000</v>
      </c>
      <c r="O31" t="s">
        <v>2697</v>
      </c>
      <c r="P31">
        <v>-1000000</v>
      </c>
      <c r="Q31">
        <v>-1000000</v>
      </c>
      <c r="S31">
        <v>0</v>
      </c>
      <c r="T31" t="s">
        <v>2697</v>
      </c>
      <c r="U31">
        <v>314976</v>
      </c>
      <c r="V31" t="s">
        <v>4965</v>
      </c>
      <c r="X31" t="s">
        <v>4672</v>
      </c>
      <c r="Y31" t="s">
        <v>5055</v>
      </c>
      <c r="Z31" t="s">
        <v>5056</v>
      </c>
      <c r="AB31" t="s">
        <v>4672</v>
      </c>
      <c r="AC31" t="s">
        <v>4672</v>
      </c>
    </row>
    <row r="32" spans="1:29" hidden="1">
      <c r="A32" s="10">
        <v>46080</v>
      </c>
      <c r="B32" s="10">
        <v>46080</v>
      </c>
      <c r="C32" t="s">
        <v>5057</v>
      </c>
      <c r="D32" t="s">
        <v>4967</v>
      </c>
      <c r="E32" t="s">
        <v>4962</v>
      </c>
      <c r="F32" t="s">
        <v>5058</v>
      </c>
      <c r="G32" t="s">
        <v>5059</v>
      </c>
      <c r="H32" t="s">
        <v>4970</v>
      </c>
      <c r="I32" t="s">
        <v>4672</v>
      </c>
      <c r="J32" t="s">
        <v>4672</v>
      </c>
      <c r="K32" t="s">
        <v>4672</v>
      </c>
      <c r="L32" t="s">
        <v>2697</v>
      </c>
      <c r="M32">
        <v>100000</v>
      </c>
      <c r="N32" s="641">
        <f>+transaction_statement_01_Jan_2026_28_Feb_2026[[#This Row],[Orig amount]]/100</f>
        <v>1000</v>
      </c>
      <c r="O32" t="s">
        <v>2697</v>
      </c>
      <c r="P32">
        <v>-100000</v>
      </c>
      <c r="Q32">
        <v>-100000</v>
      </c>
      <c r="S32">
        <v>0</v>
      </c>
      <c r="T32" t="s">
        <v>2697</v>
      </c>
      <c r="U32">
        <v>1314976</v>
      </c>
      <c r="V32" t="s">
        <v>4965</v>
      </c>
      <c r="X32" t="s">
        <v>4672</v>
      </c>
      <c r="Y32" t="s">
        <v>5060</v>
      </c>
      <c r="Z32" t="s">
        <v>5031</v>
      </c>
      <c r="AB32" t="s">
        <v>4672</v>
      </c>
      <c r="AC32" t="s">
        <v>4672</v>
      </c>
    </row>
    <row r="33" spans="1:29" hidden="1">
      <c r="A33" s="10">
        <v>46080</v>
      </c>
      <c r="B33" s="10">
        <v>46080</v>
      </c>
      <c r="C33" t="s">
        <v>5061</v>
      </c>
      <c r="D33" t="s">
        <v>4977</v>
      </c>
      <c r="E33" t="s">
        <v>4962</v>
      </c>
      <c r="F33" t="s">
        <v>5062</v>
      </c>
      <c r="G33" t="s">
        <v>4672</v>
      </c>
      <c r="H33" t="s">
        <v>4970</v>
      </c>
      <c r="I33" t="s">
        <v>4984</v>
      </c>
      <c r="J33" t="s">
        <v>4985</v>
      </c>
      <c r="K33" t="s">
        <v>4981</v>
      </c>
      <c r="L33" t="s">
        <v>2697</v>
      </c>
      <c r="M33">
        <v>3499</v>
      </c>
      <c r="N33" s="641">
        <f>+transaction_statement_01_Jan_2026_28_Feb_2026[[#This Row],[Orig amount]]/100</f>
        <v>34.99</v>
      </c>
      <c r="O33" t="s">
        <v>2697</v>
      </c>
      <c r="P33">
        <v>-3499</v>
      </c>
      <c r="Q33">
        <v>-3499</v>
      </c>
      <c r="S33">
        <v>0</v>
      </c>
      <c r="T33" t="s">
        <v>2697</v>
      </c>
      <c r="U33">
        <v>1414976</v>
      </c>
      <c r="V33" t="s">
        <v>4965</v>
      </c>
      <c r="X33" t="s">
        <v>4672</v>
      </c>
      <c r="Y33" t="s">
        <v>4672</v>
      </c>
      <c r="Z33" t="s">
        <v>4672</v>
      </c>
      <c r="AA33">
        <v>7399</v>
      </c>
      <c r="AB33" t="s">
        <v>4672</v>
      </c>
      <c r="AC33" t="s">
        <v>4672</v>
      </c>
    </row>
    <row r="34" spans="1:29" hidden="1">
      <c r="A34" s="10">
        <v>46080</v>
      </c>
      <c r="B34" s="10">
        <v>46080</v>
      </c>
      <c r="C34" t="s">
        <v>5063</v>
      </c>
      <c r="D34" t="s">
        <v>4961</v>
      </c>
      <c r="E34" t="s">
        <v>4962</v>
      </c>
      <c r="F34" t="s">
        <v>5064</v>
      </c>
      <c r="G34" t="s">
        <v>4672</v>
      </c>
      <c r="H34" t="s">
        <v>4672</v>
      </c>
      <c r="I34" t="s">
        <v>4672</v>
      </c>
      <c r="J34" t="s">
        <v>4672</v>
      </c>
      <c r="K34" t="s">
        <v>4672</v>
      </c>
      <c r="L34" t="s">
        <v>2697</v>
      </c>
      <c r="M34">
        <v>1350000</v>
      </c>
      <c r="N34" s="641">
        <f>+transaction_statement_01_Jan_2026_28_Feb_2026[[#This Row],[Orig amount]]/100</f>
        <v>13500</v>
      </c>
      <c r="O34" t="s">
        <v>2697</v>
      </c>
      <c r="P34">
        <v>1350000</v>
      </c>
      <c r="Q34">
        <v>1350000</v>
      </c>
      <c r="S34">
        <v>0</v>
      </c>
      <c r="T34" t="s">
        <v>2697</v>
      </c>
      <c r="U34">
        <v>1418475</v>
      </c>
      <c r="V34" t="s">
        <v>4965</v>
      </c>
      <c r="X34" t="s">
        <v>4672</v>
      </c>
      <c r="Y34" t="s">
        <v>4672</v>
      </c>
      <c r="Z34" t="s">
        <v>4672</v>
      </c>
      <c r="AB34" t="s">
        <v>4672</v>
      </c>
      <c r="AC34" t="s">
        <v>4672</v>
      </c>
    </row>
    <row r="35" spans="1:29" hidden="1">
      <c r="A35" s="10">
        <v>46079</v>
      </c>
      <c r="B35" s="10">
        <v>46080</v>
      </c>
      <c r="C35" t="s">
        <v>5065</v>
      </c>
      <c r="D35" t="s">
        <v>4977</v>
      </c>
      <c r="E35" t="s">
        <v>4962</v>
      </c>
      <c r="F35" t="s">
        <v>5066</v>
      </c>
      <c r="G35" t="s">
        <v>4672</v>
      </c>
      <c r="H35" t="s">
        <v>4970</v>
      </c>
      <c r="I35" t="s">
        <v>4984</v>
      </c>
      <c r="J35" t="s">
        <v>4985</v>
      </c>
      <c r="K35" t="s">
        <v>4981</v>
      </c>
      <c r="L35" t="s">
        <v>2697</v>
      </c>
      <c r="M35">
        <v>27499</v>
      </c>
      <c r="N35" s="641">
        <f>+transaction_statement_01_Jan_2026_28_Feb_2026[[#This Row],[Orig amount]]/100</f>
        <v>274.99</v>
      </c>
      <c r="O35" t="s">
        <v>2697</v>
      </c>
      <c r="P35">
        <v>-27499</v>
      </c>
      <c r="Q35">
        <v>-27499</v>
      </c>
      <c r="S35">
        <v>0</v>
      </c>
      <c r="T35" t="s">
        <v>2697</v>
      </c>
      <c r="U35">
        <v>68475</v>
      </c>
      <c r="V35" t="s">
        <v>4965</v>
      </c>
      <c r="X35" t="s">
        <v>4672</v>
      </c>
      <c r="Y35" t="s">
        <v>4672</v>
      </c>
      <c r="Z35" t="s">
        <v>4672</v>
      </c>
      <c r="AA35">
        <v>5818</v>
      </c>
      <c r="AB35" t="s">
        <v>4672</v>
      </c>
      <c r="AC35" t="s">
        <v>4672</v>
      </c>
    </row>
    <row r="36" spans="1:29" hidden="1">
      <c r="A36" s="10">
        <v>46080</v>
      </c>
      <c r="B36" s="10">
        <v>46080</v>
      </c>
      <c r="C36" t="s">
        <v>5067</v>
      </c>
      <c r="D36" t="s">
        <v>4977</v>
      </c>
      <c r="E36" t="s">
        <v>4962</v>
      </c>
      <c r="F36" t="s">
        <v>5066</v>
      </c>
      <c r="G36" t="s">
        <v>4672</v>
      </c>
      <c r="H36" t="s">
        <v>4970</v>
      </c>
      <c r="I36" t="s">
        <v>4984</v>
      </c>
      <c r="J36" t="s">
        <v>4985</v>
      </c>
      <c r="K36" t="s">
        <v>4981</v>
      </c>
      <c r="L36" t="s">
        <v>2697</v>
      </c>
      <c r="M36">
        <v>9999</v>
      </c>
      <c r="N36" s="641">
        <f>+transaction_statement_01_Jan_2026_28_Feb_2026[[#This Row],[Orig amount]]/100</f>
        <v>99.99</v>
      </c>
      <c r="O36" t="s">
        <v>2697</v>
      </c>
      <c r="P36">
        <v>-9999</v>
      </c>
      <c r="Q36">
        <v>-9999</v>
      </c>
      <c r="S36">
        <v>0</v>
      </c>
      <c r="T36" t="s">
        <v>2697</v>
      </c>
      <c r="U36">
        <v>95974</v>
      </c>
      <c r="V36" t="s">
        <v>4965</v>
      </c>
      <c r="X36" t="s">
        <v>4672</v>
      </c>
      <c r="Y36" t="s">
        <v>4672</v>
      </c>
      <c r="Z36" t="s">
        <v>4672</v>
      </c>
      <c r="AA36">
        <v>5818</v>
      </c>
      <c r="AB36" t="s">
        <v>4672</v>
      </c>
      <c r="AC36" t="s">
        <v>4672</v>
      </c>
    </row>
    <row r="37" spans="1:29">
      <c r="A37" s="10">
        <v>46079</v>
      </c>
      <c r="B37" s="10">
        <v>46080</v>
      </c>
      <c r="C37" t="s">
        <v>5068</v>
      </c>
      <c r="D37" t="s">
        <v>4977</v>
      </c>
      <c r="E37" t="s">
        <v>4962</v>
      </c>
      <c r="F37" t="s">
        <v>5069</v>
      </c>
      <c r="G37" t="s">
        <v>4672</v>
      </c>
      <c r="H37" t="s">
        <v>2794</v>
      </c>
      <c r="I37" t="s">
        <v>4989</v>
      </c>
      <c r="J37" t="s">
        <v>4990</v>
      </c>
      <c r="K37" t="s">
        <v>4981</v>
      </c>
      <c r="L37" t="s">
        <v>2697</v>
      </c>
      <c r="M37">
        <v>7400</v>
      </c>
      <c r="N37" s="642">
        <f>+transaction_statement_01_Jan_2026_28_Feb_2026[[#This Row],[Orig amount]]/100</f>
        <v>74</v>
      </c>
      <c r="O37" t="s">
        <v>2697</v>
      </c>
      <c r="P37">
        <v>-7400</v>
      </c>
      <c r="Q37">
        <v>-7400</v>
      </c>
      <c r="S37">
        <v>0</v>
      </c>
      <c r="T37" t="s">
        <v>2697</v>
      </c>
      <c r="U37">
        <v>105973</v>
      </c>
      <c r="V37" t="s">
        <v>4965</v>
      </c>
      <c r="X37" t="s">
        <v>4672</v>
      </c>
      <c r="Y37" t="s">
        <v>4672</v>
      </c>
      <c r="Z37" t="s">
        <v>4672</v>
      </c>
      <c r="AA37">
        <v>7512</v>
      </c>
      <c r="AB37" t="s">
        <v>4672</v>
      </c>
      <c r="AC37" t="s">
        <v>4672</v>
      </c>
    </row>
    <row r="38" spans="1:29">
      <c r="A38" s="10">
        <v>46079</v>
      </c>
      <c r="B38" s="10">
        <v>46080</v>
      </c>
      <c r="C38" t="s">
        <v>5070</v>
      </c>
      <c r="D38" t="s">
        <v>4977</v>
      </c>
      <c r="E38" t="s">
        <v>4962</v>
      </c>
      <c r="F38" t="s">
        <v>5071</v>
      </c>
      <c r="G38" t="s">
        <v>4672</v>
      </c>
      <c r="H38" t="s">
        <v>2794</v>
      </c>
      <c r="I38" t="s">
        <v>4989</v>
      </c>
      <c r="J38" t="s">
        <v>4990</v>
      </c>
      <c r="K38" t="s">
        <v>4981</v>
      </c>
      <c r="L38" t="s">
        <v>2697</v>
      </c>
      <c r="M38">
        <v>3839</v>
      </c>
      <c r="N38" s="642">
        <f>+transaction_statement_01_Jan_2026_28_Feb_2026[[#This Row],[Orig amount]]/100</f>
        <v>38.39</v>
      </c>
      <c r="O38" t="s">
        <v>2697</v>
      </c>
      <c r="P38">
        <v>-3839</v>
      </c>
      <c r="Q38">
        <v>-3839</v>
      </c>
      <c r="S38">
        <v>0</v>
      </c>
      <c r="T38" t="s">
        <v>2697</v>
      </c>
      <c r="U38">
        <v>113373</v>
      </c>
      <c r="V38" t="s">
        <v>4965</v>
      </c>
      <c r="X38" t="s">
        <v>4672</v>
      </c>
      <c r="Y38" t="s">
        <v>4672</v>
      </c>
      <c r="Z38" t="s">
        <v>4672</v>
      </c>
      <c r="AA38">
        <v>4214</v>
      </c>
      <c r="AB38" t="s">
        <v>4672</v>
      </c>
      <c r="AC38" t="s">
        <v>4672</v>
      </c>
    </row>
    <row r="39" spans="1:29">
      <c r="A39" s="10">
        <v>46079</v>
      </c>
      <c r="B39" s="10">
        <v>46080</v>
      </c>
      <c r="C39" t="s">
        <v>5072</v>
      </c>
      <c r="D39" t="s">
        <v>4977</v>
      </c>
      <c r="E39" t="s">
        <v>4962</v>
      </c>
      <c r="F39" t="s">
        <v>5073</v>
      </c>
      <c r="G39" t="s">
        <v>4672</v>
      </c>
      <c r="H39" t="s">
        <v>2794</v>
      </c>
      <c r="I39" t="s">
        <v>4989</v>
      </c>
      <c r="J39" t="s">
        <v>4990</v>
      </c>
      <c r="K39" t="s">
        <v>4981</v>
      </c>
      <c r="L39" t="s">
        <v>2697</v>
      </c>
      <c r="M39">
        <v>625</v>
      </c>
      <c r="N39" s="642">
        <f>+transaction_statement_01_Jan_2026_28_Feb_2026[[#This Row],[Orig amount]]/100</f>
        <v>6.25</v>
      </c>
      <c r="O39" t="s">
        <v>2697</v>
      </c>
      <c r="P39">
        <v>-625</v>
      </c>
      <c r="Q39">
        <v>-625</v>
      </c>
      <c r="S39">
        <v>0</v>
      </c>
      <c r="T39" t="s">
        <v>2697</v>
      </c>
      <c r="U39">
        <v>117212</v>
      </c>
      <c r="V39" t="s">
        <v>4965</v>
      </c>
      <c r="X39" t="s">
        <v>4672</v>
      </c>
      <c r="Y39" t="s">
        <v>4672</v>
      </c>
      <c r="Z39" t="s">
        <v>4672</v>
      </c>
      <c r="AA39">
        <v>4225</v>
      </c>
      <c r="AB39" t="s">
        <v>4672</v>
      </c>
      <c r="AC39" t="s">
        <v>4672</v>
      </c>
    </row>
    <row r="40" spans="1:29">
      <c r="A40" s="10">
        <v>46079</v>
      </c>
      <c r="B40" s="10">
        <v>46080</v>
      </c>
      <c r="C40" t="s">
        <v>5074</v>
      </c>
      <c r="D40" t="s">
        <v>4977</v>
      </c>
      <c r="E40" t="s">
        <v>4962</v>
      </c>
      <c r="F40" t="s">
        <v>5075</v>
      </c>
      <c r="G40" t="s">
        <v>4672</v>
      </c>
      <c r="H40" t="s">
        <v>2794</v>
      </c>
      <c r="I40" t="s">
        <v>4989</v>
      </c>
      <c r="J40" t="s">
        <v>4990</v>
      </c>
      <c r="K40" t="s">
        <v>4981</v>
      </c>
      <c r="L40" t="s">
        <v>2697</v>
      </c>
      <c r="M40">
        <v>800</v>
      </c>
      <c r="N40" s="642">
        <f>+transaction_statement_01_Jan_2026_28_Feb_2026[[#This Row],[Orig amount]]/100</f>
        <v>8</v>
      </c>
      <c r="O40" t="s">
        <v>2697</v>
      </c>
      <c r="P40">
        <v>-800</v>
      </c>
      <c r="Q40">
        <v>-800</v>
      </c>
      <c r="S40">
        <v>0</v>
      </c>
      <c r="T40" t="s">
        <v>2697</v>
      </c>
      <c r="U40">
        <v>117837</v>
      </c>
      <c r="V40" t="s">
        <v>4965</v>
      </c>
      <c r="X40" t="s">
        <v>4672</v>
      </c>
      <c r="Y40" t="s">
        <v>4672</v>
      </c>
      <c r="Z40" t="s">
        <v>4672</v>
      </c>
      <c r="AA40">
        <v>7523</v>
      </c>
      <c r="AB40" t="s">
        <v>4672</v>
      </c>
      <c r="AC40" t="s">
        <v>4672</v>
      </c>
    </row>
    <row r="41" spans="1:29" hidden="1">
      <c r="A41" s="10">
        <v>46079</v>
      </c>
      <c r="B41" s="10">
        <v>46080</v>
      </c>
      <c r="C41" t="s">
        <v>5076</v>
      </c>
      <c r="D41" t="s">
        <v>4977</v>
      </c>
      <c r="E41" t="s">
        <v>4962</v>
      </c>
      <c r="F41" t="s">
        <v>5077</v>
      </c>
      <c r="G41" t="s">
        <v>4672</v>
      </c>
      <c r="H41" t="s">
        <v>4970</v>
      </c>
      <c r="I41" t="s">
        <v>4984</v>
      </c>
      <c r="J41" t="s">
        <v>4985</v>
      </c>
      <c r="K41" t="s">
        <v>4981</v>
      </c>
      <c r="L41" t="s">
        <v>5078</v>
      </c>
      <c r="M41">
        <v>100</v>
      </c>
      <c r="N41" s="641">
        <f>+transaction_statement_01_Jan_2026_28_Feb_2026[[#This Row],[Orig amount]]/100</f>
        <v>1</v>
      </c>
      <c r="O41" t="s">
        <v>2697</v>
      </c>
      <c r="P41">
        <v>-115</v>
      </c>
      <c r="Q41">
        <v>-115</v>
      </c>
      <c r="R41">
        <v>872155</v>
      </c>
      <c r="S41">
        <v>0</v>
      </c>
      <c r="T41" t="s">
        <v>2697</v>
      </c>
      <c r="U41">
        <v>118637</v>
      </c>
      <c r="V41" t="s">
        <v>4965</v>
      </c>
      <c r="X41" t="s">
        <v>4672</v>
      </c>
      <c r="Y41" t="s">
        <v>4672</v>
      </c>
      <c r="Z41" t="s">
        <v>4672</v>
      </c>
      <c r="AA41">
        <v>5192</v>
      </c>
      <c r="AB41" t="s">
        <v>4672</v>
      </c>
      <c r="AC41" t="s">
        <v>4672</v>
      </c>
    </row>
    <row r="42" spans="1:29" hidden="1">
      <c r="A42" s="10">
        <v>46078</v>
      </c>
      <c r="B42" s="10">
        <v>46079</v>
      </c>
      <c r="C42" t="s">
        <v>5079</v>
      </c>
      <c r="D42" t="s">
        <v>4977</v>
      </c>
      <c r="E42" t="s">
        <v>4962</v>
      </c>
      <c r="F42" t="s">
        <v>5080</v>
      </c>
      <c r="G42" t="s">
        <v>4672</v>
      </c>
      <c r="H42" t="s">
        <v>4970</v>
      </c>
      <c r="I42" t="s">
        <v>4979</v>
      </c>
      <c r="J42" t="s">
        <v>4980</v>
      </c>
      <c r="K42" t="s">
        <v>4981</v>
      </c>
      <c r="L42" t="s">
        <v>2548</v>
      </c>
      <c r="M42">
        <v>23800</v>
      </c>
      <c r="N42" s="641">
        <f>+transaction_statement_01_Jan_2026_28_Feb_2026[[#This Row],[Orig amount]]/100</f>
        <v>238</v>
      </c>
      <c r="O42" t="s">
        <v>2697</v>
      </c>
      <c r="P42">
        <v>-20202</v>
      </c>
      <c r="Q42">
        <v>-20202</v>
      </c>
      <c r="R42">
        <v>1178111</v>
      </c>
      <c r="S42">
        <v>0</v>
      </c>
      <c r="T42" t="s">
        <v>2697</v>
      </c>
      <c r="U42">
        <v>118752</v>
      </c>
      <c r="V42" t="s">
        <v>4965</v>
      </c>
      <c r="X42" t="s">
        <v>4672</v>
      </c>
      <c r="Y42" t="s">
        <v>4672</v>
      </c>
      <c r="Z42" t="s">
        <v>4672</v>
      </c>
      <c r="AA42">
        <v>7372</v>
      </c>
      <c r="AB42" t="s">
        <v>4672</v>
      </c>
      <c r="AC42" t="s">
        <v>4672</v>
      </c>
    </row>
    <row r="43" spans="1:29">
      <c r="A43" s="10">
        <v>46077</v>
      </c>
      <c r="B43" s="10">
        <v>46079</v>
      </c>
      <c r="C43" t="s">
        <v>5081</v>
      </c>
      <c r="D43" t="s">
        <v>4977</v>
      </c>
      <c r="E43" t="s">
        <v>4962</v>
      </c>
      <c r="F43" t="s">
        <v>5082</v>
      </c>
      <c r="G43" t="s">
        <v>4672</v>
      </c>
      <c r="H43" t="s">
        <v>4994</v>
      </c>
      <c r="I43" t="s">
        <v>4995</v>
      </c>
      <c r="J43" t="s">
        <v>4996</v>
      </c>
      <c r="K43" t="s">
        <v>4981</v>
      </c>
      <c r="L43" t="s">
        <v>2548</v>
      </c>
      <c r="M43">
        <v>8000</v>
      </c>
      <c r="N43" s="642">
        <f>+transaction_statement_01_Jan_2026_28_Feb_2026[[#This Row],[Orig amount]]/100</f>
        <v>80</v>
      </c>
      <c r="O43" t="s">
        <v>2697</v>
      </c>
      <c r="P43">
        <v>-6798</v>
      </c>
      <c r="Q43">
        <v>-6798</v>
      </c>
      <c r="R43">
        <v>1176976</v>
      </c>
      <c r="S43">
        <v>0</v>
      </c>
      <c r="T43" t="s">
        <v>2697</v>
      </c>
      <c r="U43">
        <v>138954</v>
      </c>
      <c r="V43" t="s">
        <v>4965</v>
      </c>
      <c r="X43" t="s">
        <v>4672</v>
      </c>
      <c r="Y43" t="s">
        <v>4672</v>
      </c>
      <c r="Z43" t="s">
        <v>4672</v>
      </c>
      <c r="AA43">
        <v>7372</v>
      </c>
      <c r="AB43" t="s">
        <v>4672</v>
      </c>
      <c r="AC43" t="s">
        <v>4672</v>
      </c>
    </row>
    <row r="44" spans="1:29" hidden="1">
      <c r="A44" s="10">
        <v>46079</v>
      </c>
      <c r="B44" s="10">
        <v>46079</v>
      </c>
      <c r="C44" t="s">
        <v>5083</v>
      </c>
      <c r="D44" t="s">
        <v>4961</v>
      </c>
      <c r="E44" t="s">
        <v>4962</v>
      </c>
      <c r="F44" t="s">
        <v>5025</v>
      </c>
      <c r="G44" t="s">
        <v>5026</v>
      </c>
      <c r="H44" t="s">
        <v>4672</v>
      </c>
      <c r="I44" t="s">
        <v>4672</v>
      </c>
      <c r="J44" t="s">
        <v>4672</v>
      </c>
      <c r="K44" t="s">
        <v>4672</v>
      </c>
      <c r="L44" t="s">
        <v>2697</v>
      </c>
      <c r="M44">
        <v>94777</v>
      </c>
      <c r="N44" s="641">
        <f>+transaction_statement_01_Jan_2026_28_Feb_2026[[#This Row],[Orig amount]]/100</f>
        <v>947.77</v>
      </c>
      <c r="O44" t="s">
        <v>2697</v>
      </c>
      <c r="P44">
        <v>94777</v>
      </c>
      <c r="Q44">
        <v>94777</v>
      </c>
      <c r="S44">
        <v>0</v>
      </c>
      <c r="T44" t="s">
        <v>2697</v>
      </c>
      <c r="U44">
        <v>145752</v>
      </c>
      <c r="V44" t="s">
        <v>4965</v>
      </c>
      <c r="X44" t="s">
        <v>4672</v>
      </c>
      <c r="Y44" t="s">
        <v>4672</v>
      </c>
      <c r="Z44" t="s">
        <v>4672</v>
      </c>
      <c r="AB44" t="s">
        <v>4672</v>
      </c>
      <c r="AC44" t="s">
        <v>4672</v>
      </c>
    </row>
    <row r="45" spans="1:29" hidden="1">
      <c r="A45" s="10">
        <v>46079</v>
      </c>
      <c r="B45" s="10">
        <v>46079</v>
      </c>
      <c r="C45" t="s">
        <v>5084</v>
      </c>
      <c r="D45" t="s">
        <v>4967</v>
      </c>
      <c r="E45" t="s">
        <v>4962</v>
      </c>
      <c r="F45" t="s">
        <v>5053</v>
      </c>
      <c r="G45" t="s">
        <v>5054</v>
      </c>
      <c r="H45" t="s">
        <v>4970</v>
      </c>
      <c r="I45" t="s">
        <v>4672</v>
      </c>
      <c r="J45" t="s">
        <v>4672</v>
      </c>
      <c r="K45" t="s">
        <v>4672</v>
      </c>
      <c r="L45" t="s">
        <v>2697</v>
      </c>
      <c r="M45">
        <v>300000</v>
      </c>
      <c r="N45" s="641">
        <f>+transaction_statement_01_Jan_2026_28_Feb_2026[[#This Row],[Orig amount]]/100</f>
        <v>3000</v>
      </c>
      <c r="O45" t="s">
        <v>2697</v>
      </c>
      <c r="P45">
        <v>-300000</v>
      </c>
      <c r="Q45">
        <v>-300000</v>
      </c>
      <c r="S45">
        <v>0</v>
      </c>
      <c r="T45" t="s">
        <v>2697</v>
      </c>
      <c r="U45">
        <v>50975</v>
      </c>
      <c r="V45" t="s">
        <v>4965</v>
      </c>
      <c r="X45" t="s">
        <v>4672</v>
      </c>
      <c r="Y45" t="s">
        <v>5055</v>
      </c>
      <c r="Z45" t="s">
        <v>5056</v>
      </c>
      <c r="AB45" t="s">
        <v>4672</v>
      </c>
      <c r="AC45" t="s">
        <v>4672</v>
      </c>
    </row>
    <row r="46" spans="1:29" hidden="1">
      <c r="A46" s="10">
        <v>46079</v>
      </c>
      <c r="B46" s="10">
        <v>46079</v>
      </c>
      <c r="C46" t="s">
        <v>5085</v>
      </c>
      <c r="D46" t="s">
        <v>4961</v>
      </c>
      <c r="E46" t="s">
        <v>4962</v>
      </c>
      <c r="F46" t="s">
        <v>5025</v>
      </c>
      <c r="G46" t="s">
        <v>5026</v>
      </c>
      <c r="H46" t="s">
        <v>4672</v>
      </c>
      <c r="I46" t="s">
        <v>4672</v>
      </c>
      <c r="J46" t="s">
        <v>4672</v>
      </c>
      <c r="K46" t="s">
        <v>4672</v>
      </c>
      <c r="L46" t="s">
        <v>2697</v>
      </c>
      <c r="M46">
        <v>219394</v>
      </c>
      <c r="N46" s="641">
        <f>+transaction_statement_01_Jan_2026_28_Feb_2026[[#This Row],[Orig amount]]/100</f>
        <v>2193.94</v>
      </c>
      <c r="O46" t="s">
        <v>2697</v>
      </c>
      <c r="P46">
        <v>219394</v>
      </c>
      <c r="Q46">
        <v>219394</v>
      </c>
      <c r="S46">
        <v>0</v>
      </c>
      <c r="T46" t="s">
        <v>2697</v>
      </c>
      <c r="U46">
        <v>350975</v>
      </c>
      <c r="V46" t="s">
        <v>4965</v>
      </c>
      <c r="X46" t="s">
        <v>4672</v>
      </c>
      <c r="Y46" t="s">
        <v>4672</v>
      </c>
      <c r="Z46" t="s">
        <v>4672</v>
      </c>
      <c r="AB46" t="s">
        <v>4672</v>
      </c>
      <c r="AC46" t="s">
        <v>4672</v>
      </c>
    </row>
    <row r="47" spans="1:29">
      <c r="A47" s="10">
        <v>46078</v>
      </c>
      <c r="B47" s="10">
        <v>46079</v>
      </c>
      <c r="C47" t="s">
        <v>5086</v>
      </c>
      <c r="D47" t="s">
        <v>4977</v>
      </c>
      <c r="E47" t="s">
        <v>4962</v>
      </c>
      <c r="F47" t="s">
        <v>5087</v>
      </c>
      <c r="G47" t="s">
        <v>4672</v>
      </c>
      <c r="H47" t="s">
        <v>2794</v>
      </c>
      <c r="I47" t="s">
        <v>4989</v>
      </c>
      <c r="J47" t="s">
        <v>4990</v>
      </c>
      <c r="K47" t="s">
        <v>4981</v>
      </c>
      <c r="L47" t="s">
        <v>2697</v>
      </c>
      <c r="M47">
        <v>1680</v>
      </c>
      <c r="N47" s="641">
        <f>+transaction_statement_01_Jan_2026_28_Feb_2026[[#This Row],[Orig amount]]/100</f>
        <v>16.8</v>
      </c>
      <c r="O47" t="s">
        <v>2697</v>
      </c>
      <c r="P47">
        <v>-1680</v>
      </c>
      <c r="Q47">
        <v>-1680</v>
      </c>
      <c r="S47">
        <v>0</v>
      </c>
      <c r="T47" t="s">
        <v>2697</v>
      </c>
      <c r="U47">
        <v>131581</v>
      </c>
      <c r="V47" t="s">
        <v>4965</v>
      </c>
      <c r="X47" t="s">
        <v>4672</v>
      </c>
      <c r="Y47" t="s">
        <v>4672</v>
      </c>
      <c r="Z47" t="s">
        <v>4672</v>
      </c>
      <c r="AA47">
        <v>5211</v>
      </c>
      <c r="AB47" t="s">
        <v>4672</v>
      </c>
      <c r="AC47" t="s">
        <v>4672</v>
      </c>
    </row>
    <row r="48" spans="1:29">
      <c r="A48" s="10">
        <v>46078</v>
      </c>
      <c r="B48" s="10">
        <v>46079</v>
      </c>
      <c r="C48" t="s">
        <v>5088</v>
      </c>
      <c r="D48" t="s">
        <v>4977</v>
      </c>
      <c r="E48" t="s">
        <v>4962</v>
      </c>
      <c r="F48" t="s">
        <v>4992</v>
      </c>
      <c r="G48" t="s">
        <v>4672</v>
      </c>
      <c r="H48" t="s">
        <v>4994</v>
      </c>
      <c r="I48" t="s">
        <v>4995</v>
      </c>
      <c r="J48" t="s">
        <v>4996</v>
      </c>
      <c r="K48" t="s">
        <v>4981</v>
      </c>
      <c r="L48" t="s">
        <v>2697</v>
      </c>
      <c r="M48">
        <v>10249</v>
      </c>
      <c r="N48" s="642">
        <f>+transaction_statement_01_Jan_2026_28_Feb_2026[[#This Row],[Orig amount]]/100</f>
        <v>102.49</v>
      </c>
      <c r="O48" t="s">
        <v>2697</v>
      </c>
      <c r="P48">
        <v>-10249</v>
      </c>
      <c r="Q48">
        <v>-10249</v>
      </c>
      <c r="S48">
        <v>0</v>
      </c>
      <c r="T48" t="s">
        <v>2697</v>
      </c>
      <c r="U48">
        <v>133261</v>
      </c>
      <c r="V48" t="s">
        <v>4965</v>
      </c>
      <c r="X48" t="s">
        <v>4672</v>
      </c>
      <c r="Y48" t="s">
        <v>4672</v>
      </c>
      <c r="Z48" t="s">
        <v>4672</v>
      </c>
      <c r="AA48">
        <v>4112</v>
      </c>
      <c r="AB48" t="s">
        <v>4672</v>
      </c>
      <c r="AC48" t="s">
        <v>4672</v>
      </c>
    </row>
    <row r="49" spans="1:29">
      <c r="A49" s="10">
        <v>46078</v>
      </c>
      <c r="B49" s="10">
        <v>46079</v>
      </c>
      <c r="C49" t="s">
        <v>5089</v>
      </c>
      <c r="D49" t="s">
        <v>4977</v>
      </c>
      <c r="E49" t="s">
        <v>4962</v>
      </c>
      <c r="F49" t="s">
        <v>5090</v>
      </c>
      <c r="G49" t="s">
        <v>4672</v>
      </c>
      <c r="H49" t="s">
        <v>2794</v>
      </c>
      <c r="I49" t="s">
        <v>4989</v>
      </c>
      <c r="J49" t="s">
        <v>4990</v>
      </c>
      <c r="K49" t="s">
        <v>4981</v>
      </c>
      <c r="L49" t="s">
        <v>2697</v>
      </c>
      <c r="M49">
        <v>745</v>
      </c>
      <c r="N49" s="642">
        <f>+transaction_statement_01_Jan_2026_28_Feb_2026[[#This Row],[Orig amount]]/100</f>
        <v>7.45</v>
      </c>
      <c r="O49" t="s">
        <v>2697</v>
      </c>
      <c r="P49">
        <v>-745</v>
      </c>
      <c r="Q49">
        <v>-745</v>
      </c>
      <c r="S49">
        <v>0</v>
      </c>
      <c r="T49" t="s">
        <v>2697</v>
      </c>
      <c r="U49">
        <v>143510</v>
      </c>
      <c r="V49" t="s">
        <v>4965</v>
      </c>
      <c r="X49" t="s">
        <v>4672</v>
      </c>
      <c r="Y49" t="s">
        <v>4672</v>
      </c>
      <c r="Z49" t="s">
        <v>4672</v>
      </c>
      <c r="AA49">
        <v>4215</v>
      </c>
      <c r="AB49" t="s">
        <v>4672</v>
      </c>
      <c r="AC49" t="s">
        <v>4672</v>
      </c>
    </row>
    <row r="50" spans="1:29" hidden="1">
      <c r="A50" s="10">
        <v>46079</v>
      </c>
      <c r="B50" s="10">
        <v>46079</v>
      </c>
      <c r="C50" t="s">
        <v>5091</v>
      </c>
      <c r="D50" t="s">
        <v>4967</v>
      </c>
      <c r="E50" t="s">
        <v>4962</v>
      </c>
      <c r="F50" t="s">
        <v>5092</v>
      </c>
      <c r="G50" t="s">
        <v>5093</v>
      </c>
      <c r="H50" t="s">
        <v>4672</v>
      </c>
      <c r="I50" t="s">
        <v>4672</v>
      </c>
      <c r="J50" t="s">
        <v>4672</v>
      </c>
      <c r="K50" t="s">
        <v>4672</v>
      </c>
      <c r="L50" t="s">
        <v>2697</v>
      </c>
      <c r="M50">
        <v>291134</v>
      </c>
      <c r="N50" s="641">
        <f>+transaction_statement_01_Jan_2026_28_Feb_2026[[#This Row],[Orig amount]]/100</f>
        <v>2911.34</v>
      </c>
      <c r="O50" t="s">
        <v>2697</v>
      </c>
      <c r="P50">
        <v>-291134</v>
      </c>
      <c r="Q50">
        <v>-291134</v>
      </c>
      <c r="S50">
        <v>0</v>
      </c>
      <c r="T50" t="s">
        <v>2697</v>
      </c>
      <c r="U50">
        <v>144255</v>
      </c>
      <c r="V50" t="s">
        <v>4965</v>
      </c>
      <c r="X50" t="s">
        <v>4672</v>
      </c>
      <c r="Y50" t="s">
        <v>5094</v>
      </c>
      <c r="Z50" t="s">
        <v>5095</v>
      </c>
      <c r="AB50" t="s">
        <v>4672</v>
      </c>
      <c r="AC50" t="s">
        <v>4672</v>
      </c>
    </row>
    <row r="51" spans="1:29" hidden="1">
      <c r="A51" s="10">
        <v>46078</v>
      </c>
      <c r="B51" s="10">
        <v>46078</v>
      </c>
      <c r="C51" t="s">
        <v>5096</v>
      </c>
      <c r="D51" t="s">
        <v>4961</v>
      </c>
      <c r="E51" t="s">
        <v>4962</v>
      </c>
      <c r="F51" t="s">
        <v>5025</v>
      </c>
      <c r="G51" t="s">
        <v>5026</v>
      </c>
      <c r="H51" t="s">
        <v>4672</v>
      </c>
      <c r="I51" t="s">
        <v>4672</v>
      </c>
      <c r="J51" t="s">
        <v>4672</v>
      </c>
      <c r="K51" t="s">
        <v>4672</v>
      </c>
      <c r="L51" t="s">
        <v>2697</v>
      </c>
      <c r="M51">
        <v>102024</v>
      </c>
      <c r="N51" s="641">
        <f>+transaction_statement_01_Jan_2026_28_Feb_2026[[#This Row],[Orig amount]]/100</f>
        <v>1020.24</v>
      </c>
      <c r="O51" t="s">
        <v>2697</v>
      </c>
      <c r="P51">
        <v>102024</v>
      </c>
      <c r="Q51">
        <v>102024</v>
      </c>
      <c r="S51">
        <v>0</v>
      </c>
      <c r="T51" t="s">
        <v>2697</v>
      </c>
      <c r="U51">
        <v>435389</v>
      </c>
      <c r="V51" t="s">
        <v>4965</v>
      </c>
      <c r="X51" t="s">
        <v>4672</v>
      </c>
      <c r="Y51" t="s">
        <v>4672</v>
      </c>
      <c r="Z51" t="s">
        <v>4672</v>
      </c>
      <c r="AB51" t="s">
        <v>4672</v>
      </c>
      <c r="AC51" t="s">
        <v>4672</v>
      </c>
    </row>
    <row r="52" spans="1:29" hidden="1">
      <c r="A52" s="10">
        <v>46078</v>
      </c>
      <c r="B52" s="10">
        <v>46078</v>
      </c>
      <c r="C52" t="s">
        <v>5097</v>
      </c>
      <c r="D52" t="s">
        <v>4967</v>
      </c>
      <c r="E52" t="s">
        <v>4962</v>
      </c>
      <c r="F52" t="s">
        <v>5053</v>
      </c>
      <c r="G52" t="s">
        <v>5054</v>
      </c>
      <c r="H52" t="s">
        <v>4970</v>
      </c>
      <c r="I52" t="s">
        <v>4672</v>
      </c>
      <c r="J52" t="s">
        <v>4672</v>
      </c>
      <c r="K52" t="s">
        <v>4672</v>
      </c>
      <c r="L52" t="s">
        <v>2697</v>
      </c>
      <c r="M52">
        <v>390000</v>
      </c>
      <c r="N52" s="641">
        <f>+transaction_statement_01_Jan_2026_28_Feb_2026[[#This Row],[Orig amount]]/100</f>
        <v>3900</v>
      </c>
      <c r="O52" t="s">
        <v>2697</v>
      </c>
      <c r="P52">
        <v>-390000</v>
      </c>
      <c r="Q52">
        <v>-390000</v>
      </c>
      <c r="S52">
        <v>0</v>
      </c>
      <c r="T52" t="s">
        <v>2697</v>
      </c>
      <c r="U52">
        <v>333365</v>
      </c>
      <c r="V52" t="s">
        <v>4965</v>
      </c>
      <c r="X52" t="s">
        <v>4672</v>
      </c>
      <c r="Y52" t="s">
        <v>5055</v>
      </c>
      <c r="Z52" t="s">
        <v>5056</v>
      </c>
      <c r="AB52" t="s">
        <v>4672</v>
      </c>
      <c r="AC52" t="s">
        <v>4672</v>
      </c>
    </row>
    <row r="53" spans="1:29" hidden="1">
      <c r="A53" s="10">
        <v>46078</v>
      </c>
      <c r="B53" s="10">
        <v>46078</v>
      </c>
      <c r="C53" t="s">
        <v>5098</v>
      </c>
      <c r="D53" t="s">
        <v>4961</v>
      </c>
      <c r="E53" t="s">
        <v>4962</v>
      </c>
      <c r="F53" t="s">
        <v>4963</v>
      </c>
      <c r="G53" t="s">
        <v>4964</v>
      </c>
      <c r="H53" t="s">
        <v>4672</v>
      </c>
      <c r="I53" t="s">
        <v>4672</v>
      </c>
      <c r="J53" t="s">
        <v>4672</v>
      </c>
      <c r="K53" t="s">
        <v>4672</v>
      </c>
      <c r="L53" t="s">
        <v>2697</v>
      </c>
      <c r="M53">
        <v>554466</v>
      </c>
      <c r="N53" s="641">
        <f>+transaction_statement_01_Jan_2026_28_Feb_2026[[#This Row],[Orig amount]]/100</f>
        <v>5544.66</v>
      </c>
      <c r="O53" t="s">
        <v>2697</v>
      </c>
      <c r="P53">
        <v>554466</v>
      </c>
      <c r="Q53">
        <v>554466</v>
      </c>
      <c r="S53">
        <v>0</v>
      </c>
      <c r="T53" t="s">
        <v>2697</v>
      </c>
      <c r="U53">
        <v>723365</v>
      </c>
      <c r="V53" t="s">
        <v>4965</v>
      </c>
      <c r="X53" t="s">
        <v>4672</v>
      </c>
      <c r="Y53" t="s">
        <v>4672</v>
      </c>
      <c r="Z53" t="s">
        <v>4672</v>
      </c>
      <c r="AB53" t="s">
        <v>4672</v>
      </c>
      <c r="AC53" t="s">
        <v>4672</v>
      </c>
    </row>
    <row r="54" spans="1:29">
      <c r="A54" s="10">
        <v>46077</v>
      </c>
      <c r="B54" s="10">
        <v>46078</v>
      </c>
      <c r="C54" t="s">
        <v>5099</v>
      </c>
      <c r="D54" t="s">
        <v>4977</v>
      </c>
      <c r="E54" t="s">
        <v>4962</v>
      </c>
      <c r="F54" t="s">
        <v>5073</v>
      </c>
      <c r="G54" t="s">
        <v>4672</v>
      </c>
      <c r="H54" t="s">
        <v>2794</v>
      </c>
      <c r="I54" t="s">
        <v>4989</v>
      </c>
      <c r="J54" t="s">
        <v>4990</v>
      </c>
      <c r="K54" t="s">
        <v>4981</v>
      </c>
      <c r="L54" t="s">
        <v>2697</v>
      </c>
      <c r="M54">
        <v>42941</v>
      </c>
      <c r="N54" s="642">
        <f>+transaction_statement_01_Jan_2026_28_Feb_2026[[#This Row],[Orig amount]]/100</f>
        <v>429.41</v>
      </c>
      <c r="O54" t="s">
        <v>2697</v>
      </c>
      <c r="P54">
        <v>-42941</v>
      </c>
      <c r="Q54">
        <v>-42941</v>
      </c>
      <c r="S54">
        <v>0</v>
      </c>
      <c r="T54" t="s">
        <v>2697</v>
      </c>
      <c r="U54">
        <v>168899</v>
      </c>
      <c r="V54" t="s">
        <v>4965</v>
      </c>
      <c r="X54" t="s">
        <v>4672</v>
      </c>
      <c r="Y54" t="s">
        <v>4672</v>
      </c>
      <c r="Z54" t="s">
        <v>4672</v>
      </c>
      <c r="AA54">
        <v>4225</v>
      </c>
      <c r="AB54" t="s">
        <v>4672</v>
      </c>
      <c r="AC54" t="s">
        <v>4672</v>
      </c>
    </row>
    <row r="55" spans="1:29" hidden="1">
      <c r="A55" s="10">
        <v>46077</v>
      </c>
      <c r="B55" s="10">
        <v>46078</v>
      </c>
      <c r="C55" t="s">
        <v>5100</v>
      </c>
      <c r="D55" t="s">
        <v>4977</v>
      </c>
      <c r="E55" t="s">
        <v>4962</v>
      </c>
      <c r="F55" t="s">
        <v>5101</v>
      </c>
      <c r="G55" t="s">
        <v>4672</v>
      </c>
      <c r="H55" t="s">
        <v>4970</v>
      </c>
      <c r="I55" t="s">
        <v>4979</v>
      </c>
      <c r="J55" t="s">
        <v>4980</v>
      </c>
      <c r="K55" t="s">
        <v>4981</v>
      </c>
      <c r="L55" t="s">
        <v>2697</v>
      </c>
      <c r="M55">
        <v>1000</v>
      </c>
      <c r="N55" s="641">
        <f>+transaction_statement_01_Jan_2026_28_Feb_2026[[#This Row],[Orig amount]]/100</f>
        <v>10</v>
      </c>
      <c r="O55" t="s">
        <v>2697</v>
      </c>
      <c r="P55">
        <v>-1000</v>
      </c>
      <c r="Q55">
        <v>-1000</v>
      </c>
      <c r="S55">
        <v>0</v>
      </c>
      <c r="T55" t="s">
        <v>2697</v>
      </c>
      <c r="U55">
        <v>211840</v>
      </c>
      <c r="V55" t="s">
        <v>4965</v>
      </c>
      <c r="X55" t="s">
        <v>4672</v>
      </c>
      <c r="Y55" t="s">
        <v>4672</v>
      </c>
      <c r="Z55" t="s">
        <v>4672</v>
      </c>
      <c r="AA55">
        <v>7997</v>
      </c>
      <c r="AB55" t="s">
        <v>4672</v>
      </c>
      <c r="AC55" t="s">
        <v>4672</v>
      </c>
    </row>
    <row r="56" spans="1:29" hidden="1">
      <c r="A56" s="10">
        <v>46077</v>
      </c>
      <c r="B56" s="10">
        <v>46078</v>
      </c>
      <c r="C56" t="s">
        <v>5102</v>
      </c>
      <c r="D56" t="s">
        <v>4977</v>
      </c>
      <c r="E56" t="s">
        <v>4962</v>
      </c>
      <c r="F56" t="s">
        <v>5103</v>
      </c>
      <c r="G56" t="s">
        <v>4672</v>
      </c>
      <c r="H56" t="s">
        <v>4970</v>
      </c>
      <c r="I56" t="s">
        <v>4979</v>
      </c>
      <c r="J56" t="s">
        <v>4980</v>
      </c>
      <c r="K56" t="s">
        <v>4981</v>
      </c>
      <c r="L56" t="s">
        <v>2697</v>
      </c>
      <c r="M56">
        <v>990</v>
      </c>
      <c r="N56" s="641">
        <f>+transaction_statement_01_Jan_2026_28_Feb_2026[[#This Row],[Orig amount]]/100</f>
        <v>9.9</v>
      </c>
      <c r="O56" t="s">
        <v>2697</v>
      </c>
      <c r="P56">
        <v>-990</v>
      </c>
      <c r="Q56">
        <v>-990</v>
      </c>
      <c r="S56">
        <v>0</v>
      </c>
      <c r="T56" t="s">
        <v>2697</v>
      </c>
      <c r="U56">
        <v>212840</v>
      </c>
      <c r="V56" t="s">
        <v>4965</v>
      </c>
      <c r="X56" t="s">
        <v>4672</v>
      </c>
      <c r="Y56" t="s">
        <v>4672</v>
      </c>
      <c r="Z56" t="s">
        <v>4672</v>
      </c>
      <c r="AA56">
        <v>5499</v>
      </c>
      <c r="AB56" t="s">
        <v>4672</v>
      </c>
      <c r="AC56" t="s">
        <v>4672</v>
      </c>
    </row>
    <row r="57" spans="1:29" hidden="1">
      <c r="A57" s="10">
        <v>46078</v>
      </c>
      <c r="B57" s="10">
        <v>46078</v>
      </c>
      <c r="C57" t="s">
        <v>5104</v>
      </c>
      <c r="D57" t="s">
        <v>4961</v>
      </c>
      <c r="E57" t="s">
        <v>4962</v>
      </c>
      <c r="F57" t="s">
        <v>5105</v>
      </c>
      <c r="G57" t="s">
        <v>4672</v>
      </c>
      <c r="H57" t="s">
        <v>4672</v>
      </c>
      <c r="I57" t="s">
        <v>4672</v>
      </c>
      <c r="J57" t="s">
        <v>4672</v>
      </c>
      <c r="K57" t="s">
        <v>4672</v>
      </c>
      <c r="L57" t="s">
        <v>2697</v>
      </c>
      <c r="M57">
        <v>64801</v>
      </c>
      <c r="N57" s="641">
        <f>+transaction_statement_01_Jan_2026_28_Feb_2026[[#This Row],[Orig amount]]/100</f>
        <v>648.01</v>
      </c>
      <c r="O57" t="s">
        <v>2697</v>
      </c>
      <c r="P57">
        <v>64801</v>
      </c>
      <c r="Q57">
        <v>64801</v>
      </c>
      <c r="S57">
        <v>0</v>
      </c>
      <c r="T57" t="s">
        <v>2697</v>
      </c>
      <c r="U57">
        <v>213830</v>
      </c>
      <c r="V57" t="s">
        <v>4965</v>
      </c>
      <c r="X57" t="s">
        <v>4672</v>
      </c>
      <c r="Y57" t="s">
        <v>4672</v>
      </c>
      <c r="Z57" t="s">
        <v>4672</v>
      </c>
      <c r="AB57" t="s">
        <v>4672</v>
      </c>
      <c r="AC57" t="s">
        <v>4672</v>
      </c>
    </row>
    <row r="58" spans="1:29" hidden="1">
      <c r="A58" s="10">
        <v>46076</v>
      </c>
      <c r="B58" s="10">
        <v>46078</v>
      </c>
      <c r="C58" t="s">
        <v>5106</v>
      </c>
      <c r="D58" t="s">
        <v>4977</v>
      </c>
      <c r="E58" t="s">
        <v>4962</v>
      </c>
      <c r="F58" t="s">
        <v>4983</v>
      </c>
      <c r="G58" t="s">
        <v>4672</v>
      </c>
      <c r="H58" t="s">
        <v>4970</v>
      </c>
      <c r="I58" t="s">
        <v>4984</v>
      </c>
      <c r="J58" t="s">
        <v>4985</v>
      </c>
      <c r="K58" t="s">
        <v>4981</v>
      </c>
      <c r="L58" t="s">
        <v>4986</v>
      </c>
      <c r="M58">
        <v>83000</v>
      </c>
      <c r="N58" s="641">
        <f>+transaction_statement_01_Jan_2026_28_Feb_2026[[#This Row],[Orig amount]]/100</f>
        <v>830</v>
      </c>
      <c r="O58" t="s">
        <v>2697</v>
      </c>
      <c r="P58">
        <v>-148</v>
      </c>
      <c r="Q58">
        <v>-148</v>
      </c>
      <c r="R58">
        <v>561521719</v>
      </c>
      <c r="S58">
        <v>0</v>
      </c>
      <c r="T58" t="s">
        <v>2697</v>
      </c>
      <c r="U58">
        <v>149029</v>
      </c>
      <c r="V58" t="s">
        <v>4965</v>
      </c>
      <c r="X58" t="s">
        <v>4672</v>
      </c>
      <c r="Y58" t="s">
        <v>4672</v>
      </c>
      <c r="Z58" t="s">
        <v>4672</v>
      </c>
      <c r="AA58">
        <v>4784</v>
      </c>
      <c r="AB58" t="s">
        <v>4672</v>
      </c>
      <c r="AC58" t="s">
        <v>4672</v>
      </c>
    </row>
    <row r="59" spans="1:29" hidden="1">
      <c r="A59" s="10">
        <v>46078</v>
      </c>
      <c r="B59" s="10">
        <v>46078</v>
      </c>
      <c r="C59" t="s">
        <v>5107</v>
      </c>
      <c r="D59" t="s">
        <v>4967</v>
      </c>
      <c r="E59" t="s">
        <v>4962</v>
      </c>
      <c r="F59" t="s">
        <v>5053</v>
      </c>
      <c r="G59" t="s">
        <v>5054</v>
      </c>
      <c r="H59" t="s">
        <v>4970</v>
      </c>
      <c r="I59" t="s">
        <v>4672</v>
      </c>
      <c r="J59" t="s">
        <v>4672</v>
      </c>
      <c r="K59" t="s">
        <v>4672</v>
      </c>
      <c r="L59" t="s">
        <v>2697</v>
      </c>
      <c r="M59">
        <v>350000</v>
      </c>
      <c r="N59" s="641">
        <f>+transaction_statement_01_Jan_2026_28_Feb_2026[[#This Row],[Orig amount]]/100</f>
        <v>3500</v>
      </c>
      <c r="O59" t="s">
        <v>2697</v>
      </c>
      <c r="P59">
        <v>-350000</v>
      </c>
      <c r="Q59">
        <v>-350000</v>
      </c>
      <c r="S59">
        <v>0</v>
      </c>
      <c r="T59" t="s">
        <v>2697</v>
      </c>
      <c r="U59">
        <v>149177</v>
      </c>
      <c r="V59" t="s">
        <v>4965</v>
      </c>
      <c r="X59" t="s">
        <v>4672</v>
      </c>
      <c r="Y59" t="s">
        <v>5055</v>
      </c>
      <c r="Z59" t="s">
        <v>5056</v>
      </c>
      <c r="AB59" t="s">
        <v>4672</v>
      </c>
      <c r="AC59" t="s">
        <v>4672</v>
      </c>
    </row>
    <row r="60" spans="1:29" hidden="1">
      <c r="A60" s="10">
        <v>46078</v>
      </c>
      <c r="B60" s="10">
        <v>46078</v>
      </c>
      <c r="C60" t="s">
        <v>5108</v>
      </c>
      <c r="D60" t="s">
        <v>4961</v>
      </c>
      <c r="E60" t="s">
        <v>4962</v>
      </c>
      <c r="F60" t="s">
        <v>4963</v>
      </c>
      <c r="G60" t="s">
        <v>4964</v>
      </c>
      <c r="H60" t="s">
        <v>4672</v>
      </c>
      <c r="I60" t="s">
        <v>4672</v>
      </c>
      <c r="J60" t="s">
        <v>4672</v>
      </c>
      <c r="K60" t="s">
        <v>4672</v>
      </c>
      <c r="L60" t="s">
        <v>2697</v>
      </c>
      <c r="M60">
        <v>93510</v>
      </c>
      <c r="N60" s="641">
        <f>+transaction_statement_01_Jan_2026_28_Feb_2026[[#This Row],[Orig amount]]/100</f>
        <v>935.1</v>
      </c>
      <c r="O60" t="s">
        <v>2697</v>
      </c>
      <c r="P60">
        <v>93510</v>
      </c>
      <c r="Q60">
        <v>93510</v>
      </c>
      <c r="S60">
        <v>0</v>
      </c>
      <c r="T60" t="s">
        <v>2697</v>
      </c>
      <c r="U60">
        <v>499177</v>
      </c>
      <c r="V60" t="s">
        <v>4965</v>
      </c>
      <c r="X60" t="s">
        <v>4672</v>
      </c>
      <c r="Y60" t="s">
        <v>4672</v>
      </c>
      <c r="Z60" t="s">
        <v>4672</v>
      </c>
      <c r="AB60" t="s">
        <v>4672</v>
      </c>
      <c r="AC60" t="s">
        <v>4672</v>
      </c>
    </row>
    <row r="61" spans="1:29" hidden="1">
      <c r="A61" s="10">
        <v>46077</v>
      </c>
      <c r="B61" s="10">
        <v>46078</v>
      </c>
      <c r="C61" t="s">
        <v>5109</v>
      </c>
      <c r="D61" t="s">
        <v>4967</v>
      </c>
      <c r="E61" t="s">
        <v>4962</v>
      </c>
      <c r="F61" t="s">
        <v>5053</v>
      </c>
      <c r="G61" t="s">
        <v>5054</v>
      </c>
      <c r="H61" t="s">
        <v>4970</v>
      </c>
      <c r="I61" t="s">
        <v>4672</v>
      </c>
      <c r="J61" t="s">
        <v>4672</v>
      </c>
      <c r="K61" t="s">
        <v>4672</v>
      </c>
      <c r="L61" t="s">
        <v>2697</v>
      </c>
      <c r="M61">
        <v>350000</v>
      </c>
      <c r="N61" s="641">
        <f>+transaction_statement_01_Jan_2026_28_Feb_2026[[#This Row],[Orig amount]]/100</f>
        <v>3500</v>
      </c>
      <c r="O61" t="s">
        <v>2697</v>
      </c>
      <c r="P61">
        <v>-350000</v>
      </c>
      <c r="Q61">
        <v>-350000</v>
      </c>
      <c r="S61">
        <v>0</v>
      </c>
      <c r="T61" t="s">
        <v>2697</v>
      </c>
      <c r="U61">
        <v>405667</v>
      </c>
      <c r="V61" t="s">
        <v>4965</v>
      </c>
      <c r="X61" t="s">
        <v>4672</v>
      </c>
      <c r="Y61" t="s">
        <v>5055</v>
      </c>
      <c r="Z61" t="s">
        <v>5056</v>
      </c>
      <c r="AB61" t="s">
        <v>4672</v>
      </c>
      <c r="AC61" t="s">
        <v>4672</v>
      </c>
    </row>
    <row r="62" spans="1:29" hidden="1">
      <c r="A62" s="10">
        <v>46077</v>
      </c>
      <c r="B62" s="10">
        <v>46077</v>
      </c>
      <c r="C62" t="s">
        <v>5110</v>
      </c>
      <c r="D62" t="s">
        <v>4961</v>
      </c>
      <c r="E62" t="s">
        <v>4962</v>
      </c>
      <c r="F62" t="s">
        <v>4963</v>
      </c>
      <c r="G62" t="s">
        <v>4964</v>
      </c>
      <c r="H62" t="s">
        <v>4672</v>
      </c>
      <c r="I62" t="s">
        <v>4672</v>
      </c>
      <c r="J62" t="s">
        <v>4672</v>
      </c>
      <c r="K62" t="s">
        <v>4672</v>
      </c>
      <c r="L62" t="s">
        <v>2697</v>
      </c>
      <c r="M62">
        <v>47079</v>
      </c>
      <c r="N62" s="641">
        <f>+transaction_statement_01_Jan_2026_28_Feb_2026[[#This Row],[Orig amount]]/100</f>
        <v>470.79</v>
      </c>
      <c r="O62" t="s">
        <v>2697</v>
      </c>
      <c r="P62">
        <v>47079</v>
      </c>
      <c r="Q62">
        <v>47079</v>
      </c>
      <c r="S62">
        <v>0</v>
      </c>
      <c r="T62" t="s">
        <v>2697</v>
      </c>
      <c r="U62">
        <v>755667</v>
      </c>
      <c r="V62" t="s">
        <v>4965</v>
      </c>
      <c r="X62" t="s">
        <v>4672</v>
      </c>
      <c r="Y62" t="s">
        <v>4672</v>
      </c>
      <c r="Z62" t="s">
        <v>4672</v>
      </c>
      <c r="AB62" t="s">
        <v>4672</v>
      </c>
      <c r="AC62" t="s">
        <v>4672</v>
      </c>
    </row>
    <row r="63" spans="1:29" hidden="1">
      <c r="A63" s="10">
        <v>46077</v>
      </c>
      <c r="B63" s="10">
        <v>46077</v>
      </c>
      <c r="C63" t="s">
        <v>5111</v>
      </c>
      <c r="D63" t="s">
        <v>4961</v>
      </c>
      <c r="E63" t="s">
        <v>4962</v>
      </c>
      <c r="F63" t="s">
        <v>5064</v>
      </c>
      <c r="G63" t="s">
        <v>4672</v>
      </c>
      <c r="H63" t="s">
        <v>4672</v>
      </c>
      <c r="I63" t="s">
        <v>4672</v>
      </c>
      <c r="J63" t="s">
        <v>4672</v>
      </c>
      <c r="K63" t="s">
        <v>4672</v>
      </c>
      <c r="L63" t="s">
        <v>2697</v>
      </c>
      <c r="M63">
        <v>394600</v>
      </c>
      <c r="N63" s="641">
        <f>+transaction_statement_01_Jan_2026_28_Feb_2026[[#This Row],[Orig amount]]/100</f>
        <v>3946</v>
      </c>
      <c r="O63" t="s">
        <v>2697</v>
      </c>
      <c r="P63">
        <v>394600</v>
      </c>
      <c r="Q63">
        <v>394600</v>
      </c>
      <c r="S63">
        <v>0</v>
      </c>
      <c r="T63" t="s">
        <v>2697</v>
      </c>
      <c r="U63">
        <v>708588</v>
      </c>
      <c r="V63" t="s">
        <v>4965</v>
      </c>
      <c r="X63" t="s">
        <v>4672</v>
      </c>
      <c r="Y63" t="s">
        <v>4672</v>
      </c>
      <c r="Z63" t="s">
        <v>4672</v>
      </c>
      <c r="AB63" t="s">
        <v>4672</v>
      </c>
      <c r="AC63" t="s">
        <v>4672</v>
      </c>
    </row>
    <row r="64" spans="1:29" hidden="1">
      <c r="A64" s="10">
        <v>46077</v>
      </c>
      <c r="B64" s="10">
        <v>46077</v>
      </c>
      <c r="C64" t="s">
        <v>5112</v>
      </c>
      <c r="D64" t="s">
        <v>4967</v>
      </c>
      <c r="E64" t="s">
        <v>4962</v>
      </c>
      <c r="F64" t="s">
        <v>5113</v>
      </c>
      <c r="G64" t="s">
        <v>5114</v>
      </c>
      <c r="H64" t="s">
        <v>4970</v>
      </c>
      <c r="I64" t="s">
        <v>4672</v>
      </c>
      <c r="J64" t="s">
        <v>4672</v>
      </c>
      <c r="K64" t="s">
        <v>4672</v>
      </c>
      <c r="L64" t="s">
        <v>2697</v>
      </c>
      <c r="M64">
        <v>2500</v>
      </c>
      <c r="N64" s="641">
        <f>+transaction_statement_01_Jan_2026_28_Feb_2026[[#This Row],[Orig amount]]/100</f>
        <v>25</v>
      </c>
      <c r="O64" t="s">
        <v>2697</v>
      </c>
      <c r="P64">
        <v>-2500</v>
      </c>
      <c r="Q64">
        <v>-2500</v>
      </c>
      <c r="S64">
        <v>0</v>
      </c>
      <c r="T64" t="s">
        <v>2697</v>
      </c>
      <c r="U64">
        <v>313988</v>
      </c>
      <c r="V64" t="s">
        <v>4965</v>
      </c>
      <c r="X64" t="s">
        <v>4672</v>
      </c>
      <c r="Y64" t="s">
        <v>5115</v>
      </c>
      <c r="Z64" t="s">
        <v>5116</v>
      </c>
      <c r="AB64" t="s">
        <v>4672</v>
      </c>
      <c r="AC64" t="s">
        <v>4672</v>
      </c>
    </row>
    <row r="65" spans="1:29" hidden="1">
      <c r="A65" s="10">
        <v>46076</v>
      </c>
      <c r="B65" s="10">
        <v>46077</v>
      </c>
      <c r="C65" t="s">
        <v>5117</v>
      </c>
      <c r="D65" t="s">
        <v>4977</v>
      </c>
      <c r="E65" t="s">
        <v>4962</v>
      </c>
      <c r="F65" t="s">
        <v>5118</v>
      </c>
      <c r="G65" t="s">
        <v>4672</v>
      </c>
      <c r="H65" t="s">
        <v>4970</v>
      </c>
      <c r="I65" t="s">
        <v>4979</v>
      </c>
      <c r="J65" t="s">
        <v>4980</v>
      </c>
      <c r="K65" t="s">
        <v>4981</v>
      </c>
      <c r="L65" t="s">
        <v>2697</v>
      </c>
      <c r="M65">
        <v>15851</v>
      </c>
      <c r="N65" s="641">
        <f>+transaction_statement_01_Jan_2026_28_Feb_2026[[#This Row],[Orig amount]]/100</f>
        <v>158.51</v>
      </c>
      <c r="O65" t="s">
        <v>2697</v>
      </c>
      <c r="P65">
        <v>-15851</v>
      </c>
      <c r="Q65">
        <v>-15851</v>
      </c>
      <c r="S65">
        <v>0</v>
      </c>
      <c r="T65" t="s">
        <v>2697</v>
      </c>
      <c r="U65">
        <v>316488</v>
      </c>
      <c r="V65" t="s">
        <v>4965</v>
      </c>
      <c r="X65" t="s">
        <v>4672</v>
      </c>
      <c r="Y65" t="s">
        <v>4672</v>
      </c>
      <c r="Z65" t="s">
        <v>4672</v>
      </c>
      <c r="AA65">
        <v>5734</v>
      </c>
      <c r="AB65" t="s">
        <v>4672</v>
      </c>
      <c r="AC65" t="s">
        <v>4672</v>
      </c>
    </row>
    <row r="66" spans="1:29" hidden="1">
      <c r="A66" s="10">
        <v>46077</v>
      </c>
      <c r="B66" s="10">
        <v>46077</v>
      </c>
      <c r="C66" t="s">
        <v>5119</v>
      </c>
      <c r="D66" t="s">
        <v>4961</v>
      </c>
      <c r="E66" t="s">
        <v>4962</v>
      </c>
      <c r="F66" t="s">
        <v>4963</v>
      </c>
      <c r="G66" t="s">
        <v>4964</v>
      </c>
      <c r="H66" t="s">
        <v>4672</v>
      </c>
      <c r="I66" t="s">
        <v>4672</v>
      </c>
      <c r="J66" t="s">
        <v>4672</v>
      </c>
      <c r="K66" t="s">
        <v>4672</v>
      </c>
      <c r="L66" t="s">
        <v>2697</v>
      </c>
      <c r="M66">
        <v>164339</v>
      </c>
      <c r="N66" s="641">
        <f>+transaction_statement_01_Jan_2026_28_Feb_2026[[#This Row],[Orig amount]]/100</f>
        <v>1643.39</v>
      </c>
      <c r="O66" t="s">
        <v>2697</v>
      </c>
      <c r="P66">
        <v>164339</v>
      </c>
      <c r="Q66">
        <v>164339</v>
      </c>
      <c r="S66">
        <v>0</v>
      </c>
      <c r="T66" t="s">
        <v>2697</v>
      </c>
      <c r="U66">
        <v>332339</v>
      </c>
      <c r="V66" t="s">
        <v>4965</v>
      </c>
      <c r="X66" t="s">
        <v>4672</v>
      </c>
      <c r="Y66" t="s">
        <v>4672</v>
      </c>
      <c r="Z66" t="s">
        <v>4672</v>
      </c>
      <c r="AB66" t="s">
        <v>4672</v>
      </c>
      <c r="AC66" t="s">
        <v>4672</v>
      </c>
    </row>
    <row r="67" spans="1:29">
      <c r="A67" s="10">
        <v>46076</v>
      </c>
      <c r="B67" s="10">
        <v>46077</v>
      </c>
      <c r="C67" t="s">
        <v>5120</v>
      </c>
      <c r="D67" t="s">
        <v>4977</v>
      </c>
      <c r="E67" t="s">
        <v>4962</v>
      </c>
      <c r="F67" t="s">
        <v>5121</v>
      </c>
      <c r="G67" t="s">
        <v>4672</v>
      </c>
      <c r="H67" t="s">
        <v>2794</v>
      </c>
      <c r="I67" t="s">
        <v>4989</v>
      </c>
      <c r="J67" t="s">
        <v>4990</v>
      </c>
      <c r="K67" t="s">
        <v>4981</v>
      </c>
      <c r="L67" t="s">
        <v>2697</v>
      </c>
      <c r="M67">
        <v>4225</v>
      </c>
      <c r="N67" s="642">
        <f>+transaction_statement_01_Jan_2026_28_Feb_2026[[#This Row],[Orig amount]]/100</f>
        <v>42.25</v>
      </c>
      <c r="O67" t="s">
        <v>2697</v>
      </c>
      <c r="P67">
        <v>-4225</v>
      </c>
      <c r="Q67">
        <v>-4225</v>
      </c>
      <c r="S67">
        <v>0</v>
      </c>
      <c r="T67" t="s">
        <v>2697</v>
      </c>
      <c r="U67">
        <v>168000</v>
      </c>
      <c r="V67" t="s">
        <v>4965</v>
      </c>
      <c r="X67" t="s">
        <v>4672</v>
      </c>
      <c r="Y67" t="s">
        <v>4672</v>
      </c>
      <c r="Z67" t="s">
        <v>4672</v>
      </c>
      <c r="AA67">
        <v>8111</v>
      </c>
      <c r="AB67" t="s">
        <v>4672</v>
      </c>
      <c r="AC67" t="s">
        <v>4672</v>
      </c>
    </row>
    <row r="68" spans="1:29" hidden="1">
      <c r="A68" s="10">
        <v>46076</v>
      </c>
      <c r="B68" s="10">
        <v>46077</v>
      </c>
      <c r="C68" t="s">
        <v>5122</v>
      </c>
      <c r="D68" t="s">
        <v>4977</v>
      </c>
      <c r="E68" t="s">
        <v>4962</v>
      </c>
      <c r="F68" t="s">
        <v>5123</v>
      </c>
      <c r="G68" t="s">
        <v>4672</v>
      </c>
      <c r="H68" t="s">
        <v>4970</v>
      </c>
      <c r="I68" t="s">
        <v>4979</v>
      </c>
      <c r="J68" t="s">
        <v>4980</v>
      </c>
      <c r="K68" t="s">
        <v>4981</v>
      </c>
      <c r="L68" t="s">
        <v>2697</v>
      </c>
      <c r="M68">
        <v>37900</v>
      </c>
      <c r="N68" s="641">
        <f>+transaction_statement_01_Jan_2026_28_Feb_2026[[#This Row],[Orig amount]]/100</f>
        <v>379</v>
      </c>
      <c r="O68" t="s">
        <v>2697</v>
      </c>
      <c r="P68">
        <v>-37900</v>
      </c>
      <c r="Q68">
        <v>-37900</v>
      </c>
      <c r="S68">
        <v>0</v>
      </c>
      <c r="T68" t="s">
        <v>2697</v>
      </c>
      <c r="U68">
        <v>172225</v>
      </c>
      <c r="V68" t="s">
        <v>4965</v>
      </c>
      <c r="X68" t="s">
        <v>4672</v>
      </c>
      <c r="Y68" t="s">
        <v>4672</v>
      </c>
      <c r="Z68" t="s">
        <v>4672</v>
      </c>
      <c r="AA68">
        <v>5734</v>
      </c>
      <c r="AB68" t="s">
        <v>4672</v>
      </c>
      <c r="AC68" t="s">
        <v>4672</v>
      </c>
    </row>
    <row r="69" spans="1:29" hidden="1">
      <c r="A69" s="10">
        <v>46077</v>
      </c>
      <c r="B69" s="10">
        <v>46077</v>
      </c>
      <c r="C69" t="s">
        <v>5124</v>
      </c>
      <c r="D69" t="s">
        <v>4967</v>
      </c>
      <c r="E69" t="s">
        <v>4962</v>
      </c>
      <c r="F69" t="s">
        <v>3692</v>
      </c>
      <c r="G69" t="s">
        <v>5125</v>
      </c>
      <c r="H69" t="s">
        <v>4672</v>
      </c>
      <c r="I69" t="s">
        <v>4672</v>
      </c>
      <c r="J69" t="s">
        <v>4672</v>
      </c>
      <c r="K69" t="s">
        <v>4672</v>
      </c>
      <c r="L69" t="s">
        <v>2697</v>
      </c>
      <c r="M69">
        <v>4817</v>
      </c>
      <c r="N69" s="641">
        <f>+transaction_statement_01_Jan_2026_28_Feb_2026[[#This Row],[Orig amount]]/100</f>
        <v>48.17</v>
      </c>
      <c r="O69" t="s">
        <v>2697</v>
      </c>
      <c r="P69">
        <v>-4817</v>
      </c>
      <c r="Q69">
        <v>-4817</v>
      </c>
      <c r="S69">
        <v>0</v>
      </c>
      <c r="T69" t="s">
        <v>2697</v>
      </c>
      <c r="U69">
        <v>210125</v>
      </c>
      <c r="V69" t="s">
        <v>4965</v>
      </c>
      <c r="X69" t="s">
        <v>4672</v>
      </c>
      <c r="Y69" t="s">
        <v>5126</v>
      </c>
      <c r="Z69" t="s">
        <v>5127</v>
      </c>
      <c r="AB69" t="s">
        <v>4672</v>
      </c>
      <c r="AC69" t="s">
        <v>4672</v>
      </c>
    </row>
    <row r="70" spans="1:29" hidden="1">
      <c r="A70" s="10">
        <v>46076</v>
      </c>
      <c r="B70" s="10">
        <v>46077</v>
      </c>
      <c r="C70" t="s">
        <v>5128</v>
      </c>
      <c r="D70" t="s">
        <v>4977</v>
      </c>
      <c r="E70" t="s">
        <v>4962</v>
      </c>
      <c r="F70" t="s">
        <v>4983</v>
      </c>
      <c r="G70" t="s">
        <v>4672</v>
      </c>
      <c r="H70" t="s">
        <v>4970</v>
      </c>
      <c r="I70" t="s">
        <v>4984</v>
      </c>
      <c r="J70" t="s">
        <v>4985</v>
      </c>
      <c r="K70" t="s">
        <v>4981</v>
      </c>
      <c r="L70" t="s">
        <v>4986</v>
      </c>
      <c r="M70">
        <v>63000</v>
      </c>
      <c r="N70" s="641">
        <f>+transaction_statement_01_Jan_2026_28_Feb_2026[[#This Row],[Orig amount]]/100</f>
        <v>630</v>
      </c>
      <c r="O70" t="s">
        <v>2697</v>
      </c>
      <c r="P70">
        <v>-113</v>
      </c>
      <c r="Q70">
        <v>-113</v>
      </c>
      <c r="R70">
        <v>561353142</v>
      </c>
      <c r="S70">
        <v>0</v>
      </c>
      <c r="T70" t="s">
        <v>2697</v>
      </c>
      <c r="U70">
        <v>214942</v>
      </c>
      <c r="V70" t="s">
        <v>4965</v>
      </c>
      <c r="X70" t="s">
        <v>4672</v>
      </c>
      <c r="Y70" t="s">
        <v>4672</v>
      </c>
      <c r="Z70" t="s">
        <v>4672</v>
      </c>
      <c r="AA70">
        <v>4784</v>
      </c>
      <c r="AB70" t="s">
        <v>4672</v>
      </c>
      <c r="AC70" t="s">
        <v>4672</v>
      </c>
    </row>
    <row r="71" spans="1:29" hidden="1">
      <c r="A71" s="10">
        <v>46076</v>
      </c>
      <c r="B71" s="10">
        <v>46077</v>
      </c>
      <c r="C71" t="s">
        <v>5129</v>
      </c>
      <c r="D71" t="s">
        <v>4977</v>
      </c>
      <c r="E71" t="s">
        <v>4962</v>
      </c>
      <c r="F71" t="s">
        <v>4983</v>
      </c>
      <c r="G71" t="s">
        <v>4672</v>
      </c>
      <c r="H71" t="s">
        <v>4970</v>
      </c>
      <c r="I71" t="s">
        <v>4984</v>
      </c>
      <c r="J71" t="s">
        <v>4985</v>
      </c>
      <c r="K71" t="s">
        <v>4981</v>
      </c>
      <c r="L71" t="s">
        <v>4986</v>
      </c>
      <c r="M71">
        <v>49000</v>
      </c>
      <c r="N71" s="641">
        <f>+transaction_statement_01_Jan_2026_28_Feb_2026[[#This Row],[Orig amount]]/100</f>
        <v>490</v>
      </c>
      <c r="O71" t="s">
        <v>2697</v>
      </c>
      <c r="P71">
        <v>-88</v>
      </c>
      <c r="Q71">
        <v>-88</v>
      </c>
      <c r="R71">
        <v>561706917</v>
      </c>
      <c r="S71">
        <v>0</v>
      </c>
      <c r="T71" t="s">
        <v>2697</v>
      </c>
      <c r="U71">
        <v>215055</v>
      </c>
      <c r="V71" t="s">
        <v>4965</v>
      </c>
      <c r="X71" t="s">
        <v>4672</v>
      </c>
      <c r="Y71" t="s">
        <v>4672</v>
      </c>
      <c r="Z71" t="s">
        <v>4672</v>
      </c>
      <c r="AA71">
        <v>4784</v>
      </c>
      <c r="AB71" t="s">
        <v>4672</v>
      </c>
      <c r="AC71" t="s">
        <v>4672</v>
      </c>
    </row>
    <row r="72" spans="1:29" hidden="1">
      <c r="A72" s="10">
        <v>46076</v>
      </c>
      <c r="B72" s="10">
        <v>46077</v>
      </c>
      <c r="C72" t="s">
        <v>5130</v>
      </c>
      <c r="D72" t="s">
        <v>4977</v>
      </c>
      <c r="E72" t="s">
        <v>4962</v>
      </c>
      <c r="F72" t="s">
        <v>5131</v>
      </c>
      <c r="G72" t="s">
        <v>4672</v>
      </c>
      <c r="H72" t="s">
        <v>4970</v>
      </c>
      <c r="I72" t="s">
        <v>4984</v>
      </c>
      <c r="J72" t="s">
        <v>4985</v>
      </c>
      <c r="K72" t="s">
        <v>4981</v>
      </c>
      <c r="L72" t="s">
        <v>2697</v>
      </c>
      <c r="M72">
        <v>200000</v>
      </c>
      <c r="N72" s="641">
        <f>+transaction_statement_01_Jan_2026_28_Feb_2026[[#This Row],[Orig amount]]/100</f>
        <v>2000</v>
      </c>
      <c r="O72" t="s">
        <v>2697</v>
      </c>
      <c r="P72">
        <v>-200000</v>
      </c>
      <c r="Q72">
        <v>-200000</v>
      </c>
      <c r="S72">
        <v>0</v>
      </c>
      <c r="T72" t="s">
        <v>2697</v>
      </c>
      <c r="U72">
        <v>215143</v>
      </c>
      <c r="V72" t="s">
        <v>4965</v>
      </c>
      <c r="X72" t="s">
        <v>4672</v>
      </c>
      <c r="Y72" t="s">
        <v>4672</v>
      </c>
      <c r="Z72" t="s">
        <v>4672</v>
      </c>
      <c r="AA72">
        <v>7392</v>
      </c>
      <c r="AB72" t="s">
        <v>4672</v>
      </c>
      <c r="AC72" t="s">
        <v>4672</v>
      </c>
    </row>
    <row r="73" spans="1:29" hidden="1">
      <c r="A73" s="10">
        <v>46077</v>
      </c>
      <c r="B73" s="10">
        <v>46077</v>
      </c>
      <c r="C73" t="s">
        <v>5132</v>
      </c>
      <c r="D73" t="s">
        <v>4961</v>
      </c>
      <c r="E73" t="s">
        <v>4962</v>
      </c>
      <c r="F73" t="s">
        <v>4963</v>
      </c>
      <c r="G73" t="s">
        <v>4964</v>
      </c>
      <c r="H73" t="s">
        <v>4672</v>
      </c>
      <c r="I73" t="s">
        <v>4672</v>
      </c>
      <c r="J73" t="s">
        <v>4672</v>
      </c>
      <c r="K73" t="s">
        <v>4672</v>
      </c>
      <c r="L73" t="s">
        <v>2697</v>
      </c>
      <c r="M73">
        <v>142153</v>
      </c>
      <c r="N73" s="641">
        <f>+transaction_statement_01_Jan_2026_28_Feb_2026[[#This Row],[Orig amount]]/100</f>
        <v>1421.53</v>
      </c>
      <c r="O73" t="s">
        <v>2697</v>
      </c>
      <c r="P73">
        <v>142153</v>
      </c>
      <c r="Q73">
        <v>142153</v>
      </c>
      <c r="S73">
        <v>0</v>
      </c>
      <c r="T73" t="s">
        <v>2697</v>
      </c>
      <c r="U73">
        <v>415143</v>
      </c>
      <c r="V73" t="s">
        <v>4965</v>
      </c>
      <c r="X73" t="s">
        <v>4672</v>
      </c>
      <c r="Y73" t="s">
        <v>4672</v>
      </c>
      <c r="Z73" t="s">
        <v>4672</v>
      </c>
      <c r="AB73" t="s">
        <v>4672</v>
      </c>
      <c r="AC73" t="s">
        <v>4672</v>
      </c>
    </row>
    <row r="74" spans="1:29" hidden="1">
      <c r="A74" s="10">
        <v>46076</v>
      </c>
      <c r="B74" s="10">
        <v>46076</v>
      </c>
      <c r="C74" t="s">
        <v>5133</v>
      </c>
      <c r="D74" t="s">
        <v>4967</v>
      </c>
      <c r="E74" t="s">
        <v>4962</v>
      </c>
      <c r="F74" t="s">
        <v>5046</v>
      </c>
      <c r="G74" t="s">
        <v>4672</v>
      </c>
      <c r="H74" t="s">
        <v>4970</v>
      </c>
      <c r="I74" t="s">
        <v>4672</v>
      </c>
      <c r="J74" t="s">
        <v>4672</v>
      </c>
      <c r="K74" t="s">
        <v>4672</v>
      </c>
      <c r="L74" t="s">
        <v>2697</v>
      </c>
      <c r="M74">
        <v>121182</v>
      </c>
      <c r="N74" s="641">
        <f>+transaction_statement_01_Jan_2026_28_Feb_2026[[#This Row],[Orig amount]]/100</f>
        <v>1211.82</v>
      </c>
      <c r="O74" t="s">
        <v>2697</v>
      </c>
      <c r="P74">
        <v>-121182</v>
      </c>
      <c r="Q74">
        <v>-121182</v>
      </c>
      <c r="S74">
        <v>0</v>
      </c>
      <c r="T74" t="s">
        <v>2697</v>
      </c>
      <c r="U74">
        <v>0</v>
      </c>
      <c r="V74" t="s">
        <v>5047</v>
      </c>
      <c r="X74" t="s">
        <v>4672</v>
      </c>
      <c r="Y74" t="s">
        <v>4672</v>
      </c>
      <c r="Z74" t="s">
        <v>4672</v>
      </c>
      <c r="AB74" t="s">
        <v>4672</v>
      </c>
      <c r="AC74" t="s">
        <v>4672</v>
      </c>
    </row>
    <row r="75" spans="1:29" hidden="1">
      <c r="A75" s="10">
        <v>46076</v>
      </c>
      <c r="B75" s="10">
        <v>46076</v>
      </c>
      <c r="C75" t="s">
        <v>5133</v>
      </c>
      <c r="D75" t="s">
        <v>4967</v>
      </c>
      <c r="E75" t="s">
        <v>4962</v>
      </c>
      <c r="F75" t="s">
        <v>5048</v>
      </c>
      <c r="G75" t="s">
        <v>4672</v>
      </c>
      <c r="H75" t="s">
        <v>4970</v>
      </c>
      <c r="I75" t="s">
        <v>4672</v>
      </c>
      <c r="J75" t="s">
        <v>4672</v>
      </c>
      <c r="K75" t="s">
        <v>4672</v>
      </c>
      <c r="L75" t="s">
        <v>2697</v>
      </c>
      <c r="M75">
        <v>-121182</v>
      </c>
      <c r="N75" s="641">
        <f>+transaction_statement_01_Jan_2026_28_Feb_2026[[#This Row],[Orig amount]]/100</f>
        <v>-1211.82</v>
      </c>
      <c r="O75" t="s">
        <v>2697</v>
      </c>
      <c r="P75">
        <v>121182</v>
      </c>
      <c r="Q75">
        <v>121182</v>
      </c>
      <c r="S75">
        <v>0</v>
      </c>
      <c r="T75" t="s">
        <v>2697</v>
      </c>
      <c r="U75">
        <v>272990</v>
      </c>
      <c r="V75" t="s">
        <v>4965</v>
      </c>
      <c r="X75" t="s">
        <v>4672</v>
      </c>
      <c r="Y75" t="s">
        <v>4672</v>
      </c>
      <c r="Z75" t="s">
        <v>4672</v>
      </c>
      <c r="AB75" t="s">
        <v>4672</v>
      </c>
      <c r="AC75" t="s">
        <v>4672</v>
      </c>
    </row>
    <row r="76" spans="1:29" hidden="1">
      <c r="A76" s="10">
        <v>46076</v>
      </c>
      <c r="B76" s="10">
        <v>46076</v>
      </c>
      <c r="C76" t="s">
        <v>5134</v>
      </c>
      <c r="D76" t="s">
        <v>4961</v>
      </c>
      <c r="E76" t="s">
        <v>4962</v>
      </c>
      <c r="F76" t="s">
        <v>5050</v>
      </c>
      <c r="G76" t="s">
        <v>5051</v>
      </c>
      <c r="H76" t="s">
        <v>4672</v>
      </c>
      <c r="I76" t="s">
        <v>4672</v>
      </c>
      <c r="J76" t="s">
        <v>4672</v>
      </c>
      <c r="K76" t="s">
        <v>4672</v>
      </c>
      <c r="L76" t="s">
        <v>2697</v>
      </c>
      <c r="M76">
        <v>121182</v>
      </c>
      <c r="N76" s="641">
        <f>+transaction_statement_01_Jan_2026_28_Feb_2026[[#This Row],[Orig amount]]/100</f>
        <v>1211.82</v>
      </c>
      <c r="O76" t="s">
        <v>2697</v>
      </c>
      <c r="P76">
        <v>121182</v>
      </c>
      <c r="Q76">
        <v>121182</v>
      </c>
      <c r="S76">
        <v>0</v>
      </c>
      <c r="T76" t="s">
        <v>2697</v>
      </c>
      <c r="U76">
        <v>121182</v>
      </c>
      <c r="V76" t="s">
        <v>5047</v>
      </c>
      <c r="X76" t="s">
        <v>4672</v>
      </c>
      <c r="Y76" t="s">
        <v>4672</v>
      </c>
      <c r="Z76" t="s">
        <v>4672</v>
      </c>
      <c r="AB76" t="s">
        <v>4672</v>
      </c>
      <c r="AC76" t="s">
        <v>4672</v>
      </c>
    </row>
    <row r="77" spans="1:29" hidden="1">
      <c r="A77" s="10">
        <v>46076</v>
      </c>
      <c r="B77" s="10">
        <v>46076</v>
      </c>
      <c r="C77" t="s">
        <v>5135</v>
      </c>
      <c r="D77" t="s">
        <v>4961</v>
      </c>
      <c r="E77" t="s">
        <v>4962</v>
      </c>
      <c r="F77" t="s">
        <v>4963</v>
      </c>
      <c r="G77" t="s">
        <v>4964</v>
      </c>
      <c r="H77" t="s">
        <v>4672</v>
      </c>
      <c r="I77" t="s">
        <v>4672</v>
      </c>
      <c r="J77" t="s">
        <v>4672</v>
      </c>
      <c r="K77" t="s">
        <v>4672</v>
      </c>
      <c r="L77" t="s">
        <v>2697</v>
      </c>
      <c r="M77">
        <v>83459</v>
      </c>
      <c r="N77" s="641">
        <f>+transaction_statement_01_Jan_2026_28_Feb_2026[[#This Row],[Orig amount]]/100</f>
        <v>834.59</v>
      </c>
      <c r="O77" t="s">
        <v>2697</v>
      </c>
      <c r="P77">
        <v>83459</v>
      </c>
      <c r="Q77">
        <v>83459</v>
      </c>
      <c r="S77">
        <v>0</v>
      </c>
      <c r="T77" t="s">
        <v>2697</v>
      </c>
      <c r="U77">
        <v>151808</v>
      </c>
      <c r="V77" t="s">
        <v>4965</v>
      </c>
      <c r="X77" t="s">
        <v>4672</v>
      </c>
      <c r="Y77" t="s">
        <v>4672</v>
      </c>
      <c r="Z77" t="s">
        <v>4672</v>
      </c>
      <c r="AB77" t="s">
        <v>4672</v>
      </c>
      <c r="AC77" t="s">
        <v>4672</v>
      </c>
    </row>
    <row r="78" spans="1:29" hidden="1">
      <c r="A78" s="10">
        <v>46074</v>
      </c>
      <c r="B78" s="10">
        <v>46076</v>
      </c>
      <c r="C78" t="s">
        <v>5136</v>
      </c>
      <c r="D78" t="s">
        <v>4977</v>
      </c>
      <c r="E78" t="s">
        <v>4962</v>
      </c>
      <c r="F78" t="s">
        <v>5137</v>
      </c>
      <c r="G78" t="s">
        <v>4672</v>
      </c>
      <c r="H78" t="s">
        <v>4970</v>
      </c>
      <c r="I78" t="s">
        <v>4979</v>
      </c>
      <c r="J78" t="s">
        <v>4980</v>
      </c>
      <c r="K78" t="s">
        <v>4981</v>
      </c>
      <c r="L78" t="s">
        <v>2548</v>
      </c>
      <c r="M78">
        <v>23580</v>
      </c>
      <c r="N78" s="641">
        <f>+transaction_statement_01_Jan_2026_28_Feb_2026[[#This Row],[Orig amount]]/100</f>
        <v>235.8</v>
      </c>
      <c r="O78" t="s">
        <v>2697</v>
      </c>
      <c r="P78">
        <v>-20024</v>
      </c>
      <c r="Q78">
        <v>-20224</v>
      </c>
      <c r="R78">
        <v>1177629</v>
      </c>
      <c r="S78">
        <v>-200</v>
      </c>
      <c r="T78" t="s">
        <v>2697</v>
      </c>
      <c r="U78">
        <v>68349</v>
      </c>
      <c r="V78" t="s">
        <v>4965</v>
      </c>
      <c r="X78" t="s">
        <v>4672</v>
      </c>
      <c r="Y78" t="s">
        <v>4672</v>
      </c>
      <c r="Z78" t="s">
        <v>4672</v>
      </c>
      <c r="AA78">
        <v>3219</v>
      </c>
      <c r="AB78" t="s">
        <v>4672</v>
      </c>
      <c r="AC78" t="s">
        <v>4672</v>
      </c>
    </row>
    <row r="79" spans="1:29" hidden="1">
      <c r="A79" s="10">
        <v>46074</v>
      </c>
      <c r="B79" s="10">
        <v>46076</v>
      </c>
      <c r="C79" t="s">
        <v>5138</v>
      </c>
      <c r="D79" t="s">
        <v>4967</v>
      </c>
      <c r="E79" t="s">
        <v>4962</v>
      </c>
      <c r="F79" t="s">
        <v>5053</v>
      </c>
      <c r="G79" t="s">
        <v>5054</v>
      </c>
      <c r="H79" t="s">
        <v>4970</v>
      </c>
      <c r="I79" t="s">
        <v>4672</v>
      </c>
      <c r="J79" t="s">
        <v>4672</v>
      </c>
      <c r="K79" t="s">
        <v>4672</v>
      </c>
      <c r="L79" t="s">
        <v>2697</v>
      </c>
      <c r="M79">
        <v>30000</v>
      </c>
      <c r="N79" s="641">
        <f>+transaction_statement_01_Jan_2026_28_Feb_2026[[#This Row],[Orig amount]]/100</f>
        <v>300</v>
      </c>
      <c r="O79" t="s">
        <v>2697</v>
      </c>
      <c r="P79">
        <v>-30000</v>
      </c>
      <c r="Q79">
        <v>-30000</v>
      </c>
      <c r="S79">
        <v>0</v>
      </c>
      <c r="T79" t="s">
        <v>2697</v>
      </c>
      <c r="U79">
        <v>88573</v>
      </c>
      <c r="V79" t="s">
        <v>4965</v>
      </c>
      <c r="X79" t="s">
        <v>4672</v>
      </c>
      <c r="Y79" t="s">
        <v>5055</v>
      </c>
      <c r="Z79" t="s">
        <v>5056</v>
      </c>
      <c r="AB79" t="s">
        <v>4672</v>
      </c>
      <c r="AC79" t="s">
        <v>4672</v>
      </c>
    </row>
    <row r="80" spans="1:29" hidden="1">
      <c r="A80" s="10">
        <v>46074</v>
      </c>
      <c r="B80" s="10">
        <v>46075</v>
      </c>
      <c r="C80" t="s">
        <v>5139</v>
      </c>
      <c r="D80" t="s">
        <v>4977</v>
      </c>
      <c r="E80" t="s">
        <v>4962</v>
      </c>
      <c r="F80" t="s">
        <v>5140</v>
      </c>
      <c r="G80" t="s">
        <v>4672</v>
      </c>
      <c r="H80" t="s">
        <v>4970</v>
      </c>
      <c r="I80" t="s">
        <v>4979</v>
      </c>
      <c r="J80" t="s">
        <v>4980</v>
      </c>
      <c r="K80" t="s">
        <v>4981</v>
      </c>
      <c r="L80" t="s">
        <v>2543</v>
      </c>
      <c r="M80">
        <v>92070</v>
      </c>
      <c r="N80" s="641">
        <f>+transaction_statement_01_Jan_2026_28_Feb_2026[[#This Row],[Orig amount]]/100</f>
        <v>920.7</v>
      </c>
      <c r="O80" t="s">
        <v>2697</v>
      </c>
      <c r="P80">
        <v>-9020</v>
      </c>
      <c r="Q80">
        <v>-9110</v>
      </c>
      <c r="R80">
        <v>1020756780</v>
      </c>
      <c r="S80">
        <v>-90</v>
      </c>
      <c r="T80" t="s">
        <v>2697</v>
      </c>
      <c r="U80">
        <v>118573</v>
      </c>
      <c r="V80" t="s">
        <v>4965</v>
      </c>
      <c r="X80" t="s">
        <v>4672</v>
      </c>
      <c r="Y80" t="s">
        <v>4672</v>
      </c>
      <c r="Z80" t="s">
        <v>4672</v>
      </c>
      <c r="AA80">
        <v>5812</v>
      </c>
      <c r="AB80" t="s">
        <v>4672</v>
      </c>
      <c r="AC80" t="s">
        <v>4672</v>
      </c>
    </row>
    <row r="81" spans="1:29" hidden="1">
      <c r="A81" s="10">
        <v>46074</v>
      </c>
      <c r="B81" s="10">
        <v>46075</v>
      </c>
      <c r="C81" t="s">
        <v>5141</v>
      </c>
      <c r="D81" t="s">
        <v>4977</v>
      </c>
      <c r="E81" t="s">
        <v>4962</v>
      </c>
      <c r="F81" t="s">
        <v>5142</v>
      </c>
      <c r="G81" t="s">
        <v>4672</v>
      </c>
      <c r="H81" t="s">
        <v>4970</v>
      </c>
      <c r="I81" t="s">
        <v>4979</v>
      </c>
      <c r="J81" t="s">
        <v>4980</v>
      </c>
      <c r="K81" t="s">
        <v>4981</v>
      </c>
      <c r="L81" t="s">
        <v>2697</v>
      </c>
      <c r="M81">
        <v>4338</v>
      </c>
      <c r="N81" s="641">
        <f>+transaction_statement_01_Jan_2026_28_Feb_2026[[#This Row],[Orig amount]]/100</f>
        <v>43.38</v>
      </c>
      <c r="O81" t="s">
        <v>2697</v>
      </c>
      <c r="P81">
        <v>-4338</v>
      </c>
      <c r="Q81">
        <v>-4338</v>
      </c>
      <c r="S81">
        <v>0</v>
      </c>
      <c r="T81" t="s">
        <v>2697</v>
      </c>
      <c r="U81">
        <v>127683</v>
      </c>
      <c r="V81" t="s">
        <v>4965</v>
      </c>
      <c r="X81" t="s">
        <v>4672</v>
      </c>
      <c r="Y81" t="s">
        <v>4672</v>
      </c>
      <c r="Z81" t="s">
        <v>4672</v>
      </c>
      <c r="AA81">
        <v>5968</v>
      </c>
      <c r="AB81" t="s">
        <v>4672</v>
      </c>
      <c r="AC81" t="s">
        <v>4672</v>
      </c>
    </row>
    <row r="82" spans="1:29" hidden="1">
      <c r="A82" s="10">
        <v>46074</v>
      </c>
      <c r="B82" s="10">
        <v>46075</v>
      </c>
      <c r="C82" t="s">
        <v>5143</v>
      </c>
      <c r="D82" t="s">
        <v>4977</v>
      </c>
      <c r="E82" t="s">
        <v>4962</v>
      </c>
      <c r="F82" t="s">
        <v>5144</v>
      </c>
      <c r="G82" t="s">
        <v>4672</v>
      </c>
      <c r="H82" t="s">
        <v>4970</v>
      </c>
      <c r="I82" t="s">
        <v>4979</v>
      </c>
      <c r="J82" t="s">
        <v>4980</v>
      </c>
      <c r="K82" t="s">
        <v>4981</v>
      </c>
      <c r="L82" t="s">
        <v>2697</v>
      </c>
      <c r="M82">
        <v>2995</v>
      </c>
      <c r="N82" s="641">
        <f>+transaction_statement_01_Jan_2026_28_Feb_2026[[#This Row],[Orig amount]]/100</f>
        <v>29.95</v>
      </c>
      <c r="O82" t="s">
        <v>2697</v>
      </c>
      <c r="P82">
        <v>-2995</v>
      </c>
      <c r="Q82">
        <v>-2995</v>
      </c>
      <c r="S82">
        <v>0</v>
      </c>
      <c r="T82" t="s">
        <v>2697</v>
      </c>
      <c r="U82">
        <v>132021</v>
      </c>
      <c r="V82" t="s">
        <v>4965</v>
      </c>
      <c r="X82" t="s">
        <v>4672</v>
      </c>
      <c r="Y82" t="s">
        <v>4672</v>
      </c>
      <c r="Z82" t="s">
        <v>4672</v>
      </c>
      <c r="AA82">
        <v>7311</v>
      </c>
      <c r="AB82" t="s">
        <v>4672</v>
      </c>
      <c r="AC82" t="s">
        <v>4672</v>
      </c>
    </row>
    <row r="83" spans="1:29" hidden="1">
      <c r="A83" s="10">
        <v>46074</v>
      </c>
      <c r="B83" s="10">
        <v>46075</v>
      </c>
      <c r="C83" t="s">
        <v>5145</v>
      </c>
      <c r="D83" t="s">
        <v>4977</v>
      </c>
      <c r="E83" t="s">
        <v>4962</v>
      </c>
      <c r="F83" t="s">
        <v>5146</v>
      </c>
      <c r="G83" t="s">
        <v>4672</v>
      </c>
      <c r="H83" t="s">
        <v>4970</v>
      </c>
      <c r="I83" t="s">
        <v>4984</v>
      </c>
      <c r="J83" t="s">
        <v>4985</v>
      </c>
      <c r="K83" t="s">
        <v>4981</v>
      </c>
      <c r="L83" t="s">
        <v>2543</v>
      </c>
      <c r="M83">
        <v>129070</v>
      </c>
      <c r="N83" s="641">
        <f>+transaction_statement_01_Jan_2026_28_Feb_2026[[#This Row],[Orig amount]]/100</f>
        <v>1290.7</v>
      </c>
      <c r="O83" t="s">
        <v>2697</v>
      </c>
      <c r="P83">
        <v>-12648</v>
      </c>
      <c r="Q83">
        <v>-12774</v>
      </c>
      <c r="R83">
        <v>1020552677</v>
      </c>
      <c r="S83">
        <v>-126</v>
      </c>
      <c r="T83" t="s">
        <v>2697</v>
      </c>
      <c r="U83">
        <v>135016</v>
      </c>
      <c r="V83" t="s">
        <v>4965</v>
      </c>
      <c r="X83" t="s">
        <v>4672</v>
      </c>
      <c r="Y83" t="s">
        <v>4672</v>
      </c>
      <c r="Z83" t="s">
        <v>4672</v>
      </c>
      <c r="AA83">
        <v>5921</v>
      </c>
      <c r="AB83" t="s">
        <v>4672</v>
      </c>
      <c r="AC83" t="s">
        <v>4672</v>
      </c>
    </row>
    <row r="84" spans="1:29" hidden="1">
      <c r="A84" s="10">
        <v>46074</v>
      </c>
      <c r="B84" s="10">
        <v>46075</v>
      </c>
      <c r="C84" t="s">
        <v>5147</v>
      </c>
      <c r="D84" t="s">
        <v>4977</v>
      </c>
      <c r="E84" t="s">
        <v>4962</v>
      </c>
      <c r="F84" t="s">
        <v>5148</v>
      </c>
      <c r="G84" t="s">
        <v>4672</v>
      </c>
      <c r="H84" t="s">
        <v>4970</v>
      </c>
      <c r="I84" t="s">
        <v>4984</v>
      </c>
      <c r="J84" t="s">
        <v>4985</v>
      </c>
      <c r="K84" t="s">
        <v>4981</v>
      </c>
      <c r="L84" t="s">
        <v>2543</v>
      </c>
      <c r="M84">
        <v>66600</v>
      </c>
      <c r="N84" s="641">
        <f>+transaction_statement_01_Jan_2026_28_Feb_2026[[#This Row],[Orig amount]]/100</f>
        <v>666</v>
      </c>
      <c r="O84" t="s">
        <v>2697</v>
      </c>
      <c r="P84">
        <v>-6526</v>
      </c>
      <c r="Q84">
        <v>-6591</v>
      </c>
      <c r="R84">
        <v>1020552677</v>
      </c>
      <c r="S84">
        <v>-65</v>
      </c>
      <c r="T84" t="s">
        <v>2697</v>
      </c>
      <c r="U84">
        <v>147790</v>
      </c>
      <c r="V84" t="s">
        <v>4965</v>
      </c>
      <c r="X84" t="s">
        <v>4672</v>
      </c>
      <c r="Y84" t="s">
        <v>4672</v>
      </c>
      <c r="Z84" t="s">
        <v>4672</v>
      </c>
      <c r="AA84">
        <v>5621</v>
      </c>
      <c r="AB84" t="s">
        <v>4672</v>
      </c>
      <c r="AC84" t="s">
        <v>4672</v>
      </c>
    </row>
    <row r="85" spans="1:29" hidden="1">
      <c r="A85" s="10">
        <v>46074</v>
      </c>
      <c r="B85" s="10">
        <v>46075</v>
      </c>
      <c r="C85" t="s">
        <v>5149</v>
      </c>
      <c r="D85" t="s">
        <v>4977</v>
      </c>
      <c r="E85" t="s">
        <v>4962</v>
      </c>
      <c r="F85" t="s">
        <v>5150</v>
      </c>
      <c r="G85" t="s">
        <v>4672</v>
      </c>
      <c r="H85" t="s">
        <v>4970</v>
      </c>
      <c r="I85" t="s">
        <v>4984</v>
      </c>
      <c r="J85" t="s">
        <v>4985</v>
      </c>
      <c r="K85" t="s">
        <v>4981</v>
      </c>
      <c r="L85" t="s">
        <v>2543</v>
      </c>
      <c r="M85">
        <v>324990</v>
      </c>
      <c r="N85" s="641">
        <f>+transaction_statement_01_Jan_2026_28_Feb_2026[[#This Row],[Orig amount]]/100</f>
        <v>3249.9</v>
      </c>
      <c r="O85" t="s">
        <v>2697</v>
      </c>
      <c r="P85">
        <v>-31845</v>
      </c>
      <c r="Q85">
        <v>-32163</v>
      </c>
      <c r="R85">
        <v>1020552677</v>
      </c>
      <c r="S85">
        <v>-318</v>
      </c>
      <c r="T85" t="s">
        <v>2697</v>
      </c>
      <c r="U85">
        <v>154381</v>
      </c>
      <c r="V85" t="s">
        <v>4965</v>
      </c>
      <c r="X85" t="s">
        <v>4672</v>
      </c>
      <c r="Y85" t="s">
        <v>4672</v>
      </c>
      <c r="Z85" t="s">
        <v>4672</v>
      </c>
      <c r="AA85">
        <v>5311</v>
      </c>
      <c r="AB85" t="s">
        <v>4672</v>
      </c>
      <c r="AC85" t="s">
        <v>4672</v>
      </c>
    </row>
    <row r="86" spans="1:29" hidden="1">
      <c r="A86" s="10">
        <v>46074</v>
      </c>
      <c r="B86" s="10">
        <v>46074</v>
      </c>
      <c r="C86" t="s">
        <v>5151</v>
      </c>
      <c r="D86" t="s">
        <v>4967</v>
      </c>
      <c r="E86" t="s">
        <v>4962</v>
      </c>
      <c r="F86" t="s">
        <v>5058</v>
      </c>
      <c r="G86" t="s">
        <v>5059</v>
      </c>
      <c r="H86" t="s">
        <v>4970</v>
      </c>
      <c r="I86" t="s">
        <v>4672</v>
      </c>
      <c r="J86" t="s">
        <v>4672</v>
      </c>
      <c r="K86" t="s">
        <v>4672</v>
      </c>
      <c r="L86" t="s">
        <v>2697</v>
      </c>
      <c r="M86">
        <v>40000</v>
      </c>
      <c r="N86" s="641">
        <f>+transaction_statement_01_Jan_2026_28_Feb_2026[[#This Row],[Orig amount]]/100</f>
        <v>400</v>
      </c>
      <c r="O86" t="s">
        <v>2697</v>
      </c>
      <c r="P86">
        <v>-40000</v>
      </c>
      <c r="Q86">
        <v>-40000</v>
      </c>
      <c r="S86">
        <v>0</v>
      </c>
      <c r="T86" t="s">
        <v>2697</v>
      </c>
      <c r="U86">
        <v>186544</v>
      </c>
      <c r="V86" t="s">
        <v>4965</v>
      </c>
      <c r="X86" t="s">
        <v>4672</v>
      </c>
      <c r="Y86" t="s">
        <v>5060</v>
      </c>
      <c r="Z86" t="s">
        <v>5031</v>
      </c>
      <c r="AB86" t="s">
        <v>4672</v>
      </c>
      <c r="AC86" t="s">
        <v>4672</v>
      </c>
    </row>
    <row r="87" spans="1:29" hidden="1">
      <c r="A87" s="10">
        <v>46072</v>
      </c>
      <c r="B87" s="10">
        <v>46074</v>
      </c>
      <c r="C87" t="s">
        <v>5152</v>
      </c>
      <c r="D87" t="s">
        <v>4977</v>
      </c>
      <c r="E87" t="s">
        <v>4962</v>
      </c>
      <c r="F87" t="s">
        <v>5137</v>
      </c>
      <c r="G87" t="s">
        <v>4672</v>
      </c>
      <c r="H87" t="s">
        <v>4970</v>
      </c>
      <c r="I87" t="s">
        <v>4979</v>
      </c>
      <c r="J87" t="s">
        <v>4980</v>
      </c>
      <c r="K87" t="s">
        <v>4981</v>
      </c>
      <c r="L87" t="s">
        <v>2548</v>
      </c>
      <c r="M87">
        <v>26471</v>
      </c>
      <c r="N87" s="641">
        <f>+transaction_statement_01_Jan_2026_28_Feb_2026[[#This Row],[Orig amount]]/100</f>
        <v>264.70999999999998</v>
      </c>
      <c r="O87" t="s">
        <v>2697</v>
      </c>
      <c r="P87">
        <v>-22509</v>
      </c>
      <c r="Q87">
        <v>-22509</v>
      </c>
      <c r="R87">
        <v>1176020</v>
      </c>
      <c r="S87">
        <v>0</v>
      </c>
      <c r="T87" t="s">
        <v>2697</v>
      </c>
      <c r="U87">
        <v>226544</v>
      </c>
      <c r="V87" t="s">
        <v>4965</v>
      </c>
      <c r="X87" t="s">
        <v>4672</v>
      </c>
      <c r="Y87" t="s">
        <v>4672</v>
      </c>
      <c r="Z87" t="s">
        <v>4672</v>
      </c>
      <c r="AA87">
        <v>3219</v>
      </c>
      <c r="AB87" t="s">
        <v>4672</v>
      </c>
      <c r="AC87" t="s">
        <v>4672</v>
      </c>
    </row>
    <row r="88" spans="1:29" hidden="1">
      <c r="A88" s="10">
        <v>46073</v>
      </c>
      <c r="B88" s="10">
        <v>46074</v>
      </c>
      <c r="C88" t="s">
        <v>5153</v>
      </c>
      <c r="D88" t="s">
        <v>4977</v>
      </c>
      <c r="E88" t="s">
        <v>4962</v>
      </c>
      <c r="F88" t="s">
        <v>5154</v>
      </c>
      <c r="G88" t="s">
        <v>4672</v>
      </c>
      <c r="H88" t="s">
        <v>4970</v>
      </c>
      <c r="I88" t="s">
        <v>4979</v>
      </c>
      <c r="J88" t="s">
        <v>4980</v>
      </c>
      <c r="K88" t="s">
        <v>4981</v>
      </c>
      <c r="L88" t="s">
        <v>2548</v>
      </c>
      <c r="M88">
        <v>2500</v>
      </c>
      <c r="N88" s="641">
        <f>+transaction_statement_01_Jan_2026_28_Feb_2026[[#This Row],[Orig amount]]/100</f>
        <v>25</v>
      </c>
      <c r="O88" t="s">
        <v>2697</v>
      </c>
      <c r="P88">
        <v>-2120</v>
      </c>
      <c r="Q88">
        <v>-2120</v>
      </c>
      <c r="R88">
        <v>1179585</v>
      </c>
      <c r="S88">
        <v>0</v>
      </c>
      <c r="T88" t="s">
        <v>2697</v>
      </c>
      <c r="U88">
        <v>249053</v>
      </c>
      <c r="V88" t="s">
        <v>4965</v>
      </c>
      <c r="X88" t="s">
        <v>4672</v>
      </c>
      <c r="Y88" t="s">
        <v>4672</v>
      </c>
      <c r="Z88" t="s">
        <v>4672</v>
      </c>
      <c r="AA88">
        <v>5734</v>
      </c>
      <c r="AB88" t="s">
        <v>4672</v>
      </c>
      <c r="AC88" t="s">
        <v>4672</v>
      </c>
    </row>
    <row r="89" spans="1:29" hidden="1">
      <c r="A89" s="10">
        <v>46073</v>
      </c>
      <c r="B89" s="10">
        <v>46074</v>
      </c>
      <c r="C89" t="s">
        <v>5155</v>
      </c>
      <c r="D89" t="s">
        <v>4977</v>
      </c>
      <c r="E89" t="s">
        <v>4962</v>
      </c>
      <c r="F89" t="s">
        <v>5156</v>
      </c>
      <c r="G89" t="s">
        <v>4672</v>
      </c>
      <c r="H89" t="s">
        <v>4970</v>
      </c>
      <c r="I89" t="s">
        <v>4979</v>
      </c>
      <c r="J89" t="s">
        <v>4980</v>
      </c>
      <c r="K89" t="s">
        <v>4981</v>
      </c>
      <c r="L89" t="s">
        <v>2548</v>
      </c>
      <c r="M89">
        <v>10000</v>
      </c>
      <c r="N89" s="641">
        <f>+transaction_statement_01_Jan_2026_28_Feb_2026[[#This Row],[Orig amount]]/100</f>
        <v>100</v>
      </c>
      <c r="O89" t="s">
        <v>2697</v>
      </c>
      <c r="P89">
        <v>-8500</v>
      </c>
      <c r="Q89">
        <v>-8500</v>
      </c>
      <c r="R89">
        <v>1176596</v>
      </c>
      <c r="S89">
        <v>0</v>
      </c>
      <c r="T89" t="s">
        <v>2697</v>
      </c>
      <c r="U89">
        <v>251173</v>
      </c>
      <c r="V89" t="s">
        <v>4965</v>
      </c>
      <c r="X89" t="s">
        <v>4672</v>
      </c>
      <c r="Y89" t="s">
        <v>4672</v>
      </c>
      <c r="Z89" t="s">
        <v>4672</v>
      </c>
      <c r="AA89">
        <v>5734</v>
      </c>
      <c r="AB89" t="s">
        <v>4672</v>
      </c>
      <c r="AC89" t="s">
        <v>4672</v>
      </c>
    </row>
    <row r="90" spans="1:29" hidden="1">
      <c r="A90" s="10">
        <v>46073</v>
      </c>
      <c r="B90" s="10">
        <v>46074</v>
      </c>
      <c r="C90" t="s">
        <v>5157</v>
      </c>
      <c r="D90" t="s">
        <v>4977</v>
      </c>
      <c r="E90" t="s">
        <v>4962</v>
      </c>
      <c r="F90" t="s">
        <v>5158</v>
      </c>
      <c r="G90" t="s">
        <v>4672</v>
      </c>
      <c r="H90" t="s">
        <v>4970</v>
      </c>
      <c r="I90" t="s">
        <v>4979</v>
      </c>
      <c r="J90" t="s">
        <v>4980</v>
      </c>
      <c r="K90" t="s">
        <v>4981</v>
      </c>
      <c r="L90" t="s">
        <v>2548</v>
      </c>
      <c r="M90">
        <v>1500</v>
      </c>
      <c r="N90" s="641">
        <f>+transaction_statement_01_Jan_2026_28_Feb_2026[[#This Row],[Orig amount]]/100</f>
        <v>15</v>
      </c>
      <c r="O90" t="s">
        <v>2697</v>
      </c>
      <c r="P90">
        <v>-1276</v>
      </c>
      <c r="Q90">
        <v>-1276</v>
      </c>
      <c r="R90">
        <v>1176341</v>
      </c>
      <c r="S90">
        <v>0</v>
      </c>
      <c r="T90" t="s">
        <v>2697</v>
      </c>
      <c r="U90">
        <v>259673</v>
      </c>
      <c r="V90" t="s">
        <v>4965</v>
      </c>
      <c r="X90" t="s">
        <v>4672</v>
      </c>
      <c r="Y90" t="s">
        <v>4672</v>
      </c>
      <c r="Z90" t="s">
        <v>4672</v>
      </c>
      <c r="AA90">
        <v>5942</v>
      </c>
      <c r="AB90" t="s">
        <v>4672</v>
      </c>
      <c r="AC90" t="s">
        <v>4672</v>
      </c>
    </row>
    <row r="91" spans="1:29" hidden="1">
      <c r="A91" s="10">
        <v>46073</v>
      </c>
      <c r="B91" s="10">
        <v>46074</v>
      </c>
      <c r="C91" t="s">
        <v>5159</v>
      </c>
      <c r="D91" t="s">
        <v>4977</v>
      </c>
      <c r="E91" t="s">
        <v>4962</v>
      </c>
      <c r="F91" t="s">
        <v>5158</v>
      </c>
      <c r="G91" t="s">
        <v>4672</v>
      </c>
      <c r="H91" t="s">
        <v>4970</v>
      </c>
      <c r="I91" t="s">
        <v>4979</v>
      </c>
      <c r="J91" t="s">
        <v>4980</v>
      </c>
      <c r="K91" t="s">
        <v>4981</v>
      </c>
      <c r="L91" t="s">
        <v>2548</v>
      </c>
      <c r="M91">
        <v>1195</v>
      </c>
      <c r="N91" s="641">
        <f>+transaction_statement_01_Jan_2026_28_Feb_2026[[#This Row],[Orig amount]]/100</f>
        <v>11.95</v>
      </c>
      <c r="O91" t="s">
        <v>2697</v>
      </c>
      <c r="P91">
        <v>-1017</v>
      </c>
      <c r="Q91">
        <v>-1017</v>
      </c>
      <c r="R91">
        <v>1175981</v>
      </c>
      <c r="S91">
        <v>0</v>
      </c>
      <c r="T91" t="s">
        <v>2697</v>
      </c>
      <c r="U91">
        <v>260949</v>
      </c>
      <c r="V91" t="s">
        <v>4965</v>
      </c>
      <c r="X91" t="s">
        <v>4672</v>
      </c>
      <c r="Y91" t="s">
        <v>4672</v>
      </c>
      <c r="Z91" t="s">
        <v>4672</v>
      </c>
      <c r="AA91">
        <v>5942</v>
      </c>
      <c r="AB91" t="s">
        <v>4672</v>
      </c>
      <c r="AC91" t="s">
        <v>4672</v>
      </c>
    </row>
    <row r="92" spans="1:29" hidden="1">
      <c r="A92" s="10">
        <v>46073</v>
      </c>
      <c r="B92" s="10">
        <v>46074</v>
      </c>
      <c r="C92" t="s">
        <v>5160</v>
      </c>
      <c r="D92" t="s">
        <v>4977</v>
      </c>
      <c r="E92" t="s">
        <v>4962</v>
      </c>
      <c r="F92" t="s">
        <v>5161</v>
      </c>
      <c r="G92" t="s">
        <v>4672</v>
      </c>
      <c r="H92" t="s">
        <v>4970</v>
      </c>
      <c r="I92" t="s">
        <v>4979</v>
      </c>
      <c r="J92" t="s">
        <v>4980</v>
      </c>
      <c r="K92" t="s">
        <v>4981</v>
      </c>
      <c r="L92" t="s">
        <v>2697</v>
      </c>
      <c r="M92">
        <v>4499</v>
      </c>
      <c r="N92" s="641">
        <f>+transaction_statement_01_Jan_2026_28_Feb_2026[[#This Row],[Orig amount]]/100</f>
        <v>44.99</v>
      </c>
      <c r="O92" t="s">
        <v>2697</v>
      </c>
      <c r="P92">
        <v>-4499</v>
      </c>
      <c r="Q92">
        <v>-4499</v>
      </c>
      <c r="S92">
        <v>0</v>
      </c>
      <c r="T92" t="s">
        <v>2697</v>
      </c>
      <c r="U92">
        <v>261966</v>
      </c>
      <c r="V92" t="s">
        <v>4965</v>
      </c>
      <c r="X92" t="s">
        <v>4672</v>
      </c>
      <c r="Y92" t="s">
        <v>4672</v>
      </c>
      <c r="Z92" t="s">
        <v>4672</v>
      </c>
      <c r="AA92">
        <v>5815</v>
      </c>
      <c r="AB92" t="s">
        <v>4672</v>
      </c>
      <c r="AC92" t="s">
        <v>4672</v>
      </c>
    </row>
    <row r="93" spans="1:29" hidden="1">
      <c r="A93" s="10">
        <v>46073</v>
      </c>
      <c r="B93" s="10">
        <v>46074</v>
      </c>
      <c r="C93" t="s">
        <v>5162</v>
      </c>
      <c r="D93" t="s">
        <v>4977</v>
      </c>
      <c r="E93" t="s">
        <v>4962</v>
      </c>
      <c r="F93" t="s">
        <v>5163</v>
      </c>
      <c r="G93" t="s">
        <v>4672</v>
      </c>
      <c r="H93" t="s">
        <v>4970</v>
      </c>
      <c r="I93" t="s">
        <v>4979</v>
      </c>
      <c r="J93" t="s">
        <v>4980</v>
      </c>
      <c r="K93" t="s">
        <v>4981</v>
      </c>
      <c r="L93" t="s">
        <v>2697</v>
      </c>
      <c r="M93">
        <v>1499</v>
      </c>
      <c r="N93" s="641">
        <f>+transaction_statement_01_Jan_2026_28_Feb_2026[[#This Row],[Orig amount]]/100</f>
        <v>14.99</v>
      </c>
      <c r="O93" t="s">
        <v>2697</v>
      </c>
      <c r="P93">
        <v>-1499</v>
      </c>
      <c r="Q93">
        <v>-1499</v>
      </c>
      <c r="S93">
        <v>0</v>
      </c>
      <c r="T93" t="s">
        <v>2697</v>
      </c>
      <c r="U93">
        <v>266465</v>
      </c>
      <c r="V93" t="s">
        <v>4965</v>
      </c>
      <c r="X93" t="s">
        <v>4672</v>
      </c>
      <c r="Y93" t="s">
        <v>4672</v>
      </c>
      <c r="Z93" t="s">
        <v>4672</v>
      </c>
      <c r="AA93">
        <v>5815</v>
      </c>
      <c r="AB93" t="s">
        <v>4672</v>
      </c>
      <c r="AC93" t="s">
        <v>4672</v>
      </c>
    </row>
    <row r="94" spans="1:29" hidden="1">
      <c r="A94" s="10">
        <v>46073</v>
      </c>
      <c r="B94" s="10">
        <v>46074</v>
      </c>
      <c r="C94" t="s">
        <v>5164</v>
      </c>
      <c r="D94" t="s">
        <v>4977</v>
      </c>
      <c r="E94" t="s">
        <v>4962</v>
      </c>
      <c r="F94" t="s">
        <v>5165</v>
      </c>
      <c r="G94" t="s">
        <v>4672</v>
      </c>
      <c r="H94" t="s">
        <v>4970</v>
      </c>
      <c r="I94" t="s">
        <v>4979</v>
      </c>
      <c r="J94" t="s">
        <v>4980</v>
      </c>
      <c r="K94" t="s">
        <v>4981</v>
      </c>
      <c r="L94" t="s">
        <v>2697</v>
      </c>
      <c r="M94">
        <v>1933</v>
      </c>
      <c r="N94" s="641">
        <f>+transaction_statement_01_Jan_2026_28_Feb_2026[[#This Row],[Orig amount]]/100</f>
        <v>19.329999999999998</v>
      </c>
      <c r="O94" t="s">
        <v>2697</v>
      </c>
      <c r="P94">
        <v>-1933</v>
      </c>
      <c r="Q94">
        <v>-1933</v>
      </c>
      <c r="S94">
        <v>0</v>
      </c>
      <c r="T94" t="s">
        <v>2697</v>
      </c>
      <c r="U94">
        <v>267964</v>
      </c>
      <c r="V94" t="s">
        <v>4965</v>
      </c>
      <c r="X94" t="s">
        <v>4672</v>
      </c>
      <c r="Y94" t="s">
        <v>4672</v>
      </c>
      <c r="Z94" t="s">
        <v>4672</v>
      </c>
      <c r="AA94">
        <v>7372</v>
      </c>
      <c r="AB94" t="s">
        <v>4672</v>
      </c>
      <c r="AC94" t="s">
        <v>4672</v>
      </c>
    </row>
    <row r="95" spans="1:29" hidden="1">
      <c r="A95" s="10">
        <v>46073</v>
      </c>
      <c r="B95" s="10">
        <v>46074</v>
      </c>
      <c r="C95" t="s">
        <v>5166</v>
      </c>
      <c r="D95" t="s">
        <v>4977</v>
      </c>
      <c r="E95" t="s">
        <v>4962</v>
      </c>
      <c r="F95" t="s">
        <v>5167</v>
      </c>
      <c r="G95" t="s">
        <v>4672</v>
      </c>
      <c r="H95" t="s">
        <v>4970</v>
      </c>
      <c r="I95" t="s">
        <v>4984</v>
      </c>
      <c r="J95" t="s">
        <v>4985</v>
      </c>
      <c r="K95" t="s">
        <v>4981</v>
      </c>
      <c r="L95" t="s">
        <v>2548</v>
      </c>
      <c r="M95">
        <v>600</v>
      </c>
      <c r="N95" s="641">
        <f>+transaction_statement_01_Jan_2026_28_Feb_2026[[#This Row],[Orig amount]]/100</f>
        <v>6</v>
      </c>
      <c r="O95" t="s">
        <v>2697</v>
      </c>
      <c r="P95">
        <v>-510</v>
      </c>
      <c r="Q95">
        <v>-510</v>
      </c>
      <c r="R95">
        <v>1176641</v>
      </c>
      <c r="S95">
        <v>0</v>
      </c>
      <c r="T95" t="s">
        <v>2697</v>
      </c>
      <c r="U95">
        <v>269897</v>
      </c>
      <c r="V95" t="s">
        <v>4965</v>
      </c>
      <c r="X95" t="s">
        <v>4672</v>
      </c>
      <c r="Y95" t="s">
        <v>4672</v>
      </c>
      <c r="Z95" t="s">
        <v>4672</v>
      </c>
      <c r="AA95">
        <v>5814</v>
      </c>
      <c r="AB95" t="s">
        <v>4672</v>
      </c>
      <c r="AC95" t="s">
        <v>4672</v>
      </c>
    </row>
    <row r="96" spans="1:29" hidden="1">
      <c r="A96" s="10">
        <v>46074</v>
      </c>
      <c r="B96" s="10">
        <v>46074</v>
      </c>
      <c r="C96" t="s">
        <v>5168</v>
      </c>
      <c r="D96" t="s">
        <v>4961</v>
      </c>
      <c r="E96" t="s">
        <v>4962</v>
      </c>
      <c r="F96" t="s">
        <v>4963</v>
      </c>
      <c r="G96" t="s">
        <v>4964</v>
      </c>
      <c r="H96" t="s">
        <v>4672</v>
      </c>
      <c r="I96" t="s">
        <v>4672</v>
      </c>
      <c r="J96" t="s">
        <v>4672</v>
      </c>
      <c r="K96" t="s">
        <v>4672</v>
      </c>
      <c r="L96" t="s">
        <v>2697</v>
      </c>
      <c r="M96">
        <v>145569</v>
      </c>
      <c r="N96" s="641">
        <f>+transaction_statement_01_Jan_2026_28_Feb_2026[[#This Row],[Orig amount]]/100</f>
        <v>1455.69</v>
      </c>
      <c r="O96" t="s">
        <v>2697</v>
      </c>
      <c r="P96">
        <v>145569</v>
      </c>
      <c r="Q96">
        <v>145569</v>
      </c>
      <c r="S96">
        <v>0</v>
      </c>
      <c r="T96" t="s">
        <v>2697</v>
      </c>
      <c r="U96">
        <v>270407</v>
      </c>
      <c r="V96" t="s">
        <v>4965</v>
      </c>
      <c r="X96" t="s">
        <v>4672</v>
      </c>
      <c r="Y96" t="s">
        <v>4672</v>
      </c>
      <c r="Z96" t="s">
        <v>4672</v>
      </c>
      <c r="AB96" t="s">
        <v>4672</v>
      </c>
      <c r="AC96" t="s">
        <v>4672</v>
      </c>
    </row>
    <row r="97" spans="1:29" hidden="1">
      <c r="A97" s="10">
        <v>46073</v>
      </c>
      <c r="B97" s="10">
        <v>46073</v>
      </c>
      <c r="C97" t="s">
        <v>5169</v>
      </c>
      <c r="D97" t="s">
        <v>4967</v>
      </c>
      <c r="E97" t="s">
        <v>4962</v>
      </c>
      <c r="F97" t="s">
        <v>5058</v>
      </c>
      <c r="G97" t="s">
        <v>5059</v>
      </c>
      <c r="H97" t="s">
        <v>4970</v>
      </c>
      <c r="I97" t="s">
        <v>4672</v>
      </c>
      <c r="J97" t="s">
        <v>4672</v>
      </c>
      <c r="K97" t="s">
        <v>4672</v>
      </c>
      <c r="L97" t="s">
        <v>2697</v>
      </c>
      <c r="M97">
        <v>15000</v>
      </c>
      <c r="N97" s="641">
        <f>+transaction_statement_01_Jan_2026_28_Feb_2026[[#This Row],[Orig amount]]/100</f>
        <v>150</v>
      </c>
      <c r="O97" t="s">
        <v>2697</v>
      </c>
      <c r="P97">
        <v>-15000</v>
      </c>
      <c r="Q97">
        <v>-15000</v>
      </c>
      <c r="S97">
        <v>0</v>
      </c>
      <c r="T97" t="s">
        <v>2697</v>
      </c>
      <c r="U97">
        <v>124838</v>
      </c>
      <c r="V97" t="s">
        <v>4965</v>
      </c>
      <c r="X97" t="s">
        <v>4672</v>
      </c>
      <c r="Y97" t="s">
        <v>5060</v>
      </c>
      <c r="Z97" t="s">
        <v>5031</v>
      </c>
      <c r="AB97" t="s">
        <v>4672</v>
      </c>
      <c r="AC97" t="s">
        <v>4672</v>
      </c>
    </row>
    <row r="98" spans="1:29">
      <c r="A98" s="10">
        <v>46072</v>
      </c>
      <c r="B98" s="10">
        <v>46073</v>
      </c>
      <c r="C98" t="s">
        <v>5170</v>
      </c>
      <c r="D98" t="s">
        <v>4977</v>
      </c>
      <c r="E98" t="s">
        <v>4962</v>
      </c>
      <c r="F98" t="s">
        <v>5171</v>
      </c>
      <c r="G98" t="s">
        <v>4672</v>
      </c>
      <c r="H98" t="s">
        <v>5172</v>
      </c>
      <c r="I98" t="s">
        <v>5173</v>
      </c>
      <c r="J98" t="s">
        <v>5174</v>
      </c>
      <c r="K98" t="s">
        <v>4981</v>
      </c>
      <c r="L98" t="s">
        <v>2697</v>
      </c>
      <c r="M98">
        <v>4760</v>
      </c>
      <c r="N98" s="642">
        <f>+transaction_statement_01_Jan_2026_28_Feb_2026[[#This Row],[Orig amount]]/100</f>
        <v>47.6</v>
      </c>
      <c r="O98" t="s">
        <v>2697</v>
      </c>
      <c r="P98">
        <v>-4760</v>
      </c>
      <c r="Q98">
        <v>-4760</v>
      </c>
      <c r="S98">
        <v>0</v>
      </c>
      <c r="T98" t="s">
        <v>2697</v>
      </c>
      <c r="U98">
        <v>139838</v>
      </c>
      <c r="V98" t="s">
        <v>4965</v>
      </c>
      <c r="X98" t="s">
        <v>4672</v>
      </c>
      <c r="Y98" t="s">
        <v>4672</v>
      </c>
      <c r="Z98" t="s">
        <v>4672</v>
      </c>
      <c r="AA98">
        <v>5734</v>
      </c>
      <c r="AB98" t="s">
        <v>4672</v>
      </c>
      <c r="AC98" t="s">
        <v>4672</v>
      </c>
    </row>
    <row r="99" spans="1:29" hidden="1">
      <c r="A99" s="10">
        <v>46072</v>
      </c>
      <c r="B99" s="10">
        <v>46073</v>
      </c>
      <c r="C99" t="s">
        <v>5175</v>
      </c>
      <c r="D99" t="s">
        <v>4977</v>
      </c>
      <c r="E99" t="s">
        <v>4962</v>
      </c>
      <c r="F99" t="s">
        <v>5176</v>
      </c>
      <c r="G99" t="s">
        <v>4672</v>
      </c>
      <c r="H99" t="s">
        <v>4970</v>
      </c>
      <c r="I99" t="s">
        <v>4979</v>
      </c>
      <c r="J99" t="s">
        <v>4980</v>
      </c>
      <c r="K99" t="s">
        <v>4981</v>
      </c>
      <c r="L99" t="s">
        <v>2697</v>
      </c>
      <c r="M99">
        <v>19244</v>
      </c>
      <c r="N99" s="641">
        <f>+transaction_statement_01_Jan_2026_28_Feb_2026[[#This Row],[Orig amount]]/100</f>
        <v>192.44</v>
      </c>
      <c r="O99" t="s">
        <v>2697</v>
      </c>
      <c r="P99">
        <v>-19244</v>
      </c>
      <c r="Q99">
        <v>-19244</v>
      </c>
      <c r="S99">
        <v>0</v>
      </c>
      <c r="T99" t="s">
        <v>2697</v>
      </c>
      <c r="U99">
        <v>144598</v>
      </c>
      <c r="V99" t="s">
        <v>4965</v>
      </c>
      <c r="X99" t="s">
        <v>4672</v>
      </c>
      <c r="Y99" t="s">
        <v>4672</v>
      </c>
      <c r="Z99" t="s">
        <v>4672</v>
      </c>
      <c r="AA99">
        <v>5734</v>
      </c>
      <c r="AB99" t="s">
        <v>4672</v>
      </c>
      <c r="AC99" t="s">
        <v>4672</v>
      </c>
    </row>
    <row r="100" spans="1:29" hidden="1">
      <c r="A100" s="10">
        <v>46073</v>
      </c>
      <c r="B100" s="10">
        <v>46073</v>
      </c>
      <c r="C100" t="s">
        <v>5177</v>
      </c>
      <c r="D100" t="s">
        <v>4967</v>
      </c>
      <c r="E100" t="s">
        <v>4962</v>
      </c>
      <c r="F100" t="s">
        <v>5178</v>
      </c>
      <c r="G100" t="s">
        <v>5179</v>
      </c>
      <c r="H100" t="s">
        <v>4672</v>
      </c>
      <c r="I100" t="s">
        <v>4672</v>
      </c>
      <c r="J100" t="s">
        <v>4672</v>
      </c>
      <c r="K100" t="s">
        <v>4672</v>
      </c>
      <c r="L100" t="s">
        <v>2697</v>
      </c>
      <c r="M100">
        <v>22578</v>
      </c>
      <c r="N100" s="641">
        <f>+transaction_statement_01_Jan_2026_28_Feb_2026[[#This Row],[Orig amount]]/100</f>
        <v>225.78</v>
      </c>
      <c r="O100" t="s">
        <v>2697</v>
      </c>
      <c r="P100">
        <v>-22578</v>
      </c>
      <c r="Q100">
        <v>-22578</v>
      </c>
      <c r="S100">
        <v>0</v>
      </c>
      <c r="T100" t="s">
        <v>2697</v>
      </c>
      <c r="U100">
        <v>163842</v>
      </c>
      <c r="V100" t="s">
        <v>4965</v>
      </c>
      <c r="X100" t="s">
        <v>4672</v>
      </c>
      <c r="Y100" t="s">
        <v>5180</v>
      </c>
      <c r="Z100" t="s">
        <v>5095</v>
      </c>
      <c r="AB100" t="s">
        <v>4672</v>
      </c>
      <c r="AC100" t="s">
        <v>4672</v>
      </c>
    </row>
    <row r="101" spans="1:29" hidden="1">
      <c r="A101" s="10">
        <v>46073</v>
      </c>
      <c r="B101" s="10">
        <v>46073</v>
      </c>
      <c r="C101" t="s">
        <v>5181</v>
      </c>
      <c r="D101" t="s">
        <v>4967</v>
      </c>
      <c r="E101" t="s">
        <v>4962</v>
      </c>
      <c r="F101" t="s">
        <v>5182</v>
      </c>
      <c r="G101" t="s">
        <v>5183</v>
      </c>
      <c r="H101" t="s">
        <v>4970</v>
      </c>
      <c r="I101" t="s">
        <v>4672</v>
      </c>
      <c r="J101" t="s">
        <v>4672</v>
      </c>
      <c r="K101" t="s">
        <v>4672</v>
      </c>
      <c r="L101" t="s">
        <v>2697</v>
      </c>
      <c r="M101">
        <v>200000</v>
      </c>
      <c r="N101" s="641">
        <f>+transaction_statement_01_Jan_2026_28_Feb_2026[[#This Row],[Orig amount]]/100</f>
        <v>2000</v>
      </c>
      <c r="O101" t="s">
        <v>2697</v>
      </c>
      <c r="P101">
        <v>-200000</v>
      </c>
      <c r="Q101">
        <v>-200000</v>
      </c>
      <c r="S101">
        <v>0</v>
      </c>
      <c r="T101" t="s">
        <v>2697</v>
      </c>
      <c r="U101">
        <v>186420</v>
      </c>
      <c r="V101" t="s">
        <v>4965</v>
      </c>
      <c r="X101" t="s">
        <v>4672</v>
      </c>
      <c r="Y101" t="s">
        <v>4672</v>
      </c>
      <c r="Z101" t="s">
        <v>4672</v>
      </c>
      <c r="AB101" t="s">
        <v>4672</v>
      </c>
      <c r="AC101" t="s">
        <v>4672</v>
      </c>
    </row>
    <row r="102" spans="1:29" hidden="1">
      <c r="A102" s="10">
        <v>46073</v>
      </c>
      <c r="B102" s="10">
        <v>46073</v>
      </c>
      <c r="C102" t="s">
        <v>5184</v>
      </c>
      <c r="D102" t="s">
        <v>4967</v>
      </c>
      <c r="E102" t="s">
        <v>4962</v>
      </c>
      <c r="F102" t="s">
        <v>4968</v>
      </c>
      <c r="G102" t="s">
        <v>4969</v>
      </c>
      <c r="H102" t="s">
        <v>4970</v>
      </c>
      <c r="I102" t="s">
        <v>4672</v>
      </c>
      <c r="J102" t="s">
        <v>4672</v>
      </c>
      <c r="K102" t="s">
        <v>4672</v>
      </c>
      <c r="L102" t="s">
        <v>2697</v>
      </c>
      <c r="M102">
        <v>800000</v>
      </c>
      <c r="N102" s="641">
        <f>+transaction_statement_01_Jan_2026_28_Feb_2026[[#This Row],[Orig amount]]/100</f>
        <v>8000</v>
      </c>
      <c r="O102" t="s">
        <v>2697</v>
      </c>
      <c r="P102">
        <v>-800000</v>
      </c>
      <c r="Q102">
        <v>-800000</v>
      </c>
      <c r="S102">
        <v>0</v>
      </c>
      <c r="T102" t="s">
        <v>2697</v>
      </c>
      <c r="U102">
        <v>386420</v>
      </c>
      <c r="V102" t="s">
        <v>4965</v>
      </c>
      <c r="X102" t="s">
        <v>4672</v>
      </c>
      <c r="Y102" t="s">
        <v>4971</v>
      </c>
      <c r="Z102" t="s">
        <v>4972</v>
      </c>
      <c r="AB102" t="s">
        <v>4672</v>
      </c>
      <c r="AC102" t="s">
        <v>4672</v>
      </c>
    </row>
    <row r="103" spans="1:29" hidden="1">
      <c r="A103" s="10">
        <v>46073</v>
      </c>
      <c r="B103" s="10">
        <v>46073</v>
      </c>
      <c r="C103" t="s">
        <v>5185</v>
      </c>
      <c r="D103" t="s">
        <v>4967</v>
      </c>
      <c r="E103" t="s">
        <v>4962</v>
      </c>
      <c r="F103" t="s">
        <v>5041</v>
      </c>
      <c r="G103" t="s">
        <v>5042</v>
      </c>
      <c r="H103" t="s">
        <v>4970</v>
      </c>
      <c r="I103" t="s">
        <v>4672</v>
      </c>
      <c r="J103" t="s">
        <v>4672</v>
      </c>
      <c r="K103" t="s">
        <v>4672</v>
      </c>
      <c r="L103" t="s">
        <v>2697</v>
      </c>
      <c r="M103">
        <v>500000</v>
      </c>
      <c r="N103" s="641">
        <f>+transaction_statement_01_Jan_2026_28_Feb_2026[[#This Row],[Orig amount]]/100</f>
        <v>5000</v>
      </c>
      <c r="O103" t="s">
        <v>2697</v>
      </c>
      <c r="P103">
        <v>-500000</v>
      </c>
      <c r="Q103">
        <v>-500000</v>
      </c>
      <c r="S103">
        <v>0</v>
      </c>
      <c r="T103" t="s">
        <v>2697</v>
      </c>
      <c r="U103">
        <v>1186420</v>
      </c>
      <c r="V103" t="s">
        <v>4965</v>
      </c>
      <c r="X103" t="s">
        <v>4672</v>
      </c>
      <c r="Y103" t="s">
        <v>5043</v>
      </c>
      <c r="Z103" t="s">
        <v>5044</v>
      </c>
      <c r="AB103" t="s">
        <v>4672</v>
      </c>
      <c r="AC103" t="s">
        <v>4672</v>
      </c>
    </row>
    <row r="104" spans="1:29" hidden="1">
      <c r="A104" s="10">
        <v>46073</v>
      </c>
      <c r="B104" s="10">
        <v>46073</v>
      </c>
      <c r="C104" t="s">
        <v>5186</v>
      </c>
      <c r="D104" t="s">
        <v>4967</v>
      </c>
      <c r="E104" t="s">
        <v>4962</v>
      </c>
      <c r="F104" t="s">
        <v>5187</v>
      </c>
      <c r="G104" t="s">
        <v>5188</v>
      </c>
      <c r="H104" t="s">
        <v>4970</v>
      </c>
      <c r="I104" t="s">
        <v>4672</v>
      </c>
      <c r="J104" t="s">
        <v>4672</v>
      </c>
      <c r="K104" t="s">
        <v>4672</v>
      </c>
      <c r="L104" t="s">
        <v>2697</v>
      </c>
      <c r="M104">
        <v>300000</v>
      </c>
      <c r="N104" s="641">
        <f>+transaction_statement_01_Jan_2026_28_Feb_2026[[#This Row],[Orig amount]]/100</f>
        <v>3000</v>
      </c>
      <c r="O104" t="s">
        <v>2697</v>
      </c>
      <c r="P104">
        <v>-300000</v>
      </c>
      <c r="Q104">
        <v>-300000</v>
      </c>
      <c r="S104">
        <v>0</v>
      </c>
      <c r="T104" t="s">
        <v>2697</v>
      </c>
      <c r="U104">
        <v>1686420</v>
      </c>
      <c r="V104" t="s">
        <v>4965</v>
      </c>
      <c r="X104" t="s">
        <v>4672</v>
      </c>
      <c r="Y104" t="s">
        <v>5189</v>
      </c>
      <c r="Z104" t="s">
        <v>5190</v>
      </c>
      <c r="AB104" t="s">
        <v>4672</v>
      </c>
      <c r="AC104" t="s">
        <v>4672</v>
      </c>
    </row>
    <row r="105" spans="1:29" hidden="1">
      <c r="A105" s="10">
        <v>46073</v>
      </c>
      <c r="B105" s="10">
        <v>46073</v>
      </c>
      <c r="C105" t="s">
        <v>5191</v>
      </c>
      <c r="D105" t="s">
        <v>4967</v>
      </c>
      <c r="E105" t="s">
        <v>4962</v>
      </c>
      <c r="F105" t="s">
        <v>5187</v>
      </c>
      <c r="G105" t="s">
        <v>5192</v>
      </c>
      <c r="H105" t="s">
        <v>4970</v>
      </c>
      <c r="I105" t="s">
        <v>4672</v>
      </c>
      <c r="J105" t="s">
        <v>4672</v>
      </c>
      <c r="K105" t="s">
        <v>4672</v>
      </c>
      <c r="L105" t="s">
        <v>2697</v>
      </c>
      <c r="M105">
        <v>300000</v>
      </c>
      <c r="N105" s="641">
        <f>+transaction_statement_01_Jan_2026_28_Feb_2026[[#This Row],[Orig amount]]/100</f>
        <v>3000</v>
      </c>
      <c r="O105" t="s">
        <v>2697</v>
      </c>
      <c r="P105">
        <v>-300000</v>
      </c>
      <c r="Q105">
        <v>-300000</v>
      </c>
      <c r="S105">
        <v>0</v>
      </c>
      <c r="T105" t="s">
        <v>2697</v>
      </c>
      <c r="U105">
        <v>1986420</v>
      </c>
      <c r="V105" t="s">
        <v>4965</v>
      </c>
      <c r="X105" t="s">
        <v>4672</v>
      </c>
      <c r="Y105" t="s">
        <v>5189</v>
      </c>
      <c r="Z105" t="s">
        <v>5190</v>
      </c>
      <c r="AB105" t="s">
        <v>4672</v>
      </c>
      <c r="AC105" t="s">
        <v>4672</v>
      </c>
    </row>
    <row r="106" spans="1:29" hidden="1">
      <c r="A106" s="10">
        <v>46073</v>
      </c>
      <c r="B106" s="10">
        <v>46073</v>
      </c>
      <c r="C106" t="s">
        <v>5193</v>
      </c>
      <c r="D106" t="s">
        <v>4967</v>
      </c>
      <c r="E106" t="s">
        <v>4962</v>
      </c>
      <c r="F106" t="s">
        <v>5194</v>
      </c>
      <c r="G106" t="s">
        <v>5195</v>
      </c>
      <c r="H106" t="s">
        <v>4970</v>
      </c>
      <c r="I106" t="s">
        <v>4672</v>
      </c>
      <c r="J106" t="s">
        <v>4672</v>
      </c>
      <c r="K106" t="s">
        <v>4672</v>
      </c>
      <c r="L106" t="s">
        <v>2697</v>
      </c>
      <c r="M106">
        <v>701842</v>
      </c>
      <c r="N106" s="641">
        <f>+transaction_statement_01_Jan_2026_28_Feb_2026[[#This Row],[Orig amount]]/100</f>
        <v>7018.42</v>
      </c>
      <c r="O106" t="s">
        <v>2697</v>
      </c>
      <c r="P106">
        <v>-701842</v>
      </c>
      <c r="Q106">
        <v>-701842</v>
      </c>
      <c r="S106">
        <v>0</v>
      </c>
      <c r="T106" t="s">
        <v>2697</v>
      </c>
      <c r="U106">
        <v>2286420</v>
      </c>
      <c r="V106" t="s">
        <v>4965</v>
      </c>
      <c r="X106" t="s">
        <v>4672</v>
      </c>
      <c r="Y106" t="s">
        <v>5196</v>
      </c>
      <c r="Z106" t="s">
        <v>5197</v>
      </c>
      <c r="AB106" t="s">
        <v>4672</v>
      </c>
      <c r="AC106" t="s">
        <v>4672</v>
      </c>
    </row>
    <row r="107" spans="1:29" hidden="1">
      <c r="A107" s="10">
        <v>46073</v>
      </c>
      <c r="B107" s="10">
        <v>46073</v>
      </c>
      <c r="C107" t="s">
        <v>5198</v>
      </c>
      <c r="D107" t="s">
        <v>4967</v>
      </c>
      <c r="E107" t="s">
        <v>4962</v>
      </c>
      <c r="F107" t="s">
        <v>5194</v>
      </c>
      <c r="G107" t="s">
        <v>5199</v>
      </c>
      <c r="H107" t="s">
        <v>4970</v>
      </c>
      <c r="I107" t="s">
        <v>4672</v>
      </c>
      <c r="J107" t="s">
        <v>4672</v>
      </c>
      <c r="K107" t="s">
        <v>4672</v>
      </c>
      <c r="L107" t="s">
        <v>2697</v>
      </c>
      <c r="M107">
        <v>648123</v>
      </c>
      <c r="N107" s="641">
        <f>+transaction_statement_01_Jan_2026_28_Feb_2026[[#This Row],[Orig amount]]/100</f>
        <v>6481.23</v>
      </c>
      <c r="O107" t="s">
        <v>2697</v>
      </c>
      <c r="P107">
        <v>-648123</v>
      </c>
      <c r="Q107">
        <v>-648123</v>
      </c>
      <c r="S107">
        <v>0</v>
      </c>
      <c r="T107" t="s">
        <v>2697</v>
      </c>
      <c r="U107">
        <v>2988262</v>
      </c>
      <c r="V107" t="s">
        <v>4965</v>
      </c>
      <c r="X107" t="s">
        <v>4672</v>
      </c>
      <c r="Y107" t="s">
        <v>5196</v>
      </c>
      <c r="Z107" t="s">
        <v>5197</v>
      </c>
      <c r="AB107" t="s">
        <v>4672</v>
      </c>
      <c r="AC107" t="s">
        <v>4672</v>
      </c>
    </row>
    <row r="108" spans="1:29" hidden="1">
      <c r="A108" s="10">
        <v>46073</v>
      </c>
      <c r="B108" s="10">
        <v>46073</v>
      </c>
      <c r="C108" t="s">
        <v>5200</v>
      </c>
      <c r="D108" t="s">
        <v>4967</v>
      </c>
      <c r="E108" t="s">
        <v>4962</v>
      </c>
      <c r="F108" t="s">
        <v>5201</v>
      </c>
      <c r="G108" t="s">
        <v>5202</v>
      </c>
      <c r="H108" t="s">
        <v>4970</v>
      </c>
      <c r="I108" t="s">
        <v>4672</v>
      </c>
      <c r="J108" t="s">
        <v>4672</v>
      </c>
      <c r="K108" t="s">
        <v>4672</v>
      </c>
      <c r="L108" t="s">
        <v>2697</v>
      </c>
      <c r="M108">
        <v>404346</v>
      </c>
      <c r="N108" s="641">
        <f>+transaction_statement_01_Jan_2026_28_Feb_2026[[#This Row],[Orig amount]]/100</f>
        <v>4043.46</v>
      </c>
      <c r="O108" t="s">
        <v>2697</v>
      </c>
      <c r="P108">
        <v>-404346</v>
      </c>
      <c r="Q108">
        <v>-404346</v>
      </c>
      <c r="S108">
        <v>0</v>
      </c>
      <c r="T108" t="s">
        <v>2697</v>
      </c>
      <c r="U108">
        <v>3636385</v>
      </c>
      <c r="V108" t="s">
        <v>4965</v>
      </c>
      <c r="X108" t="s">
        <v>4672</v>
      </c>
      <c r="Y108" t="s">
        <v>5203</v>
      </c>
      <c r="Z108" t="s">
        <v>5204</v>
      </c>
      <c r="AB108" t="s">
        <v>4672</v>
      </c>
      <c r="AC108" t="s">
        <v>4672</v>
      </c>
    </row>
    <row r="109" spans="1:29" hidden="1">
      <c r="A109" s="10">
        <v>46073</v>
      </c>
      <c r="B109" s="10">
        <v>46073</v>
      </c>
      <c r="C109" t="s">
        <v>5205</v>
      </c>
      <c r="D109" t="s">
        <v>4967</v>
      </c>
      <c r="E109" t="s">
        <v>4962</v>
      </c>
      <c r="F109" t="s">
        <v>5201</v>
      </c>
      <c r="G109" t="s">
        <v>5206</v>
      </c>
      <c r="H109" t="s">
        <v>4970</v>
      </c>
      <c r="I109" t="s">
        <v>4672</v>
      </c>
      <c r="J109" t="s">
        <v>4672</v>
      </c>
      <c r="K109" t="s">
        <v>4672</v>
      </c>
      <c r="L109" t="s">
        <v>2697</v>
      </c>
      <c r="M109">
        <v>404346</v>
      </c>
      <c r="N109" s="641">
        <f>+transaction_statement_01_Jan_2026_28_Feb_2026[[#This Row],[Orig amount]]/100</f>
        <v>4043.46</v>
      </c>
      <c r="O109" t="s">
        <v>2697</v>
      </c>
      <c r="P109">
        <v>-404346</v>
      </c>
      <c r="Q109">
        <v>-404346</v>
      </c>
      <c r="S109">
        <v>0</v>
      </c>
      <c r="T109" t="s">
        <v>2697</v>
      </c>
      <c r="U109">
        <v>4040731</v>
      </c>
      <c r="V109" t="s">
        <v>4965</v>
      </c>
      <c r="X109" t="s">
        <v>4672</v>
      </c>
      <c r="Y109" t="s">
        <v>5203</v>
      </c>
      <c r="Z109" t="s">
        <v>5204</v>
      </c>
      <c r="AB109" t="s">
        <v>4672</v>
      </c>
      <c r="AC109" t="s">
        <v>4672</v>
      </c>
    </row>
    <row r="110" spans="1:29" hidden="1">
      <c r="A110" s="10">
        <v>46073</v>
      </c>
      <c r="B110" s="10">
        <v>46073</v>
      </c>
      <c r="C110" t="s">
        <v>5207</v>
      </c>
      <c r="D110" t="s">
        <v>4961</v>
      </c>
      <c r="E110" t="s">
        <v>4962</v>
      </c>
      <c r="F110" t="s">
        <v>5208</v>
      </c>
      <c r="G110" t="s">
        <v>5209</v>
      </c>
      <c r="H110" t="s">
        <v>4672</v>
      </c>
      <c r="I110" t="s">
        <v>4672</v>
      </c>
      <c r="J110" t="s">
        <v>4672</v>
      </c>
      <c r="K110" t="s">
        <v>4672</v>
      </c>
      <c r="L110" t="s">
        <v>2697</v>
      </c>
      <c r="M110">
        <v>4000000</v>
      </c>
      <c r="N110" s="641">
        <f>+transaction_statement_01_Jan_2026_28_Feb_2026[[#This Row],[Orig amount]]/100</f>
        <v>40000</v>
      </c>
      <c r="O110" t="s">
        <v>2697</v>
      </c>
      <c r="P110">
        <v>4000000</v>
      </c>
      <c r="Q110">
        <v>4000000</v>
      </c>
      <c r="S110">
        <v>0</v>
      </c>
      <c r="T110" t="s">
        <v>2697</v>
      </c>
      <c r="U110">
        <v>4445077</v>
      </c>
      <c r="V110" t="s">
        <v>4965</v>
      </c>
      <c r="X110" t="s">
        <v>4672</v>
      </c>
      <c r="Y110" t="s">
        <v>4672</v>
      </c>
      <c r="Z110" t="s">
        <v>4672</v>
      </c>
      <c r="AB110" t="s">
        <v>4672</v>
      </c>
      <c r="AC110" t="s">
        <v>4672</v>
      </c>
    </row>
    <row r="111" spans="1:29" hidden="1">
      <c r="A111" s="10">
        <v>46073</v>
      </c>
      <c r="B111" s="10">
        <v>46073</v>
      </c>
      <c r="C111" t="s">
        <v>5210</v>
      </c>
      <c r="D111" t="s">
        <v>4961</v>
      </c>
      <c r="E111" t="s">
        <v>4962</v>
      </c>
      <c r="F111" t="s">
        <v>4963</v>
      </c>
      <c r="G111" t="s">
        <v>4964</v>
      </c>
      <c r="H111" t="s">
        <v>4672</v>
      </c>
      <c r="I111" t="s">
        <v>4672</v>
      </c>
      <c r="J111" t="s">
        <v>4672</v>
      </c>
      <c r="K111" t="s">
        <v>4672</v>
      </c>
      <c r="L111" t="s">
        <v>2697</v>
      </c>
      <c r="M111">
        <v>364755</v>
      </c>
      <c r="N111" s="641">
        <f>+transaction_statement_01_Jan_2026_28_Feb_2026[[#This Row],[Orig amount]]/100</f>
        <v>3647.55</v>
      </c>
      <c r="O111" t="s">
        <v>2697</v>
      </c>
      <c r="P111">
        <v>364755</v>
      </c>
      <c r="Q111">
        <v>364755</v>
      </c>
      <c r="S111">
        <v>0</v>
      </c>
      <c r="T111" t="s">
        <v>2697</v>
      </c>
      <c r="U111">
        <v>445077</v>
      </c>
      <c r="V111" t="s">
        <v>4965</v>
      </c>
      <c r="X111" t="s">
        <v>4672</v>
      </c>
      <c r="Y111" t="s">
        <v>4672</v>
      </c>
      <c r="Z111" t="s">
        <v>4672</v>
      </c>
      <c r="AB111" t="s">
        <v>4672</v>
      </c>
      <c r="AC111" t="s">
        <v>4672</v>
      </c>
    </row>
    <row r="112" spans="1:29" hidden="1">
      <c r="A112" s="10">
        <v>46073</v>
      </c>
      <c r="B112" s="10">
        <v>46073</v>
      </c>
      <c r="C112" t="s">
        <v>5211</v>
      </c>
      <c r="D112" t="s">
        <v>4977</v>
      </c>
      <c r="E112" t="s">
        <v>4962</v>
      </c>
      <c r="F112" t="s">
        <v>5212</v>
      </c>
      <c r="G112" t="s">
        <v>4672</v>
      </c>
      <c r="H112" t="s">
        <v>4970</v>
      </c>
      <c r="I112" t="s">
        <v>4984</v>
      </c>
      <c r="J112" t="s">
        <v>4985</v>
      </c>
      <c r="K112" t="s">
        <v>4981</v>
      </c>
      <c r="L112" t="s">
        <v>2697</v>
      </c>
      <c r="M112">
        <v>12580</v>
      </c>
      <c r="N112" s="641">
        <f>+transaction_statement_01_Jan_2026_28_Feb_2026[[#This Row],[Orig amount]]/100</f>
        <v>125.8</v>
      </c>
      <c r="O112" t="s">
        <v>2697</v>
      </c>
      <c r="P112">
        <v>-12580</v>
      </c>
      <c r="Q112">
        <v>-12580</v>
      </c>
      <c r="S112">
        <v>0</v>
      </c>
      <c r="T112" t="s">
        <v>2697</v>
      </c>
      <c r="U112">
        <v>80322</v>
      </c>
      <c r="V112" t="s">
        <v>4965</v>
      </c>
      <c r="X112" t="s">
        <v>4672</v>
      </c>
      <c r="Y112" t="s">
        <v>4672</v>
      </c>
      <c r="Z112" t="s">
        <v>4672</v>
      </c>
      <c r="AA112">
        <v>5732</v>
      </c>
      <c r="AB112" t="s">
        <v>4672</v>
      </c>
      <c r="AC112" t="s">
        <v>4672</v>
      </c>
    </row>
    <row r="113" spans="1:29" hidden="1">
      <c r="A113" s="10">
        <v>46072</v>
      </c>
      <c r="B113" s="10">
        <v>46073</v>
      </c>
      <c r="C113" t="s">
        <v>5213</v>
      </c>
      <c r="D113" t="s">
        <v>4967</v>
      </c>
      <c r="E113" t="s">
        <v>4962</v>
      </c>
      <c r="F113" t="s">
        <v>5053</v>
      </c>
      <c r="G113" t="s">
        <v>5054</v>
      </c>
      <c r="H113" t="s">
        <v>4970</v>
      </c>
      <c r="I113" t="s">
        <v>4672</v>
      </c>
      <c r="J113" t="s">
        <v>4672</v>
      </c>
      <c r="K113" t="s">
        <v>4672</v>
      </c>
      <c r="L113" t="s">
        <v>2697</v>
      </c>
      <c r="M113">
        <v>70000</v>
      </c>
      <c r="N113" s="641">
        <f>+transaction_statement_01_Jan_2026_28_Feb_2026[[#This Row],[Orig amount]]/100</f>
        <v>700</v>
      </c>
      <c r="O113" t="s">
        <v>2697</v>
      </c>
      <c r="P113">
        <v>-70000</v>
      </c>
      <c r="Q113">
        <v>-70000</v>
      </c>
      <c r="S113">
        <v>0</v>
      </c>
      <c r="T113" t="s">
        <v>2697</v>
      </c>
      <c r="U113">
        <v>92902</v>
      </c>
      <c r="V113" t="s">
        <v>4965</v>
      </c>
      <c r="X113" t="s">
        <v>4672</v>
      </c>
      <c r="Y113" t="s">
        <v>5055</v>
      </c>
      <c r="Z113" t="s">
        <v>5056</v>
      </c>
      <c r="AB113" t="s">
        <v>4672</v>
      </c>
      <c r="AC113" t="s">
        <v>4672</v>
      </c>
    </row>
    <row r="114" spans="1:29" hidden="1">
      <c r="A114" s="10">
        <v>46072</v>
      </c>
      <c r="B114" s="10">
        <v>46072</v>
      </c>
      <c r="C114" t="s">
        <v>5214</v>
      </c>
      <c r="D114" t="s">
        <v>4967</v>
      </c>
      <c r="E114" t="s">
        <v>4962</v>
      </c>
      <c r="F114" t="s">
        <v>5041</v>
      </c>
      <c r="G114" t="s">
        <v>5042</v>
      </c>
      <c r="H114" t="s">
        <v>4970</v>
      </c>
      <c r="I114" t="s">
        <v>4672</v>
      </c>
      <c r="J114" t="s">
        <v>4672</v>
      </c>
      <c r="K114" t="s">
        <v>4672</v>
      </c>
      <c r="L114" t="s">
        <v>2697</v>
      </c>
      <c r="M114">
        <v>150000</v>
      </c>
      <c r="N114" s="641">
        <f>+transaction_statement_01_Jan_2026_28_Feb_2026[[#This Row],[Orig amount]]/100</f>
        <v>1500</v>
      </c>
      <c r="O114" t="s">
        <v>2697</v>
      </c>
      <c r="P114">
        <v>-150000</v>
      </c>
      <c r="Q114">
        <v>-150000</v>
      </c>
      <c r="S114">
        <v>0</v>
      </c>
      <c r="T114" t="s">
        <v>2697</v>
      </c>
      <c r="U114">
        <v>162902</v>
      </c>
      <c r="V114" t="s">
        <v>4965</v>
      </c>
      <c r="X114" t="s">
        <v>4672</v>
      </c>
      <c r="Y114" t="s">
        <v>5043</v>
      </c>
      <c r="Z114" t="s">
        <v>5044</v>
      </c>
      <c r="AB114" t="s">
        <v>4672</v>
      </c>
      <c r="AC114" t="s">
        <v>4672</v>
      </c>
    </row>
    <row r="115" spans="1:29" hidden="1">
      <c r="A115" s="10">
        <v>46072</v>
      </c>
      <c r="B115" s="10">
        <v>46072</v>
      </c>
      <c r="C115" t="s">
        <v>5215</v>
      </c>
      <c r="D115" t="s">
        <v>4961</v>
      </c>
      <c r="E115" t="s">
        <v>4962</v>
      </c>
      <c r="F115" t="s">
        <v>5025</v>
      </c>
      <c r="G115" t="s">
        <v>5026</v>
      </c>
      <c r="H115" t="s">
        <v>4672</v>
      </c>
      <c r="I115" t="s">
        <v>4672</v>
      </c>
      <c r="J115" t="s">
        <v>4672</v>
      </c>
      <c r="K115" t="s">
        <v>4672</v>
      </c>
      <c r="L115" t="s">
        <v>2697</v>
      </c>
      <c r="M115">
        <v>94751</v>
      </c>
      <c r="N115" s="641">
        <f>+transaction_statement_01_Jan_2026_28_Feb_2026[[#This Row],[Orig amount]]/100</f>
        <v>947.51</v>
      </c>
      <c r="O115" t="s">
        <v>2697</v>
      </c>
      <c r="P115">
        <v>94751</v>
      </c>
      <c r="Q115">
        <v>94751</v>
      </c>
      <c r="S115">
        <v>0</v>
      </c>
      <c r="T115" t="s">
        <v>2697</v>
      </c>
      <c r="U115">
        <v>312902</v>
      </c>
      <c r="V115" t="s">
        <v>4965</v>
      </c>
      <c r="X115" t="s">
        <v>4672</v>
      </c>
      <c r="Y115" t="s">
        <v>4672</v>
      </c>
      <c r="Z115" t="s">
        <v>4672</v>
      </c>
      <c r="AB115" t="s">
        <v>4672</v>
      </c>
      <c r="AC115" t="s">
        <v>4672</v>
      </c>
    </row>
    <row r="116" spans="1:29" hidden="1">
      <c r="A116" s="10">
        <v>46072</v>
      </c>
      <c r="B116" s="10">
        <v>46072</v>
      </c>
      <c r="C116" t="s">
        <v>5216</v>
      </c>
      <c r="D116" t="s">
        <v>4967</v>
      </c>
      <c r="E116" t="s">
        <v>4962</v>
      </c>
      <c r="F116" t="s">
        <v>5046</v>
      </c>
      <c r="G116" t="s">
        <v>4672</v>
      </c>
      <c r="H116" t="s">
        <v>4970</v>
      </c>
      <c r="I116" t="s">
        <v>4672</v>
      </c>
      <c r="J116" t="s">
        <v>4672</v>
      </c>
      <c r="K116" t="s">
        <v>4672</v>
      </c>
      <c r="L116" t="s">
        <v>2697</v>
      </c>
      <c r="M116">
        <v>86800</v>
      </c>
      <c r="N116" s="641">
        <f>+transaction_statement_01_Jan_2026_28_Feb_2026[[#This Row],[Orig amount]]/100</f>
        <v>868</v>
      </c>
      <c r="O116" t="s">
        <v>2697</v>
      </c>
      <c r="P116">
        <v>-86800</v>
      </c>
      <c r="Q116">
        <v>-86800</v>
      </c>
      <c r="S116">
        <v>0</v>
      </c>
      <c r="T116" t="s">
        <v>2697</v>
      </c>
      <c r="U116">
        <v>0</v>
      </c>
      <c r="V116" t="s">
        <v>5047</v>
      </c>
      <c r="X116" t="s">
        <v>4672</v>
      </c>
      <c r="Y116" t="s">
        <v>4672</v>
      </c>
      <c r="Z116" t="s">
        <v>4672</v>
      </c>
      <c r="AB116" t="s">
        <v>4672</v>
      </c>
      <c r="AC116" t="s">
        <v>4672</v>
      </c>
    </row>
    <row r="117" spans="1:29" hidden="1">
      <c r="A117" s="10">
        <v>46072</v>
      </c>
      <c r="B117" s="10">
        <v>46072</v>
      </c>
      <c r="C117" t="s">
        <v>5216</v>
      </c>
      <c r="D117" t="s">
        <v>4967</v>
      </c>
      <c r="E117" t="s">
        <v>4962</v>
      </c>
      <c r="F117" t="s">
        <v>5048</v>
      </c>
      <c r="G117" t="s">
        <v>4672</v>
      </c>
      <c r="H117" t="s">
        <v>4970</v>
      </c>
      <c r="I117" t="s">
        <v>4672</v>
      </c>
      <c r="J117" t="s">
        <v>4672</v>
      </c>
      <c r="K117" t="s">
        <v>4672</v>
      </c>
      <c r="L117" t="s">
        <v>2697</v>
      </c>
      <c r="M117">
        <v>-86800</v>
      </c>
      <c r="N117" s="641">
        <f>+transaction_statement_01_Jan_2026_28_Feb_2026[[#This Row],[Orig amount]]/100</f>
        <v>-868</v>
      </c>
      <c r="O117" t="s">
        <v>2697</v>
      </c>
      <c r="P117">
        <v>86800</v>
      </c>
      <c r="Q117">
        <v>86800</v>
      </c>
      <c r="S117">
        <v>0</v>
      </c>
      <c r="T117" t="s">
        <v>2697</v>
      </c>
      <c r="U117">
        <v>218151</v>
      </c>
      <c r="V117" t="s">
        <v>4965</v>
      </c>
      <c r="X117" t="s">
        <v>4672</v>
      </c>
      <c r="Y117" t="s">
        <v>4672</v>
      </c>
      <c r="Z117" t="s">
        <v>4672</v>
      </c>
      <c r="AB117" t="s">
        <v>4672</v>
      </c>
      <c r="AC117" t="s">
        <v>4672</v>
      </c>
    </row>
    <row r="118" spans="1:29" hidden="1">
      <c r="A118" s="10">
        <v>46072</v>
      </c>
      <c r="B118" s="10">
        <v>46072</v>
      </c>
      <c r="C118" t="s">
        <v>5217</v>
      </c>
      <c r="D118" t="s">
        <v>4961</v>
      </c>
      <c r="E118" t="s">
        <v>4962</v>
      </c>
      <c r="F118" t="s">
        <v>5050</v>
      </c>
      <c r="G118" t="s">
        <v>5051</v>
      </c>
      <c r="H118" t="s">
        <v>4672</v>
      </c>
      <c r="I118" t="s">
        <v>4672</v>
      </c>
      <c r="J118" t="s">
        <v>4672</v>
      </c>
      <c r="K118" t="s">
        <v>4672</v>
      </c>
      <c r="L118" t="s">
        <v>2697</v>
      </c>
      <c r="M118">
        <v>86800</v>
      </c>
      <c r="N118" s="641">
        <f>+transaction_statement_01_Jan_2026_28_Feb_2026[[#This Row],[Orig amount]]/100</f>
        <v>868</v>
      </c>
      <c r="O118" t="s">
        <v>2697</v>
      </c>
      <c r="P118">
        <v>86800</v>
      </c>
      <c r="Q118">
        <v>86800</v>
      </c>
      <c r="S118">
        <v>0</v>
      </c>
      <c r="T118" t="s">
        <v>2697</v>
      </c>
      <c r="U118">
        <v>86800</v>
      </c>
      <c r="V118" t="s">
        <v>5047</v>
      </c>
      <c r="X118" t="s">
        <v>4672</v>
      </c>
      <c r="Y118" t="s">
        <v>4672</v>
      </c>
      <c r="Z118" t="s">
        <v>4672</v>
      </c>
      <c r="AB118" t="s">
        <v>4672</v>
      </c>
      <c r="AC118" t="s">
        <v>4672</v>
      </c>
    </row>
    <row r="119" spans="1:29" hidden="1">
      <c r="A119" s="10">
        <v>46071</v>
      </c>
      <c r="B119" s="10">
        <v>46072</v>
      </c>
      <c r="C119" t="s">
        <v>5218</v>
      </c>
      <c r="D119" t="s">
        <v>4977</v>
      </c>
      <c r="E119" t="s">
        <v>4962</v>
      </c>
      <c r="F119" t="s">
        <v>2753</v>
      </c>
      <c r="G119" t="s">
        <v>4672</v>
      </c>
      <c r="H119" t="s">
        <v>4970</v>
      </c>
      <c r="I119" t="s">
        <v>4979</v>
      </c>
      <c r="J119" t="s">
        <v>4980</v>
      </c>
      <c r="K119" t="s">
        <v>4981</v>
      </c>
      <c r="L119" t="s">
        <v>2697</v>
      </c>
      <c r="M119">
        <v>71433</v>
      </c>
      <c r="N119" s="641">
        <f>+transaction_statement_01_Jan_2026_28_Feb_2026[[#This Row],[Orig amount]]/100</f>
        <v>714.33</v>
      </c>
      <c r="O119" t="s">
        <v>2697</v>
      </c>
      <c r="P119">
        <v>-71433</v>
      </c>
      <c r="Q119">
        <v>-71433</v>
      </c>
      <c r="S119">
        <v>0</v>
      </c>
      <c r="T119" t="s">
        <v>2697</v>
      </c>
      <c r="U119">
        <v>131351</v>
      </c>
      <c r="V119" t="s">
        <v>4965</v>
      </c>
      <c r="X119" t="s">
        <v>4672</v>
      </c>
      <c r="Y119" t="s">
        <v>4672</v>
      </c>
      <c r="Z119" t="s">
        <v>4672</v>
      </c>
      <c r="AA119">
        <v>7372</v>
      </c>
      <c r="AB119" t="s">
        <v>4672</v>
      </c>
      <c r="AC119" t="s">
        <v>4672</v>
      </c>
    </row>
    <row r="120" spans="1:29" hidden="1">
      <c r="A120" s="10">
        <v>46072</v>
      </c>
      <c r="B120" s="10">
        <v>46072</v>
      </c>
      <c r="C120" t="s">
        <v>5219</v>
      </c>
      <c r="D120" t="s">
        <v>4961</v>
      </c>
      <c r="E120" t="s">
        <v>4962</v>
      </c>
      <c r="F120" t="s">
        <v>5025</v>
      </c>
      <c r="G120" t="s">
        <v>5026</v>
      </c>
      <c r="H120" t="s">
        <v>4672</v>
      </c>
      <c r="I120" t="s">
        <v>4672</v>
      </c>
      <c r="J120" t="s">
        <v>4672</v>
      </c>
      <c r="K120" t="s">
        <v>4672</v>
      </c>
      <c r="L120" t="s">
        <v>2697</v>
      </c>
      <c r="M120">
        <v>17391</v>
      </c>
      <c r="N120" s="641">
        <f>+transaction_statement_01_Jan_2026_28_Feb_2026[[#This Row],[Orig amount]]/100</f>
        <v>173.91</v>
      </c>
      <c r="O120" t="s">
        <v>2697</v>
      </c>
      <c r="P120">
        <v>17391</v>
      </c>
      <c r="Q120">
        <v>17391</v>
      </c>
      <c r="S120">
        <v>0</v>
      </c>
      <c r="T120" t="s">
        <v>2697</v>
      </c>
      <c r="U120">
        <v>202784</v>
      </c>
      <c r="V120" t="s">
        <v>4965</v>
      </c>
      <c r="X120" t="s">
        <v>4672</v>
      </c>
      <c r="Y120" t="s">
        <v>4672</v>
      </c>
      <c r="Z120" t="s">
        <v>4672</v>
      </c>
      <c r="AB120" t="s">
        <v>4672</v>
      </c>
      <c r="AC120" t="s">
        <v>4672</v>
      </c>
    </row>
    <row r="121" spans="1:29" hidden="1">
      <c r="A121" s="10">
        <v>46071</v>
      </c>
      <c r="B121" s="10">
        <v>46072</v>
      </c>
      <c r="C121" t="s">
        <v>5220</v>
      </c>
      <c r="D121" t="s">
        <v>4977</v>
      </c>
      <c r="E121" t="s">
        <v>4962</v>
      </c>
      <c r="F121" t="s">
        <v>5221</v>
      </c>
      <c r="G121" t="s">
        <v>4672</v>
      </c>
      <c r="H121" t="s">
        <v>4970</v>
      </c>
      <c r="I121" t="s">
        <v>4979</v>
      </c>
      <c r="J121" t="s">
        <v>4980</v>
      </c>
      <c r="K121" t="s">
        <v>4981</v>
      </c>
      <c r="L121" t="s">
        <v>2697</v>
      </c>
      <c r="M121">
        <v>53401</v>
      </c>
      <c r="N121" s="641">
        <f>+transaction_statement_01_Jan_2026_28_Feb_2026[[#This Row],[Orig amount]]/100</f>
        <v>534.01</v>
      </c>
      <c r="O121" t="s">
        <v>2697</v>
      </c>
      <c r="P121">
        <v>-53401</v>
      </c>
      <c r="Q121">
        <v>-53401</v>
      </c>
      <c r="S121">
        <v>0</v>
      </c>
      <c r="T121" t="s">
        <v>2697</v>
      </c>
      <c r="U121">
        <v>185393</v>
      </c>
      <c r="V121" t="s">
        <v>4965</v>
      </c>
      <c r="X121" t="s">
        <v>4672</v>
      </c>
      <c r="Y121" t="s">
        <v>4672</v>
      </c>
      <c r="Z121" t="s">
        <v>4672</v>
      </c>
      <c r="AA121">
        <v>5045</v>
      </c>
      <c r="AB121" t="s">
        <v>4672</v>
      </c>
      <c r="AC121" t="s">
        <v>4672</v>
      </c>
    </row>
    <row r="122" spans="1:29" hidden="1">
      <c r="A122" s="10">
        <v>46070</v>
      </c>
      <c r="B122" s="10">
        <v>46072</v>
      </c>
      <c r="C122" t="s">
        <v>5222</v>
      </c>
      <c r="D122" t="s">
        <v>4977</v>
      </c>
      <c r="E122" t="s">
        <v>4962</v>
      </c>
      <c r="F122" t="s">
        <v>5163</v>
      </c>
      <c r="G122" t="s">
        <v>4672</v>
      </c>
      <c r="H122" t="s">
        <v>4970</v>
      </c>
      <c r="I122" t="s">
        <v>4979</v>
      </c>
      <c r="J122" t="s">
        <v>4980</v>
      </c>
      <c r="K122" t="s">
        <v>4981</v>
      </c>
      <c r="L122" t="s">
        <v>2697</v>
      </c>
      <c r="M122">
        <v>999</v>
      </c>
      <c r="N122" s="641">
        <f>+transaction_statement_01_Jan_2026_28_Feb_2026[[#This Row],[Orig amount]]/100</f>
        <v>9.99</v>
      </c>
      <c r="O122" t="s">
        <v>2697</v>
      </c>
      <c r="P122">
        <v>-999</v>
      </c>
      <c r="Q122">
        <v>-999</v>
      </c>
      <c r="S122">
        <v>0</v>
      </c>
      <c r="T122" t="s">
        <v>2697</v>
      </c>
      <c r="U122">
        <v>238794</v>
      </c>
      <c r="V122" t="s">
        <v>4965</v>
      </c>
      <c r="X122" t="s">
        <v>4672</v>
      </c>
      <c r="Y122" t="s">
        <v>4672</v>
      </c>
      <c r="Z122" t="s">
        <v>4672</v>
      </c>
      <c r="AA122">
        <v>5815</v>
      </c>
      <c r="AB122" t="s">
        <v>4672</v>
      </c>
      <c r="AC122" t="s">
        <v>4672</v>
      </c>
    </row>
    <row r="123" spans="1:29" hidden="1">
      <c r="A123" s="10">
        <v>46072</v>
      </c>
      <c r="B123" s="10">
        <v>46072</v>
      </c>
      <c r="C123" t="s">
        <v>5223</v>
      </c>
      <c r="D123" t="s">
        <v>4967</v>
      </c>
      <c r="E123" t="s">
        <v>4962</v>
      </c>
      <c r="F123" t="s">
        <v>5224</v>
      </c>
      <c r="G123" t="s">
        <v>5225</v>
      </c>
      <c r="H123" t="s">
        <v>4970</v>
      </c>
      <c r="I123" t="s">
        <v>4672</v>
      </c>
      <c r="J123" t="s">
        <v>4672</v>
      </c>
      <c r="K123" t="s">
        <v>4672</v>
      </c>
      <c r="L123" t="s">
        <v>2697</v>
      </c>
      <c r="M123">
        <v>78183</v>
      </c>
      <c r="N123" s="642">
        <f>+transaction_statement_01_Jan_2026_28_Feb_2026[[#This Row],[Orig amount]]/100</f>
        <v>781.83</v>
      </c>
      <c r="O123" t="s">
        <v>2697</v>
      </c>
      <c r="P123">
        <v>-78183</v>
      </c>
      <c r="Q123">
        <v>-78183</v>
      </c>
      <c r="S123">
        <v>0</v>
      </c>
      <c r="T123" t="s">
        <v>2697</v>
      </c>
      <c r="U123">
        <v>239793</v>
      </c>
      <c r="V123" t="s">
        <v>4965</v>
      </c>
      <c r="X123" t="s">
        <v>4672</v>
      </c>
      <c r="Y123" t="s">
        <v>5226</v>
      </c>
      <c r="Z123" t="s">
        <v>5227</v>
      </c>
      <c r="AB123" t="s">
        <v>4672</v>
      </c>
      <c r="AC123" t="s">
        <v>4672</v>
      </c>
    </row>
    <row r="124" spans="1:29" hidden="1">
      <c r="A124" s="10">
        <v>46070</v>
      </c>
      <c r="B124" s="10">
        <v>46072</v>
      </c>
      <c r="C124" t="s">
        <v>5228</v>
      </c>
      <c r="D124" t="s">
        <v>4977</v>
      </c>
      <c r="E124" t="s">
        <v>4962</v>
      </c>
      <c r="F124" t="s">
        <v>5229</v>
      </c>
      <c r="G124" t="s">
        <v>4672</v>
      </c>
      <c r="H124" t="s">
        <v>4970</v>
      </c>
      <c r="I124" t="s">
        <v>4984</v>
      </c>
      <c r="J124" t="s">
        <v>4985</v>
      </c>
      <c r="K124" t="s">
        <v>4981</v>
      </c>
      <c r="L124" t="s">
        <v>2697</v>
      </c>
      <c r="M124">
        <v>25320</v>
      </c>
      <c r="N124" s="641">
        <f>+transaction_statement_01_Jan_2026_28_Feb_2026[[#This Row],[Orig amount]]/100</f>
        <v>253.2</v>
      </c>
      <c r="O124" t="s">
        <v>2697</v>
      </c>
      <c r="P124">
        <v>-25320</v>
      </c>
      <c r="Q124">
        <v>-25320</v>
      </c>
      <c r="S124">
        <v>0</v>
      </c>
      <c r="T124" t="s">
        <v>2697</v>
      </c>
      <c r="U124">
        <v>317976</v>
      </c>
      <c r="V124" t="s">
        <v>4965</v>
      </c>
      <c r="X124" t="s">
        <v>4672</v>
      </c>
      <c r="Y124" t="s">
        <v>4672</v>
      </c>
      <c r="Z124" t="s">
        <v>4672</v>
      </c>
      <c r="AA124">
        <v>4829</v>
      </c>
      <c r="AB124" t="s">
        <v>4672</v>
      </c>
      <c r="AC124" t="s">
        <v>4672</v>
      </c>
    </row>
    <row r="125" spans="1:29" hidden="1">
      <c r="A125" s="10">
        <v>46072</v>
      </c>
      <c r="B125" s="10">
        <v>46072</v>
      </c>
      <c r="C125" t="s">
        <v>5230</v>
      </c>
      <c r="D125" t="s">
        <v>4977</v>
      </c>
      <c r="E125" t="s">
        <v>4962</v>
      </c>
      <c r="F125" t="s">
        <v>5212</v>
      </c>
      <c r="G125" t="s">
        <v>4672</v>
      </c>
      <c r="H125" t="s">
        <v>4970</v>
      </c>
      <c r="I125" t="s">
        <v>4984</v>
      </c>
      <c r="J125" t="s">
        <v>4985</v>
      </c>
      <c r="K125" t="s">
        <v>4981</v>
      </c>
      <c r="L125" t="s">
        <v>2697</v>
      </c>
      <c r="M125">
        <v>6190</v>
      </c>
      <c r="N125" s="641">
        <f>+transaction_statement_01_Jan_2026_28_Feb_2026[[#This Row],[Orig amount]]/100</f>
        <v>61.9</v>
      </c>
      <c r="O125" t="s">
        <v>2697</v>
      </c>
      <c r="P125">
        <v>-6190</v>
      </c>
      <c r="Q125">
        <v>-6190</v>
      </c>
      <c r="S125">
        <v>0</v>
      </c>
      <c r="T125" t="s">
        <v>2697</v>
      </c>
      <c r="U125">
        <v>343296</v>
      </c>
      <c r="V125" t="s">
        <v>4965</v>
      </c>
      <c r="X125" t="s">
        <v>4672</v>
      </c>
      <c r="Y125" t="s">
        <v>4672</v>
      </c>
      <c r="Z125" t="s">
        <v>4672</v>
      </c>
      <c r="AA125">
        <v>5732</v>
      </c>
      <c r="AB125" t="s">
        <v>4672</v>
      </c>
      <c r="AC125" t="s">
        <v>4672</v>
      </c>
    </row>
    <row r="126" spans="1:29" hidden="1">
      <c r="A126" s="10">
        <v>46071</v>
      </c>
      <c r="B126" s="10">
        <v>46071</v>
      </c>
      <c r="C126" t="s">
        <v>5231</v>
      </c>
      <c r="D126" t="s">
        <v>4961</v>
      </c>
      <c r="E126" t="s">
        <v>4962</v>
      </c>
      <c r="F126" t="s">
        <v>5025</v>
      </c>
      <c r="G126" t="s">
        <v>5026</v>
      </c>
      <c r="H126" t="s">
        <v>4672</v>
      </c>
      <c r="I126" t="s">
        <v>4672</v>
      </c>
      <c r="J126" t="s">
        <v>4672</v>
      </c>
      <c r="K126" t="s">
        <v>4672</v>
      </c>
      <c r="L126" t="s">
        <v>2697</v>
      </c>
      <c r="M126">
        <v>105865</v>
      </c>
      <c r="N126" s="641">
        <f>+transaction_statement_01_Jan_2026_28_Feb_2026[[#This Row],[Orig amount]]/100</f>
        <v>1058.6500000000001</v>
      </c>
      <c r="O126" t="s">
        <v>2697</v>
      </c>
      <c r="P126">
        <v>105865</v>
      </c>
      <c r="Q126">
        <v>105865</v>
      </c>
      <c r="S126">
        <v>0</v>
      </c>
      <c r="T126" t="s">
        <v>2697</v>
      </c>
      <c r="U126">
        <v>349486</v>
      </c>
      <c r="V126" t="s">
        <v>4965</v>
      </c>
      <c r="X126" t="s">
        <v>4672</v>
      </c>
      <c r="Y126" t="s">
        <v>4672</v>
      </c>
      <c r="Z126" t="s">
        <v>4672</v>
      </c>
      <c r="AB126" t="s">
        <v>4672</v>
      </c>
      <c r="AC126" t="s">
        <v>4672</v>
      </c>
    </row>
    <row r="127" spans="1:29" hidden="1">
      <c r="A127" s="10">
        <v>46071</v>
      </c>
      <c r="B127" s="10">
        <v>46071</v>
      </c>
      <c r="C127" t="s">
        <v>5232</v>
      </c>
      <c r="D127" t="s">
        <v>4967</v>
      </c>
      <c r="E127" t="s">
        <v>4962</v>
      </c>
      <c r="F127" t="s">
        <v>5035</v>
      </c>
      <c r="G127" t="s">
        <v>5233</v>
      </c>
      <c r="H127" t="s">
        <v>4970</v>
      </c>
      <c r="I127" t="s">
        <v>4672</v>
      </c>
      <c r="J127" t="s">
        <v>4672</v>
      </c>
      <c r="K127" t="s">
        <v>4672</v>
      </c>
      <c r="L127" t="s">
        <v>2697</v>
      </c>
      <c r="M127">
        <v>2374</v>
      </c>
      <c r="N127" s="641">
        <f>+transaction_statement_01_Jan_2026_28_Feb_2026[[#This Row],[Orig amount]]/100</f>
        <v>23.74</v>
      </c>
      <c r="O127" t="s">
        <v>2697</v>
      </c>
      <c r="P127">
        <v>-2374</v>
      </c>
      <c r="Q127">
        <v>-2374</v>
      </c>
      <c r="S127">
        <v>0</v>
      </c>
      <c r="T127" t="s">
        <v>2697</v>
      </c>
      <c r="U127">
        <v>243621</v>
      </c>
      <c r="V127" t="s">
        <v>4965</v>
      </c>
      <c r="X127" t="s">
        <v>4672</v>
      </c>
      <c r="Y127" t="s">
        <v>5037</v>
      </c>
      <c r="Z127" t="s">
        <v>5038</v>
      </c>
      <c r="AB127" t="s">
        <v>4672</v>
      </c>
      <c r="AC127" t="s">
        <v>4672</v>
      </c>
    </row>
    <row r="128" spans="1:29" hidden="1">
      <c r="A128" s="10">
        <v>46070</v>
      </c>
      <c r="B128" s="10">
        <v>46071</v>
      </c>
      <c r="C128" t="s">
        <v>5234</v>
      </c>
      <c r="D128" t="s">
        <v>4977</v>
      </c>
      <c r="E128" t="s">
        <v>4962</v>
      </c>
      <c r="F128" t="s">
        <v>2786</v>
      </c>
      <c r="G128" t="s">
        <v>4672</v>
      </c>
      <c r="H128" t="s">
        <v>4970</v>
      </c>
      <c r="I128" t="s">
        <v>4979</v>
      </c>
      <c r="J128" t="s">
        <v>4980</v>
      </c>
      <c r="K128" t="s">
        <v>4981</v>
      </c>
      <c r="L128" t="s">
        <v>2548</v>
      </c>
      <c r="M128">
        <v>7387</v>
      </c>
      <c r="N128" s="641">
        <f>+transaction_statement_01_Jan_2026_28_Feb_2026[[#This Row],[Orig amount]]/100</f>
        <v>73.87</v>
      </c>
      <c r="O128" t="s">
        <v>2697</v>
      </c>
      <c r="P128">
        <v>-6248</v>
      </c>
      <c r="Q128">
        <v>-6248</v>
      </c>
      <c r="R128">
        <v>1182441</v>
      </c>
      <c r="S128">
        <v>0</v>
      </c>
      <c r="T128" t="s">
        <v>2697</v>
      </c>
      <c r="U128">
        <v>245995</v>
      </c>
      <c r="V128" t="s">
        <v>4965</v>
      </c>
      <c r="X128" t="s">
        <v>4672</v>
      </c>
      <c r="Y128" t="s">
        <v>4672</v>
      </c>
      <c r="Z128" t="s">
        <v>4672</v>
      </c>
      <c r="AA128">
        <v>5734</v>
      </c>
      <c r="AB128" t="s">
        <v>4672</v>
      </c>
      <c r="AC128" t="s">
        <v>4672</v>
      </c>
    </row>
    <row r="129" spans="1:29" hidden="1">
      <c r="A129" s="10">
        <v>46071</v>
      </c>
      <c r="B129" s="10">
        <v>46071</v>
      </c>
      <c r="C129" t="s">
        <v>5235</v>
      </c>
      <c r="D129" t="s">
        <v>4977</v>
      </c>
      <c r="E129" t="s">
        <v>4962</v>
      </c>
      <c r="F129" t="s">
        <v>5236</v>
      </c>
      <c r="G129" t="s">
        <v>4672</v>
      </c>
      <c r="H129" t="s">
        <v>4970</v>
      </c>
      <c r="I129" t="s">
        <v>4984</v>
      </c>
      <c r="J129" t="s">
        <v>4985</v>
      </c>
      <c r="K129" t="s">
        <v>4981</v>
      </c>
      <c r="L129" t="s">
        <v>2697</v>
      </c>
      <c r="M129">
        <v>18200</v>
      </c>
      <c r="N129" s="641">
        <f>+transaction_statement_01_Jan_2026_28_Feb_2026[[#This Row],[Orig amount]]/100</f>
        <v>182</v>
      </c>
      <c r="O129" t="s">
        <v>2697</v>
      </c>
      <c r="P129">
        <v>-18200</v>
      </c>
      <c r="Q129">
        <v>-18200</v>
      </c>
      <c r="S129">
        <v>0</v>
      </c>
      <c r="T129" t="s">
        <v>2697</v>
      </c>
      <c r="U129">
        <v>252243</v>
      </c>
      <c r="V129" t="s">
        <v>4965</v>
      </c>
      <c r="X129" t="s">
        <v>4672</v>
      </c>
      <c r="Y129" t="s">
        <v>4672</v>
      </c>
      <c r="Z129" t="s">
        <v>4672</v>
      </c>
      <c r="AA129">
        <v>5499</v>
      </c>
      <c r="AB129" t="s">
        <v>4672</v>
      </c>
      <c r="AC129" t="s">
        <v>4672</v>
      </c>
    </row>
    <row r="130" spans="1:29" hidden="1">
      <c r="A130" s="10">
        <v>46070</v>
      </c>
      <c r="B130" s="10">
        <v>46071</v>
      </c>
      <c r="C130" t="s">
        <v>5237</v>
      </c>
      <c r="D130" t="s">
        <v>4977</v>
      </c>
      <c r="E130" t="s">
        <v>4962</v>
      </c>
      <c r="F130" t="s">
        <v>5238</v>
      </c>
      <c r="G130" t="s">
        <v>4672</v>
      </c>
      <c r="H130" t="s">
        <v>4970</v>
      </c>
      <c r="I130" t="s">
        <v>4979</v>
      </c>
      <c r="J130" t="s">
        <v>4980</v>
      </c>
      <c r="K130" t="s">
        <v>4981</v>
      </c>
      <c r="L130" t="s">
        <v>2697</v>
      </c>
      <c r="M130">
        <v>10800</v>
      </c>
      <c r="N130" s="641">
        <f>+transaction_statement_01_Jan_2026_28_Feb_2026[[#This Row],[Orig amount]]/100</f>
        <v>108</v>
      </c>
      <c r="O130" t="s">
        <v>2697</v>
      </c>
      <c r="P130">
        <v>-10800</v>
      </c>
      <c r="Q130">
        <v>-10800</v>
      </c>
      <c r="S130">
        <v>0</v>
      </c>
      <c r="T130" t="s">
        <v>2697</v>
      </c>
      <c r="U130">
        <v>270443</v>
      </c>
      <c r="V130" t="s">
        <v>4965</v>
      </c>
      <c r="X130" t="s">
        <v>4672</v>
      </c>
      <c r="Y130" t="s">
        <v>4672</v>
      </c>
      <c r="Z130" t="s">
        <v>4672</v>
      </c>
      <c r="AA130">
        <v>7333</v>
      </c>
      <c r="AB130" t="s">
        <v>4672</v>
      </c>
      <c r="AC130" t="s">
        <v>4672</v>
      </c>
    </row>
    <row r="131" spans="1:29" hidden="1">
      <c r="A131" s="10">
        <v>46070</v>
      </c>
      <c r="B131" s="10">
        <v>46071</v>
      </c>
      <c r="C131" t="s">
        <v>5239</v>
      </c>
      <c r="D131" t="s">
        <v>4977</v>
      </c>
      <c r="E131" t="s">
        <v>4962</v>
      </c>
      <c r="F131" t="s">
        <v>5240</v>
      </c>
      <c r="G131" t="s">
        <v>4672</v>
      </c>
      <c r="H131" t="s">
        <v>4970</v>
      </c>
      <c r="I131" t="s">
        <v>4979</v>
      </c>
      <c r="J131" t="s">
        <v>4980</v>
      </c>
      <c r="K131" t="s">
        <v>4981</v>
      </c>
      <c r="L131" t="s">
        <v>2697</v>
      </c>
      <c r="M131">
        <v>2900</v>
      </c>
      <c r="N131" s="641">
        <f>+transaction_statement_01_Jan_2026_28_Feb_2026[[#This Row],[Orig amount]]/100</f>
        <v>29</v>
      </c>
      <c r="O131" t="s">
        <v>2697</v>
      </c>
      <c r="P131">
        <v>-2900</v>
      </c>
      <c r="Q131">
        <v>-2900</v>
      </c>
      <c r="S131">
        <v>0</v>
      </c>
      <c r="T131" t="s">
        <v>2697</v>
      </c>
      <c r="U131">
        <v>281243</v>
      </c>
      <c r="V131" t="s">
        <v>4965</v>
      </c>
      <c r="X131" t="s">
        <v>4672</v>
      </c>
      <c r="Y131" t="s">
        <v>4672</v>
      </c>
      <c r="Z131" t="s">
        <v>4672</v>
      </c>
      <c r="AA131">
        <v>4816</v>
      </c>
      <c r="AB131" t="s">
        <v>4672</v>
      </c>
      <c r="AC131" t="s">
        <v>4672</v>
      </c>
    </row>
    <row r="132" spans="1:29" hidden="1">
      <c r="A132" s="10">
        <v>46071</v>
      </c>
      <c r="B132" s="10">
        <v>46071</v>
      </c>
      <c r="C132" t="s">
        <v>5241</v>
      </c>
      <c r="D132" t="s">
        <v>4967</v>
      </c>
      <c r="E132" t="s">
        <v>4962</v>
      </c>
      <c r="F132" t="s">
        <v>5046</v>
      </c>
      <c r="G132" t="s">
        <v>4672</v>
      </c>
      <c r="H132" t="s">
        <v>4970</v>
      </c>
      <c r="I132" t="s">
        <v>4672</v>
      </c>
      <c r="J132" t="s">
        <v>4672</v>
      </c>
      <c r="K132" t="s">
        <v>4672</v>
      </c>
      <c r="L132" t="s">
        <v>2697</v>
      </c>
      <c r="M132">
        <v>100000</v>
      </c>
      <c r="N132" s="641">
        <f>+transaction_statement_01_Jan_2026_28_Feb_2026[[#This Row],[Orig amount]]/100</f>
        <v>1000</v>
      </c>
      <c r="O132" t="s">
        <v>2697</v>
      </c>
      <c r="P132">
        <v>-100000</v>
      </c>
      <c r="Q132">
        <v>-100000</v>
      </c>
      <c r="S132">
        <v>0</v>
      </c>
      <c r="T132" t="s">
        <v>2697</v>
      </c>
      <c r="U132">
        <v>0</v>
      </c>
      <c r="V132" t="s">
        <v>5047</v>
      </c>
      <c r="X132" t="s">
        <v>4672</v>
      </c>
      <c r="Y132" t="s">
        <v>4672</v>
      </c>
      <c r="Z132" t="s">
        <v>4672</v>
      </c>
      <c r="AB132" t="s">
        <v>4672</v>
      </c>
      <c r="AC132" t="s">
        <v>4672</v>
      </c>
    </row>
    <row r="133" spans="1:29" hidden="1">
      <c r="A133" s="10">
        <v>46071</v>
      </c>
      <c r="B133" s="10">
        <v>46071</v>
      </c>
      <c r="C133" t="s">
        <v>5241</v>
      </c>
      <c r="D133" t="s">
        <v>4967</v>
      </c>
      <c r="E133" t="s">
        <v>4962</v>
      </c>
      <c r="F133" t="s">
        <v>5048</v>
      </c>
      <c r="G133" t="s">
        <v>4672</v>
      </c>
      <c r="H133" t="s">
        <v>4970</v>
      </c>
      <c r="I133" t="s">
        <v>4672</v>
      </c>
      <c r="J133" t="s">
        <v>4672</v>
      </c>
      <c r="K133" t="s">
        <v>4672</v>
      </c>
      <c r="L133" t="s">
        <v>2697</v>
      </c>
      <c r="M133">
        <v>-100000</v>
      </c>
      <c r="N133" s="641">
        <f>+transaction_statement_01_Jan_2026_28_Feb_2026[[#This Row],[Orig amount]]/100</f>
        <v>-1000</v>
      </c>
      <c r="O133" t="s">
        <v>2697</v>
      </c>
      <c r="P133">
        <v>100000</v>
      </c>
      <c r="Q133">
        <v>100000</v>
      </c>
      <c r="S133">
        <v>0</v>
      </c>
      <c r="T133" t="s">
        <v>2697</v>
      </c>
      <c r="U133">
        <v>284143</v>
      </c>
      <c r="V133" t="s">
        <v>4965</v>
      </c>
      <c r="X133" t="s">
        <v>4672</v>
      </c>
      <c r="Y133" t="s">
        <v>4672</v>
      </c>
      <c r="Z133" t="s">
        <v>4672</v>
      </c>
      <c r="AB133" t="s">
        <v>4672</v>
      </c>
      <c r="AC133" t="s">
        <v>4672</v>
      </c>
    </row>
    <row r="134" spans="1:29" hidden="1">
      <c r="A134" s="10">
        <v>46071</v>
      </c>
      <c r="B134" s="10">
        <v>46071</v>
      </c>
      <c r="C134" t="s">
        <v>5242</v>
      </c>
      <c r="D134" t="s">
        <v>4961</v>
      </c>
      <c r="E134" t="s">
        <v>4962</v>
      </c>
      <c r="F134" t="s">
        <v>5050</v>
      </c>
      <c r="G134" t="s">
        <v>5051</v>
      </c>
      <c r="H134" t="s">
        <v>4672</v>
      </c>
      <c r="I134" t="s">
        <v>4672</v>
      </c>
      <c r="J134" t="s">
        <v>4672</v>
      </c>
      <c r="K134" t="s">
        <v>4672</v>
      </c>
      <c r="L134" t="s">
        <v>2697</v>
      </c>
      <c r="M134">
        <v>100000</v>
      </c>
      <c r="N134" s="641">
        <f>+transaction_statement_01_Jan_2026_28_Feb_2026[[#This Row],[Orig amount]]/100</f>
        <v>1000</v>
      </c>
      <c r="O134" t="s">
        <v>2697</v>
      </c>
      <c r="P134">
        <v>100000</v>
      </c>
      <c r="Q134">
        <v>100000</v>
      </c>
      <c r="S134">
        <v>0</v>
      </c>
      <c r="T134" t="s">
        <v>2697</v>
      </c>
      <c r="U134">
        <v>100000</v>
      </c>
      <c r="V134" t="s">
        <v>5047</v>
      </c>
      <c r="X134" t="s">
        <v>4672</v>
      </c>
      <c r="Y134" t="s">
        <v>4672</v>
      </c>
      <c r="Z134" t="s">
        <v>4672</v>
      </c>
      <c r="AB134" t="s">
        <v>4672</v>
      </c>
      <c r="AC134" t="s">
        <v>4672</v>
      </c>
    </row>
    <row r="135" spans="1:29" hidden="1">
      <c r="A135" s="10">
        <v>46070</v>
      </c>
      <c r="B135" s="10">
        <v>46071</v>
      </c>
      <c r="C135" t="s">
        <v>5243</v>
      </c>
      <c r="D135" t="s">
        <v>4977</v>
      </c>
      <c r="E135" t="s">
        <v>4962</v>
      </c>
      <c r="F135" t="s">
        <v>5244</v>
      </c>
      <c r="G135" t="s">
        <v>4672</v>
      </c>
      <c r="H135" t="s">
        <v>4970</v>
      </c>
      <c r="I135" t="s">
        <v>4984</v>
      </c>
      <c r="J135" t="s">
        <v>4985</v>
      </c>
      <c r="K135" t="s">
        <v>4981</v>
      </c>
      <c r="L135" t="s">
        <v>2697</v>
      </c>
      <c r="M135">
        <v>10205</v>
      </c>
      <c r="N135" s="641">
        <f>+transaction_statement_01_Jan_2026_28_Feb_2026[[#This Row],[Orig amount]]/100</f>
        <v>102.05</v>
      </c>
      <c r="O135" t="s">
        <v>2697</v>
      </c>
      <c r="P135">
        <v>-10205</v>
      </c>
      <c r="Q135">
        <v>-10205</v>
      </c>
      <c r="S135">
        <v>0</v>
      </c>
      <c r="T135" t="s">
        <v>2697</v>
      </c>
      <c r="U135">
        <v>184143</v>
      </c>
      <c r="V135" t="s">
        <v>4965</v>
      </c>
      <c r="X135" t="s">
        <v>4672</v>
      </c>
      <c r="Y135" t="s">
        <v>4672</v>
      </c>
      <c r="Z135" t="s">
        <v>4672</v>
      </c>
      <c r="AA135">
        <v>5541</v>
      </c>
      <c r="AB135" t="s">
        <v>4672</v>
      </c>
      <c r="AC135" t="s">
        <v>4672</v>
      </c>
    </row>
    <row r="136" spans="1:29" hidden="1">
      <c r="A136" s="10">
        <v>46071</v>
      </c>
      <c r="B136" s="10">
        <v>46071</v>
      </c>
      <c r="C136" t="s">
        <v>5245</v>
      </c>
      <c r="D136" t="s">
        <v>4977</v>
      </c>
      <c r="E136" t="s">
        <v>4962</v>
      </c>
      <c r="F136" t="s">
        <v>5246</v>
      </c>
      <c r="G136" t="s">
        <v>4672</v>
      </c>
      <c r="H136" t="s">
        <v>4970</v>
      </c>
      <c r="I136" t="s">
        <v>4979</v>
      </c>
      <c r="J136" t="s">
        <v>4980</v>
      </c>
      <c r="K136" t="s">
        <v>4981</v>
      </c>
      <c r="L136" t="s">
        <v>2697</v>
      </c>
      <c r="M136">
        <v>26677</v>
      </c>
      <c r="N136" s="641">
        <f>+transaction_statement_01_Jan_2026_28_Feb_2026[[#This Row],[Orig amount]]/100</f>
        <v>266.77</v>
      </c>
      <c r="O136" t="s">
        <v>2697</v>
      </c>
      <c r="P136">
        <v>-26677</v>
      </c>
      <c r="Q136">
        <v>-26677</v>
      </c>
      <c r="S136">
        <v>0</v>
      </c>
      <c r="T136" t="s">
        <v>2697</v>
      </c>
      <c r="U136">
        <v>194348</v>
      </c>
      <c r="V136" t="s">
        <v>4965</v>
      </c>
      <c r="X136" t="s">
        <v>4672</v>
      </c>
      <c r="Y136" t="s">
        <v>4672</v>
      </c>
      <c r="Z136" t="s">
        <v>4672</v>
      </c>
      <c r="AA136">
        <v>5045</v>
      </c>
      <c r="AB136" t="s">
        <v>4672</v>
      </c>
      <c r="AC136" t="s">
        <v>4672</v>
      </c>
    </row>
    <row r="137" spans="1:29" hidden="1">
      <c r="A137" s="10">
        <v>46070</v>
      </c>
      <c r="B137" s="10">
        <v>46071</v>
      </c>
      <c r="C137" t="s">
        <v>5247</v>
      </c>
      <c r="D137" t="s">
        <v>4977</v>
      </c>
      <c r="E137" t="s">
        <v>4962</v>
      </c>
      <c r="F137" t="s">
        <v>5248</v>
      </c>
      <c r="G137" t="s">
        <v>4672</v>
      </c>
      <c r="H137" t="s">
        <v>4970</v>
      </c>
      <c r="I137" t="s">
        <v>4984</v>
      </c>
      <c r="J137" t="s">
        <v>4985</v>
      </c>
      <c r="K137" t="s">
        <v>4981</v>
      </c>
      <c r="L137" t="s">
        <v>2697</v>
      </c>
      <c r="M137">
        <v>950</v>
      </c>
      <c r="N137" s="641">
        <f>+transaction_statement_01_Jan_2026_28_Feb_2026[[#This Row],[Orig amount]]/100</f>
        <v>9.5</v>
      </c>
      <c r="O137" t="s">
        <v>2697</v>
      </c>
      <c r="P137">
        <v>-950</v>
      </c>
      <c r="Q137">
        <v>-950</v>
      </c>
      <c r="S137">
        <v>0</v>
      </c>
      <c r="T137" t="s">
        <v>2697</v>
      </c>
      <c r="U137">
        <v>221025</v>
      </c>
      <c r="V137" t="s">
        <v>4965</v>
      </c>
      <c r="X137" t="s">
        <v>4672</v>
      </c>
      <c r="Y137" t="s">
        <v>4672</v>
      </c>
      <c r="Z137" t="s">
        <v>4672</v>
      </c>
      <c r="AA137">
        <v>5411</v>
      </c>
      <c r="AB137" t="s">
        <v>4672</v>
      </c>
      <c r="AC137" t="s">
        <v>4672</v>
      </c>
    </row>
    <row r="138" spans="1:29" hidden="1">
      <c r="A138" s="10">
        <v>46070</v>
      </c>
      <c r="B138" s="10">
        <v>46071</v>
      </c>
      <c r="C138" t="s">
        <v>5249</v>
      </c>
      <c r="D138" t="s">
        <v>4977</v>
      </c>
      <c r="E138" t="s">
        <v>4962</v>
      </c>
      <c r="F138" t="s">
        <v>5248</v>
      </c>
      <c r="G138" t="s">
        <v>4672</v>
      </c>
      <c r="H138" t="s">
        <v>4970</v>
      </c>
      <c r="I138" t="s">
        <v>4984</v>
      </c>
      <c r="J138" t="s">
        <v>4985</v>
      </c>
      <c r="K138" t="s">
        <v>4981</v>
      </c>
      <c r="L138" t="s">
        <v>2697</v>
      </c>
      <c r="M138">
        <v>3415</v>
      </c>
      <c r="N138" s="641">
        <f>+transaction_statement_01_Jan_2026_28_Feb_2026[[#This Row],[Orig amount]]/100</f>
        <v>34.15</v>
      </c>
      <c r="O138" t="s">
        <v>2697</v>
      </c>
      <c r="P138">
        <v>-3415</v>
      </c>
      <c r="Q138">
        <v>-3415</v>
      </c>
      <c r="S138">
        <v>0</v>
      </c>
      <c r="T138" t="s">
        <v>2697</v>
      </c>
      <c r="U138">
        <v>221975</v>
      </c>
      <c r="V138" t="s">
        <v>4965</v>
      </c>
      <c r="X138" t="s">
        <v>4672</v>
      </c>
      <c r="Y138" t="s">
        <v>4672</v>
      </c>
      <c r="Z138" t="s">
        <v>4672</v>
      </c>
      <c r="AA138">
        <v>5411</v>
      </c>
      <c r="AB138" t="s">
        <v>4672</v>
      </c>
      <c r="AC138" t="s">
        <v>4672</v>
      </c>
    </row>
    <row r="139" spans="1:29" hidden="1">
      <c r="A139" s="10">
        <v>46070</v>
      </c>
      <c r="B139" s="10">
        <v>46071</v>
      </c>
      <c r="C139" t="s">
        <v>5250</v>
      </c>
      <c r="D139" t="s">
        <v>4977</v>
      </c>
      <c r="E139" t="s">
        <v>4962</v>
      </c>
      <c r="F139" t="s">
        <v>5240</v>
      </c>
      <c r="G139" t="s">
        <v>4672</v>
      </c>
      <c r="H139" t="s">
        <v>4970</v>
      </c>
      <c r="I139" t="s">
        <v>4984</v>
      </c>
      <c r="J139" t="s">
        <v>4985</v>
      </c>
      <c r="K139" t="s">
        <v>4981</v>
      </c>
      <c r="L139" t="s">
        <v>2697</v>
      </c>
      <c r="M139">
        <v>2900</v>
      </c>
      <c r="N139" s="641">
        <f>+transaction_statement_01_Jan_2026_28_Feb_2026[[#This Row],[Orig amount]]/100</f>
        <v>29</v>
      </c>
      <c r="O139" t="s">
        <v>2697</v>
      </c>
      <c r="P139">
        <v>-2900</v>
      </c>
      <c r="Q139">
        <v>-2900</v>
      </c>
      <c r="S139">
        <v>0</v>
      </c>
      <c r="T139" t="s">
        <v>2697</v>
      </c>
      <c r="U139">
        <v>225390</v>
      </c>
      <c r="V139" t="s">
        <v>4965</v>
      </c>
      <c r="X139" t="s">
        <v>4672</v>
      </c>
      <c r="Y139" t="s">
        <v>4672</v>
      </c>
      <c r="Z139" t="s">
        <v>4672</v>
      </c>
      <c r="AA139">
        <v>4816</v>
      </c>
      <c r="AB139" t="s">
        <v>4672</v>
      </c>
      <c r="AC139" t="s">
        <v>4672</v>
      </c>
    </row>
    <row r="140" spans="1:29" hidden="1">
      <c r="A140" s="10">
        <v>46070</v>
      </c>
      <c r="B140" s="10">
        <v>46071</v>
      </c>
      <c r="C140" t="s">
        <v>5251</v>
      </c>
      <c r="D140" t="s">
        <v>4977</v>
      </c>
      <c r="E140" t="s">
        <v>4962</v>
      </c>
      <c r="F140" t="s">
        <v>5252</v>
      </c>
      <c r="G140" t="s">
        <v>4672</v>
      </c>
      <c r="H140" t="s">
        <v>4970</v>
      </c>
      <c r="I140" t="s">
        <v>4984</v>
      </c>
      <c r="J140" t="s">
        <v>4985</v>
      </c>
      <c r="K140" t="s">
        <v>4981</v>
      </c>
      <c r="L140" t="s">
        <v>2697</v>
      </c>
      <c r="M140">
        <v>1000</v>
      </c>
      <c r="N140" s="641">
        <f>+transaction_statement_01_Jan_2026_28_Feb_2026[[#This Row],[Orig amount]]/100</f>
        <v>10</v>
      </c>
      <c r="O140" t="s">
        <v>2697</v>
      </c>
      <c r="P140">
        <v>-1000</v>
      </c>
      <c r="Q140">
        <v>-1000</v>
      </c>
      <c r="S140">
        <v>0</v>
      </c>
      <c r="T140" t="s">
        <v>2697</v>
      </c>
      <c r="U140">
        <v>228290</v>
      </c>
      <c r="V140" t="s">
        <v>4965</v>
      </c>
      <c r="X140" t="s">
        <v>4672</v>
      </c>
      <c r="Y140" t="s">
        <v>4672</v>
      </c>
      <c r="Z140" t="s">
        <v>4672</v>
      </c>
      <c r="AA140">
        <v>5309</v>
      </c>
      <c r="AB140" t="s">
        <v>4672</v>
      </c>
      <c r="AC140" t="s">
        <v>4672</v>
      </c>
    </row>
    <row r="141" spans="1:29" hidden="1">
      <c r="A141" s="10">
        <v>46070</v>
      </c>
      <c r="B141" s="10">
        <v>46071</v>
      </c>
      <c r="C141" t="s">
        <v>5253</v>
      </c>
      <c r="D141" t="s">
        <v>4977</v>
      </c>
      <c r="E141" t="s">
        <v>4962</v>
      </c>
      <c r="F141" t="s">
        <v>5254</v>
      </c>
      <c r="G141" t="s">
        <v>4672</v>
      </c>
      <c r="H141" t="s">
        <v>4970</v>
      </c>
      <c r="I141" t="s">
        <v>4984</v>
      </c>
      <c r="J141" t="s">
        <v>4985</v>
      </c>
      <c r="K141" t="s">
        <v>4981</v>
      </c>
      <c r="L141" t="s">
        <v>2697</v>
      </c>
      <c r="M141">
        <v>945</v>
      </c>
      <c r="N141" s="641">
        <f>+transaction_statement_01_Jan_2026_28_Feb_2026[[#This Row],[Orig amount]]/100</f>
        <v>9.4499999999999993</v>
      </c>
      <c r="O141" t="s">
        <v>2697</v>
      </c>
      <c r="P141">
        <v>-945</v>
      </c>
      <c r="Q141">
        <v>-945</v>
      </c>
      <c r="S141">
        <v>0</v>
      </c>
      <c r="T141" t="s">
        <v>2697</v>
      </c>
      <c r="U141">
        <v>229290</v>
      </c>
      <c r="V141" t="s">
        <v>4965</v>
      </c>
      <c r="X141" t="s">
        <v>4672</v>
      </c>
      <c r="Y141" t="s">
        <v>4672</v>
      </c>
      <c r="Z141" t="s">
        <v>4672</v>
      </c>
      <c r="AA141">
        <v>5309</v>
      </c>
      <c r="AB141" t="s">
        <v>4672</v>
      </c>
      <c r="AC141" t="s">
        <v>4672</v>
      </c>
    </row>
    <row r="142" spans="1:29" hidden="1">
      <c r="A142" s="10">
        <v>46071</v>
      </c>
      <c r="B142" s="10">
        <v>46071</v>
      </c>
      <c r="C142" t="s">
        <v>5255</v>
      </c>
      <c r="D142" t="s">
        <v>4967</v>
      </c>
      <c r="E142" t="s">
        <v>4962</v>
      </c>
      <c r="F142" t="s">
        <v>5058</v>
      </c>
      <c r="G142" t="s">
        <v>5059</v>
      </c>
      <c r="H142" t="s">
        <v>4970</v>
      </c>
      <c r="I142" t="s">
        <v>4672</v>
      </c>
      <c r="J142" t="s">
        <v>4672</v>
      </c>
      <c r="K142" t="s">
        <v>4672</v>
      </c>
      <c r="L142" t="s">
        <v>2697</v>
      </c>
      <c r="M142">
        <v>100000</v>
      </c>
      <c r="N142" s="641">
        <f>+transaction_statement_01_Jan_2026_28_Feb_2026[[#This Row],[Orig amount]]/100</f>
        <v>1000</v>
      </c>
      <c r="O142" t="s">
        <v>2697</v>
      </c>
      <c r="P142">
        <v>-100000</v>
      </c>
      <c r="Q142">
        <v>-100000</v>
      </c>
      <c r="S142">
        <v>0</v>
      </c>
      <c r="T142" t="s">
        <v>2697</v>
      </c>
      <c r="U142">
        <v>230235</v>
      </c>
      <c r="V142" t="s">
        <v>4965</v>
      </c>
      <c r="X142" t="s">
        <v>4672</v>
      </c>
      <c r="Y142" t="s">
        <v>5060</v>
      </c>
      <c r="Z142" t="s">
        <v>5031</v>
      </c>
      <c r="AB142" t="s">
        <v>4672</v>
      </c>
      <c r="AC142" t="s">
        <v>4672</v>
      </c>
    </row>
    <row r="143" spans="1:29" hidden="1">
      <c r="A143" s="10">
        <v>46071</v>
      </c>
      <c r="B143" s="10">
        <v>46071</v>
      </c>
      <c r="C143" t="s">
        <v>5256</v>
      </c>
      <c r="D143" t="s">
        <v>4967</v>
      </c>
      <c r="E143" t="s">
        <v>4962</v>
      </c>
      <c r="F143" t="s">
        <v>5058</v>
      </c>
      <c r="G143" t="s">
        <v>5059</v>
      </c>
      <c r="H143" t="s">
        <v>4970</v>
      </c>
      <c r="I143" t="s">
        <v>4672</v>
      </c>
      <c r="J143" t="s">
        <v>4672</v>
      </c>
      <c r="K143" t="s">
        <v>4672</v>
      </c>
      <c r="L143" t="s">
        <v>2697</v>
      </c>
      <c r="M143">
        <v>80000</v>
      </c>
      <c r="N143" s="641">
        <f>+transaction_statement_01_Jan_2026_28_Feb_2026[[#This Row],[Orig amount]]/100</f>
        <v>800</v>
      </c>
      <c r="O143" t="s">
        <v>2697</v>
      </c>
      <c r="P143">
        <v>-80000</v>
      </c>
      <c r="Q143">
        <v>-80000</v>
      </c>
      <c r="S143">
        <v>0</v>
      </c>
      <c r="T143" t="s">
        <v>2697</v>
      </c>
      <c r="U143">
        <v>330235</v>
      </c>
      <c r="V143" t="s">
        <v>4965</v>
      </c>
      <c r="X143" t="s">
        <v>4672</v>
      </c>
      <c r="Y143" t="s">
        <v>5060</v>
      </c>
      <c r="Z143" t="s">
        <v>5031</v>
      </c>
      <c r="AB143" t="s">
        <v>4672</v>
      </c>
      <c r="AC143" t="s">
        <v>4672</v>
      </c>
    </row>
    <row r="144" spans="1:29" hidden="1">
      <c r="A144" s="10">
        <v>46070</v>
      </c>
      <c r="B144" s="10">
        <v>46070</v>
      </c>
      <c r="C144" t="s">
        <v>5257</v>
      </c>
      <c r="D144" t="s">
        <v>4961</v>
      </c>
      <c r="E144" t="s">
        <v>4962</v>
      </c>
      <c r="F144" t="s">
        <v>5025</v>
      </c>
      <c r="G144" t="s">
        <v>5026</v>
      </c>
      <c r="H144" t="s">
        <v>4672</v>
      </c>
      <c r="I144" t="s">
        <v>4672</v>
      </c>
      <c r="J144" t="s">
        <v>4672</v>
      </c>
      <c r="K144" t="s">
        <v>4672</v>
      </c>
      <c r="L144" t="s">
        <v>2697</v>
      </c>
      <c r="M144">
        <v>94777</v>
      </c>
      <c r="N144" s="641">
        <f>+transaction_statement_01_Jan_2026_28_Feb_2026[[#This Row],[Orig amount]]/100</f>
        <v>947.77</v>
      </c>
      <c r="O144" t="s">
        <v>2697</v>
      </c>
      <c r="P144">
        <v>94777</v>
      </c>
      <c r="Q144">
        <v>94777</v>
      </c>
      <c r="S144">
        <v>0</v>
      </c>
      <c r="T144" t="s">
        <v>2697</v>
      </c>
      <c r="U144">
        <v>410235</v>
      </c>
      <c r="V144" t="s">
        <v>4965</v>
      </c>
      <c r="X144" t="s">
        <v>4672</v>
      </c>
      <c r="Y144" t="s">
        <v>4672</v>
      </c>
      <c r="Z144" t="s">
        <v>4672</v>
      </c>
      <c r="AB144" t="s">
        <v>4672</v>
      </c>
      <c r="AC144" t="s">
        <v>4672</v>
      </c>
    </row>
    <row r="145" spans="1:29" hidden="1">
      <c r="A145" s="10">
        <v>46070</v>
      </c>
      <c r="B145" s="10">
        <v>46070</v>
      </c>
      <c r="C145" t="s">
        <v>5258</v>
      </c>
      <c r="D145" t="s">
        <v>4961</v>
      </c>
      <c r="E145" t="s">
        <v>4962</v>
      </c>
      <c r="F145" t="s">
        <v>5025</v>
      </c>
      <c r="G145" t="s">
        <v>5026</v>
      </c>
      <c r="H145" t="s">
        <v>4672</v>
      </c>
      <c r="I145" t="s">
        <v>4672</v>
      </c>
      <c r="J145" t="s">
        <v>4672</v>
      </c>
      <c r="K145" t="s">
        <v>4672</v>
      </c>
      <c r="L145" t="s">
        <v>2697</v>
      </c>
      <c r="M145">
        <v>94777</v>
      </c>
      <c r="N145" s="641">
        <f>+transaction_statement_01_Jan_2026_28_Feb_2026[[#This Row],[Orig amount]]/100</f>
        <v>947.77</v>
      </c>
      <c r="O145" t="s">
        <v>2697</v>
      </c>
      <c r="P145">
        <v>94777</v>
      </c>
      <c r="Q145">
        <v>94777</v>
      </c>
      <c r="S145">
        <v>0</v>
      </c>
      <c r="T145" t="s">
        <v>2697</v>
      </c>
      <c r="U145">
        <v>315458</v>
      </c>
      <c r="V145" t="s">
        <v>4965</v>
      </c>
      <c r="X145" t="s">
        <v>4672</v>
      </c>
      <c r="Y145" t="s">
        <v>4672</v>
      </c>
      <c r="Z145" t="s">
        <v>4672</v>
      </c>
      <c r="AB145" t="s">
        <v>4672</v>
      </c>
      <c r="AC145" t="s">
        <v>4672</v>
      </c>
    </row>
    <row r="146" spans="1:29" hidden="1">
      <c r="A146" s="10">
        <v>46069</v>
      </c>
      <c r="B146" s="10">
        <v>46070</v>
      </c>
      <c r="C146" t="s">
        <v>5259</v>
      </c>
      <c r="D146" t="s">
        <v>4977</v>
      </c>
      <c r="E146" t="s">
        <v>4962</v>
      </c>
      <c r="F146" t="s">
        <v>4096</v>
      </c>
      <c r="G146" t="s">
        <v>4672</v>
      </c>
      <c r="H146" t="s">
        <v>4970</v>
      </c>
      <c r="I146" t="s">
        <v>4979</v>
      </c>
      <c r="J146" t="s">
        <v>4980</v>
      </c>
      <c r="K146" t="s">
        <v>4981</v>
      </c>
      <c r="L146" t="s">
        <v>2548</v>
      </c>
      <c r="M146">
        <v>25000</v>
      </c>
      <c r="N146" s="641">
        <f>+transaction_statement_01_Jan_2026_28_Feb_2026[[#This Row],[Orig amount]]/100</f>
        <v>250</v>
      </c>
      <c r="O146" t="s">
        <v>2697</v>
      </c>
      <c r="P146">
        <v>-21093</v>
      </c>
      <c r="Q146">
        <v>-21093</v>
      </c>
      <c r="R146">
        <v>1185266</v>
      </c>
      <c r="S146">
        <v>0</v>
      </c>
      <c r="T146" t="s">
        <v>2697</v>
      </c>
      <c r="U146">
        <v>220681</v>
      </c>
      <c r="V146" t="s">
        <v>4965</v>
      </c>
      <c r="X146" t="s">
        <v>4672</v>
      </c>
      <c r="Y146" t="s">
        <v>4672</v>
      </c>
      <c r="Z146" t="s">
        <v>4672</v>
      </c>
      <c r="AA146">
        <v>5734</v>
      </c>
      <c r="AB146" t="s">
        <v>4672</v>
      </c>
      <c r="AC146" t="s">
        <v>4672</v>
      </c>
    </row>
    <row r="147" spans="1:29" hidden="1">
      <c r="A147" s="10">
        <v>46070</v>
      </c>
      <c r="B147" s="10">
        <v>46070</v>
      </c>
      <c r="C147" t="s">
        <v>5260</v>
      </c>
      <c r="D147" t="s">
        <v>4977</v>
      </c>
      <c r="E147" t="s">
        <v>4962</v>
      </c>
      <c r="F147" t="s">
        <v>5261</v>
      </c>
      <c r="G147" t="s">
        <v>4672</v>
      </c>
      <c r="H147" t="s">
        <v>4970</v>
      </c>
      <c r="I147" t="s">
        <v>4984</v>
      </c>
      <c r="J147" t="s">
        <v>4985</v>
      </c>
      <c r="K147" t="s">
        <v>4981</v>
      </c>
      <c r="L147" t="s">
        <v>2548</v>
      </c>
      <c r="M147">
        <v>5999</v>
      </c>
      <c r="N147" s="641">
        <f>+transaction_statement_01_Jan_2026_28_Feb_2026[[#This Row],[Orig amount]]/100</f>
        <v>59.99</v>
      </c>
      <c r="O147" t="s">
        <v>2697</v>
      </c>
      <c r="P147">
        <v>-5066</v>
      </c>
      <c r="Q147">
        <v>-5066</v>
      </c>
      <c r="R147">
        <v>1184394</v>
      </c>
      <c r="S147">
        <v>0</v>
      </c>
      <c r="T147" t="s">
        <v>2697</v>
      </c>
      <c r="U147">
        <v>241774</v>
      </c>
      <c r="V147" t="s">
        <v>4965</v>
      </c>
      <c r="X147" t="s">
        <v>4672</v>
      </c>
      <c r="Y147" t="s">
        <v>4672</v>
      </c>
      <c r="Z147" t="s">
        <v>4672</v>
      </c>
      <c r="AA147">
        <v>5817</v>
      </c>
      <c r="AB147" t="s">
        <v>4672</v>
      </c>
      <c r="AC147" t="s">
        <v>4672</v>
      </c>
    </row>
    <row r="148" spans="1:29" hidden="1">
      <c r="A148" s="10">
        <v>46069</v>
      </c>
      <c r="B148" s="10">
        <v>46070</v>
      </c>
      <c r="C148" t="s">
        <v>5262</v>
      </c>
      <c r="D148" t="s">
        <v>4977</v>
      </c>
      <c r="E148" t="s">
        <v>4962</v>
      </c>
      <c r="F148" t="s">
        <v>2737</v>
      </c>
      <c r="G148" t="s">
        <v>4672</v>
      </c>
      <c r="H148" t="s">
        <v>4970</v>
      </c>
      <c r="I148" t="s">
        <v>4979</v>
      </c>
      <c r="J148" t="s">
        <v>4980</v>
      </c>
      <c r="K148" t="s">
        <v>4981</v>
      </c>
      <c r="L148" t="s">
        <v>2548</v>
      </c>
      <c r="M148">
        <v>3240</v>
      </c>
      <c r="N148" s="641">
        <f>+transaction_statement_01_Jan_2026_28_Feb_2026[[#This Row],[Orig amount]]/100</f>
        <v>32.4</v>
      </c>
      <c r="O148" t="s">
        <v>2697</v>
      </c>
      <c r="P148">
        <v>-2733</v>
      </c>
      <c r="Q148">
        <v>-2733</v>
      </c>
      <c r="R148">
        <v>1185716</v>
      </c>
      <c r="S148">
        <v>0</v>
      </c>
      <c r="T148" t="s">
        <v>2697</v>
      </c>
      <c r="U148">
        <v>246840</v>
      </c>
      <c r="V148" t="s">
        <v>4965</v>
      </c>
      <c r="X148" t="s">
        <v>4672</v>
      </c>
      <c r="Y148" t="s">
        <v>4672</v>
      </c>
      <c r="Z148" t="s">
        <v>4672</v>
      </c>
      <c r="AA148">
        <v>5734</v>
      </c>
      <c r="AB148" t="s">
        <v>4672</v>
      </c>
      <c r="AC148" t="s">
        <v>4672</v>
      </c>
    </row>
    <row r="149" spans="1:29" hidden="1">
      <c r="A149" s="10">
        <v>46069</v>
      </c>
      <c r="B149" s="10">
        <v>46070</v>
      </c>
      <c r="C149" t="s">
        <v>5263</v>
      </c>
      <c r="D149" t="s">
        <v>4977</v>
      </c>
      <c r="E149" t="s">
        <v>4962</v>
      </c>
      <c r="F149" t="s">
        <v>5264</v>
      </c>
      <c r="G149" t="s">
        <v>4672</v>
      </c>
      <c r="H149" t="s">
        <v>4970</v>
      </c>
      <c r="I149" t="s">
        <v>4979</v>
      </c>
      <c r="J149" t="s">
        <v>4980</v>
      </c>
      <c r="K149" t="s">
        <v>4981</v>
      </c>
      <c r="L149" t="s">
        <v>2697</v>
      </c>
      <c r="M149">
        <v>23968</v>
      </c>
      <c r="N149" s="641">
        <f>+transaction_statement_01_Jan_2026_28_Feb_2026[[#This Row],[Orig amount]]/100</f>
        <v>239.68</v>
      </c>
      <c r="O149" t="s">
        <v>2697</v>
      </c>
      <c r="P149">
        <v>-23968</v>
      </c>
      <c r="Q149">
        <v>-23968</v>
      </c>
      <c r="S149">
        <v>0</v>
      </c>
      <c r="T149" t="s">
        <v>2697</v>
      </c>
      <c r="U149">
        <v>249573</v>
      </c>
      <c r="V149" t="s">
        <v>4965</v>
      </c>
      <c r="X149" t="s">
        <v>4672</v>
      </c>
      <c r="Y149" t="s">
        <v>4672</v>
      </c>
      <c r="Z149" t="s">
        <v>4672</v>
      </c>
      <c r="AA149">
        <v>7333</v>
      </c>
      <c r="AB149" t="s">
        <v>4672</v>
      </c>
      <c r="AC149" t="s">
        <v>4672</v>
      </c>
    </row>
    <row r="150" spans="1:29" hidden="1">
      <c r="A150" s="10">
        <v>46069</v>
      </c>
      <c r="B150" s="10">
        <v>46070</v>
      </c>
      <c r="C150" t="s">
        <v>5265</v>
      </c>
      <c r="D150" t="s">
        <v>4977</v>
      </c>
      <c r="E150" t="s">
        <v>4962</v>
      </c>
      <c r="F150" t="s">
        <v>5266</v>
      </c>
      <c r="G150" t="s">
        <v>4672</v>
      </c>
      <c r="H150" t="s">
        <v>4970</v>
      </c>
      <c r="I150" t="s">
        <v>4979</v>
      </c>
      <c r="J150" t="s">
        <v>4980</v>
      </c>
      <c r="K150" t="s">
        <v>4981</v>
      </c>
      <c r="L150" t="s">
        <v>2697</v>
      </c>
      <c r="M150">
        <v>71523</v>
      </c>
      <c r="N150" s="641">
        <f>+transaction_statement_01_Jan_2026_28_Feb_2026[[#This Row],[Orig amount]]/100</f>
        <v>715.23</v>
      </c>
      <c r="O150" t="s">
        <v>2697</v>
      </c>
      <c r="P150">
        <v>-71523</v>
      </c>
      <c r="Q150">
        <v>-71523</v>
      </c>
      <c r="S150">
        <v>0</v>
      </c>
      <c r="T150" t="s">
        <v>2697</v>
      </c>
      <c r="U150">
        <v>273541</v>
      </c>
      <c r="V150" t="s">
        <v>4965</v>
      </c>
      <c r="X150" t="s">
        <v>4672</v>
      </c>
      <c r="Y150" t="s">
        <v>4672</v>
      </c>
      <c r="Z150" t="s">
        <v>4672</v>
      </c>
      <c r="AA150">
        <v>7361</v>
      </c>
      <c r="AB150" t="s">
        <v>4672</v>
      </c>
      <c r="AC150" t="s">
        <v>4672</v>
      </c>
    </row>
    <row r="151" spans="1:29" hidden="1">
      <c r="A151" s="10">
        <v>46069</v>
      </c>
      <c r="B151" s="10">
        <v>46070</v>
      </c>
      <c r="C151" t="s">
        <v>5267</v>
      </c>
      <c r="D151" t="s">
        <v>4977</v>
      </c>
      <c r="E151" t="s">
        <v>4962</v>
      </c>
      <c r="F151" t="s">
        <v>5268</v>
      </c>
      <c r="G151" t="s">
        <v>4672</v>
      </c>
      <c r="H151" t="s">
        <v>4970</v>
      </c>
      <c r="I151" t="s">
        <v>4979</v>
      </c>
      <c r="J151" t="s">
        <v>4980</v>
      </c>
      <c r="K151" t="s">
        <v>4981</v>
      </c>
      <c r="L151" t="s">
        <v>2697</v>
      </c>
      <c r="M151">
        <v>6000</v>
      </c>
      <c r="N151" s="641">
        <f>+transaction_statement_01_Jan_2026_28_Feb_2026[[#This Row],[Orig amount]]/100</f>
        <v>60</v>
      </c>
      <c r="O151" t="s">
        <v>2697</v>
      </c>
      <c r="P151">
        <v>-6000</v>
      </c>
      <c r="Q151">
        <v>-6000</v>
      </c>
      <c r="S151">
        <v>0</v>
      </c>
      <c r="T151" t="s">
        <v>2697</v>
      </c>
      <c r="U151">
        <v>345064</v>
      </c>
      <c r="V151" t="s">
        <v>4965</v>
      </c>
      <c r="X151" t="s">
        <v>4672</v>
      </c>
      <c r="Y151" t="s">
        <v>4672</v>
      </c>
      <c r="Z151" t="s">
        <v>4672</v>
      </c>
      <c r="AA151">
        <v>5734</v>
      </c>
      <c r="AB151" t="s">
        <v>4672</v>
      </c>
      <c r="AC151" t="s">
        <v>4672</v>
      </c>
    </row>
    <row r="152" spans="1:29" hidden="1">
      <c r="A152" s="10">
        <v>46070</v>
      </c>
      <c r="B152" s="10">
        <v>46070</v>
      </c>
      <c r="C152" t="s">
        <v>5269</v>
      </c>
      <c r="D152" t="s">
        <v>4961</v>
      </c>
      <c r="E152" t="s">
        <v>4962</v>
      </c>
      <c r="F152" t="s">
        <v>5025</v>
      </c>
      <c r="G152" t="s">
        <v>5026</v>
      </c>
      <c r="H152" t="s">
        <v>4672</v>
      </c>
      <c r="I152" t="s">
        <v>4672</v>
      </c>
      <c r="J152" t="s">
        <v>4672</v>
      </c>
      <c r="K152" t="s">
        <v>4672</v>
      </c>
      <c r="L152" t="s">
        <v>2697</v>
      </c>
      <c r="M152">
        <v>61596</v>
      </c>
      <c r="N152" s="641">
        <f>+transaction_statement_01_Jan_2026_28_Feb_2026[[#This Row],[Orig amount]]/100</f>
        <v>615.96</v>
      </c>
      <c r="O152" t="s">
        <v>2697</v>
      </c>
      <c r="P152">
        <v>61596</v>
      </c>
      <c r="Q152">
        <v>61596</v>
      </c>
      <c r="S152">
        <v>0</v>
      </c>
      <c r="T152" t="s">
        <v>2697</v>
      </c>
      <c r="U152">
        <v>351064</v>
      </c>
      <c r="V152" t="s">
        <v>4965</v>
      </c>
      <c r="X152" t="s">
        <v>4672</v>
      </c>
      <c r="Y152" t="s">
        <v>4672</v>
      </c>
      <c r="Z152" t="s">
        <v>4672</v>
      </c>
      <c r="AB152" t="s">
        <v>4672</v>
      </c>
      <c r="AC152" t="s">
        <v>4672</v>
      </c>
    </row>
    <row r="153" spans="1:29" hidden="1">
      <c r="A153" s="10">
        <v>46070</v>
      </c>
      <c r="B153" s="10">
        <v>46070</v>
      </c>
      <c r="C153" t="s">
        <v>5270</v>
      </c>
      <c r="D153" t="s">
        <v>4967</v>
      </c>
      <c r="E153" t="s">
        <v>4962</v>
      </c>
      <c r="F153" t="s">
        <v>3692</v>
      </c>
      <c r="G153" t="s">
        <v>5125</v>
      </c>
      <c r="H153" t="s">
        <v>4672</v>
      </c>
      <c r="I153" t="s">
        <v>4672</v>
      </c>
      <c r="J153" t="s">
        <v>4672</v>
      </c>
      <c r="K153" t="s">
        <v>4672</v>
      </c>
      <c r="L153" t="s">
        <v>2697</v>
      </c>
      <c r="M153">
        <v>4532</v>
      </c>
      <c r="N153" s="641">
        <f>+transaction_statement_01_Jan_2026_28_Feb_2026[[#This Row],[Orig amount]]/100</f>
        <v>45.32</v>
      </c>
      <c r="O153" t="s">
        <v>2697</v>
      </c>
      <c r="P153">
        <v>-4532</v>
      </c>
      <c r="Q153">
        <v>-4532</v>
      </c>
      <c r="S153">
        <v>0</v>
      </c>
      <c r="T153" t="s">
        <v>2697</v>
      </c>
      <c r="U153">
        <v>289468</v>
      </c>
      <c r="V153" t="s">
        <v>4965</v>
      </c>
      <c r="X153" t="s">
        <v>4672</v>
      </c>
      <c r="Y153" t="s">
        <v>5126</v>
      </c>
      <c r="Z153" t="s">
        <v>5127</v>
      </c>
      <c r="AB153" t="s">
        <v>4672</v>
      </c>
      <c r="AC153" t="s">
        <v>4672</v>
      </c>
    </row>
    <row r="154" spans="1:29" hidden="1">
      <c r="A154" s="10">
        <v>46070</v>
      </c>
      <c r="B154" s="10">
        <v>46070</v>
      </c>
      <c r="C154" t="s">
        <v>5271</v>
      </c>
      <c r="D154" t="s">
        <v>4967</v>
      </c>
      <c r="E154" t="s">
        <v>4962</v>
      </c>
      <c r="F154" t="s">
        <v>5272</v>
      </c>
      <c r="G154" t="s">
        <v>5273</v>
      </c>
      <c r="H154" t="s">
        <v>4970</v>
      </c>
      <c r="I154" t="s">
        <v>4672</v>
      </c>
      <c r="J154" t="s">
        <v>4672</v>
      </c>
      <c r="K154" t="s">
        <v>4672</v>
      </c>
      <c r="L154" t="s">
        <v>2697</v>
      </c>
      <c r="M154">
        <v>19800</v>
      </c>
      <c r="N154" s="641">
        <f>+transaction_statement_01_Jan_2026_28_Feb_2026[[#This Row],[Orig amount]]/100</f>
        <v>198</v>
      </c>
      <c r="O154" t="s">
        <v>2697</v>
      </c>
      <c r="P154">
        <v>-19800</v>
      </c>
      <c r="Q154">
        <v>-19800</v>
      </c>
      <c r="S154">
        <v>0</v>
      </c>
      <c r="T154" t="s">
        <v>2697</v>
      </c>
      <c r="U154">
        <v>294000</v>
      </c>
      <c r="V154" t="s">
        <v>4965</v>
      </c>
      <c r="X154" t="s">
        <v>4672</v>
      </c>
      <c r="Y154" t="s">
        <v>4672</v>
      </c>
      <c r="Z154" t="s">
        <v>4672</v>
      </c>
      <c r="AB154" t="s">
        <v>4672</v>
      </c>
      <c r="AC154" t="s">
        <v>4672</v>
      </c>
    </row>
    <row r="155" spans="1:29" hidden="1">
      <c r="A155" s="10">
        <v>46070</v>
      </c>
      <c r="B155" s="10">
        <v>46070</v>
      </c>
      <c r="C155" t="s">
        <v>5274</v>
      </c>
      <c r="D155" t="s">
        <v>4967</v>
      </c>
      <c r="E155" t="s">
        <v>4962</v>
      </c>
      <c r="F155" t="s">
        <v>5041</v>
      </c>
      <c r="G155" t="s">
        <v>5042</v>
      </c>
      <c r="H155" t="s">
        <v>4970</v>
      </c>
      <c r="I155" t="s">
        <v>4672</v>
      </c>
      <c r="J155" t="s">
        <v>4672</v>
      </c>
      <c r="K155" t="s">
        <v>4672</v>
      </c>
      <c r="L155" t="s">
        <v>2697</v>
      </c>
      <c r="M155">
        <v>150000</v>
      </c>
      <c r="N155" s="641">
        <f>+transaction_statement_01_Jan_2026_28_Feb_2026[[#This Row],[Orig amount]]/100</f>
        <v>1500</v>
      </c>
      <c r="O155" t="s">
        <v>2697</v>
      </c>
      <c r="P155">
        <v>-150000</v>
      </c>
      <c r="Q155">
        <v>-150000</v>
      </c>
      <c r="S155">
        <v>0</v>
      </c>
      <c r="T155" t="s">
        <v>2697</v>
      </c>
      <c r="U155">
        <v>313800</v>
      </c>
      <c r="V155" t="s">
        <v>4965</v>
      </c>
      <c r="X155" t="s">
        <v>4672</v>
      </c>
      <c r="Y155" t="s">
        <v>5043</v>
      </c>
      <c r="Z155" t="s">
        <v>5044</v>
      </c>
      <c r="AB155" t="s">
        <v>4672</v>
      </c>
      <c r="AC155" t="s">
        <v>4672</v>
      </c>
    </row>
    <row r="156" spans="1:29" hidden="1">
      <c r="A156" s="10">
        <v>46070</v>
      </c>
      <c r="B156" s="10">
        <v>46070</v>
      </c>
      <c r="C156" t="s">
        <v>5275</v>
      </c>
      <c r="D156" t="s">
        <v>4967</v>
      </c>
      <c r="E156" t="s">
        <v>4962</v>
      </c>
      <c r="F156" t="s">
        <v>5276</v>
      </c>
      <c r="G156" t="s">
        <v>5277</v>
      </c>
      <c r="H156" t="s">
        <v>4970</v>
      </c>
      <c r="I156" t="s">
        <v>4672</v>
      </c>
      <c r="J156" t="s">
        <v>4672</v>
      </c>
      <c r="K156" t="s">
        <v>4672</v>
      </c>
      <c r="L156" t="s">
        <v>2697</v>
      </c>
      <c r="M156">
        <v>5124</v>
      </c>
      <c r="N156" s="641">
        <f>+transaction_statement_01_Jan_2026_28_Feb_2026[[#This Row],[Orig amount]]/100</f>
        <v>51.24</v>
      </c>
      <c r="O156" t="s">
        <v>2697</v>
      </c>
      <c r="P156">
        <v>-5124</v>
      </c>
      <c r="Q156">
        <v>-5124</v>
      </c>
      <c r="S156">
        <v>0</v>
      </c>
      <c r="T156" t="s">
        <v>2697</v>
      </c>
      <c r="U156">
        <v>463800</v>
      </c>
      <c r="V156" t="s">
        <v>4965</v>
      </c>
      <c r="X156" t="s">
        <v>4672</v>
      </c>
      <c r="Y156" t="s">
        <v>5278</v>
      </c>
      <c r="Z156" t="s">
        <v>5279</v>
      </c>
      <c r="AB156" t="s">
        <v>4672</v>
      </c>
      <c r="AC156" t="s">
        <v>4672</v>
      </c>
    </row>
    <row r="157" spans="1:29" hidden="1">
      <c r="A157" s="10">
        <v>46069</v>
      </c>
      <c r="B157" s="10">
        <v>46070</v>
      </c>
      <c r="C157" t="s">
        <v>5280</v>
      </c>
      <c r="D157" t="s">
        <v>4977</v>
      </c>
      <c r="E157" t="s">
        <v>4962</v>
      </c>
      <c r="F157" t="s">
        <v>5281</v>
      </c>
      <c r="G157" t="s">
        <v>4672</v>
      </c>
      <c r="H157" t="s">
        <v>4970</v>
      </c>
      <c r="I157" t="s">
        <v>4979</v>
      </c>
      <c r="J157" t="s">
        <v>4980</v>
      </c>
      <c r="K157" t="s">
        <v>4981</v>
      </c>
      <c r="L157" t="s">
        <v>2697</v>
      </c>
      <c r="M157">
        <v>2012</v>
      </c>
      <c r="N157" s="641">
        <f>+transaction_statement_01_Jan_2026_28_Feb_2026[[#This Row],[Orig amount]]/100</f>
        <v>20.12</v>
      </c>
      <c r="O157" t="s">
        <v>2697</v>
      </c>
      <c r="P157">
        <v>-2012</v>
      </c>
      <c r="Q157">
        <v>-2012</v>
      </c>
      <c r="S157">
        <v>0</v>
      </c>
      <c r="T157" t="s">
        <v>2697</v>
      </c>
      <c r="U157">
        <v>468924</v>
      </c>
      <c r="V157" t="s">
        <v>4965</v>
      </c>
      <c r="X157" t="s">
        <v>4672</v>
      </c>
      <c r="Y157" t="s">
        <v>4672</v>
      </c>
      <c r="Z157" t="s">
        <v>4672</v>
      </c>
      <c r="AA157">
        <v>5734</v>
      </c>
      <c r="AB157" t="s">
        <v>4672</v>
      </c>
      <c r="AC157" t="s">
        <v>4672</v>
      </c>
    </row>
    <row r="158" spans="1:29" hidden="1">
      <c r="A158" s="10">
        <v>46069</v>
      </c>
      <c r="B158" s="10">
        <v>46070</v>
      </c>
      <c r="C158" t="s">
        <v>5282</v>
      </c>
      <c r="D158" t="s">
        <v>4977</v>
      </c>
      <c r="E158" t="s">
        <v>4962</v>
      </c>
      <c r="F158" t="s">
        <v>5283</v>
      </c>
      <c r="G158" t="s">
        <v>4672</v>
      </c>
      <c r="H158" t="s">
        <v>4970</v>
      </c>
      <c r="I158" t="s">
        <v>4979</v>
      </c>
      <c r="J158" t="s">
        <v>4980</v>
      </c>
      <c r="K158" t="s">
        <v>4981</v>
      </c>
      <c r="L158" t="s">
        <v>2697</v>
      </c>
      <c r="M158">
        <v>1299</v>
      </c>
      <c r="N158" s="641">
        <f>+transaction_statement_01_Jan_2026_28_Feb_2026[[#This Row],[Orig amount]]/100</f>
        <v>12.99</v>
      </c>
      <c r="O158" t="s">
        <v>2697</v>
      </c>
      <c r="P158">
        <v>-1299</v>
      </c>
      <c r="Q158">
        <v>-1299</v>
      </c>
      <c r="S158">
        <v>0</v>
      </c>
      <c r="T158" t="s">
        <v>2697</v>
      </c>
      <c r="U158">
        <v>470936</v>
      </c>
      <c r="V158" t="s">
        <v>4965</v>
      </c>
      <c r="X158" t="s">
        <v>4672</v>
      </c>
      <c r="Y158" t="s">
        <v>4672</v>
      </c>
      <c r="Z158" t="s">
        <v>4672</v>
      </c>
      <c r="AA158">
        <v>5815</v>
      </c>
      <c r="AB158" t="s">
        <v>4672</v>
      </c>
      <c r="AC158" t="s">
        <v>4672</v>
      </c>
    </row>
    <row r="159" spans="1:29" hidden="1">
      <c r="A159" s="10">
        <v>46070</v>
      </c>
      <c r="B159" s="10">
        <v>46070</v>
      </c>
      <c r="C159" t="s">
        <v>5284</v>
      </c>
      <c r="D159" t="s">
        <v>4961</v>
      </c>
      <c r="E159" t="s">
        <v>4962</v>
      </c>
      <c r="F159" t="s">
        <v>5064</v>
      </c>
      <c r="G159" t="s">
        <v>4672</v>
      </c>
      <c r="H159" t="s">
        <v>4672</v>
      </c>
      <c r="I159" t="s">
        <v>4672</v>
      </c>
      <c r="J159" t="s">
        <v>4672</v>
      </c>
      <c r="K159" t="s">
        <v>4672</v>
      </c>
      <c r="L159" t="s">
        <v>2697</v>
      </c>
      <c r="M159">
        <v>50000</v>
      </c>
      <c r="N159" s="641">
        <f>+transaction_statement_01_Jan_2026_28_Feb_2026[[#This Row],[Orig amount]]/100</f>
        <v>500</v>
      </c>
      <c r="O159" t="s">
        <v>2697</v>
      </c>
      <c r="P159">
        <v>50000</v>
      </c>
      <c r="Q159">
        <v>50000</v>
      </c>
      <c r="S159">
        <v>0</v>
      </c>
      <c r="T159" t="s">
        <v>2697</v>
      </c>
      <c r="U159">
        <v>472235</v>
      </c>
      <c r="V159" t="s">
        <v>4965</v>
      </c>
      <c r="X159" t="s">
        <v>4672</v>
      </c>
      <c r="Y159" t="s">
        <v>4672</v>
      </c>
      <c r="Z159" t="s">
        <v>4672</v>
      </c>
      <c r="AB159" t="s">
        <v>4672</v>
      </c>
      <c r="AC159" t="s">
        <v>4672</v>
      </c>
    </row>
    <row r="160" spans="1:29" hidden="1">
      <c r="A160" s="10">
        <v>46070</v>
      </c>
      <c r="B160" s="10">
        <v>46070</v>
      </c>
      <c r="C160" t="s">
        <v>5285</v>
      </c>
      <c r="D160" t="s">
        <v>4961</v>
      </c>
      <c r="E160" t="s">
        <v>4962</v>
      </c>
      <c r="F160" t="s">
        <v>5025</v>
      </c>
      <c r="G160" t="s">
        <v>5026</v>
      </c>
      <c r="H160" t="s">
        <v>4672</v>
      </c>
      <c r="I160" t="s">
        <v>4672</v>
      </c>
      <c r="J160" t="s">
        <v>4672</v>
      </c>
      <c r="K160" t="s">
        <v>4672</v>
      </c>
      <c r="L160" t="s">
        <v>2697</v>
      </c>
      <c r="M160">
        <v>163779</v>
      </c>
      <c r="N160" s="641">
        <f>+transaction_statement_01_Jan_2026_28_Feb_2026[[#This Row],[Orig amount]]/100</f>
        <v>1637.79</v>
      </c>
      <c r="O160" t="s">
        <v>2697</v>
      </c>
      <c r="P160">
        <v>163779</v>
      </c>
      <c r="Q160">
        <v>163779</v>
      </c>
      <c r="S160">
        <v>0</v>
      </c>
      <c r="T160" t="s">
        <v>2697</v>
      </c>
      <c r="U160">
        <v>422235</v>
      </c>
      <c r="V160" t="s">
        <v>4965</v>
      </c>
      <c r="X160" t="s">
        <v>4672</v>
      </c>
      <c r="Y160" t="s">
        <v>4672</v>
      </c>
      <c r="Z160" t="s">
        <v>4672</v>
      </c>
      <c r="AB160" t="s">
        <v>4672</v>
      </c>
      <c r="AC160" t="s">
        <v>4672</v>
      </c>
    </row>
    <row r="161" spans="1:29" hidden="1">
      <c r="A161" s="10">
        <v>46069</v>
      </c>
      <c r="B161" s="10">
        <v>46069</v>
      </c>
      <c r="C161" t="s">
        <v>5286</v>
      </c>
      <c r="D161" t="s">
        <v>4961</v>
      </c>
      <c r="E161" t="s">
        <v>4962</v>
      </c>
      <c r="F161" t="s">
        <v>5025</v>
      </c>
      <c r="G161" t="s">
        <v>5026</v>
      </c>
      <c r="H161" t="s">
        <v>4672</v>
      </c>
      <c r="I161" t="s">
        <v>4672</v>
      </c>
      <c r="J161" t="s">
        <v>4672</v>
      </c>
      <c r="K161" t="s">
        <v>4672</v>
      </c>
      <c r="L161" t="s">
        <v>2697</v>
      </c>
      <c r="M161">
        <v>94777</v>
      </c>
      <c r="N161" s="641">
        <f>+transaction_statement_01_Jan_2026_28_Feb_2026[[#This Row],[Orig amount]]/100</f>
        <v>947.77</v>
      </c>
      <c r="O161" t="s">
        <v>2697</v>
      </c>
      <c r="P161">
        <v>94777</v>
      </c>
      <c r="Q161">
        <v>94777</v>
      </c>
      <c r="S161">
        <v>0</v>
      </c>
      <c r="T161" t="s">
        <v>2697</v>
      </c>
      <c r="U161">
        <v>258456</v>
      </c>
      <c r="V161" t="s">
        <v>4965</v>
      </c>
      <c r="X161" t="s">
        <v>4672</v>
      </c>
      <c r="Y161" t="s">
        <v>4672</v>
      </c>
      <c r="Z161" t="s">
        <v>4672</v>
      </c>
      <c r="AB161" t="s">
        <v>4672</v>
      </c>
      <c r="AC161" t="s">
        <v>4672</v>
      </c>
    </row>
    <row r="162" spans="1:29" hidden="1">
      <c r="A162" s="10">
        <v>46069</v>
      </c>
      <c r="B162" s="10">
        <v>46069</v>
      </c>
      <c r="C162" t="s">
        <v>5287</v>
      </c>
      <c r="D162" t="s">
        <v>4961</v>
      </c>
      <c r="E162" t="s">
        <v>4962</v>
      </c>
      <c r="F162" t="s">
        <v>5025</v>
      </c>
      <c r="G162" t="s">
        <v>5026</v>
      </c>
      <c r="H162" t="s">
        <v>4672</v>
      </c>
      <c r="I162" t="s">
        <v>4672</v>
      </c>
      <c r="J162" t="s">
        <v>4672</v>
      </c>
      <c r="K162" t="s">
        <v>4672</v>
      </c>
      <c r="L162" t="s">
        <v>2697</v>
      </c>
      <c r="M162">
        <v>10615</v>
      </c>
      <c r="N162" s="641">
        <f>+transaction_statement_01_Jan_2026_28_Feb_2026[[#This Row],[Orig amount]]/100</f>
        <v>106.15</v>
      </c>
      <c r="O162" t="s">
        <v>2697</v>
      </c>
      <c r="P162">
        <v>10615</v>
      </c>
      <c r="Q162">
        <v>10615</v>
      </c>
      <c r="S162">
        <v>0</v>
      </c>
      <c r="T162" t="s">
        <v>2697</v>
      </c>
      <c r="U162">
        <v>163679</v>
      </c>
      <c r="V162" t="s">
        <v>4965</v>
      </c>
      <c r="X162" t="s">
        <v>4672</v>
      </c>
      <c r="Y162" t="s">
        <v>4672</v>
      </c>
      <c r="Z162" t="s">
        <v>4672</v>
      </c>
      <c r="AB162" t="s">
        <v>4672</v>
      </c>
      <c r="AC162" t="s">
        <v>4672</v>
      </c>
    </row>
    <row r="163" spans="1:29" hidden="1">
      <c r="A163" s="10">
        <v>46069</v>
      </c>
      <c r="B163" s="10">
        <v>46069</v>
      </c>
      <c r="C163" t="s">
        <v>5288</v>
      </c>
      <c r="D163" t="s">
        <v>4967</v>
      </c>
      <c r="E163" t="s">
        <v>4962</v>
      </c>
      <c r="F163" t="s">
        <v>5058</v>
      </c>
      <c r="G163" t="s">
        <v>5059</v>
      </c>
      <c r="H163" t="s">
        <v>4970</v>
      </c>
      <c r="I163" t="s">
        <v>4672</v>
      </c>
      <c r="J163" t="s">
        <v>4672</v>
      </c>
      <c r="K163" t="s">
        <v>4672</v>
      </c>
      <c r="L163" t="s">
        <v>2697</v>
      </c>
      <c r="M163">
        <v>25000</v>
      </c>
      <c r="N163" s="641">
        <f>+transaction_statement_01_Jan_2026_28_Feb_2026[[#This Row],[Orig amount]]/100</f>
        <v>250</v>
      </c>
      <c r="O163" t="s">
        <v>2697</v>
      </c>
      <c r="P163">
        <v>-25000</v>
      </c>
      <c r="Q163">
        <v>-25000</v>
      </c>
      <c r="S163">
        <v>0</v>
      </c>
      <c r="T163" t="s">
        <v>2697</v>
      </c>
      <c r="U163">
        <v>153064</v>
      </c>
      <c r="V163" t="s">
        <v>4965</v>
      </c>
      <c r="X163" t="s">
        <v>4672</v>
      </c>
      <c r="Y163" t="s">
        <v>5060</v>
      </c>
      <c r="Z163" t="s">
        <v>5031</v>
      </c>
      <c r="AB163" t="s">
        <v>4672</v>
      </c>
      <c r="AC163" t="s">
        <v>4672</v>
      </c>
    </row>
    <row r="164" spans="1:29" hidden="1">
      <c r="A164" s="10">
        <v>46069</v>
      </c>
      <c r="B164" s="10">
        <v>46069</v>
      </c>
      <c r="C164" t="s">
        <v>5289</v>
      </c>
      <c r="D164" t="s">
        <v>4967</v>
      </c>
      <c r="E164" t="s">
        <v>4962</v>
      </c>
      <c r="F164" t="s">
        <v>5058</v>
      </c>
      <c r="G164" t="s">
        <v>5059</v>
      </c>
      <c r="H164" t="s">
        <v>4970</v>
      </c>
      <c r="I164" t="s">
        <v>4672</v>
      </c>
      <c r="J164" t="s">
        <v>4672</v>
      </c>
      <c r="K164" t="s">
        <v>4672</v>
      </c>
      <c r="L164" t="s">
        <v>2697</v>
      </c>
      <c r="M164">
        <v>100000</v>
      </c>
      <c r="N164" s="641">
        <f>+transaction_statement_01_Jan_2026_28_Feb_2026[[#This Row],[Orig amount]]/100</f>
        <v>1000</v>
      </c>
      <c r="O164" t="s">
        <v>2697</v>
      </c>
      <c r="P164">
        <v>-100000</v>
      </c>
      <c r="Q164">
        <v>-100000</v>
      </c>
      <c r="S164">
        <v>0</v>
      </c>
      <c r="T164" t="s">
        <v>2697</v>
      </c>
      <c r="U164">
        <v>178064</v>
      </c>
      <c r="V164" t="s">
        <v>4965</v>
      </c>
      <c r="X164" t="s">
        <v>4672</v>
      </c>
      <c r="Y164" t="s">
        <v>5060</v>
      </c>
      <c r="Z164" t="s">
        <v>5031</v>
      </c>
      <c r="AB164" t="s">
        <v>4672</v>
      </c>
      <c r="AC164" t="s">
        <v>4672</v>
      </c>
    </row>
    <row r="165" spans="1:29" hidden="1">
      <c r="A165" s="10">
        <v>46068</v>
      </c>
      <c r="B165" s="10">
        <v>46069</v>
      </c>
      <c r="C165" t="s">
        <v>5290</v>
      </c>
      <c r="D165" t="s">
        <v>4977</v>
      </c>
      <c r="E165" t="s">
        <v>4962</v>
      </c>
      <c r="F165" t="s">
        <v>5291</v>
      </c>
      <c r="G165" t="s">
        <v>4672</v>
      </c>
      <c r="H165" t="s">
        <v>4970</v>
      </c>
      <c r="I165" t="s">
        <v>4979</v>
      </c>
      <c r="J165" t="s">
        <v>4980</v>
      </c>
      <c r="K165" t="s">
        <v>4981</v>
      </c>
      <c r="L165" t="s">
        <v>2697</v>
      </c>
      <c r="M165">
        <v>10520</v>
      </c>
      <c r="N165" s="641">
        <f>+transaction_statement_01_Jan_2026_28_Feb_2026[[#This Row],[Orig amount]]/100</f>
        <v>105.2</v>
      </c>
      <c r="O165" t="s">
        <v>2697</v>
      </c>
      <c r="P165">
        <v>-10520</v>
      </c>
      <c r="Q165">
        <v>-10520</v>
      </c>
      <c r="S165">
        <v>0</v>
      </c>
      <c r="T165" t="s">
        <v>2697</v>
      </c>
      <c r="U165">
        <v>278064</v>
      </c>
      <c r="V165" t="s">
        <v>4965</v>
      </c>
      <c r="X165" t="s">
        <v>4672</v>
      </c>
      <c r="Y165" t="s">
        <v>4672</v>
      </c>
      <c r="Z165" t="s">
        <v>4672</v>
      </c>
      <c r="AA165">
        <v>5734</v>
      </c>
      <c r="AB165" t="s">
        <v>4672</v>
      </c>
      <c r="AC165" t="s">
        <v>4672</v>
      </c>
    </row>
    <row r="166" spans="1:29" hidden="1">
      <c r="A166" s="10">
        <v>46068</v>
      </c>
      <c r="B166" s="10">
        <v>46069</v>
      </c>
      <c r="C166" t="s">
        <v>5292</v>
      </c>
      <c r="D166" t="s">
        <v>4977</v>
      </c>
      <c r="E166" t="s">
        <v>4962</v>
      </c>
      <c r="F166" t="s">
        <v>5293</v>
      </c>
      <c r="G166" t="s">
        <v>4672</v>
      </c>
      <c r="H166" t="s">
        <v>4970</v>
      </c>
      <c r="I166" t="s">
        <v>4979</v>
      </c>
      <c r="J166" t="s">
        <v>4980</v>
      </c>
      <c r="K166" t="s">
        <v>4981</v>
      </c>
      <c r="L166" t="s">
        <v>2697</v>
      </c>
      <c r="M166">
        <v>18600</v>
      </c>
      <c r="N166" s="641">
        <f>+transaction_statement_01_Jan_2026_28_Feb_2026[[#This Row],[Orig amount]]/100</f>
        <v>186</v>
      </c>
      <c r="O166" t="s">
        <v>2697</v>
      </c>
      <c r="P166">
        <v>-18600</v>
      </c>
      <c r="Q166">
        <v>-18600</v>
      </c>
      <c r="S166">
        <v>0</v>
      </c>
      <c r="T166" t="s">
        <v>2697</v>
      </c>
      <c r="U166">
        <v>288584</v>
      </c>
      <c r="V166" t="s">
        <v>4965</v>
      </c>
      <c r="X166" t="s">
        <v>4672</v>
      </c>
      <c r="Y166" t="s">
        <v>4672</v>
      </c>
      <c r="Z166" t="s">
        <v>4672</v>
      </c>
      <c r="AA166">
        <v>5817</v>
      </c>
      <c r="AB166" t="s">
        <v>4672</v>
      </c>
      <c r="AC166" t="s">
        <v>4672</v>
      </c>
    </row>
    <row r="167" spans="1:29" hidden="1">
      <c r="A167" s="10">
        <v>46069</v>
      </c>
      <c r="B167" s="10">
        <v>46069</v>
      </c>
      <c r="C167" t="s">
        <v>5294</v>
      </c>
      <c r="D167" t="s">
        <v>4961</v>
      </c>
      <c r="E167" t="s">
        <v>4962</v>
      </c>
      <c r="F167" t="s">
        <v>5025</v>
      </c>
      <c r="G167" t="s">
        <v>5026</v>
      </c>
      <c r="H167" t="s">
        <v>4672</v>
      </c>
      <c r="I167" t="s">
        <v>4672</v>
      </c>
      <c r="J167" t="s">
        <v>4672</v>
      </c>
      <c r="K167" t="s">
        <v>4672</v>
      </c>
      <c r="L167" t="s">
        <v>2697</v>
      </c>
      <c r="M167">
        <v>90000</v>
      </c>
      <c r="N167" s="641">
        <f>+transaction_statement_01_Jan_2026_28_Feb_2026[[#This Row],[Orig amount]]/100</f>
        <v>900</v>
      </c>
      <c r="O167" t="s">
        <v>2697</v>
      </c>
      <c r="P167">
        <v>90000</v>
      </c>
      <c r="Q167">
        <v>90000</v>
      </c>
      <c r="S167">
        <v>0</v>
      </c>
      <c r="T167" t="s">
        <v>2697</v>
      </c>
      <c r="U167">
        <v>307184</v>
      </c>
      <c r="V167" t="s">
        <v>4965</v>
      </c>
      <c r="X167" t="s">
        <v>4672</v>
      </c>
      <c r="Y167" t="s">
        <v>4672</v>
      </c>
      <c r="Z167" t="s">
        <v>4672</v>
      </c>
      <c r="AB167" t="s">
        <v>4672</v>
      </c>
      <c r="AC167" t="s">
        <v>4672</v>
      </c>
    </row>
    <row r="168" spans="1:29" hidden="1">
      <c r="A168" s="10">
        <v>46067</v>
      </c>
      <c r="B168" s="10">
        <v>46069</v>
      </c>
      <c r="C168" t="s">
        <v>5295</v>
      </c>
      <c r="D168" t="s">
        <v>4977</v>
      </c>
      <c r="E168" t="s">
        <v>4962</v>
      </c>
      <c r="F168" t="s">
        <v>5296</v>
      </c>
      <c r="G168" t="s">
        <v>4672</v>
      </c>
      <c r="H168" t="s">
        <v>4970</v>
      </c>
      <c r="I168" t="s">
        <v>4984</v>
      </c>
      <c r="J168" t="s">
        <v>4985</v>
      </c>
      <c r="K168" t="s">
        <v>4981</v>
      </c>
      <c r="L168" t="s">
        <v>2697</v>
      </c>
      <c r="M168">
        <v>57800</v>
      </c>
      <c r="N168" s="641">
        <f>+transaction_statement_01_Jan_2026_28_Feb_2026[[#This Row],[Orig amount]]/100</f>
        <v>578</v>
      </c>
      <c r="O168" t="s">
        <v>2697</v>
      </c>
      <c r="P168">
        <v>-57800</v>
      </c>
      <c r="Q168">
        <v>-57800</v>
      </c>
      <c r="S168">
        <v>0</v>
      </c>
      <c r="T168" t="s">
        <v>2697</v>
      </c>
      <c r="U168">
        <v>217184</v>
      </c>
      <c r="V168" t="s">
        <v>4965</v>
      </c>
      <c r="X168" t="s">
        <v>4672</v>
      </c>
      <c r="Y168" t="s">
        <v>4672</v>
      </c>
      <c r="Z168" t="s">
        <v>4672</v>
      </c>
      <c r="AA168">
        <v>5311</v>
      </c>
      <c r="AB168" t="s">
        <v>4672</v>
      </c>
      <c r="AC168" t="s">
        <v>4672</v>
      </c>
    </row>
    <row r="169" spans="1:29" hidden="1">
      <c r="A169" s="10">
        <v>46067</v>
      </c>
      <c r="B169" s="10">
        <v>46069</v>
      </c>
      <c r="C169" t="s">
        <v>5297</v>
      </c>
      <c r="D169" t="s">
        <v>4977</v>
      </c>
      <c r="E169" t="s">
        <v>4962</v>
      </c>
      <c r="F169" t="s">
        <v>5298</v>
      </c>
      <c r="G169" t="s">
        <v>4672</v>
      </c>
      <c r="H169" t="s">
        <v>4970</v>
      </c>
      <c r="I169" t="s">
        <v>4984</v>
      </c>
      <c r="J169" t="s">
        <v>4985</v>
      </c>
      <c r="K169" t="s">
        <v>4981</v>
      </c>
      <c r="L169" t="s">
        <v>2697</v>
      </c>
      <c r="M169">
        <v>75000</v>
      </c>
      <c r="N169" s="641">
        <f>+transaction_statement_01_Jan_2026_28_Feb_2026[[#This Row],[Orig amount]]/100</f>
        <v>750</v>
      </c>
      <c r="O169" t="s">
        <v>2697</v>
      </c>
      <c r="P169">
        <v>-75000</v>
      </c>
      <c r="Q169">
        <v>-75000</v>
      </c>
      <c r="S169">
        <v>0</v>
      </c>
      <c r="T169" t="s">
        <v>2697</v>
      </c>
      <c r="U169">
        <v>274984</v>
      </c>
      <c r="V169" t="s">
        <v>4965</v>
      </c>
      <c r="X169" t="s">
        <v>4672</v>
      </c>
      <c r="Y169" t="s">
        <v>4672</v>
      </c>
      <c r="Z169" t="s">
        <v>4672</v>
      </c>
      <c r="AA169">
        <v>5311</v>
      </c>
      <c r="AB169" t="s">
        <v>4672</v>
      </c>
      <c r="AC169" t="s">
        <v>4672</v>
      </c>
    </row>
    <row r="170" spans="1:29" hidden="1">
      <c r="A170" s="10">
        <v>46069</v>
      </c>
      <c r="B170" s="10">
        <v>46069</v>
      </c>
      <c r="C170" t="s">
        <v>5299</v>
      </c>
      <c r="D170" t="s">
        <v>4967</v>
      </c>
      <c r="E170" t="s">
        <v>4962</v>
      </c>
      <c r="F170" t="s">
        <v>5300</v>
      </c>
      <c r="G170" t="s">
        <v>5301</v>
      </c>
      <c r="H170" t="s">
        <v>4970</v>
      </c>
      <c r="I170" t="s">
        <v>4672</v>
      </c>
      <c r="J170" t="s">
        <v>4672</v>
      </c>
      <c r="K170" t="s">
        <v>4672</v>
      </c>
      <c r="L170" t="s">
        <v>2697</v>
      </c>
      <c r="M170">
        <v>330965</v>
      </c>
      <c r="N170" s="641">
        <f>+transaction_statement_01_Jan_2026_28_Feb_2026[[#This Row],[Orig amount]]/100</f>
        <v>3309.65</v>
      </c>
      <c r="O170" t="s">
        <v>2697</v>
      </c>
      <c r="P170">
        <v>-330965</v>
      </c>
      <c r="Q170">
        <v>-330965</v>
      </c>
      <c r="S170">
        <v>0</v>
      </c>
      <c r="T170" t="s">
        <v>2697</v>
      </c>
      <c r="U170">
        <v>349984</v>
      </c>
      <c r="V170" t="s">
        <v>4965</v>
      </c>
      <c r="X170" t="s">
        <v>4672</v>
      </c>
      <c r="Y170" t="s">
        <v>5302</v>
      </c>
      <c r="Z170" t="s">
        <v>5303</v>
      </c>
      <c r="AB170" t="s">
        <v>4672</v>
      </c>
      <c r="AC170" t="s">
        <v>4672</v>
      </c>
    </row>
    <row r="171" spans="1:29" hidden="1">
      <c r="A171" s="10">
        <v>46069</v>
      </c>
      <c r="B171" s="10">
        <v>46069</v>
      </c>
      <c r="C171" t="s">
        <v>5304</v>
      </c>
      <c r="D171" t="s">
        <v>4961</v>
      </c>
      <c r="E171" t="s">
        <v>4962</v>
      </c>
      <c r="F171" t="s">
        <v>5025</v>
      </c>
      <c r="G171" t="s">
        <v>5026</v>
      </c>
      <c r="H171" t="s">
        <v>4672</v>
      </c>
      <c r="I171" t="s">
        <v>4672</v>
      </c>
      <c r="J171" t="s">
        <v>4672</v>
      </c>
      <c r="K171" t="s">
        <v>4672</v>
      </c>
      <c r="L171" t="s">
        <v>2697</v>
      </c>
      <c r="M171">
        <v>365000</v>
      </c>
      <c r="N171" s="641">
        <f>+transaction_statement_01_Jan_2026_28_Feb_2026[[#This Row],[Orig amount]]/100</f>
        <v>3650</v>
      </c>
      <c r="O171" t="s">
        <v>2697</v>
      </c>
      <c r="P171">
        <v>365000</v>
      </c>
      <c r="Q171">
        <v>365000</v>
      </c>
      <c r="S171">
        <v>0</v>
      </c>
      <c r="T171" t="s">
        <v>2697</v>
      </c>
      <c r="U171">
        <v>680949</v>
      </c>
      <c r="V171" t="s">
        <v>4965</v>
      </c>
      <c r="X171" t="s">
        <v>4672</v>
      </c>
      <c r="Y171" t="s">
        <v>4672</v>
      </c>
      <c r="Z171" t="s">
        <v>4672</v>
      </c>
      <c r="AB171" t="s">
        <v>4672</v>
      </c>
      <c r="AC171" t="s">
        <v>4672</v>
      </c>
    </row>
    <row r="172" spans="1:29" hidden="1">
      <c r="A172" s="10">
        <v>46069</v>
      </c>
      <c r="B172" s="10">
        <v>46069</v>
      </c>
      <c r="C172" t="s">
        <v>5305</v>
      </c>
      <c r="D172" t="s">
        <v>4967</v>
      </c>
      <c r="E172" t="s">
        <v>4962</v>
      </c>
      <c r="F172" t="s">
        <v>5041</v>
      </c>
      <c r="G172" t="s">
        <v>5042</v>
      </c>
      <c r="H172" t="s">
        <v>4970</v>
      </c>
      <c r="I172" t="s">
        <v>4672</v>
      </c>
      <c r="J172" t="s">
        <v>4672</v>
      </c>
      <c r="K172" t="s">
        <v>4672</v>
      </c>
      <c r="L172" t="s">
        <v>2697</v>
      </c>
      <c r="M172">
        <v>250000</v>
      </c>
      <c r="N172" s="641">
        <f>+transaction_statement_01_Jan_2026_28_Feb_2026[[#This Row],[Orig amount]]/100</f>
        <v>2500</v>
      </c>
      <c r="O172" t="s">
        <v>2697</v>
      </c>
      <c r="P172">
        <v>-250000</v>
      </c>
      <c r="Q172">
        <v>-250000</v>
      </c>
      <c r="S172">
        <v>0</v>
      </c>
      <c r="T172" t="s">
        <v>2697</v>
      </c>
      <c r="U172">
        <v>315949</v>
      </c>
      <c r="V172" t="s">
        <v>4965</v>
      </c>
      <c r="X172" t="s">
        <v>4672</v>
      </c>
      <c r="Y172" t="s">
        <v>5043</v>
      </c>
      <c r="Z172" t="s">
        <v>5044</v>
      </c>
      <c r="AB172" t="s">
        <v>4672</v>
      </c>
      <c r="AC172" t="s">
        <v>4672</v>
      </c>
    </row>
    <row r="173" spans="1:29" hidden="1">
      <c r="A173" s="10">
        <v>46069</v>
      </c>
      <c r="B173" s="10">
        <v>46069</v>
      </c>
      <c r="C173" t="s">
        <v>5306</v>
      </c>
      <c r="D173" t="s">
        <v>4967</v>
      </c>
      <c r="E173" t="s">
        <v>4962</v>
      </c>
      <c r="F173" t="s">
        <v>5058</v>
      </c>
      <c r="G173" t="s">
        <v>5059</v>
      </c>
      <c r="H173" t="s">
        <v>4970</v>
      </c>
      <c r="I173" t="s">
        <v>4672</v>
      </c>
      <c r="J173" t="s">
        <v>4672</v>
      </c>
      <c r="K173" t="s">
        <v>4672</v>
      </c>
      <c r="L173" t="s">
        <v>2697</v>
      </c>
      <c r="M173">
        <v>50000</v>
      </c>
      <c r="N173" s="641">
        <f>+transaction_statement_01_Jan_2026_28_Feb_2026[[#This Row],[Orig amount]]/100</f>
        <v>500</v>
      </c>
      <c r="O173" t="s">
        <v>2697</v>
      </c>
      <c r="P173">
        <v>-50000</v>
      </c>
      <c r="Q173">
        <v>-50000</v>
      </c>
      <c r="S173">
        <v>0</v>
      </c>
      <c r="T173" t="s">
        <v>2697</v>
      </c>
      <c r="U173">
        <v>565949</v>
      </c>
      <c r="V173" t="s">
        <v>4965</v>
      </c>
      <c r="X173" t="s">
        <v>4672</v>
      </c>
      <c r="Y173" t="s">
        <v>5060</v>
      </c>
      <c r="Z173" t="s">
        <v>5031</v>
      </c>
      <c r="AB173" t="s">
        <v>4672</v>
      </c>
      <c r="AC173" t="s">
        <v>4672</v>
      </c>
    </row>
    <row r="174" spans="1:29" hidden="1">
      <c r="A174" s="10">
        <v>46069</v>
      </c>
      <c r="B174" s="10">
        <v>46069</v>
      </c>
      <c r="C174" t="s">
        <v>5307</v>
      </c>
      <c r="D174" t="s">
        <v>4961</v>
      </c>
      <c r="E174" t="s">
        <v>4962</v>
      </c>
      <c r="F174" t="s">
        <v>5064</v>
      </c>
      <c r="G174" t="s">
        <v>5308</v>
      </c>
      <c r="H174" t="s">
        <v>4672</v>
      </c>
      <c r="I174" t="s">
        <v>4672</v>
      </c>
      <c r="J174" t="s">
        <v>4672</v>
      </c>
      <c r="K174" t="s">
        <v>4672</v>
      </c>
      <c r="L174" t="s">
        <v>2697</v>
      </c>
      <c r="M174">
        <v>416500</v>
      </c>
      <c r="N174" s="641">
        <f>+transaction_statement_01_Jan_2026_28_Feb_2026[[#This Row],[Orig amount]]/100</f>
        <v>4165</v>
      </c>
      <c r="O174" t="s">
        <v>2697</v>
      </c>
      <c r="P174">
        <v>416500</v>
      </c>
      <c r="Q174">
        <v>416500</v>
      </c>
      <c r="S174">
        <v>0</v>
      </c>
      <c r="T174" t="s">
        <v>2697</v>
      </c>
      <c r="U174">
        <v>615949</v>
      </c>
      <c r="V174" t="s">
        <v>4965</v>
      </c>
      <c r="X174" t="s">
        <v>4672</v>
      </c>
      <c r="Y174" t="s">
        <v>4672</v>
      </c>
      <c r="Z174" t="s">
        <v>4672</v>
      </c>
      <c r="AB174" t="s">
        <v>4672</v>
      </c>
      <c r="AC174" t="s">
        <v>4672</v>
      </c>
    </row>
    <row r="175" spans="1:29" hidden="1">
      <c r="A175" s="10">
        <v>46068</v>
      </c>
      <c r="B175" s="10">
        <v>46068</v>
      </c>
      <c r="C175" t="s">
        <v>5309</v>
      </c>
      <c r="D175" t="s">
        <v>4967</v>
      </c>
      <c r="E175" t="s">
        <v>4962</v>
      </c>
      <c r="F175" t="s">
        <v>5046</v>
      </c>
      <c r="G175" t="s">
        <v>4672</v>
      </c>
      <c r="H175" t="s">
        <v>4970</v>
      </c>
      <c r="I175" t="s">
        <v>4672</v>
      </c>
      <c r="J175" t="s">
        <v>4672</v>
      </c>
      <c r="K175" t="s">
        <v>4672</v>
      </c>
      <c r="L175" t="s">
        <v>2697</v>
      </c>
      <c r="M175">
        <v>50000</v>
      </c>
      <c r="N175" s="641">
        <f>+transaction_statement_01_Jan_2026_28_Feb_2026[[#This Row],[Orig amount]]/100</f>
        <v>500</v>
      </c>
      <c r="O175" t="s">
        <v>2697</v>
      </c>
      <c r="P175">
        <v>-50000</v>
      </c>
      <c r="Q175">
        <v>-50000</v>
      </c>
      <c r="S175">
        <v>0</v>
      </c>
      <c r="T175" t="s">
        <v>2697</v>
      </c>
      <c r="U175">
        <v>0</v>
      </c>
      <c r="V175" t="s">
        <v>5047</v>
      </c>
      <c r="X175" t="s">
        <v>4672</v>
      </c>
      <c r="Y175" t="s">
        <v>4672</v>
      </c>
      <c r="Z175" t="s">
        <v>4672</v>
      </c>
      <c r="AB175" t="s">
        <v>4672</v>
      </c>
      <c r="AC175" t="s">
        <v>4672</v>
      </c>
    </row>
    <row r="176" spans="1:29" hidden="1">
      <c r="A176" s="10">
        <v>46068</v>
      </c>
      <c r="B176" s="10">
        <v>46068</v>
      </c>
      <c r="C176" t="s">
        <v>5309</v>
      </c>
      <c r="D176" t="s">
        <v>4967</v>
      </c>
      <c r="E176" t="s">
        <v>4962</v>
      </c>
      <c r="F176" t="s">
        <v>5048</v>
      </c>
      <c r="G176" t="s">
        <v>4672</v>
      </c>
      <c r="H176" t="s">
        <v>4970</v>
      </c>
      <c r="I176" t="s">
        <v>4672</v>
      </c>
      <c r="J176" t="s">
        <v>4672</v>
      </c>
      <c r="K176" t="s">
        <v>4672</v>
      </c>
      <c r="L176" t="s">
        <v>2697</v>
      </c>
      <c r="M176">
        <v>-50000</v>
      </c>
      <c r="N176" s="641">
        <f>+transaction_statement_01_Jan_2026_28_Feb_2026[[#This Row],[Orig amount]]/100</f>
        <v>-500</v>
      </c>
      <c r="O176" t="s">
        <v>2697</v>
      </c>
      <c r="P176">
        <v>50000</v>
      </c>
      <c r="Q176">
        <v>50000</v>
      </c>
      <c r="S176">
        <v>0</v>
      </c>
      <c r="T176" t="s">
        <v>2697</v>
      </c>
      <c r="U176">
        <v>199449</v>
      </c>
      <c r="V176" t="s">
        <v>4965</v>
      </c>
      <c r="X176" t="s">
        <v>4672</v>
      </c>
      <c r="Y176" t="s">
        <v>4672</v>
      </c>
      <c r="Z176" t="s">
        <v>4672</v>
      </c>
      <c r="AB176" t="s">
        <v>4672</v>
      </c>
      <c r="AC176" t="s">
        <v>4672</v>
      </c>
    </row>
    <row r="177" spans="1:29" hidden="1">
      <c r="A177" s="10">
        <v>46068</v>
      </c>
      <c r="B177" s="10">
        <v>46068</v>
      </c>
      <c r="C177" t="s">
        <v>5310</v>
      </c>
      <c r="D177" t="s">
        <v>4961</v>
      </c>
      <c r="E177" t="s">
        <v>4962</v>
      </c>
      <c r="F177" t="s">
        <v>5050</v>
      </c>
      <c r="G177" t="s">
        <v>5051</v>
      </c>
      <c r="H177" t="s">
        <v>4672</v>
      </c>
      <c r="I177" t="s">
        <v>4672</v>
      </c>
      <c r="J177" t="s">
        <v>4672</v>
      </c>
      <c r="K177" t="s">
        <v>4672</v>
      </c>
      <c r="L177" t="s">
        <v>2697</v>
      </c>
      <c r="M177">
        <v>50000</v>
      </c>
      <c r="N177" s="641">
        <f>+transaction_statement_01_Jan_2026_28_Feb_2026[[#This Row],[Orig amount]]/100</f>
        <v>500</v>
      </c>
      <c r="O177" t="s">
        <v>2697</v>
      </c>
      <c r="P177">
        <v>50000</v>
      </c>
      <c r="Q177">
        <v>50000</v>
      </c>
      <c r="S177">
        <v>0</v>
      </c>
      <c r="T177" t="s">
        <v>2697</v>
      </c>
      <c r="U177">
        <v>50000</v>
      </c>
      <c r="V177" t="s">
        <v>5047</v>
      </c>
      <c r="X177" t="s">
        <v>4672</v>
      </c>
      <c r="Y177" t="s">
        <v>4672</v>
      </c>
      <c r="Z177" t="s">
        <v>4672</v>
      </c>
      <c r="AB177" t="s">
        <v>4672</v>
      </c>
      <c r="AC177" t="s">
        <v>4672</v>
      </c>
    </row>
    <row r="178" spans="1:29" hidden="1">
      <c r="A178" s="10">
        <v>46068</v>
      </c>
      <c r="B178" s="10">
        <v>46068</v>
      </c>
      <c r="C178" t="s">
        <v>5311</v>
      </c>
      <c r="D178" t="s">
        <v>4977</v>
      </c>
      <c r="E178" t="s">
        <v>4962</v>
      </c>
      <c r="F178" t="s">
        <v>5312</v>
      </c>
      <c r="G178" t="s">
        <v>4672</v>
      </c>
      <c r="H178" t="s">
        <v>4970</v>
      </c>
      <c r="I178" t="s">
        <v>4979</v>
      </c>
      <c r="J178" t="s">
        <v>4980</v>
      </c>
      <c r="K178" t="s">
        <v>4981</v>
      </c>
      <c r="L178" t="s">
        <v>2697</v>
      </c>
      <c r="M178">
        <v>14400</v>
      </c>
      <c r="N178" s="641">
        <f>+transaction_statement_01_Jan_2026_28_Feb_2026[[#This Row],[Orig amount]]/100</f>
        <v>144</v>
      </c>
      <c r="O178" t="s">
        <v>2697</v>
      </c>
      <c r="P178">
        <v>-14400</v>
      </c>
      <c r="Q178">
        <v>-14400</v>
      </c>
      <c r="S178">
        <v>0</v>
      </c>
      <c r="T178" t="s">
        <v>2697</v>
      </c>
      <c r="U178">
        <v>149449</v>
      </c>
      <c r="V178" t="s">
        <v>4965</v>
      </c>
      <c r="X178" t="s">
        <v>4672</v>
      </c>
      <c r="Y178" t="s">
        <v>4672</v>
      </c>
      <c r="Z178" t="s">
        <v>4672</v>
      </c>
      <c r="AA178">
        <v>5817</v>
      </c>
      <c r="AB178" t="s">
        <v>4672</v>
      </c>
      <c r="AC178" t="s">
        <v>4672</v>
      </c>
    </row>
    <row r="179" spans="1:29">
      <c r="A179" s="10">
        <v>46067</v>
      </c>
      <c r="B179" s="10">
        <v>46068</v>
      </c>
      <c r="C179" t="s">
        <v>5313</v>
      </c>
      <c r="D179" t="s">
        <v>4977</v>
      </c>
      <c r="E179" t="s">
        <v>4962</v>
      </c>
      <c r="F179" t="s">
        <v>5314</v>
      </c>
      <c r="G179" t="s">
        <v>4672</v>
      </c>
      <c r="H179" t="s">
        <v>5315</v>
      </c>
      <c r="I179" t="s">
        <v>5316</v>
      </c>
      <c r="J179" t="s">
        <v>4980</v>
      </c>
      <c r="K179" t="s">
        <v>4981</v>
      </c>
      <c r="L179" t="s">
        <v>2697</v>
      </c>
      <c r="M179">
        <v>6554</v>
      </c>
      <c r="N179" s="642">
        <f>+transaction_statement_01_Jan_2026_28_Feb_2026[[#This Row],[Orig amount]]/100</f>
        <v>65.540000000000006</v>
      </c>
      <c r="O179" t="s">
        <v>2697</v>
      </c>
      <c r="P179">
        <v>-6554</v>
      </c>
      <c r="Q179">
        <v>-6554</v>
      </c>
      <c r="S179">
        <v>0</v>
      </c>
      <c r="T179" t="s">
        <v>2697</v>
      </c>
      <c r="U179">
        <v>163849</v>
      </c>
      <c r="V179" t="s">
        <v>4965</v>
      </c>
      <c r="X179" t="s">
        <v>4672</v>
      </c>
      <c r="Y179" t="s">
        <v>4672</v>
      </c>
      <c r="Z179" t="s">
        <v>4672</v>
      </c>
      <c r="AA179">
        <v>5817</v>
      </c>
      <c r="AB179" t="s">
        <v>4672</v>
      </c>
      <c r="AC179" t="s">
        <v>4672</v>
      </c>
    </row>
    <row r="180" spans="1:29" hidden="1">
      <c r="A180" s="10">
        <v>46067</v>
      </c>
      <c r="B180" s="10">
        <v>46068</v>
      </c>
      <c r="C180" t="s">
        <v>5317</v>
      </c>
      <c r="D180" t="s">
        <v>4977</v>
      </c>
      <c r="E180" t="s">
        <v>4962</v>
      </c>
      <c r="F180" t="s">
        <v>5318</v>
      </c>
      <c r="G180" t="s">
        <v>4672</v>
      </c>
      <c r="H180" t="s">
        <v>4970</v>
      </c>
      <c r="I180" t="s">
        <v>4984</v>
      </c>
      <c r="J180" t="s">
        <v>4985</v>
      </c>
      <c r="K180" t="s">
        <v>4981</v>
      </c>
      <c r="L180" t="s">
        <v>2697</v>
      </c>
      <c r="M180">
        <v>29400</v>
      </c>
      <c r="N180" s="641">
        <f>+transaction_statement_01_Jan_2026_28_Feb_2026[[#This Row],[Orig amount]]/100</f>
        <v>294</v>
      </c>
      <c r="O180" t="s">
        <v>2697</v>
      </c>
      <c r="P180">
        <v>-29400</v>
      </c>
      <c r="Q180">
        <v>-29400</v>
      </c>
      <c r="S180">
        <v>0</v>
      </c>
      <c r="T180" t="s">
        <v>2697</v>
      </c>
      <c r="U180">
        <v>170403</v>
      </c>
      <c r="V180" t="s">
        <v>4965</v>
      </c>
      <c r="X180" t="s">
        <v>4672</v>
      </c>
      <c r="Y180" t="s">
        <v>4672</v>
      </c>
      <c r="Z180" t="s">
        <v>4672</v>
      </c>
      <c r="AA180">
        <v>5732</v>
      </c>
      <c r="AB180" t="s">
        <v>4672</v>
      </c>
      <c r="AC180" t="s">
        <v>4672</v>
      </c>
    </row>
    <row r="181" spans="1:29" hidden="1">
      <c r="A181" s="10">
        <v>46067</v>
      </c>
      <c r="B181" s="10">
        <v>46068</v>
      </c>
      <c r="C181" t="s">
        <v>5319</v>
      </c>
      <c r="D181" t="s">
        <v>4977</v>
      </c>
      <c r="E181" t="s">
        <v>4962</v>
      </c>
      <c r="F181" t="s">
        <v>5320</v>
      </c>
      <c r="G181" t="s">
        <v>4672</v>
      </c>
      <c r="H181" t="s">
        <v>4970</v>
      </c>
      <c r="I181" t="s">
        <v>4984</v>
      </c>
      <c r="J181" t="s">
        <v>4985</v>
      </c>
      <c r="K181" t="s">
        <v>4981</v>
      </c>
      <c r="L181" t="s">
        <v>2697</v>
      </c>
      <c r="M181">
        <v>11920</v>
      </c>
      <c r="N181" s="641">
        <f>+transaction_statement_01_Jan_2026_28_Feb_2026[[#This Row],[Orig amount]]/100</f>
        <v>119.2</v>
      </c>
      <c r="O181" t="s">
        <v>2697</v>
      </c>
      <c r="P181">
        <v>-11920</v>
      </c>
      <c r="Q181">
        <v>-11920</v>
      </c>
      <c r="S181">
        <v>0</v>
      </c>
      <c r="T181" t="s">
        <v>2697</v>
      </c>
      <c r="U181">
        <v>199803</v>
      </c>
      <c r="V181" t="s">
        <v>4965</v>
      </c>
      <c r="X181" t="s">
        <v>4672</v>
      </c>
      <c r="Y181" t="s">
        <v>4672</v>
      </c>
      <c r="Z181" t="s">
        <v>4672</v>
      </c>
      <c r="AA181">
        <v>5311</v>
      </c>
      <c r="AB181" t="s">
        <v>4672</v>
      </c>
      <c r="AC181" t="s">
        <v>4672</v>
      </c>
    </row>
    <row r="182" spans="1:29" hidden="1">
      <c r="A182" s="10">
        <v>46067</v>
      </c>
      <c r="B182" s="10">
        <v>46068</v>
      </c>
      <c r="C182" t="s">
        <v>5321</v>
      </c>
      <c r="D182" t="s">
        <v>4977</v>
      </c>
      <c r="E182" t="s">
        <v>4962</v>
      </c>
      <c r="F182" t="s">
        <v>5322</v>
      </c>
      <c r="G182" t="s">
        <v>4672</v>
      </c>
      <c r="H182" t="s">
        <v>4970</v>
      </c>
      <c r="I182" t="s">
        <v>4984</v>
      </c>
      <c r="J182" t="s">
        <v>4985</v>
      </c>
      <c r="K182" t="s">
        <v>4981</v>
      </c>
      <c r="L182" t="s">
        <v>2697</v>
      </c>
      <c r="M182">
        <v>11075</v>
      </c>
      <c r="N182" s="641">
        <f>+transaction_statement_01_Jan_2026_28_Feb_2026[[#This Row],[Orig amount]]/100</f>
        <v>110.75</v>
      </c>
      <c r="O182" t="s">
        <v>2697</v>
      </c>
      <c r="P182">
        <v>-11075</v>
      </c>
      <c r="Q182">
        <v>-11075</v>
      </c>
      <c r="S182">
        <v>0</v>
      </c>
      <c r="T182" t="s">
        <v>2697</v>
      </c>
      <c r="U182">
        <v>211723</v>
      </c>
      <c r="V182" t="s">
        <v>4965</v>
      </c>
      <c r="X182" t="s">
        <v>4672</v>
      </c>
      <c r="Y182" t="s">
        <v>4672</v>
      </c>
      <c r="Z182" t="s">
        <v>4672</v>
      </c>
      <c r="AA182">
        <v>7941</v>
      </c>
      <c r="AB182" t="s">
        <v>4672</v>
      </c>
      <c r="AC182" t="s">
        <v>4672</v>
      </c>
    </row>
    <row r="183" spans="1:29" hidden="1">
      <c r="A183" s="10">
        <v>46067</v>
      </c>
      <c r="B183" s="10">
        <v>46067</v>
      </c>
      <c r="C183" t="s">
        <v>5323</v>
      </c>
      <c r="D183" t="s">
        <v>4967</v>
      </c>
      <c r="E183" t="s">
        <v>4962</v>
      </c>
      <c r="F183" t="s">
        <v>5058</v>
      </c>
      <c r="G183" t="s">
        <v>5059</v>
      </c>
      <c r="H183" t="s">
        <v>4970</v>
      </c>
      <c r="I183" t="s">
        <v>4672</v>
      </c>
      <c r="J183" t="s">
        <v>4672</v>
      </c>
      <c r="K183" t="s">
        <v>4672</v>
      </c>
      <c r="L183" t="s">
        <v>2697</v>
      </c>
      <c r="M183">
        <v>140000</v>
      </c>
      <c r="N183" s="641">
        <f>+transaction_statement_01_Jan_2026_28_Feb_2026[[#This Row],[Orig amount]]/100</f>
        <v>1400</v>
      </c>
      <c r="O183" t="s">
        <v>2697</v>
      </c>
      <c r="P183">
        <v>-140000</v>
      </c>
      <c r="Q183">
        <v>-140000</v>
      </c>
      <c r="S183">
        <v>0</v>
      </c>
      <c r="T183" t="s">
        <v>2697</v>
      </c>
      <c r="U183">
        <v>222798</v>
      </c>
      <c r="V183" t="s">
        <v>4965</v>
      </c>
      <c r="X183" t="s">
        <v>4672</v>
      </c>
      <c r="Y183" t="s">
        <v>5060</v>
      </c>
      <c r="Z183" t="s">
        <v>5031</v>
      </c>
      <c r="AB183" t="s">
        <v>4672</v>
      </c>
      <c r="AC183" t="s">
        <v>4672</v>
      </c>
    </row>
    <row r="184" spans="1:29" hidden="1">
      <c r="A184" s="10">
        <v>46067</v>
      </c>
      <c r="B184" s="10">
        <v>46067</v>
      </c>
      <c r="C184" t="s">
        <v>5324</v>
      </c>
      <c r="D184" t="s">
        <v>4967</v>
      </c>
      <c r="E184" t="s">
        <v>4962</v>
      </c>
      <c r="F184" t="s">
        <v>5058</v>
      </c>
      <c r="G184" t="s">
        <v>5059</v>
      </c>
      <c r="H184" t="s">
        <v>4970</v>
      </c>
      <c r="I184" t="s">
        <v>4672</v>
      </c>
      <c r="J184" t="s">
        <v>4672</v>
      </c>
      <c r="K184" t="s">
        <v>4672</v>
      </c>
      <c r="L184" t="s">
        <v>2697</v>
      </c>
      <c r="M184">
        <v>80000</v>
      </c>
      <c r="N184" s="641">
        <f>+transaction_statement_01_Jan_2026_28_Feb_2026[[#This Row],[Orig amount]]/100</f>
        <v>800</v>
      </c>
      <c r="O184" t="s">
        <v>2697</v>
      </c>
      <c r="P184">
        <v>-80000</v>
      </c>
      <c r="Q184">
        <v>-80000</v>
      </c>
      <c r="S184">
        <v>0</v>
      </c>
      <c r="T184" t="s">
        <v>2697</v>
      </c>
      <c r="U184">
        <v>362798</v>
      </c>
      <c r="V184" t="s">
        <v>4965</v>
      </c>
      <c r="X184" t="s">
        <v>4672</v>
      </c>
      <c r="Y184" t="s">
        <v>5060</v>
      </c>
      <c r="Z184" t="s">
        <v>5031</v>
      </c>
      <c r="AB184" t="s">
        <v>4672</v>
      </c>
      <c r="AC184" t="s">
        <v>4672</v>
      </c>
    </row>
    <row r="185" spans="1:29" hidden="1">
      <c r="A185" s="10">
        <v>46067</v>
      </c>
      <c r="B185" s="10">
        <v>46067</v>
      </c>
      <c r="C185" t="s">
        <v>5325</v>
      </c>
      <c r="D185" t="s">
        <v>4961</v>
      </c>
      <c r="E185" t="s">
        <v>4962</v>
      </c>
      <c r="F185" t="s">
        <v>4963</v>
      </c>
      <c r="G185" t="s">
        <v>4964</v>
      </c>
      <c r="H185" t="s">
        <v>4672</v>
      </c>
      <c r="I185" t="s">
        <v>4672</v>
      </c>
      <c r="J185" t="s">
        <v>4672</v>
      </c>
      <c r="K185" t="s">
        <v>4672</v>
      </c>
      <c r="L185" t="s">
        <v>2697</v>
      </c>
      <c r="M185">
        <v>94381</v>
      </c>
      <c r="N185" s="641">
        <f>+transaction_statement_01_Jan_2026_28_Feb_2026[[#This Row],[Orig amount]]/100</f>
        <v>943.81</v>
      </c>
      <c r="O185" t="s">
        <v>2697</v>
      </c>
      <c r="P185">
        <v>94381</v>
      </c>
      <c r="Q185">
        <v>94381</v>
      </c>
      <c r="S185">
        <v>0</v>
      </c>
      <c r="T185" t="s">
        <v>2697</v>
      </c>
      <c r="U185">
        <v>442798</v>
      </c>
      <c r="V185" t="s">
        <v>4965</v>
      </c>
      <c r="X185" t="s">
        <v>4672</v>
      </c>
      <c r="Y185" t="s">
        <v>4672</v>
      </c>
      <c r="Z185" t="s">
        <v>4672</v>
      </c>
      <c r="AB185" t="s">
        <v>4672</v>
      </c>
      <c r="AC185" t="s">
        <v>4672</v>
      </c>
    </row>
    <row r="186" spans="1:29" hidden="1">
      <c r="A186" s="10">
        <v>46067</v>
      </c>
      <c r="B186" s="10">
        <v>46067</v>
      </c>
      <c r="C186" t="s">
        <v>5326</v>
      </c>
      <c r="D186" t="s">
        <v>4961</v>
      </c>
      <c r="E186" t="s">
        <v>4962</v>
      </c>
      <c r="F186" t="s">
        <v>4963</v>
      </c>
      <c r="G186" t="s">
        <v>4964</v>
      </c>
      <c r="H186" t="s">
        <v>4672</v>
      </c>
      <c r="I186" t="s">
        <v>4672</v>
      </c>
      <c r="J186" t="s">
        <v>4672</v>
      </c>
      <c r="K186" t="s">
        <v>4672</v>
      </c>
      <c r="L186" t="s">
        <v>2697</v>
      </c>
      <c r="M186">
        <v>137083</v>
      </c>
      <c r="N186" s="641">
        <f>+transaction_statement_01_Jan_2026_28_Feb_2026[[#This Row],[Orig amount]]/100</f>
        <v>1370.83</v>
      </c>
      <c r="O186" t="s">
        <v>2697</v>
      </c>
      <c r="P186">
        <v>137083</v>
      </c>
      <c r="Q186">
        <v>137083</v>
      </c>
      <c r="S186">
        <v>0</v>
      </c>
      <c r="T186" t="s">
        <v>2697</v>
      </c>
      <c r="U186">
        <v>348417</v>
      </c>
      <c r="V186" t="s">
        <v>4965</v>
      </c>
      <c r="X186" t="s">
        <v>4672</v>
      </c>
      <c r="Y186" t="s">
        <v>4672</v>
      </c>
      <c r="Z186" t="s">
        <v>4672</v>
      </c>
      <c r="AB186" t="s">
        <v>4672</v>
      </c>
      <c r="AC186" t="s">
        <v>4672</v>
      </c>
    </row>
    <row r="187" spans="1:29" hidden="1">
      <c r="A187" s="10">
        <v>46067</v>
      </c>
      <c r="B187" s="10">
        <v>46067</v>
      </c>
      <c r="C187" t="s">
        <v>5327</v>
      </c>
      <c r="D187" t="s">
        <v>4967</v>
      </c>
      <c r="E187" t="s">
        <v>4962</v>
      </c>
      <c r="F187" t="s">
        <v>5058</v>
      </c>
      <c r="G187" t="s">
        <v>5059</v>
      </c>
      <c r="H187" t="s">
        <v>4970</v>
      </c>
      <c r="I187" t="s">
        <v>4672</v>
      </c>
      <c r="J187" t="s">
        <v>4672</v>
      </c>
      <c r="K187" t="s">
        <v>4672</v>
      </c>
      <c r="L187" t="s">
        <v>2697</v>
      </c>
      <c r="M187">
        <v>220000</v>
      </c>
      <c r="N187" s="641">
        <f>+transaction_statement_01_Jan_2026_28_Feb_2026[[#This Row],[Orig amount]]/100</f>
        <v>2200</v>
      </c>
      <c r="O187" t="s">
        <v>2697</v>
      </c>
      <c r="P187">
        <v>-220000</v>
      </c>
      <c r="Q187">
        <v>-220000</v>
      </c>
      <c r="S187">
        <v>0</v>
      </c>
      <c r="T187" t="s">
        <v>2697</v>
      </c>
      <c r="U187">
        <v>211334</v>
      </c>
      <c r="V187" t="s">
        <v>4965</v>
      </c>
      <c r="X187" t="s">
        <v>4672</v>
      </c>
      <c r="Y187" t="s">
        <v>5060</v>
      </c>
      <c r="Z187" t="s">
        <v>5031</v>
      </c>
      <c r="AB187" t="s">
        <v>4672</v>
      </c>
      <c r="AC187" t="s">
        <v>4672</v>
      </c>
    </row>
    <row r="188" spans="1:29" hidden="1">
      <c r="A188" s="10">
        <v>46067</v>
      </c>
      <c r="B188" s="10">
        <v>46067</v>
      </c>
      <c r="C188" t="s">
        <v>5328</v>
      </c>
      <c r="D188" t="s">
        <v>4977</v>
      </c>
      <c r="E188" t="s">
        <v>4962</v>
      </c>
      <c r="F188" t="s">
        <v>5212</v>
      </c>
      <c r="G188" t="s">
        <v>4672</v>
      </c>
      <c r="H188" t="s">
        <v>4970</v>
      </c>
      <c r="I188" t="s">
        <v>4984</v>
      </c>
      <c r="J188" t="s">
        <v>4985</v>
      </c>
      <c r="K188" t="s">
        <v>4981</v>
      </c>
      <c r="L188" t="s">
        <v>2697</v>
      </c>
      <c r="M188">
        <v>5490</v>
      </c>
      <c r="N188" s="641">
        <f>+transaction_statement_01_Jan_2026_28_Feb_2026[[#This Row],[Orig amount]]/100</f>
        <v>54.9</v>
      </c>
      <c r="O188" t="s">
        <v>2697</v>
      </c>
      <c r="P188">
        <v>-5490</v>
      </c>
      <c r="Q188">
        <v>-5490</v>
      </c>
      <c r="S188">
        <v>0</v>
      </c>
      <c r="T188" t="s">
        <v>2697</v>
      </c>
      <c r="U188">
        <v>431334</v>
      </c>
      <c r="V188" t="s">
        <v>4965</v>
      </c>
      <c r="X188" t="s">
        <v>4672</v>
      </c>
      <c r="Y188" t="s">
        <v>4672</v>
      </c>
      <c r="Z188" t="s">
        <v>4672</v>
      </c>
      <c r="AA188">
        <v>5732</v>
      </c>
      <c r="AB188" t="s">
        <v>4672</v>
      </c>
      <c r="AC188" t="s">
        <v>4672</v>
      </c>
    </row>
    <row r="189" spans="1:29" hidden="1">
      <c r="A189" s="10">
        <v>46066</v>
      </c>
      <c r="B189" s="10">
        <v>46067</v>
      </c>
      <c r="C189" t="s">
        <v>5329</v>
      </c>
      <c r="D189" t="s">
        <v>4977</v>
      </c>
      <c r="E189" t="s">
        <v>4962</v>
      </c>
      <c r="F189" t="s">
        <v>5330</v>
      </c>
      <c r="G189" t="s">
        <v>4672</v>
      </c>
      <c r="H189" t="s">
        <v>4970</v>
      </c>
      <c r="I189" t="s">
        <v>4984</v>
      </c>
      <c r="J189" t="s">
        <v>4985</v>
      </c>
      <c r="K189" t="s">
        <v>4981</v>
      </c>
      <c r="L189" t="s">
        <v>2697</v>
      </c>
      <c r="M189">
        <v>1000</v>
      </c>
      <c r="N189" s="641">
        <f>+transaction_statement_01_Jan_2026_28_Feb_2026[[#This Row],[Orig amount]]/100</f>
        <v>10</v>
      </c>
      <c r="O189" t="s">
        <v>2697</v>
      </c>
      <c r="P189">
        <v>-1000</v>
      </c>
      <c r="Q189">
        <v>-1000</v>
      </c>
      <c r="S189">
        <v>0</v>
      </c>
      <c r="T189" t="s">
        <v>2697</v>
      </c>
      <c r="U189">
        <v>436824</v>
      </c>
      <c r="V189" t="s">
        <v>4965</v>
      </c>
      <c r="X189" t="s">
        <v>4672</v>
      </c>
      <c r="Y189" t="s">
        <v>4672</v>
      </c>
      <c r="Z189" t="s">
        <v>4672</v>
      </c>
      <c r="AA189">
        <v>5993</v>
      </c>
      <c r="AB189" t="s">
        <v>4672</v>
      </c>
      <c r="AC189" t="s">
        <v>4672</v>
      </c>
    </row>
    <row r="190" spans="1:29" hidden="1">
      <c r="A190" s="10">
        <v>46066</v>
      </c>
      <c r="B190" s="10">
        <v>46066</v>
      </c>
      <c r="C190" t="s">
        <v>5331</v>
      </c>
      <c r="D190" t="s">
        <v>4961</v>
      </c>
      <c r="E190" t="s">
        <v>4962</v>
      </c>
      <c r="F190" t="s">
        <v>5025</v>
      </c>
      <c r="G190" t="s">
        <v>5026</v>
      </c>
      <c r="H190" t="s">
        <v>4672</v>
      </c>
      <c r="I190" t="s">
        <v>4672</v>
      </c>
      <c r="J190" t="s">
        <v>4672</v>
      </c>
      <c r="K190" t="s">
        <v>4672</v>
      </c>
      <c r="L190" t="s">
        <v>2697</v>
      </c>
      <c r="M190">
        <v>350743</v>
      </c>
      <c r="N190" s="641">
        <f>+transaction_statement_01_Jan_2026_28_Feb_2026[[#This Row],[Orig amount]]/100</f>
        <v>3507.43</v>
      </c>
      <c r="O190" t="s">
        <v>2697</v>
      </c>
      <c r="P190">
        <v>350743</v>
      </c>
      <c r="Q190">
        <v>350743</v>
      </c>
      <c r="S190">
        <v>0</v>
      </c>
      <c r="T190" t="s">
        <v>2697</v>
      </c>
      <c r="U190">
        <v>437824</v>
      </c>
      <c r="V190" t="s">
        <v>4965</v>
      </c>
      <c r="X190" t="s">
        <v>4672</v>
      </c>
      <c r="Y190" t="s">
        <v>4672</v>
      </c>
      <c r="Z190" t="s">
        <v>4672</v>
      </c>
      <c r="AB190" t="s">
        <v>4672</v>
      </c>
      <c r="AC190" t="s">
        <v>4672</v>
      </c>
    </row>
    <row r="191" spans="1:29" hidden="1">
      <c r="A191" s="10">
        <v>46066</v>
      </c>
      <c r="B191" s="10">
        <v>46066</v>
      </c>
      <c r="C191" t="s">
        <v>5332</v>
      </c>
      <c r="D191" t="s">
        <v>4961</v>
      </c>
      <c r="E191" t="s">
        <v>4962</v>
      </c>
      <c r="F191" t="s">
        <v>5025</v>
      </c>
      <c r="G191" t="s">
        <v>5026</v>
      </c>
      <c r="H191" t="s">
        <v>4672</v>
      </c>
      <c r="I191" t="s">
        <v>4672</v>
      </c>
      <c r="J191" t="s">
        <v>4672</v>
      </c>
      <c r="K191" t="s">
        <v>4672</v>
      </c>
      <c r="L191" t="s">
        <v>2697</v>
      </c>
      <c r="M191">
        <v>61596</v>
      </c>
      <c r="N191" s="641">
        <f>+transaction_statement_01_Jan_2026_28_Feb_2026[[#This Row],[Orig amount]]/100</f>
        <v>615.96</v>
      </c>
      <c r="O191" t="s">
        <v>2697</v>
      </c>
      <c r="P191">
        <v>61596</v>
      </c>
      <c r="Q191">
        <v>61596</v>
      </c>
      <c r="S191">
        <v>0</v>
      </c>
      <c r="T191" t="s">
        <v>2697</v>
      </c>
      <c r="U191">
        <v>87081</v>
      </c>
      <c r="V191" t="s">
        <v>4965</v>
      </c>
      <c r="X191" t="s">
        <v>4672</v>
      </c>
      <c r="Y191" t="s">
        <v>4672</v>
      </c>
      <c r="Z191" t="s">
        <v>4672</v>
      </c>
      <c r="AB191" t="s">
        <v>4672</v>
      </c>
      <c r="AC191" t="s">
        <v>4672</v>
      </c>
    </row>
    <row r="192" spans="1:29" hidden="1">
      <c r="A192" s="10">
        <v>46066</v>
      </c>
      <c r="B192" s="10">
        <v>46066</v>
      </c>
      <c r="C192" t="s">
        <v>5333</v>
      </c>
      <c r="D192" t="s">
        <v>4967</v>
      </c>
      <c r="E192" t="s">
        <v>4962</v>
      </c>
      <c r="F192" t="s">
        <v>5334</v>
      </c>
      <c r="G192" t="s">
        <v>5335</v>
      </c>
      <c r="H192" t="s">
        <v>4970</v>
      </c>
      <c r="I192" t="s">
        <v>4672</v>
      </c>
      <c r="J192" t="s">
        <v>4672</v>
      </c>
      <c r="K192" t="s">
        <v>4672</v>
      </c>
      <c r="L192" t="s">
        <v>2697</v>
      </c>
      <c r="M192">
        <v>109079</v>
      </c>
      <c r="N192" s="641">
        <f>+transaction_statement_01_Jan_2026_28_Feb_2026[[#This Row],[Orig amount]]/100</f>
        <v>1090.79</v>
      </c>
      <c r="O192" t="s">
        <v>2697</v>
      </c>
      <c r="P192">
        <v>-109079</v>
      </c>
      <c r="Q192">
        <v>-109079</v>
      </c>
      <c r="S192">
        <v>0</v>
      </c>
      <c r="T192" t="s">
        <v>2697</v>
      </c>
      <c r="U192">
        <v>25485</v>
      </c>
      <c r="V192" t="s">
        <v>4965</v>
      </c>
      <c r="X192" t="s">
        <v>4672</v>
      </c>
      <c r="Y192" t="s">
        <v>5336</v>
      </c>
      <c r="Z192" t="s">
        <v>5337</v>
      </c>
      <c r="AB192" t="s">
        <v>4672</v>
      </c>
      <c r="AC192" t="s">
        <v>4672</v>
      </c>
    </row>
    <row r="193" spans="1:29" hidden="1">
      <c r="A193" s="10">
        <v>46066</v>
      </c>
      <c r="B193" s="10">
        <v>46066</v>
      </c>
      <c r="C193" t="s">
        <v>5338</v>
      </c>
      <c r="D193" t="s">
        <v>4961</v>
      </c>
      <c r="E193" t="s">
        <v>4962</v>
      </c>
      <c r="F193" t="s">
        <v>5025</v>
      </c>
      <c r="G193" t="s">
        <v>5026</v>
      </c>
      <c r="H193" t="s">
        <v>4672</v>
      </c>
      <c r="I193" t="s">
        <v>4672</v>
      </c>
      <c r="J193" t="s">
        <v>4672</v>
      </c>
      <c r="K193" t="s">
        <v>4672</v>
      </c>
      <c r="L193" t="s">
        <v>2697</v>
      </c>
      <c r="M193">
        <v>120644</v>
      </c>
      <c r="N193" s="641">
        <f>+transaction_statement_01_Jan_2026_28_Feb_2026[[#This Row],[Orig amount]]/100</f>
        <v>1206.44</v>
      </c>
      <c r="O193" t="s">
        <v>2697</v>
      </c>
      <c r="P193">
        <v>120644</v>
      </c>
      <c r="Q193">
        <v>120644</v>
      </c>
      <c r="S193">
        <v>0</v>
      </c>
      <c r="T193" t="s">
        <v>2697</v>
      </c>
      <c r="U193">
        <v>134564</v>
      </c>
      <c r="V193" t="s">
        <v>4965</v>
      </c>
      <c r="X193" t="s">
        <v>4672</v>
      </c>
      <c r="Y193" t="s">
        <v>4672</v>
      </c>
      <c r="Z193" t="s">
        <v>4672</v>
      </c>
      <c r="AB193" t="s">
        <v>4672</v>
      </c>
      <c r="AC193" t="s">
        <v>4672</v>
      </c>
    </row>
    <row r="194" spans="1:29" hidden="1">
      <c r="A194" s="10">
        <v>46066</v>
      </c>
      <c r="B194" s="10">
        <v>46066</v>
      </c>
      <c r="C194" t="s">
        <v>5339</v>
      </c>
      <c r="D194" t="s">
        <v>4967</v>
      </c>
      <c r="E194" t="s">
        <v>4962</v>
      </c>
      <c r="F194" t="s">
        <v>5334</v>
      </c>
      <c r="G194" t="s">
        <v>5335</v>
      </c>
      <c r="H194" t="s">
        <v>4970</v>
      </c>
      <c r="I194" t="s">
        <v>4672</v>
      </c>
      <c r="J194" t="s">
        <v>4672</v>
      </c>
      <c r="K194" t="s">
        <v>4672</v>
      </c>
      <c r="L194" t="s">
        <v>2697</v>
      </c>
      <c r="M194">
        <v>200000</v>
      </c>
      <c r="N194" s="641">
        <f>+transaction_statement_01_Jan_2026_28_Feb_2026[[#This Row],[Orig amount]]/100</f>
        <v>2000</v>
      </c>
      <c r="O194" t="s">
        <v>2697</v>
      </c>
      <c r="P194">
        <v>-200000</v>
      </c>
      <c r="Q194">
        <v>-200000</v>
      </c>
      <c r="S194">
        <v>0</v>
      </c>
      <c r="T194" t="s">
        <v>2697</v>
      </c>
      <c r="U194">
        <v>13920</v>
      </c>
      <c r="V194" t="s">
        <v>4965</v>
      </c>
      <c r="X194" t="s">
        <v>4672</v>
      </c>
      <c r="Y194" t="s">
        <v>5336</v>
      </c>
      <c r="Z194" t="s">
        <v>5337</v>
      </c>
      <c r="AB194" t="s">
        <v>4672</v>
      </c>
      <c r="AC194" t="s">
        <v>4672</v>
      </c>
    </row>
    <row r="195" spans="1:29" hidden="1">
      <c r="A195" s="10">
        <v>46066</v>
      </c>
      <c r="B195" s="10">
        <v>46066</v>
      </c>
      <c r="C195" t="s">
        <v>5340</v>
      </c>
      <c r="D195" t="s">
        <v>4967</v>
      </c>
      <c r="E195" t="s">
        <v>4962</v>
      </c>
      <c r="F195" t="s">
        <v>5046</v>
      </c>
      <c r="G195" t="s">
        <v>4672</v>
      </c>
      <c r="H195" t="s">
        <v>4970</v>
      </c>
      <c r="I195" t="s">
        <v>4672</v>
      </c>
      <c r="J195" t="s">
        <v>4672</v>
      </c>
      <c r="K195" t="s">
        <v>4672</v>
      </c>
      <c r="L195" t="s">
        <v>2697</v>
      </c>
      <c r="M195">
        <v>81100</v>
      </c>
      <c r="N195" s="641">
        <f>+transaction_statement_01_Jan_2026_28_Feb_2026[[#This Row],[Orig amount]]/100</f>
        <v>811</v>
      </c>
      <c r="O195" t="s">
        <v>2697</v>
      </c>
      <c r="P195">
        <v>-81100</v>
      </c>
      <c r="Q195">
        <v>-81100</v>
      </c>
      <c r="S195">
        <v>0</v>
      </c>
      <c r="T195" t="s">
        <v>2697</v>
      </c>
      <c r="U195">
        <v>0</v>
      </c>
      <c r="V195" t="s">
        <v>5047</v>
      </c>
      <c r="X195" t="s">
        <v>4672</v>
      </c>
      <c r="Y195" t="s">
        <v>4672</v>
      </c>
      <c r="Z195" t="s">
        <v>4672</v>
      </c>
      <c r="AB195" t="s">
        <v>4672</v>
      </c>
      <c r="AC195" t="s">
        <v>4672</v>
      </c>
    </row>
    <row r="196" spans="1:29" hidden="1">
      <c r="A196" s="10">
        <v>46066</v>
      </c>
      <c r="B196" s="10">
        <v>46066</v>
      </c>
      <c r="C196" t="s">
        <v>5340</v>
      </c>
      <c r="D196" t="s">
        <v>4967</v>
      </c>
      <c r="E196" t="s">
        <v>4962</v>
      </c>
      <c r="F196" t="s">
        <v>5048</v>
      </c>
      <c r="G196" t="s">
        <v>4672</v>
      </c>
      <c r="H196" t="s">
        <v>4970</v>
      </c>
      <c r="I196" t="s">
        <v>4672</v>
      </c>
      <c r="J196" t="s">
        <v>4672</v>
      </c>
      <c r="K196" t="s">
        <v>4672</v>
      </c>
      <c r="L196" t="s">
        <v>2697</v>
      </c>
      <c r="M196">
        <v>-81100</v>
      </c>
      <c r="N196" s="641">
        <f>+transaction_statement_01_Jan_2026_28_Feb_2026[[#This Row],[Orig amount]]/100</f>
        <v>-811</v>
      </c>
      <c r="O196" t="s">
        <v>2697</v>
      </c>
      <c r="P196">
        <v>81100</v>
      </c>
      <c r="Q196">
        <v>81100</v>
      </c>
      <c r="S196">
        <v>0</v>
      </c>
      <c r="T196" t="s">
        <v>2697</v>
      </c>
      <c r="U196">
        <v>213920</v>
      </c>
      <c r="V196" t="s">
        <v>4965</v>
      </c>
      <c r="X196" t="s">
        <v>4672</v>
      </c>
      <c r="Y196" t="s">
        <v>4672</v>
      </c>
      <c r="Z196" t="s">
        <v>4672</v>
      </c>
      <c r="AB196" t="s">
        <v>4672</v>
      </c>
      <c r="AC196" t="s">
        <v>4672</v>
      </c>
    </row>
    <row r="197" spans="1:29" hidden="1">
      <c r="A197" s="10">
        <v>46066</v>
      </c>
      <c r="B197" s="10">
        <v>46066</v>
      </c>
      <c r="C197" t="s">
        <v>5341</v>
      </c>
      <c r="D197" t="s">
        <v>4961</v>
      </c>
      <c r="E197" t="s">
        <v>4962</v>
      </c>
      <c r="F197" t="s">
        <v>5050</v>
      </c>
      <c r="G197" t="s">
        <v>5051</v>
      </c>
      <c r="H197" t="s">
        <v>4672</v>
      </c>
      <c r="I197" t="s">
        <v>4672</v>
      </c>
      <c r="J197" t="s">
        <v>4672</v>
      </c>
      <c r="K197" t="s">
        <v>4672</v>
      </c>
      <c r="L197" t="s">
        <v>2697</v>
      </c>
      <c r="M197">
        <v>81100</v>
      </c>
      <c r="N197" s="641">
        <f>+transaction_statement_01_Jan_2026_28_Feb_2026[[#This Row],[Orig amount]]/100</f>
        <v>811</v>
      </c>
      <c r="O197" t="s">
        <v>2697</v>
      </c>
      <c r="P197">
        <v>81100</v>
      </c>
      <c r="Q197">
        <v>81100</v>
      </c>
      <c r="S197">
        <v>0</v>
      </c>
      <c r="T197" t="s">
        <v>2697</v>
      </c>
      <c r="U197">
        <v>81100</v>
      </c>
      <c r="V197" t="s">
        <v>5047</v>
      </c>
      <c r="X197" t="s">
        <v>4672</v>
      </c>
      <c r="Y197" t="s">
        <v>4672</v>
      </c>
      <c r="Z197" t="s">
        <v>4672</v>
      </c>
      <c r="AB197" t="s">
        <v>4672</v>
      </c>
      <c r="AC197" t="s">
        <v>4672</v>
      </c>
    </row>
    <row r="198" spans="1:29" hidden="1">
      <c r="A198" s="10">
        <v>46066</v>
      </c>
      <c r="B198" s="10">
        <v>46066</v>
      </c>
      <c r="C198" t="s">
        <v>5342</v>
      </c>
      <c r="D198" t="s">
        <v>4961</v>
      </c>
      <c r="E198" t="s">
        <v>4962</v>
      </c>
      <c r="F198" t="s">
        <v>5025</v>
      </c>
      <c r="G198" t="s">
        <v>5026</v>
      </c>
      <c r="H198" t="s">
        <v>4672</v>
      </c>
      <c r="I198" t="s">
        <v>4672</v>
      </c>
      <c r="J198" t="s">
        <v>4672</v>
      </c>
      <c r="K198" t="s">
        <v>4672</v>
      </c>
      <c r="L198" t="s">
        <v>2697</v>
      </c>
      <c r="M198">
        <v>77331</v>
      </c>
      <c r="N198" s="641">
        <f>+transaction_statement_01_Jan_2026_28_Feb_2026[[#This Row],[Orig amount]]/100</f>
        <v>773.31</v>
      </c>
      <c r="O198" t="s">
        <v>2697</v>
      </c>
      <c r="P198">
        <v>77331</v>
      </c>
      <c r="Q198">
        <v>77331</v>
      </c>
      <c r="S198">
        <v>0</v>
      </c>
      <c r="T198" t="s">
        <v>2697</v>
      </c>
      <c r="U198">
        <v>132820</v>
      </c>
      <c r="V198" t="s">
        <v>4965</v>
      </c>
      <c r="X198" t="s">
        <v>4672</v>
      </c>
      <c r="Y198" t="s">
        <v>4672</v>
      </c>
      <c r="Z198" t="s">
        <v>4672</v>
      </c>
      <c r="AB198" t="s">
        <v>4672</v>
      </c>
      <c r="AC198" t="s">
        <v>4672</v>
      </c>
    </row>
    <row r="199" spans="1:29" hidden="1">
      <c r="A199" s="10">
        <v>46066</v>
      </c>
      <c r="B199" s="10">
        <v>46066</v>
      </c>
      <c r="C199" t="s">
        <v>5343</v>
      </c>
      <c r="D199" t="s">
        <v>4977</v>
      </c>
      <c r="E199" t="s">
        <v>4962</v>
      </c>
      <c r="F199" t="s">
        <v>5344</v>
      </c>
      <c r="G199" t="s">
        <v>4672</v>
      </c>
      <c r="H199" t="s">
        <v>4970</v>
      </c>
      <c r="I199" t="s">
        <v>4979</v>
      </c>
      <c r="J199" t="s">
        <v>4980</v>
      </c>
      <c r="K199" t="s">
        <v>4981</v>
      </c>
      <c r="L199" t="s">
        <v>2697</v>
      </c>
      <c r="M199">
        <v>413</v>
      </c>
      <c r="N199" s="641">
        <f>+transaction_statement_01_Jan_2026_28_Feb_2026[[#This Row],[Orig amount]]/100</f>
        <v>4.13</v>
      </c>
      <c r="O199" t="s">
        <v>2697</v>
      </c>
      <c r="P199">
        <v>-413</v>
      </c>
      <c r="Q199">
        <v>-413</v>
      </c>
      <c r="S199">
        <v>0</v>
      </c>
      <c r="T199" t="s">
        <v>2697</v>
      </c>
      <c r="U199">
        <v>55489</v>
      </c>
      <c r="V199" t="s">
        <v>4965</v>
      </c>
      <c r="X199" t="s">
        <v>4672</v>
      </c>
      <c r="Y199" t="s">
        <v>4672</v>
      </c>
      <c r="Z199" t="s">
        <v>4672</v>
      </c>
      <c r="AA199">
        <v>5045</v>
      </c>
      <c r="AB199" t="s">
        <v>4672</v>
      </c>
      <c r="AC199" t="s">
        <v>4672</v>
      </c>
    </row>
    <row r="200" spans="1:29" hidden="1">
      <c r="A200" s="10">
        <v>46063</v>
      </c>
      <c r="B200" s="10">
        <v>46066</v>
      </c>
      <c r="C200" t="s">
        <v>5345</v>
      </c>
      <c r="D200" t="s">
        <v>4977</v>
      </c>
      <c r="E200" t="s">
        <v>4962</v>
      </c>
      <c r="F200" t="s">
        <v>5163</v>
      </c>
      <c r="G200" t="s">
        <v>4672</v>
      </c>
      <c r="H200" t="s">
        <v>4970</v>
      </c>
      <c r="I200" t="s">
        <v>4979</v>
      </c>
      <c r="J200" t="s">
        <v>4980</v>
      </c>
      <c r="K200" t="s">
        <v>4981</v>
      </c>
      <c r="L200" t="s">
        <v>2697</v>
      </c>
      <c r="M200">
        <v>7900</v>
      </c>
      <c r="N200" s="641">
        <f>+transaction_statement_01_Jan_2026_28_Feb_2026[[#This Row],[Orig amount]]/100</f>
        <v>79</v>
      </c>
      <c r="O200" t="s">
        <v>2697</v>
      </c>
      <c r="P200">
        <v>-7900</v>
      </c>
      <c r="Q200">
        <v>-7900</v>
      </c>
      <c r="S200">
        <v>0</v>
      </c>
      <c r="T200" t="s">
        <v>2697</v>
      </c>
      <c r="U200">
        <v>55902</v>
      </c>
      <c r="V200" t="s">
        <v>4965</v>
      </c>
      <c r="X200" t="s">
        <v>4672</v>
      </c>
      <c r="Y200" t="s">
        <v>4672</v>
      </c>
      <c r="Z200" t="s">
        <v>4672</v>
      </c>
      <c r="AA200">
        <v>5815</v>
      </c>
      <c r="AB200" t="s">
        <v>4672</v>
      </c>
      <c r="AC200" t="s">
        <v>4672</v>
      </c>
    </row>
    <row r="201" spans="1:29" hidden="1">
      <c r="A201" s="10">
        <v>46065</v>
      </c>
      <c r="B201" s="10">
        <v>46066</v>
      </c>
      <c r="C201" t="s">
        <v>5346</v>
      </c>
      <c r="D201" t="s">
        <v>4977</v>
      </c>
      <c r="E201" t="s">
        <v>4962</v>
      </c>
      <c r="F201" t="s">
        <v>5347</v>
      </c>
      <c r="G201" t="s">
        <v>4672</v>
      </c>
      <c r="H201" t="s">
        <v>4970</v>
      </c>
      <c r="I201" t="s">
        <v>4984</v>
      </c>
      <c r="J201" t="s">
        <v>4985</v>
      </c>
      <c r="K201" t="s">
        <v>4981</v>
      </c>
      <c r="L201" t="s">
        <v>2697</v>
      </c>
      <c r="M201">
        <v>35000</v>
      </c>
      <c r="N201" s="641">
        <f>+transaction_statement_01_Jan_2026_28_Feb_2026[[#This Row],[Orig amount]]/100</f>
        <v>350</v>
      </c>
      <c r="O201" t="s">
        <v>2697</v>
      </c>
      <c r="P201">
        <v>-35000</v>
      </c>
      <c r="Q201">
        <v>-35000</v>
      </c>
      <c r="S201">
        <v>0</v>
      </c>
      <c r="T201" t="s">
        <v>2697</v>
      </c>
      <c r="U201">
        <v>63802</v>
      </c>
      <c r="V201" t="s">
        <v>4965</v>
      </c>
      <c r="X201" t="s">
        <v>4672</v>
      </c>
      <c r="Y201" t="s">
        <v>4672</v>
      </c>
      <c r="Z201" t="s">
        <v>4672</v>
      </c>
      <c r="AA201">
        <v>8011</v>
      </c>
      <c r="AB201" t="s">
        <v>4672</v>
      </c>
      <c r="AC201" t="s">
        <v>4672</v>
      </c>
    </row>
    <row r="202" spans="1:29" hidden="1">
      <c r="A202" s="10">
        <v>46065</v>
      </c>
      <c r="B202" s="10">
        <v>46066</v>
      </c>
      <c r="C202" t="s">
        <v>5348</v>
      </c>
      <c r="D202" t="s">
        <v>4977</v>
      </c>
      <c r="E202" t="s">
        <v>4962</v>
      </c>
      <c r="F202" t="s">
        <v>5349</v>
      </c>
      <c r="G202" t="s">
        <v>4672</v>
      </c>
      <c r="H202" t="s">
        <v>4970</v>
      </c>
      <c r="I202" t="s">
        <v>4984</v>
      </c>
      <c r="J202" t="s">
        <v>4985</v>
      </c>
      <c r="K202" t="s">
        <v>4981</v>
      </c>
      <c r="L202" t="s">
        <v>2697</v>
      </c>
      <c r="M202">
        <v>499</v>
      </c>
      <c r="N202" s="641">
        <f>+transaction_statement_01_Jan_2026_28_Feb_2026[[#This Row],[Orig amount]]/100</f>
        <v>4.99</v>
      </c>
      <c r="O202" t="s">
        <v>2697</v>
      </c>
      <c r="P202">
        <v>-499</v>
      </c>
      <c r="Q202">
        <v>-499</v>
      </c>
      <c r="S202">
        <v>0</v>
      </c>
      <c r="T202" t="s">
        <v>2697</v>
      </c>
      <c r="U202">
        <v>98802</v>
      </c>
      <c r="V202" t="s">
        <v>4965</v>
      </c>
      <c r="X202" t="s">
        <v>4672</v>
      </c>
      <c r="Y202" t="s">
        <v>4672</v>
      </c>
      <c r="Z202" t="s">
        <v>4672</v>
      </c>
      <c r="AA202">
        <v>5812</v>
      </c>
      <c r="AB202" t="s">
        <v>4672</v>
      </c>
      <c r="AC202" t="s">
        <v>4672</v>
      </c>
    </row>
    <row r="203" spans="1:29" hidden="1">
      <c r="A203" s="10">
        <v>46063</v>
      </c>
      <c r="B203" s="10">
        <v>46065</v>
      </c>
      <c r="C203" t="s">
        <v>5350</v>
      </c>
      <c r="D203" t="s">
        <v>4977</v>
      </c>
      <c r="E203" t="s">
        <v>4962</v>
      </c>
      <c r="F203" t="s">
        <v>5351</v>
      </c>
      <c r="G203" t="s">
        <v>4672</v>
      </c>
      <c r="H203" t="s">
        <v>4970</v>
      </c>
      <c r="I203" t="s">
        <v>4979</v>
      </c>
      <c r="J203" t="s">
        <v>4980</v>
      </c>
      <c r="K203" t="s">
        <v>4981</v>
      </c>
      <c r="L203" t="s">
        <v>2548</v>
      </c>
      <c r="M203">
        <v>49900</v>
      </c>
      <c r="N203" s="641">
        <f>+transaction_statement_01_Jan_2026_28_Feb_2026[[#This Row],[Orig amount]]/100</f>
        <v>499</v>
      </c>
      <c r="O203" t="s">
        <v>2697</v>
      </c>
      <c r="P203">
        <v>-41870</v>
      </c>
      <c r="Q203">
        <v>-41870</v>
      </c>
      <c r="R203">
        <v>1191796</v>
      </c>
      <c r="S203">
        <v>0</v>
      </c>
      <c r="T203" t="s">
        <v>2697</v>
      </c>
      <c r="U203">
        <v>99301</v>
      </c>
      <c r="V203" t="s">
        <v>4965</v>
      </c>
      <c r="X203" t="s">
        <v>4672</v>
      </c>
      <c r="Y203" t="s">
        <v>4672</v>
      </c>
      <c r="Z203" t="s">
        <v>4672</v>
      </c>
      <c r="AA203">
        <v>5045</v>
      </c>
      <c r="AB203" t="s">
        <v>4672</v>
      </c>
      <c r="AC203" t="s">
        <v>4672</v>
      </c>
    </row>
    <row r="204" spans="1:29" hidden="1">
      <c r="A204" s="10">
        <v>46065</v>
      </c>
      <c r="B204" s="10">
        <v>46065</v>
      </c>
      <c r="C204" t="s">
        <v>5352</v>
      </c>
      <c r="D204" t="s">
        <v>4967</v>
      </c>
      <c r="E204" t="s">
        <v>4962</v>
      </c>
      <c r="F204" t="s">
        <v>5058</v>
      </c>
      <c r="G204" t="s">
        <v>5059</v>
      </c>
      <c r="H204" t="s">
        <v>4970</v>
      </c>
      <c r="I204" t="s">
        <v>4672</v>
      </c>
      <c r="J204" t="s">
        <v>4672</v>
      </c>
      <c r="K204" t="s">
        <v>4672</v>
      </c>
      <c r="L204" t="s">
        <v>2697</v>
      </c>
      <c r="M204">
        <v>25000</v>
      </c>
      <c r="N204" s="641">
        <f>+transaction_statement_01_Jan_2026_28_Feb_2026[[#This Row],[Orig amount]]/100</f>
        <v>250</v>
      </c>
      <c r="O204" t="s">
        <v>2697</v>
      </c>
      <c r="P204">
        <v>-25000</v>
      </c>
      <c r="Q204">
        <v>-25000</v>
      </c>
      <c r="S204">
        <v>0</v>
      </c>
      <c r="T204" t="s">
        <v>2697</v>
      </c>
      <c r="U204">
        <v>141171</v>
      </c>
      <c r="V204" t="s">
        <v>4965</v>
      </c>
      <c r="X204" t="s">
        <v>4672</v>
      </c>
      <c r="Y204" t="s">
        <v>5060</v>
      </c>
      <c r="Z204" t="s">
        <v>5031</v>
      </c>
      <c r="AB204" t="s">
        <v>4672</v>
      </c>
      <c r="AC204" t="s">
        <v>4672</v>
      </c>
    </row>
    <row r="205" spans="1:29" hidden="1">
      <c r="A205" s="10">
        <v>46063</v>
      </c>
      <c r="B205" s="10">
        <v>46065</v>
      </c>
      <c r="C205" t="s">
        <v>5353</v>
      </c>
      <c r="D205" t="s">
        <v>4977</v>
      </c>
      <c r="E205" t="s">
        <v>4962</v>
      </c>
      <c r="F205" t="s">
        <v>5354</v>
      </c>
      <c r="G205" t="s">
        <v>4672</v>
      </c>
      <c r="H205" t="s">
        <v>4970</v>
      </c>
      <c r="I205" t="s">
        <v>4984</v>
      </c>
      <c r="J205" t="s">
        <v>4985</v>
      </c>
      <c r="K205" t="s">
        <v>4981</v>
      </c>
      <c r="L205" t="s">
        <v>2697</v>
      </c>
      <c r="M205">
        <v>19500</v>
      </c>
      <c r="N205" s="641">
        <f>+transaction_statement_01_Jan_2026_28_Feb_2026[[#This Row],[Orig amount]]/100</f>
        <v>195</v>
      </c>
      <c r="O205" t="s">
        <v>2697</v>
      </c>
      <c r="P205">
        <v>-19500</v>
      </c>
      <c r="Q205">
        <v>-19500</v>
      </c>
      <c r="S205">
        <v>0</v>
      </c>
      <c r="T205" t="s">
        <v>2697</v>
      </c>
      <c r="U205">
        <v>166171</v>
      </c>
      <c r="V205" t="s">
        <v>4965</v>
      </c>
      <c r="X205" t="s">
        <v>4672</v>
      </c>
      <c r="Y205" t="s">
        <v>4672</v>
      </c>
      <c r="Z205" t="s">
        <v>4672</v>
      </c>
      <c r="AA205">
        <v>5311</v>
      </c>
      <c r="AB205" t="s">
        <v>4672</v>
      </c>
      <c r="AC205" t="s">
        <v>4672</v>
      </c>
    </row>
    <row r="206" spans="1:29" hidden="1">
      <c r="A206" s="10">
        <v>46063</v>
      </c>
      <c r="B206" s="10">
        <v>46065</v>
      </c>
      <c r="C206" t="s">
        <v>5355</v>
      </c>
      <c r="D206" t="s">
        <v>4977</v>
      </c>
      <c r="E206" t="s">
        <v>4962</v>
      </c>
      <c r="F206" t="s">
        <v>5356</v>
      </c>
      <c r="G206" t="s">
        <v>4672</v>
      </c>
      <c r="H206" t="s">
        <v>4970</v>
      </c>
      <c r="I206" t="s">
        <v>4984</v>
      </c>
      <c r="J206" t="s">
        <v>4985</v>
      </c>
      <c r="K206" t="s">
        <v>4981</v>
      </c>
      <c r="L206" t="s">
        <v>2697</v>
      </c>
      <c r="M206">
        <v>5000</v>
      </c>
      <c r="N206" s="641">
        <f>+transaction_statement_01_Jan_2026_28_Feb_2026[[#This Row],[Orig amount]]/100</f>
        <v>50</v>
      </c>
      <c r="O206" t="s">
        <v>2697</v>
      </c>
      <c r="P206">
        <v>-5000</v>
      </c>
      <c r="Q206">
        <v>-5000</v>
      </c>
      <c r="S206">
        <v>0</v>
      </c>
      <c r="T206" t="s">
        <v>2697</v>
      </c>
      <c r="U206">
        <v>185671</v>
      </c>
      <c r="V206" t="s">
        <v>4965</v>
      </c>
      <c r="X206" t="s">
        <v>4672</v>
      </c>
      <c r="Y206" t="s">
        <v>4672</v>
      </c>
      <c r="Z206" t="s">
        <v>4672</v>
      </c>
      <c r="AA206">
        <v>5311</v>
      </c>
      <c r="AB206" t="s">
        <v>4672</v>
      </c>
      <c r="AC206" t="s">
        <v>4672</v>
      </c>
    </row>
    <row r="207" spans="1:29" hidden="1">
      <c r="A207" s="10">
        <v>46065</v>
      </c>
      <c r="B207" s="10">
        <v>46065</v>
      </c>
      <c r="C207" t="s">
        <v>5357</v>
      </c>
      <c r="D207" t="s">
        <v>4977</v>
      </c>
      <c r="E207" t="s">
        <v>4962</v>
      </c>
      <c r="F207" t="s">
        <v>5358</v>
      </c>
      <c r="G207" t="s">
        <v>4672</v>
      </c>
      <c r="H207" t="s">
        <v>4970</v>
      </c>
      <c r="I207" t="s">
        <v>4979</v>
      </c>
      <c r="J207" t="s">
        <v>4980</v>
      </c>
      <c r="K207" t="s">
        <v>4981</v>
      </c>
      <c r="L207" t="s">
        <v>2697</v>
      </c>
      <c r="M207">
        <v>859</v>
      </c>
      <c r="N207" s="641">
        <f>+transaction_statement_01_Jan_2026_28_Feb_2026[[#This Row],[Orig amount]]/100</f>
        <v>8.59</v>
      </c>
      <c r="O207" t="s">
        <v>2697</v>
      </c>
      <c r="P207">
        <v>-859</v>
      </c>
      <c r="Q207">
        <v>-859</v>
      </c>
      <c r="S207">
        <v>0</v>
      </c>
      <c r="T207" t="s">
        <v>2697</v>
      </c>
      <c r="U207">
        <v>190671</v>
      </c>
      <c r="V207" t="s">
        <v>4965</v>
      </c>
      <c r="X207" t="s">
        <v>4672</v>
      </c>
      <c r="Y207" t="s">
        <v>4672</v>
      </c>
      <c r="Z207" t="s">
        <v>4672</v>
      </c>
      <c r="AA207">
        <v>5045</v>
      </c>
      <c r="AB207" t="s">
        <v>4672</v>
      </c>
      <c r="AC207" t="s">
        <v>4672</v>
      </c>
    </row>
    <row r="208" spans="1:29" hidden="1">
      <c r="A208" s="10">
        <v>46063</v>
      </c>
      <c r="B208" s="10">
        <v>46065</v>
      </c>
      <c r="C208" t="s">
        <v>5359</v>
      </c>
      <c r="D208" t="s">
        <v>4977</v>
      </c>
      <c r="E208" t="s">
        <v>4962</v>
      </c>
      <c r="F208" t="s">
        <v>5360</v>
      </c>
      <c r="G208" t="s">
        <v>4672</v>
      </c>
      <c r="H208" t="s">
        <v>4970</v>
      </c>
      <c r="I208" t="s">
        <v>4979</v>
      </c>
      <c r="J208" t="s">
        <v>4980</v>
      </c>
      <c r="K208" t="s">
        <v>4981</v>
      </c>
      <c r="L208" t="s">
        <v>2697</v>
      </c>
      <c r="M208">
        <v>43363</v>
      </c>
      <c r="N208" s="641">
        <f>+transaction_statement_01_Jan_2026_28_Feb_2026[[#This Row],[Orig amount]]/100</f>
        <v>433.63</v>
      </c>
      <c r="O208" t="s">
        <v>2697</v>
      </c>
      <c r="P208">
        <v>-43363</v>
      </c>
      <c r="Q208">
        <v>-43363</v>
      </c>
      <c r="S208">
        <v>0</v>
      </c>
      <c r="T208" t="s">
        <v>2697</v>
      </c>
      <c r="U208">
        <v>191530</v>
      </c>
      <c r="V208" t="s">
        <v>4965</v>
      </c>
      <c r="X208" t="s">
        <v>4672</v>
      </c>
      <c r="Y208" t="s">
        <v>4672</v>
      </c>
      <c r="Z208" t="s">
        <v>4672</v>
      </c>
      <c r="AA208">
        <v>3008</v>
      </c>
      <c r="AB208" t="s">
        <v>4672</v>
      </c>
      <c r="AC208" t="s">
        <v>4672</v>
      </c>
    </row>
    <row r="209" spans="1:29" hidden="1">
      <c r="A209" s="10">
        <v>46063</v>
      </c>
      <c r="B209" s="10">
        <v>46065</v>
      </c>
      <c r="C209" t="s">
        <v>5361</v>
      </c>
      <c r="D209" t="s">
        <v>5362</v>
      </c>
      <c r="E209" t="s">
        <v>4962</v>
      </c>
      <c r="F209" t="s">
        <v>5363</v>
      </c>
      <c r="G209" t="s">
        <v>4672</v>
      </c>
      <c r="H209" t="s">
        <v>4970</v>
      </c>
      <c r="I209" t="s">
        <v>4979</v>
      </c>
      <c r="J209" t="s">
        <v>4980</v>
      </c>
      <c r="K209" t="s">
        <v>4981</v>
      </c>
      <c r="L209" t="s">
        <v>2697</v>
      </c>
      <c r="M209">
        <v>14399</v>
      </c>
      <c r="N209" s="641">
        <f>+transaction_statement_01_Jan_2026_28_Feb_2026[[#This Row],[Orig amount]]/100</f>
        <v>143.99</v>
      </c>
      <c r="O209" t="s">
        <v>2697</v>
      </c>
      <c r="P209">
        <v>14399</v>
      </c>
      <c r="Q209">
        <v>14399</v>
      </c>
      <c r="S209">
        <v>0</v>
      </c>
      <c r="T209" t="s">
        <v>2697</v>
      </c>
      <c r="U209">
        <v>234893</v>
      </c>
      <c r="V209" t="s">
        <v>4965</v>
      </c>
      <c r="X209" t="s">
        <v>4672</v>
      </c>
      <c r="Y209" t="s">
        <v>4672</v>
      </c>
      <c r="Z209" t="s">
        <v>4672</v>
      </c>
      <c r="AA209">
        <v>5999</v>
      </c>
      <c r="AB209" t="s">
        <v>5364</v>
      </c>
      <c r="AC209" t="s">
        <v>4672</v>
      </c>
    </row>
    <row r="210" spans="1:29" hidden="1">
      <c r="A210" s="10">
        <v>46062</v>
      </c>
      <c r="B210" s="10">
        <v>46065</v>
      </c>
      <c r="C210" t="s">
        <v>5365</v>
      </c>
      <c r="D210" t="s">
        <v>4977</v>
      </c>
      <c r="E210" t="s">
        <v>4962</v>
      </c>
      <c r="F210" t="s">
        <v>5163</v>
      </c>
      <c r="G210" t="s">
        <v>4672</v>
      </c>
      <c r="H210" t="s">
        <v>4970</v>
      </c>
      <c r="I210" t="s">
        <v>4979</v>
      </c>
      <c r="J210" t="s">
        <v>4980</v>
      </c>
      <c r="K210" t="s">
        <v>4981</v>
      </c>
      <c r="L210" t="s">
        <v>2697</v>
      </c>
      <c r="M210">
        <v>18999</v>
      </c>
      <c r="N210" s="641">
        <f>+transaction_statement_01_Jan_2026_28_Feb_2026[[#This Row],[Orig amount]]/100</f>
        <v>189.99</v>
      </c>
      <c r="O210" t="s">
        <v>2697</v>
      </c>
      <c r="P210">
        <v>-18999</v>
      </c>
      <c r="Q210">
        <v>-18999</v>
      </c>
      <c r="S210">
        <v>0</v>
      </c>
      <c r="T210" t="s">
        <v>2697</v>
      </c>
      <c r="U210">
        <v>220494</v>
      </c>
      <c r="V210" t="s">
        <v>4965</v>
      </c>
      <c r="X210" t="s">
        <v>4672</v>
      </c>
      <c r="Y210" t="s">
        <v>4672</v>
      </c>
      <c r="Z210" t="s">
        <v>4672</v>
      </c>
      <c r="AA210">
        <v>5815</v>
      </c>
      <c r="AB210" t="s">
        <v>4672</v>
      </c>
      <c r="AC210" t="s">
        <v>4672</v>
      </c>
    </row>
    <row r="211" spans="1:29" hidden="1">
      <c r="A211" s="10">
        <v>46064</v>
      </c>
      <c r="B211" s="10">
        <v>46064</v>
      </c>
      <c r="C211" t="s">
        <v>5366</v>
      </c>
      <c r="D211" t="s">
        <v>4961</v>
      </c>
      <c r="E211" t="s">
        <v>4962</v>
      </c>
      <c r="F211" t="s">
        <v>5025</v>
      </c>
      <c r="G211" t="s">
        <v>5026</v>
      </c>
      <c r="H211" t="s">
        <v>4672</v>
      </c>
      <c r="I211" t="s">
        <v>4672</v>
      </c>
      <c r="J211" t="s">
        <v>4672</v>
      </c>
      <c r="K211" t="s">
        <v>4672</v>
      </c>
      <c r="L211" t="s">
        <v>2697</v>
      </c>
      <c r="M211">
        <v>95970</v>
      </c>
      <c r="N211" s="641">
        <f>+transaction_statement_01_Jan_2026_28_Feb_2026[[#This Row],[Orig amount]]/100</f>
        <v>959.7</v>
      </c>
      <c r="O211" t="s">
        <v>2697</v>
      </c>
      <c r="P211">
        <v>95970</v>
      </c>
      <c r="Q211">
        <v>95970</v>
      </c>
      <c r="S211">
        <v>0</v>
      </c>
      <c r="T211" t="s">
        <v>2697</v>
      </c>
      <c r="U211">
        <v>239493</v>
      </c>
      <c r="V211" t="s">
        <v>4965</v>
      </c>
      <c r="X211" t="s">
        <v>4672</v>
      </c>
      <c r="Y211" t="s">
        <v>4672</v>
      </c>
      <c r="Z211" t="s">
        <v>4672</v>
      </c>
      <c r="AB211" t="s">
        <v>4672</v>
      </c>
      <c r="AC211" t="s">
        <v>4672</v>
      </c>
    </row>
    <row r="212" spans="1:29" hidden="1">
      <c r="A212" s="10">
        <v>46063</v>
      </c>
      <c r="B212" s="10">
        <v>46064</v>
      </c>
      <c r="C212" t="s">
        <v>5367</v>
      </c>
      <c r="D212" t="s">
        <v>4977</v>
      </c>
      <c r="E212" t="s">
        <v>4962</v>
      </c>
      <c r="F212" t="s">
        <v>5368</v>
      </c>
      <c r="G212" t="s">
        <v>4672</v>
      </c>
      <c r="H212" t="s">
        <v>4970</v>
      </c>
      <c r="I212" t="s">
        <v>4979</v>
      </c>
      <c r="J212" t="s">
        <v>4980</v>
      </c>
      <c r="K212" t="s">
        <v>4981</v>
      </c>
      <c r="L212" t="s">
        <v>2697</v>
      </c>
      <c r="M212">
        <v>1000</v>
      </c>
      <c r="N212" s="641">
        <f>+transaction_statement_01_Jan_2026_28_Feb_2026[[#This Row],[Orig amount]]/100</f>
        <v>10</v>
      </c>
      <c r="O212" t="s">
        <v>2697</v>
      </c>
      <c r="P212">
        <v>-1000</v>
      </c>
      <c r="Q212">
        <v>-1000</v>
      </c>
      <c r="S212">
        <v>0</v>
      </c>
      <c r="T212" t="s">
        <v>2697</v>
      </c>
      <c r="U212">
        <v>143523</v>
      </c>
      <c r="V212" t="s">
        <v>4965</v>
      </c>
      <c r="X212" t="s">
        <v>4672</v>
      </c>
      <c r="Y212" t="s">
        <v>4672</v>
      </c>
      <c r="Z212" t="s">
        <v>4672</v>
      </c>
      <c r="AA212">
        <v>7997</v>
      </c>
      <c r="AB212" t="s">
        <v>4672</v>
      </c>
      <c r="AC212" t="s">
        <v>4672</v>
      </c>
    </row>
    <row r="213" spans="1:29" hidden="1">
      <c r="A213" s="10">
        <v>46063</v>
      </c>
      <c r="B213" s="10">
        <v>46064</v>
      </c>
      <c r="C213" t="s">
        <v>5369</v>
      </c>
      <c r="D213" t="s">
        <v>4977</v>
      </c>
      <c r="E213" t="s">
        <v>4962</v>
      </c>
      <c r="F213" t="s">
        <v>5370</v>
      </c>
      <c r="G213" t="s">
        <v>4672</v>
      </c>
      <c r="H213" t="s">
        <v>4970</v>
      </c>
      <c r="I213" t="s">
        <v>4984</v>
      </c>
      <c r="J213" t="s">
        <v>4985</v>
      </c>
      <c r="K213" t="s">
        <v>4981</v>
      </c>
      <c r="L213" t="s">
        <v>2697</v>
      </c>
      <c r="M213">
        <v>10997</v>
      </c>
      <c r="N213" s="641">
        <f>+transaction_statement_01_Jan_2026_28_Feb_2026[[#This Row],[Orig amount]]/100</f>
        <v>109.97</v>
      </c>
      <c r="O213" t="s">
        <v>2697</v>
      </c>
      <c r="P213">
        <v>-10997</v>
      </c>
      <c r="Q213">
        <v>-10997</v>
      </c>
      <c r="S213">
        <v>0</v>
      </c>
      <c r="T213" t="s">
        <v>2697</v>
      </c>
      <c r="U213">
        <v>144523</v>
      </c>
      <c r="V213" t="s">
        <v>4965</v>
      </c>
      <c r="X213" t="s">
        <v>4672</v>
      </c>
      <c r="Y213" t="s">
        <v>4672</v>
      </c>
      <c r="Z213" t="s">
        <v>4672</v>
      </c>
      <c r="AA213">
        <v>4121</v>
      </c>
      <c r="AB213" t="s">
        <v>4672</v>
      </c>
      <c r="AC213" t="s">
        <v>4672</v>
      </c>
    </row>
    <row r="214" spans="1:29" hidden="1">
      <c r="A214" s="10">
        <v>46063</v>
      </c>
      <c r="B214" s="10">
        <v>46064</v>
      </c>
      <c r="C214" t="s">
        <v>5371</v>
      </c>
      <c r="D214" t="s">
        <v>4977</v>
      </c>
      <c r="E214" t="s">
        <v>4962</v>
      </c>
      <c r="F214" t="s">
        <v>5370</v>
      </c>
      <c r="G214" t="s">
        <v>4672</v>
      </c>
      <c r="H214" t="s">
        <v>4970</v>
      </c>
      <c r="I214" t="s">
        <v>4984</v>
      </c>
      <c r="J214" t="s">
        <v>4985</v>
      </c>
      <c r="K214" t="s">
        <v>4981</v>
      </c>
      <c r="L214" t="s">
        <v>2697</v>
      </c>
      <c r="M214">
        <v>1397</v>
      </c>
      <c r="N214" s="641">
        <f>+transaction_statement_01_Jan_2026_28_Feb_2026[[#This Row],[Orig amount]]/100</f>
        <v>13.97</v>
      </c>
      <c r="O214" t="s">
        <v>2697</v>
      </c>
      <c r="P214">
        <v>-1397</v>
      </c>
      <c r="Q214">
        <v>-1397</v>
      </c>
      <c r="S214">
        <v>0</v>
      </c>
      <c r="T214" t="s">
        <v>2697</v>
      </c>
      <c r="U214">
        <v>155520</v>
      </c>
      <c r="V214" t="s">
        <v>4965</v>
      </c>
      <c r="X214" t="s">
        <v>4672</v>
      </c>
      <c r="Y214" t="s">
        <v>4672</v>
      </c>
      <c r="Z214" t="s">
        <v>4672</v>
      </c>
      <c r="AA214">
        <v>4121</v>
      </c>
      <c r="AB214" t="s">
        <v>4672</v>
      </c>
      <c r="AC214" t="s">
        <v>4672</v>
      </c>
    </row>
    <row r="215" spans="1:29" hidden="1">
      <c r="A215" s="10">
        <v>46063</v>
      </c>
      <c r="B215" s="10">
        <v>46064</v>
      </c>
      <c r="C215" t="s">
        <v>5372</v>
      </c>
      <c r="D215" t="s">
        <v>4977</v>
      </c>
      <c r="E215" t="s">
        <v>4962</v>
      </c>
      <c r="F215" t="s">
        <v>5370</v>
      </c>
      <c r="G215" t="s">
        <v>4672</v>
      </c>
      <c r="H215" t="s">
        <v>4970</v>
      </c>
      <c r="I215" t="s">
        <v>4984</v>
      </c>
      <c r="J215" t="s">
        <v>4985</v>
      </c>
      <c r="K215" t="s">
        <v>4981</v>
      </c>
      <c r="L215" t="s">
        <v>2697</v>
      </c>
      <c r="M215">
        <v>1398</v>
      </c>
      <c r="N215" s="641">
        <f>+transaction_statement_01_Jan_2026_28_Feb_2026[[#This Row],[Orig amount]]/100</f>
        <v>13.98</v>
      </c>
      <c r="O215" t="s">
        <v>2697</v>
      </c>
      <c r="P215">
        <v>-1398</v>
      </c>
      <c r="Q215">
        <v>-1398</v>
      </c>
      <c r="S215">
        <v>0</v>
      </c>
      <c r="T215" t="s">
        <v>2697</v>
      </c>
      <c r="U215">
        <v>156917</v>
      </c>
      <c r="V215" t="s">
        <v>4965</v>
      </c>
      <c r="X215" t="s">
        <v>4672</v>
      </c>
      <c r="Y215" t="s">
        <v>4672</v>
      </c>
      <c r="Z215" t="s">
        <v>4672</v>
      </c>
      <c r="AA215">
        <v>4121</v>
      </c>
      <c r="AB215" t="s">
        <v>4672</v>
      </c>
      <c r="AC215" t="s">
        <v>4672</v>
      </c>
    </row>
    <row r="216" spans="1:29" hidden="1">
      <c r="A216" s="10">
        <v>46063</v>
      </c>
      <c r="B216" s="10">
        <v>46063</v>
      </c>
      <c r="C216" t="s">
        <v>5373</v>
      </c>
      <c r="D216" t="s">
        <v>4977</v>
      </c>
      <c r="E216" t="s">
        <v>4962</v>
      </c>
      <c r="F216" t="s">
        <v>4503</v>
      </c>
      <c r="G216" t="s">
        <v>4672</v>
      </c>
      <c r="H216" t="s">
        <v>4970</v>
      </c>
      <c r="I216" t="s">
        <v>4984</v>
      </c>
      <c r="J216" t="s">
        <v>4985</v>
      </c>
      <c r="K216" t="s">
        <v>4981</v>
      </c>
      <c r="L216" t="s">
        <v>2697</v>
      </c>
      <c r="M216">
        <v>434</v>
      </c>
      <c r="N216" s="641">
        <f>+transaction_statement_01_Jan_2026_28_Feb_2026[[#This Row],[Orig amount]]/100</f>
        <v>4.34</v>
      </c>
      <c r="O216" t="s">
        <v>2697</v>
      </c>
      <c r="P216">
        <v>-434</v>
      </c>
      <c r="Q216">
        <v>-434</v>
      </c>
      <c r="S216">
        <v>0</v>
      </c>
      <c r="T216" t="s">
        <v>2697</v>
      </c>
      <c r="U216">
        <v>158315</v>
      </c>
      <c r="V216" t="s">
        <v>4965</v>
      </c>
      <c r="X216" t="s">
        <v>4672</v>
      </c>
      <c r="Y216" t="s">
        <v>4672</v>
      </c>
      <c r="Z216" t="s">
        <v>4672</v>
      </c>
      <c r="AA216">
        <v>5411</v>
      </c>
      <c r="AB216" t="s">
        <v>4672</v>
      </c>
      <c r="AC216" t="s">
        <v>4672</v>
      </c>
    </row>
    <row r="217" spans="1:29" hidden="1">
      <c r="A217" s="10">
        <v>46062</v>
      </c>
      <c r="B217" s="10">
        <v>46063</v>
      </c>
      <c r="C217" t="s">
        <v>5374</v>
      </c>
      <c r="D217" t="s">
        <v>4977</v>
      </c>
      <c r="E217" t="s">
        <v>4962</v>
      </c>
      <c r="F217" t="s">
        <v>5154</v>
      </c>
      <c r="G217" t="s">
        <v>4672</v>
      </c>
      <c r="H217" t="s">
        <v>4970</v>
      </c>
      <c r="I217" t="s">
        <v>4979</v>
      </c>
      <c r="J217" t="s">
        <v>4980</v>
      </c>
      <c r="K217" t="s">
        <v>4981</v>
      </c>
      <c r="L217" t="s">
        <v>2548</v>
      </c>
      <c r="M217">
        <v>417</v>
      </c>
      <c r="N217" s="641">
        <f>+transaction_statement_01_Jan_2026_28_Feb_2026[[#This Row],[Orig amount]]/100</f>
        <v>4.17</v>
      </c>
      <c r="O217" t="s">
        <v>2697</v>
      </c>
      <c r="P217">
        <v>-350</v>
      </c>
      <c r="Q217">
        <v>-350</v>
      </c>
      <c r="R217">
        <v>1192084</v>
      </c>
      <c r="S217">
        <v>0</v>
      </c>
      <c r="T217" t="s">
        <v>2697</v>
      </c>
      <c r="U217">
        <v>158749</v>
      </c>
      <c r="V217" t="s">
        <v>4965</v>
      </c>
      <c r="X217" t="s">
        <v>4672</v>
      </c>
      <c r="Y217" t="s">
        <v>4672</v>
      </c>
      <c r="Z217" t="s">
        <v>4672</v>
      </c>
      <c r="AA217">
        <v>5734</v>
      </c>
      <c r="AB217" t="s">
        <v>4672</v>
      </c>
      <c r="AC217" t="s">
        <v>4672</v>
      </c>
    </row>
    <row r="218" spans="1:29" hidden="1">
      <c r="A218" s="10">
        <v>46063</v>
      </c>
      <c r="B218" s="10">
        <v>46063</v>
      </c>
      <c r="C218" t="s">
        <v>5375</v>
      </c>
      <c r="D218" t="s">
        <v>4967</v>
      </c>
      <c r="E218" t="s">
        <v>4962</v>
      </c>
      <c r="F218" t="s">
        <v>3692</v>
      </c>
      <c r="G218" t="s">
        <v>5125</v>
      </c>
      <c r="H218" t="s">
        <v>4672</v>
      </c>
      <c r="I218" t="s">
        <v>4672</v>
      </c>
      <c r="J218" t="s">
        <v>4672</v>
      </c>
      <c r="K218" t="s">
        <v>4672</v>
      </c>
      <c r="L218" t="s">
        <v>2697</v>
      </c>
      <c r="M218">
        <v>79452</v>
      </c>
      <c r="N218" s="641">
        <f>+transaction_statement_01_Jan_2026_28_Feb_2026[[#This Row],[Orig amount]]/100</f>
        <v>794.52</v>
      </c>
      <c r="O218" t="s">
        <v>2697</v>
      </c>
      <c r="P218">
        <v>-79452</v>
      </c>
      <c r="Q218">
        <v>-79452</v>
      </c>
      <c r="S218">
        <v>0</v>
      </c>
      <c r="T218" t="s">
        <v>2697</v>
      </c>
      <c r="U218">
        <v>159099</v>
      </c>
      <c r="V218" t="s">
        <v>4965</v>
      </c>
      <c r="X218" t="s">
        <v>4672</v>
      </c>
      <c r="Y218" t="s">
        <v>5126</v>
      </c>
      <c r="Z218" t="s">
        <v>5127</v>
      </c>
      <c r="AB218" t="s">
        <v>4672</v>
      </c>
      <c r="AC218" t="s">
        <v>4672</v>
      </c>
    </row>
    <row r="219" spans="1:29" hidden="1">
      <c r="A219" s="10">
        <v>46063</v>
      </c>
      <c r="B219" s="10">
        <v>46063</v>
      </c>
      <c r="C219" t="s">
        <v>5376</v>
      </c>
      <c r="D219" t="s">
        <v>4977</v>
      </c>
      <c r="E219" t="s">
        <v>4962</v>
      </c>
      <c r="F219" t="s">
        <v>5377</v>
      </c>
      <c r="G219" t="s">
        <v>4672</v>
      </c>
      <c r="H219" t="s">
        <v>4970</v>
      </c>
      <c r="I219" t="s">
        <v>4979</v>
      </c>
      <c r="J219" t="s">
        <v>4980</v>
      </c>
      <c r="K219" t="s">
        <v>4981</v>
      </c>
      <c r="L219" t="s">
        <v>2697</v>
      </c>
      <c r="M219">
        <v>83324</v>
      </c>
      <c r="N219" s="641">
        <f>+transaction_statement_01_Jan_2026_28_Feb_2026[[#This Row],[Orig amount]]/100</f>
        <v>833.24</v>
      </c>
      <c r="O219" t="s">
        <v>2697</v>
      </c>
      <c r="P219">
        <v>-83324</v>
      </c>
      <c r="Q219">
        <v>-83324</v>
      </c>
      <c r="S219">
        <v>0</v>
      </c>
      <c r="T219" t="s">
        <v>2697</v>
      </c>
      <c r="U219">
        <v>238551</v>
      </c>
      <c r="V219" t="s">
        <v>4965</v>
      </c>
      <c r="X219" t="s">
        <v>4672</v>
      </c>
      <c r="Y219" t="s">
        <v>4672</v>
      </c>
      <c r="Z219" t="s">
        <v>4672</v>
      </c>
      <c r="AA219">
        <v>5045</v>
      </c>
      <c r="AB219" t="s">
        <v>4672</v>
      </c>
      <c r="AC219" t="s">
        <v>4672</v>
      </c>
    </row>
    <row r="220" spans="1:29" hidden="1">
      <c r="A220" s="10">
        <v>46060</v>
      </c>
      <c r="B220" s="10">
        <v>46063</v>
      </c>
      <c r="C220" t="s">
        <v>5378</v>
      </c>
      <c r="D220" t="s">
        <v>4977</v>
      </c>
      <c r="E220" t="s">
        <v>4962</v>
      </c>
      <c r="F220" t="s">
        <v>5379</v>
      </c>
      <c r="G220" t="s">
        <v>4672</v>
      </c>
      <c r="H220" t="s">
        <v>4970</v>
      </c>
      <c r="I220" t="s">
        <v>4979</v>
      </c>
      <c r="J220" t="s">
        <v>4980</v>
      </c>
      <c r="K220" t="s">
        <v>4981</v>
      </c>
      <c r="L220" t="s">
        <v>2697</v>
      </c>
      <c r="M220">
        <v>52500</v>
      </c>
      <c r="N220" s="641">
        <f>+transaction_statement_01_Jan_2026_28_Feb_2026[[#This Row],[Orig amount]]/100</f>
        <v>525</v>
      </c>
      <c r="O220" t="s">
        <v>2697</v>
      </c>
      <c r="P220">
        <v>-52500</v>
      </c>
      <c r="Q220">
        <v>-52500</v>
      </c>
      <c r="S220">
        <v>0</v>
      </c>
      <c r="T220" t="s">
        <v>2697</v>
      </c>
      <c r="U220">
        <v>321875</v>
      </c>
      <c r="V220" t="s">
        <v>4965</v>
      </c>
      <c r="X220" t="s">
        <v>4672</v>
      </c>
      <c r="Y220" t="s">
        <v>4672</v>
      </c>
      <c r="Z220" t="s">
        <v>4672</v>
      </c>
      <c r="AA220">
        <v>5651</v>
      </c>
      <c r="AB220" t="s">
        <v>4672</v>
      </c>
      <c r="AC220" t="s">
        <v>4672</v>
      </c>
    </row>
    <row r="221" spans="1:29" hidden="1">
      <c r="A221" s="10">
        <v>46062</v>
      </c>
      <c r="B221" s="10">
        <v>46063</v>
      </c>
      <c r="C221" t="s">
        <v>5380</v>
      </c>
      <c r="D221" t="s">
        <v>4977</v>
      </c>
      <c r="E221" t="s">
        <v>4962</v>
      </c>
      <c r="F221" t="s">
        <v>5381</v>
      </c>
      <c r="G221" t="s">
        <v>4672</v>
      </c>
      <c r="H221" t="s">
        <v>4970</v>
      </c>
      <c r="I221" t="s">
        <v>4979</v>
      </c>
      <c r="J221" t="s">
        <v>4980</v>
      </c>
      <c r="K221" t="s">
        <v>4981</v>
      </c>
      <c r="L221" t="s">
        <v>2697</v>
      </c>
      <c r="M221">
        <v>23219</v>
      </c>
      <c r="N221" s="641">
        <f>+transaction_statement_01_Jan_2026_28_Feb_2026[[#This Row],[Orig amount]]/100</f>
        <v>232.19</v>
      </c>
      <c r="O221" t="s">
        <v>2697</v>
      </c>
      <c r="P221">
        <v>-23219</v>
      </c>
      <c r="Q221">
        <v>-23219</v>
      </c>
      <c r="S221">
        <v>0</v>
      </c>
      <c r="T221" t="s">
        <v>2697</v>
      </c>
      <c r="U221">
        <v>374375</v>
      </c>
      <c r="V221" t="s">
        <v>4965</v>
      </c>
      <c r="X221" t="s">
        <v>4672</v>
      </c>
      <c r="Y221" t="s">
        <v>4672</v>
      </c>
      <c r="Z221" t="s">
        <v>4672</v>
      </c>
      <c r="AA221">
        <v>7361</v>
      </c>
      <c r="AB221" t="s">
        <v>4672</v>
      </c>
      <c r="AC221" t="s">
        <v>4672</v>
      </c>
    </row>
    <row r="222" spans="1:29" hidden="1">
      <c r="A222" s="10">
        <v>46063</v>
      </c>
      <c r="B222" s="10">
        <v>46063</v>
      </c>
      <c r="C222" t="s">
        <v>5382</v>
      </c>
      <c r="D222" t="s">
        <v>4961</v>
      </c>
      <c r="E222" t="s">
        <v>4962</v>
      </c>
      <c r="F222" t="s">
        <v>5383</v>
      </c>
      <c r="G222" t="s">
        <v>5384</v>
      </c>
      <c r="H222" t="s">
        <v>4672</v>
      </c>
      <c r="I222" t="s">
        <v>4672</v>
      </c>
      <c r="J222" t="s">
        <v>4672</v>
      </c>
      <c r="K222" t="s">
        <v>4672</v>
      </c>
      <c r="L222" t="s">
        <v>2697</v>
      </c>
      <c r="M222">
        <v>22800</v>
      </c>
      <c r="N222" s="641">
        <f>+transaction_statement_01_Jan_2026_28_Feb_2026[[#This Row],[Orig amount]]/100</f>
        <v>228</v>
      </c>
      <c r="O222" t="s">
        <v>2697</v>
      </c>
      <c r="P222">
        <v>22800</v>
      </c>
      <c r="Q222">
        <v>22800</v>
      </c>
      <c r="S222">
        <v>0</v>
      </c>
      <c r="T222" t="s">
        <v>2697</v>
      </c>
      <c r="U222">
        <v>397594</v>
      </c>
      <c r="V222" t="s">
        <v>4965</v>
      </c>
      <c r="X222" t="s">
        <v>4672</v>
      </c>
      <c r="Y222" t="s">
        <v>4672</v>
      </c>
      <c r="Z222" t="s">
        <v>4672</v>
      </c>
      <c r="AB222" t="s">
        <v>4672</v>
      </c>
      <c r="AC222" t="s">
        <v>4672</v>
      </c>
    </row>
    <row r="223" spans="1:29" hidden="1">
      <c r="A223" s="10">
        <v>46062</v>
      </c>
      <c r="B223" s="10">
        <v>46063</v>
      </c>
      <c r="C223" t="s">
        <v>5385</v>
      </c>
      <c r="D223" t="s">
        <v>4977</v>
      </c>
      <c r="E223" t="s">
        <v>4962</v>
      </c>
      <c r="F223" t="s">
        <v>5386</v>
      </c>
      <c r="G223" t="s">
        <v>4672</v>
      </c>
      <c r="H223" t="s">
        <v>4970</v>
      </c>
      <c r="I223" t="s">
        <v>4984</v>
      </c>
      <c r="J223" t="s">
        <v>4985</v>
      </c>
      <c r="K223" t="s">
        <v>4981</v>
      </c>
      <c r="L223" t="s">
        <v>2697</v>
      </c>
      <c r="M223">
        <v>1000</v>
      </c>
      <c r="N223" s="641">
        <f>+transaction_statement_01_Jan_2026_28_Feb_2026[[#This Row],[Orig amount]]/100</f>
        <v>10</v>
      </c>
      <c r="O223" t="s">
        <v>2697</v>
      </c>
      <c r="P223">
        <v>-1000</v>
      </c>
      <c r="Q223">
        <v>-1000</v>
      </c>
      <c r="S223">
        <v>0</v>
      </c>
      <c r="T223" t="s">
        <v>2697</v>
      </c>
      <c r="U223">
        <v>374794</v>
      </c>
      <c r="V223" t="s">
        <v>4965</v>
      </c>
      <c r="X223" t="s">
        <v>4672</v>
      </c>
      <c r="Y223" t="s">
        <v>4672</v>
      </c>
      <c r="Z223" t="s">
        <v>4672</v>
      </c>
      <c r="AA223">
        <v>5999</v>
      </c>
      <c r="AB223" t="s">
        <v>4672</v>
      </c>
      <c r="AC223" t="s">
        <v>4672</v>
      </c>
    </row>
    <row r="224" spans="1:29" hidden="1">
      <c r="A224" s="10">
        <v>46062</v>
      </c>
      <c r="B224" s="10">
        <v>46063</v>
      </c>
      <c r="C224" t="s">
        <v>5387</v>
      </c>
      <c r="D224" t="s">
        <v>4977</v>
      </c>
      <c r="E224" t="s">
        <v>4962</v>
      </c>
      <c r="F224" t="s">
        <v>5370</v>
      </c>
      <c r="G224" t="s">
        <v>4672</v>
      </c>
      <c r="H224" t="s">
        <v>4970</v>
      </c>
      <c r="I224" t="s">
        <v>4984</v>
      </c>
      <c r="J224" t="s">
        <v>4985</v>
      </c>
      <c r="K224" t="s">
        <v>4981</v>
      </c>
      <c r="L224" t="s">
        <v>2697</v>
      </c>
      <c r="M224">
        <v>1697</v>
      </c>
      <c r="N224" s="641">
        <f>+transaction_statement_01_Jan_2026_28_Feb_2026[[#This Row],[Orig amount]]/100</f>
        <v>16.97</v>
      </c>
      <c r="O224" t="s">
        <v>2697</v>
      </c>
      <c r="P224">
        <v>-1697</v>
      </c>
      <c r="Q224">
        <v>-1697</v>
      </c>
      <c r="S224">
        <v>0</v>
      </c>
      <c r="T224" t="s">
        <v>2697</v>
      </c>
      <c r="U224">
        <v>375794</v>
      </c>
      <c r="V224" t="s">
        <v>4965</v>
      </c>
      <c r="X224" t="s">
        <v>4672</v>
      </c>
      <c r="Y224" t="s">
        <v>4672</v>
      </c>
      <c r="Z224" t="s">
        <v>4672</v>
      </c>
      <c r="AA224">
        <v>4121</v>
      </c>
      <c r="AB224" t="s">
        <v>4672</v>
      </c>
      <c r="AC224" t="s">
        <v>4672</v>
      </c>
    </row>
    <row r="225" spans="1:29" hidden="1">
      <c r="A225" s="10">
        <v>46062</v>
      </c>
      <c r="B225" s="10">
        <v>46063</v>
      </c>
      <c r="C225" t="s">
        <v>5388</v>
      </c>
      <c r="D225" t="s">
        <v>4977</v>
      </c>
      <c r="E225" t="s">
        <v>4962</v>
      </c>
      <c r="F225" t="s">
        <v>4503</v>
      </c>
      <c r="G225" t="s">
        <v>4672</v>
      </c>
      <c r="H225" t="s">
        <v>4970</v>
      </c>
      <c r="I225" t="s">
        <v>4984</v>
      </c>
      <c r="J225" t="s">
        <v>4985</v>
      </c>
      <c r="K225" t="s">
        <v>4981</v>
      </c>
      <c r="L225" t="s">
        <v>2697</v>
      </c>
      <c r="M225">
        <v>1217</v>
      </c>
      <c r="N225" s="641">
        <f>+transaction_statement_01_Jan_2026_28_Feb_2026[[#This Row],[Orig amount]]/100</f>
        <v>12.17</v>
      </c>
      <c r="O225" t="s">
        <v>2697</v>
      </c>
      <c r="P225">
        <v>-1217</v>
      </c>
      <c r="Q225">
        <v>-1217</v>
      </c>
      <c r="S225">
        <v>0</v>
      </c>
      <c r="T225" t="s">
        <v>2697</v>
      </c>
      <c r="U225">
        <v>377491</v>
      </c>
      <c r="V225" t="s">
        <v>4965</v>
      </c>
      <c r="X225" t="s">
        <v>4672</v>
      </c>
      <c r="Y225" t="s">
        <v>4672</v>
      </c>
      <c r="Z225" t="s">
        <v>4672</v>
      </c>
      <c r="AA225">
        <v>5411</v>
      </c>
      <c r="AB225" t="s">
        <v>4672</v>
      </c>
      <c r="AC225" t="s">
        <v>4672</v>
      </c>
    </row>
    <row r="226" spans="1:29" hidden="1">
      <c r="A226" s="10">
        <v>46062</v>
      </c>
      <c r="B226" s="10">
        <v>46063</v>
      </c>
      <c r="C226" t="s">
        <v>5389</v>
      </c>
      <c r="D226" t="s">
        <v>4977</v>
      </c>
      <c r="E226" t="s">
        <v>4962</v>
      </c>
      <c r="F226" t="s">
        <v>4503</v>
      </c>
      <c r="G226" t="s">
        <v>4672</v>
      </c>
      <c r="H226" t="s">
        <v>4970</v>
      </c>
      <c r="I226" t="s">
        <v>4984</v>
      </c>
      <c r="J226" t="s">
        <v>4985</v>
      </c>
      <c r="K226" t="s">
        <v>4981</v>
      </c>
      <c r="L226" t="s">
        <v>2697</v>
      </c>
      <c r="M226">
        <v>818</v>
      </c>
      <c r="N226" s="641">
        <f>+transaction_statement_01_Jan_2026_28_Feb_2026[[#This Row],[Orig amount]]/100</f>
        <v>8.18</v>
      </c>
      <c r="O226" t="s">
        <v>2697</v>
      </c>
      <c r="P226">
        <v>-818</v>
      </c>
      <c r="Q226">
        <v>-818</v>
      </c>
      <c r="S226">
        <v>0</v>
      </c>
      <c r="T226" t="s">
        <v>2697</v>
      </c>
      <c r="U226">
        <v>378708</v>
      </c>
      <c r="V226" t="s">
        <v>4965</v>
      </c>
      <c r="X226" t="s">
        <v>4672</v>
      </c>
      <c r="Y226" t="s">
        <v>4672</v>
      </c>
      <c r="Z226" t="s">
        <v>4672</v>
      </c>
      <c r="AA226">
        <v>5411</v>
      </c>
      <c r="AB226" t="s">
        <v>4672</v>
      </c>
      <c r="AC226" t="s">
        <v>4672</v>
      </c>
    </row>
    <row r="227" spans="1:29" hidden="1">
      <c r="A227" s="10">
        <v>46062</v>
      </c>
      <c r="B227" s="10">
        <v>46063</v>
      </c>
      <c r="C227" t="s">
        <v>5390</v>
      </c>
      <c r="D227" t="s">
        <v>4977</v>
      </c>
      <c r="E227" t="s">
        <v>4962</v>
      </c>
      <c r="F227" t="s">
        <v>5370</v>
      </c>
      <c r="G227" t="s">
        <v>4672</v>
      </c>
      <c r="H227" t="s">
        <v>4970</v>
      </c>
      <c r="I227" t="s">
        <v>4984</v>
      </c>
      <c r="J227" t="s">
        <v>4985</v>
      </c>
      <c r="K227" t="s">
        <v>4981</v>
      </c>
      <c r="L227" t="s">
        <v>2697</v>
      </c>
      <c r="M227">
        <v>1899</v>
      </c>
      <c r="N227" s="641">
        <f>+transaction_statement_01_Jan_2026_28_Feb_2026[[#This Row],[Orig amount]]/100</f>
        <v>18.989999999999998</v>
      </c>
      <c r="O227" t="s">
        <v>2697</v>
      </c>
      <c r="P227">
        <v>-1899</v>
      </c>
      <c r="Q227">
        <v>-1899</v>
      </c>
      <c r="S227">
        <v>0</v>
      </c>
      <c r="T227" t="s">
        <v>2697</v>
      </c>
      <c r="U227">
        <v>379526</v>
      </c>
      <c r="V227" t="s">
        <v>4965</v>
      </c>
      <c r="X227" t="s">
        <v>4672</v>
      </c>
      <c r="Y227" t="s">
        <v>4672</v>
      </c>
      <c r="Z227" t="s">
        <v>4672</v>
      </c>
      <c r="AA227">
        <v>4121</v>
      </c>
      <c r="AB227" t="s">
        <v>4672</v>
      </c>
      <c r="AC227" t="s">
        <v>4672</v>
      </c>
    </row>
    <row r="228" spans="1:29" hidden="1">
      <c r="A228" s="10">
        <v>46063</v>
      </c>
      <c r="B228" s="10">
        <v>46063</v>
      </c>
      <c r="C228" t="s">
        <v>5391</v>
      </c>
      <c r="D228" t="s">
        <v>4967</v>
      </c>
      <c r="E228" t="s">
        <v>4962</v>
      </c>
      <c r="F228" t="s">
        <v>5334</v>
      </c>
      <c r="G228" t="s">
        <v>5335</v>
      </c>
      <c r="H228" t="s">
        <v>4970</v>
      </c>
      <c r="I228" t="s">
        <v>4672</v>
      </c>
      <c r="J228" t="s">
        <v>4672</v>
      </c>
      <c r="K228" t="s">
        <v>4672</v>
      </c>
      <c r="L228" t="s">
        <v>2697</v>
      </c>
      <c r="M228">
        <v>290000</v>
      </c>
      <c r="N228" s="641">
        <f>+transaction_statement_01_Jan_2026_28_Feb_2026[[#This Row],[Orig amount]]/100</f>
        <v>2900</v>
      </c>
      <c r="O228" t="s">
        <v>2697</v>
      </c>
      <c r="P228">
        <v>-290000</v>
      </c>
      <c r="Q228">
        <v>-290000</v>
      </c>
      <c r="S228">
        <v>0</v>
      </c>
      <c r="T228" t="s">
        <v>2697</v>
      </c>
      <c r="U228">
        <v>381425</v>
      </c>
      <c r="V228" t="s">
        <v>4965</v>
      </c>
      <c r="X228" t="s">
        <v>4672</v>
      </c>
      <c r="Y228" t="s">
        <v>5336</v>
      </c>
      <c r="Z228" t="s">
        <v>5337</v>
      </c>
      <c r="AB228" t="s">
        <v>4672</v>
      </c>
      <c r="AC228" t="s">
        <v>4672</v>
      </c>
    </row>
    <row r="229" spans="1:29" hidden="1">
      <c r="A229" s="10">
        <v>46063</v>
      </c>
      <c r="B229" s="10">
        <v>46063</v>
      </c>
      <c r="C229" t="s">
        <v>5392</v>
      </c>
      <c r="D229" t="s">
        <v>4961</v>
      </c>
      <c r="E229" t="s">
        <v>4962</v>
      </c>
      <c r="F229" t="s">
        <v>5025</v>
      </c>
      <c r="G229" t="s">
        <v>5026</v>
      </c>
      <c r="H229" t="s">
        <v>4672</v>
      </c>
      <c r="I229" t="s">
        <v>4672</v>
      </c>
      <c r="J229" t="s">
        <v>4672</v>
      </c>
      <c r="K229" t="s">
        <v>4672</v>
      </c>
      <c r="L229" t="s">
        <v>2697</v>
      </c>
      <c r="M229">
        <v>189554</v>
      </c>
      <c r="N229" s="641">
        <f>+transaction_statement_01_Jan_2026_28_Feb_2026[[#This Row],[Orig amount]]/100</f>
        <v>1895.54</v>
      </c>
      <c r="O229" t="s">
        <v>2697</v>
      </c>
      <c r="P229">
        <v>189554</v>
      </c>
      <c r="Q229">
        <v>189554</v>
      </c>
      <c r="S229">
        <v>0</v>
      </c>
      <c r="T229" t="s">
        <v>2697</v>
      </c>
      <c r="U229">
        <v>671425</v>
      </c>
      <c r="V229" t="s">
        <v>4965</v>
      </c>
      <c r="X229" t="s">
        <v>4672</v>
      </c>
      <c r="Y229" t="s">
        <v>4672</v>
      </c>
      <c r="Z229" t="s">
        <v>4672</v>
      </c>
      <c r="AB229" t="s">
        <v>4672</v>
      </c>
      <c r="AC229" t="s">
        <v>4672</v>
      </c>
    </row>
    <row r="230" spans="1:29" hidden="1">
      <c r="A230" s="10">
        <v>46063</v>
      </c>
      <c r="B230" s="10">
        <v>46063</v>
      </c>
      <c r="C230" t="s">
        <v>5393</v>
      </c>
      <c r="D230" t="s">
        <v>4961</v>
      </c>
      <c r="E230" t="s">
        <v>4962</v>
      </c>
      <c r="F230" t="s">
        <v>5025</v>
      </c>
      <c r="G230" t="s">
        <v>5026</v>
      </c>
      <c r="H230" t="s">
        <v>4672</v>
      </c>
      <c r="I230" t="s">
        <v>4672</v>
      </c>
      <c r="J230" t="s">
        <v>4672</v>
      </c>
      <c r="K230" t="s">
        <v>4672</v>
      </c>
      <c r="L230" t="s">
        <v>2697</v>
      </c>
      <c r="M230">
        <v>270699</v>
      </c>
      <c r="N230" s="641">
        <f>+transaction_statement_01_Jan_2026_28_Feb_2026[[#This Row],[Orig amount]]/100</f>
        <v>2706.99</v>
      </c>
      <c r="O230" t="s">
        <v>2697</v>
      </c>
      <c r="P230">
        <v>270699</v>
      </c>
      <c r="Q230">
        <v>270699</v>
      </c>
      <c r="S230">
        <v>0</v>
      </c>
      <c r="T230" t="s">
        <v>2697</v>
      </c>
      <c r="U230">
        <v>481871</v>
      </c>
      <c r="V230" t="s">
        <v>4965</v>
      </c>
      <c r="X230" t="s">
        <v>4672</v>
      </c>
      <c r="Y230" t="s">
        <v>4672</v>
      </c>
      <c r="Z230" t="s">
        <v>4672</v>
      </c>
      <c r="AB230" t="s">
        <v>4672</v>
      </c>
      <c r="AC230" t="s">
        <v>4672</v>
      </c>
    </row>
    <row r="231" spans="1:29" hidden="1">
      <c r="A231" s="10">
        <v>46062</v>
      </c>
      <c r="B231" s="10">
        <v>46062</v>
      </c>
      <c r="C231" t="s">
        <v>5394</v>
      </c>
      <c r="D231" t="s">
        <v>4977</v>
      </c>
      <c r="E231" t="s">
        <v>4962</v>
      </c>
      <c r="F231" t="s">
        <v>4503</v>
      </c>
      <c r="G231" t="s">
        <v>4672</v>
      </c>
      <c r="H231" t="s">
        <v>4970</v>
      </c>
      <c r="I231" t="s">
        <v>4984</v>
      </c>
      <c r="J231" t="s">
        <v>4985</v>
      </c>
      <c r="K231" t="s">
        <v>4981</v>
      </c>
      <c r="L231" t="s">
        <v>2697</v>
      </c>
      <c r="M231">
        <v>1267</v>
      </c>
      <c r="N231" s="641">
        <f>+transaction_statement_01_Jan_2026_28_Feb_2026[[#This Row],[Orig amount]]/100</f>
        <v>12.67</v>
      </c>
      <c r="O231" t="s">
        <v>2697</v>
      </c>
      <c r="P231">
        <v>-1267</v>
      </c>
      <c r="Q231">
        <v>-1267</v>
      </c>
      <c r="S231">
        <v>0</v>
      </c>
      <c r="T231" t="s">
        <v>2697</v>
      </c>
      <c r="U231">
        <v>211172</v>
      </c>
      <c r="V231" t="s">
        <v>4965</v>
      </c>
      <c r="X231" t="s">
        <v>4672</v>
      </c>
      <c r="Y231" t="s">
        <v>4672</v>
      </c>
      <c r="Z231" t="s">
        <v>4672</v>
      </c>
      <c r="AA231">
        <v>5411</v>
      </c>
      <c r="AB231" t="s">
        <v>4672</v>
      </c>
      <c r="AC231" t="s">
        <v>4672</v>
      </c>
    </row>
    <row r="232" spans="1:29" hidden="1">
      <c r="A232" s="10">
        <v>46062</v>
      </c>
      <c r="B232" s="10">
        <v>46062</v>
      </c>
      <c r="C232" t="s">
        <v>5395</v>
      </c>
      <c r="D232" t="s">
        <v>4977</v>
      </c>
      <c r="E232" t="s">
        <v>4962</v>
      </c>
      <c r="F232" t="s">
        <v>4503</v>
      </c>
      <c r="G232" t="s">
        <v>4672</v>
      </c>
      <c r="H232" t="s">
        <v>4970</v>
      </c>
      <c r="I232" t="s">
        <v>4984</v>
      </c>
      <c r="J232" t="s">
        <v>4985</v>
      </c>
      <c r="K232" t="s">
        <v>4981</v>
      </c>
      <c r="L232" t="s">
        <v>2697</v>
      </c>
      <c r="M232">
        <v>833</v>
      </c>
      <c r="N232" s="641">
        <f>+transaction_statement_01_Jan_2026_28_Feb_2026[[#This Row],[Orig amount]]/100</f>
        <v>8.33</v>
      </c>
      <c r="O232" t="s">
        <v>2697</v>
      </c>
      <c r="P232">
        <v>-833</v>
      </c>
      <c r="Q232">
        <v>-833</v>
      </c>
      <c r="S232">
        <v>0</v>
      </c>
      <c r="T232" t="s">
        <v>2697</v>
      </c>
      <c r="U232">
        <v>212439</v>
      </c>
      <c r="V232" t="s">
        <v>4965</v>
      </c>
      <c r="X232" t="s">
        <v>4672</v>
      </c>
      <c r="Y232" t="s">
        <v>4672</v>
      </c>
      <c r="Z232" t="s">
        <v>4672</v>
      </c>
      <c r="AA232">
        <v>5411</v>
      </c>
      <c r="AB232" t="s">
        <v>4672</v>
      </c>
      <c r="AC232" t="s">
        <v>4672</v>
      </c>
    </row>
    <row r="233" spans="1:29" hidden="1">
      <c r="A233" s="10">
        <v>46062</v>
      </c>
      <c r="B233" s="10">
        <v>46062</v>
      </c>
      <c r="C233" t="s">
        <v>5396</v>
      </c>
      <c r="D233" t="s">
        <v>4961</v>
      </c>
      <c r="E233" t="s">
        <v>4962</v>
      </c>
      <c r="F233" t="s">
        <v>5025</v>
      </c>
      <c r="G233" t="s">
        <v>5026</v>
      </c>
      <c r="H233" t="s">
        <v>4672</v>
      </c>
      <c r="I233" t="s">
        <v>4672</v>
      </c>
      <c r="J233" t="s">
        <v>4672</v>
      </c>
      <c r="K233" t="s">
        <v>4672</v>
      </c>
      <c r="L233" t="s">
        <v>2697</v>
      </c>
      <c r="M233">
        <v>23049</v>
      </c>
      <c r="N233" s="641">
        <f>+transaction_statement_01_Jan_2026_28_Feb_2026[[#This Row],[Orig amount]]/100</f>
        <v>230.49</v>
      </c>
      <c r="O233" t="s">
        <v>2697</v>
      </c>
      <c r="P233">
        <v>23049</v>
      </c>
      <c r="Q233">
        <v>23049</v>
      </c>
      <c r="S233">
        <v>0</v>
      </c>
      <c r="T233" t="s">
        <v>2697</v>
      </c>
      <c r="U233">
        <v>213272</v>
      </c>
      <c r="V233" t="s">
        <v>4965</v>
      </c>
      <c r="X233" t="s">
        <v>4672</v>
      </c>
      <c r="Y233" t="s">
        <v>4672</v>
      </c>
      <c r="Z233" t="s">
        <v>4672</v>
      </c>
      <c r="AB233" t="s">
        <v>4672</v>
      </c>
      <c r="AC233" t="s">
        <v>4672</v>
      </c>
    </row>
    <row r="234" spans="1:29" hidden="1">
      <c r="A234" s="10">
        <v>46061</v>
      </c>
      <c r="B234" s="10">
        <v>46062</v>
      </c>
      <c r="C234" t="s">
        <v>5397</v>
      </c>
      <c r="D234" t="s">
        <v>4977</v>
      </c>
      <c r="E234" t="s">
        <v>4962</v>
      </c>
      <c r="F234" t="s">
        <v>5398</v>
      </c>
      <c r="G234" t="s">
        <v>4672</v>
      </c>
      <c r="H234" t="s">
        <v>4970</v>
      </c>
      <c r="I234" t="s">
        <v>4979</v>
      </c>
      <c r="J234" t="s">
        <v>4980</v>
      </c>
      <c r="K234" t="s">
        <v>4981</v>
      </c>
      <c r="L234" t="s">
        <v>2697</v>
      </c>
      <c r="M234">
        <v>5105</v>
      </c>
      <c r="N234" s="641">
        <f>+transaction_statement_01_Jan_2026_28_Feb_2026[[#This Row],[Orig amount]]/100</f>
        <v>51.05</v>
      </c>
      <c r="O234" t="s">
        <v>2697</v>
      </c>
      <c r="P234">
        <v>-5105</v>
      </c>
      <c r="Q234">
        <v>-5105</v>
      </c>
      <c r="S234">
        <v>0</v>
      </c>
      <c r="T234" t="s">
        <v>2697</v>
      </c>
      <c r="U234">
        <v>190223</v>
      </c>
      <c r="V234" t="s">
        <v>4965</v>
      </c>
      <c r="X234" t="s">
        <v>4672</v>
      </c>
      <c r="Y234" t="s">
        <v>4672</v>
      </c>
      <c r="Z234" t="s">
        <v>4672</v>
      </c>
      <c r="AA234">
        <v>5818</v>
      </c>
      <c r="AB234" t="s">
        <v>4672</v>
      </c>
      <c r="AC234" t="s">
        <v>4672</v>
      </c>
    </row>
    <row r="235" spans="1:29" hidden="1">
      <c r="A235" s="10">
        <v>46062</v>
      </c>
      <c r="B235" s="10">
        <v>46062</v>
      </c>
      <c r="C235" t="s">
        <v>5399</v>
      </c>
      <c r="D235" t="s">
        <v>4967</v>
      </c>
      <c r="E235" t="s">
        <v>4962</v>
      </c>
      <c r="F235" t="s">
        <v>5400</v>
      </c>
      <c r="G235" t="s">
        <v>5401</v>
      </c>
      <c r="H235" t="s">
        <v>4672</v>
      </c>
      <c r="I235" t="s">
        <v>4672</v>
      </c>
      <c r="J235" t="s">
        <v>4672</v>
      </c>
      <c r="K235" t="s">
        <v>4672</v>
      </c>
      <c r="L235" t="s">
        <v>2697</v>
      </c>
      <c r="M235">
        <v>4855</v>
      </c>
      <c r="N235" s="641">
        <f>+transaction_statement_01_Jan_2026_28_Feb_2026[[#This Row],[Orig amount]]/100</f>
        <v>48.55</v>
      </c>
      <c r="O235" t="s">
        <v>2697</v>
      </c>
      <c r="P235">
        <v>-4855</v>
      </c>
      <c r="Q235">
        <v>-4855</v>
      </c>
      <c r="S235">
        <v>0</v>
      </c>
      <c r="T235" t="s">
        <v>2697</v>
      </c>
      <c r="U235">
        <v>195328</v>
      </c>
      <c r="V235" t="s">
        <v>4965</v>
      </c>
      <c r="X235" t="s">
        <v>4672</v>
      </c>
      <c r="Y235" t="s">
        <v>5402</v>
      </c>
      <c r="Z235" t="s">
        <v>5403</v>
      </c>
      <c r="AB235" t="s">
        <v>4672</v>
      </c>
      <c r="AC235" t="s">
        <v>4672</v>
      </c>
    </row>
    <row r="236" spans="1:29" hidden="1">
      <c r="A236" s="10">
        <v>46062</v>
      </c>
      <c r="B236" s="10">
        <v>46062</v>
      </c>
      <c r="C236" t="s">
        <v>5404</v>
      </c>
      <c r="D236" t="s">
        <v>4967</v>
      </c>
      <c r="E236" t="s">
        <v>4962</v>
      </c>
      <c r="F236" t="s">
        <v>5334</v>
      </c>
      <c r="G236" t="s">
        <v>5335</v>
      </c>
      <c r="H236" t="s">
        <v>4970</v>
      </c>
      <c r="I236" t="s">
        <v>4672</v>
      </c>
      <c r="J236" t="s">
        <v>4672</v>
      </c>
      <c r="K236" t="s">
        <v>4672</v>
      </c>
      <c r="L236" t="s">
        <v>2697</v>
      </c>
      <c r="M236">
        <v>150000</v>
      </c>
      <c r="N236" s="641">
        <f>+transaction_statement_01_Jan_2026_28_Feb_2026[[#This Row],[Orig amount]]/100</f>
        <v>1500</v>
      </c>
      <c r="O236" t="s">
        <v>2697</v>
      </c>
      <c r="P236">
        <v>-150000</v>
      </c>
      <c r="Q236">
        <v>-150000</v>
      </c>
      <c r="S236">
        <v>0</v>
      </c>
      <c r="T236" t="s">
        <v>2697</v>
      </c>
      <c r="U236">
        <v>200183</v>
      </c>
      <c r="V236" t="s">
        <v>4965</v>
      </c>
      <c r="X236" t="s">
        <v>4672</v>
      </c>
      <c r="Y236" t="s">
        <v>5336</v>
      </c>
      <c r="Z236" t="s">
        <v>5337</v>
      </c>
      <c r="AB236" t="s">
        <v>4672</v>
      </c>
      <c r="AC236" t="s">
        <v>4672</v>
      </c>
    </row>
    <row r="237" spans="1:29" hidden="1">
      <c r="A237" s="10">
        <v>46062</v>
      </c>
      <c r="B237" s="10">
        <v>46062</v>
      </c>
      <c r="C237" t="s">
        <v>5405</v>
      </c>
      <c r="D237" t="s">
        <v>4977</v>
      </c>
      <c r="E237" t="s">
        <v>4962</v>
      </c>
      <c r="F237" t="s">
        <v>4503</v>
      </c>
      <c r="G237" t="s">
        <v>4672</v>
      </c>
      <c r="H237" t="s">
        <v>4970</v>
      </c>
      <c r="I237" t="s">
        <v>4984</v>
      </c>
      <c r="J237" t="s">
        <v>4985</v>
      </c>
      <c r="K237" t="s">
        <v>4981</v>
      </c>
      <c r="L237" t="s">
        <v>2697</v>
      </c>
      <c r="M237">
        <v>434</v>
      </c>
      <c r="N237" s="641">
        <f>+transaction_statement_01_Jan_2026_28_Feb_2026[[#This Row],[Orig amount]]/100</f>
        <v>4.34</v>
      </c>
      <c r="O237" t="s">
        <v>2697</v>
      </c>
      <c r="P237">
        <v>-434</v>
      </c>
      <c r="Q237">
        <v>-434</v>
      </c>
      <c r="S237">
        <v>0</v>
      </c>
      <c r="T237" t="s">
        <v>2697</v>
      </c>
      <c r="U237">
        <v>350183</v>
      </c>
      <c r="V237" t="s">
        <v>4965</v>
      </c>
      <c r="X237" t="s">
        <v>4672</v>
      </c>
      <c r="Y237" t="s">
        <v>4672</v>
      </c>
      <c r="Z237" t="s">
        <v>4672</v>
      </c>
      <c r="AA237">
        <v>5411</v>
      </c>
      <c r="AB237" t="s">
        <v>4672</v>
      </c>
      <c r="AC237" t="s">
        <v>4672</v>
      </c>
    </row>
    <row r="238" spans="1:29" hidden="1">
      <c r="A238" s="10">
        <v>46061</v>
      </c>
      <c r="B238" s="10">
        <v>46062</v>
      </c>
      <c r="C238" t="s">
        <v>5406</v>
      </c>
      <c r="D238" t="s">
        <v>4977</v>
      </c>
      <c r="E238" t="s">
        <v>4962</v>
      </c>
      <c r="F238" t="s">
        <v>5349</v>
      </c>
      <c r="G238" t="s">
        <v>4672</v>
      </c>
      <c r="H238" t="s">
        <v>4970</v>
      </c>
      <c r="I238" t="s">
        <v>4979</v>
      </c>
      <c r="J238" t="s">
        <v>4980</v>
      </c>
      <c r="K238" t="s">
        <v>4981</v>
      </c>
      <c r="L238" t="s">
        <v>2697</v>
      </c>
      <c r="M238">
        <v>3978</v>
      </c>
      <c r="N238" s="641">
        <f>+transaction_statement_01_Jan_2026_28_Feb_2026[[#This Row],[Orig amount]]/100</f>
        <v>39.78</v>
      </c>
      <c r="O238" t="s">
        <v>2697</v>
      </c>
      <c r="P238">
        <v>-3978</v>
      </c>
      <c r="Q238">
        <v>-3978</v>
      </c>
      <c r="S238">
        <v>0</v>
      </c>
      <c r="T238" t="s">
        <v>2697</v>
      </c>
      <c r="U238">
        <v>350617</v>
      </c>
      <c r="V238" t="s">
        <v>4965</v>
      </c>
      <c r="X238" t="s">
        <v>4672</v>
      </c>
      <c r="Y238" t="s">
        <v>4672</v>
      </c>
      <c r="Z238" t="s">
        <v>4672</v>
      </c>
      <c r="AA238">
        <v>5812</v>
      </c>
      <c r="AB238" t="s">
        <v>4672</v>
      </c>
      <c r="AC238" t="s">
        <v>4672</v>
      </c>
    </row>
    <row r="239" spans="1:29" hidden="1">
      <c r="A239" s="10">
        <v>46061</v>
      </c>
      <c r="B239" s="10">
        <v>46062</v>
      </c>
      <c r="C239" t="s">
        <v>5407</v>
      </c>
      <c r="D239" t="s">
        <v>4977</v>
      </c>
      <c r="E239" t="s">
        <v>4962</v>
      </c>
      <c r="F239" t="s">
        <v>5281</v>
      </c>
      <c r="G239" t="s">
        <v>4672</v>
      </c>
      <c r="H239" t="s">
        <v>4970</v>
      </c>
      <c r="I239" t="s">
        <v>4979</v>
      </c>
      <c r="J239" t="s">
        <v>4980</v>
      </c>
      <c r="K239" t="s">
        <v>4981</v>
      </c>
      <c r="L239" t="s">
        <v>2697</v>
      </c>
      <c r="M239">
        <v>4999</v>
      </c>
      <c r="N239" s="641">
        <f>+transaction_statement_01_Jan_2026_28_Feb_2026[[#This Row],[Orig amount]]/100</f>
        <v>49.99</v>
      </c>
      <c r="O239" t="s">
        <v>2697</v>
      </c>
      <c r="P239">
        <v>-4999</v>
      </c>
      <c r="Q239">
        <v>-4999</v>
      </c>
      <c r="S239">
        <v>0</v>
      </c>
      <c r="T239" t="s">
        <v>2697</v>
      </c>
      <c r="U239">
        <v>354595</v>
      </c>
      <c r="V239" t="s">
        <v>4965</v>
      </c>
      <c r="X239" t="s">
        <v>4672</v>
      </c>
      <c r="Y239" t="s">
        <v>4672</v>
      </c>
      <c r="Z239" t="s">
        <v>4672</v>
      </c>
      <c r="AA239">
        <v>5734</v>
      </c>
      <c r="AB239" t="s">
        <v>4672</v>
      </c>
      <c r="AC239" t="s">
        <v>4672</v>
      </c>
    </row>
    <row r="240" spans="1:29" hidden="1">
      <c r="A240" s="10">
        <v>46061</v>
      </c>
      <c r="B240" s="10">
        <v>46062</v>
      </c>
      <c r="C240" t="s">
        <v>5408</v>
      </c>
      <c r="D240" t="s">
        <v>4977</v>
      </c>
      <c r="E240" t="s">
        <v>4962</v>
      </c>
      <c r="F240" t="s">
        <v>5409</v>
      </c>
      <c r="G240" t="s">
        <v>4672</v>
      </c>
      <c r="H240" t="s">
        <v>4970</v>
      </c>
      <c r="I240" t="s">
        <v>4979</v>
      </c>
      <c r="J240" t="s">
        <v>4980</v>
      </c>
      <c r="K240" t="s">
        <v>4981</v>
      </c>
      <c r="L240" t="s">
        <v>2697</v>
      </c>
      <c r="M240">
        <v>23681</v>
      </c>
      <c r="N240" s="641">
        <f>+transaction_statement_01_Jan_2026_28_Feb_2026[[#This Row],[Orig amount]]/100</f>
        <v>236.81</v>
      </c>
      <c r="O240" t="s">
        <v>2697</v>
      </c>
      <c r="P240">
        <v>-23681</v>
      </c>
      <c r="Q240">
        <v>-23681</v>
      </c>
      <c r="S240">
        <v>0</v>
      </c>
      <c r="T240" t="s">
        <v>2697</v>
      </c>
      <c r="U240">
        <v>359594</v>
      </c>
      <c r="V240" t="s">
        <v>4965</v>
      </c>
      <c r="X240" t="s">
        <v>4672</v>
      </c>
      <c r="Y240" t="s">
        <v>4672</v>
      </c>
      <c r="Z240" t="s">
        <v>4672</v>
      </c>
      <c r="AA240">
        <v>5734</v>
      </c>
      <c r="AB240" t="s">
        <v>4672</v>
      </c>
      <c r="AC240" t="s">
        <v>4672</v>
      </c>
    </row>
    <row r="241" spans="1:29" hidden="1">
      <c r="A241" s="10">
        <v>46061</v>
      </c>
      <c r="B241" s="10">
        <v>46062</v>
      </c>
      <c r="C241" t="s">
        <v>5410</v>
      </c>
      <c r="D241" t="s">
        <v>4977</v>
      </c>
      <c r="E241" t="s">
        <v>4962</v>
      </c>
      <c r="F241" t="s">
        <v>5411</v>
      </c>
      <c r="G241" t="s">
        <v>4672</v>
      </c>
      <c r="H241" t="s">
        <v>4970</v>
      </c>
      <c r="I241" t="s">
        <v>4979</v>
      </c>
      <c r="J241" t="s">
        <v>4980</v>
      </c>
      <c r="K241" t="s">
        <v>4981</v>
      </c>
      <c r="L241" t="s">
        <v>2697</v>
      </c>
      <c r="M241">
        <v>21301</v>
      </c>
      <c r="N241" s="641">
        <f>+transaction_statement_01_Jan_2026_28_Feb_2026[[#This Row],[Orig amount]]/100</f>
        <v>213.01</v>
      </c>
      <c r="O241" t="s">
        <v>2697</v>
      </c>
      <c r="P241">
        <v>-21301</v>
      </c>
      <c r="Q241">
        <v>-21301</v>
      </c>
      <c r="S241">
        <v>0</v>
      </c>
      <c r="T241" t="s">
        <v>2697</v>
      </c>
      <c r="U241">
        <v>383275</v>
      </c>
      <c r="V241" t="s">
        <v>4965</v>
      </c>
      <c r="X241" t="s">
        <v>4672</v>
      </c>
      <c r="Y241" t="s">
        <v>4672</v>
      </c>
      <c r="Z241" t="s">
        <v>4672</v>
      </c>
      <c r="AA241">
        <v>5734</v>
      </c>
      <c r="AB241" t="s">
        <v>4672</v>
      </c>
      <c r="AC241" t="s">
        <v>4672</v>
      </c>
    </row>
    <row r="242" spans="1:29" hidden="1">
      <c r="A242" s="10">
        <v>46062</v>
      </c>
      <c r="B242" s="10">
        <v>46062</v>
      </c>
      <c r="C242" t="s">
        <v>5412</v>
      </c>
      <c r="D242" t="s">
        <v>4967</v>
      </c>
      <c r="E242" t="s">
        <v>4962</v>
      </c>
      <c r="F242" t="s">
        <v>5413</v>
      </c>
      <c r="G242" t="s">
        <v>5414</v>
      </c>
      <c r="H242" t="s">
        <v>4970</v>
      </c>
      <c r="I242" t="s">
        <v>4672</v>
      </c>
      <c r="J242" t="s">
        <v>4672</v>
      </c>
      <c r="K242" t="s">
        <v>4672</v>
      </c>
      <c r="L242" t="s">
        <v>2543</v>
      </c>
      <c r="M242">
        <v>1747750</v>
      </c>
      <c r="N242" s="641">
        <f>+transaction_statement_01_Jan_2026_28_Feb_2026[[#This Row],[Orig amount]]/100</f>
        <v>17477.5</v>
      </c>
      <c r="O242" t="s">
        <v>2697</v>
      </c>
      <c r="P242">
        <v>-172073</v>
      </c>
      <c r="Q242">
        <v>-172073</v>
      </c>
      <c r="R242">
        <v>1015707847</v>
      </c>
      <c r="S242">
        <v>0</v>
      </c>
      <c r="T242" t="s">
        <v>2697</v>
      </c>
      <c r="U242">
        <v>404576</v>
      </c>
      <c r="V242" t="s">
        <v>4965</v>
      </c>
      <c r="W242">
        <v>70520577</v>
      </c>
      <c r="X242" t="s">
        <v>4672</v>
      </c>
      <c r="Y242" t="s">
        <v>4672</v>
      </c>
      <c r="Z242" t="s">
        <v>5415</v>
      </c>
      <c r="AB242" t="s">
        <v>4672</v>
      </c>
      <c r="AC242" t="s">
        <v>4672</v>
      </c>
    </row>
    <row r="243" spans="1:29" hidden="1">
      <c r="A243" s="10">
        <v>46062</v>
      </c>
      <c r="B243" s="10">
        <v>46062</v>
      </c>
      <c r="C243" t="s">
        <v>5416</v>
      </c>
      <c r="D243" t="s">
        <v>4961</v>
      </c>
      <c r="E243" t="s">
        <v>4962</v>
      </c>
      <c r="F243" t="s">
        <v>5383</v>
      </c>
      <c r="G243" t="s">
        <v>5384</v>
      </c>
      <c r="H243" t="s">
        <v>4672</v>
      </c>
      <c r="I243" t="s">
        <v>4672</v>
      </c>
      <c r="J243" t="s">
        <v>4672</v>
      </c>
      <c r="K243" t="s">
        <v>4672</v>
      </c>
      <c r="L243" t="s">
        <v>2697</v>
      </c>
      <c r="M243">
        <v>200000</v>
      </c>
      <c r="N243" s="641">
        <f>+transaction_statement_01_Jan_2026_28_Feb_2026[[#This Row],[Orig amount]]/100</f>
        <v>2000</v>
      </c>
      <c r="O243" t="s">
        <v>2697</v>
      </c>
      <c r="P243">
        <v>200000</v>
      </c>
      <c r="Q243">
        <v>200000</v>
      </c>
      <c r="S243">
        <v>0</v>
      </c>
      <c r="T243" t="s">
        <v>2697</v>
      </c>
      <c r="U243">
        <v>576649</v>
      </c>
      <c r="V243" t="s">
        <v>4965</v>
      </c>
      <c r="X243" t="s">
        <v>4672</v>
      </c>
      <c r="Y243" t="s">
        <v>4672</v>
      </c>
      <c r="Z243" t="s">
        <v>4672</v>
      </c>
      <c r="AB243" t="s">
        <v>4672</v>
      </c>
      <c r="AC243" t="s">
        <v>4672</v>
      </c>
    </row>
    <row r="244" spans="1:29" hidden="1">
      <c r="A244" s="10">
        <v>46062</v>
      </c>
      <c r="B244" s="10">
        <v>46062</v>
      </c>
      <c r="C244" t="s">
        <v>5417</v>
      </c>
      <c r="D244" t="s">
        <v>5418</v>
      </c>
      <c r="E244" t="s">
        <v>4962</v>
      </c>
      <c r="F244" t="s">
        <v>5419</v>
      </c>
      <c r="G244" t="s">
        <v>4672</v>
      </c>
      <c r="H244" t="s">
        <v>4970</v>
      </c>
      <c r="I244" t="s">
        <v>4672</v>
      </c>
      <c r="J244" t="s">
        <v>4672</v>
      </c>
      <c r="K244" t="s">
        <v>4672</v>
      </c>
      <c r="L244" t="s">
        <v>2697</v>
      </c>
      <c r="M244">
        <v>56984</v>
      </c>
      <c r="N244" s="641">
        <f>+transaction_statement_01_Jan_2026_28_Feb_2026[[#This Row],[Orig amount]]/100</f>
        <v>569.84</v>
      </c>
      <c r="O244" t="s">
        <v>2548</v>
      </c>
      <c r="P244">
        <v>-67635</v>
      </c>
      <c r="Q244">
        <v>-67635</v>
      </c>
      <c r="R244">
        <v>842530</v>
      </c>
      <c r="S244">
        <v>0</v>
      </c>
      <c r="T244" t="s">
        <v>2548</v>
      </c>
      <c r="U244">
        <v>0</v>
      </c>
      <c r="V244" t="s">
        <v>5420</v>
      </c>
      <c r="X244" t="s">
        <v>4672</v>
      </c>
      <c r="Y244" t="s">
        <v>4672</v>
      </c>
      <c r="Z244" t="s">
        <v>4672</v>
      </c>
      <c r="AB244" t="s">
        <v>4672</v>
      </c>
      <c r="AC244" t="s">
        <v>4672</v>
      </c>
    </row>
    <row r="245" spans="1:29" hidden="1">
      <c r="A245" s="10">
        <v>46062</v>
      </c>
      <c r="B245" s="10">
        <v>46062</v>
      </c>
      <c r="C245" t="s">
        <v>5417</v>
      </c>
      <c r="D245" t="s">
        <v>5418</v>
      </c>
      <c r="E245" t="s">
        <v>4962</v>
      </c>
      <c r="F245" t="s">
        <v>5419</v>
      </c>
      <c r="G245" t="s">
        <v>4672</v>
      </c>
      <c r="H245" t="s">
        <v>4970</v>
      </c>
      <c r="I245" t="s">
        <v>4672</v>
      </c>
      <c r="J245" t="s">
        <v>4672</v>
      </c>
      <c r="K245" t="s">
        <v>4672</v>
      </c>
      <c r="L245" t="s">
        <v>2548</v>
      </c>
      <c r="M245">
        <v>-67635</v>
      </c>
      <c r="N245" s="641">
        <f>+transaction_statement_01_Jan_2026_28_Feb_2026[[#This Row],[Orig amount]]/100</f>
        <v>-676.35</v>
      </c>
      <c r="O245" t="s">
        <v>2697</v>
      </c>
      <c r="P245">
        <v>56984</v>
      </c>
      <c r="Q245">
        <v>56984</v>
      </c>
      <c r="R245">
        <v>1186901</v>
      </c>
      <c r="S245">
        <v>0</v>
      </c>
      <c r="T245" t="s">
        <v>2548</v>
      </c>
      <c r="U245">
        <v>376649</v>
      </c>
      <c r="V245" t="s">
        <v>4965</v>
      </c>
      <c r="X245" t="s">
        <v>4672</v>
      </c>
      <c r="Y245" t="s">
        <v>4672</v>
      </c>
      <c r="Z245" t="s">
        <v>4672</v>
      </c>
      <c r="AB245" t="s">
        <v>4672</v>
      </c>
      <c r="AC245" t="s">
        <v>4672</v>
      </c>
    </row>
    <row r="246" spans="1:29" hidden="1">
      <c r="A246" s="10">
        <v>46061</v>
      </c>
      <c r="B246" s="10">
        <v>46062</v>
      </c>
      <c r="C246" t="s">
        <v>5421</v>
      </c>
      <c r="D246" t="s">
        <v>4977</v>
      </c>
      <c r="E246" t="s">
        <v>4962</v>
      </c>
      <c r="F246" t="s">
        <v>5422</v>
      </c>
      <c r="G246" t="s">
        <v>4672</v>
      </c>
      <c r="H246" t="s">
        <v>4970</v>
      </c>
      <c r="I246" t="s">
        <v>4984</v>
      </c>
      <c r="J246" t="s">
        <v>4985</v>
      </c>
      <c r="K246" t="s">
        <v>4981</v>
      </c>
      <c r="L246" t="s">
        <v>2697</v>
      </c>
      <c r="M246">
        <v>5600</v>
      </c>
      <c r="N246" s="641">
        <f>+transaction_statement_01_Jan_2026_28_Feb_2026[[#This Row],[Orig amount]]/100</f>
        <v>56</v>
      </c>
      <c r="O246" t="s">
        <v>2697</v>
      </c>
      <c r="P246">
        <v>-5600</v>
      </c>
      <c r="Q246">
        <v>-5600</v>
      </c>
      <c r="S246">
        <v>0</v>
      </c>
      <c r="T246" t="s">
        <v>2697</v>
      </c>
      <c r="U246">
        <v>319665</v>
      </c>
      <c r="V246" t="s">
        <v>4965</v>
      </c>
      <c r="X246" t="s">
        <v>4672</v>
      </c>
      <c r="Y246" t="s">
        <v>4672</v>
      </c>
      <c r="Z246" t="s">
        <v>4672</v>
      </c>
      <c r="AA246">
        <v>5812</v>
      </c>
      <c r="AB246" t="s">
        <v>4672</v>
      </c>
      <c r="AC246" t="s">
        <v>4672</v>
      </c>
    </row>
    <row r="247" spans="1:29" hidden="1">
      <c r="A247" s="10">
        <v>46062</v>
      </c>
      <c r="B247" s="10">
        <v>46062</v>
      </c>
      <c r="C247" t="s">
        <v>5423</v>
      </c>
      <c r="D247" t="s">
        <v>4961</v>
      </c>
      <c r="E247" t="s">
        <v>4962</v>
      </c>
      <c r="F247" t="s">
        <v>5424</v>
      </c>
      <c r="G247" t="s">
        <v>5425</v>
      </c>
      <c r="H247" t="s">
        <v>4672</v>
      </c>
      <c r="I247" t="s">
        <v>4672</v>
      </c>
      <c r="J247" t="s">
        <v>4672</v>
      </c>
      <c r="K247" t="s">
        <v>4672</v>
      </c>
      <c r="L247" t="s">
        <v>2548</v>
      </c>
      <c r="M247">
        <v>67635</v>
      </c>
      <c r="N247" s="641">
        <f>+transaction_statement_01_Jan_2026_28_Feb_2026[[#This Row],[Orig amount]]/100</f>
        <v>676.35</v>
      </c>
      <c r="O247" t="s">
        <v>2548</v>
      </c>
      <c r="P247">
        <v>67635</v>
      </c>
      <c r="Q247">
        <v>67635</v>
      </c>
      <c r="S247">
        <v>0</v>
      </c>
      <c r="T247" t="s">
        <v>2548</v>
      </c>
      <c r="U247">
        <v>67635</v>
      </c>
      <c r="V247" t="s">
        <v>5420</v>
      </c>
      <c r="X247" t="s">
        <v>4672</v>
      </c>
      <c r="Y247" t="s">
        <v>4672</v>
      </c>
      <c r="Z247" t="s">
        <v>4672</v>
      </c>
      <c r="AB247" t="s">
        <v>4672</v>
      </c>
      <c r="AC247" t="s">
        <v>4672</v>
      </c>
    </row>
    <row r="248" spans="1:29" hidden="1">
      <c r="A248" s="10">
        <v>46061</v>
      </c>
      <c r="B248" s="10">
        <v>46062</v>
      </c>
      <c r="C248" t="s">
        <v>5426</v>
      </c>
      <c r="D248" t="s">
        <v>4977</v>
      </c>
      <c r="E248" t="s">
        <v>4962</v>
      </c>
      <c r="F248" t="s">
        <v>4503</v>
      </c>
      <c r="G248" t="s">
        <v>4672</v>
      </c>
      <c r="H248" t="s">
        <v>4970</v>
      </c>
      <c r="I248" t="s">
        <v>4984</v>
      </c>
      <c r="J248" t="s">
        <v>4985</v>
      </c>
      <c r="K248" t="s">
        <v>4981</v>
      </c>
      <c r="L248" t="s">
        <v>2697</v>
      </c>
      <c r="M248">
        <v>768</v>
      </c>
      <c r="N248" s="641">
        <f>+transaction_statement_01_Jan_2026_28_Feb_2026[[#This Row],[Orig amount]]/100</f>
        <v>7.68</v>
      </c>
      <c r="O248" t="s">
        <v>2697</v>
      </c>
      <c r="P248">
        <v>-768</v>
      </c>
      <c r="Q248">
        <v>-768</v>
      </c>
      <c r="S248">
        <v>0</v>
      </c>
      <c r="T248" t="s">
        <v>2697</v>
      </c>
      <c r="U248">
        <v>325265</v>
      </c>
      <c r="V248" t="s">
        <v>4965</v>
      </c>
      <c r="X248" t="s">
        <v>4672</v>
      </c>
      <c r="Y248" t="s">
        <v>4672</v>
      </c>
      <c r="Z248" t="s">
        <v>4672</v>
      </c>
      <c r="AA248">
        <v>5411</v>
      </c>
      <c r="AB248" t="s">
        <v>4672</v>
      </c>
      <c r="AC248" t="s">
        <v>4672</v>
      </c>
    </row>
    <row r="249" spans="1:29" hidden="1">
      <c r="A249" s="10">
        <v>46061</v>
      </c>
      <c r="B249" s="10">
        <v>46062</v>
      </c>
      <c r="C249" t="s">
        <v>5427</v>
      </c>
      <c r="D249" t="s">
        <v>4977</v>
      </c>
      <c r="E249" t="s">
        <v>4962</v>
      </c>
      <c r="F249" t="s">
        <v>4503</v>
      </c>
      <c r="G249" t="s">
        <v>4672</v>
      </c>
      <c r="H249" t="s">
        <v>4970</v>
      </c>
      <c r="I249" t="s">
        <v>4984</v>
      </c>
      <c r="J249" t="s">
        <v>4985</v>
      </c>
      <c r="K249" t="s">
        <v>4981</v>
      </c>
      <c r="L249" t="s">
        <v>2697</v>
      </c>
      <c r="M249">
        <v>1417</v>
      </c>
      <c r="N249" s="641">
        <f>+transaction_statement_01_Jan_2026_28_Feb_2026[[#This Row],[Orig amount]]/100</f>
        <v>14.17</v>
      </c>
      <c r="O249" t="s">
        <v>2697</v>
      </c>
      <c r="P249">
        <v>-1417</v>
      </c>
      <c r="Q249">
        <v>-1417</v>
      </c>
      <c r="S249">
        <v>0</v>
      </c>
      <c r="T249" t="s">
        <v>2697</v>
      </c>
      <c r="U249">
        <v>326033</v>
      </c>
      <c r="V249" t="s">
        <v>4965</v>
      </c>
      <c r="X249" t="s">
        <v>4672</v>
      </c>
      <c r="Y249" t="s">
        <v>4672</v>
      </c>
      <c r="Z249" t="s">
        <v>4672</v>
      </c>
      <c r="AA249">
        <v>5411</v>
      </c>
      <c r="AB249" t="s">
        <v>4672</v>
      </c>
      <c r="AC249" t="s">
        <v>4672</v>
      </c>
    </row>
    <row r="250" spans="1:29" hidden="1">
      <c r="A250" s="10">
        <v>46061</v>
      </c>
      <c r="B250" s="10">
        <v>46062</v>
      </c>
      <c r="C250" t="s">
        <v>5428</v>
      </c>
      <c r="D250" t="s">
        <v>4977</v>
      </c>
      <c r="E250" t="s">
        <v>4962</v>
      </c>
      <c r="F250" t="s">
        <v>5066</v>
      </c>
      <c r="G250" t="s">
        <v>4672</v>
      </c>
      <c r="H250" t="s">
        <v>4970</v>
      </c>
      <c r="I250" t="s">
        <v>4984</v>
      </c>
      <c r="J250" t="s">
        <v>4985</v>
      </c>
      <c r="K250" t="s">
        <v>4981</v>
      </c>
      <c r="L250" t="s">
        <v>2697</v>
      </c>
      <c r="M250">
        <v>1699</v>
      </c>
      <c r="N250" s="641">
        <f>+transaction_statement_01_Jan_2026_28_Feb_2026[[#This Row],[Orig amount]]/100</f>
        <v>16.989999999999998</v>
      </c>
      <c r="O250" t="s">
        <v>2697</v>
      </c>
      <c r="P250">
        <v>-1699</v>
      </c>
      <c r="Q250">
        <v>-1699</v>
      </c>
      <c r="S250">
        <v>0</v>
      </c>
      <c r="T250" t="s">
        <v>2697</v>
      </c>
      <c r="U250">
        <v>327450</v>
      </c>
      <c r="V250" t="s">
        <v>4965</v>
      </c>
      <c r="X250" t="s">
        <v>4672</v>
      </c>
      <c r="Y250" t="s">
        <v>4672</v>
      </c>
      <c r="Z250" t="s">
        <v>4672</v>
      </c>
      <c r="AA250">
        <v>5818</v>
      </c>
      <c r="AB250" t="s">
        <v>4672</v>
      </c>
      <c r="AC250" t="s">
        <v>4672</v>
      </c>
    </row>
    <row r="251" spans="1:29" hidden="1">
      <c r="A251" s="10">
        <v>46061</v>
      </c>
      <c r="B251" s="10">
        <v>46061</v>
      </c>
      <c r="C251" t="s">
        <v>5429</v>
      </c>
      <c r="D251" t="s">
        <v>4961</v>
      </c>
      <c r="E251" t="s">
        <v>4962</v>
      </c>
      <c r="F251" t="s">
        <v>5025</v>
      </c>
      <c r="G251" t="s">
        <v>5026</v>
      </c>
      <c r="H251" t="s">
        <v>4672</v>
      </c>
      <c r="I251" t="s">
        <v>4672</v>
      </c>
      <c r="J251" t="s">
        <v>4672</v>
      </c>
      <c r="K251" t="s">
        <v>4672</v>
      </c>
      <c r="L251" t="s">
        <v>2697</v>
      </c>
      <c r="M251">
        <v>94777</v>
      </c>
      <c r="N251" s="641">
        <f>+transaction_statement_01_Jan_2026_28_Feb_2026[[#This Row],[Orig amount]]/100</f>
        <v>947.77</v>
      </c>
      <c r="O251" t="s">
        <v>2697</v>
      </c>
      <c r="P251">
        <v>94777</v>
      </c>
      <c r="Q251">
        <v>94777</v>
      </c>
      <c r="S251">
        <v>0</v>
      </c>
      <c r="T251" t="s">
        <v>2697</v>
      </c>
      <c r="U251">
        <v>329149</v>
      </c>
      <c r="V251" t="s">
        <v>4965</v>
      </c>
      <c r="X251" t="s">
        <v>4672</v>
      </c>
      <c r="Y251" t="s">
        <v>4672</v>
      </c>
      <c r="Z251" t="s">
        <v>4672</v>
      </c>
      <c r="AB251" t="s">
        <v>4672</v>
      </c>
      <c r="AC251" t="s">
        <v>4672</v>
      </c>
    </row>
    <row r="252" spans="1:29" hidden="1">
      <c r="A252" s="10">
        <v>46061</v>
      </c>
      <c r="B252" s="10">
        <v>46061</v>
      </c>
      <c r="C252" t="s">
        <v>5430</v>
      </c>
      <c r="D252" t="s">
        <v>4961</v>
      </c>
      <c r="E252" t="s">
        <v>4962</v>
      </c>
      <c r="F252" t="s">
        <v>5025</v>
      </c>
      <c r="G252" t="s">
        <v>5026</v>
      </c>
      <c r="H252" t="s">
        <v>4672</v>
      </c>
      <c r="I252" t="s">
        <v>4672</v>
      </c>
      <c r="J252" t="s">
        <v>4672</v>
      </c>
      <c r="K252" t="s">
        <v>4672</v>
      </c>
      <c r="L252" t="s">
        <v>2697</v>
      </c>
      <c r="M252">
        <v>75817</v>
      </c>
      <c r="N252" s="641">
        <f>+transaction_statement_01_Jan_2026_28_Feb_2026[[#This Row],[Orig amount]]/100</f>
        <v>758.17</v>
      </c>
      <c r="O252" t="s">
        <v>2697</v>
      </c>
      <c r="P252">
        <v>75817</v>
      </c>
      <c r="Q252">
        <v>75817</v>
      </c>
      <c r="S252">
        <v>0</v>
      </c>
      <c r="T252" t="s">
        <v>2697</v>
      </c>
      <c r="U252">
        <v>234372</v>
      </c>
      <c r="V252" t="s">
        <v>4965</v>
      </c>
      <c r="X252" t="s">
        <v>4672</v>
      </c>
      <c r="Y252" t="s">
        <v>4672</v>
      </c>
      <c r="Z252" t="s">
        <v>4672</v>
      </c>
      <c r="AB252" t="s">
        <v>4672</v>
      </c>
      <c r="AC252" t="s">
        <v>4672</v>
      </c>
    </row>
    <row r="253" spans="1:29" hidden="1">
      <c r="A253" s="10">
        <v>46060</v>
      </c>
      <c r="B253" s="10">
        <v>46061</v>
      </c>
      <c r="C253" t="s">
        <v>5431</v>
      </c>
      <c r="D253" t="s">
        <v>4977</v>
      </c>
      <c r="E253" t="s">
        <v>4962</v>
      </c>
      <c r="F253" t="s">
        <v>4992</v>
      </c>
      <c r="G253" t="s">
        <v>4672</v>
      </c>
      <c r="H253" t="s">
        <v>4970</v>
      </c>
      <c r="I253" t="s">
        <v>4979</v>
      </c>
      <c r="J253" t="s">
        <v>4980</v>
      </c>
      <c r="K253" t="s">
        <v>4981</v>
      </c>
      <c r="L253" t="s">
        <v>2697</v>
      </c>
      <c r="M253">
        <v>17865</v>
      </c>
      <c r="N253" s="641">
        <f>+transaction_statement_01_Jan_2026_28_Feb_2026[[#This Row],[Orig amount]]/100</f>
        <v>178.65</v>
      </c>
      <c r="O253" t="s">
        <v>2697</v>
      </c>
      <c r="P253">
        <v>-17865</v>
      </c>
      <c r="Q253">
        <v>-17865</v>
      </c>
      <c r="S253">
        <v>0</v>
      </c>
      <c r="T253" t="s">
        <v>2697</v>
      </c>
      <c r="U253">
        <v>158555</v>
      </c>
      <c r="V253" t="s">
        <v>4965</v>
      </c>
      <c r="X253" t="s">
        <v>4672</v>
      </c>
      <c r="Y253" t="s">
        <v>4672</v>
      </c>
      <c r="Z253" t="s">
        <v>4672</v>
      </c>
      <c r="AA253">
        <v>4112</v>
      </c>
      <c r="AB253" t="s">
        <v>4672</v>
      </c>
      <c r="AC253" t="s">
        <v>4672</v>
      </c>
    </row>
    <row r="254" spans="1:29" hidden="1">
      <c r="A254" s="10">
        <v>46060</v>
      </c>
      <c r="B254" s="10">
        <v>46061</v>
      </c>
      <c r="C254" t="s">
        <v>5432</v>
      </c>
      <c r="D254" t="s">
        <v>4977</v>
      </c>
      <c r="E254" t="s">
        <v>4962</v>
      </c>
      <c r="F254" t="s">
        <v>5433</v>
      </c>
      <c r="G254" t="s">
        <v>4672</v>
      </c>
      <c r="H254" t="s">
        <v>4970</v>
      </c>
      <c r="I254" t="s">
        <v>4979</v>
      </c>
      <c r="J254" t="s">
        <v>4980</v>
      </c>
      <c r="K254" t="s">
        <v>4981</v>
      </c>
      <c r="L254" t="s">
        <v>2697</v>
      </c>
      <c r="M254">
        <v>31995</v>
      </c>
      <c r="N254" s="641">
        <f>+transaction_statement_01_Jan_2026_28_Feb_2026[[#This Row],[Orig amount]]/100</f>
        <v>319.95</v>
      </c>
      <c r="O254" t="s">
        <v>2697</v>
      </c>
      <c r="P254">
        <v>-31995</v>
      </c>
      <c r="Q254">
        <v>-31995</v>
      </c>
      <c r="S254">
        <v>0</v>
      </c>
      <c r="T254" t="s">
        <v>2697</v>
      </c>
      <c r="U254">
        <v>176420</v>
      </c>
      <c r="V254" t="s">
        <v>4965</v>
      </c>
      <c r="X254" t="s">
        <v>4672</v>
      </c>
      <c r="Y254" t="s">
        <v>4672</v>
      </c>
      <c r="Z254" t="s">
        <v>4672</v>
      </c>
      <c r="AA254">
        <v>5734</v>
      </c>
      <c r="AB254" t="s">
        <v>4672</v>
      </c>
      <c r="AC254" t="s">
        <v>4672</v>
      </c>
    </row>
    <row r="255" spans="1:29" hidden="1">
      <c r="A255" s="10">
        <v>46061</v>
      </c>
      <c r="B255" s="10">
        <v>46061</v>
      </c>
      <c r="C255" t="s">
        <v>5434</v>
      </c>
      <c r="D255" t="s">
        <v>4961</v>
      </c>
      <c r="E255" t="s">
        <v>4962</v>
      </c>
      <c r="F255" t="s">
        <v>5025</v>
      </c>
      <c r="G255" t="s">
        <v>5026</v>
      </c>
      <c r="H255" t="s">
        <v>4672</v>
      </c>
      <c r="I255" t="s">
        <v>4672</v>
      </c>
      <c r="J255" t="s">
        <v>4672</v>
      </c>
      <c r="K255" t="s">
        <v>4672</v>
      </c>
      <c r="L255" t="s">
        <v>2697</v>
      </c>
      <c r="M255">
        <v>84184</v>
      </c>
      <c r="N255" s="641">
        <f>+transaction_statement_01_Jan_2026_28_Feb_2026[[#This Row],[Orig amount]]/100</f>
        <v>841.84</v>
      </c>
      <c r="O255" t="s">
        <v>2697</v>
      </c>
      <c r="P255">
        <v>84184</v>
      </c>
      <c r="Q255">
        <v>84184</v>
      </c>
      <c r="S255">
        <v>0</v>
      </c>
      <c r="T255" t="s">
        <v>2697</v>
      </c>
      <c r="U255">
        <v>208415</v>
      </c>
      <c r="V255" t="s">
        <v>4965</v>
      </c>
      <c r="X255" t="s">
        <v>4672</v>
      </c>
      <c r="Y255" t="s">
        <v>4672</v>
      </c>
      <c r="Z255" t="s">
        <v>4672</v>
      </c>
      <c r="AB255" t="s">
        <v>4672</v>
      </c>
      <c r="AC255" t="s">
        <v>4672</v>
      </c>
    </row>
    <row r="256" spans="1:29" hidden="1">
      <c r="A256" s="10">
        <v>46060</v>
      </c>
      <c r="B256" s="10">
        <v>46061</v>
      </c>
      <c r="C256" t="s">
        <v>5435</v>
      </c>
      <c r="D256" t="s">
        <v>4977</v>
      </c>
      <c r="E256" t="s">
        <v>4962</v>
      </c>
      <c r="F256" t="s">
        <v>5370</v>
      </c>
      <c r="G256" t="s">
        <v>4672</v>
      </c>
      <c r="H256" t="s">
        <v>4970</v>
      </c>
      <c r="I256" t="s">
        <v>4984</v>
      </c>
      <c r="J256" t="s">
        <v>4985</v>
      </c>
      <c r="K256" t="s">
        <v>4981</v>
      </c>
      <c r="L256" t="s">
        <v>2697</v>
      </c>
      <c r="M256">
        <v>3099</v>
      </c>
      <c r="N256" s="641">
        <f>+transaction_statement_01_Jan_2026_28_Feb_2026[[#This Row],[Orig amount]]/100</f>
        <v>30.99</v>
      </c>
      <c r="O256" t="s">
        <v>2697</v>
      </c>
      <c r="P256">
        <v>-3099</v>
      </c>
      <c r="Q256">
        <v>-3099</v>
      </c>
      <c r="S256">
        <v>0</v>
      </c>
      <c r="T256" t="s">
        <v>2697</v>
      </c>
      <c r="U256">
        <v>124231</v>
      </c>
      <c r="V256" t="s">
        <v>4965</v>
      </c>
      <c r="X256" t="s">
        <v>4672</v>
      </c>
      <c r="Y256" t="s">
        <v>4672</v>
      </c>
      <c r="Z256" t="s">
        <v>4672</v>
      </c>
      <c r="AA256">
        <v>4121</v>
      </c>
      <c r="AB256" t="s">
        <v>4672</v>
      </c>
      <c r="AC256" t="s">
        <v>4672</v>
      </c>
    </row>
    <row r="257" spans="1:29" hidden="1">
      <c r="A257" s="10">
        <v>46060</v>
      </c>
      <c r="B257" s="10">
        <v>46061</v>
      </c>
      <c r="C257" t="s">
        <v>5436</v>
      </c>
      <c r="D257" t="s">
        <v>4977</v>
      </c>
      <c r="E257" t="s">
        <v>4962</v>
      </c>
      <c r="F257" t="s">
        <v>5370</v>
      </c>
      <c r="G257" t="s">
        <v>4672</v>
      </c>
      <c r="H257" t="s">
        <v>4970</v>
      </c>
      <c r="I257" t="s">
        <v>4984</v>
      </c>
      <c r="J257" t="s">
        <v>4985</v>
      </c>
      <c r="K257" t="s">
        <v>4981</v>
      </c>
      <c r="L257" t="s">
        <v>2697</v>
      </c>
      <c r="M257">
        <v>2699</v>
      </c>
      <c r="N257" s="641">
        <f>+transaction_statement_01_Jan_2026_28_Feb_2026[[#This Row],[Orig amount]]/100</f>
        <v>26.99</v>
      </c>
      <c r="O257" t="s">
        <v>2697</v>
      </c>
      <c r="P257">
        <v>-2699</v>
      </c>
      <c r="Q257">
        <v>-2699</v>
      </c>
      <c r="S257">
        <v>0</v>
      </c>
      <c r="T257" t="s">
        <v>2697</v>
      </c>
      <c r="U257">
        <v>127330</v>
      </c>
      <c r="V257" t="s">
        <v>4965</v>
      </c>
      <c r="X257" t="s">
        <v>4672</v>
      </c>
      <c r="Y257" t="s">
        <v>4672</v>
      </c>
      <c r="Z257" t="s">
        <v>4672</v>
      </c>
      <c r="AA257">
        <v>4121</v>
      </c>
      <c r="AB257" t="s">
        <v>4672</v>
      </c>
      <c r="AC257" t="s">
        <v>4672</v>
      </c>
    </row>
    <row r="258" spans="1:29" hidden="1">
      <c r="A258" s="10">
        <v>46059</v>
      </c>
      <c r="B258" s="10">
        <v>46060</v>
      </c>
      <c r="C258" t="s">
        <v>5437</v>
      </c>
      <c r="D258" t="s">
        <v>4977</v>
      </c>
      <c r="E258" t="s">
        <v>4962</v>
      </c>
      <c r="F258" t="s">
        <v>3864</v>
      </c>
      <c r="G258" t="s">
        <v>4672</v>
      </c>
      <c r="H258" t="s">
        <v>4970</v>
      </c>
      <c r="I258" t="s">
        <v>4979</v>
      </c>
      <c r="J258" t="s">
        <v>4980</v>
      </c>
      <c r="K258" t="s">
        <v>4981</v>
      </c>
      <c r="L258" t="s">
        <v>2548</v>
      </c>
      <c r="M258">
        <v>34900</v>
      </c>
      <c r="N258" s="641">
        <f>+transaction_statement_01_Jan_2026_28_Feb_2026[[#This Row],[Orig amount]]/100</f>
        <v>349</v>
      </c>
      <c r="O258" t="s">
        <v>2697</v>
      </c>
      <c r="P258">
        <v>-29547</v>
      </c>
      <c r="Q258">
        <v>-29547</v>
      </c>
      <c r="R258">
        <v>1181196</v>
      </c>
      <c r="S258">
        <v>0</v>
      </c>
      <c r="T258" t="s">
        <v>2697</v>
      </c>
      <c r="U258">
        <v>130029</v>
      </c>
      <c r="V258" t="s">
        <v>4965</v>
      </c>
      <c r="X258" t="s">
        <v>4672</v>
      </c>
      <c r="Y258" t="s">
        <v>4672</v>
      </c>
      <c r="Z258" t="s">
        <v>4672</v>
      </c>
      <c r="AA258">
        <v>5734</v>
      </c>
      <c r="AB258" t="s">
        <v>4672</v>
      </c>
      <c r="AC258" t="s">
        <v>4672</v>
      </c>
    </row>
    <row r="259" spans="1:29" hidden="1">
      <c r="A259" s="10">
        <v>46060</v>
      </c>
      <c r="B259" s="10">
        <v>46060</v>
      </c>
      <c r="C259" t="s">
        <v>5438</v>
      </c>
      <c r="D259" t="s">
        <v>4977</v>
      </c>
      <c r="E259" t="s">
        <v>4962</v>
      </c>
      <c r="F259" t="s">
        <v>5439</v>
      </c>
      <c r="G259" t="s">
        <v>4672</v>
      </c>
      <c r="H259" t="s">
        <v>4970</v>
      </c>
      <c r="I259" t="s">
        <v>4979</v>
      </c>
      <c r="J259" t="s">
        <v>4980</v>
      </c>
      <c r="K259" t="s">
        <v>4981</v>
      </c>
      <c r="L259" t="s">
        <v>2697</v>
      </c>
      <c r="M259">
        <v>14560</v>
      </c>
      <c r="N259" s="641">
        <f>+transaction_statement_01_Jan_2026_28_Feb_2026[[#This Row],[Orig amount]]/100</f>
        <v>145.6</v>
      </c>
      <c r="O259" t="s">
        <v>2697</v>
      </c>
      <c r="P259">
        <v>-14560</v>
      </c>
      <c r="Q259">
        <v>-14560</v>
      </c>
      <c r="S259">
        <v>0</v>
      </c>
      <c r="T259" t="s">
        <v>2697</v>
      </c>
      <c r="U259">
        <v>159576</v>
      </c>
      <c r="V259" t="s">
        <v>4965</v>
      </c>
      <c r="X259" t="s">
        <v>4672</v>
      </c>
      <c r="Y259" t="s">
        <v>4672</v>
      </c>
      <c r="Z259" t="s">
        <v>4672</v>
      </c>
      <c r="AA259">
        <v>5045</v>
      </c>
      <c r="AB259" t="s">
        <v>4672</v>
      </c>
      <c r="AC259" t="s">
        <v>4672</v>
      </c>
    </row>
    <row r="260" spans="1:29" hidden="1">
      <c r="A260" s="10">
        <v>46059</v>
      </c>
      <c r="B260" s="10">
        <v>46060</v>
      </c>
      <c r="C260" t="s">
        <v>5440</v>
      </c>
      <c r="D260" t="s">
        <v>4977</v>
      </c>
      <c r="E260" t="s">
        <v>4962</v>
      </c>
      <c r="F260" t="s">
        <v>4998</v>
      </c>
      <c r="G260" t="s">
        <v>4672</v>
      </c>
      <c r="H260" t="s">
        <v>4970</v>
      </c>
      <c r="I260" t="s">
        <v>4979</v>
      </c>
      <c r="J260" t="s">
        <v>4980</v>
      </c>
      <c r="K260" t="s">
        <v>4981</v>
      </c>
      <c r="L260" t="s">
        <v>2697</v>
      </c>
      <c r="M260">
        <v>25663</v>
      </c>
      <c r="N260" s="641">
        <f>+transaction_statement_01_Jan_2026_28_Feb_2026[[#This Row],[Orig amount]]/100</f>
        <v>256.63</v>
      </c>
      <c r="O260" t="s">
        <v>2697</v>
      </c>
      <c r="P260">
        <v>-25663</v>
      </c>
      <c r="Q260">
        <v>-25663</v>
      </c>
      <c r="S260">
        <v>0</v>
      </c>
      <c r="T260" t="s">
        <v>2697</v>
      </c>
      <c r="U260">
        <v>174136</v>
      </c>
      <c r="V260" t="s">
        <v>4965</v>
      </c>
      <c r="X260" t="s">
        <v>4672</v>
      </c>
      <c r="Y260" t="s">
        <v>4672</v>
      </c>
      <c r="Z260" t="s">
        <v>4672</v>
      </c>
      <c r="AA260">
        <v>4722</v>
      </c>
      <c r="AB260" t="s">
        <v>4672</v>
      </c>
      <c r="AC260" t="s">
        <v>4672</v>
      </c>
    </row>
    <row r="261" spans="1:29" hidden="1">
      <c r="A261" s="10">
        <v>46060</v>
      </c>
      <c r="B261" s="10">
        <v>46060</v>
      </c>
      <c r="C261" t="s">
        <v>5441</v>
      </c>
      <c r="D261" t="s">
        <v>4961</v>
      </c>
      <c r="E261" t="s">
        <v>4962</v>
      </c>
      <c r="F261" t="s">
        <v>5442</v>
      </c>
      <c r="G261" t="s">
        <v>5443</v>
      </c>
      <c r="H261" t="s">
        <v>4672</v>
      </c>
      <c r="I261" t="s">
        <v>4672</v>
      </c>
      <c r="J261" t="s">
        <v>4672</v>
      </c>
      <c r="K261" t="s">
        <v>4672</v>
      </c>
      <c r="L261" t="s">
        <v>2697</v>
      </c>
      <c r="M261">
        <v>73000</v>
      </c>
      <c r="N261" s="641">
        <f>+transaction_statement_01_Jan_2026_28_Feb_2026[[#This Row],[Orig amount]]/100</f>
        <v>730</v>
      </c>
      <c r="O261" t="s">
        <v>2697</v>
      </c>
      <c r="P261">
        <v>73000</v>
      </c>
      <c r="Q261">
        <v>73000</v>
      </c>
      <c r="S261">
        <v>0</v>
      </c>
      <c r="T261" t="s">
        <v>2697</v>
      </c>
      <c r="U261">
        <v>199799</v>
      </c>
      <c r="V261" t="s">
        <v>4965</v>
      </c>
      <c r="X261" t="s">
        <v>4672</v>
      </c>
      <c r="Y261" t="s">
        <v>4672</v>
      </c>
      <c r="Z261" t="s">
        <v>4672</v>
      </c>
      <c r="AB261" t="s">
        <v>4672</v>
      </c>
      <c r="AC261" t="s">
        <v>4672</v>
      </c>
    </row>
    <row r="262" spans="1:29" hidden="1">
      <c r="A262" s="10">
        <v>46059</v>
      </c>
      <c r="B262" s="10">
        <v>46060</v>
      </c>
      <c r="C262" t="s">
        <v>5444</v>
      </c>
      <c r="D262" t="s">
        <v>4977</v>
      </c>
      <c r="E262" t="s">
        <v>4962</v>
      </c>
      <c r="F262" t="s">
        <v>5445</v>
      </c>
      <c r="G262" t="s">
        <v>4672</v>
      </c>
      <c r="H262" t="s">
        <v>4970</v>
      </c>
      <c r="I262" t="s">
        <v>4979</v>
      </c>
      <c r="J262" t="s">
        <v>4980</v>
      </c>
      <c r="K262" t="s">
        <v>4981</v>
      </c>
      <c r="L262" t="s">
        <v>2697</v>
      </c>
      <c r="M262">
        <v>50000</v>
      </c>
      <c r="N262" s="641">
        <f>+transaction_statement_01_Jan_2026_28_Feb_2026[[#This Row],[Orig amount]]/100</f>
        <v>500</v>
      </c>
      <c r="O262" t="s">
        <v>2697</v>
      </c>
      <c r="P262">
        <v>-50000</v>
      </c>
      <c r="Q262">
        <v>-50000</v>
      </c>
      <c r="S262">
        <v>0</v>
      </c>
      <c r="T262" t="s">
        <v>2697</v>
      </c>
      <c r="U262">
        <v>126799</v>
      </c>
      <c r="V262" t="s">
        <v>4965</v>
      </c>
      <c r="X262" t="s">
        <v>4672</v>
      </c>
      <c r="Y262" t="s">
        <v>4672</v>
      </c>
      <c r="Z262" t="s">
        <v>4672</v>
      </c>
      <c r="AA262">
        <v>7311</v>
      </c>
      <c r="AB262" t="s">
        <v>4672</v>
      </c>
      <c r="AC262" t="s">
        <v>4672</v>
      </c>
    </row>
    <row r="263" spans="1:29" hidden="1">
      <c r="A263" s="10">
        <v>46059</v>
      </c>
      <c r="B263" s="10">
        <v>46060</v>
      </c>
      <c r="C263" t="s">
        <v>5446</v>
      </c>
      <c r="D263" t="s">
        <v>4977</v>
      </c>
      <c r="E263" t="s">
        <v>4962</v>
      </c>
      <c r="F263" t="s">
        <v>5447</v>
      </c>
      <c r="G263" t="s">
        <v>4672</v>
      </c>
      <c r="H263" t="s">
        <v>4970</v>
      </c>
      <c r="I263" t="s">
        <v>4979</v>
      </c>
      <c r="J263" t="s">
        <v>4980</v>
      </c>
      <c r="K263" t="s">
        <v>4981</v>
      </c>
      <c r="L263" t="s">
        <v>2697</v>
      </c>
      <c r="M263">
        <v>8900</v>
      </c>
      <c r="N263" s="641">
        <f>+transaction_statement_01_Jan_2026_28_Feb_2026[[#This Row],[Orig amount]]/100</f>
        <v>89</v>
      </c>
      <c r="O263" t="s">
        <v>2697</v>
      </c>
      <c r="P263">
        <v>-8900</v>
      </c>
      <c r="Q263">
        <v>-8900</v>
      </c>
      <c r="S263">
        <v>0</v>
      </c>
      <c r="T263" t="s">
        <v>2697</v>
      </c>
      <c r="U263">
        <v>176799</v>
      </c>
      <c r="V263" t="s">
        <v>4965</v>
      </c>
      <c r="X263" t="s">
        <v>4672</v>
      </c>
      <c r="Y263" t="s">
        <v>4672</v>
      </c>
      <c r="Z263" t="s">
        <v>4672</v>
      </c>
      <c r="AA263">
        <v>5734</v>
      </c>
      <c r="AB263" t="s">
        <v>4672</v>
      </c>
      <c r="AC263" t="s">
        <v>4672</v>
      </c>
    </row>
    <row r="264" spans="1:29" hidden="1">
      <c r="A264" s="10">
        <v>46060</v>
      </c>
      <c r="B264" s="10">
        <v>46060</v>
      </c>
      <c r="C264" t="s">
        <v>5448</v>
      </c>
      <c r="D264" t="s">
        <v>4967</v>
      </c>
      <c r="E264" t="s">
        <v>4962</v>
      </c>
      <c r="F264" t="s">
        <v>5058</v>
      </c>
      <c r="G264" t="s">
        <v>5059</v>
      </c>
      <c r="H264" t="s">
        <v>4970</v>
      </c>
      <c r="I264" t="s">
        <v>4672</v>
      </c>
      <c r="J264" t="s">
        <v>4672</v>
      </c>
      <c r="K264" t="s">
        <v>4672</v>
      </c>
      <c r="L264" t="s">
        <v>2697</v>
      </c>
      <c r="M264">
        <v>53000</v>
      </c>
      <c r="N264" s="641">
        <f>+transaction_statement_01_Jan_2026_28_Feb_2026[[#This Row],[Orig amount]]/100</f>
        <v>530</v>
      </c>
      <c r="O264" t="s">
        <v>2697</v>
      </c>
      <c r="P264">
        <v>-53000</v>
      </c>
      <c r="Q264">
        <v>-53000</v>
      </c>
      <c r="S264">
        <v>0</v>
      </c>
      <c r="T264" t="s">
        <v>2697</v>
      </c>
      <c r="U264">
        <v>185699</v>
      </c>
      <c r="V264" t="s">
        <v>4965</v>
      </c>
      <c r="X264" t="s">
        <v>4672</v>
      </c>
      <c r="Y264" t="s">
        <v>5060</v>
      </c>
      <c r="Z264" t="s">
        <v>5031</v>
      </c>
      <c r="AB264" t="s">
        <v>4672</v>
      </c>
      <c r="AC264" t="s">
        <v>4672</v>
      </c>
    </row>
    <row r="265" spans="1:29" hidden="1">
      <c r="A265" s="10">
        <v>46059</v>
      </c>
      <c r="B265" s="10">
        <v>46060</v>
      </c>
      <c r="C265" t="s">
        <v>5449</v>
      </c>
      <c r="D265" t="s">
        <v>4977</v>
      </c>
      <c r="E265" t="s">
        <v>4962</v>
      </c>
      <c r="F265" t="s">
        <v>5450</v>
      </c>
      <c r="G265" t="s">
        <v>4672</v>
      </c>
      <c r="H265" t="s">
        <v>4970</v>
      </c>
      <c r="I265" t="s">
        <v>4979</v>
      </c>
      <c r="J265" t="s">
        <v>4980</v>
      </c>
      <c r="K265" t="s">
        <v>4981</v>
      </c>
      <c r="L265" t="s">
        <v>2697</v>
      </c>
      <c r="M265">
        <v>8264</v>
      </c>
      <c r="N265" s="641">
        <f>+transaction_statement_01_Jan_2026_28_Feb_2026[[#This Row],[Orig amount]]/100</f>
        <v>82.64</v>
      </c>
      <c r="O265" t="s">
        <v>2697</v>
      </c>
      <c r="P265">
        <v>-8264</v>
      </c>
      <c r="Q265">
        <v>-8264</v>
      </c>
      <c r="S265">
        <v>0</v>
      </c>
      <c r="T265" t="s">
        <v>2697</v>
      </c>
      <c r="U265">
        <v>238699</v>
      </c>
      <c r="V265" t="s">
        <v>4965</v>
      </c>
      <c r="X265" t="s">
        <v>4672</v>
      </c>
      <c r="Y265" t="s">
        <v>4672</v>
      </c>
      <c r="Z265" t="s">
        <v>4672</v>
      </c>
      <c r="AA265">
        <v>5968</v>
      </c>
      <c r="AB265" t="s">
        <v>4672</v>
      </c>
      <c r="AC265" t="s">
        <v>4672</v>
      </c>
    </row>
    <row r="266" spans="1:29" hidden="1">
      <c r="A266" s="10">
        <v>46060</v>
      </c>
      <c r="B266" s="10">
        <v>46060</v>
      </c>
      <c r="C266" t="s">
        <v>5451</v>
      </c>
      <c r="D266" t="s">
        <v>4967</v>
      </c>
      <c r="E266" t="s">
        <v>4962</v>
      </c>
      <c r="F266" t="s">
        <v>4968</v>
      </c>
      <c r="G266" t="s">
        <v>4969</v>
      </c>
      <c r="H266" t="s">
        <v>4970</v>
      </c>
      <c r="I266" t="s">
        <v>4672</v>
      </c>
      <c r="J266" t="s">
        <v>4672</v>
      </c>
      <c r="K266" t="s">
        <v>4672</v>
      </c>
      <c r="L266" t="s">
        <v>2697</v>
      </c>
      <c r="M266">
        <v>200000</v>
      </c>
      <c r="N266" s="641">
        <f>+transaction_statement_01_Jan_2026_28_Feb_2026[[#This Row],[Orig amount]]/100</f>
        <v>2000</v>
      </c>
      <c r="O266" t="s">
        <v>2697</v>
      </c>
      <c r="P266">
        <v>-200000</v>
      </c>
      <c r="Q266">
        <v>-200000</v>
      </c>
      <c r="S266">
        <v>0</v>
      </c>
      <c r="T266" t="s">
        <v>2697</v>
      </c>
      <c r="U266">
        <v>246963</v>
      </c>
      <c r="V266" t="s">
        <v>4965</v>
      </c>
      <c r="X266" t="s">
        <v>4672</v>
      </c>
      <c r="Y266" t="s">
        <v>4971</v>
      </c>
      <c r="Z266" t="s">
        <v>4972</v>
      </c>
      <c r="AB266" t="s">
        <v>4672</v>
      </c>
      <c r="AC266" t="s">
        <v>4672</v>
      </c>
    </row>
    <row r="267" spans="1:29" hidden="1">
      <c r="A267" s="10">
        <v>46060</v>
      </c>
      <c r="B267" s="10">
        <v>46060</v>
      </c>
      <c r="C267" t="s">
        <v>5452</v>
      </c>
      <c r="D267" t="s">
        <v>4967</v>
      </c>
      <c r="E267" t="s">
        <v>4962</v>
      </c>
      <c r="F267" t="s">
        <v>5334</v>
      </c>
      <c r="G267" t="s">
        <v>5335</v>
      </c>
      <c r="H267" t="s">
        <v>4970</v>
      </c>
      <c r="I267" t="s">
        <v>4672</v>
      </c>
      <c r="J267" t="s">
        <v>4672</v>
      </c>
      <c r="K267" t="s">
        <v>4672</v>
      </c>
      <c r="L267" t="s">
        <v>2697</v>
      </c>
      <c r="M267">
        <v>400000</v>
      </c>
      <c r="N267" s="641">
        <f>+transaction_statement_01_Jan_2026_28_Feb_2026[[#This Row],[Orig amount]]/100</f>
        <v>4000</v>
      </c>
      <c r="O267" t="s">
        <v>2697</v>
      </c>
      <c r="P267">
        <v>-400000</v>
      </c>
      <c r="Q267">
        <v>-400000</v>
      </c>
      <c r="S267">
        <v>0</v>
      </c>
      <c r="T267" t="s">
        <v>2697</v>
      </c>
      <c r="U267">
        <v>446963</v>
      </c>
      <c r="V267" t="s">
        <v>4965</v>
      </c>
      <c r="X267" t="s">
        <v>4672</v>
      </c>
      <c r="Y267" t="s">
        <v>5336</v>
      </c>
      <c r="Z267" t="s">
        <v>5337</v>
      </c>
      <c r="AB267" t="s">
        <v>4672</v>
      </c>
      <c r="AC267" t="s">
        <v>4672</v>
      </c>
    </row>
    <row r="268" spans="1:29" hidden="1">
      <c r="A268" s="10">
        <v>46060</v>
      </c>
      <c r="B268" s="10">
        <v>46060</v>
      </c>
      <c r="C268" t="s">
        <v>5453</v>
      </c>
      <c r="D268" t="s">
        <v>4967</v>
      </c>
      <c r="E268" t="s">
        <v>4962</v>
      </c>
      <c r="F268" t="s">
        <v>5454</v>
      </c>
      <c r="G268" t="s">
        <v>5455</v>
      </c>
      <c r="H268" t="s">
        <v>4970</v>
      </c>
      <c r="I268" t="s">
        <v>4672</v>
      </c>
      <c r="J268" t="s">
        <v>4672</v>
      </c>
      <c r="K268" t="s">
        <v>4672</v>
      </c>
      <c r="L268" t="s">
        <v>2697</v>
      </c>
      <c r="M268">
        <v>55573</v>
      </c>
      <c r="N268" s="641">
        <f>+transaction_statement_01_Jan_2026_28_Feb_2026[[#This Row],[Orig amount]]/100</f>
        <v>555.73</v>
      </c>
      <c r="O268" t="s">
        <v>2697</v>
      </c>
      <c r="P268">
        <v>-55573</v>
      </c>
      <c r="Q268">
        <v>-55573</v>
      </c>
      <c r="S268">
        <v>0</v>
      </c>
      <c r="T268" t="s">
        <v>2697</v>
      </c>
      <c r="U268">
        <v>846963</v>
      </c>
      <c r="V268" t="s">
        <v>4965</v>
      </c>
      <c r="X268" t="s">
        <v>4672</v>
      </c>
      <c r="Y268" t="s">
        <v>5456</v>
      </c>
      <c r="Z268" t="s">
        <v>5457</v>
      </c>
      <c r="AB268" t="s">
        <v>4672</v>
      </c>
      <c r="AC268" t="s">
        <v>4672</v>
      </c>
    </row>
    <row r="269" spans="1:29" hidden="1">
      <c r="A269" s="10">
        <v>46060</v>
      </c>
      <c r="B269" s="10">
        <v>46060</v>
      </c>
      <c r="C269" t="s">
        <v>5458</v>
      </c>
      <c r="D269" t="s">
        <v>4961</v>
      </c>
      <c r="E269" t="s">
        <v>4962</v>
      </c>
      <c r="F269" t="s">
        <v>5025</v>
      </c>
      <c r="G269" t="s">
        <v>5026</v>
      </c>
      <c r="H269" t="s">
        <v>4672</v>
      </c>
      <c r="I269" t="s">
        <v>4672</v>
      </c>
      <c r="J269" t="s">
        <v>4672</v>
      </c>
      <c r="K269" t="s">
        <v>4672</v>
      </c>
      <c r="L269" t="s">
        <v>2697</v>
      </c>
      <c r="M269">
        <v>750000</v>
      </c>
      <c r="N269" s="641">
        <f>+transaction_statement_01_Jan_2026_28_Feb_2026[[#This Row],[Orig amount]]/100</f>
        <v>7500</v>
      </c>
      <c r="O269" t="s">
        <v>2697</v>
      </c>
      <c r="P269">
        <v>750000</v>
      </c>
      <c r="Q269">
        <v>750000</v>
      </c>
      <c r="S269">
        <v>0</v>
      </c>
      <c r="T269" t="s">
        <v>2697</v>
      </c>
      <c r="U269">
        <v>902536</v>
      </c>
      <c r="V269" t="s">
        <v>4965</v>
      </c>
      <c r="X269" t="s">
        <v>4672</v>
      </c>
      <c r="Y269" t="s">
        <v>4672</v>
      </c>
      <c r="Z269" t="s">
        <v>4672</v>
      </c>
      <c r="AB269" t="s">
        <v>4672</v>
      </c>
      <c r="AC269" t="s">
        <v>4672</v>
      </c>
    </row>
    <row r="270" spans="1:29">
      <c r="A270" s="10">
        <v>46058</v>
      </c>
      <c r="B270" s="10">
        <v>46059</v>
      </c>
      <c r="C270" t="s">
        <v>5459</v>
      </c>
      <c r="D270" t="s">
        <v>4977</v>
      </c>
      <c r="E270" t="s">
        <v>4962</v>
      </c>
      <c r="F270" t="s">
        <v>5460</v>
      </c>
      <c r="G270" t="s">
        <v>4672</v>
      </c>
      <c r="H270" t="s">
        <v>5315</v>
      </c>
      <c r="I270" t="s">
        <v>5316</v>
      </c>
      <c r="J270" t="s">
        <v>4980</v>
      </c>
      <c r="K270" t="s">
        <v>4981</v>
      </c>
      <c r="L270" t="s">
        <v>2548</v>
      </c>
      <c r="M270">
        <v>2500</v>
      </c>
      <c r="N270" s="642">
        <f>+transaction_statement_01_Jan_2026_28_Feb_2026[[#This Row],[Orig amount]]/100</f>
        <v>25</v>
      </c>
      <c r="O270" t="s">
        <v>2697</v>
      </c>
      <c r="P270">
        <v>-2122</v>
      </c>
      <c r="Q270">
        <v>-2122</v>
      </c>
      <c r="R270">
        <v>1178150</v>
      </c>
      <c r="S270">
        <v>0</v>
      </c>
      <c r="T270" t="s">
        <v>2697</v>
      </c>
      <c r="U270">
        <v>152536</v>
      </c>
      <c r="V270" t="s">
        <v>4965</v>
      </c>
      <c r="X270" t="s">
        <v>4672</v>
      </c>
      <c r="Y270" t="s">
        <v>4672</v>
      </c>
      <c r="Z270" t="s">
        <v>4672</v>
      </c>
      <c r="AA270">
        <v>5734</v>
      </c>
      <c r="AB270" t="s">
        <v>4672</v>
      </c>
      <c r="AC270" t="s">
        <v>4672</v>
      </c>
    </row>
    <row r="271" spans="1:29" hidden="1">
      <c r="A271" s="10">
        <v>46058</v>
      </c>
      <c r="B271" s="10">
        <v>46059</v>
      </c>
      <c r="C271" t="s">
        <v>5461</v>
      </c>
      <c r="D271" t="s">
        <v>4977</v>
      </c>
      <c r="E271" t="s">
        <v>4962</v>
      </c>
      <c r="F271" t="s">
        <v>5462</v>
      </c>
      <c r="G271" t="s">
        <v>4672</v>
      </c>
      <c r="H271" t="s">
        <v>4970</v>
      </c>
      <c r="I271" t="s">
        <v>4979</v>
      </c>
      <c r="J271" t="s">
        <v>4980</v>
      </c>
      <c r="K271" t="s">
        <v>4981</v>
      </c>
      <c r="L271" t="s">
        <v>2548</v>
      </c>
      <c r="M271">
        <v>9900</v>
      </c>
      <c r="N271" s="641">
        <f>+transaction_statement_01_Jan_2026_28_Feb_2026[[#This Row],[Orig amount]]/100</f>
        <v>99</v>
      </c>
      <c r="O271" t="s">
        <v>2697</v>
      </c>
      <c r="P271">
        <v>-8398</v>
      </c>
      <c r="Q271">
        <v>-8398</v>
      </c>
      <c r="R271">
        <v>1178991</v>
      </c>
      <c r="S271">
        <v>0</v>
      </c>
      <c r="T271" t="s">
        <v>2697</v>
      </c>
      <c r="U271">
        <v>154658</v>
      </c>
      <c r="V271" t="s">
        <v>4965</v>
      </c>
      <c r="X271" t="s">
        <v>4672</v>
      </c>
      <c r="Y271" t="s">
        <v>4672</v>
      </c>
      <c r="Z271" t="s">
        <v>4672</v>
      </c>
      <c r="AA271">
        <v>5734</v>
      </c>
      <c r="AB271" t="s">
        <v>4672</v>
      </c>
      <c r="AC271" t="s">
        <v>4672</v>
      </c>
    </row>
    <row r="272" spans="1:29" hidden="1">
      <c r="A272" s="10">
        <v>46059</v>
      </c>
      <c r="B272" s="10">
        <v>46059</v>
      </c>
      <c r="C272" t="s">
        <v>5463</v>
      </c>
      <c r="D272" t="s">
        <v>4967</v>
      </c>
      <c r="E272" t="s">
        <v>4962</v>
      </c>
      <c r="F272" t="s">
        <v>5046</v>
      </c>
      <c r="G272" t="s">
        <v>4672</v>
      </c>
      <c r="H272" t="s">
        <v>4970</v>
      </c>
      <c r="I272" t="s">
        <v>4672</v>
      </c>
      <c r="J272" t="s">
        <v>4672</v>
      </c>
      <c r="K272" t="s">
        <v>4672</v>
      </c>
      <c r="L272" t="s">
        <v>2697</v>
      </c>
      <c r="M272">
        <v>26600</v>
      </c>
      <c r="N272" s="641">
        <f>+transaction_statement_01_Jan_2026_28_Feb_2026[[#This Row],[Orig amount]]/100</f>
        <v>266</v>
      </c>
      <c r="O272" t="s">
        <v>2697</v>
      </c>
      <c r="P272">
        <v>-26600</v>
      </c>
      <c r="Q272">
        <v>-26600</v>
      </c>
      <c r="S272">
        <v>0</v>
      </c>
      <c r="T272" t="s">
        <v>2697</v>
      </c>
      <c r="U272">
        <v>0</v>
      </c>
      <c r="V272" t="s">
        <v>5047</v>
      </c>
      <c r="X272" t="s">
        <v>4672</v>
      </c>
      <c r="Y272" t="s">
        <v>4672</v>
      </c>
      <c r="Z272" t="s">
        <v>4672</v>
      </c>
      <c r="AB272" t="s">
        <v>4672</v>
      </c>
      <c r="AC272" t="s">
        <v>4672</v>
      </c>
    </row>
    <row r="273" spans="1:29" hidden="1">
      <c r="A273" s="10">
        <v>46059</v>
      </c>
      <c r="B273" s="10">
        <v>46059</v>
      </c>
      <c r="C273" t="s">
        <v>5463</v>
      </c>
      <c r="D273" t="s">
        <v>4967</v>
      </c>
      <c r="E273" t="s">
        <v>4962</v>
      </c>
      <c r="F273" t="s">
        <v>5048</v>
      </c>
      <c r="G273" t="s">
        <v>4672</v>
      </c>
      <c r="H273" t="s">
        <v>4970</v>
      </c>
      <c r="I273" t="s">
        <v>4672</v>
      </c>
      <c r="J273" t="s">
        <v>4672</v>
      </c>
      <c r="K273" t="s">
        <v>4672</v>
      </c>
      <c r="L273" t="s">
        <v>2697</v>
      </c>
      <c r="M273">
        <v>-26600</v>
      </c>
      <c r="N273" s="641">
        <f>+transaction_statement_01_Jan_2026_28_Feb_2026[[#This Row],[Orig amount]]/100</f>
        <v>-266</v>
      </c>
      <c r="O273" t="s">
        <v>2697</v>
      </c>
      <c r="P273">
        <v>26600</v>
      </c>
      <c r="Q273">
        <v>26600</v>
      </c>
      <c r="S273">
        <v>0</v>
      </c>
      <c r="T273" t="s">
        <v>2697</v>
      </c>
      <c r="U273">
        <v>163056</v>
      </c>
      <c r="V273" t="s">
        <v>4965</v>
      </c>
      <c r="X273" t="s">
        <v>4672</v>
      </c>
      <c r="Y273" t="s">
        <v>4672</v>
      </c>
      <c r="Z273" t="s">
        <v>4672</v>
      </c>
      <c r="AB273" t="s">
        <v>4672</v>
      </c>
      <c r="AC273" t="s">
        <v>4672</v>
      </c>
    </row>
    <row r="274" spans="1:29" hidden="1">
      <c r="A274" s="10">
        <v>46059</v>
      </c>
      <c r="B274" s="10">
        <v>46059</v>
      </c>
      <c r="C274" t="s">
        <v>5464</v>
      </c>
      <c r="D274" t="s">
        <v>4961</v>
      </c>
      <c r="E274" t="s">
        <v>4962</v>
      </c>
      <c r="F274" t="s">
        <v>5050</v>
      </c>
      <c r="G274" t="s">
        <v>5051</v>
      </c>
      <c r="H274" t="s">
        <v>4672</v>
      </c>
      <c r="I274" t="s">
        <v>4672</v>
      </c>
      <c r="J274" t="s">
        <v>4672</v>
      </c>
      <c r="K274" t="s">
        <v>4672</v>
      </c>
      <c r="L274" t="s">
        <v>2697</v>
      </c>
      <c r="M274">
        <v>26600</v>
      </c>
      <c r="N274" s="641">
        <f>+transaction_statement_01_Jan_2026_28_Feb_2026[[#This Row],[Orig amount]]/100</f>
        <v>266</v>
      </c>
      <c r="O274" t="s">
        <v>2697</v>
      </c>
      <c r="P274">
        <v>26600</v>
      </c>
      <c r="Q274">
        <v>26600</v>
      </c>
      <c r="S274">
        <v>0</v>
      </c>
      <c r="T274" t="s">
        <v>2697</v>
      </c>
      <c r="U274">
        <v>26600</v>
      </c>
      <c r="V274" t="s">
        <v>5047</v>
      </c>
      <c r="X274" t="s">
        <v>4672</v>
      </c>
      <c r="Y274" t="s">
        <v>4672</v>
      </c>
      <c r="Z274" t="s">
        <v>4672</v>
      </c>
      <c r="AB274" t="s">
        <v>4672</v>
      </c>
      <c r="AC274" t="s">
        <v>4672</v>
      </c>
    </row>
    <row r="275" spans="1:29" hidden="1">
      <c r="A275" s="10">
        <v>46058</v>
      </c>
      <c r="B275" s="10">
        <v>46059</v>
      </c>
      <c r="C275" t="s">
        <v>5465</v>
      </c>
      <c r="D275" t="s">
        <v>4977</v>
      </c>
      <c r="E275" t="s">
        <v>4962</v>
      </c>
      <c r="F275" t="s">
        <v>5000</v>
      </c>
      <c r="G275" t="s">
        <v>4672</v>
      </c>
      <c r="H275" t="s">
        <v>4970</v>
      </c>
      <c r="I275" t="s">
        <v>4979</v>
      </c>
      <c r="J275" t="s">
        <v>4980</v>
      </c>
      <c r="K275" t="s">
        <v>4981</v>
      </c>
      <c r="L275" t="s">
        <v>2697</v>
      </c>
      <c r="M275">
        <v>4139</v>
      </c>
      <c r="N275" s="641">
        <f>+transaction_statement_01_Jan_2026_28_Feb_2026[[#This Row],[Orig amount]]/100</f>
        <v>41.39</v>
      </c>
      <c r="O275" t="s">
        <v>2697</v>
      </c>
      <c r="P275">
        <v>-4139</v>
      </c>
      <c r="Q275">
        <v>-4139</v>
      </c>
      <c r="S275">
        <v>0</v>
      </c>
      <c r="T275" t="s">
        <v>2697</v>
      </c>
      <c r="U275">
        <v>136456</v>
      </c>
      <c r="V275" t="s">
        <v>4965</v>
      </c>
      <c r="X275" t="s">
        <v>4672</v>
      </c>
      <c r="Y275" t="s">
        <v>4672</v>
      </c>
      <c r="Z275" t="s">
        <v>4672</v>
      </c>
      <c r="AA275">
        <v>7372</v>
      </c>
      <c r="AB275" t="s">
        <v>4672</v>
      </c>
      <c r="AC275" t="s">
        <v>4672</v>
      </c>
    </row>
    <row r="276" spans="1:29" hidden="1">
      <c r="A276" s="10">
        <v>46058</v>
      </c>
      <c r="B276" s="10">
        <v>46059</v>
      </c>
      <c r="C276" t="s">
        <v>5466</v>
      </c>
      <c r="D276" t="s">
        <v>4977</v>
      </c>
      <c r="E276" t="s">
        <v>4962</v>
      </c>
      <c r="F276" t="s">
        <v>5467</v>
      </c>
      <c r="G276" t="s">
        <v>4672</v>
      </c>
      <c r="H276" t="s">
        <v>4970</v>
      </c>
      <c r="I276" t="s">
        <v>4979</v>
      </c>
      <c r="J276" t="s">
        <v>4980</v>
      </c>
      <c r="K276" t="s">
        <v>4981</v>
      </c>
      <c r="L276" t="s">
        <v>2697</v>
      </c>
      <c r="M276">
        <v>60</v>
      </c>
      <c r="N276" s="641">
        <f>+transaction_statement_01_Jan_2026_28_Feb_2026[[#This Row],[Orig amount]]/100</f>
        <v>0.6</v>
      </c>
      <c r="O276" t="s">
        <v>2697</v>
      </c>
      <c r="P276">
        <v>-60</v>
      </c>
      <c r="Q276">
        <v>-60</v>
      </c>
      <c r="S276">
        <v>0</v>
      </c>
      <c r="T276" t="s">
        <v>2697</v>
      </c>
      <c r="U276">
        <v>140595</v>
      </c>
      <c r="V276" t="s">
        <v>4965</v>
      </c>
      <c r="X276" t="s">
        <v>4672</v>
      </c>
      <c r="Y276" t="s">
        <v>4672</v>
      </c>
      <c r="Z276" t="s">
        <v>4672</v>
      </c>
      <c r="AA276">
        <v>5045</v>
      </c>
      <c r="AB276" t="s">
        <v>4672</v>
      </c>
      <c r="AC276" t="s">
        <v>4672</v>
      </c>
    </row>
    <row r="277" spans="1:29" hidden="1">
      <c r="A277" s="10">
        <v>46059</v>
      </c>
      <c r="B277" s="10">
        <v>46059</v>
      </c>
      <c r="C277" t="s">
        <v>5468</v>
      </c>
      <c r="D277" t="s">
        <v>4967</v>
      </c>
      <c r="E277" t="s">
        <v>4962</v>
      </c>
      <c r="F277" t="s">
        <v>5469</v>
      </c>
      <c r="G277" t="s">
        <v>4672</v>
      </c>
      <c r="H277" t="s">
        <v>4672</v>
      </c>
      <c r="I277" t="s">
        <v>4672</v>
      </c>
      <c r="J277" t="s">
        <v>4672</v>
      </c>
      <c r="K277" t="s">
        <v>4672</v>
      </c>
      <c r="L277" t="s">
        <v>2697</v>
      </c>
      <c r="M277">
        <v>12500</v>
      </c>
      <c r="N277" s="641">
        <f>+transaction_statement_01_Jan_2026_28_Feb_2026[[#This Row],[Orig amount]]/100</f>
        <v>125</v>
      </c>
      <c r="O277" t="s">
        <v>2697</v>
      </c>
      <c r="P277">
        <v>-12500</v>
      </c>
      <c r="Q277">
        <v>-12500</v>
      </c>
      <c r="S277">
        <v>0</v>
      </c>
      <c r="T277" t="s">
        <v>2697</v>
      </c>
      <c r="U277">
        <v>140655</v>
      </c>
      <c r="V277" t="s">
        <v>4965</v>
      </c>
      <c r="X277" t="s">
        <v>4672</v>
      </c>
      <c r="Y277" t="s">
        <v>4672</v>
      </c>
      <c r="Z277" t="s">
        <v>4672</v>
      </c>
      <c r="AB277" t="s">
        <v>4672</v>
      </c>
      <c r="AC277" t="s">
        <v>4672</v>
      </c>
    </row>
    <row r="278" spans="1:29" hidden="1">
      <c r="A278" s="10">
        <v>46059</v>
      </c>
      <c r="B278" s="10">
        <v>46059</v>
      </c>
      <c r="C278" t="s">
        <v>5468</v>
      </c>
      <c r="D278" t="s">
        <v>4967</v>
      </c>
      <c r="E278" t="s">
        <v>4962</v>
      </c>
      <c r="F278" t="s">
        <v>5470</v>
      </c>
      <c r="G278" t="s">
        <v>4672</v>
      </c>
      <c r="H278" t="s">
        <v>4672</v>
      </c>
      <c r="I278" t="s">
        <v>4672</v>
      </c>
      <c r="J278" t="s">
        <v>4672</v>
      </c>
      <c r="K278" t="s">
        <v>4672</v>
      </c>
      <c r="L278" t="s">
        <v>2697</v>
      </c>
      <c r="M278">
        <v>-12500</v>
      </c>
      <c r="N278" s="641">
        <f>+transaction_statement_01_Jan_2026_28_Feb_2026[[#This Row],[Orig amount]]/100</f>
        <v>-125</v>
      </c>
      <c r="O278" t="s">
        <v>2697</v>
      </c>
      <c r="P278">
        <v>12500</v>
      </c>
      <c r="Q278">
        <v>12500</v>
      </c>
      <c r="S278">
        <v>0</v>
      </c>
      <c r="T278" t="s">
        <v>2697</v>
      </c>
      <c r="U278">
        <v>0</v>
      </c>
      <c r="V278" t="s">
        <v>5047</v>
      </c>
      <c r="X278" t="s">
        <v>4672</v>
      </c>
      <c r="Y278" t="s">
        <v>4672</v>
      </c>
      <c r="Z278" t="s">
        <v>4672</v>
      </c>
      <c r="AB278" t="s">
        <v>4672</v>
      </c>
      <c r="AC278" t="s">
        <v>4672</v>
      </c>
    </row>
    <row r="279" spans="1:29" hidden="1">
      <c r="A279" s="10">
        <v>46059</v>
      </c>
      <c r="B279" s="10">
        <v>46059</v>
      </c>
      <c r="C279" t="s">
        <v>5471</v>
      </c>
      <c r="D279" t="s">
        <v>5472</v>
      </c>
      <c r="E279" t="s">
        <v>4962</v>
      </c>
      <c r="F279" t="s">
        <v>5473</v>
      </c>
      <c r="G279" t="s">
        <v>5474</v>
      </c>
      <c r="H279" t="s">
        <v>4672</v>
      </c>
      <c r="I279" t="s">
        <v>4672</v>
      </c>
      <c r="J279" t="s">
        <v>4672</v>
      </c>
      <c r="K279" t="s">
        <v>4672</v>
      </c>
      <c r="L279" t="s">
        <v>2697</v>
      </c>
      <c r="M279">
        <v>12500</v>
      </c>
      <c r="N279" s="641">
        <f>+transaction_statement_01_Jan_2026_28_Feb_2026[[#This Row],[Orig amount]]/100</f>
        <v>125</v>
      </c>
      <c r="O279" t="s">
        <v>2697</v>
      </c>
      <c r="P279">
        <v>-12500</v>
      </c>
      <c r="Q279">
        <v>-12500</v>
      </c>
      <c r="S279">
        <v>0</v>
      </c>
      <c r="T279" t="s">
        <v>2697</v>
      </c>
      <c r="U279">
        <v>-12500</v>
      </c>
      <c r="V279" t="s">
        <v>5047</v>
      </c>
      <c r="X279" t="s">
        <v>4672</v>
      </c>
      <c r="Y279" t="s">
        <v>4672</v>
      </c>
      <c r="Z279" t="s">
        <v>4672</v>
      </c>
      <c r="AB279" t="s">
        <v>4672</v>
      </c>
      <c r="AC279" t="s">
        <v>4672</v>
      </c>
    </row>
    <row r="280" spans="1:29" hidden="1">
      <c r="A280" s="10">
        <v>46059</v>
      </c>
      <c r="B280" s="10">
        <v>46059</v>
      </c>
      <c r="C280" t="s">
        <v>5475</v>
      </c>
      <c r="D280" t="s">
        <v>4967</v>
      </c>
      <c r="E280" t="s">
        <v>4962</v>
      </c>
      <c r="F280" t="s">
        <v>5469</v>
      </c>
      <c r="G280" t="s">
        <v>4672</v>
      </c>
      <c r="H280" t="s">
        <v>4672</v>
      </c>
      <c r="I280" t="s">
        <v>4672</v>
      </c>
      <c r="J280" t="s">
        <v>4672</v>
      </c>
      <c r="K280" t="s">
        <v>4672</v>
      </c>
      <c r="L280" t="s">
        <v>2697</v>
      </c>
      <c r="M280">
        <v>1600</v>
      </c>
      <c r="N280" s="641">
        <f>+transaction_statement_01_Jan_2026_28_Feb_2026[[#This Row],[Orig amount]]/100</f>
        <v>16</v>
      </c>
      <c r="O280" t="s">
        <v>2697</v>
      </c>
      <c r="P280">
        <v>-1600</v>
      </c>
      <c r="Q280">
        <v>-1600</v>
      </c>
      <c r="S280">
        <v>0</v>
      </c>
      <c r="T280" t="s">
        <v>2697</v>
      </c>
      <c r="U280">
        <v>153155</v>
      </c>
      <c r="V280" t="s">
        <v>4965</v>
      </c>
      <c r="X280" t="s">
        <v>4672</v>
      </c>
      <c r="Y280" t="s">
        <v>4672</v>
      </c>
      <c r="Z280" t="s">
        <v>4672</v>
      </c>
      <c r="AB280" t="s">
        <v>4672</v>
      </c>
      <c r="AC280" t="s">
        <v>4672</v>
      </c>
    </row>
    <row r="281" spans="1:29" hidden="1">
      <c r="A281" s="10">
        <v>46059</v>
      </c>
      <c r="B281" s="10">
        <v>46059</v>
      </c>
      <c r="C281" t="s">
        <v>5475</v>
      </c>
      <c r="D281" t="s">
        <v>4967</v>
      </c>
      <c r="E281" t="s">
        <v>4962</v>
      </c>
      <c r="F281" t="s">
        <v>5470</v>
      </c>
      <c r="G281" t="s">
        <v>4672</v>
      </c>
      <c r="H281" t="s">
        <v>4672</v>
      </c>
      <c r="I281" t="s">
        <v>4672</v>
      </c>
      <c r="J281" t="s">
        <v>4672</v>
      </c>
      <c r="K281" t="s">
        <v>4672</v>
      </c>
      <c r="L281" t="s">
        <v>2697</v>
      </c>
      <c r="M281">
        <v>-1600</v>
      </c>
      <c r="N281" s="641">
        <f>+transaction_statement_01_Jan_2026_28_Feb_2026[[#This Row],[Orig amount]]/100</f>
        <v>-16</v>
      </c>
      <c r="O281" t="s">
        <v>2697</v>
      </c>
      <c r="P281">
        <v>1600</v>
      </c>
      <c r="Q281">
        <v>1600</v>
      </c>
      <c r="S281">
        <v>0</v>
      </c>
      <c r="T281" t="s">
        <v>2697</v>
      </c>
      <c r="U281">
        <v>0</v>
      </c>
      <c r="V281" t="s">
        <v>5047</v>
      </c>
      <c r="X281" t="s">
        <v>4672</v>
      </c>
      <c r="Y281" t="s">
        <v>4672</v>
      </c>
      <c r="Z281" t="s">
        <v>4672</v>
      </c>
      <c r="AB281" t="s">
        <v>4672</v>
      </c>
      <c r="AC281" t="s">
        <v>4672</v>
      </c>
    </row>
    <row r="282" spans="1:29" hidden="1">
      <c r="A282" s="10">
        <v>46059</v>
      </c>
      <c r="B282" s="10">
        <v>46059</v>
      </c>
      <c r="C282" t="s">
        <v>5476</v>
      </c>
      <c r="D282" t="s">
        <v>5472</v>
      </c>
      <c r="E282" t="s">
        <v>4962</v>
      </c>
      <c r="F282" t="s">
        <v>5473</v>
      </c>
      <c r="G282" t="s">
        <v>5477</v>
      </c>
      <c r="H282" t="s">
        <v>4672</v>
      </c>
      <c r="I282" t="s">
        <v>4672</v>
      </c>
      <c r="J282" t="s">
        <v>4672</v>
      </c>
      <c r="K282" t="s">
        <v>4672</v>
      </c>
      <c r="L282" t="s">
        <v>2697</v>
      </c>
      <c r="M282">
        <v>1600</v>
      </c>
      <c r="N282" s="641">
        <f>+transaction_statement_01_Jan_2026_28_Feb_2026[[#This Row],[Orig amount]]/100</f>
        <v>16</v>
      </c>
      <c r="O282" t="s">
        <v>2697</v>
      </c>
      <c r="P282">
        <v>-1600</v>
      </c>
      <c r="Q282">
        <v>-1600</v>
      </c>
      <c r="S282">
        <v>0</v>
      </c>
      <c r="T282" t="s">
        <v>2697</v>
      </c>
      <c r="U282">
        <v>-1600</v>
      </c>
      <c r="V282" t="s">
        <v>5047</v>
      </c>
      <c r="X282" t="s">
        <v>4672</v>
      </c>
      <c r="Y282" t="s">
        <v>4672</v>
      </c>
      <c r="Z282" t="s">
        <v>4672</v>
      </c>
      <c r="AB282" t="s">
        <v>4672</v>
      </c>
      <c r="AC282" t="s">
        <v>4672</v>
      </c>
    </row>
    <row r="283" spans="1:29" hidden="1">
      <c r="A283" s="10">
        <v>46059</v>
      </c>
      <c r="B283" s="10">
        <v>46059</v>
      </c>
      <c r="C283" t="s">
        <v>5478</v>
      </c>
      <c r="D283" t="s">
        <v>4967</v>
      </c>
      <c r="E283" t="s">
        <v>4962</v>
      </c>
      <c r="F283" t="s">
        <v>5454</v>
      </c>
      <c r="G283" t="s">
        <v>5479</v>
      </c>
      <c r="H283" t="s">
        <v>4970</v>
      </c>
      <c r="I283" t="s">
        <v>4672</v>
      </c>
      <c r="J283" t="s">
        <v>4672</v>
      </c>
      <c r="K283" t="s">
        <v>4672</v>
      </c>
      <c r="L283" t="s">
        <v>2697</v>
      </c>
      <c r="M283">
        <v>100000</v>
      </c>
      <c r="N283" s="641">
        <f>+transaction_statement_01_Jan_2026_28_Feb_2026[[#This Row],[Orig amount]]/100</f>
        <v>1000</v>
      </c>
      <c r="O283" t="s">
        <v>2697</v>
      </c>
      <c r="P283">
        <v>-100000</v>
      </c>
      <c r="Q283">
        <v>-100000</v>
      </c>
      <c r="S283">
        <v>0</v>
      </c>
      <c r="T283" t="s">
        <v>2697</v>
      </c>
      <c r="U283">
        <v>154755</v>
      </c>
      <c r="V283" t="s">
        <v>4965</v>
      </c>
      <c r="X283" t="s">
        <v>4672</v>
      </c>
      <c r="Y283" t="s">
        <v>5456</v>
      </c>
      <c r="Z283" t="s">
        <v>5457</v>
      </c>
      <c r="AB283" t="s">
        <v>4672</v>
      </c>
      <c r="AC283" t="s">
        <v>4672</v>
      </c>
    </row>
    <row r="284" spans="1:29" hidden="1">
      <c r="A284" s="10">
        <v>46059</v>
      </c>
      <c r="B284" s="10">
        <v>46059</v>
      </c>
      <c r="C284" t="s">
        <v>5480</v>
      </c>
      <c r="D284" t="s">
        <v>4967</v>
      </c>
      <c r="E284" t="s">
        <v>4962</v>
      </c>
      <c r="F284" t="s">
        <v>5334</v>
      </c>
      <c r="G284" t="s">
        <v>5335</v>
      </c>
      <c r="H284" t="s">
        <v>4970</v>
      </c>
      <c r="I284" t="s">
        <v>4672</v>
      </c>
      <c r="J284" t="s">
        <v>4672</v>
      </c>
      <c r="K284" t="s">
        <v>4672</v>
      </c>
      <c r="L284" t="s">
        <v>2697</v>
      </c>
      <c r="M284">
        <v>400000</v>
      </c>
      <c r="N284" s="641">
        <f>+transaction_statement_01_Jan_2026_28_Feb_2026[[#This Row],[Orig amount]]/100</f>
        <v>4000</v>
      </c>
      <c r="O284" t="s">
        <v>2697</v>
      </c>
      <c r="P284">
        <v>-400000</v>
      </c>
      <c r="Q284">
        <v>-400000</v>
      </c>
      <c r="S284">
        <v>0</v>
      </c>
      <c r="T284" t="s">
        <v>2697</v>
      </c>
      <c r="U284">
        <v>254755</v>
      </c>
      <c r="V284" t="s">
        <v>4965</v>
      </c>
      <c r="X284" t="s">
        <v>4672</v>
      </c>
      <c r="Y284" t="s">
        <v>5336</v>
      </c>
      <c r="Z284" t="s">
        <v>5337</v>
      </c>
      <c r="AB284" t="s">
        <v>4672</v>
      </c>
      <c r="AC284" t="s">
        <v>4672</v>
      </c>
    </row>
    <row r="285" spans="1:29" hidden="1">
      <c r="A285" s="10">
        <v>46059</v>
      </c>
      <c r="B285" s="10">
        <v>46059</v>
      </c>
      <c r="C285" t="s">
        <v>5481</v>
      </c>
      <c r="D285" t="s">
        <v>4967</v>
      </c>
      <c r="E285" t="s">
        <v>4962</v>
      </c>
      <c r="F285" t="s">
        <v>5187</v>
      </c>
      <c r="G285" t="s">
        <v>5482</v>
      </c>
      <c r="H285" t="s">
        <v>4970</v>
      </c>
      <c r="I285" t="s">
        <v>4672</v>
      </c>
      <c r="J285" t="s">
        <v>4672</v>
      </c>
      <c r="K285" t="s">
        <v>4672</v>
      </c>
      <c r="L285" t="s">
        <v>2697</v>
      </c>
      <c r="M285">
        <v>300000</v>
      </c>
      <c r="N285" s="641">
        <f>+transaction_statement_01_Jan_2026_28_Feb_2026[[#This Row],[Orig amount]]/100</f>
        <v>3000</v>
      </c>
      <c r="O285" t="s">
        <v>2697</v>
      </c>
      <c r="P285">
        <v>-300000</v>
      </c>
      <c r="Q285">
        <v>-300000</v>
      </c>
      <c r="S285">
        <v>0</v>
      </c>
      <c r="T285" t="s">
        <v>2697</v>
      </c>
      <c r="U285">
        <v>654755</v>
      </c>
      <c r="V285" t="s">
        <v>4965</v>
      </c>
      <c r="X285" t="s">
        <v>4672</v>
      </c>
      <c r="Y285" t="s">
        <v>5189</v>
      </c>
      <c r="Z285" t="s">
        <v>5190</v>
      </c>
      <c r="AB285" t="s">
        <v>4672</v>
      </c>
      <c r="AC285" t="s">
        <v>4672</v>
      </c>
    </row>
    <row r="286" spans="1:29" hidden="1">
      <c r="A286" s="10">
        <v>46059</v>
      </c>
      <c r="B286" s="10">
        <v>46059</v>
      </c>
      <c r="C286" t="s">
        <v>5483</v>
      </c>
      <c r="D286" t="s">
        <v>4961</v>
      </c>
      <c r="E286" t="s">
        <v>4962</v>
      </c>
      <c r="F286" t="s">
        <v>5025</v>
      </c>
      <c r="G286" t="s">
        <v>5026</v>
      </c>
      <c r="H286" t="s">
        <v>4672</v>
      </c>
      <c r="I286" t="s">
        <v>4672</v>
      </c>
      <c r="J286" t="s">
        <v>4672</v>
      </c>
      <c r="K286" t="s">
        <v>4672</v>
      </c>
      <c r="L286" t="s">
        <v>2697</v>
      </c>
      <c r="M286">
        <v>750000</v>
      </c>
      <c r="N286" s="641">
        <f>+transaction_statement_01_Jan_2026_28_Feb_2026[[#This Row],[Orig amount]]/100</f>
        <v>7500</v>
      </c>
      <c r="O286" t="s">
        <v>2697</v>
      </c>
      <c r="P286">
        <v>750000</v>
      </c>
      <c r="Q286">
        <v>750000</v>
      </c>
      <c r="S286">
        <v>0</v>
      </c>
      <c r="T286" t="s">
        <v>2697</v>
      </c>
      <c r="U286">
        <v>954755</v>
      </c>
      <c r="V286" t="s">
        <v>4965</v>
      </c>
      <c r="X286" t="s">
        <v>4672</v>
      </c>
      <c r="Y286" t="s">
        <v>4672</v>
      </c>
      <c r="Z286" t="s">
        <v>4672</v>
      </c>
      <c r="AB286" t="s">
        <v>4672</v>
      </c>
      <c r="AC286" t="s">
        <v>4672</v>
      </c>
    </row>
    <row r="287" spans="1:29" hidden="1">
      <c r="A287" s="10">
        <v>46058</v>
      </c>
      <c r="B287" s="10">
        <v>46058</v>
      </c>
      <c r="C287" t="s">
        <v>5484</v>
      </c>
      <c r="D287" t="s">
        <v>4961</v>
      </c>
      <c r="E287" t="s">
        <v>4962</v>
      </c>
      <c r="F287" t="s">
        <v>5025</v>
      </c>
      <c r="G287" t="s">
        <v>5026</v>
      </c>
      <c r="H287" t="s">
        <v>4672</v>
      </c>
      <c r="I287" t="s">
        <v>4672</v>
      </c>
      <c r="J287" t="s">
        <v>4672</v>
      </c>
      <c r="K287" t="s">
        <v>4672</v>
      </c>
      <c r="L287" t="s">
        <v>2697</v>
      </c>
      <c r="M287">
        <v>63443</v>
      </c>
      <c r="N287" s="641">
        <f>+transaction_statement_01_Jan_2026_28_Feb_2026[[#This Row],[Orig amount]]/100</f>
        <v>634.42999999999995</v>
      </c>
      <c r="O287" t="s">
        <v>2697</v>
      </c>
      <c r="P287">
        <v>63443</v>
      </c>
      <c r="Q287">
        <v>63443</v>
      </c>
      <c r="S287">
        <v>0</v>
      </c>
      <c r="T287" t="s">
        <v>2697</v>
      </c>
      <c r="U287">
        <v>204755</v>
      </c>
      <c r="V287" t="s">
        <v>4965</v>
      </c>
      <c r="X287" t="s">
        <v>4672</v>
      </c>
      <c r="Y287" t="s">
        <v>4672</v>
      </c>
      <c r="Z287" t="s">
        <v>4672</v>
      </c>
      <c r="AB287" t="s">
        <v>4672</v>
      </c>
      <c r="AC287" t="s">
        <v>4672</v>
      </c>
    </row>
    <row r="288" spans="1:29" hidden="1">
      <c r="A288" s="10">
        <v>46058</v>
      </c>
      <c r="B288" s="10">
        <v>46058</v>
      </c>
      <c r="C288" t="s">
        <v>5485</v>
      </c>
      <c r="D288" t="s">
        <v>4967</v>
      </c>
      <c r="E288" t="s">
        <v>4962</v>
      </c>
      <c r="F288" t="s">
        <v>5187</v>
      </c>
      <c r="G288" t="s">
        <v>5486</v>
      </c>
      <c r="H288" t="s">
        <v>4970</v>
      </c>
      <c r="I288" t="s">
        <v>4672</v>
      </c>
      <c r="J288" t="s">
        <v>4672</v>
      </c>
      <c r="K288" t="s">
        <v>4672</v>
      </c>
      <c r="L288" t="s">
        <v>2697</v>
      </c>
      <c r="M288">
        <v>300000</v>
      </c>
      <c r="N288" s="641">
        <f>+transaction_statement_01_Jan_2026_28_Feb_2026[[#This Row],[Orig amount]]/100</f>
        <v>3000</v>
      </c>
      <c r="O288" t="s">
        <v>2697</v>
      </c>
      <c r="P288">
        <v>-300000</v>
      </c>
      <c r="Q288">
        <v>-300000</v>
      </c>
      <c r="S288">
        <v>0</v>
      </c>
      <c r="T288" t="s">
        <v>2697</v>
      </c>
      <c r="U288">
        <v>141312</v>
      </c>
      <c r="V288" t="s">
        <v>4965</v>
      </c>
      <c r="X288" t="s">
        <v>4672</v>
      </c>
      <c r="Y288" t="s">
        <v>5189</v>
      </c>
      <c r="Z288" t="s">
        <v>5190</v>
      </c>
      <c r="AB288" t="s">
        <v>4672</v>
      </c>
      <c r="AC288" t="s">
        <v>4672</v>
      </c>
    </row>
    <row r="289" spans="1:29" hidden="1">
      <c r="A289" s="10">
        <v>46058</v>
      </c>
      <c r="B289" s="10">
        <v>46058</v>
      </c>
      <c r="C289" t="s">
        <v>5487</v>
      </c>
      <c r="D289" t="s">
        <v>4961</v>
      </c>
      <c r="E289" t="s">
        <v>4962</v>
      </c>
      <c r="F289" t="s">
        <v>5025</v>
      </c>
      <c r="G289" t="s">
        <v>5026</v>
      </c>
      <c r="H289" t="s">
        <v>4672</v>
      </c>
      <c r="I289" t="s">
        <v>4672</v>
      </c>
      <c r="J289" t="s">
        <v>4672</v>
      </c>
      <c r="K289" t="s">
        <v>4672</v>
      </c>
      <c r="L289" t="s">
        <v>2697</v>
      </c>
      <c r="M289">
        <v>127735</v>
      </c>
      <c r="N289" s="641">
        <f>+transaction_statement_01_Jan_2026_28_Feb_2026[[#This Row],[Orig amount]]/100</f>
        <v>1277.3499999999999</v>
      </c>
      <c r="O289" t="s">
        <v>2697</v>
      </c>
      <c r="P289">
        <v>127735</v>
      </c>
      <c r="Q289">
        <v>127735</v>
      </c>
      <c r="S289">
        <v>0</v>
      </c>
      <c r="T289" t="s">
        <v>2697</v>
      </c>
      <c r="U289">
        <v>441312</v>
      </c>
      <c r="V289" t="s">
        <v>4965</v>
      </c>
      <c r="X289" t="s">
        <v>4672</v>
      </c>
      <c r="Y289" t="s">
        <v>4672</v>
      </c>
      <c r="Z289" t="s">
        <v>4672</v>
      </c>
      <c r="AB289" t="s">
        <v>4672</v>
      </c>
      <c r="AC289" t="s">
        <v>4672</v>
      </c>
    </row>
    <row r="290" spans="1:29" hidden="1">
      <c r="A290" s="10">
        <v>46058</v>
      </c>
      <c r="B290" s="10">
        <v>46058</v>
      </c>
      <c r="C290" t="s">
        <v>5488</v>
      </c>
      <c r="D290" t="s">
        <v>4961</v>
      </c>
      <c r="E290" t="s">
        <v>4962</v>
      </c>
      <c r="F290" t="s">
        <v>5025</v>
      </c>
      <c r="G290" t="s">
        <v>5026</v>
      </c>
      <c r="H290" t="s">
        <v>4672</v>
      </c>
      <c r="I290" t="s">
        <v>4672</v>
      </c>
      <c r="J290" t="s">
        <v>4672</v>
      </c>
      <c r="K290" t="s">
        <v>4672</v>
      </c>
      <c r="L290" t="s">
        <v>2697</v>
      </c>
      <c r="M290">
        <v>161114</v>
      </c>
      <c r="N290" s="641">
        <f>+transaction_statement_01_Jan_2026_28_Feb_2026[[#This Row],[Orig amount]]/100</f>
        <v>1611.14</v>
      </c>
      <c r="O290" t="s">
        <v>2697</v>
      </c>
      <c r="P290">
        <v>161114</v>
      </c>
      <c r="Q290">
        <v>161114</v>
      </c>
      <c r="S290">
        <v>0</v>
      </c>
      <c r="T290" t="s">
        <v>2697</v>
      </c>
      <c r="U290">
        <v>313577</v>
      </c>
      <c r="V290" t="s">
        <v>4965</v>
      </c>
      <c r="X290" t="s">
        <v>4672</v>
      </c>
      <c r="Y290" t="s">
        <v>4672</v>
      </c>
      <c r="Z290" t="s">
        <v>4672</v>
      </c>
      <c r="AB290" t="s">
        <v>4672</v>
      </c>
      <c r="AC290" t="s">
        <v>4672</v>
      </c>
    </row>
    <row r="291" spans="1:29" hidden="1">
      <c r="A291" s="10">
        <v>46058</v>
      </c>
      <c r="B291" s="10">
        <v>46058</v>
      </c>
      <c r="C291" t="s">
        <v>5489</v>
      </c>
      <c r="D291" t="s">
        <v>4977</v>
      </c>
      <c r="E291" t="s">
        <v>4962</v>
      </c>
      <c r="F291" t="s">
        <v>5490</v>
      </c>
      <c r="G291" t="s">
        <v>4672</v>
      </c>
      <c r="H291" t="s">
        <v>4970</v>
      </c>
      <c r="I291" t="s">
        <v>4979</v>
      </c>
      <c r="J291" t="s">
        <v>4980</v>
      </c>
      <c r="K291" t="s">
        <v>4981</v>
      </c>
      <c r="L291" t="s">
        <v>2548</v>
      </c>
      <c r="M291">
        <v>8700</v>
      </c>
      <c r="N291" s="641">
        <f>+transaction_statement_01_Jan_2026_28_Feb_2026[[#This Row],[Orig amount]]/100</f>
        <v>87</v>
      </c>
      <c r="O291" t="s">
        <v>2697</v>
      </c>
      <c r="P291">
        <v>-7372</v>
      </c>
      <c r="Q291">
        <v>-7372</v>
      </c>
      <c r="R291">
        <v>1180226</v>
      </c>
      <c r="S291">
        <v>0</v>
      </c>
      <c r="T291" t="s">
        <v>2697</v>
      </c>
      <c r="U291">
        <v>152463</v>
      </c>
      <c r="V291" t="s">
        <v>4965</v>
      </c>
      <c r="X291" t="s">
        <v>4672</v>
      </c>
      <c r="Y291" t="s">
        <v>4672</v>
      </c>
      <c r="Z291" t="s">
        <v>4672</v>
      </c>
      <c r="AA291">
        <v>5734</v>
      </c>
      <c r="AB291" t="s">
        <v>4672</v>
      </c>
      <c r="AC291" t="s">
        <v>4672</v>
      </c>
    </row>
    <row r="292" spans="1:29" hidden="1">
      <c r="A292" s="10">
        <v>46057</v>
      </c>
      <c r="B292" s="10">
        <v>46058</v>
      </c>
      <c r="C292" t="s">
        <v>5491</v>
      </c>
      <c r="D292" t="s">
        <v>4977</v>
      </c>
      <c r="E292" t="s">
        <v>4962</v>
      </c>
      <c r="F292" t="s">
        <v>4096</v>
      </c>
      <c r="G292" t="s">
        <v>4672</v>
      </c>
      <c r="H292" t="s">
        <v>4970</v>
      </c>
      <c r="I292" t="s">
        <v>4979</v>
      </c>
      <c r="J292" t="s">
        <v>4980</v>
      </c>
      <c r="K292" t="s">
        <v>4981</v>
      </c>
      <c r="L292" t="s">
        <v>2697</v>
      </c>
      <c r="M292">
        <v>25000</v>
      </c>
      <c r="N292" s="641">
        <f>+transaction_statement_01_Jan_2026_28_Feb_2026[[#This Row],[Orig amount]]/100</f>
        <v>250</v>
      </c>
      <c r="O292" t="s">
        <v>2697</v>
      </c>
      <c r="P292">
        <v>-25000</v>
      </c>
      <c r="Q292">
        <v>-25000</v>
      </c>
      <c r="S292">
        <v>0</v>
      </c>
      <c r="T292" t="s">
        <v>2697</v>
      </c>
      <c r="U292">
        <v>159835</v>
      </c>
      <c r="V292" t="s">
        <v>4965</v>
      </c>
      <c r="X292" t="s">
        <v>4672</v>
      </c>
      <c r="Y292" t="s">
        <v>4672</v>
      </c>
      <c r="Z292" t="s">
        <v>4672</v>
      </c>
      <c r="AA292">
        <v>5734</v>
      </c>
      <c r="AB292" t="s">
        <v>4672</v>
      </c>
      <c r="AC292" t="s">
        <v>4672</v>
      </c>
    </row>
    <row r="293" spans="1:29">
      <c r="A293" s="10">
        <v>46056</v>
      </c>
      <c r="B293" s="10">
        <v>46058</v>
      </c>
      <c r="C293" t="s">
        <v>5492</v>
      </c>
      <c r="D293" t="s">
        <v>4977</v>
      </c>
      <c r="E293" t="s">
        <v>4962</v>
      </c>
      <c r="F293" t="s">
        <v>3462</v>
      </c>
      <c r="G293" t="s">
        <v>4672</v>
      </c>
      <c r="H293" t="s">
        <v>5315</v>
      </c>
      <c r="I293" t="s">
        <v>5316</v>
      </c>
      <c r="J293" t="s">
        <v>4980</v>
      </c>
      <c r="K293" t="s">
        <v>4981</v>
      </c>
      <c r="L293" t="s">
        <v>2697</v>
      </c>
      <c r="M293">
        <v>2399</v>
      </c>
      <c r="N293" s="642">
        <f>+transaction_statement_01_Jan_2026_28_Feb_2026[[#This Row],[Orig amount]]/100</f>
        <v>23.99</v>
      </c>
      <c r="O293" t="s">
        <v>2697</v>
      </c>
      <c r="P293">
        <v>-2399</v>
      </c>
      <c r="Q293">
        <v>-2399</v>
      </c>
      <c r="S293">
        <v>0</v>
      </c>
      <c r="T293" t="s">
        <v>2697</v>
      </c>
      <c r="U293">
        <v>184835</v>
      </c>
      <c r="V293" t="s">
        <v>4965</v>
      </c>
      <c r="X293" t="s">
        <v>4672</v>
      </c>
      <c r="Y293" t="s">
        <v>4672</v>
      </c>
      <c r="Z293" t="s">
        <v>4672</v>
      </c>
      <c r="AA293">
        <v>5817</v>
      </c>
      <c r="AB293" t="s">
        <v>4672</v>
      </c>
      <c r="AC293" t="s">
        <v>4672</v>
      </c>
    </row>
    <row r="294" spans="1:29" hidden="1">
      <c r="A294" s="10">
        <v>46058</v>
      </c>
      <c r="B294" s="10">
        <v>46058</v>
      </c>
      <c r="C294" t="s">
        <v>5493</v>
      </c>
      <c r="D294" t="s">
        <v>4961</v>
      </c>
      <c r="E294" t="s">
        <v>4962</v>
      </c>
      <c r="F294" t="s">
        <v>5025</v>
      </c>
      <c r="G294" t="s">
        <v>5026</v>
      </c>
      <c r="H294" t="s">
        <v>4672</v>
      </c>
      <c r="I294" t="s">
        <v>4672</v>
      </c>
      <c r="J294" t="s">
        <v>4672</v>
      </c>
      <c r="K294" t="s">
        <v>4672</v>
      </c>
      <c r="L294" t="s">
        <v>2697</v>
      </c>
      <c r="M294">
        <v>38693</v>
      </c>
      <c r="N294" s="641">
        <f>+transaction_statement_01_Jan_2026_28_Feb_2026[[#This Row],[Orig amount]]/100</f>
        <v>386.93</v>
      </c>
      <c r="O294" t="s">
        <v>2697</v>
      </c>
      <c r="P294">
        <v>38693</v>
      </c>
      <c r="Q294">
        <v>38693</v>
      </c>
      <c r="S294">
        <v>0</v>
      </c>
      <c r="T294" t="s">
        <v>2697</v>
      </c>
      <c r="U294">
        <v>187234</v>
      </c>
      <c r="V294" t="s">
        <v>4965</v>
      </c>
      <c r="X294" t="s">
        <v>4672</v>
      </c>
      <c r="Y294" t="s">
        <v>4672</v>
      </c>
      <c r="Z294" t="s">
        <v>4672</v>
      </c>
      <c r="AB294" t="s">
        <v>4672</v>
      </c>
      <c r="AC294" t="s">
        <v>4672</v>
      </c>
    </row>
    <row r="295" spans="1:29" hidden="1">
      <c r="A295" s="10">
        <v>46057</v>
      </c>
      <c r="B295" s="10">
        <v>46058</v>
      </c>
      <c r="C295" t="s">
        <v>5494</v>
      </c>
      <c r="D295" t="s">
        <v>4977</v>
      </c>
      <c r="E295" t="s">
        <v>4962</v>
      </c>
      <c r="F295" t="s">
        <v>5000</v>
      </c>
      <c r="G295" t="s">
        <v>4672</v>
      </c>
      <c r="H295" t="s">
        <v>4970</v>
      </c>
      <c r="I295" t="s">
        <v>4979</v>
      </c>
      <c r="J295" t="s">
        <v>4980</v>
      </c>
      <c r="K295" t="s">
        <v>4981</v>
      </c>
      <c r="L295" t="s">
        <v>2697</v>
      </c>
      <c r="M295">
        <v>4326</v>
      </c>
      <c r="N295" s="641">
        <f>+transaction_statement_01_Jan_2026_28_Feb_2026[[#This Row],[Orig amount]]/100</f>
        <v>43.26</v>
      </c>
      <c r="O295" t="s">
        <v>2697</v>
      </c>
      <c r="P295">
        <v>-4326</v>
      </c>
      <c r="Q295">
        <v>-4326</v>
      </c>
      <c r="S295">
        <v>0</v>
      </c>
      <c r="T295" t="s">
        <v>2697</v>
      </c>
      <c r="U295">
        <v>148541</v>
      </c>
      <c r="V295" t="s">
        <v>4965</v>
      </c>
      <c r="X295" t="s">
        <v>4672</v>
      </c>
      <c r="Y295" t="s">
        <v>4672</v>
      </c>
      <c r="Z295" t="s">
        <v>4672</v>
      </c>
      <c r="AA295">
        <v>7372</v>
      </c>
      <c r="AB295" t="s">
        <v>4672</v>
      </c>
      <c r="AC295" t="s">
        <v>4672</v>
      </c>
    </row>
    <row r="296" spans="1:29" hidden="1">
      <c r="A296" s="10">
        <v>46057</v>
      </c>
      <c r="B296" s="10">
        <v>46058</v>
      </c>
      <c r="C296" t="s">
        <v>5495</v>
      </c>
      <c r="D296" t="s">
        <v>4977</v>
      </c>
      <c r="E296" t="s">
        <v>4962</v>
      </c>
      <c r="F296" t="s">
        <v>5000</v>
      </c>
      <c r="G296" t="s">
        <v>4672</v>
      </c>
      <c r="H296" t="s">
        <v>4970</v>
      </c>
      <c r="I296" t="s">
        <v>4979</v>
      </c>
      <c r="J296" t="s">
        <v>4980</v>
      </c>
      <c r="K296" t="s">
        <v>4981</v>
      </c>
      <c r="L296" t="s">
        <v>2697</v>
      </c>
      <c r="M296">
        <v>4326</v>
      </c>
      <c r="N296" s="641">
        <f>+transaction_statement_01_Jan_2026_28_Feb_2026[[#This Row],[Orig amount]]/100</f>
        <v>43.26</v>
      </c>
      <c r="O296" t="s">
        <v>2697</v>
      </c>
      <c r="P296">
        <v>-4326</v>
      </c>
      <c r="Q296">
        <v>-4326</v>
      </c>
      <c r="S296">
        <v>0</v>
      </c>
      <c r="T296" t="s">
        <v>2697</v>
      </c>
      <c r="U296">
        <v>152867</v>
      </c>
      <c r="V296" t="s">
        <v>4965</v>
      </c>
      <c r="X296" t="s">
        <v>4672</v>
      </c>
      <c r="Y296" t="s">
        <v>4672</v>
      </c>
      <c r="Z296" t="s">
        <v>4672</v>
      </c>
      <c r="AA296">
        <v>7372</v>
      </c>
      <c r="AB296" t="s">
        <v>4672</v>
      </c>
      <c r="AC296" t="s">
        <v>4672</v>
      </c>
    </row>
    <row r="297" spans="1:29" hidden="1">
      <c r="A297" s="10">
        <v>46057</v>
      </c>
      <c r="B297" s="10">
        <v>46058</v>
      </c>
      <c r="C297" t="s">
        <v>5364</v>
      </c>
      <c r="D297" t="s">
        <v>4977</v>
      </c>
      <c r="E297" t="s">
        <v>4962</v>
      </c>
      <c r="F297" t="s">
        <v>5496</v>
      </c>
      <c r="G297" t="s">
        <v>4672</v>
      </c>
      <c r="H297" t="s">
        <v>4970</v>
      </c>
      <c r="I297" t="s">
        <v>4979</v>
      </c>
      <c r="J297" t="s">
        <v>4980</v>
      </c>
      <c r="K297" t="s">
        <v>4981</v>
      </c>
      <c r="L297" t="s">
        <v>2697</v>
      </c>
      <c r="M297">
        <v>14399</v>
      </c>
      <c r="N297" s="641">
        <f>+transaction_statement_01_Jan_2026_28_Feb_2026[[#This Row],[Orig amount]]/100</f>
        <v>143.99</v>
      </c>
      <c r="O297" t="s">
        <v>2697</v>
      </c>
      <c r="P297">
        <v>-14399</v>
      </c>
      <c r="Q297">
        <v>-14399</v>
      </c>
      <c r="S297">
        <v>0</v>
      </c>
      <c r="T297" t="s">
        <v>2697</v>
      </c>
      <c r="U297">
        <v>157193</v>
      </c>
      <c r="V297" t="s">
        <v>4965</v>
      </c>
      <c r="X297" t="s">
        <v>4672</v>
      </c>
      <c r="Y297" t="s">
        <v>4672</v>
      </c>
      <c r="Z297" t="s">
        <v>4672</v>
      </c>
      <c r="AA297">
        <v>5999</v>
      </c>
      <c r="AB297" t="s">
        <v>4672</v>
      </c>
      <c r="AC297" t="s">
        <v>4672</v>
      </c>
    </row>
    <row r="298" spans="1:29" hidden="1">
      <c r="A298" s="10">
        <v>46058</v>
      </c>
      <c r="B298" s="10">
        <v>46058</v>
      </c>
      <c r="C298" t="s">
        <v>5497</v>
      </c>
      <c r="D298" t="s">
        <v>5418</v>
      </c>
      <c r="E298" t="s">
        <v>4962</v>
      </c>
      <c r="F298" t="s">
        <v>5419</v>
      </c>
      <c r="G298" t="s">
        <v>4672</v>
      </c>
      <c r="H298" t="s">
        <v>4970</v>
      </c>
      <c r="I298" t="s">
        <v>4672</v>
      </c>
      <c r="J298" t="s">
        <v>4672</v>
      </c>
      <c r="K298" t="s">
        <v>4672</v>
      </c>
      <c r="L298" t="s">
        <v>2697</v>
      </c>
      <c r="M298">
        <v>58435</v>
      </c>
      <c r="N298" s="641">
        <f>+transaction_statement_01_Jan_2026_28_Feb_2026[[#This Row],[Orig amount]]/100</f>
        <v>584.35</v>
      </c>
      <c r="O298" t="s">
        <v>2548</v>
      </c>
      <c r="P298">
        <v>-68978</v>
      </c>
      <c r="Q298">
        <v>-68978</v>
      </c>
      <c r="R298">
        <v>847159</v>
      </c>
      <c r="S298">
        <v>0</v>
      </c>
      <c r="T298" t="s">
        <v>2548</v>
      </c>
      <c r="U298">
        <v>0</v>
      </c>
      <c r="V298" t="s">
        <v>5420</v>
      </c>
      <c r="X298" t="s">
        <v>4672</v>
      </c>
      <c r="Y298" t="s">
        <v>4672</v>
      </c>
      <c r="Z298" t="s">
        <v>4672</v>
      </c>
      <c r="AB298" t="s">
        <v>4672</v>
      </c>
      <c r="AC298" t="s">
        <v>4672</v>
      </c>
    </row>
    <row r="299" spans="1:29" hidden="1">
      <c r="A299" s="10">
        <v>46058</v>
      </c>
      <c r="B299" s="10">
        <v>46058</v>
      </c>
      <c r="C299" t="s">
        <v>5497</v>
      </c>
      <c r="D299" t="s">
        <v>5418</v>
      </c>
      <c r="E299" t="s">
        <v>4962</v>
      </c>
      <c r="F299" t="s">
        <v>5419</v>
      </c>
      <c r="G299" t="s">
        <v>4672</v>
      </c>
      <c r="H299" t="s">
        <v>4970</v>
      </c>
      <c r="I299" t="s">
        <v>4672</v>
      </c>
      <c r="J299" t="s">
        <v>4672</v>
      </c>
      <c r="K299" t="s">
        <v>4672</v>
      </c>
      <c r="L299" t="s">
        <v>2548</v>
      </c>
      <c r="M299">
        <v>-68978</v>
      </c>
      <c r="N299" s="641">
        <f>+transaction_statement_01_Jan_2026_28_Feb_2026[[#This Row],[Orig amount]]/100</f>
        <v>-689.78</v>
      </c>
      <c r="O299" t="s">
        <v>2697</v>
      </c>
      <c r="P299">
        <v>58435</v>
      </c>
      <c r="Q299">
        <v>58435</v>
      </c>
      <c r="R299">
        <v>1180416</v>
      </c>
      <c r="S299">
        <v>0</v>
      </c>
      <c r="T299" t="s">
        <v>2548</v>
      </c>
      <c r="U299">
        <v>171592</v>
      </c>
      <c r="V299" t="s">
        <v>4965</v>
      </c>
      <c r="X299" t="s">
        <v>4672</v>
      </c>
      <c r="Y299" t="s">
        <v>4672</v>
      </c>
      <c r="Z299" t="s">
        <v>4672</v>
      </c>
      <c r="AB299" t="s">
        <v>4672</v>
      </c>
      <c r="AC299" t="s">
        <v>4672</v>
      </c>
    </row>
    <row r="300" spans="1:29" hidden="1">
      <c r="A300" s="10">
        <v>46058</v>
      </c>
      <c r="B300" s="10">
        <v>46058</v>
      </c>
      <c r="C300" t="s">
        <v>5498</v>
      </c>
      <c r="D300" t="s">
        <v>4961</v>
      </c>
      <c r="E300" t="s">
        <v>4962</v>
      </c>
      <c r="F300" t="s">
        <v>5424</v>
      </c>
      <c r="G300" t="s">
        <v>5499</v>
      </c>
      <c r="H300" t="s">
        <v>4672</v>
      </c>
      <c r="I300" t="s">
        <v>4672</v>
      </c>
      <c r="J300" t="s">
        <v>4672</v>
      </c>
      <c r="K300" t="s">
        <v>4672</v>
      </c>
      <c r="L300" t="s">
        <v>2548</v>
      </c>
      <c r="M300">
        <v>68978</v>
      </c>
      <c r="N300" s="641">
        <f>+transaction_statement_01_Jan_2026_28_Feb_2026[[#This Row],[Orig amount]]/100</f>
        <v>689.78</v>
      </c>
      <c r="O300" t="s">
        <v>2548</v>
      </c>
      <c r="P300">
        <v>68978</v>
      </c>
      <c r="Q300">
        <v>68978</v>
      </c>
      <c r="S300">
        <v>0</v>
      </c>
      <c r="T300" t="s">
        <v>2548</v>
      </c>
      <c r="U300">
        <v>68978</v>
      </c>
      <c r="V300" t="s">
        <v>5420</v>
      </c>
      <c r="X300" t="s">
        <v>4672</v>
      </c>
      <c r="Y300" t="s">
        <v>4672</v>
      </c>
      <c r="Z300" t="s">
        <v>4672</v>
      </c>
      <c r="AB300" t="s">
        <v>4672</v>
      </c>
      <c r="AC300" t="s">
        <v>4672</v>
      </c>
    </row>
    <row r="301" spans="1:29" hidden="1">
      <c r="A301" s="10">
        <v>46058</v>
      </c>
      <c r="B301" s="10">
        <v>46058</v>
      </c>
      <c r="C301" t="s">
        <v>5500</v>
      </c>
      <c r="D301" t="s">
        <v>4967</v>
      </c>
      <c r="E301" t="s">
        <v>4962</v>
      </c>
      <c r="F301" t="s">
        <v>5053</v>
      </c>
      <c r="G301" t="s">
        <v>5054</v>
      </c>
      <c r="H301" t="s">
        <v>4970</v>
      </c>
      <c r="I301" t="s">
        <v>4672</v>
      </c>
      <c r="J301" t="s">
        <v>4672</v>
      </c>
      <c r="K301" t="s">
        <v>4672</v>
      </c>
      <c r="L301" t="s">
        <v>2697</v>
      </c>
      <c r="M301">
        <v>300000</v>
      </c>
      <c r="N301" s="641">
        <f>+transaction_statement_01_Jan_2026_28_Feb_2026[[#This Row],[Orig amount]]/100</f>
        <v>3000</v>
      </c>
      <c r="O301" t="s">
        <v>2697</v>
      </c>
      <c r="P301">
        <v>-300000</v>
      </c>
      <c r="Q301">
        <v>-300000</v>
      </c>
      <c r="S301">
        <v>0</v>
      </c>
      <c r="T301" t="s">
        <v>2697</v>
      </c>
      <c r="U301">
        <v>113157</v>
      </c>
      <c r="V301" t="s">
        <v>4965</v>
      </c>
      <c r="X301" t="s">
        <v>4672</v>
      </c>
      <c r="Y301" t="s">
        <v>5055</v>
      </c>
      <c r="Z301" t="s">
        <v>5056</v>
      </c>
      <c r="AB301" t="s">
        <v>4672</v>
      </c>
      <c r="AC301" t="s">
        <v>4672</v>
      </c>
    </row>
    <row r="302" spans="1:29" hidden="1">
      <c r="A302" s="10">
        <v>46058</v>
      </c>
      <c r="B302" s="10">
        <v>46058</v>
      </c>
      <c r="C302" t="s">
        <v>5501</v>
      </c>
      <c r="D302" t="s">
        <v>4967</v>
      </c>
      <c r="E302" t="s">
        <v>4962</v>
      </c>
      <c r="F302" t="s">
        <v>5454</v>
      </c>
      <c r="G302" t="s">
        <v>5502</v>
      </c>
      <c r="H302" t="s">
        <v>4970</v>
      </c>
      <c r="I302" t="s">
        <v>4672</v>
      </c>
      <c r="J302" t="s">
        <v>4672</v>
      </c>
      <c r="K302" t="s">
        <v>4672</v>
      </c>
      <c r="L302" t="s">
        <v>2697</v>
      </c>
      <c r="M302">
        <v>80000</v>
      </c>
      <c r="N302" s="641">
        <f>+transaction_statement_01_Jan_2026_28_Feb_2026[[#This Row],[Orig amount]]/100</f>
        <v>800</v>
      </c>
      <c r="O302" t="s">
        <v>2697</v>
      </c>
      <c r="P302">
        <v>-80000</v>
      </c>
      <c r="Q302">
        <v>-80000</v>
      </c>
      <c r="S302">
        <v>0</v>
      </c>
      <c r="T302" t="s">
        <v>2697</v>
      </c>
      <c r="U302">
        <v>413157</v>
      </c>
      <c r="V302" t="s">
        <v>4965</v>
      </c>
      <c r="X302" t="s">
        <v>4672</v>
      </c>
      <c r="Y302" t="s">
        <v>5456</v>
      </c>
      <c r="Z302" t="s">
        <v>5457</v>
      </c>
      <c r="AB302" t="s">
        <v>4672</v>
      </c>
      <c r="AC302" t="s">
        <v>4672</v>
      </c>
    </row>
    <row r="303" spans="1:29" hidden="1">
      <c r="A303" s="10">
        <v>46058</v>
      </c>
      <c r="B303" s="10">
        <v>46058</v>
      </c>
      <c r="C303" t="s">
        <v>5503</v>
      </c>
      <c r="D303" t="s">
        <v>4961</v>
      </c>
      <c r="E303" t="s">
        <v>4962</v>
      </c>
      <c r="F303" t="s">
        <v>5025</v>
      </c>
      <c r="G303" t="s">
        <v>5026</v>
      </c>
      <c r="H303" t="s">
        <v>4672</v>
      </c>
      <c r="I303" t="s">
        <v>4672</v>
      </c>
      <c r="J303" t="s">
        <v>4672</v>
      </c>
      <c r="K303" t="s">
        <v>4672</v>
      </c>
      <c r="L303" t="s">
        <v>2697</v>
      </c>
      <c r="M303">
        <v>359015</v>
      </c>
      <c r="N303" s="641">
        <f>+transaction_statement_01_Jan_2026_28_Feb_2026[[#This Row],[Orig amount]]/100</f>
        <v>3590.15</v>
      </c>
      <c r="O303" t="s">
        <v>2697</v>
      </c>
      <c r="P303">
        <v>359015</v>
      </c>
      <c r="Q303">
        <v>359015</v>
      </c>
      <c r="S303">
        <v>0</v>
      </c>
      <c r="T303" t="s">
        <v>2697</v>
      </c>
      <c r="U303">
        <v>493157</v>
      </c>
      <c r="V303" t="s">
        <v>4965</v>
      </c>
      <c r="X303" t="s">
        <v>4672</v>
      </c>
      <c r="Y303" t="s">
        <v>4672</v>
      </c>
      <c r="Z303" t="s">
        <v>4672</v>
      </c>
      <c r="AB303" t="s">
        <v>4672</v>
      </c>
      <c r="AC303" t="s">
        <v>4672</v>
      </c>
    </row>
    <row r="304" spans="1:29" hidden="1">
      <c r="A304" s="10">
        <v>46057</v>
      </c>
      <c r="B304" s="10">
        <v>46057</v>
      </c>
      <c r="C304" t="s">
        <v>5504</v>
      </c>
      <c r="D304" t="s">
        <v>4967</v>
      </c>
      <c r="E304" t="s">
        <v>4962</v>
      </c>
      <c r="F304" t="s">
        <v>5454</v>
      </c>
      <c r="G304" t="s">
        <v>5502</v>
      </c>
      <c r="H304" t="s">
        <v>4970</v>
      </c>
      <c r="I304" t="s">
        <v>4672</v>
      </c>
      <c r="J304" t="s">
        <v>4672</v>
      </c>
      <c r="K304" t="s">
        <v>4672</v>
      </c>
      <c r="L304" t="s">
        <v>2697</v>
      </c>
      <c r="M304">
        <v>120000</v>
      </c>
      <c r="N304" s="641">
        <f>+transaction_statement_01_Jan_2026_28_Feb_2026[[#This Row],[Orig amount]]/100</f>
        <v>1200</v>
      </c>
      <c r="O304" t="s">
        <v>2697</v>
      </c>
      <c r="P304">
        <v>-120000</v>
      </c>
      <c r="Q304">
        <v>-120000</v>
      </c>
      <c r="S304">
        <v>0</v>
      </c>
      <c r="T304" t="s">
        <v>2697</v>
      </c>
      <c r="U304">
        <v>134142</v>
      </c>
      <c r="V304" t="s">
        <v>4965</v>
      </c>
      <c r="X304" t="s">
        <v>4672</v>
      </c>
      <c r="Y304" t="s">
        <v>5456</v>
      </c>
      <c r="Z304" t="s">
        <v>5457</v>
      </c>
      <c r="AB304" t="s">
        <v>4672</v>
      </c>
      <c r="AC304" t="s">
        <v>4672</v>
      </c>
    </row>
    <row r="305" spans="1:29" hidden="1">
      <c r="A305" s="10">
        <v>46057</v>
      </c>
      <c r="B305" s="10">
        <v>46057</v>
      </c>
      <c r="C305" t="s">
        <v>5505</v>
      </c>
      <c r="D305" t="s">
        <v>4961</v>
      </c>
      <c r="E305" t="s">
        <v>4962</v>
      </c>
      <c r="F305" t="s">
        <v>5025</v>
      </c>
      <c r="G305" t="s">
        <v>5026</v>
      </c>
      <c r="H305" t="s">
        <v>4672</v>
      </c>
      <c r="I305" t="s">
        <v>4672</v>
      </c>
      <c r="J305" t="s">
        <v>4672</v>
      </c>
      <c r="K305" t="s">
        <v>4672</v>
      </c>
      <c r="L305" t="s">
        <v>2697</v>
      </c>
      <c r="M305">
        <v>100446</v>
      </c>
      <c r="N305" s="641">
        <f>+transaction_statement_01_Jan_2026_28_Feb_2026[[#This Row],[Orig amount]]/100</f>
        <v>1004.46</v>
      </c>
      <c r="O305" t="s">
        <v>2697</v>
      </c>
      <c r="P305">
        <v>100446</v>
      </c>
      <c r="Q305">
        <v>100446</v>
      </c>
      <c r="S305">
        <v>0</v>
      </c>
      <c r="T305" t="s">
        <v>2697</v>
      </c>
      <c r="U305">
        <v>254142</v>
      </c>
      <c r="V305" t="s">
        <v>4965</v>
      </c>
      <c r="X305" t="s">
        <v>4672</v>
      </c>
      <c r="Y305" t="s">
        <v>4672</v>
      </c>
      <c r="Z305" t="s">
        <v>4672</v>
      </c>
      <c r="AB305" t="s">
        <v>4672</v>
      </c>
      <c r="AC305" t="s">
        <v>4672</v>
      </c>
    </row>
    <row r="306" spans="1:29" hidden="1">
      <c r="A306" s="10">
        <v>46056</v>
      </c>
      <c r="B306" s="10">
        <v>46057</v>
      </c>
      <c r="C306" t="s">
        <v>5506</v>
      </c>
      <c r="D306" t="s">
        <v>4977</v>
      </c>
      <c r="E306" t="s">
        <v>4962</v>
      </c>
      <c r="F306" t="s">
        <v>5507</v>
      </c>
      <c r="G306" t="s">
        <v>4672</v>
      </c>
      <c r="H306" t="s">
        <v>4970</v>
      </c>
      <c r="I306" t="s">
        <v>4979</v>
      </c>
      <c r="J306" t="s">
        <v>4980</v>
      </c>
      <c r="K306" t="s">
        <v>4981</v>
      </c>
      <c r="L306" t="s">
        <v>2548</v>
      </c>
      <c r="M306">
        <v>59900</v>
      </c>
      <c r="N306" s="641">
        <f>+transaction_statement_01_Jan_2026_28_Feb_2026[[#This Row],[Orig amount]]/100</f>
        <v>599</v>
      </c>
      <c r="O306" t="s">
        <v>2697</v>
      </c>
      <c r="P306">
        <v>-50798</v>
      </c>
      <c r="Q306">
        <v>-50798</v>
      </c>
      <c r="R306">
        <v>1179196</v>
      </c>
      <c r="S306">
        <v>0</v>
      </c>
      <c r="T306" t="s">
        <v>2697</v>
      </c>
      <c r="U306">
        <v>153696</v>
      </c>
      <c r="V306" t="s">
        <v>4965</v>
      </c>
      <c r="X306" t="s">
        <v>4672</v>
      </c>
      <c r="Y306" t="s">
        <v>4672</v>
      </c>
      <c r="Z306" t="s">
        <v>4672</v>
      </c>
      <c r="AA306">
        <v>5734</v>
      </c>
      <c r="AB306" t="s">
        <v>4672</v>
      </c>
      <c r="AC306" t="s">
        <v>4672</v>
      </c>
    </row>
    <row r="307" spans="1:29" hidden="1">
      <c r="A307" s="10">
        <v>46056</v>
      </c>
      <c r="B307" s="10">
        <v>46057</v>
      </c>
      <c r="C307" t="s">
        <v>5508</v>
      </c>
      <c r="D307" t="s">
        <v>4977</v>
      </c>
      <c r="E307" t="s">
        <v>4962</v>
      </c>
      <c r="F307" t="s">
        <v>2737</v>
      </c>
      <c r="G307" t="s">
        <v>4672</v>
      </c>
      <c r="H307" t="s">
        <v>4970</v>
      </c>
      <c r="I307" t="s">
        <v>4979</v>
      </c>
      <c r="J307" t="s">
        <v>4980</v>
      </c>
      <c r="K307" t="s">
        <v>4981</v>
      </c>
      <c r="L307" t="s">
        <v>2548</v>
      </c>
      <c r="M307">
        <v>18000</v>
      </c>
      <c r="N307" s="641">
        <f>+transaction_statement_01_Jan_2026_28_Feb_2026[[#This Row],[Orig amount]]/100</f>
        <v>180</v>
      </c>
      <c r="O307" t="s">
        <v>2697</v>
      </c>
      <c r="P307">
        <v>-15239</v>
      </c>
      <c r="Q307">
        <v>-15239</v>
      </c>
      <c r="R307">
        <v>1181216</v>
      </c>
      <c r="S307">
        <v>0</v>
      </c>
      <c r="T307" t="s">
        <v>2697</v>
      </c>
      <c r="U307">
        <v>204494</v>
      </c>
      <c r="V307" t="s">
        <v>4965</v>
      </c>
      <c r="X307" t="s">
        <v>4672</v>
      </c>
      <c r="Y307" t="s">
        <v>4672</v>
      </c>
      <c r="Z307" t="s">
        <v>4672</v>
      </c>
      <c r="AA307">
        <v>5734</v>
      </c>
      <c r="AB307" t="s">
        <v>4672</v>
      </c>
      <c r="AC307" t="s">
        <v>4672</v>
      </c>
    </row>
    <row r="308" spans="1:29" hidden="1">
      <c r="A308" s="10">
        <v>46057</v>
      </c>
      <c r="B308" s="10">
        <v>46057</v>
      </c>
      <c r="C308" t="s">
        <v>5509</v>
      </c>
      <c r="D308" t="s">
        <v>4977</v>
      </c>
      <c r="E308" t="s">
        <v>4962</v>
      </c>
      <c r="F308" t="s">
        <v>5066</v>
      </c>
      <c r="G308" t="s">
        <v>4672</v>
      </c>
      <c r="H308" t="s">
        <v>4970</v>
      </c>
      <c r="I308" t="s">
        <v>4984</v>
      </c>
      <c r="J308" t="s">
        <v>4985</v>
      </c>
      <c r="K308" t="s">
        <v>4981</v>
      </c>
      <c r="L308" t="s">
        <v>2697</v>
      </c>
      <c r="M308">
        <v>1999</v>
      </c>
      <c r="N308" s="641">
        <f>+transaction_statement_01_Jan_2026_28_Feb_2026[[#This Row],[Orig amount]]/100</f>
        <v>19.989999999999998</v>
      </c>
      <c r="O308" t="s">
        <v>2697</v>
      </c>
      <c r="P308">
        <v>-1999</v>
      </c>
      <c r="Q308">
        <v>-1999</v>
      </c>
      <c r="S308">
        <v>0</v>
      </c>
      <c r="T308" t="s">
        <v>2697</v>
      </c>
      <c r="U308">
        <v>219733</v>
      </c>
      <c r="V308" t="s">
        <v>4965</v>
      </c>
      <c r="X308" t="s">
        <v>4672</v>
      </c>
      <c r="Y308" t="s">
        <v>4672</v>
      </c>
      <c r="Z308" t="s">
        <v>4672</v>
      </c>
      <c r="AA308">
        <v>5818</v>
      </c>
      <c r="AB308" t="s">
        <v>4672</v>
      </c>
      <c r="AC308" t="s">
        <v>4672</v>
      </c>
    </row>
    <row r="309" spans="1:29" hidden="1">
      <c r="A309" s="10">
        <v>46057</v>
      </c>
      <c r="B309" s="10">
        <v>46057</v>
      </c>
      <c r="C309" t="s">
        <v>5510</v>
      </c>
      <c r="D309" t="s">
        <v>4967</v>
      </c>
      <c r="E309" t="s">
        <v>4962</v>
      </c>
      <c r="F309" t="s">
        <v>5511</v>
      </c>
      <c r="G309" t="s">
        <v>5512</v>
      </c>
      <c r="H309" t="s">
        <v>4970</v>
      </c>
      <c r="I309" t="s">
        <v>4672</v>
      </c>
      <c r="J309" t="s">
        <v>4672</v>
      </c>
      <c r="K309" t="s">
        <v>4672</v>
      </c>
      <c r="L309" t="s">
        <v>2697</v>
      </c>
      <c r="M309">
        <v>45815</v>
      </c>
      <c r="N309" s="641">
        <f>+transaction_statement_01_Jan_2026_28_Feb_2026[[#This Row],[Orig amount]]/100</f>
        <v>458.15</v>
      </c>
      <c r="O309" t="s">
        <v>2697</v>
      </c>
      <c r="P309">
        <v>-45815</v>
      </c>
      <c r="Q309">
        <v>-45815</v>
      </c>
      <c r="S309">
        <v>0</v>
      </c>
      <c r="T309" t="s">
        <v>2697</v>
      </c>
      <c r="U309">
        <v>221732</v>
      </c>
      <c r="V309" t="s">
        <v>4965</v>
      </c>
      <c r="X309" t="s">
        <v>4672</v>
      </c>
      <c r="Y309" t="s">
        <v>5513</v>
      </c>
      <c r="Z309" t="s">
        <v>5514</v>
      </c>
      <c r="AB309" t="s">
        <v>4672</v>
      </c>
      <c r="AC309" t="s">
        <v>4672</v>
      </c>
    </row>
    <row r="310" spans="1:29" hidden="1">
      <c r="A310" s="10">
        <v>46056</v>
      </c>
      <c r="B310" s="10">
        <v>46057</v>
      </c>
      <c r="C310" t="s">
        <v>5515</v>
      </c>
      <c r="D310" t="s">
        <v>4977</v>
      </c>
      <c r="E310" t="s">
        <v>4962</v>
      </c>
      <c r="F310" t="s">
        <v>5516</v>
      </c>
      <c r="G310" t="s">
        <v>4672</v>
      </c>
      <c r="H310" t="s">
        <v>4970</v>
      </c>
      <c r="I310" t="s">
        <v>4979</v>
      </c>
      <c r="J310" t="s">
        <v>4980</v>
      </c>
      <c r="K310" t="s">
        <v>4981</v>
      </c>
      <c r="L310" t="s">
        <v>2548</v>
      </c>
      <c r="M310">
        <v>23681</v>
      </c>
      <c r="N310" s="641">
        <f>+transaction_statement_01_Jan_2026_28_Feb_2026[[#This Row],[Orig amount]]/100</f>
        <v>236.81</v>
      </c>
      <c r="O310" t="s">
        <v>2697</v>
      </c>
      <c r="P310">
        <v>-20071</v>
      </c>
      <c r="Q310">
        <v>-20071</v>
      </c>
      <c r="R310">
        <v>1179886</v>
      </c>
      <c r="S310">
        <v>0</v>
      </c>
      <c r="T310" t="s">
        <v>2697</v>
      </c>
      <c r="U310">
        <v>267547</v>
      </c>
      <c r="V310" t="s">
        <v>4965</v>
      </c>
      <c r="X310" t="s">
        <v>4672</v>
      </c>
      <c r="Y310" t="s">
        <v>4672</v>
      </c>
      <c r="Z310" t="s">
        <v>4672</v>
      </c>
      <c r="AA310">
        <v>5734</v>
      </c>
      <c r="AB310" t="s">
        <v>4672</v>
      </c>
      <c r="AC310" t="s">
        <v>4672</v>
      </c>
    </row>
    <row r="311" spans="1:29" hidden="1">
      <c r="A311" s="10">
        <v>46057</v>
      </c>
      <c r="B311" s="10">
        <v>46057</v>
      </c>
      <c r="C311" t="s">
        <v>5517</v>
      </c>
      <c r="D311" t="s">
        <v>4961</v>
      </c>
      <c r="E311" t="s">
        <v>4962</v>
      </c>
      <c r="F311" t="s">
        <v>5025</v>
      </c>
      <c r="G311" t="s">
        <v>5026</v>
      </c>
      <c r="H311" t="s">
        <v>4672</v>
      </c>
      <c r="I311" t="s">
        <v>4672</v>
      </c>
      <c r="J311" t="s">
        <v>4672</v>
      </c>
      <c r="K311" t="s">
        <v>4672</v>
      </c>
      <c r="L311" t="s">
        <v>2697</v>
      </c>
      <c r="M311">
        <v>94327</v>
      </c>
      <c r="N311" s="641">
        <f>+transaction_statement_01_Jan_2026_28_Feb_2026[[#This Row],[Orig amount]]/100</f>
        <v>943.27</v>
      </c>
      <c r="O311" t="s">
        <v>2697</v>
      </c>
      <c r="P311">
        <v>94327</v>
      </c>
      <c r="Q311">
        <v>94327</v>
      </c>
      <c r="S311">
        <v>0</v>
      </c>
      <c r="T311" t="s">
        <v>2697</v>
      </c>
      <c r="U311">
        <v>287618</v>
      </c>
      <c r="V311" t="s">
        <v>4965</v>
      </c>
      <c r="X311" t="s">
        <v>4672</v>
      </c>
      <c r="Y311" t="s">
        <v>4672</v>
      </c>
      <c r="Z311" t="s">
        <v>4672</v>
      </c>
      <c r="AB311" t="s">
        <v>4672</v>
      </c>
      <c r="AC311" t="s">
        <v>4672</v>
      </c>
    </row>
    <row r="312" spans="1:29" hidden="1">
      <c r="A312" s="10">
        <v>46057</v>
      </c>
      <c r="B312" s="10">
        <v>46057</v>
      </c>
      <c r="C312" t="s">
        <v>5518</v>
      </c>
      <c r="D312" t="s">
        <v>4967</v>
      </c>
      <c r="E312" t="s">
        <v>4962</v>
      </c>
      <c r="F312" t="s">
        <v>5519</v>
      </c>
      <c r="G312" t="s">
        <v>5520</v>
      </c>
      <c r="H312" t="s">
        <v>4970</v>
      </c>
      <c r="I312" t="s">
        <v>4672</v>
      </c>
      <c r="J312" t="s">
        <v>4672</v>
      </c>
      <c r="K312" t="s">
        <v>4672</v>
      </c>
      <c r="L312" t="s">
        <v>2697</v>
      </c>
      <c r="M312">
        <v>72501</v>
      </c>
      <c r="N312" s="641">
        <f>+transaction_statement_01_Jan_2026_28_Feb_2026[[#This Row],[Orig amount]]/100</f>
        <v>725.01</v>
      </c>
      <c r="O312" t="s">
        <v>2697</v>
      </c>
      <c r="P312">
        <v>-72501</v>
      </c>
      <c r="Q312">
        <v>-72501</v>
      </c>
      <c r="S312">
        <v>0</v>
      </c>
      <c r="T312" t="s">
        <v>2697</v>
      </c>
      <c r="U312">
        <v>193291</v>
      </c>
      <c r="V312" t="s">
        <v>4965</v>
      </c>
      <c r="X312" t="s">
        <v>4672</v>
      </c>
      <c r="Y312" t="s">
        <v>5521</v>
      </c>
      <c r="Z312" t="s">
        <v>5522</v>
      </c>
      <c r="AB312" t="s">
        <v>4672</v>
      </c>
      <c r="AC312" t="s">
        <v>4672</v>
      </c>
    </row>
    <row r="313" spans="1:29" hidden="1">
      <c r="A313" s="10">
        <v>46057</v>
      </c>
      <c r="B313" s="10">
        <v>46057</v>
      </c>
      <c r="C313" t="s">
        <v>5523</v>
      </c>
      <c r="D313" t="s">
        <v>4961</v>
      </c>
      <c r="E313" t="s">
        <v>4962</v>
      </c>
      <c r="F313" t="s">
        <v>5383</v>
      </c>
      <c r="G313" t="s">
        <v>5384</v>
      </c>
      <c r="H313" t="s">
        <v>4672</v>
      </c>
      <c r="I313" t="s">
        <v>4672</v>
      </c>
      <c r="J313" t="s">
        <v>4672</v>
      </c>
      <c r="K313" t="s">
        <v>4672</v>
      </c>
      <c r="L313" t="s">
        <v>2697</v>
      </c>
      <c r="M313">
        <v>100000</v>
      </c>
      <c r="N313" s="641">
        <f>+transaction_statement_01_Jan_2026_28_Feb_2026[[#This Row],[Orig amount]]/100</f>
        <v>1000</v>
      </c>
      <c r="O313" t="s">
        <v>2697</v>
      </c>
      <c r="P313">
        <v>100000</v>
      </c>
      <c r="Q313">
        <v>100000</v>
      </c>
      <c r="S313">
        <v>0</v>
      </c>
      <c r="T313" t="s">
        <v>2697</v>
      </c>
      <c r="U313">
        <v>265792</v>
      </c>
      <c r="V313" t="s">
        <v>4965</v>
      </c>
      <c r="X313" t="s">
        <v>4672</v>
      </c>
      <c r="Y313" t="s">
        <v>4672</v>
      </c>
      <c r="Z313" t="s">
        <v>4672</v>
      </c>
      <c r="AB313" t="s">
        <v>4672</v>
      </c>
      <c r="AC313" t="s">
        <v>4672</v>
      </c>
    </row>
    <row r="314" spans="1:29" hidden="1">
      <c r="A314" s="10">
        <v>46056</v>
      </c>
      <c r="B314" s="10">
        <v>46057</v>
      </c>
      <c r="C314" t="s">
        <v>5524</v>
      </c>
      <c r="D314" t="s">
        <v>5362</v>
      </c>
      <c r="E314" t="s">
        <v>4962</v>
      </c>
      <c r="F314" t="s">
        <v>5525</v>
      </c>
      <c r="G314" t="s">
        <v>4672</v>
      </c>
      <c r="H314" t="s">
        <v>4970</v>
      </c>
      <c r="I314" t="s">
        <v>4979</v>
      </c>
      <c r="J314" t="s">
        <v>4980</v>
      </c>
      <c r="K314" t="s">
        <v>4981</v>
      </c>
      <c r="L314" t="s">
        <v>2697</v>
      </c>
      <c r="M314">
        <v>1799</v>
      </c>
      <c r="N314" s="641">
        <f>+transaction_statement_01_Jan_2026_28_Feb_2026[[#This Row],[Orig amount]]/100</f>
        <v>17.989999999999998</v>
      </c>
      <c r="O314" t="s">
        <v>2697</v>
      </c>
      <c r="P314">
        <v>1799</v>
      </c>
      <c r="Q314">
        <v>1799</v>
      </c>
      <c r="S314">
        <v>0</v>
      </c>
      <c r="T314" t="s">
        <v>2697</v>
      </c>
      <c r="U314">
        <v>165792</v>
      </c>
      <c r="V314" t="s">
        <v>4965</v>
      </c>
      <c r="X314" t="s">
        <v>4672</v>
      </c>
      <c r="Y314" t="s">
        <v>4672</v>
      </c>
      <c r="Z314" t="s">
        <v>4672</v>
      </c>
      <c r="AA314">
        <v>5815</v>
      </c>
      <c r="AB314" t="s">
        <v>5526</v>
      </c>
      <c r="AC314" t="s">
        <v>4672</v>
      </c>
    </row>
    <row r="315" spans="1:29" hidden="1">
      <c r="A315" s="10">
        <v>46056</v>
      </c>
      <c r="B315" s="10">
        <v>46057</v>
      </c>
      <c r="C315" t="s">
        <v>5527</v>
      </c>
      <c r="D315" t="s">
        <v>4977</v>
      </c>
      <c r="E315" t="s">
        <v>4962</v>
      </c>
      <c r="F315" t="s">
        <v>5445</v>
      </c>
      <c r="G315" t="s">
        <v>4672</v>
      </c>
      <c r="H315" t="s">
        <v>4970</v>
      </c>
      <c r="I315" t="s">
        <v>4979</v>
      </c>
      <c r="J315" t="s">
        <v>4980</v>
      </c>
      <c r="K315" t="s">
        <v>4981</v>
      </c>
      <c r="L315" t="s">
        <v>2697</v>
      </c>
      <c r="M315">
        <v>50000</v>
      </c>
      <c r="N315" s="641">
        <f>+transaction_statement_01_Jan_2026_28_Feb_2026[[#This Row],[Orig amount]]/100</f>
        <v>500</v>
      </c>
      <c r="O315" t="s">
        <v>2697</v>
      </c>
      <c r="P315">
        <v>-50000</v>
      </c>
      <c r="Q315">
        <v>-50000</v>
      </c>
      <c r="S315">
        <v>0</v>
      </c>
      <c r="T315" t="s">
        <v>2697</v>
      </c>
      <c r="U315">
        <v>163993</v>
      </c>
      <c r="V315" t="s">
        <v>4965</v>
      </c>
      <c r="X315" t="s">
        <v>4672</v>
      </c>
      <c r="Y315" t="s">
        <v>4672</v>
      </c>
      <c r="Z315" t="s">
        <v>4672</v>
      </c>
      <c r="AA315">
        <v>7311</v>
      </c>
      <c r="AB315" t="s">
        <v>4672</v>
      </c>
      <c r="AC315" t="s">
        <v>4672</v>
      </c>
    </row>
    <row r="316" spans="1:29" hidden="1">
      <c r="A316" s="10">
        <v>46056</v>
      </c>
      <c r="B316" s="10">
        <v>46057</v>
      </c>
      <c r="C316" t="s">
        <v>5528</v>
      </c>
      <c r="D316" t="s">
        <v>4977</v>
      </c>
      <c r="E316" t="s">
        <v>4962</v>
      </c>
      <c r="F316" t="s">
        <v>5000</v>
      </c>
      <c r="G316" t="s">
        <v>4672</v>
      </c>
      <c r="H316" t="s">
        <v>4970</v>
      </c>
      <c r="I316" t="s">
        <v>4979</v>
      </c>
      <c r="J316" t="s">
        <v>4980</v>
      </c>
      <c r="K316" t="s">
        <v>4981</v>
      </c>
      <c r="L316" t="s">
        <v>2697</v>
      </c>
      <c r="M316">
        <v>4515</v>
      </c>
      <c r="N316" s="641">
        <f>+transaction_statement_01_Jan_2026_28_Feb_2026[[#This Row],[Orig amount]]/100</f>
        <v>45.15</v>
      </c>
      <c r="O316" t="s">
        <v>2697</v>
      </c>
      <c r="P316">
        <v>-4515</v>
      </c>
      <c r="Q316">
        <v>-4515</v>
      </c>
      <c r="S316">
        <v>0</v>
      </c>
      <c r="T316" t="s">
        <v>2697</v>
      </c>
      <c r="U316">
        <v>213993</v>
      </c>
      <c r="V316" t="s">
        <v>4965</v>
      </c>
      <c r="X316" t="s">
        <v>4672</v>
      </c>
      <c r="Y316" t="s">
        <v>4672</v>
      </c>
      <c r="Z316" t="s">
        <v>4672</v>
      </c>
      <c r="AA316">
        <v>7372</v>
      </c>
      <c r="AB316" t="s">
        <v>4672</v>
      </c>
      <c r="AC316" t="s">
        <v>4672</v>
      </c>
    </row>
    <row r="317" spans="1:29" hidden="1">
      <c r="A317" s="10">
        <v>46056</v>
      </c>
      <c r="B317" s="10">
        <v>46057</v>
      </c>
      <c r="C317" t="s">
        <v>5529</v>
      </c>
      <c r="D317" t="s">
        <v>4977</v>
      </c>
      <c r="E317" t="s">
        <v>4962</v>
      </c>
      <c r="F317" t="s">
        <v>5000</v>
      </c>
      <c r="G317" t="s">
        <v>4672</v>
      </c>
      <c r="H317" t="s">
        <v>4970</v>
      </c>
      <c r="I317" t="s">
        <v>4979</v>
      </c>
      <c r="J317" t="s">
        <v>4980</v>
      </c>
      <c r="K317" t="s">
        <v>4981</v>
      </c>
      <c r="L317" t="s">
        <v>2697</v>
      </c>
      <c r="M317">
        <v>4514</v>
      </c>
      <c r="N317" s="641">
        <f>+transaction_statement_01_Jan_2026_28_Feb_2026[[#This Row],[Orig amount]]/100</f>
        <v>45.14</v>
      </c>
      <c r="O317" t="s">
        <v>2697</v>
      </c>
      <c r="P317">
        <v>-4514</v>
      </c>
      <c r="Q317">
        <v>-4514</v>
      </c>
      <c r="S317">
        <v>0</v>
      </c>
      <c r="T317" t="s">
        <v>2697</v>
      </c>
      <c r="U317">
        <v>218508</v>
      </c>
      <c r="V317" t="s">
        <v>4965</v>
      </c>
      <c r="X317" t="s">
        <v>4672</v>
      </c>
      <c r="Y317" t="s">
        <v>4672</v>
      </c>
      <c r="Z317" t="s">
        <v>4672</v>
      </c>
      <c r="AA317">
        <v>7372</v>
      </c>
      <c r="AB317" t="s">
        <v>4672</v>
      </c>
      <c r="AC317" t="s">
        <v>4672</v>
      </c>
    </row>
    <row r="318" spans="1:29" hidden="1">
      <c r="A318" s="10">
        <v>46057</v>
      </c>
      <c r="B318" s="10">
        <v>46057</v>
      </c>
      <c r="C318" t="s">
        <v>5530</v>
      </c>
      <c r="D318" t="s">
        <v>4967</v>
      </c>
      <c r="E318" t="s">
        <v>4962</v>
      </c>
      <c r="F318" t="s">
        <v>5058</v>
      </c>
      <c r="G318" t="s">
        <v>5059</v>
      </c>
      <c r="H318" t="s">
        <v>4970</v>
      </c>
      <c r="I318" t="s">
        <v>4672</v>
      </c>
      <c r="J318" t="s">
        <v>4672</v>
      </c>
      <c r="K318" t="s">
        <v>4672</v>
      </c>
      <c r="L318" t="s">
        <v>2697</v>
      </c>
      <c r="M318">
        <v>50000</v>
      </c>
      <c r="N318" s="641">
        <f>+transaction_statement_01_Jan_2026_28_Feb_2026[[#This Row],[Orig amount]]/100</f>
        <v>500</v>
      </c>
      <c r="O318" t="s">
        <v>2697</v>
      </c>
      <c r="P318">
        <v>-50000</v>
      </c>
      <c r="Q318">
        <v>-50000</v>
      </c>
      <c r="S318">
        <v>0</v>
      </c>
      <c r="T318" t="s">
        <v>2697</v>
      </c>
      <c r="U318">
        <v>223022</v>
      </c>
      <c r="V318" t="s">
        <v>4965</v>
      </c>
      <c r="X318" t="s">
        <v>4672</v>
      </c>
      <c r="Y318" t="s">
        <v>5060</v>
      </c>
      <c r="Z318" t="s">
        <v>5031</v>
      </c>
      <c r="AB318" t="s">
        <v>4672</v>
      </c>
      <c r="AC318" t="s">
        <v>4672</v>
      </c>
    </row>
    <row r="319" spans="1:29" hidden="1">
      <c r="A319" s="10">
        <v>46057</v>
      </c>
      <c r="B319" s="10">
        <v>46057</v>
      </c>
      <c r="C319" t="s">
        <v>5531</v>
      </c>
      <c r="D319" t="s">
        <v>4967</v>
      </c>
      <c r="E319" t="s">
        <v>4962</v>
      </c>
      <c r="F319" t="s">
        <v>5041</v>
      </c>
      <c r="G319" t="s">
        <v>5042</v>
      </c>
      <c r="H319" t="s">
        <v>4970</v>
      </c>
      <c r="I319" t="s">
        <v>4672</v>
      </c>
      <c r="J319" t="s">
        <v>4672</v>
      </c>
      <c r="K319" t="s">
        <v>4672</v>
      </c>
      <c r="L319" t="s">
        <v>2697</v>
      </c>
      <c r="M319">
        <v>150000</v>
      </c>
      <c r="N319" s="641">
        <f>+transaction_statement_01_Jan_2026_28_Feb_2026[[#This Row],[Orig amount]]/100</f>
        <v>1500</v>
      </c>
      <c r="O319" t="s">
        <v>2697</v>
      </c>
      <c r="P319">
        <v>-150000</v>
      </c>
      <c r="Q319">
        <v>-150000</v>
      </c>
      <c r="S319">
        <v>0</v>
      </c>
      <c r="T319" t="s">
        <v>2697</v>
      </c>
      <c r="U319">
        <v>273022</v>
      </c>
      <c r="V319" t="s">
        <v>4965</v>
      </c>
      <c r="X319" t="s">
        <v>4672</v>
      </c>
      <c r="Y319" t="s">
        <v>5043</v>
      </c>
      <c r="Z319" t="s">
        <v>5044</v>
      </c>
      <c r="AB319" t="s">
        <v>4672</v>
      </c>
      <c r="AC319" t="s">
        <v>4672</v>
      </c>
    </row>
    <row r="320" spans="1:29" hidden="1">
      <c r="A320" s="10">
        <v>46057</v>
      </c>
      <c r="B320" s="10">
        <v>46057</v>
      </c>
      <c r="C320" t="s">
        <v>5532</v>
      </c>
      <c r="D320" t="s">
        <v>4961</v>
      </c>
      <c r="E320" t="s">
        <v>4962</v>
      </c>
      <c r="F320" t="s">
        <v>5025</v>
      </c>
      <c r="G320" t="s">
        <v>5026</v>
      </c>
      <c r="H320" t="s">
        <v>4672</v>
      </c>
      <c r="I320" t="s">
        <v>4672</v>
      </c>
      <c r="J320" t="s">
        <v>4672</v>
      </c>
      <c r="K320" t="s">
        <v>4672</v>
      </c>
      <c r="L320" t="s">
        <v>2697</v>
      </c>
      <c r="M320">
        <v>269964</v>
      </c>
      <c r="N320" s="641">
        <f>+transaction_statement_01_Jan_2026_28_Feb_2026[[#This Row],[Orig amount]]/100</f>
        <v>2699.64</v>
      </c>
      <c r="O320" t="s">
        <v>2697</v>
      </c>
      <c r="P320">
        <v>269964</v>
      </c>
      <c r="Q320">
        <v>269964</v>
      </c>
      <c r="S320">
        <v>0</v>
      </c>
      <c r="T320" t="s">
        <v>2697</v>
      </c>
      <c r="U320">
        <v>423022</v>
      </c>
      <c r="V320" t="s">
        <v>4965</v>
      </c>
      <c r="X320" t="s">
        <v>4672</v>
      </c>
      <c r="Y320" t="s">
        <v>4672</v>
      </c>
      <c r="Z320" t="s">
        <v>4672</v>
      </c>
      <c r="AB320" t="s">
        <v>4672</v>
      </c>
      <c r="AC320" t="s">
        <v>4672</v>
      </c>
    </row>
    <row r="321" spans="1:29" hidden="1">
      <c r="A321" s="10">
        <v>46057</v>
      </c>
      <c r="B321" s="10">
        <v>46057</v>
      </c>
      <c r="C321" t="s">
        <v>5533</v>
      </c>
      <c r="D321" t="s">
        <v>4967</v>
      </c>
      <c r="E321" t="s">
        <v>4962</v>
      </c>
      <c r="F321" t="s">
        <v>5041</v>
      </c>
      <c r="G321" t="s">
        <v>5042</v>
      </c>
      <c r="H321" t="s">
        <v>4970</v>
      </c>
      <c r="I321" t="s">
        <v>4672</v>
      </c>
      <c r="J321" t="s">
        <v>4672</v>
      </c>
      <c r="K321" t="s">
        <v>4672</v>
      </c>
      <c r="L321" t="s">
        <v>2697</v>
      </c>
      <c r="M321">
        <v>100000</v>
      </c>
      <c r="N321" s="641">
        <f>+transaction_statement_01_Jan_2026_28_Feb_2026[[#This Row],[Orig amount]]/100</f>
        <v>1000</v>
      </c>
      <c r="O321" t="s">
        <v>2697</v>
      </c>
      <c r="P321">
        <v>-100000</v>
      </c>
      <c r="Q321">
        <v>-100000</v>
      </c>
      <c r="S321">
        <v>0</v>
      </c>
      <c r="T321" t="s">
        <v>2697</v>
      </c>
      <c r="U321">
        <v>153058</v>
      </c>
      <c r="V321" t="s">
        <v>4965</v>
      </c>
      <c r="X321" t="s">
        <v>4672</v>
      </c>
      <c r="Y321" t="s">
        <v>5043</v>
      </c>
      <c r="Z321" t="s">
        <v>5044</v>
      </c>
      <c r="AB321" t="s">
        <v>4672</v>
      </c>
      <c r="AC321" t="s">
        <v>4672</v>
      </c>
    </row>
    <row r="322" spans="1:29" hidden="1">
      <c r="A322" s="10">
        <v>46055</v>
      </c>
      <c r="B322" s="10">
        <v>46056</v>
      </c>
      <c r="C322" t="s">
        <v>5534</v>
      </c>
      <c r="D322" t="s">
        <v>4977</v>
      </c>
      <c r="E322" t="s">
        <v>4962</v>
      </c>
      <c r="F322" t="s">
        <v>5156</v>
      </c>
      <c r="G322" t="s">
        <v>4672</v>
      </c>
      <c r="H322" t="s">
        <v>4970</v>
      </c>
      <c r="I322" t="s">
        <v>4979</v>
      </c>
      <c r="J322" t="s">
        <v>4980</v>
      </c>
      <c r="K322" t="s">
        <v>4981</v>
      </c>
      <c r="L322" t="s">
        <v>2548</v>
      </c>
      <c r="M322">
        <v>20000</v>
      </c>
      <c r="N322" s="641">
        <f>+transaction_statement_01_Jan_2026_28_Feb_2026[[#This Row],[Orig amount]]/100</f>
        <v>200</v>
      </c>
      <c r="O322" t="s">
        <v>2697</v>
      </c>
      <c r="P322">
        <v>-16932</v>
      </c>
      <c r="Q322">
        <v>-16932</v>
      </c>
      <c r="R322">
        <v>1181241</v>
      </c>
      <c r="S322">
        <v>0</v>
      </c>
      <c r="T322" t="s">
        <v>2697</v>
      </c>
      <c r="U322">
        <v>253058</v>
      </c>
      <c r="V322" t="s">
        <v>4965</v>
      </c>
      <c r="X322" t="s">
        <v>4672</v>
      </c>
      <c r="Y322" t="s">
        <v>4672</v>
      </c>
      <c r="Z322" t="s">
        <v>4672</v>
      </c>
      <c r="AA322">
        <v>5734</v>
      </c>
      <c r="AB322" t="s">
        <v>4672</v>
      </c>
      <c r="AC322" t="s">
        <v>4672</v>
      </c>
    </row>
    <row r="323" spans="1:29" hidden="1">
      <c r="A323" s="10">
        <v>46056</v>
      </c>
      <c r="B323" s="10">
        <v>46056</v>
      </c>
      <c r="C323" t="s">
        <v>5535</v>
      </c>
      <c r="D323" t="s">
        <v>4961</v>
      </c>
      <c r="E323" t="s">
        <v>4962</v>
      </c>
      <c r="F323" t="s">
        <v>5025</v>
      </c>
      <c r="G323" t="s">
        <v>5026</v>
      </c>
      <c r="H323" t="s">
        <v>4672</v>
      </c>
      <c r="I323" t="s">
        <v>4672</v>
      </c>
      <c r="J323" t="s">
        <v>4672</v>
      </c>
      <c r="K323" t="s">
        <v>4672</v>
      </c>
      <c r="L323" t="s">
        <v>2697</v>
      </c>
      <c r="M323">
        <v>92843</v>
      </c>
      <c r="N323" s="641">
        <f>+transaction_statement_01_Jan_2026_28_Feb_2026[[#This Row],[Orig amount]]/100</f>
        <v>928.43</v>
      </c>
      <c r="O323" t="s">
        <v>2697</v>
      </c>
      <c r="P323">
        <v>92843</v>
      </c>
      <c r="Q323">
        <v>92843</v>
      </c>
      <c r="S323">
        <v>0</v>
      </c>
      <c r="T323" t="s">
        <v>2697</v>
      </c>
      <c r="U323">
        <v>269990</v>
      </c>
      <c r="V323" t="s">
        <v>4965</v>
      </c>
      <c r="X323" t="s">
        <v>4672</v>
      </c>
      <c r="Y323" t="s">
        <v>4672</v>
      </c>
      <c r="Z323" t="s">
        <v>4672</v>
      </c>
      <c r="AB323" t="s">
        <v>4672</v>
      </c>
      <c r="AC323" t="s">
        <v>4672</v>
      </c>
    </row>
    <row r="324" spans="1:29" hidden="1">
      <c r="A324" s="10">
        <v>46056</v>
      </c>
      <c r="B324" s="10">
        <v>46056</v>
      </c>
      <c r="C324" t="s">
        <v>5536</v>
      </c>
      <c r="D324" t="s">
        <v>4967</v>
      </c>
      <c r="E324" t="s">
        <v>4962</v>
      </c>
      <c r="F324" t="s">
        <v>3692</v>
      </c>
      <c r="G324" t="s">
        <v>5125</v>
      </c>
      <c r="H324" t="s">
        <v>4672</v>
      </c>
      <c r="I324" t="s">
        <v>4672</v>
      </c>
      <c r="J324" t="s">
        <v>4672</v>
      </c>
      <c r="K324" t="s">
        <v>4672</v>
      </c>
      <c r="L324" t="s">
        <v>2697</v>
      </c>
      <c r="M324">
        <v>14904</v>
      </c>
      <c r="N324" s="641">
        <f>+transaction_statement_01_Jan_2026_28_Feb_2026[[#This Row],[Orig amount]]/100</f>
        <v>149.04</v>
      </c>
      <c r="O324" t="s">
        <v>2697</v>
      </c>
      <c r="P324">
        <v>-14904</v>
      </c>
      <c r="Q324">
        <v>-14904</v>
      </c>
      <c r="S324">
        <v>0</v>
      </c>
      <c r="T324" t="s">
        <v>2697</v>
      </c>
      <c r="U324">
        <v>177147</v>
      </c>
      <c r="V324" t="s">
        <v>4965</v>
      </c>
      <c r="X324" t="s">
        <v>4672</v>
      </c>
      <c r="Y324" t="s">
        <v>5126</v>
      </c>
      <c r="Z324" t="s">
        <v>5127</v>
      </c>
      <c r="AB324" t="s">
        <v>4672</v>
      </c>
      <c r="AC324" t="s">
        <v>4672</v>
      </c>
    </row>
    <row r="325" spans="1:29" hidden="1">
      <c r="A325" s="10">
        <v>46056</v>
      </c>
      <c r="B325" s="10">
        <v>46056</v>
      </c>
      <c r="C325" t="s">
        <v>5537</v>
      </c>
      <c r="D325" t="s">
        <v>4961</v>
      </c>
      <c r="E325" t="s">
        <v>4962</v>
      </c>
      <c r="F325" t="s">
        <v>5025</v>
      </c>
      <c r="G325" t="s">
        <v>5026</v>
      </c>
      <c r="H325" t="s">
        <v>4672</v>
      </c>
      <c r="I325" t="s">
        <v>4672</v>
      </c>
      <c r="J325" t="s">
        <v>4672</v>
      </c>
      <c r="K325" t="s">
        <v>4672</v>
      </c>
      <c r="L325" t="s">
        <v>2697</v>
      </c>
      <c r="M325">
        <v>56856</v>
      </c>
      <c r="N325" s="641">
        <f>+transaction_statement_01_Jan_2026_28_Feb_2026[[#This Row],[Orig amount]]/100</f>
        <v>568.55999999999995</v>
      </c>
      <c r="O325" t="s">
        <v>2697</v>
      </c>
      <c r="P325">
        <v>56856</v>
      </c>
      <c r="Q325">
        <v>56856</v>
      </c>
      <c r="S325">
        <v>0</v>
      </c>
      <c r="T325" t="s">
        <v>2697</v>
      </c>
      <c r="U325">
        <v>192051</v>
      </c>
      <c r="V325" t="s">
        <v>4965</v>
      </c>
      <c r="X325" t="s">
        <v>4672</v>
      </c>
      <c r="Y325" t="s">
        <v>4672</v>
      </c>
      <c r="Z325" t="s">
        <v>4672</v>
      </c>
      <c r="AB325" t="s">
        <v>4672</v>
      </c>
      <c r="AC325" t="s">
        <v>4672</v>
      </c>
    </row>
    <row r="326" spans="1:29" hidden="1">
      <c r="A326" s="10">
        <v>46055</v>
      </c>
      <c r="B326" s="10">
        <v>46056</v>
      </c>
      <c r="C326" t="s">
        <v>5538</v>
      </c>
      <c r="D326" t="s">
        <v>4977</v>
      </c>
      <c r="E326" t="s">
        <v>4962</v>
      </c>
      <c r="F326" t="s">
        <v>5000</v>
      </c>
      <c r="G326" t="s">
        <v>4672</v>
      </c>
      <c r="H326" t="s">
        <v>4970</v>
      </c>
      <c r="I326" t="s">
        <v>4979</v>
      </c>
      <c r="J326" t="s">
        <v>4980</v>
      </c>
      <c r="K326" t="s">
        <v>4981</v>
      </c>
      <c r="L326" t="s">
        <v>2697</v>
      </c>
      <c r="M326">
        <v>4702</v>
      </c>
      <c r="N326" s="641">
        <f>+transaction_statement_01_Jan_2026_28_Feb_2026[[#This Row],[Orig amount]]/100</f>
        <v>47.02</v>
      </c>
      <c r="O326" t="s">
        <v>2697</v>
      </c>
      <c r="P326">
        <v>-4702</v>
      </c>
      <c r="Q326">
        <v>-4702</v>
      </c>
      <c r="S326">
        <v>0</v>
      </c>
      <c r="T326" t="s">
        <v>2697</v>
      </c>
      <c r="U326">
        <v>135195</v>
      </c>
      <c r="V326" t="s">
        <v>4965</v>
      </c>
      <c r="X326" t="s">
        <v>4672</v>
      </c>
      <c r="Y326" t="s">
        <v>4672</v>
      </c>
      <c r="Z326" t="s">
        <v>4672</v>
      </c>
      <c r="AA326">
        <v>7372</v>
      </c>
      <c r="AB326" t="s">
        <v>4672</v>
      </c>
      <c r="AC326" t="s">
        <v>4672</v>
      </c>
    </row>
    <row r="327" spans="1:29" hidden="1">
      <c r="A327" s="10">
        <v>46055</v>
      </c>
      <c r="B327" s="10">
        <v>46056</v>
      </c>
      <c r="C327" t="s">
        <v>5539</v>
      </c>
      <c r="D327" t="s">
        <v>4977</v>
      </c>
      <c r="E327" t="s">
        <v>4962</v>
      </c>
      <c r="F327" t="s">
        <v>5163</v>
      </c>
      <c r="G327" t="s">
        <v>4672</v>
      </c>
      <c r="H327" t="s">
        <v>4970</v>
      </c>
      <c r="I327" t="s">
        <v>4979</v>
      </c>
      <c r="J327" t="s">
        <v>4980</v>
      </c>
      <c r="K327" t="s">
        <v>4981</v>
      </c>
      <c r="L327" t="s">
        <v>2697</v>
      </c>
      <c r="M327">
        <v>1099</v>
      </c>
      <c r="N327" s="641">
        <f>+transaction_statement_01_Jan_2026_28_Feb_2026[[#This Row],[Orig amount]]/100</f>
        <v>10.99</v>
      </c>
      <c r="O327" t="s">
        <v>2697</v>
      </c>
      <c r="P327">
        <v>-1099</v>
      </c>
      <c r="Q327">
        <v>-1099</v>
      </c>
      <c r="S327">
        <v>0</v>
      </c>
      <c r="T327" t="s">
        <v>2697</v>
      </c>
      <c r="U327">
        <v>139897</v>
      </c>
      <c r="V327" t="s">
        <v>4965</v>
      </c>
      <c r="X327" t="s">
        <v>4672</v>
      </c>
      <c r="Y327" t="s">
        <v>4672</v>
      </c>
      <c r="Z327" t="s">
        <v>4672</v>
      </c>
      <c r="AA327">
        <v>5815</v>
      </c>
      <c r="AB327" t="s">
        <v>4672</v>
      </c>
      <c r="AC327" t="s">
        <v>4672</v>
      </c>
    </row>
    <row r="328" spans="1:29" hidden="1">
      <c r="A328" s="10">
        <v>46056</v>
      </c>
      <c r="B328" s="10">
        <v>46056</v>
      </c>
      <c r="C328" t="s">
        <v>5540</v>
      </c>
      <c r="D328" t="s">
        <v>4967</v>
      </c>
      <c r="E328" t="s">
        <v>4962</v>
      </c>
      <c r="F328" t="s">
        <v>5009</v>
      </c>
      <c r="G328" t="s">
        <v>5541</v>
      </c>
      <c r="H328" t="s">
        <v>4970</v>
      </c>
      <c r="I328" t="s">
        <v>4672</v>
      </c>
      <c r="J328" t="s">
        <v>4672</v>
      </c>
      <c r="K328" t="s">
        <v>4672</v>
      </c>
      <c r="L328" t="s">
        <v>2697</v>
      </c>
      <c r="M328">
        <v>180000</v>
      </c>
      <c r="N328" s="641">
        <f>+transaction_statement_01_Jan_2026_28_Feb_2026[[#This Row],[Orig amount]]/100</f>
        <v>1800</v>
      </c>
      <c r="O328" t="s">
        <v>2697</v>
      </c>
      <c r="P328">
        <v>-180000</v>
      </c>
      <c r="Q328">
        <v>-180000</v>
      </c>
      <c r="S328">
        <v>0</v>
      </c>
      <c r="T328" t="s">
        <v>2697</v>
      </c>
      <c r="U328">
        <v>140996</v>
      </c>
      <c r="V328" t="s">
        <v>4965</v>
      </c>
      <c r="X328" t="s">
        <v>4672</v>
      </c>
      <c r="Y328" t="s">
        <v>5542</v>
      </c>
      <c r="Z328" t="s">
        <v>5031</v>
      </c>
      <c r="AB328" t="s">
        <v>4672</v>
      </c>
      <c r="AC328" t="s">
        <v>4672</v>
      </c>
    </row>
    <row r="329" spans="1:29" hidden="1">
      <c r="A329" s="10">
        <v>46056</v>
      </c>
      <c r="B329" s="10">
        <v>46056</v>
      </c>
      <c r="C329" t="s">
        <v>5543</v>
      </c>
      <c r="D329" t="s">
        <v>4961</v>
      </c>
      <c r="E329" t="s">
        <v>4962</v>
      </c>
      <c r="F329" t="s">
        <v>5025</v>
      </c>
      <c r="G329" t="s">
        <v>5026</v>
      </c>
      <c r="H329" t="s">
        <v>4672</v>
      </c>
      <c r="I329" t="s">
        <v>4672</v>
      </c>
      <c r="J329" t="s">
        <v>4672</v>
      </c>
      <c r="K329" t="s">
        <v>4672</v>
      </c>
      <c r="L329" t="s">
        <v>2697</v>
      </c>
      <c r="M329">
        <v>224579</v>
      </c>
      <c r="N329" s="641">
        <f>+transaction_statement_01_Jan_2026_28_Feb_2026[[#This Row],[Orig amount]]/100</f>
        <v>2245.79</v>
      </c>
      <c r="O329" t="s">
        <v>2697</v>
      </c>
      <c r="P329">
        <v>224579</v>
      </c>
      <c r="Q329">
        <v>224579</v>
      </c>
      <c r="S329">
        <v>0</v>
      </c>
      <c r="T329" t="s">
        <v>2697</v>
      </c>
      <c r="U329">
        <v>320996</v>
      </c>
      <c r="V329" t="s">
        <v>4965</v>
      </c>
      <c r="X329" t="s">
        <v>4672</v>
      </c>
      <c r="Y329" t="s">
        <v>4672</v>
      </c>
      <c r="Z329" t="s">
        <v>4672</v>
      </c>
      <c r="AB329" t="s">
        <v>4672</v>
      </c>
      <c r="AC329" t="s">
        <v>4672</v>
      </c>
    </row>
    <row r="330" spans="1:29" hidden="1">
      <c r="A330" s="10">
        <v>46055</v>
      </c>
      <c r="B330" s="10">
        <v>46055</v>
      </c>
      <c r="C330" t="s">
        <v>5544</v>
      </c>
      <c r="D330" t="s">
        <v>4967</v>
      </c>
      <c r="E330" t="s">
        <v>4962</v>
      </c>
      <c r="F330" t="s">
        <v>4968</v>
      </c>
      <c r="G330" t="s">
        <v>4969</v>
      </c>
      <c r="H330" t="s">
        <v>4970</v>
      </c>
      <c r="I330" t="s">
        <v>4672</v>
      </c>
      <c r="J330" t="s">
        <v>4672</v>
      </c>
      <c r="K330" t="s">
        <v>4672</v>
      </c>
      <c r="L330" t="s">
        <v>2697</v>
      </c>
      <c r="M330">
        <v>70000</v>
      </c>
      <c r="N330" s="641">
        <f>+transaction_statement_01_Jan_2026_28_Feb_2026[[#This Row],[Orig amount]]/100</f>
        <v>700</v>
      </c>
      <c r="O330" t="s">
        <v>2697</v>
      </c>
      <c r="P330">
        <v>-70000</v>
      </c>
      <c r="Q330">
        <v>-70000</v>
      </c>
      <c r="S330">
        <v>0</v>
      </c>
      <c r="T330" t="s">
        <v>2697</v>
      </c>
      <c r="U330">
        <v>96417</v>
      </c>
      <c r="V330" t="s">
        <v>4965</v>
      </c>
      <c r="X330" t="s">
        <v>4672</v>
      </c>
      <c r="Y330" t="s">
        <v>4971</v>
      </c>
      <c r="Z330" t="s">
        <v>4972</v>
      </c>
      <c r="AB330" t="s">
        <v>4672</v>
      </c>
      <c r="AC330" t="s">
        <v>4672</v>
      </c>
    </row>
    <row r="331" spans="1:29" hidden="1">
      <c r="A331" s="10">
        <v>46055</v>
      </c>
      <c r="B331" s="10">
        <v>46055</v>
      </c>
      <c r="C331" t="s">
        <v>5545</v>
      </c>
      <c r="D331" t="s">
        <v>4961</v>
      </c>
      <c r="E331" t="s">
        <v>4962</v>
      </c>
      <c r="F331" t="s">
        <v>5025</v>
      </c>
      <c r="G331" t="s">
        <v>5026</v>
      </c>
      <c r="H331" t="s">
        <v>4672</v>
      </c>
      <c r="I331" t="s">
        <v>4672</v>
      </c>
      <c r="J331" t="s">
        <v>4672</v>
      </c>
      <c r="K331" t="s">
        <v>4672</v>
      </c>
      <c r="L331" t="s">
        <v>2697</v>
      </c>
      <c r="M331">
        <v>97525</v>
      </c>
      <c r="N331" s="641">
        <f>+transaction_statement_01_Jan_2026_28_Feb_2026[[#This Row],[Orig amount]]/100</f>
        <v>975.25</v>
      </c>
      <c r="O331" t="s">
        <v>2697</v>
      </c>
      <c r="P331">
        <v>97525</v>
      </c>
      <c r="Q331">
        <v>97525</v>
      </c>
      <c r="S331">
        <v>0</v>
      </c>
      <c r="T331" t="s">
        <v>2697</v>
      </c>
      <c r="U331">
        <v>166417</v>
      </c>
      <c r="V331" t="s">
        <v>4965</v>
      </c>
      <c r="X331" t="s">
        <v>4672</v>
      </c>
      <c r="Y331" t="s">
        <v>4672</v>
      </c>
      <c r="Z331" t="s">
        <v>4672</v>
      </c>
      <c r="AB331" t="s">
        <v>4672</v>
      </c>
      <c r="AC331" t="s">
        <v>4672</v>
      </c>
    </row>
    <row r="332" spans="1:29" hidden="1">
      <c r="A332" s="10">
        <v>46055</v>
      </c>
      <c r="B332" s="10">
        <v>46055</v>
      </c>
      <c r="C332" t="s">
        <v>5546</v>
      </c>
      <c r="D332" t="s">
        <v>4967</v>
      </c>
      <c r="E332" t="s">
        <v>4962</v>
      </c>
      <c r="F332" t="s">
        <v>5454</v>
      </c>
      <c r="G332" t="s">
        <v>5547</v>
      </c>
      <c r="H332" t="s">
        <v>4970</v>
      </c>
      <c r="I332" t="s">
        <v>4672</v>
      </c>
      <c r="J332" t="s">
        <v>4672</v>
      </c>
      <c r="K332" t="s">
        <v>4672</v>
      </c>
      <c r="L332" t="s">
        <v>2697</v>
      </c>
      <c r="M332">
        <v>80000</v>
      </c>
      <c r="N332" s="641">
        <f>+transaction_statement_01_Jan_2026_28_Feb_2026[[#This Row],[Orig amount]]/100</f>
        <v>800</v>
      </c>
      <c r="O332" t="s">
        <v>2697</v>
      </c>
      <c r="P332">
        <v>-80000</v>
      </c>
      <c r="Q332">
        <v>-80000</v>
      </c>
      <c r="S332">
        <v>0</v>
      </c>
      <c r="T332" t="s">
        <v>2697</v>
      </c>
      <c r="U332">
        <v>68892</v>
      </c>
      <c r="V332" t="s">
        <v>4965</v>
      </c>
      <c r="X332" t="s">
        <v>4672</v>
      </c>
      <c r="Y332" t="s">
        <v>5456</v>
      </c>
      <c r="Z332" t="s">
        <v>5457</v>
      </c>
      <c r="AB332" t="s">
        <v>4672</v>
      </c>
      <c r="AC332" t="s">
        <v>4672</v>
      </c>
    </row>
    <row r="333" spans="1:29" hidden="1">
      <c r="A333" s="10">
        <v>46055</v>
      </c>
      <c r="B333" s="10">
        <v>46055</v>
      </c>
      <c r="C333" t="s">
        <v>5548</v>
      </c>
      <c r="D333" t="s">
        <v>4967</v>
      </c>
      <c r="E333" t="s">
        <v>4962</v>
      </c>
      <c r="F333" t="s">
        <v>4968</v>
      </c>
      <c r="G333" t="s">
        <v>4969</v>
      </c>
      <c r="H333" t="s">
        <v>4970</v>
      </c>
      <c r="I333" t="s">
        <v>4672</v>
      </c>
      <c r="J333" t="s">
        <v>4672</v>
      </c>
      <c r="K333" t="s">
        <v>4672</v>
      </c>
      <c r="L333" t="s">
        <v>2697</v>
      </c>
      <c r="M333">
        <v>70000</v>
      </c>
      <c r="N333" s="641">
        <f>+transaction_statement_01_Jan_2026_28_Feb_2026[[#This Row],[Orig amount]]/100</f>
        <v>700</v>
      </c>
      <c r="O333" t="s">
        <v>2697</v>
      </c>
      <c r="P333">
        <v>-70000</v>
      </c>
      <c r="Q333">
        <v>-70000</v>
      </c>
      <c r="S333">
        <v>0</v>
      </c>
      <c r="T333" t="s">
        <v>2697</v>
      </c>
      <c r="U333">
        <v>148892</v>
      </c>
      <c r="V333" t="s">
        <v>4965</v>
      </c>
      <c r="X333" t="s">
        <v>4672</v>
      </c>
      <c r="Y333" t="s">
        <v>4971</v>
      </c>
      <c r="Z333" t="s">
        <v>4972</v>
      </c>
      <c r="AB333" t="s">
        <v>4672</v>
      </c>
      <c r="AC333" t="s">
        <v>4672</v>
      </c>
    </row>
    <row r="334" spans="1:29" hidden="1">
      <c r="A334" s="10">
        <v>46054</v>
      </c>
      <c r="B334" s="10">
        <v>46055</v>
      </c>
      <c r="C334" t="s">
        <v>5549</v>
      </c>
      <c r="D334" t="s">
        <v>4977</v>
      </c>
      <c r="E334" t="s">
        <v>4962</v>
      </c>
      <c r="F334" t="s">
        <v>5550</v>
      </c>
      <c r="G334" t="s">
        <v>4672</v>
      </c>
      <c r="H334" t="s">
        <v>4970</v>
      </c>
      <c r="I334" t="s">
        <v>4979</v>
      </c>
      <c r="J334" t="s">
        <v>4980</v>
      </c>
      <c r="K334" t="s">
        <v>4981</v>
      </c>
      <c r="L334" t="s">
        <v>2548</v>
      </c>
      <c r="M334">
        <v>7554</v>
      </c>
      <c r="N334" s="641">
        <f>+transaction_statement_01_Jan_2026_28_Feb_2026[[#This Row],[Orig amount]]/100</f>
        <v>75.540000000000006</v>
      </c>
      <c r="O334" t="s">
        <v>2697</v>
      </c>
      <c r="P334">
        <v>-6380</v>
      </c>
      <c r="Q334">
        <v>-6444</v>
      </c>
      <c r="R334">
        <v>1184089</v>
      </c>
      <c r="S334">
        <v>-64</v>
      </c>
      <c r="T334" t="s">
        <v>2697</v>
      </c>
      <c r="U334">
        <v>218892</v>
      </c>
      <c r="V334" t="s">
        <v>4965</v>
      </c>
      <c r="X334" t="s">
        <v>4672</v>
      </c>
      <c r="Y334" t="s">
        <v>4672</v>
      </c>
      <c r="Z334" t="s">
        <v>4672</v>
      </c>
      <c r="AA334">
        <v>5817</v>
      </c>
      <c r="AB334" t="s">
        <v>4672</v>
      </c>
      <c r="AC334" t="s">
        <v>4672</v>
      </c>
    </row>
    <row r="335" spans="1:29" hidden="1">
      <c r="A335" s="10">
        <v>46055</v>
      </c>
      <c r="B335" s="10">
        <v>46055</v>
      </c>
      <c r="C335" t="s">
        <v>5551</v>
      </c>
      <c r="D335" t="s">
        <v>4961</v>
      </c>
      <c r="E335" t="s">
        <v>4962</v>
      </c>
      <c r="F335" t="s">
        <v>5025</v>
      </c>
      <c r="G335" t="s">
        <v>5026</v>
      </c>
      <c r="H335" t="s">
        <v>4672</v>
      </c>
      <c r="I335" t="s">
        <v>4672</v>
      </c>
      <c r="J335" t="s">
        <v>4672</v>
      </c>
      <c r="K335" t="s">
        <v>4672</v>
      </c>
      <c r="L335" t="s">
        <v>2697</v>
      </c>
      <c r="M335">
        <v>23675</v>
      </c>
      <c r="N335" s="641">
        <f>+transaction_statement_01_Jan_2026_28_Feb_2026[[#This Row],[Orig amount]]/100</f>
        <v>236.75</v>
      </c>
      <c r="O335" t="s">
        <v>2697</v>
      </c>
      <c r="P335">
        <v>23675</v>
      </c>
      <c r="Q335">
        <v>23675</v>
      </c>
      <c r="S335">
        <v>0</v>
      </c>
      <c r="T335" t="s">
        <v>2697</v>
      </c>
      <c r="U335">
        <v>225336</v>
      </c>
      <c r="V335" t="s">
        <v>4965</v>
      </c>
      <c r="X335" t="s">
        <v>4672</v>
      </c>
      <c r="Y335" t="s">
        <v>4672</v>
      </c>
      <c r="Z335" t="s">
        <v>4672</v>
      </c>
      <c r="AB335" t="s">
        <v>4672</v>
      </c>
      <c r="AC335" t="s">
        <v>4672</v>
      </c>
    </row>
    <row r="336" spans="1:29" hidden="1">
      <c r="A336" s="10">
        <v>46055</v>
      </c>
      <c r="B336" s="10">
        <v>46055</v>
      </c>
      <c r="C336" t="s">
        <v>5552</v>
      </c>
      <c r="D336" t="s">
        <v>4961</v>
      </c>
      <c r="E336" t="s">
        <v>4962</v>
      </c>
      <c r="F336" t="s">
        <v>5025</v>
      </c>
      <c r="G336" t="s">
        <v>5026</v>
      </c>
      <c r="H336" t="s">
        <v>4672</v>
      </c>
      <c r="I336" t="s">
        <v>4672</v>
      </c>
      <c r="J336" t="s">
        <v>4672</v>
      </c>
      <c r="K336" t="s">
        <v>4672</v>
      </c>
      <c r="L336" t="s">
        <v>2697</v>
      </c>
      <c r="M336">
        <v>94777</v>
      </c>
      <c r="N336" s="641">
        <f>+transaction_statement_01_Jan_2026_28_Feb_2026[[#This Row],[Orig amount]]/100</f>
        <v>947.77</v>
      </c>
      <c r="O336" t="s">
        <v>2697</v>
      </c>
      <c r="P336">
        <v>94777</v>
      </c>
      <c r="Q336">
        <v>94777</v>
      </c>
      <c r="S336">
        <v>0</v>
      </c>
      <c r="T336" t="s">
        <v>2697</v>
      </c>
      <c r="U336">
        <v>201661</v>
      </c>
      <c r="V336" t="s">
        <v>4965</v>
      </c>
      <c r="X336" t="s">
        <v>4672</v>
      </c>
      <c r="Y336" t="s">
        <v>4672</v>
      </c>
      <c r="Z336" t="s">
        <v>4672</v>
      </c>
      <c r="AB336" t="s">
        <v>4672</v>
      </c>
      <c r="AC336" t="s">
        <v>4672</v>
      </c>
    </row>
    <row r="337" spans="1:29" hidden="1">
      <c r="A337" s="10">
        <v>46055</v>
      </c>
      <c r="B337" s="10">
        <v>46055</v>
      </c>
      <c r="C337" t="s">
        <v>5553</v>
      </c>
      <c r="D337" t="s">
        <v>4961</v>
      </c>
      <c r="E337" t="s">
        <v>4962</v>
      </c>
      <c r="F337" t="s">
        <v>5025</v>
      </c>
      <c r="G337" t="s">
        <v>5026</v>
      </c>
      <c r="H337" t="s">
        <v>4672</v>
      </c>
      <c r="I337" t="s">
        <v>4672</v>
      </c>
      <c r="J337" t="s">
        <v>4672</v>
      </c>
      <c r="K337" t="s">
        <v>4672</v>
      </c>
      <c r="L337" t="s">
        <v>2697</v>
      </c>
      <c r="M337">
        <v>92856</v>
      </c>
      <c r="N337" s="641">
        <f>+transaction_statement_01_Jan_2026_28_Feb_2026[[#This Row],[Orig amount]]/100</f>
        <v>928.56</v>
      </c>
      <c r="O337" t="s">
        <v>2697</v>
      </c>
      <c r="P337">
        <v>92856</v>
      </c>
      <c r="Q337">
        <v>92856</v>
      </c>
      <c r="S337">
        <v>0</v>
      </c>
      <c r="T337" t="s">
        <v>2697</v>
      </c>
      <c r="U337">
        <v>106884</v>
      </c>
      <c r="V337" t="s">
        <v>4965</v>
      </c>
      <c r="X337" t="s">
        <v>4672</v>
      </c>
      <c r="Y337" t="s">
        <v>4672</v>
      </c>
      <c r="Z337" t="s">
        <v>4672</v>
      </c>
      <c r="AB337" t="s">
        <v>4672</v>
      </c>
      <c r="AC337" t="s">
        <v>4672</v>
      </c>
    </row>
    <row r="338" spans="1:29" hidden="1">
      <c r="A338" s="10">
        <v>46054</v>
      </c>
      <c r="B338" s="10">
        <v>46055</v>
      </c>
      <c r="C338" t="s">
        <v>5554</v>
      </c>
      <c r="D338" t="s">
        <v>4977</v>
      </c>
      <c r="E338" t="s">
        <v>4962</v>
      </c>
      <c r="F338" t="s">
        <v>5445</v>
      </c>
      <c r="G338" t="s">
        <v>4672</v>
      </c>
      <c r="H338" t="s">
        <v>4970</v>
      </c>
      <c r="I338" t="s">
        <v>4979</v>
      </c>
      <c r="J338" t="s">
        <v>4980</v>
      </c>
      <c r="K338" t="s">
        <v>4981</v>
      </c>
      <c r="L338" t="s">
        <v>2697</v>
      </c>
      <c r="M338">
        <v>8206</v>
      </c>
      <c r="N338" s="641">
        <f>+transaction_statement_01_Jan_2026_28_Feb_2026[[#This Row],[Orig amount]]/100</f>
        <v>82.06</v>
      </c>
      <c r="O338" t="s">
        <v>2697</v>
      </c>
      <c r="P338">
        <v>-8206</v>
      </c>
      <c r="Q338">
        <v>-8206</v>
      </c>
      <c r="S338">
        <v>0</v>
      </c>
      <c r="T338" t="s">
        <v>2697</v>
      </c>
      <c r="U338">
        <v>14028</v>
      </c>
      <c r="V338" t="s">
        <v>4965</v>
      </c>
      <c r="X338" t="s">
        <v>4672</v>
      </c>
      <c r="Y338" t="s">
        <v>4672</v>
      </c>
      <c r="Z338" t="s">
        <v>4672</v>
      </c>
      <c r="AA338">
        <v>7311</v>
      </c>
      <c r="AB338" t="s">
        <v>4672</v>
      </c>
      <c r="AC338" t="s">
        <v>4672</v>
      </c>
    </row>
    <row r="339" spans="1:29" hidden="1">
      <c r="A339" s="10">
        <v>46055</v>
      </c>
      <c r="B339" s="10">
        <v>46055</v>
      </c>
      <c r="C339" t="s">
        <v>5555</v>
      </c>
      <c r="D339" t="s">
        <v>4967</v>
      </c>
      <c r="E339" t="s">
        <v>4962</v>
      </c>
      <c r="F339" t="s">
        <v>5454</v>
      </c>
      <c r="G339" t="s">
        <v>5547</v>
      </c>
      <c r="H339" t="s">
        <v>4970</v>
      </c>
      <c r="I339" t="s">
        <v>4672</v>
      </c>
      <c r="J339" t="s">
        <v>4672</v>
      </c>
      <c r="K339" t="s">
        <v>4672</v>
      </c>
      <c r="L339" t="s">
        <v>2697</v>
      </c>
      <c r="M339">
        <v>120000</v>
      </c>
      <c r="N339" s="641">
        <f>+transaction_statement_01_Jan_2026_28_Feb_2026[[#This Row],[Orig amount]]/100</f>
        <v>1200</v>
      </c>
      <c r="O339" t="s">
        <v>2697</v>
      </c>
      <c r="P339">
        <v>-120000</v>
      </c>
      <c r="Q339">
        <v>-120000</v>
      </c>
      <c r="S339">
        <v>0</v>
      </c>
      <c r="T339" t="s">
        <v>2697</v>
      </c>
      <c r="U339">
        <v>22234</v>
      </c>
      <c r="V339" t="s">
        <v>4965</v>
      </c>
      <c r="X339" t="s">
        <v>4672</v>
      </c>
      <c r="Y339" t="s">
        <v>5456</v>
      </c>
      <c r="Z339" t="s">
        <v>5457</v>
      </c>
      <c r="AB339" t="s">
        <v>4672</v>
      </c>
      <c r="AC339" t="s">
        <v>4672</v>
      </c>
    </row>
    <row r="340" spans="1:29" hidden="1">
      <c r="A340" s="10">
        <v>46055</v>
      </c>
      <c r="B340" s="10">
        <v>46055</v>
      </c>
      <c r="C340" t="s">
        <v>5556</v>
      </c>
      <c r="D340" t="s">
        <v>4967</v>
      </c>
      <c r="E340" t="s">
        <v>4962</v>
      </c>
      <c r="F340" t="s">
        <v>5201</v>
      </c>
      <c r="G340" t="s">
        <v>5557</v>
      </c>
      <c r="H340" t="s">
        <v>4970</v>
      </c>
      <c r="I340" t="s">
        <v>4672</v>
      </c>
      <c r="J340" t="s">
        <v>4672</v>
      </c>
      <c r="K340" t="s">
        <v>4672</v>
      </c>
      <c r="L340" t="s">
        <v>2697</v>
      </c>
      <c r="M340">
        <v>120000</v>
      </c>
      <c r="N340" s="641">
        <f>+transaction_statement_01_Jan_2026_28_Feb_2026[[#This Row],[Orig amount]]/100</f>
        <v>1200</v>
      </c>
      <c r="O340" t="s">
        <v>2697</v>
      </c>
      <c r="P340">
        <v>-120000</v>
      </c>
      <c r="Q340">
        <v>-120000</v>
      </c>
      <c r="S340">
        <v>0</v>
      </c>
      <c r="T340" t="s">
        <v>2697</v>
      </c>
      <c r="U340">
        <v>142234</v>
      </c>
      <c r="V340" t="s">
        <v>4965</v>
      </c>
      <c r="X340" t="s">
        <v>4672</v>
      </c>
      <c r="Y340" t="s">
        <v>5558</v>
      </c>
      <c r="Z340" t="s">
        <v>5559</v>
      </c>
      <c r="AB340" t="s">
        <v>4672</v>
      </c>
      <c r="AC340" t="s">
        <v>4672</v>
      </c>
    </row>
    <row r="341" spans="1:29" hidden="1">
      <c r="A341" s="10">
        <v>46055</v>
      </c>
      <c r="B341" s="10">
        <v>46055</v>
      </c>
      <c r="C341" t="s">
        <v>5560</v>
      </c>
      <c r="D341" t="s">
        <v>4961</v>
      </c>
      <c r="E341" t="s">
        <v>4962</v>
      </c>
      <c r="F341" t="s">
        <v>5025</v>
      </c>
      <c r="G341" t="s">
        <v>5026</v>
      </c>
      <c r="H341" t="s">
        <v>4672</v>
      </c>
      <c r="I341" t="s">
        <v>4672</v>
      </c>
      <c r="J341" t="s">
        <v>4672</v>
      </c>
      <c r="K341" t="s">
        <v>4672</v>
      </c>
      <c r="L341" t="s">
        <v>2697</v>
      </c>
      <c r="M341">
        <v>237128</v>
      </c>
      <c r="N341" s="641">
        <f>+transaction_statement_01_Jan_2026_28_Feb_2026[[#This Row],[Orig amount]]/100</f>
        <v>2371.2800000000002</v>
      </c>
      <c r="O341" t="s">
        <v>2697</v>
      </c>
      <c r="P341">
        <v>237128</v>
      </c>
      <c r="Q341">
        <v>237128</v>
      </c>
      <c r="S341">
        <v>0</v>
      </c>
      <c r="T341" t="s">
        <v>2697</v>
      </c>
      <c r="U341">
        <v>262234</v>
      </c>
      <c r="V341" t="s">
        <v>4965</v>
      </c>
      <c r="X341" t="s">
        <v>4672</v>
      </c>
      <c r="Y341" t="s">
        <v>4672</v>
      </c>
      <c r="Z341" t="s">
        <v>4672</v>
      </c>
      <c r="AB341" t="s">
        <v>4672</v>
      </c>
      <c r="AC341" t="s">
        <v>4672</v>
      </c>
    </row>
    <row r="342" spans="1:29" hidden="1">
      <c r="A342" s="10">
        <v>46055</v>
      </c>
      <c r="B342" s="10">
        <v>46055</v>
      </c>
      <c r="C342" t="s">
        <v>5561</v>
      </c>
      <c r="D342" t="s">
        <v>4967</v>
      </c>
      <c r="E342" t="s">
        <v>4962</v>
      </c>
      <c r="F342" t="s">
        <v>5009</v>
      </c>
      <c r="G342" t="s">
        <v>5562</v>
      </c>
      <c r="H342" t="s">
        <v>4970</v>
      </c>
      <c r="I342" t="s">
        <v>4672</v>
      </c>
      <c r="J342" t="s">
        <v>4672</v>
      </c>
      <c r="K342" t="s">
        <v>4672</v>
      </c>
      <c r="L342" t="s">
        <v>2697</v>
      </c>
      <c r="M342">
        <v>90000</v>
      </c>
      <c r="N342" s="641">
        <f>+transaction_statement_01_Jan_2026_28_Feb_2026[[#This Row],[Orig amount]]/100</f>
        <v>900</v>
      </c>
      <c r="O342" t="s">
        <v>2697</v>
      </c>
      <c r="P342">
        <v>-90000</v>
      </c>
      <c r="Q342">
        <v>-90000</v>
      </c>
      <c r="S342">
        <v>0</v>
      </c>
      <c r="T342" t="s">
        <v>2697</v>
      </c>
      <c r="U342">
        <v>25106</v>
      </c>
      <c r="V342" t="s">
        <v>4965</v>
      </c>
      <c r="X342" t="s">
        <v>4672</v>
      </c>
      <c r="Y342" t="s">
        <v>5563</v>
      </c>
      <c r="Z342" t="s">
        <v>5564</v>
      </c>
      <c r="AB342" t="s">
        <v>4672</v>
      </c>
      <c r="AC342" t="s">
        <v>4672</v>
      </c>
    </row>
    <row r="343" spans="1:29" hidden="1">
      <c r="A343" s="10">
        <v>46055</v>
      </c>
      <c r="B343" s="10">
        <v>46055</v>
      </c>
      <c r="C343" t="s">
        <v>5565</v>
      </c>
      <c r="D343" t="s">
        <v>4967</v>
      </c>
      <c r="E343" t="s">
        <v>4962</v>
      </c>
      <c r="F343" t="s">
        <v>5058</v>
      </c>
      <c r="G343" t="s">
        <v>5566</v>
      </c>
      <c r="H343" t="s">
        <v>4970</v>
      </c>
      <c r="I343" t="s">
        <v>4672</v>
      </c>
      <c r="J343" t="s">
        <v>4672</v>
      </c>
      <c r="K343" t="s">
        <v>4672</v>
      </c>
      <c r="L343" t="s">
        <v>2697</v>
      </c>
      <c r="M343">
        <v>100000</v>
      </c>
      <c r="N343" s="641">
        <f>+transaction_statement_01_Jan_2026_28_Feb_2026[[#This Row],[Orig amount]]/100</f>
        <v>1000</v>
      </c>
      <c r="O343" t="s">
        <v>2697</v>
      </c>
      <c r="P343">
        <v>-100000</v>
      </c>
      <c r="Q343">
        <v>-100000</v>
      </c>
      <c r="S343">
        <v>0</v>
      </c>
      <c r="T343" t="s">
        <v>2697</v>
      </c>
      <c r="U343">
        <v>115106</v>
      </c>
      <c r="V343" t="s">
        <v>4965</v>
      </c>
      <c r="X343" t="s">
        <v>4672</v>
      </c>
      <c r="Y343" t="s">
        <v>4971</v>
      </c>
      <c r="Z343" t="s">
        <v>4972</v>
      </c>
      <c r="AB343" t="s">
        <v>4672</v>
      </c>
      <c r="AC343" t="s">
        <v>4672</v>
      </c>
    </row>
    <row r="344" spans="1:29" hidden="1">
      <c r="A344" s="10">
        <v>46054</v>
      </c>
      <c r="B344" s="10">
        <v>46054</v>
      </c>
      <c r="C344" t="s">
        <v>5567</v>
      </c>
      <c r="D344" t="s">
        <v>4961</v>
      </c>
      <c r="E344" t="s">
        <v>4962</v>
      </c>
      <c r="F344" t="s">
        <v>5025</v>
      </c>
      <c r="G344" t="s">
        <v>5026</v>
      </c>
      <c r="H344" t="s">
        <v>4672</v>
      </c>
      <c r="I344" t="s">
        <v>4672</v>
      </c>
      <c r="J344" t="s">
        <v>4672</v>
      </c>
      <c r="K344" t="s">
        <v>4672</v>
      </c>
      <c r="L344" t="s">
        <v>2697</v>
      </c>
      <c r="M344">
        <v>66337</v>
      </c>
      <c r="N344" s="641">
        <f>+transaction_statement_01_Jan_2026_28_Feb_2026[[#This Row],[Orig amount]]/100</f>
        <v>663.37</v>
      </c>
      <c r="O344" t="s">
        <v>2697</v>
      </c>
      <c r="P344">
        <v>66337</v>
      </c>
      <c r="Q344">
        <v>66337</v>
      </c>
      <c r="S344">
        <v>0</v>
      </c>
      <c r="T344" t="s">
        <v>2697</v>
      </c>
      <c r="U344">
        <v>215106</v>
      </c>
      <c r="V344" t="s">
        <v>4965</v>
      </c>
      <c r="X344" t="s">
        <v>4672</v>
      </c>
      <c r="Y344" t="s">
        <v>4672</v>
      </c>
      <c r="Z344" t="s">
        <v>4672</v>
      </c>
      <c r="AB344" t="s">
        <v>4672</v>
      </c>
      <c r="AC344" t="s">
        <v>4672</v>
      </c>
    </row>
    <row r="345" spans="1:29" hidden="1">
      <c r="A345" s="10">
        <v>46054</v>
      </c>
      <c r="B345" s="10">
        <v>46054</v>
      </c>
      <c r="C345" t="s">
        <v>5568</v>
      </c>
      <c r="D345" t="s">
        <v>4961</v>
      </c>
      <c r="E345" t="s">
        <v>4962</v>
      </c>
      <c r="F345" t="s">
        <v>5025</v>
      </c>
      <c r="G345" t="s">
        <v>5026</v>
      </c>
      <c r="H345" t="s">
        <v>4672</v>
      </c>
      <c r="I345" t="s">
        <v>4672</v>
      </c>
      <c r="J345" t="s">
        <v>4672</v>
      </c>
      <c r="K345" t="s">
        <v>4672</v>
      </c>
      <c r="L345" t="s">
        <v>2697</v>
      </c>
      <c r="M345">
        <v>94183</v>
      </c>
      <c r="N345" s="641">
        <f>+transaction_statement_01_Jan_2026_28_Feb_2026[[#This Row],[Orig amount]]/100</f>
        <v>941.83</v>
      </c>
      <c r="O345" t="s">
        <v>2697</v>
      </c>
      <c r="P345">
        <v>94183</v>
      </c>
      <c r="Q345">
        <v>94183</v>
      </c>
      <c r="S345">
        <v>0</v>
      </c>
      <c r="T345" t="s">
        <v>2697</v>
      </c>
      <c r="U345">
        <v>148769</v>
      </c>
      <c r="V345" t="s">
        <v>4965</v>
      </c>
      <c r="X345" t="s">
        <v>4672</v>
      </c>
      <c r="Y345" t="s">
        <v>4672</v>
      </c>
      <c r="Z345" t="s">
        <v>4672</v>
      </c>
      <c r="AB345" t="s">
        <v>4672</v>
      </c>
      <c r="AC345" t="s">
        <v>4672</v>
      </c>
    </row>
    <row r="346" spans="1:29" hidden="1">
      <c r="A346" s="10">
        <v>46052</v>
      </c>
      <c r="B346" s="10">
        <v>46054</v>
      </c>
      <c r="C346" t="s">
        <v>5526</v>
      </c>
      <c r="D346" t="s">
        <v>4977</v>
      </c>
      <c r="E346" t="s">
        <v>4962</v>
      </c>
      <c r="F346" t="s">
        <v>5163</v>
      </c>
      <c r="G346" t="s">
        <v>4672</v>
      </c>
      <c r="H346" t="s">
        <v>4970</v>
      </c>
      <c r="I346" t="s">
        <v>4979</v>
      </c>
      <c r="J346" t="s">
        <v>4980</v>
      </c>
      <c r="K346" t="s">
        <v>4981</v>
      </c>
      <c r="L346" t="s">
        <v>2697</v>
      </c>
      <c r="M346">
        <v>1799</v>
      </c>
      <c r="N346" s="641">
        <f>+transaction_statement_01_Jan_2026_28_Feb_2026[[#This Row],[Orig amount]]/100</f>
        <v>17.989999999999998</v>
      </c>
      <c r="O346" t="s">
        <v>2697</v>
      </c>
      <c r="P346">
        <v>-1799</v>
      </c>
      <c r="Q346">
        <v>-1799</v>
      </c>
      <c r="S346">
        <v>0</v>
      </c>
      <c r="T346" t="s">
        <v>2697</v>
      </c>
      <c r="U346">
        <v>54586</v>
      </c>
      <c r="V346" t="s">
        <v>4965</v>
      </c>
      <c r="X346" t="s">
        <v>4672</v>
      </c>
      <c r="Y346" t="s">
        <v>4672</v>
      </c>
      <c r="Z346" t="s">
        <v>4672</v>
      </c>
      <c r="AA346">
        <v>5815</v>
      </c>
      <c r="AB346" t="s">
        <v>4672</v>
      </c>
      <c r="AC346" t="s">
        <v>4672</v>
      </c>
    </row>
    <row r="347" spans="1:29" hidden="1">
      <c r="A347" s="10">
        <v>46054</v>
      </c>
      <c r="B347" s="10">
        <v>46054</v>
      </c>
      <c r="C347" t="s">
        <v>5569</v>
      </c>
      <c r="D347" t="s">
        <v>4967</v>
      </c>
      <c r="E347" t="s">
        <v>4962</v>
      </c>
      <c r="F347" t="s">
        <v>4968</v>
      </c>
      <c r="G347" t="s">
        <v>4969</v>
      </c>
      <c r="H347" t="s">
        <v>4970</v>
      </c>
      <c r="I347" t="s">
        <v>4672</v>
      </c>
      <c r="J347" t="s">
        <v>4672</v>
      </c>
      <c r="K347" t="s">
        <v>4672</v>
      </c>
      <c r="L347" t="s">
        <v>2697</v>
      </c>
      <c r="M347">
        <v>50000</v>
      </c>
      <c r="N347" s="641">
        <f>+transaction_statement_01_Jan_2026_28_Feb_2026[[#This Row],[Orig amount]]/100</f>
        <v>500</v>
      </c>
      <c r="O347" t="s">
        <v>2697</v>
      </c>
      <c r="P347">
        <v>-50000</v>
      </c>
      <c r="Q347">
        <v>-50000</v>
      </c>
      <c r="S347">
        <v>0</v>
      </c>
      <c r="T347" t="s">
        <v>2697</v>
      </c>
      <c r="U347">
        <v>56385</v>
      </c>
      <c r="V347" t="s">
        <v>4965</v>
      </c>
      <c r="X347" t="s">
        <v>4672</v>
      </c>
      <c r="Y347" t="s">
        <v>4971</v>
      </c>
      <c r="Z347" t="s">
        <v>4972</v>
      </c>
      <c r="AB347" t="s">
        <v>4672</v>
      </c>
      <c r="AC347" t="s">
        <v>4672</v>
      </c>
    </row>
    <row r="348" spans="1:29" hidden="1">
      <c r="A348" s="10">
        <v>46054</v>
      </c>
      <c r="B348" s="10">
        <v>46054</v>
      </c>
      <c r="C348" t="s">
        <v>5570</v>
      </c>
      <c r="D348" t="s">
        <v>4967</v>
      </c>
      <c r="E348" t="s">
        <v>4962</v>
      </c>
      <c r="F348" t="s">
        <v>5571</v>
      </c>
      <c r="G348" t="s">
        <v>5572</v>
      </c>
      <c r="H348" t="s">
        <v>4970</v>
      </c>
      <c r="I348" t="s">
        <v>4672</v>
      </c>
      <c r="J348" t="s">
        <v>4672</v>
      </c>
      <c r="K348" t="s">
        <v>4672</v>
      </c>
      <c r="L348" t="s">
        <v>2697</v>
      </c>
      <c r="M348">
        <v>517650</v>
      </c>
      <c r="N348" s="641">
        <f>+transaction_statement_01_Jan_2026_28_Feb_2026[[#This Row],[Orig amount]]/100</f>
        <v>5176.5</v>
      </c>
      <c r="O348" t="s">
        <v>2697</v>
      </c>
      <c r="P348">
        <v>-517650</v>
      </c>
      <c r="Q348">
        <v>-517650</v>
      </c>
      <c r="S348">
        <v>0</v>
      </c>
      <c r="T348" t="s">
        <v>2697</v>
      </c>
      <c r="U348">
        <v>106385</v>
      </c>
      <c r="V348" t="s">
        <v>4965</v>
      </c>
      <c r="X348" t="s">
        <v>4672</v>
      </c>
      <c r="Y348" t="s">
        <v>5573</v>
      </c>
      <c r="Z348" t="s">
        <v>5574</v>
      </c>
      <c r="AB348" t="s">
        <v>4672</v>
      </c>
      <c r="AC348" t="s">
        <v>4672</v>
      </c>
    </row>
    <row r="349" spans="1:29" hidden="1">
      <c r="A349" s="10">
        <v>46054</v>
      </c>
      <c r="B349" s="10">
        <v>46054</v>
      </c>
      <c r="C349" t="s">
        <v>5575</v>
      </c>
      <c r="D349" t="s">
        <v>4961</v>
      </c>
      <c r="E349" t="s">
        <v>4962</v>
      </c>
      <c r="F349" t="s">
        <v>5025</v>
      </c>
      <c r="G349" t="s">
        <v>5026</v>
      </c>
      <c r="H349" t="s">
        <v>4672</v>
      </c>
      <c r="I349" t="s">
        <v>4672</v>
      </c>
      <c r="J349" t="s">
        <v>4672</v>
      </c>
      <c r="K349" t="s">
        <v>4672</v>
      </c>
      <c r="L349" t="s">
        <v>2697</v>
      </c>
      <c r="M349">
        <v>342675</v>
      </c>
      <c r="N349" s="641">
        <f>+transaction_statement_01_Jan_2026_28_Feb_2026[[#This Row],[Orig amount]]/100</f>
        <v>3426.75</v>
      </c>
      <c r="O349" t="s">
        <v>2697</v>
      </c>
      <c r="P349">
        <v>342675</v>
      </c>
      <c r="Q349">
        <v>342675</v>
      </c>
      <c r="S349">
        <v>0</v>
      </c>
      <c r="T349" t="s">
        <v>2697</v>
      </c>
      <c r="U349">
        <v>624035</v>
      </c>
      <c r="V349" t="s">
        <v>4965</v>
      </c>
      <c r="X349" t="s">
        <v>4672</v>
      </c>
      <c r="Y349" t="s">
        <v>4672</v>
      </c>
      <c r="Z349" t="s">
        <v>4672</v>
      </c>
      <c r="AB349" t="s">
        <v>4672</v>
      </c>
      <c r="AC349" t="s">
        <v>4672</v>
      </c>
    </row>
    <row r="350" spans="1:29" hidden="1">
      <c r="A350" s="10">
        <v>46052</v>
      </c>
      <c r="B350" s="10">
        <v>46053</v>
      </c>
      <c r="C350" t="s">
        <v>5594</v>
      </c>
      <c r="D350" t="s">
        <v>4977</v>
      </c>
      <c r="E350" t="s">
        <v>4962</v>
      </c>
      <c r="F350" t="s">
        <v>4096</v>
      </c>
      <c r="G350" t="s">
        <v>4672</v>
      </c>
      <c r="H350" t="s">
        <v>4970</v>
      </c>
      <c r="I350" t="s">
        <v>4979</v>
      </c>
      <c r="J350" t="s">
        <v>4980</v>
      </c>
      <c r="K350" t="s">
        <v>4981</v>
      </c>
      <c r="L350" t="s">
        <v>2548</v>
      </c>
      <c r="M350">
        <v>10000</v>
      </c>
      <c r="N350" s="641">
        <f>+transaction_statement_01_Jan_2026_28_Feb_2026[[#This Row],[Orig amount]]/100</f>
        <v>100</v>
      </c>
      <c r="O350" t="s">
        <v>2697</v>
      </c>
      <c r="P350">
        <v>-8381</v>
      </c>
      <c r="Q350">
        <v>-8381</v>
      </c>
      <c r="R350">
        <v>1193271</v>
      </c>
      <c r="S350">
        <v>0</v>
      </c>
      <c r="T350" t="s">
        <v>2697</v>
      </c>
      <c r="U350">
        <v>281360</v>
      </c>
      <c r="V350" t="s">
        <v>4965</v>
      </c>
      <c r="X350" t="s">
        <v>4672</v>
      </c>
      <c r="Y350" t="s">
        <v>4672</v>
      </c>
      <c r="Z350" t="s">
        <v>4672</v>
      </c>
      <c r="AA350">
        <v>5734</v>
      </c>
      <c r="AB350" t="s">
        <v>4672</v>
      </c>
      <c r="AC350" t="s">
        <v>4672</v>
      </c>
    </row>
    <row r="351" spans="1:29" hidden="1">
      <c r="A351" s="10">
        <v>46053</v>
      </c>
      <c r="B351" s="10">
        <v>46053</v>
      </c>
      <c r="C351" t="s">
        <v>5595</v>
      </c>
      <c r="D351" t="s">
        <v>4967</v>
      </c>
      <c r="E351" t="s">
        <v>4962</v>
      </c>
      <c r="F351" t="s">
        <v>5272</v>
      </c>
      <c r="G351" t="s">
        <v>5273</v>
      </c>
      <c r="H351" t="s">
        <v>4970</v>
      </c>
      <c r="I351" t="s">
        <v>4672</v>
      </c>
      <c r="J351" t="s">
        <v>4672</v>
      </c>
      <c r="K351" t="s">
        <v>4672</v>
      </c>
      <c r="L351" t="s">
        <v>2697</v>
      </c>
      <c r="M351">
        <v>50000</v>
      </c>
      <c r="N351" s="641">
        <f>+transaction_statement_01_Jan_2026_28_Feb_2026[[#This Row],[Orig amount]]/100</f>
        <v>500</v>
      </c>
      <c r="O351" t="s">
        <v>2697</v>
      </c>
      <c r="P351">
        <v>-50000</v>
      </c>
      <c r="Q351">
        <v>-50000</v>
      </c>
      <c r="S351">
        <v>0</v>
      </c>
      <c r="T351" t="s">
        <v>2697</v>
      </c>
      <c r="U351">
        <v>289741</v>
      </c>
      <c r="V351" t="s">
        <v>4965</v>
      </c>
      <c r="X351" t="s">
        <v>4672</v>
      </c>
      <c r="Y351" t="s">
        <v>4672</v>
      </c>
      <c r="Z351" t="s">
        <v>4672</v>
      </c>
      <c r="AB351" t="s">
        <v>4672</v>
      </c>
      <c r="AC351" t="s">
        <v>4672</v>
      </c>
    </row>
    <row r="352" spans="1:29" hidden="1">
      <c r="A352" s="10">
        <v>46053</v>
      </c>
      <c r="B352" s="10">
        <v>46053</v>
      </c>
      <c r="C352" t="s">
        <v>5596</v>
      </c>
      <c r="D352" t="s">
        <v>4961</v>
      </c>
      <c r="E352" t="s">
        <v>4962</v>
      </c>
      <c r="F352" t="s">
        <v>4963</v>
      </c>
      <c r="G352" t="s">
        <v>4964</v>
      </c>
      <c r="H352" t="s">
        <v>4672</v>
      </c>
      <c r="I352" t="s">
        <v>4672</v>
      </c>
      <c r="J352" t="s">
        <v>4672</v>
      </c>
      <c r="K352" t="s">
        <v>4672</v>
      </c>
      <c r="L352" t="s">
        <v>2697</v>
      </c>
      <c r="M352">
        <v>119186</v>
      </c>
      <c r="N352" s="641">
        <f>+transaction_statement_01_Jan_2026_28_Feb_2026[[#This Row],[Orig amount]]/100</f>
        <v>1191.8599999999999</v>
      </c>
      <c r="O352" t="s">
        <v>2697</v>
      </c>
      <c r="P352">
        <v>119186</v>
      </c>
      <c r="Q352">
        <v>119186</v>
      </c>
      <c r="S352">
        <v>0</v>
      </c>
      <c r="T352" t="s">
        <v>2697</v>
      </c>
      <c r="U352">
        <v>339741</v>
      </c>
      <c r="V352" t="s">
        <v>4965</v>
      </c>
      <c r="X352" t="s">
        <v>4672</v>
      </c>
      <c r="Y352" t="s">
        <v>4672</v>
      </c>
      <c r="Z352" t="s">
        <v>4672</v>
      </c>
      <c r="AB352" t="s">
        <v>4672</v>
      </c>
      <c r="AC352" t="s">
        <v>4672</v>
      </c>
    </row>
    <row r="353" spans="1:29" hidden="1">
      <c r="A353" s="10">
        <v>46053</v>
      </c>
      <c r="B353" s="10">
        <v>46053</v>
      </c>
      <c r="C353" t="s">
        <v>5597</v>
      </c>
      <c r="D353" t="s">
        <v>4961</v>
      </c>
      <c r="E353" t="s">
        <v>4962</v>
      </c>
      <c r="F353" t="s">
        <v>4963</v>
      </c>
      <c r="G353" t="s">
        <v>4964</v>
      </c>
      <c r="H353" t="s">
        <v>4672</v>
      </c>
      <c r="I353" t="s">
        <v>4672</v>
      </c>
      <c r="J353" t="s">
        <v>4672</v>
      </c>
      <c r="K353" t="s">
        <v>4672</v>
      </c>
      <c r="L353" t="s">
        <v>2697</v>
      </c>
      <c r="M353">
        <v>188490</v>
      </c>
      <c r="N353" s="641">
        <f>+transaction_statement_01_Jan_2026_28_Feb_2026[[#This Row],[Orig amount]]/100</f>
        <v>1884.9</v>
      </c>
      <c r="O353" t="s">
        <v>2697</v>
      </c>
      <c r="P353">
        <v>188490</v>
      </c>
      <c r="Q353">
        <v>188490</v>
      </c>
      <c r="S353">
        <v>0</v>
      </c>
      <c r="T353" t="s">
        <v>2697</v>
      </c>
      <c r="U353">
        <v>220555</v>
      </c>
      <c r="V353" t="s">
        <v>4965</v>
      </c>
      <c r="X353" t="s">
        <v>4672</v>
      </c>
      <c r="Y353" t="s">
        <v>4672</v>
      </c>
      <c r="Z353" t="s">
        <v>4672</v>
      </c>
      <c r="AB353" t="s">
        <v>4672</v>
      </c>
      <c r="AC353" t="s">
        <v>4672</v>
      </c>
    </row>
    <row r="354" spans="1:29" hidden="1">
      <c r="A354" s="10">
        <v>46052</v>
      </c>
      <c r="B354" s="10">
        <v>46053</v>
      </c>
      <c r="C354" t="s">
        <v>5598</v>
      </c>
      <c r="D354" t="s">
        <v>4977</v>
      </c>
      <c r="E354" t="s">
        <v>4962</v>
      </c>
      <c r="F354" t="s">
        <v>5599</v>
      </c>
      <c r="G354" t="s">
        <v>4672</v>
      </c>
      <c r="H354" t="s">
        <v>4970</v>
      </c>
      <c r="I354" t="s">
        <v>4979</v>
      </c>
      <c r="J354" t="s">
        <v>4980</v>
      </c>
      <c r="K354" t="s">
        <v>4981</v>
      </c>
      <c r="L354" t="s">
        <v>2697</v>
      </c>
      <c r="M354">
        <v>20908</v>
      </c>
      <c r="N354" s="641">
        <f>+transaction_statement_01_Jan_2026_28_Feb_2026[[#This Row],[Orig amount]]/100</f>
        <v>209.08</v>
      </c>
      <c r="O354" t="s">
        <v>2697</v>
      </c>
      <c r="P354">
        <v>-20908</v>
      </c>
      <c r="Q354">
        <v>-20908</v>
      </c>
      <c r="S354">
        <v>0</v>
      </c>
      <c r="T354" t="s">
        <v>2697</v>
      </c>
      <c r="U354">
        <v>32065</v>
      </c>
      <c r="V354" t="s">
        <v>4965</v>
      </c>
      <c r="X354" t="s">
        <v>4672</v>
      </c>
      <c r="Y354" t="s">
        <v>4672</v>
      </c>
      <c r="Z354" t="s">
        <v>4672</v>
      </c>
      <c r="AA354">
        <v>5411</v>
      </c>
      <c r="AB354" t="s">
        <v>4672</v>
      </c>
      <c r="AC354" t="s">
        <v>4672</v>
      </c>
    </row>
    <row r="355" spans="1:29" hidden="1">
      <c r="A355" s="10">
        <v>46052</v>
      </c>
      <c r="B355" s="10">
        <v>46053</v>
      </c>
      <c r="C355" t="s">
        <v>5600</v>
      </c>
      <c r="D355" t="s">
        <v>4977</v>
      </c>
      <c r="E355" t="s">
        <v>4962</v>
      </c>
      <c r="F355" t="s">
        <v>5445</v>
      </c>
      <c r="G355" t="s">
        <v>4672</v>
      </c>
      <c r="H355" t="s">
        <v>4970</v>
      </c>
      <c r="I355" t="s">
        <v>4979</v>
      </c>
      <c r="J355" t="s">
        <v>4980</v>
      </c>
      <c r="K355" t="s">
        <v>4981</v>
      </c>
      <c r="L355" t="s">
        <v>2697</v>
      </c>
      <c r="M355">
        <v>50000</v>
      </c>
      <c r="N355" s="641">
        <f>+transaction_statement_01_Jan_2026_28_Feb_2026[[#This Row],[Orig amount]]/100</f>
        <v>500</v>
      </c>
      <c r="O355" t="s">
        <v>2697</v>
      </c>
      <c r="P355">
        <v>-50000</v>
      </c>
      <c r="Q355">
        <v>-50000</v>
      </c>
      <c r="S355">
        <v>0</v>
      </c>
      <c r="T355" t="s">
        <v>2697</v>
      </c>
      <c r="U355">
        <v>52973</v>
      </c>
      <c r="V355" t="s">
        <v>4965</v>
      </c>
      <c r="X355" t="s">
        <v>4672</v>
      </c>
      <c r="Y355" t="s">
        <v>4672</v>
      </c>
      <c r="Z355" t="s">
        <v>4672</v>
      </c>
      <c r="AA355">
        <v>7311</v>
      </c>
      <c r="AB355" t="s">
        <v>4672</v>
      </c>
      <c r="AC355" t="s">
        <v>4672</v>
      </c>
    </row>
    <row r="356" spans="1:29" hidden="1">
      <c r="A356" s="10">
        <v>46053</v>
      </c>
      <c r="B356" s="10">
        <v>46053</v>
      </c>
      <c r="C356" t="s">
        <v>5601</v>
      </c>
      <c r="D356" t="s">
        <v>4967</v>
      </c>
      <c r="E356" t="s">
        <v>4962</v>
      </c>
      <c r="F356" t="s">
        <v>4968</v>
      </c>
      <c r="G356" t="s">
        <v>5602</v>
      </c>
      <c r="H356" t="s">
        <v>4970</v>
      </c>
      <c r="I356" t="s">
        <v>4672</v>
      </c>
      <c r="J356" t="s">
        <v>4672</v>
      </c>
      <c r="K356" t="s">
        <v>4672</v>
      </c>
      <c r="L356" t="s">
        <v>2697</v>
      </c>
      <c r="M356">
        <v>50000</v>
      </c>
      <c r="N356" s="641">
        <f>+transaction_statement_01_Jan_2026_28_Feb_2026[[#This Row],[Orig amount]]/100</f>
        <v>500</v>
      </c>
      <c r="O356" t="s">
        <v>2697</v>
      </c>
      <c r="P356">
        <v>-50000</v>
      </c>
      <c r="Q356">
        <v>-50000</v>
      </c>
      <c r="S356">
        <v>0</v>
      </c>
      <c r="T356" t="s">
        <v>2697</v>
      </c>
      <c r="U356">
        <v>102973</v>
      </c>
      <c r="V356" t="s">
        <v>4965</v>
      </c>
      <c r="X356" t="s">
        <v>4672</v>
      </c>
      <c r="Y356" t="s">
        <v>4971</v>
      </c>
      <c r="Z356" t="s">
        <v>4972</v>
      </c>
      <c r="AB356" t="s">
        <v>4672</v>
      </c>
      <c r="AC356" t="s">
        <v>4672</v>
      </c>
    </row>
    <row r="357" spans="1:29" hidden="1">
      <c r="A357" s="10">
        <v>46053</v>
      </c>
      <c r="B357" s="10">
        <v>46053</v>
      </c>
      <c r="C357" t="s">
        <v>5603</v>
      </c>
      <c r="D357" t="s">
        <v>4967</v>
      </c>
      <c r="E357" t="s">
        <v>4962</v>
      </c>
      <c r="F357" t="s">
        <v>5005</v>
      </c>
      <c r="G357" t="s">
        <v>5604</v>
      </c>
      <c r="H357" t="s">
        <v>4970</v>
      </c>
      <c r="I357" t="s">
        <v>4672</v>
      </c>
      <c r="J357" t="s">
        <v>4672</v>
      </c>
      <c r="K357" t="s">
        <v>4672</v>
      </c>
      <c r="L357" t="s">
        <v>2543</v>
      </c>
      <c r="M357">
        <v>1456000</v>
      </c>
      <c r="N357" s="641">
        <f>+transaction_statement_01_Jan_2026_28_Feb_2026[[#This Row],[Orig amount]]/100</f>
        <v>14560</v>
      </c>
      <c r="O357" t="s">
        <v>2697</v>
      </c>
      <c r="P357">
        <v>-141967</v>
      </c>
      <c r="Q357">
        <v>-143387</v>
      </c>
      <c r="R357">
        <v>1025594879</v>
      </c>
      <c r="S357">
        <v>-1420</v>
      </c>
      <c r="T357" t="s">
        <v>2697</v>
      </c>
      <c r="U357">
        <v>152973</v>
      </c>
      <c r="V357" t="s">
        <v>4965</v>
      </c>
      <c r="W357">
        <v>350283904</v>
      </c>
      <c r="X357" t="s">
        <v>4672</v>
      </c>
      <c r="Y357" t="s">
        <v>4672</v>
      </c>
      <c r="Z357" t="s">
        <v>5007</v>
      </c>
      <c r="AB357" t="s">
        <v>4672</v>
      </c>
      <c r="AC357" t="s">
        <v>4672</v>
      </c>
    </row>
    <row r="358" spans="1:29" hidden="1">
      <c r="A358" s="10">
        <v>46053</v>
      </c>
      <c r="B358" s="10">
        <v>46053</v>
      </c>
      <c r="C358" t="s">
        <v>5605</v>
      </c>
      <c r="D358" t="s">
        <v>4967</v>
      </c>
      <c r="E358" t="s">
        <v>4962</v>
      </c>
      <c r="F358" t="s">
        <v>5606</v>
      </c>
      <c r="G358" t="s">
        <v>5607</v>
      </c>
      <c r="H358" t="s">
        <v>4970</v>
      </c>
      <c r="I358" t="s">
        <v>4672</v>
      </c>
      <c r="J358" t="s">
        <v>4672</v>
      </c>
      <c r="K358" t="s">
        <v>4672</v>
      </c>
      <c r="L358" t="s">
        <v>2697</v>
      </c>
      <c r="M358">
        <v>293652</v>
      </c>
      <c r="N358" s="641">
        <f>+transaction_statement_01_Jan_2026_28_Feb_2026[[#This Row],[Orig amount]]/100</f>
        <v>2936.52</v>
      </c>
      <c r="O358" t="s">
        <v>2697</v>
      </c>
      <c r="P358">
        <v>-293652</v>
      </c>
      <c r="Q358">
        <v>-293652</v>
      </c>
      <c r="S358">
        <v>0</v>
      </c>
      <c r="T358" t="s">
        <v>2697</v>
      </c>
      <c r="U358">
        <v>296360</v>
      </c>
      <c r="V358" t="s">
        <v>4965</v>
      </c>
      <c r="X358" t="s">
        <v>4672</v>
      </c>
      <c r="Y358" t="s">
        <v>5022</v>
      </c>
      <c r="Z358" t="s">
        <v>5023</v>
      </c>
      <c r="AB358" t="s">
        <v>4672</v>
      </c>
      <c r="AC358" t="s">
        <v>4672</v>
      </c>
    </row>
    <row r="359" spans="1:29" hidden="1">
      <c r="A359" s="10">
        <v>46053</v>
      </c>
      <c r="B359" s="10">
        <v>46053</v>
      </c>
      <c r="C359" t="s">
        <v>5608</v>
      </c>
      <c r="D359" t="s">
        <v>4961</v>
      </c>
      <c r="E359" t="s">
        <v>4962</v>
      </c>
      <c r="F359" t="s">
        <v>5025</v>
      </c>
      <c r="G359" t="s">
        <v>5026</v>
      </c>
      <c r="H359" t="s">
        <v>4672</v>
      </c>
      <c r="I359" t="s">
        <v>4672</v>
      </c>
      <c r="J359" t="s">
        <v>4672</v>
      </c>
      <c r="K359" t="s">
        <v>4672</v>
      </c>
      <c r="L359" t="s">
        <v>2697</v>
      </c>
      <c r="M359">
        <v>442324</v>
      </c>
      <c r="N359" s="641">
        <f>+transaction_statement_01_Jan_2026_28_Feb_2026[[#This Row],[Orig amount]]/100</f>
        <v>4423.24</v>
      </c>
      <c r="O359" t="s">
        <v>2697</v>
      </c>
      <c r="P359">
        <v>442324</v>
      </c>
      <c r="Q359">
        <v>442324</v>
      </c>
      <c r="S359">
        <v>0</v>
      </c>
      <c r="T359" t="s">
        <v>2697</v>
      </c>
      <c r="U359">
        <v>590012</v>
      </c>
      <c r="V359" t="s">
        <v>4965</v>
      </c>
      <c r="X359" t="s">
        <v>4672</v>
      </c>
      <c r="Y359" t="s">
        <v>4672</v>
      </c>
      <c r="Z359" t="s">
        <v>4672</v>
      </c>
      <c r="AB359" t="s">
        <v>4672</v>
      </c>
      <c r="AC359" t="s">
        <v>4672</v>
      </c>
    </row>
    <row r="360" spans="1:29" hidden="1">
      <c r="A360" s="10">
        <v>46052</v>
      </c>
      <c r="B360" s="10">
        <v>46052</v>
      </c>
      <c r="C360" t="s">
        <v>5609</v>
      </c>
      <c r="D360" t="s">
        <v>4961</v>
      </c>
      <c r="E360" t="s">
        <v>4962</v>
      </c>
      <c r="F360" t="s">
        <v>5025</v>
      </c>
      <c r="G360" t="s">
        <v>5026</v>
      </c>
      <c r="H360" t="s">
        <v>4672</v>
      </c>
      <c r="I360" t="s">
        <v>4672</v>
      </c>
      <c r="J360" t="s">
        <v>4672</v>
      </c>
      <c r="K360" t="s">
        <v>4672</v>
      </c>
      <c r="L360" t="s">
        <v>2697</v>
      </c>
      <c r="M360">
        <v>94777</v>
      </c>
      <c r="N360" s="641">
        <f>+transaction_statement_01_Jan_2026_28_Feb_2026[[#This Row],[Orig amount]]/100</f>
        <v>947.77</v>
      </c>
      <c r="O360" t="s">
        <v>2697</v>
      </c>
      <c r="P360">
        <v>94777</v>
      </c>
      <c r="Q360">
        <v>94777</v>
      </c>
      <c r="S360">
        <v>0</v>
      </c>
      <c r="T360" t="s">
        <v>2697</v>
      </c>
      <c r="U360">
        <v>147688</v>
      </c>
      <c r="V360" t="s">
        <v>4965</v>
      </c>
      <c r="X360" t="s">
        <v>4672</v>
      </c>
      <c r="Y360" t="s">
        <v>4672</v>
      </c>
      <c r="Z360" t="s">
        <v>4672</v>
      </c>
      <c r="AB360" t="s">
        <v>4672</v>
      </c>
      <c r="AC360" t="s">
        <v>4672</v>
      </c>
    </row>
    <row r="361" spans="1:29" hidden="1">
      <c r="A361" s="10">
        <v>46052</v>
      </c>
      <c r="B361" s="10">
        <v>46052</v>
      </c>
      <c r="C361" t="s">
        <v>5610</v>
      </c>
      <c r="D361" t="s">
        <v>4977</v>
      </c>
      <c r="E361" t="s">
        <v>4962</v>
      </c>
      <c r="F361" t="s">
        <v>5611</v>
      </c>
      <c r="G361" t="s">
        <v>4672</v>
      </c>
      <c r="H361" t="s">
        <v>4970</v>
      </c>
      <c r="I361" t="s">
        <v>4984</v>
      </c>
      <c r="J361" t="s">
        <v>4985</v>
      </c>
      <c r="K361" t="s">
        <v>4981</v>
      </c>
      <c r="L361" t="s">
        <v>2697</v>
      </c>
      <c r="M361">
        <v>37500</v>
      </c>
      <c r="N361" s="641">
        <f>+transaction_statement_01_Jan_2026_28_Feb_2026[[#This Row],[Orig amount]]/100</f>
        <v>375</v>
      </c>
      <c r="O361" t="s">
        <v>2697</v>
      </c>
      <c r="P361">
        <v>-37500</v>
      </c>
      <c r="Q361">
        <v>-37500</v>
      </c>
      <c r="S361">
        <v>0</v>
      </c>
      <c r="T361" t="s">
        <v>2697</v>
      </c>
      <c r="U361">
        <v>52911</v>
      </c>
      <c r="V361" t="s">
        <v>4965</v>
      </c>
      <c r="X361" t="s">
        <v>4672</v>
      </c>
      <c r="Y361" t="s">
        <v>4672</v>
      </c>
      <c r="Z361" t="s">
        <v>4672</v>
      </c>
      <c r="AA361">
        <v>8043</v>
      </c>
      <c r="AB361" t="s">
        <v>4672</v>
      </c>
      <c r="AC361" t="s">
        <v>4672</v>
      </c>
    </row>
    <row r="362" spans="1:29" hidden="1">
      <c r="A362" s="10">
        <v>46051</v>
      </c>
      <c r="B362" s="10">
        <v>46052</v>
      </c>
      <c r="C362" t="s">
        <v>5612</v>
      </c>
      <c r="D362" t="s">
        <v>4977</v>
      </c>
      <c r="E362" t="s">
        <v>4962</v>
      </c>
      <c r="F362" t="s">
        <v>4096</v>
      </c>
      <c r="G362" t="s">
        <v>4672</v>
      </c>
      <c r="H362" t="s">
        <v>4970</v>
      </c>
      <c r="I362" t="s">
        <v>4979</v>
      </c>
      <c r="J362" t="s">
        <v>4980</v>
      </c>
      <c r="K362" t="s">
        <v>4981</v>
      </c>
      <c r="L362" t="s">
        <v>2697</v>
      </c>
      <c r="M362">
        <v>8006</v>
      </c>
      <c r="N362" s="641">
        <f>+transaction_statement_01_Jan_2026_28_Feb_2026[[#This Row],[Orig amount]]/100</f>
        <v>80.06</v>
      </c>
      <c r="O362" t="s">
        <v>2697</v>
      </c>
      <c r="P362">
        <v>-8006</v>
      </c>
      <c r="Q362">
        <v>-8006</v>
      </c>
      <c r="S362">
        <v>0</v>
      </c>
      <c r="T362" t="s">
        <v>2697</v>
      </c>
      <c r="U362">
        <v>90411</v>
      </c>
      <c r="V362" t="s">
        <v>4965</v>
      </c>
      <c r="X362" t="s">
        <v>4672</v>
      </c>
      <c r="Y362" t="s">
        <v>4672</v>
      </c>
      <c r="Z362" t="s">
        <v>4672</v>
      </c>
      <c r="AA362">
        <v>5734</v>
      </c>
      <c r="AB362" t="s">
        <v>4672</v>
      </c>
      <c r="AC362" t="s">
        <v>4672</v>
      </c>
    </row>
    <row r="363" spans="1:29" hidden="1">
      <c r="A363" s="10">
        <v>46051</v>
      </c>
      <c r="B363" s="10">
        <v>46052</v>
      </c>
      <c r="C363" t="s">
        <v>5613</v>
      </c>
      <c r="D363" t="s">
        <v>4977</v>
      </c>
      <c r="E363" t="s">
        <v>4962</v>
      </c>
      <c r="F363" t="s">
        <v>5614</v>
      </c>
      <c r="G363" t="s">
        <v>4672</v>
      </c>
      <c r="H363" t="s">
        <v>4970</v>
      </c>
      <c r="I363" t="s">
        <v>4979</v>
      </c>
      <c r="J363" t="s">
        <v>4980</v>
      </c>
      <c r="K363" t="s">
        <v>4981</v>
      </c>
      <c r="L363" t="s">
        <v>2697</v>
      </c>
      <c r="M363">
        <v>6249</v>
      </c>
      <c r="N363" s="641">
        <f>+transaction_statement_01_Jan_2026_28_Feb_2026[[#This Row],[Orig amount]]/100</f>
        <v>62.49</v>
      </c>
      <c r="O363" t="s">
        <v>2697</v>
      </c>
      <c r="P363">
        <v>-6249</v>
      </c>
      <c r="Q363">
        <v>-6249</v>
      </c>
      <c r="S363">
        <v>0</v>
      </c>
      <c r="T363" t="s">
        <v>2697</v>
      </c>
      <c r="U363">
        <v>98417</v>
      </c>
      <c r="V363" t="s">
        <v>4965</v>
      </c>
      <c r="X363" t="s">
        <v>4672</v>
      </c>
      <c r="Y363" t="s">
        <v>4672</v>
      </c>
      <c r="Z363" t="s">
        <v>4672</v>
      </c>
      <c r="AA363">
        <v>7372</v>
      </c>
      <c r="AB363" t="s">
        <v>4672</v>
      </c>
      <c r="AC363" t="s">
        <v>4672</v>
      </c>
    </row>
    <row r="364" spans="1:29" hidden="1">
      <c r="A364" s="10">
        <v>46049</v>
      </c>
      <c r="B364" s="10">
        <v>46052</v>
      </c>
      <c r="C364" t="s">
        <v>5615</v>
      </c>
      <c r="D364" t="s">
        <v>4977</v>
      </c>
      <c r="E364" t="s">
        <v>4962</v>
      </c>
      <c r="F364" t="s">
        <v>5616</v>
      </c>
      <c r="G364" t="s">
        <v>4672</v>
      </c>
      <c r="H364" t="s">
        <v>4970</v>
      </c>
      <c r="I364" t="s">
        <v>4979</v>
      </c>
      <c r="J364" t="s">
        <v>4980</v>
      </c>
      <c r="K364" t="s">
        <v>4981</v>
      </c>
      <c r="L364" t="s">
        <v>2697</v>
      </c>
      <c r="M364">
        <v>14194</v>
      </c>
      <c r="N364" s="641">
        <f>+transaction_statement_01_Jan_2026_28_Feb_2026[[#This Row],[Orig amount]]/100</f>
        <v>141.94</v>
      </c>
      <c r="O364" t="s">
        <v>2697</v>
      </c>
      <c r="P364">
        <v>-14194</v>
      </c>
      <c r="Q364">
        <v>-14194</v>
      </c>
      <c r="S364">
        <v>0</v>
      </c>
      <c r="T364" t="s">
        <v>2697</v>
      </c>
      <c r="U364">
        <v>104666</v>
      </c>
      <c r="V364" t="s">
        <v>4965</v>
      </c>
      <c r="X364" t="s">
        <v>4672</v>
      </c>
      <c r="Y364" t="s">
        <v>4672</v>
      </c>
      <c r="Z364" t="s">
        <v>4672</v>
      </c>
      <c r="AA364">
        <v>8249</v>
      </c>
      <c r="AB364" t="s">
        <v>4672</v>
      </c>
      <c r="AC364" t="s">
        <v>4672</v>
      </c>
    </row>
    <row r="365" spans="1:29" hidden="1">
      <c r="A365" s="10">
        <v>46052</v>
      </c>
      <c r="B365" s="10">
        <v>46052</v>
      </c>
      <c r="C365" t="s">
        <v>5617</v>
      </c>
      <c r="D365" t="s">
        <v>4967</v>
      </c>
      <c r="E365" t="s">
        <v>4962</v>
      </c>
      <c r="F365" t="s">
        <v>4968</v>
      </c>
      <c r="G365" t="s">
        <v>5602</v>
      </c>
      <c r="H365" t="s">
        <v>4970</v>
      </c>
      <c r="I365" t="s">
        <v>4672</v>
      </c>
      <c r="J365" t="s">
        <v>4672</v>
      </c>
      <c r="K365" t="s">
        <v>4672</v>
      </c>
      <c r="L365" t="s">
        <v>2697</v>
      </c>
      <c r="M365">
        <v>100000</v>
      </c>
      <c r="N365" s="641">
        <f>+transaction_statement_01_Jan_2026_28_Feb_2026[[#This Row],[Orig amount]]/100</f>
        <v>1000</v>
      </c>
      <c r="O365" t="s">
        <v>2697</v>
      </c>
      <c r="P365">
        <v>-100000</v>
      </c>
      <c r="Q365">
        <v>-100000</v>
      </c>
      <c r="S365">
        <v>0</v>
      </c>
      <c r="T365" t="s">
        <v>2697</v>
      </c>
      <c r="U365">
        <v>118860</v>
      </c>
      <c r="V365" t="s">
        <v>4965</v>
      </c>
      <c r="X365" t="s">
        <v>4672</v>
      </c>
      <c r="Y365" t="s">
        <v>4971</v>
      </c>
      <c r="Z365" t="s">
        <v>4972</v>
      </c>
      <c r="AB365" t="s">
        <v>4672</v>
      </c>
      <c r="AC365" t="s">
        <v>4672</v>
      </c>
    </row>
    <row r="366" spans="1:29" hidden="1">
      <c r="A366" s="10">
        <v>46051</v>
      </c>
      <c r="B366" s="10">
        <v>46052</v>
      </c>
      <c r="C366" t="s">
        <v>5618</v>
      </c>
      <c r="D366" t="s">
        <v>4977</v>
      </c>
      <c r="E366" t="s">
        <v>4962</v>
      </c>
      <c r="F366" t="s">
        <v>5619</v>
      </c>
      <c r="G366" t="s">
        <v>4672</v>
      </c>
      <c r="H366" t="s">
        <v>4970</v>
      </c>
      <c r="I366" t="s">
        <v>4984</v>
      </c>
      <c r="J366" t="s">
        <v>4985</v>
      </c>
      <c r="K366" t="s">
        <v>4981</v>
      </c>
      <c r="L366" t="s">
        <v>2697</v>
      </c>
      <c r="M366">
        <v>1620</v>
      </c>
      <c r="N366" s="641">
        <f>+transaction_statement_01_Jan_2026_28_Feb_2026[[#This Row],[Orig amount]]/100</f>
        <v>16.2</v>
      </c>
      <c r="O366" t="s">
        <v>2697</v>
      </c>
      <c r="P366">
        <v>-1620</v>
      </c>
      <c r="Q366">
        <v>-1620</v>
      </c>
      <c r="S366">
        <v>0</v>
      </c>
      <c r="T366" t="s">
        <v>2697</v>
      </c>
      <c r="U366">
        <v>218860</v>
      </c>
      <c r="V366" t="s">
        <v>4965</v>
      </c>
      <c r="X366" t="s">
        <v>4672</v>
      </c>
      <c r="Y366" t="s">
        <v>4672</v>
      </c>
      <c r="Z366" t="s">
        <v>4672</v>
      </c>
      <c r="AA366">
        <v>5812</v>
      </c>
      <c r="AB366" t="s">
        <v>4672</v>
      </c>
      <c r="AC366" t="s">
        <v>4672</v>
      </c>
    </row>
    <row r="367" spans="1:29" hidden="1">
      <c r="A367" s="10">
        <v>46051</v>
      </c>
      <c r="B367" s="10">
        <v>46052</v>
      </c>
      <c r="C367" t="s">
        <v>5620</v>
      </c>
      <c r="D367" t="s">
        <v>4977</v>
      </c>
      <c r="E367" t="s">
        <v>4962</v>
      </c>
      <c r="F367" t="s">
        <v>5370</v>
      </c>
      <c r="G367" t="s">
        <v>4672</v>
      </c>
      <c r="H367" t="s">
        <v>4970</v>
      </c>
      <c r="I367" t="s">
        <v>4984</v>
      </c>
      <c r="J367" t="s">
        <v>4985</v>
      </c>
      <c r="K367" t="s">
        <v>4981</v>
      </c>
      <c r="L367" t="s">
        <v>2697</v>
      </c>
      <c r="M367">
        <v>790</v>
      </c>
      <c r="N367" s="641">
        <f>+transaction_statement_01_Jan_2026_28_Feb_2026[[#This Row],[Orig amount]]/100</f>
        <v>7.9</v>
      </c>
      <c r="O367" t="s">
        <v>2697</v>
      </c>
      <c r="P367">
        <v>-790</v>
      </c>
      <c r="Q367">
        <v>-790</v>
      </c>
      <c r="S367">
        <v>0</v>
      </c>
      <c r="T367" t="s">
        <v>2697</v>
      </c>
      <c r="U367">
        <v>220480</v>
      </c>
      <c r="V367" t="s">
        <v>4965</v>
      </c>
      <c r="X367" t="s">
        <v>4672</v>
      </c>
      <c r="Y367" t="s">
        <v>4672</v>
      </c>
      <c r="Z367" t="s">
        <v>4672</v>
      </c>
      <c r="AA367">
        <v>4121</v>
      </c>
      <c r="AB367" t="s">
        <v>4672</v>
      </c>
      <c r="AC367" t="s">
        <v>4672</v>
      </c>
    </row>
    <row r="368" spans="1:29" hidden="1">
      <c r="A368" s="10">
        <v>46051</v>
      </c>
      <c r="B368" s="10">
        <v>46052</v>
      </c>
      <c r="C368" t="s">
        <v>5621</v>
      </c>
      <c r="D368" t="s">
        <v>4977</v>
      </c>
      <c r="E368" t="s">
        <v>4962</v>
      </c>
      <c r="F368" t="s">
        <v>5370</v>
      </c>
      <c r="G368" t="s">
        <v>4672</v>
      </c>
      <c r="H368" t="s">
        <v>4970</v>
      </c>
      <c r="I368" t="s">
        <v>4984</v>
      </c>
      <c r="J368" t="s">
        <v>4985</v>
      </c>
      <c r="K368" t="s">
        <v>4981</v>
      </c>
      <c r="L368" t="s">
        <v>2697</v>
      </c>
      <c r="M368">
        <v>1190</v>
      </c>
      <c r="N368" s="641">
        <f>+transaction_statement_01_Jan_2026_28_Feb_2026[[#This Row],[Orig amount]]/100</f>
        <v>11.9</v>
      </c>
      <c r="O368" t="s">
        <v>2697</v>
      </c>
      <c r="P368">
        <v>-1190</v>
      </c>
      <c r="Q368">
        <v>-1190</v>
      </c>
      <c r="S368">
        <v>0</v>
      </c>
      <c r="T368" t="s">
        <v>2697</v>
      </c>
      <c r="U368">
        <v>221270</v>
      </c>
      <c r="V368" t="s">
        <v>4965</v>
      </c>
      <c r="X368" t="s">
        <v>4672</v>
      </c>
      <c r="Y368" t="s">
        <v>4672</v>
      </c>
      <c r="Z368" t="s">
        <v>4672</v>
      </c>
      <c r="AA368">
        <v>4121</v>
      </c>
      <c r="AB368" t="s">
        <v>4672</v>
      </c>
      <c r="AC368" t="s">
        <v>4672</v>
      </c>
    </row>
    <row r="369" spans="1:29" hidden="1">
      <c r="A369" s="10">
        <v>46051</v>
      </c>
      <c r="B369" s="10">
        <v>46052</v>
      </c>
      <c r="C369" t="s">
        <v>5622</v>
      </c>
      <c r="D369" t="s">
        <v>4977</v>
      </c>
      <c r="E369" t="s">
        <v>4962</v>
      </c>
      <c r="F369" t="s">
        <v>5623</v>
      </c>
      <c r="G369" t="s">
        <v>4672</v>
      </c>
      <c r="H369" t="s">
        <v>4970</v>
      </c>
      <c r="I369" t="s">
        <v>4984</v>
      </c>
      <c r="J369" t="s">
        <v>4985</v>
      </c>
      <c r="K369" t="s">
        <v>4981</v>
      </c>
      <c r="L369" t="s">
        <v>2697</v>
      </c>
      <c r="M369">
        <v>1313</v>
      </c>
      <c r="N369" s="641">
        <f>+transaction_statement_01_Jan_2026_28_Feb_2026[[#This Row],[Orig amount]]/100</f>
        <v>13.13</v>
      </c>
      <c r="O369" t="s">
        <v>2697</v>
      </c>
      <c r="P369">
        <v>-1313</v>
      </c>
      <c r="Q369">
        <v>-1313</v>
      </c>
      <c r="S369">
        <v>0</v>
      </c>
      <c r="T369" t="s">
        <v>2697</v>
      </c>
      <c r="U369">
        <v>222460</v>
      </c>
      <c r="V369" t="s">
        <v>4965</v>
      </c>
      <c r="X369" t="s">
        <v>4672</v>
      </c>
      <c r="Y369" t="s">
        <v>4672</v>
      </c>
      <c r="Z369" t="s">
        <v>4672</v>
      </c>
      <c r="AA369">
        <v>5814</v>
      </c>
      <c r="AB369" t="s">
        <v>4672</v>
      </c>
      <c r="AC369" t="s">
        <v>4672</v>
      </c>
    </row>
    <row r="370" spans="1:29" hidden="1">
      <c r="A370" s="10">
        <v>46050</v>
      </c>
      <c r="B370" s="10">
        <v>46052</v>
      </c>
      <c r="C370" t="s">
        <v>5624</v>
      </c>
      <c r="D370" t="s">
        <v>4977</v>
      </c>
      <c r="E370" t="s">
        <v>4962</v>
      </c>
      <c r="F370" t="s">
        <v>5625</v>
      </c>
      <c r="G370" t="s">
        <v>4672</v>
      </c>
      <c r="H370" t="s">
        <v>4970</v>
      </c>
      <c r="I370" t="s">
        <v>4984</v>
      </c>
      <c r="J370" t="s">
        <v>4985</v>
      </c>
      <c r="K370" t="s">
        <v>4981</v>
      </c>
      <c r="L370" t="s">
        <v>2697</v>
      </c>
      <c r="M370">
        <v>1220</v>
      </c>
      <c r="N370" s="641">
        <f>+transaction_statement_01_Jan_2026_28_Feb_2026[[#This Row],[Orig amount]]/100</f>
        <v>12.2</v>
      </c>
      <c r="O370" t="s">
        <v>2697</v>
      </c>
      <c r="P370">
        <v>-1220</v>
      </c>
      <c r="Q370">
        <v>-1220</v>
      </c>
      <c r="S370">
        <v>0</v>
      </c>
      <c r="T370" t="s">
        <v>2697</v>
      </c>
      <c r="U370">
        <v>223773</v>
      </c>
      <c r="V370" t="s">
        <v>4965</v>
      </c>
      <c r="X370" t="s">
        <v>4672</v>
      </c>
      <c r="Y370" t="s">
        <v>4672</v>
      </c>
      <c r="Z370" t="s">
        <v>4672</v>
      </c>
      <c r="AA370">
        <v>5541</v>
      </c>
      <c r="AB370" t="s">
        <v>4672</v>
      </c>
      <c r="AC370" t="s">
        <v>4672</v>
      </c>
    </row>
    <row r="371" spans="1:29" hidden="1">
      <c r="A371" s="10">
        <v>46051</v>
      </c>
      <c r="B371" s="10">
        <v>46052</v>
      </c>
      <c r="C371" t="s">
        <v>5626</v>
      </c>
      <c r="D371" t="s">
        <v>4977</v>
      </c>
      <c r="E371" t="s">
        <v>4962</v>
      </c>
      <c r="F371" t="s">
        <v>5627</v>
      </c>
      <c r="G371" t="s">
        <v>4672</v>
      </c>
      <c r="H371" t="s">
        <v>4970</v>
      </c>
      <c r="I371" t="s">
        <v>4979</v>
      </c>
      <c r="J371" t="s">
        <v>4980</v>
      </c>
      <c r="K371" t="s">
        <v>4981</v>
      </c>
      <c r="L371" t="s">
        <v>2697</v>
      </c>
      <c r="M371">
        <v>5831</v>
      </c>
      <c r="N371" s="641">
        <f>+transaction_statement_01_Jan_2026_28_Feb_2026[[#This Row],[Orig amount]]/100</f>
        <v>58.31</v>
      </c>
      <c r="O371" t="s">
        <v>2697</v>
      </c>
      <c r="P371">
        <v>-5831</v>
      </c>
      <c r="Q371">
        <v>-5831</v>
      </c>
      <c r="S371">
        <v>0</v>
      </c>
      <c r="T371" t="s">
        <v>2697</v>
      </c>
      <c r="U371">
        <v>224993</v>
      </c>
      <c r="V371" t="s">
        <v>4965</v>
      </c>
      <c r="X371" t="s">
        <v>4672</v>
      </c>
      <c r="Y371" t="s">
        <v>4672</v>
      </c>
      <c r="Z371" t="s">
        <v>4672</v>
      </c>
      <c r="AA371">
        <v>7372</v>
      </c>
      <c r="AB371" t="s">
        <v>4672</v>
      </c>
      <c r="AC371" t="s">
        <v>4672</v>
      </c>
    </row>
    <row r="372" spans="1:29" hidden="1">
      <c r="A372" s="10">
        <v>46051</v>
      </c>
      <c r="B372" s="10">
        <v>46052</v>
      </c>
      <c r="C372" t="s">
        <v>5628</v>
      </c>
      <c r="D372" t="s">
        <v>4977</v>
      </c>
      <c r="E372" t="s">
        <v>4962</v>
      </c>
      <c r="F372" t="s">
        <v>4992</v>
      </c>
      <c r="G372" t="s">
        <v>4672</v>
      </c>
      <c r="H372" t="s">
        <v>4970</v>
      </c>
      <c r="I372" t="s">
        <v>4979</v>
      </c>
      <c r="J372" t="s">
        <v>4980</v>
      </c>
      <c r="K372" t="s">
        <v>4981</v>
      </c>
      <c r="L372" t="s">
        <v>2697</v>
      </c>
      <c r="M372">
        <v>12745</v>
      </c>
      <c r="N372" s="641">
        <f>+transaction_statement_01_Jan_2026_28_Feb_2026[[#This Row],[Orig amount]]/100</f>
        <v>127.45</v>
      </c>
      <c r="O372" t="s">
        <v>2697</v>
      </c>
      <c r="P372">
        <v>-12745</v>
      </c>
      <c r="Q372">
        <v>-12745</v>
      </c>
      <c r="S372">
        <v>0</v>
      </c>
      <c r="T372" t="s">
        <v>2697</v>
      </c>
      <c r="U372">
        <v>230824</v>
      </c>
      <c r="V372" t="s">
        <v>4965</v>
      </c>
      <c r="X372" t="s">
        <v>4672</v>
      </c>
      <c r="Y372" t="s">
        <v>4672</v>
      </c>
      <c r="Z372" t="s">
        <v>4672</v>
      </c>
      <c r="AA372">
        <v>4112</v>
      </c>
      <c r="AB372" t="s">
        <v>4672</v>
      </c>
      <c r="AC372" t="s">
        <v>4672</v>
      </c>
    </row>
    <row r="373" spans="1:29" hidden="1">
      <c r="A373" s="10">
        <v>46051</v>
      </c>
      <c r="B373" s="10">
        <v>46052</v>
      </c>
      <c r="C373" t="s">
        <v>5629</v>
      </c>
      <c r="D373" t="s">
        <v>4977</v>
      </c>
      <c r="E373" t="s">
        <v>4962</v>
      </c>
      <c r="F373" t="s">
        <v>5630</v>
      </c>
      <c r="G373" t="s">
        <v>4672</v>
      </c>
      <c r="H373" t="s">
        <v>4970</v>
      </c>
      <c r="I373" t="s">
        <v>4979</v>
      </c>
      <c r="J373" t="s">
        <v>4980</v>
      </c>
      <c r="K373" t="s">
        <v>4981</v>
      </c>
      <c r="L373" t="s">
        <v>2697</v>
      </c>
      <c r="M373">
        <v>15219</v>
      </c>
      <c r="N373" s="641">
        <f>+transaction_statement_01_Jan_2026_28_Feb_2026[[#This Row],[Orig amount]]/100</f>
        <v>152.19</v>
      </c>
      <c r="O373" t="s">
        <v>2697</v>
      </c>
      <c r="P373">
        <v>-15219</v>
      </c>
      <c r="Q373">
        <v>-15219</v>
      </c>
      <c r="S373">
        <v>0</v>
      </c>
      <c r="T373" t="s">
        <v>2697</v>
      </c>
      <c r="U373">
        <v>243569</v>
      </c>
      <c r="V373" t="s">
        <v>4965</v>
      </c>
      <c r="X373" t="s">
        <v>4672</v>
      </c>
      <c r="Y373" t="s">
        <v>4672</v>
      </c>
      <c r="Z373" t="s">
        <v>4672</v>
      </c>
      <c r="AA373">
        <v>7392</v>
      </c>
      <c r="AB373" t="s">
        <v>4672</v>
      </c>
      <c r="AC373" t="s">
        <v>4672</v>
      </c>
    </row>
    <row r="374" spans="1:29" hidden="1">
      <c r="A374" s="10">
        <v>46051</v>
      </c>
      <c r="B374" s="10">
        <v>46052</v>
      </c>
      <c r="C374" t="s">
        <v>5631</v>
      </c>
      <c r="D374" t="s">
        <v>4977</v>
      </c>
      <c r="E374" t="s">
        <v>4962</v>
      </c>
      <c r="F374" t="s">
        <v>5632</v>
      </c>
      <c r="G374" t="s">
        <v>4672</v>
      </c>
      <c r="H374" t="s">
        <v>4970</v>
      </c>
      <c r="I374" t="s">
        <v>4979</v>
      </c>
      <c r="J374" t="s">
        <v>4980</v>
      </c>
      <c r="K374" t="s">
        <v>4981</v>
      </c>
      <c r="L374" t="s">
        <v>2697</v>
      </c>
      <c r="M374">
        <v>999</v>
      </c>
      <c r="N374" s="641">
        <f>+transaction_statement_01_Jan_2026_28_Feb_2026[[#This Row],[Orig amount]]/100</f>
        <v>9.99</v>
      </c>
      <c r="O374" t="s">
        <v>2697</v>
      </c>
      <c r="P374">
        <v>-999</v>
      </c>
      <c r="Q374">
        <v>-999</v>
      </c>
      <c r="S374">
        <v>0</v>
      </c>
      <c r="T374" t="s">
        <v>2697</v>
      </c>
      <c r="U374">
        <v>258788</v>
      </c>
      <c r="V374" t="s">
        <v>4965</v>
      </c>
      <c r="X374" t="s">
        <v>4672</v>
      </c>
      <c r="Y374" t="s">
        <v>4672</v>
      </c>
      <c r="Z374" t="s">
        <v>4672</v>
      </c>
      <c r="AA374">
        <v>5967</v>
      </c>
      <c r="AB374" t="s">
        <v>4672</v>
      </c>
      <c r="AC374" t="s">
        <v>4672</v>
      </c>
    </row>
    <row r="375" spans="1:29" hidden="1">
      <c r="A375" s="10">
        <v>46052</v>
      </c>
      <c r="B375" s="10">
        <v>46052</v>
      </c>
      <c r="C375" t="s">
        <v>5633</v>
      </c>
      <c r="D375" t="s">
        <v>4977</v>
      </c>
      <c r="E375" t="s">
        <v>4962</v>
      </c>
      <c r="F375" t="s">
        <v>5634</v>
      </c>
      <c r="G375" t="s">
        <v>4672</v>
      </c>
      <c r="H375" t="s">
        <v>4970</v>
      </c>
      <c r="I375" t="s">
        <v>4979</v>
      </c>
      <c r="J375" t="s">
        <v>4980</v>
      </c>
      <c r="K375" t="s">
        <v>4981</v>
      </c>
      <c r="L375" t="s">
        <v>2697</v>
      </c>
      <c r="M375">
        <v>1577</v>
      </c>
      <c r="N375" s="641">
        <f>+transaction_statement_01_Jan_2026_28_Feb_2026[[#This Row],[Orig amount]]/100</f>
        <v>15.77</v>
      </c>
      <c r="O375" t="s">
        <v>2697</v>
      </c>
      <c r="P375">
        <v>-1577</v>
      </c>
      <c r="Q375">
        <v>-1577</v>
      </c>
      <c r="S375">
        <v>0</v>
      </c>
      <c r="T375" t="s">
        <v>2697</v>
      </c>
      <c r="U375">
        <v>259787</v>
      </c>
      <c r="V375" t="s">
        <v>4965</v>
      </c>
      <c r="X375" t="s">
        <v>4672</v>
      </c>
      <c r="Y375" t="s">
        <v>4672</v>
      </c>
      <c r="Z375" t="s">
        <v>4672</v>
      </c>
      <c r="AA375">
        <v>5045</v>
      </c>
      <c r="AB375" t="s">
        <v>4672</v>
      </c>
      <c r="AC375" t="s">
        <v>4672</v>
      </c>
    </row>
    <row r="376" spans="1:29" hidden="1">
      <c r="A376" s="10">
        <v>46051</v>
      </c>
      <c r="B376" s="10">
        <v>46052</v>
      </c>
      <c r="C376" t="s">
        <v>5635</v>
      </c>
      <c r="D376" t="s">
        <v>4977</v>
      </c>
      <c r="E376" t="s">
        <v>4962</v>
      </c>
      <c r="F376" t="s">
        <v>4992</v>
      </c>
      <c r="G376" t="s">
        <v>4672</v>
      </c>
      <c r="H376" t="s">
        <v>4970</v>
      </c>
      <c r="I376" t="s">
        <v>4979</v>
      </c>
      <c r="J376" t="s">
        <v>4980</v>
      </c>
      <c r="K376" t="s">
        <v>4981</v>
      </c>
      <c r="L376" t="s">
        <v>2697</v>
      </c>
      <c r="M376">
        <v>12745</v>
      </c>
      <c r="N376" s="641">
        <f>+transaction_statement_01_Jan_2026_28_Feb_2026[[#This Row],[Orig amount]]/100</f>
        <v>127.45</v>
      </c>
      <c r="O376" t="s">
        <v>2697</v>
      </c>
      <c r="P376">
        <v>-12745</v>
      </c>
      <c r="Q376">
        <v>-12745</v>
      </c>
      <c r="S376">
        <v>0</v>
      </c>
      <c r="T376" t="s">
        <v>2697</v>
      </c>
      <c r="U376">
        <v>261364</v>
      </c>
      <c r="V376" t="s">
        <v>4965</v>
      </c>
      <c r="X376" t="s">
        <v>4672</v>
      </c>
      <c r="Y376" t="s">
        <v>4672</v>
      </c>
      <c r="Z376" t="s">
        <v>4672</v>
      </c>
      <c r="AA376">
        <v>4112</v>
      </c>
      <c r="AB376" t="s">
        <v>4672</v>
      </c>
      <c r="AC376" t="s">
        <v>4672</v>
      </c>
    </row>
    <row r="377" spans="1:29" hidden="1">
      <c r="A377" s="10">
        <v>46050</v>
      </c>
      <c r="B377" s="10">
        <v>46052</v>
      </c>
      <c r="C377" t="s">
        <v>5636</v>
      </c>
      <c r="D377" t="s">
        <v>4977</v>
      </c>
      <c r="E377" t="s">
        <v>4962</v>
      </c>
      <c r="F377" t="s">
        <v>5637</v>
      </c>
      <c r="G377" t="s">
        <v>4672</v>
      </c>
      <c r="H377" t="s">
        <v>4970</v>
      </c>
      <c r="I377" t="s">
        <v>4979</v>
      </c>
      <c r="J377" t="s">
        <v>4980</v>
      </c>
      <c r="K377" t="s">
        <v>4981</v>
      </c>
      <c r="L377" t="s">
        <v>2697</v>
      </c>
      <c r="M377">
        <v>990</v>
      </c>
      <c r="N377" s="641">
        <f>+transaction_statement_01_Jan_2026_28_Feb_2026[[#This Row],[Orig amount]]/100</f>
        <v>9.9</v>
      </c>
      <c r="O377" t="s">
        <v>2697</v>
      </c>
      <c r="P377">
        <v>-990</v>
      </c>
      <c r="Q377">
        <v>-990</v>
      </c>
      <c r="S377">
        <v>0</v>
      </c>
      <c r="T377" t="s">
        <v>2697</v>
      </c>
      <c r="U377">
        <v>274109</v>
      </c>
      <c r="V377" t="s">
        <v>4965</v>
      </c>
      <c r="X377" t="s">
        <v>4672</v>
      </c>
      <c r="Y377" t="s">
        <v>4672</v>
      </c>
      <c r="Z377" t="s">
        <v>4672</v>
      </c>
      <c r="AA377">
        <v>5499</v>
      </c>
      <c r="AB377" t="s">
        <v>4672</v>
      </c>
      <c r="AC377" t="s">
        <v>4672</v>
      </c>
    </row>
    <row r="378" spans="1:29" hidden="1">
      <c r="A378" s="10">
        <v>46052</v>
      </c>
      <c r="B378" s="10">
        <v>46052</v>
      </c>
      <c r="C378" t="s">
        <v>5638</v>
      </c>
      <c r="D378" t="s">
        <v>4967</v>
      </c>
      <c r="E378" t="s">
        <v>4962</v>
      </c>
      <c r="F378" t="s">
        <v>5028</v>
      </c>
      <c r="G378" t="s">
        <v>5029</v>
      </c>
      <c r="H378" t="s">
        <v>4970</v>
      </c>
      <c r="I378" t="s">
        <v>4672</v>
      </c>
      <c r="J378" t="s">
        <v>4672</v>
      </c>
      <c r="K378" t="s">
        <v>4672</v>
      </c>
      <c r="L378" t="s">
        <v>2697</v>
      </c>
      <c r="M378">
        <v>100000</v>
      </c>
      <c r="N378" s="641">
        <f>+transaction_statement_01_Jan_2026_28_Feb_2026[[#This Row],[Orig amount]]/100</f>
        <v>1000</v>
      </c>
      <c r="O378" t="s">
        <v>2697</v>
      </c>
      <c r="P378">
        <v>-100000</v>
      </c>
      <c r="Q378">
        <v>-100000</v>
      </c>
      <c r="S378">
        <v>0</v>
      </c>
      <c r="T378" t="s">
        <v>2697</v>
      </c>
      <c r="U378">
        <v>275099</v>
      </c>
      <c r="V378" t="s">
        <v>4965</v>
      </c>
      <c r="X378" t="s">
        <v>4672</v>
      </c>
      <c r="Y378" t="s">
        <v>5030</v>
      </c>
      <c r="Z378" t="s">
        <v>5031</v>
      </c>
      <c r="AB378" t="s">
        <v>4672</v>
      </c>
      <c r="AC378" t="s">
        <v>4672</v>
      </c>
    </row>
    <row r="379" spans="1:29" hidden="1">
      <c r="A379" s="10">
        <v>46052</v>
      </c>
      <c r="B379" s="10">
        <v>46052</v>
      </c>
      <c r="C379" t="s">
        <v>5639</v>
      </c>
      <c r="D379" t="s">
        <v>4961</v>
      </c>
      <c r="E379" t="s">
        <v>4962</v>
      </c>
      <c r="F379" t="s">
        <v>5025</v>
      </c>
      <c r="G379" t="s">
        <v>5026</v>
      </c>
      <c r="H379" t="s">
        <v>4672</v>
      </c>
      <c r="I379" t="s">
        <v>4672</v>
      </c>
      <c r="J379" t="s">
        <v>4672</v>
      </c>
      <c r="K379" t="s">
        <v>4672</v>
      </c>
      <c r="L379" t="s">
        <v>2697</v>
      </c>
      <c r="M379">
        <v>152665</v>
      </c>
      <c r="N379" s="641">
        <f>+transaction_statement_01_Jan_2026_28_Feb_2026[[#This Row],[Orig amount]]/100</f>
        <v>1526.65</v>
      </c>
      <c r="O379" t="s">
        <v>2697</v>
      </c>
      <c r="P379">
        <v>152665</v>
      </c>
      <c r="Q379">
        <v>152665</v>
      </c>
      <c r="S379">
        <v>0</v>
      </c>
      <c r="T379" t="s">
        <v>2697</v>
      </c>
      <c r="U379">
        <v>375099</v>
      </c>
      <c r="V379" t="s">
        <v>4965</v>
      </c>
      <c r="X379" t="s">
        <v>4672</v>
      </c>
      <c r="Y379" t="s">
        <v>4672</v>
      </c>
      <c r="Z379" t="s">
        <v>4672</v>
      </c>
      <c r="AB379" t="s">
        <v>4672</v>
      </c>
      <c r="AC379" t="s">
        <v>4672</v>
      </c>
    </row>
    <row r="380" spans="1:29" hidden="1">
      <c r="A380" s="10">
        <v>46051</v>
      </c>
      <c r="B380" s="10">
        <v>46052</v>
      </c>
      <c r="C380" t="s">
        <v>5640</v>
      </c>
      <c r="D380" t="s">
        <v>4967</v>
      </c>
      <c r="E380" t="s">
        <v>4962</v>
      </c>
      <c r="F380" t="s">
        <v>5053</v>
      </c>
      <c r="G380" t="s">
        <v>5054</v>
      </c>
      <c r="H380" t="s">
        <v>4970</v>
      </c>
      <c r="I380" t="s">
        <v>4672</v>
      </c>
      <c r="J380" t="s">
        <v>4672</v>
      </c>
      <c r="K380" t="s">
        <v>4672</v>
      </c>
      <c r="L380" t="s">
        <v>2697</v>
      </c>
      <c r="M380">
        <v>400000</v>
      </c>
      <c r="N380" s="641">
        <f>+transaction_statement_01_Jan_2026_28_Feb_2026[[#This Row],[Orig amount]]/100</f>
        <v>4000</v>
      </c>
      <c r="O380" t="s">
        <v>2697</v>
      </c>
      <c r="P380">
        <v>-400000</v>
      </c>
      <c r="Q380">
        <v>-400000</v>
      </c>
      <c r="S380">
        <v>0</v>
      </c>
      <c r="T380" t="s">
        <v>2697</v>
      </c>
      <c r="U380">
        <v>222434</v>
      </c>
      <c r="V380" t="s">
        <v>4965</v>
      </c>
      <c r="X380" t="s">
        <v>4672</v>
      </c>
      <c r="Y380" t="s">
        <v>5055</v>
      </c>
      <c r="Z380" t="s">
        <v>5056</v>
      </c>
      <c r="AB380" t="s">
        <v>4672</v>
      </c>
      <c r="AC380" t="s">
        <v>4672</v>
      </c>
    </row>
    <row r="381" spans="1:29" hidden="1">
      <c r="A381" s="10">
        <v>46051</v>
      </c>
      <c r="B381" s="10">
        <v>46051</v>
      </c>
      <c r="C381" t="s">
        <v>5641</v>
      </c>
      <c r="D381" t="s">
        <v>4961</v>
      </c>
      <c r="E381" t="s">
        <v>4962</v>
      </c>
      <c r="F381" t="s">
        <v>5025</v>
      </c>
      <c r="G381" t="s">
        <v>5026</v>
      </c>
      <c r="H381" t="s">
        <v>4672</v>
      </c>
      <c r="I381" t="s">
        <v>4672</v>
      </c>
      <c r="J381" t="s">
        <v>4672</v>
      </c>
      <c r="K381" t="s">
        <v>4672</v>
      </c>
      <c r="L381" t="s">
        <v>2697</v>
      </c>
      <c r="M381">
        <v>411171</v>
      </c>
      <c r="N381" s="641">
        <f>+transaction_statement_01_Jan_2026_28_Feb_2026[[#This Row],[Orig amount]]/100</f>
        <v>4111.71</v>
      </c>
      <c r="O381" t="s">
        <v>2697</v>
      </c>
      <c r="P381">
        <v>411171</v>
      </c>
      <c r="Q381">
        <v>411171</v>
      </c>
      <c r="S381">
        <v>0</v>
      </c>
      <c r="T381" t="s">
        <v>2697</v>
      </c>
      <c r="U381">
        <v>622434</v>
      </c>
      <c r="V381" t="s">
        <v>4965</v>
      </c>
      <c r="X381" t="s">
        <v>4672</v>
      </c>
      <c r="Y381" t="s">
        <v>4672</v>
      </c>
      <c r="Z381" t="s">
        <v>4672</v>
      </c>
      <c r="AB381" t="s">
        <v>4672</v>
      </c>
      <c r="AC381" t="s">
        <v>4672</v>
      </c>
    </row>
    <row r="382" spans="1:29" hidden="1">
      <c r="A382" s="10">
        <v>46051</v>
      </c>
      <c r="B382" s="10">
        <v>46051</v>
      </c>
      <c r="C382" t="s">
        <v>5642</v>
      </c>
      <c r="D382" t="s">
        <v>4961</v>
      </c>
      <c r="E382" t="s">
        <v>4962</v>
      </c>
      <c r="F382" t="s">
        <v>5025</v>
      </c>
      <c r="G382" t="s">
        <v>5026</v>
      </c>
      <c r="H382" t="s">
        <v>4672</v>
      </c>
      <c r="I382" t="s">
        <v>4672</v>
      </c>
      <c r="J382" t="s">
        <v>4672</v>
      </c>
      <c r="K382" t="s">
        <v>4672</v>
      </c>
      <c r="L382" t="s">
        <v>2697</v>
      </c>
      <c r="M382">
        <v>79443</v>
      </c>
      <c r="N382" s="641">
        <f>+transaction_statement_01_Jan_2026_28_Feb_2026[[#This Row],[Orig amount]]/100</f>
        <v>794.43</v>
      </c>
      <c r="O382" t="s">
        <v>2697</v>
      </c>
      <c r="P382">
        <v>79443</v>
      </c>
      <c r="Q382">
        <v>79443</v>
      </c>
      <c r="S382">
        <v>0</v>
      </c>
      <c r="T382" t="s">
        <v>2697</v>
      </c>
      <c r="U382">
        <v>211263</v>
      </c>
      <c r="V382" t="s">
        <v>4965</v>
      </c>
      <c r="X382" t="s">
        <v>4672</v>
      </c>
      <c r="Y382" t="s">
        <v>4672</v>
      </c>
      <c r="Z382" t="s">
        <v>4672</v>
      </c>
      <c r="AB382" t="s">
        <v>4672</v>
      </c>
      <c r="AC382" t="s">
        <v>4672</v>
      </c>
    </row>
    <row r="383" spans="1:29" hidden="1">
      <c r="A383" s="10">
        <v>46050</v>
      </c>
      <c r="B383" s="10">
        <v>46051</v>
      </c>
      <c r="C383" t="s">
        <v>5643</v>
      </c>
      <c r="D383" t="s">
        <v>4977</v>
      </c>
      <c r="E383" t="s">
        <v>4962</v>
      </c>
      <c r="F383" t="s">
        <v>5644</v>
      </c>
      <c r="G383" t="s">
        <v>4672</v>
      </c>
      <c r="H383" t="s">
        <v>4970</v>
      </c>
      <c r="I383" t="s">
        <v>4979</v>
      </c>
      <c r="J383" t="s">
        <v>4980</v>
      </c>
      <c r="K383" t="s">
        <v>4981</v>
      </c>
      <c r="L383" t="s">
        <v>2548</v>
      </c>
      <c r="M383">
        <v>7400</v>
      </c>
      <c r="N383" s="641">
        <f>+transaction_statement_01_Jan_2026_28_Feb_2026[[#This Row],[Orig amount]]/100</f>
        <v>74</v>
      </c>
      <c r="O383" t="s">
        <v>2697</v>
      </c>
      <c r="P383">
        <v>-6190</v>
      </c>
      <c r="Q383">
        <v>-6190</v>
      </c>
      <c r="R383">
        <v>1195609</v>
      </c>
      <c r="S383">
        <v>0</v>
      </c>
      <c r="T383" t="s">
        <v>2697</v>
      </c>
      <c r="U383">
        <v>131820</v>
      </c>
      <c r="V383" t="s">
        <v>4965</v>
      </c>
      <c r="X383" t="s">
        <v>4672</v>
      </c>
      <c r="Y383" t="s">
        <v>4672</v>
      </c>
      <c r="Z383" t="s">
        <v>4672</v>
      </c>
      <c r="AA383">
        <v>7372</v>
      </c>
      <c r="AB383" t="s">
        <v>4672</v>
      </c>
      <c r="AC383" t="s">
        <v>4672</v>
      </c>
    </row>
    <row r="384" spans="1:29" hidden="1">
      <c r="A384" s="10">
        <v>46050</v>
      </c>
      <c r="B384" s="10">
        <v>46051</v>
      </c>
      <c r="C384" t="s">
        <v>5645</v>
      </c>
      <c r="D384" t="s">
        <v>4977</v>
      </c>
      <c r="E384" t="s">
        <v>4962</v>
      </c>
      <c r="F384" t="s">
        <v>5646</v>
      </c>
      <c r="G384" t="s">
        <v>4672</v>
      </c>
      <c r="H384" t="s">
        <v>4970</v>
      </c>
      <c r="I384" t="s">
        <v>4979</v>
      </c>
      <c r="J384" t="s">
        <v>4980</v>
      </c>
      <c r="K384" t="s">
        <v>4981</v>
      </c>
      <c r="L384" t="s">
        <v>2548</v>
      </c>
      <c r="M384">
        <v>23800</v>
      </c>
      <c r="N384" s="641">
        <f>+transaction_statement_01_Jan_2026_28_Feb_2026[[#This Row],[Orig amount]]/100</f>
        <v>238</v>
      </c>
      <c r="O384" t="s">
        <v>2697</v>
      </c>
      <c r="P384">
        <v>-19919</v>
      </c>
      <c r="Q384">
        <v>-19919</v>
      </c>
      <c r="R384">
        <v>1194839</v>
      </c>
      <c r="S384">
        <v>0</v>
      </c>
      <c r="T384" t="s">
        <v>2697</v>
      </c>
      <c r="U384">
        <v>138010</v>
      </c>
      <c r="V384" t="s">
        <v>4965</v>
      </c>
      <c r="X384" t="s">
        <v>4672</v>
      </c>
      <c r="Y384" t="s">
        <v>4672</v>
      </c>
      <c r="Z384" t="s">
        <v>4672</v>
      </c>
      <c r="AA384">
        <v>5734</v>
      </c>
      <c r="AB384" t="s">
        <v>4672</v>
      </c>
      <c r="AC384" t="s">
        <v>4672</v>
      </c>
    </row>
    <row r="385" spans="1:29" hidden="1">
      <c r="A385" s="10">
        <v>46051</v>
      </c>
      <c r="B385" s="10">
        <v>46051</v>
      </c>
      <c r="C385" t="s">
        <v>5647</v>
      </c>
      <c r="D385" t="s">
        <v>4967</v>
      </c>
      <c r="E385" t="s">
        <v>4962</v>
      </c>
      <c r="F385" t="s">
        <v>5058</v>
      </c>
      <c r="G385" t="s">
        <v>5059</v>
      </c>
      <c r="H385" t="s">
        <v>4970</v>
      </c>
      <c r="I385" t="s">
        <v>4672</v>
      </c>
      <c r="J385" t="s">
        <v>4672</v>
      </c>
      <c r="K385" t="s">
        <v>4672</v>
      </c>
      <c r="L385" t="s">
        <v>2697</v>
      </c>
      <c r="M385">
        <v>23400</v>
      </c>
      <c r="N385" s="641">
        <f>+transaction_statement_01_Jan_2026_28_Feb_2026[[#This Row],[Orig amount]]/100</f>
        <v>234</v>
      </c>
      <c r="O385" t="s">
        <v>2697</v>
      </c>
      <c r="P385">
        <v>-23400</v>
      </c>
      <c r="Q385">
        <v>-23400</v>
      </c>
      <c r="S385">
        <v>0</v>
      </c>
      <c r="T385" t="s">
        <v>2697</v>
      </c>
      <c r="U385">
        <v>157929</v>
      </c>
      <c r="V385" t="s">
        <v>4965</v>
      </c>
      <c r="X385" t="s">
        <v>4672</v>
      </c>
      <c r="Y385" t="s">
        <v>5060</v>
      </c>
      <c r="Z385" t="s">
        <v>5031</v>
      </c>
      <c r="AB385" t="s">
        <v>4672</v>
      </c>
      <c r="AC385" t="s">
        <v>4672</v>
      </c>
    </row>
    <row r="386" spans="1:29" hidden="1">
      <c r="A386" s="10">
        <v>46051</v>
      </c>
      <c r="B386" s="10">
        <v>46051</v>
      </c>
      <c r="C386" t="s">
        <v>5648</v>
      </c>
      <c r="D386" t="s">
        <v>4967</v>
      </c>
      <c r="E386" t="s">
        <v>4962</v>
      </c>
      <c r="F386" t="s">
        <v>5053</v>
      </c>
      <c r="G386" t="s">
        <v>5054</v>
      </c>
      <c r="H386" t="s">
        <v>4970</v>
      </c>
      <c r="I386" t="s">
        <v>4672</v>
      </c>
      <c r="J386" t="s">
        <v>4672</v>
      </c>
      <c r="K386" t="s">
        <v>4672</v>
      </c>
      <c r="L386" t="s">
        <v>2697</v>
      </c>
      <c r="M386">
        <v>200000</v>
      </c>
      <c r="N386" s="641">
        <f>+transaction_statement_01_Jan_2026_28_Feb_2026[[#This Row],[Orig amount]]/100</f>
        <v>2000</v>
      </c>
      <c r="O386" t="s">
        <v>2697</v>
      </c>
      <c r="P386">
        <v>-200000</v>
      </c>
      <c r="Q386">
        <v>-200000</v>
      </c>
      <c r="S386">
        <v>0</v>
      </c>
      <c r="T386" t="s">
        <v>2697</v>
      </c>
      <c r="U386">
        <v>181329</v>
      </c>
      <c r="V386" t="s">
        <v>4965</v>
      </c>
      <c r="X386" t="s">
        <v>4672</v>
      </c>
      <c r="Y386" t="s">
        <v>5055</v>
      </c>
      <c r="Z386" t="s">
        <v>5056</v>
      </c>
      <c r="AB386" t="s">
        <v>4672</v>
      </c>
      <c r="AC386" t="s">
        <v>4672</v>
      </c>
    </row>
    <row r="387" spans="1:29" hidden="1">
      <c r="A387" s="10">
        <v>46050</v>
      </c>
      <c r="B387" s="10">
        <v>46051</v>
      </c>
      <c r="C387" t="s">
        <v>5649</v>
      </c>
      <c r="D387" t="s">
        <v>4977</v>
      </c>
      <c r="E387" t="s">
        <v>4962</v>
      </c>
      <c r="F387" t="s">
        <v>5630</v>
      </c>
      <c r="G387" t="s">
        <v>4672</v>
      </c>
      <c r="H387" t="s">
        <v>4970</v>
      </c>
      <c r="I387" t="s">
        <v>4979</v>
      </c>
      <c r="J387" t="s">
        <v>4980</v>
      </c>
      <c r="K387" t="s">
        <v>4981</v>
      </c>
      <c r="L387" t="s">
        <v>2697</v>
      </c>
      <c r="M387">
        <v>19084</v>
      </c>
      <c r="N387" s="641">
        <f>+transaction_statement_01_Jan_2026_28_Feb_2026[[#This Row],[Orig amount]]/100</f>
        <v>190.84</v>
      </c>
      <c r="O387" t="s">
        <v>2697</v>
      </c>
      <c r="P387">
        <v>-19084</v>
      </c>
      <c r="Q387">
        <v>-19084</v>
      </c>
      <c r="S387">
        <v>0</v>
      </c>
      <c r="T387" t="s">
        <v>2697</v>
      </c>
      <c r="U387">
        <v>381329</v>
      </c>
      <c r="V387" t="s">
        <v>4965</v>
      </c>
      <c r="X387" t="s">
        <v>4672</v>
      </c>
      <c r="Y387" t="s">
        <v>4672</v>
      </c>
      <c r="Z387" t="s">
        <v>4672</v>
      </c>
      <c r="AA387">
        <v>5817</v>
      </c>
      <c r="AB387" t="s">
        <v>4672</v>
      </c>
      <c r="AC387" t="s">
        <v>4672</v>
      </c>
    </row>
    <row r="388" spans="1:29" hidden="1">
      <c r="A388" s="10">
        <v>46050</v>
      </c>
      <c r="B388" s="10">
        <v>46051</v>
      </c>
      <c r="C388" t="s">
        <v>5650</v>
      </c>
      <c r="D388" t="s">
        <v>4977</v>
      </c>
      <c r="E388" t="s">
        <v>4962</v>
      </c>
      <c r="F388" t="s">
        <v>5281</v>
      </c>
      <c r="G388" t="s">
        <v>4672</v>
      </c>
      <c r="H388" t="s">
        <v>4970</v>
      </c>
      <c r="I388" t="s">
        <v>4979</v>
      </c>
      <c r="J388" t="s">
        <v>4980</v>
      </c>
      <c r="K388" t="s">
        <v>4981</v>
      </c>
      <c r="L388" t="s">
        <v>2697</v>
      </c>
      <c r="M388">
        <v>2502</v>
      </c>
      <c r="N388" s="641">
        <f>+transaction_statement_01_Jan_2026_28_Feb_2026[[#This Row],[Orig amount]]/100</f>
        <v>25.02</v>
      </c>
      <c r="O388" t="s">
        <v>2697</v>
      </c>
      <c r="P388">
        <v>-2502</v>
      </c>
      <c r="Q388">
        <v>-2502</v>
      </c>
      <c r="S388">
        <v>0</v>
      </c>
      <c r="T388" t="s">
        <v>2697</v>
      </c>
      <c r="U388">
        <v>400413</v>
      </c>
      <c r="V388" t="s">
        <v>4965</v>
      </c>
      <c r="X388" t="s">
        <v>4672</v>
      </c>
      <c r="Y388" t="s">
        <v>4672</v>
      </c>
      <c r="Z388" t="s">
        <v>4672</v>
      </c>
      <c r="AA388">
        <v>5734</v>
      </c>
      <c r="AB388" t="s">
        <v>4672</v>
      </c>
      <c r="AC388" t="s">
        <v>4672</v>
      </c>
    </row>
    <row r="389" spans="1:29" hidden="1">
      <c r="A389" s="10">
        <v>46051</v>
      </c>
      <c r="B389" s="10">
        <v>46051</v>
      </c>
      <c r="C389" t="s">
        <v>5651</v>
      </c>
      <c r="D389" t="s">
        <v>4961</v>
      </c>
      <c r="E389" t="s">
        <v>4962</v>
      </c>
      <c r="F389" t="s">
        <v>5652</v>
      </c>
      <c r="G389" t="s">
        <v>5653</v>
      </c>
      <c r="H389" t="s">
        <v>4672</v>
      </c>
      <c r="I389" t="s">
        <v>4672</v>
      </c>
      <c r="J389" t="s">
        <v>4672</v>
      </c>
      <c r="K389" t="s">
        <v>4672</v>
      </c>
      <c r="L389" t="s">
        <v>2697</v>
      </c>
      <c r="M389">
        <v>236410</v>
      </c>
      <c r="N389" s="641">
        <f>+transaction_statement_01_Jan_2026_28_Feb_2026[[#This Row],[Orig amount]]/100</f>
        <v>2364.1</v>
      </c>
      <c r="O389" t="s">
        <v>2697</v>
      </c>
      <c r="P389">
        <v>236410</v>
      </c>
      <c r="Q389">
        <v>236410</v>
      </c>
      <c r="S389">
        <v>0</v>
      </c>
      <c r="T389" t="s">
        <v>2697</v>
      </c>
      <c r="U389">
        <v>402915</v>
      </c>
      <c r="V389" t="s">
        <v>4965</v>
      </c>
      <c r="X389" t="s">
        <v>4672</v>
      </c>
      <c r="Y389" t="s">
        <v>4672</v>
      </c>
      <c r="Z389" t="s">
        <v>4672</v>
      </c>
      <c r="AB389" t="s">
        <v>4672</v>
      </c>
      <c r="AC389" t="s">
        <v>4672</v>
      </c>
    </row>
    <row r="390" spans="1:29" hidden="1">
      <c r="A390" s="10">
        <v>46051</v>
      </c>
      <c r="B390" s="10">
        <v>46051</v>
      </c>
      <c r="C390" t="s">
        <v>5654</v>
      </c>
      <c r="D390" t="s">
        <v>4967</v>
      </c>
      <c r="E390" t="s">
        <v>4962</v>
      </c>
      <c r="F390" t="s">
        <v>5053</v>
      </c>
      <c r="G390" t="s">
        <v>5054</v>
      </c>
      <c r="H390" t="s">
        <v>4970</v>
      </c>
      <c r="I390" t="s">
        <v>4672</v>
      </c>
      <c r="J390" t="s">
        <v>4672</v>
      </c>
      <c r="K390" t="s">
        <v>4672</v>
      </c>
      <c r="L390" t="s">
        <v>2697</v>
      </c>
      <c r="M390">
        <v>300000</v>
      </c>
      <c r="N390" s="641">
        <f>+transaction_statement_01_Jan_2026_28_Feb_2026[[#This Row],[Orig amount]]/100</f>
        <v>3000</v>
      </c>
      <c r="O390" t="s">
        <v>2697</v>
      </c>
      <c r="P390">
        <v>-300000</v>
      </c>
      <c r="Q390">
        <v>-300000</v>
      </c>
      <c r="S390">
        <v>0</v>
      </c>
      <c r="T390" t="s">
        <v>2697</v>
      </c>
      <c r="U390">
        <v>166505</v>
      </c>
      <c r="V390" t="s">
        <v>4965</v>
      </c>
      <c r="X390" t="s">
        <v>4672</v>
      </c>
      <c r="Y390" t="s">
        <v>5055</v>
      </c>
      <c r="Z390" t="s">
        <v>5056</v>
      </c>
      <c r="AB390" t="s">
        <v>4672</v>
      </c>
      <c r="AC390" t="s">
        <v>4672</v>
      </c>
    </row>
    <row r="391" spans="1:29" hidden="1">
      <c r="A391" s="10">
        <v>46051</v>
      </c>
      <c r="B391" s="10">
        <v>46051</v>
      </c>
      <c r="C391" t="s">
        <v>5655</v>
      </c>
      <c r="D391" t="s">
        <v>4961</v>
      </c>
      <c r="E391" t="s">
        <v>4962</v>
      </c>
      <c r="F391" t="s">
        <v>5025</v>
      </c>
      <c r="G391" t="s">
        <v>5026</v>
      </c>
      <c r="H391" t="s">
        <v>4672</v>
      </c>
      <c r="I391" t="s">
        <v>4672</v>
      </c>
      <c r="J391" t="s">
        <v>4672</v>
      </c>
      <c r="K391" t="s">
        <v>4672</v>
      </c>
      <c r="L391" t="s">
        <v>2697</v>
      </c>
      <c r="M391">
        <v>259386</v>
      </c>
      <c r="N391" s="641">
        <f>+transaction_statement_01_Jan_2026_28_Feb_2026[[#This Row],[Orig amount]]/100</f>
        <v>2593.86</v>
      </c>
      <c r="O391" t="s">
        <v>2697</v>
      </c>
      <c r="P391">
        <v>259386</v>
      </c>
      <c r="Q391">
        <v>259386</v>
      </c>
      <c r="S391">
        <v>0</v>
      </c>
      <c r="T391" t="s">
        <v>2697</v>
      </c>
      <c r="U391">
        <v>466505</v>
      </c>
      <c r="V391" t="s">
        <v>4965</v>
      </c>
      <c r="X391" t="s">
        <v>4672</v>
      </c>
      <c r="Y391" t="s">
        <v>4672</v>
      </c>
      <c r="Z391" t="s">
        <v>4672</v>
      </c>
      <c r="AB391" t="s">
        <v>4672</v>
      </c>
      <c r="AC391" t="s">
        <v>4672</v>
      </c>
    </row>
    <row r="392" spans="1:29" hidden="1">
      <c r="A392" s="10">
        <v>46050</v>
      </c>
      <c r="B392" s="10">
        <v>46050</v>
      </c>
      <c r="C392" t="s">
        <v>5656</v>
      </c>
      <c r="D392" t="s">
        <v>4961</v>
      </c>
      <c r="E392" t="s">
        <v>4962</v>
      </c>
      <c r="F392" t="s">
        <v>5025</v>
      </c>
      <c r="G392" t="s">
        <v>5026</v>
      </c>
      <c r="H392" t="s">
        <v>4672</v>
      </c>
      <c r="I392" t="s">
        <v>4672</v>
      </c>
      <c r="J392" t="s">
        <v>4672</v>
      </c>
      <c r="K392" t="s">
        <v>4672</v>
      </c>
      <c r="L392" t="s">
        <v>2697</v>
      </c>
      <c r="M392">
        <v>61101</v>
      </c>
      <c r="N392" s="641">
        <f>+transaction_statement_01_Jan_2026_28_Feb_2026[[#This Row],[Orig amount]]/100</f>
        <v>611.01</v>
      </c>
      <c r="O392" t="s">
        <v>2697</v>
      </c>
      <c r="P392">
        <v>61101</v>
      </c>
      <c r="Q392">
        <v>61101</v>
      </c>
      <c r="S392">
        <v>0</v>
      </c>
      <c r="T392" t="s">
        <v>2697</v>
      </c>
      <c r="U392">
        <v>207119</v>
      </c>
      <c r="V392" t="s">
        <v>4965</v>
      </c>
      <c r="X392" t="s">
        <v>4672</v>
      </c>
      <c r="Y392" t="s">
        <v>4672</v>
      </c>
      <c r="Z392" t="s">
        <v>4672</v>
      </c>
      <c r="AB392" t="s">
        <v>4672</v>
      </c>
      <c r="AC392" t="s">
        <v>4672</v>
      </c>
    </row>
    <row r="393" spans="1:29" hidden="1">
      <c r="A393" s="10">
        <v>46049</v>
      </c>
      <c r="B393" s="10">
        <v>46050</v>
      </c>
      <c r="C393" t="s">
        <v>5657</v>
      </c>
      <c r="D393" t="s">
        <v>4977</v>
      </c>
      <c r="E393" t="s">
        <v>4962</v>
      </c>
      <c r="F393" t="s">
        <v>5156</v>
      </c>
      <c r="G393" t="s">
        <v>4672</v>
      </c>
      <c r="H393" t="s">
        <v>4970</v>
      </c>
      <c r="I393" t="s">
        <v>4979</v>
      </c>
      <c r="J393" t="s">
        <v>4980</v>
      </c>
      <c r="K393" t="s">
        <v>4981</v>
      </c>
      <c r="L393" t="s">
        <v>2548</v>
      </c>
      <c r="M393">
        <v>10000</v>
      </c>
      <c r="N393" s="641">
        <f>+transaction_statement_01_Jan_2026_28_Feb_2026[[#This Row],[Orig amount]]/100</f>
        <v>100</v>
      </c>
      <c r="O393" t="s">
        <v>2697</v>
      </c>
      <c r="P393">
        <v>-8348</v>
      </c>
      <c r="Q393">
        <v>-8348</v>
      </c>
      <c r="R393">
        <v>1198034</v>
      </c>
      <c r="S393">
        <v>0</v>
      </c>
      <c r="T393" t="s">
        <v>2697</v>
      </c>
      <c r="U393">
        <v>146018</v>
      </c>
      <c r="V393" t="s">
        <v>4965</v>
      </c>
      <c r="X393" t="s">
        <v>4672</v>
      </c>
      <c r="Y393" t="s">
        <v>4672</v>
      </c>
      <c r="Z393" t="s">
        <v>4672</v>
      </c>
      <c r="AA393">
        <v>5734</v>
      </c>
      <c r="AB393" t="s">
        <v>4672</v>
      </c>
      <c r="AC393" t="s">
        <v>4672</v>
      </c>
    </row>
    <row r="394" spans="1:29" hidden="1">
      <c r="A394" s="10">
        <v>46050</v>
      </c>
      <c r="B394" s="10">
        <v>46050</v>
      </c>
      <c r="C394" t="s">
        <v>5658</v>
      </c>
      <c r="D394" t="s">
        <v>4967</v>
      </c>
      <c r="E394" t="s">
        <v>4962</v>
      </c>
      <c r="F394" t="s">
        <v>5058</v>
      </c>
      <c r="G394" t="s">
        <v>5059</v>
      </c>
      <c r="H394" t="s">
        <v>4970</v>
      </c>
      <c r="I394" t="s">
        <v>4672</v>
      </c>
      <c r="J394" t="s">
        <v>4672</v>
      </c>
      <c r="K394" t="s">
        <v>4672</v>
      </c>
      <c r="L394" t="s">
        <v>2697</v>
      </c>
      <c r="M394">
        <v>20000</v>
      </c>
      <c r="N394" s="641">
        <f>+transaction_statement_01_Jan_2026_28_Feb_2026[[#This Row],[Orig amount]]/100</f>
        <v>200</v>
      </c>
      <c r="O394" t="s">
        <v>2697</v>
      </c>
      <c r="P394">
        <v>-20000</v>
      </c>
      <c r="Q394">
        <v>-20000</v>
      </c>
      <c r="S394">
        <v>0</v>
      </c>
      <c r="T394" t="s">
        <v>2697</v>
      </c>
      <c r="U394">
        <v>154366</v>
      </c>
      <c r="V394" t="s">
        <v>4965</v>
      </c>
      <c r="X394" t="s">
        <v>4672</v>
      </c>
      <c r="Y394" t="s">
        <v>5060</v>
      </c>
      <c r="Z394" t="s">
        <v>5031</v>
      </c>
      <c r="AB394" t="s">
        <v>4672</v>
      </c>
      <c r="AC394" t="s">
        <v>4672</v>
      </c>
    </row>
    <row r="395" spans="1:29" hidden="1">
      <c r="A395" s="10">
        <v>46049</v>
      </c>
      <c r="B395" s="10">
        <v>46050</v>
      </c>
      <c r="C395" t="s">
        <v>5659</v>
      </c>
      <c r="D395" t="s">
        <v>4977</v>
      </c>
      <c r="E395" t="s">
        <v>4962</v>
      </c>
      <c r="F395" t="s">
        <v>5000</v>
      </c>
      <c r="G395" t="s">
        <v>4672</v>
      </c>
      <c r="H395" t="s">
        <v>4970</v>
      </c>
      <c r="I395" t="s">
        <v>4979</v>
      </c>
      <c r="J395" t="s">
        <v>4980</v>
      </c>
      <c r="K395" t="s">
        <v>4981</v>
      </c>
      <c r="L395" t="s">
        <v>2697</v>
      </c>
      <c r="M395">
        <v>242046</v>
      </c>
      <c r="N395" s="641">
        <f>+transaction_statement_01_Jan_2026_28_Feb_2026[[#This Row],[Orig amount]]/100</f>
        <v>2420.46</v>
      </c>
      <c r="O395" t="s">
        <v>2697</v>
      </c>
      <c r="P395">
        <v>-242046</v>
      </c>
      <c r="Q395">
        <v>-242046</v>
      </c>
      <c r="S395">
        <v>0</v>
      </c>
      <c r="T395" t="s">
        <v>2697</v>
      </c>
      <c r="U395">
        <v>174366</v>
      </c>
      <c r="V395" t="s">
        <v>4965</v>
      </c>
      <c r="X395" t="s">
        <v>4672</v>
      </c>
      <c r="Y395" t="s">
        <v>4672</v>
      </c>
      <c r="Z395" t="s">
        <v>4672</v>
      </c>
      <c r="AA395">
        <v>7372</v>
      </c>
      <c r="AB395" t="s">
        <v>4672</v>
      </c>
      <c r="AC395" t="s">
        <v>4672</v>
      </c>
    </row>
    <row r="396" spans="1:29" hidden="1">
      <c r="A396" s="10">
        <v>46049</v>
      </c>
      <c r="B396" s="10">
        <v>46050</v>
      </c>
      <c r="C396" t="s">
        <v>5660</v>
      </c>
      <c r="D396" t="s">
        <v>4977</v>
      </c>
      <c r="E396" t="s">
        <v>4962</v>
      </c>
      <c r="F396" t="s">
        <v>5661</v>
      </c>
      <c r="G396" t="s">
        <v>4672</v>
      </c>
      <c r="H396" t="s">
        <v>4970</v>
      </c>
      <c r="I396" t="s">
        <v>4979</v>
      </c>
      <c r="J396" t="s">
        <v>4980</v>
      </c>
      <c r="K396" t="s">
        <v>4981</v>
      </c>
      <c r="L396" t="s">
        <v>2697</v>
      </c>
      <c r="M396">
        <v>1000</v>
      </c>
      <c r="N396" s="641">
        <f>+transaction_statement_01_Jan_2026_28_Feb_2026[[#This Row],[Orig amount]]/100</f>
        <v>10</v>
      </c>
      <c r="O396" t="s">
        <v>2697</v>
      </c>
      <c r="P396">
        <v>-1000</v>
      </c>
      <c r="Q396">
        <v>-1000</v>
      </c>
      <c r="S396">
        <v>0</v>
      </c>
      <c r="T396" t="s">
        <v>2697</v>
      </c>
      <c r="U396">
        <v>416412</v>
      </c>
      <c r="V396" t="s">
        <v>4965</v>
      </c>
      <c r="X396" t="s">
        <v>4672</v>
      </c>
      <c r="Y396" t="s">
        <v>4672</v>
      </c>
      <c r="Z396" t="s">
        <v>4672</v>
      </c>
      <c r="AA396">
        <v>7997</v>
      </c>
      <c r="AB396" t="s">
        <v>4672</v>
      </c>
      <c r="AC396" t="s">
        <v>4672</v>
      </c>
    </row>
    <row r="397" spans="1:29" hidden="1">
      <c r="A397" s="10">
        <v>46049</v>
      </c>
      <c r="B397" s="10">
        <v>46050</v>
      </c>
      <c r="C397" t="s">
        <v>5662</v>
      </c>
      <c r="D397" t="s">
        <v>4977</v>
      </c>
      <c r="E397" t="s">
        <v>4962</v>
      </c>
      <c r="F397" t="s">
        <v>5663</v>
      </c>
      <c r="G397" t="s">
        <v>4672</v>
      </c>
      <c r="H397" t="s">
        <v>4970</v>
      </c>
      <c r="I397" t="s">
        <v>4984</v>
      </c>
      <c r="J397" t="s">
        <v>4985</v>
      </c>
      <c r="K397" t="s">
        <v>4981</v>
      </c>
      <c r="L397" t="s">
        <v>2697</v>
      </c>
      <c r="M397">
        <v>199</v>
      </c>
      <c r="N397" s="641">
        <f>+transaction_statement_01_Jan_2026_28_Feb_2026[[#This Row],[Orig amount]]/100</f>
        <v>1.99</v>
      </c>
      <c r="O397" t="s">
        <v>2697</v>
      </c>
      <c r="P397">
        <v>-199</v>
      </c>
      <c r="Q397">
        <v>-199</v>
      </c>
      <c r="S397">
        <v>0</v>
      </c>
      <c r="T397" t="s">
        <v>2697</v>
      </c>
      <c r="U397">
        <v>417412</v>
      </c>
      <c r="V397" t="s">
        <v>4965</v>
      </c>
      <c r="X397" t="s">
        <v>4672</v>
      </c>
      <c r="Y397" t="s">
        <v>4672</v>
      </c>
      <c r="Z397" t="s">
        <v>4672</v>
      </c>
      <c r="AA397">
        <v>7399</v>
      </c>
      <c r="AB397" t="s">
        <v>4672</v>
      </c>
      <c r="AC397" t="s">
        <v>4672</v>
      </c>
    </row>
    <row r="398" spans="1:29" hidden="1">
      <c r="A398" s="10">
        <v>46049</v>
      </c>
      <c r="B398" s="10">
        <v>46049</v>
      </c>
      <c r="C398" t="s">
        <v>5664</v>
      </c>
      <c r="D398" t="s">
        <v>4961</v>
      </c>
      <c r="E398" t="s">
        <v>4962</v>
      </c>
      <c r="F398" t="s">
        <v>5025</v>
      </c>
      <c r="G398" t="s">
        <v>5026</v>
      </c>
      <c r="H398" t="s">
        <v>4672</v>
      </c>
      <c r="I398" t="s">
        <v>4672</v>
      </c>
      <c r="J398" t="s">
        <v>4672</v>
      </c>
      <c r="K398" t="s">
        <v>4672</v>
      </c>
      <c r="L398" t="s">
        <v>2697</v>
      </c>
      <c r="M398">
        <v>94777</v>
      </c>
      <c r="N398" s="641">
        <f>+transaction_statement_01_Jan_2026_28_Feb_2026[[#This Row],[Orig amount]]/100</f>
        <v>947.77</v>
      </c>
      <c r="O398" t="s">
        <v>2697</v>
      </c>
      <c r="P398">
        <v>94777</v>
      </c>
      <c r="Q398">
        <v>94777</v>
      </c>
      <c r="S398">
        <v>0</v>
      </c>
      <c r="T398" t="s">
        <v>2697</v>
      </c>
      <c r="U398">
        <v>417611</v>
      </c>
      <c r="V398" t="s">
        <v>4965</v>
      </c>
      <c r="X398" t="s">
        <v>4672</v>
      </c>
      <c r="Y398" t="s">
        <v>4672</v>
      </c>
      <c r="Z398" t="s">
        <v>4672</v>
      </c>
      <c r="AB398" t="s">
        <v>4672</v>
      </c>
      <c r="AC398" t="s">
        <v>4672</v>
      </c>
    </row>
    <row r="399" spans="1:29" hidden="1">
      <c r="A399" s="10">
        <v>46049</v>
      </c>
      <c r="B399" s="10">
        <v>46049</v>
      </c>
      <c r="C399" t="s">
        <v>5665</v>
      </c>
      <c r="D399" t="s">
        <v>4961</v>
      </c>
      <c r="E399" t="s">
        <v>4962</v>
      </c>
      <c r="F399" t="s">
        <v>5025</v>
      </c>
      <c r="G399" t="s">
        <v>5026</v>
      </c>
      <c r="H399" t="s">
        <v>4672</v>
      </c>
      <c r="I399" t="s">
        <v>4672</v>
      </c>
      <c r="J399" t="s">
        <v>4672</v>
      </c>
      <c r="K399" t="s">
        <v>4672</v>
      </c>
      <c r="L399" t="s">
        <v>2697</v>
      </c>
      <c r="M399">
        <v>165463</v>
      </c>
      <c r="N399" s="641">
        <f>+transaction_statement_01_Jan_2026_28_Feb_2026[[#This Row],[Orig amount]]/100</f>
        <v>1654.63</v>
      </c>
      <c r="O399" t="s">
        <v>2697</v>
      </c>
      <c r="P399">
        <v>165463</v>
      </c>
      <c r="Q399">
        <v>165463</v>
      </c>
      <c r="S399">
        <v>0</v>
      </c>
      <c r="T399" t="s">
        <v>2697</v>
      </c>
      <c r="U399">
        <v>322834</v>
      </c>
      <c r="V399" t="s">
        <v>4965</v>
      </c>
      <c r="X399" t="s">
        <v>4672</v>
      </c>
      <c r="Y399" t="s">
        <v>4672</v>
      </c>
      <c r="Z399" t="s">
        <v>4672</v>
      </c>
      <c r="AB399" t="s">
        <v>4672</v>
      </c>
      <c r="AC399" t="s">
        <v>4672</v>
      </c>
    </row>
    <row r="400" spans="1:29" hidden="1">
      <c r="A400" s="10">
        <v>46049</v>
      </c>
      <c r="B400" s="10">
        <v>46049</v>
      </c>
      <c r="C400" t="s">
        <v>5666</v>
      </c>
      <c r="D400" t="s">
        <v>4967</v>
      </c>
      <c r="E400" t="s">
        <v>4962</v>
      </c>
      <c r="F400" t="s">
        <v>5667</v>
      </c>
      <c r="G400" t="s">
        <v>5668</v>
      </c>
      <c r="H400" t="s">
        <v>4970</v>
      </c>
      <c r="I400" t="s">
        <v>4672</v>
      </c>
      <c r="J400" t="s">
        <v>4672</v>
      </c>
      <c r="K400" t="s">
        <v>4672</v>
      </c>
      <c r="L400" t="s">
        <v>2697</v>
      </c>
      <c r="M400">
        <v>15500</v>
      </c>
      <c r="N400" s="641">
        <f>+transaction_statement_01_Jan_2026_28_Feb_2026[[#This Row],[Orig amount]]/100</f>
        <v>155</v>
      </c>
      <c r="O400" t="s">
        <v>2697</v>
      </c>
      <c r="P400">
        <v>-15500</v>
      </c>
      <c r="Q400">
        <v>-15500</v>
      </c>
      <c r="S400">
        <v>0</v>
      </c>
      <c r="T400" t="s">
        <v>2697</v>
      </c>
      <c r="U400">
        <v>157371</v>
      </c>
      <c r="V400" t="s">
        <v>4965</v>
      </c>
      <c r="X400" t="s">
        <v>4672</v>
      </c>
      <c r="Y400" t="s">
        <v>5669</v>
      </c>
      <c r="Z400" t="s">
        <v>5670</v>
      </c>
      <c r="AB400" t="s">
        <v>4672</v>
      </c>
      <c r="AC400" t="s">
        <v>4672</v>
      </c>
    </row>
    <row r="401" spans="1:29" hidden="1">
      <c r="A401" s="10">
        <v>46048</v>
      </c>
      <c r="B401" s="10">
        <v>46049</v>
      </c>
      <c r="C401" t="s">
        <v>5671</v>
      </c>
      <c r="D401" t="s">
        <v>4977</v>
      </c>
      <c r="E401" t="s">
        <v>4962</v>
      </c>
      <c r="F401" t="s">
        <v>5672</v>
      </c>
      <c r="G401" t="s">
        <v>4672</v>
      </c>
      <c r="H401" t="s">
        <v>4970</v>
      </c>
      <c r="I401" t="s">
        <v>4979</v>
      </c>
      <c r="J401" t="s">
        <v>4980</v>
      </c>
      <c r="K401" t="s">
        <v>4981</v>
      </c>
      <c r="L401" t="s">
        <v>2548</v>
      </c>
      <c r="M401">
        <v>32500</v>
      </c>
      <c r="N401" s="641">
        <f>+transaction_statement_01_Jan_2026_28_Feb_2026[[#This Row],[Orig amount]]/100</f>
        <v>325</v>
      </c>
      <c r="O401" t="s">
        <v>2697</v>
      </c>
      <c r="P401">
        <v>-27416</v>
      </c>
      <c r="Q401">
        <v>-27416</v>
      </c>
      <c r="R401">
        <v>1185461</v>
      </c>
      <c r="S401">
        <v>0</v>
      </c>
      <c r="T401" t="s">
        <v>2697</v>
      </c>
      <c r="U401">
        <v>172871</v>
      </c>
      <c r="V401" t="s">
        <v>4965</v>
      </c>
      <c r="X401" t="s">
        <v>4672</v>
      </c>
      <c r="Y401" t="s">
        <v>4672</v>
      </c>
      <c r="Z401" t="s">
        <v>4672</v>
      </c>
      <c r="AA401">
        <v>5815</v>
      </c>
      <c r="AB401" t="s">
        <v>4672</v>
      </c>
      <c r="AC401" t="s">
        <v>4672</v>
      </c>
    </row>
    <row r="402" spans="1:29" hidden="1">
      <c r="A402" s="10">
        <v>46048</v>
      </c>
      <c r="B402" s="10">
        <v>46049</v>
      </c>
      <c r="C402" t="s">
        <v>5673</v>
      </c>
      <c r="D402" t="s">
        <v>4977</v>
      </c>
      <c r="E402" t="s">
        <v>4962</v>
      </c>
      <c r="F402" t="s">
        <v>5674</v>
      </c>
      <c r="G402" t="s">
        <v>4672</v>
      </c>
      <c r="H402" t="s">
        <v>4970</v>
      </c>
      <c r="I402" t="s">
        <v>4979</v>
      </c>
      <c r="J402" t="s">
        <v>4980</v>
      </c>
      <c r="K402" t="s">
        <v>4981</v>
      </c>
      <c r="L402" t="s">
        <v>2697</v>
      </c>
      <c r="M402">
        <v>91796</v>
      </c>
      <c r="N402" s="641">
        <f>+transaction_statement_01_Jan_2026_28_Feb_2026[[#This Row],[Orig amount]]/100</f>
        <v>917.96</v>
      </c>
      <c r="O402" t="s">
        <v>2697</v>
      </c>
      <c r="P402">
        <v>-91796</v>
      </c>
      <c r="Q402">
        <v>-91796</v>
      </c>
      <c r="S402">
        <v>0</v>
      </c>
      <c r="T402" t="s">
        <v>2697</v>
      </c>
      <c r="U402">
        <v>200287</v>
      </c>
      <c r="V402" t="s">
        <v>4965</v>
      </c>
      <c r="X402" t="s">
        <v>4672</v>
      </c>
      <c r="Y402" t="s">
        <v>4672</v>
      </c>
      <c r="Z402" t="s">
        <v>4672</v>
      </c>
      <c r="AA402">
        <v>7361</v>
      </c>
      <c r="AB402" t="s">
        <v>4672</v>
      </c>
      <c r="AC402" t="s">
        <v>4672</v>
      </c>
    </row>
    <row r="403" spans="1:29" hidden="1">
      <c r="A403" s="10">
        <v>46049</v>
      </c>
      <c r="B403" s="10">
        <v>46049</v>
      </c>
      <c r="C403" t="s">
        <v>5675</v>
      </c>
      <c r="D403" t="s">
        <v>4967</v>
      </c>
      <c r="E403" t="s">
        <v>4962</v>
      </c>
      <c r="F403" t="s">
        <v>5187</v>
      </c>
      <c r="G403" t="s">
        <v>5676</v>
      </c>
      <c r="H403" t="s">
        <v>4970</v>
      </c>
      <c r="I403" t="s">
        <v>4672</v>
      </c>
      <c r="J403" t="s">
        <v>4672</v>
      </c>
      <c r="K403" t="s">
        <v>4672</v>
      </c>
      <c r="L403" t="s">
        <v>2697</v>
      </c>
      <c r="M403">
        <v>300000</v>
      </c>
      <c r="N403" s="641">
        <f>+transaction_statement_01_Jan_2026_28_Feb_2026[[#This Row],[Orig amount]]/100</f>
        <v>3000</v>
      </c>
      <c r="O403" t="s">
        <v>2697</v>
      </c>
      <c r="P403">
        <v>-300000</v>
      </c>
      <c r="Q403">
        <v>-300000</v>
      </c>
      <c r="S403">
        <v>0</v>
      </c>
      <c r="T403" t="s">
        <v>2697</v>
      </c>
      <c r="U403">
        <v>292083</v>
      </c>
      <c r="V403" t="s">
        <v>4965</v>
      </c>
      <c r="X403" t="s">
        <v>4672</v>
      </c>
      <c r="Y403" t="s">
        <v>5189</v>
      </c>
      <c r="Z403" t="s">
        <v>5190</v>
      </c>
      <c r="AB403" t="s">
        <v>4672</v>
      </c>
      <c r="AC403" t="s">
        <v>4672</v>
      </c>
    </row>
    <row r="404" spans="1:29" hidden="1">
      <c r="A404" s="10">
        <v>46049</v>
      </c>
      <c r="B404" s="10">
        <v>46049</v>
      </c>
      <c r="C404" t="s">
        <v>5677</v>
      </c>
      <c r="D404" t="s">
        <v>4977</v>
      </c>
      <c r="E404" t="s">
        <v>4962</v>
      </c>
      <c r="F404" t="s">
        <v>5066</v>
      </c>
      <c r="G404" t="s">
        <v>4672</v>
      </c>
      <c r="H404" t="s">
        <v>4970</v>
      </c>
      <c r="I404" t="s">
        <v>4984</v>
      </c>
      <c r="J404" t="s">
        <v>4985</v>
      </c>
      <c r="K404" t="s">
        <v>4981</v>
      </c>
      <c r="L404" t="s">
        <v>2697</v>
      </c>
      <c r="M404">
        <v>9999</v>
      </c>
      <c r="N404" s="641">
        <f>+transaction_statement_01_Jan_2026_28_Feb_2026[[#This Row],[Orig amount]]/100</f>
        <v>99.99</v>
      </c>
      <c r="O404" t="s">
        <v>2697</v>
      </c>
      <c r="P404">
        <v>-9999</v>
      </c>
      <c r="Q404">
        <v>-9999</v>
      </c>
      <c r="S404">
        <v>0</v>
      </c>
      <c r="T404" t="s">
        <v>2697</v>
      </c>
      <c r="U404">
        <v>592083</v>
      </c>
      <c r="V404" t="s">
        <v>4965</v>
      </c>
      <c r="X404" t="s">
        <v>4672</v>
      </c>
      <c r="Y404" t="s">
        <v>4672</v>
      </c>
      <c r="Z404" t="s">
        <v>4672</v>
      </c>
      <c r="AA404">
        <v>5818</v>
      </c>
      <c r="AB404" t="s">
        <v>4672</v>
      </c>
      <c r="AC404" t="s">
        <v>4672</v>
      </c>
    </row>
    <row r="405" spans="1:29" hidden="1">
      <c r="A405" s="10">
        <v>46049</v>
      </c>
      <c r="B405" s="10">
        <v>46049</v>
      </c>
      <c r="C405" t="s">
        <v>5678</v>
      </c>
      <c r="D405" t="s">
        <v>4961</v>
      </c>
      <c r="E405" t="s">
        <v>4962</v>
      </c>
      <c r="F405" t="s">
        <v>5025</v>
      </c>
      <c r="G405" t="s">
        <v>5026</v>
      </c>
      <c r="H405" t="s">
        <v>4672</v>
      </c>
      <c r="I405" t="s">
        <v>4672</v>
      </c>
      <c r="J405" t="s">
        <v>4672</v>
      </c>
      <c r="K405" t="s">
        <v>4672</v>
      </c>
      <c r="L405" t="s">
        <v>2697</v>
      </c>
      <c r="M405">
        <v>328508</v>
      </c>
      <c r="N405" s="641">
        <f>+transaction_statement_01_Jan_2026_28_Feb_2026[[#This Row],[Orig amount]]/100</f>
        <v>3285.08</v>
      </c>
      <c r="O405" t="s">
        <v>2697</v>
      </c>
      <c r="P405">
        <v>328508</v>
      </c>
      <c r="Q405">
        <v>328508</v>
      </c>
      <c r="S405">
        <v>0</v>
      </c>
      <c r="T405" t="s">
        <v>2697</v>
      </c>
      <c r="U405">
        <v>602082</v>
      </c>
      <c r="V405" t="s">
        <v>4965</v>
      </c>
      <c r="X405" t="s">
        <v>4672</v>
      </c>
      <c r="Y405" t="s">
        <v>4672</v>
      </c>
      <c r="Z405" t="s">
        <v>4672</v>
      </c>
      <c r="AB405" t="s">
        <v>4672</v>
      </c>
      <c r="AC405" t="s">
        <v>4672</v>
      </c>
    </row>
    <row r="406" spans="1:29" hidden="1">
      <c r="A406" s="10">
        <v>46048</v>
      </c>
      <c r="B406" s="10">
        <v>46048</v>
      </c>
      <c r="C406" t="s">
        <v>5679</v>
      </c>
      <c r="D406" t="s">
        <v>4961</v>
      </c>
      <c r="E406" t="s">
        <v>4962</v>
      </c>
      <c r="F406" t="s">
        <v>5025</v>
      </c>
      <c r="G406" t="s">
        <v>5026</v>
      </c>
      <c r="H406" t="s">
        <v>4672</v>
      </c>
      <c r="I406" t="s">
        <v>4672</v>
      </c>
      <c r="J406" t="s">
        <v>4672</v>
      </c>
      <c r="K406" t="s">
        <v>4672</v>
      </c>
      <c r="L406" t="s">
        <v>2697</v>
      </c>
      <c r="M406">
        <v>84836</v>
      </c>
      <c r="N406" s="641">
        <f>+transaction_statement_01_Jan_2026_28_Feb_2026[[#This Row],[Orig amount]]/100</f>
        <v>848.36</v>
      </c>
      <c r="O406" t="s">
        <v>2697</v>
      </c>
      <c r="P406">
        <v>84836</v>
      </c>
      <c r="Q406">
        <v>84836</v>
      </c>
      <c r="S406">
        <v>0</v>
      </c>
      <c r="T406" t="s">
        <v>2697</v>
      </c>
      <c r="U406">
        <v>273574</v>
      </c>
      <c r="V406" t="s">
        <v>4965</v>
      </c>
      <c r="X406" t="s">
        <v>4672</v>
      </c>
      <c r="Y406" t="s">
        <v>4672</v>
      </c>
      <c r="Z406" t="s">
        <v>4672</v>
      </c>
      <c r="AB406" t="s">
        <v>4672</v>
      </c>
      <c r="AC406" t="s">
        <v>4672</v>
      </c>
    </row>
    <row r="407" spans="1:29" hidden="1">
      <c r="A407" s="10">
        <v>46048</v>
      </c>
      <c r="B407" s="10">
        <v>46048</v>
      </c>
      <c r="C407" t="s">
        <v>5680</v>
      </c>
      <c r="D407" t="s">
        <v>4967</v>
      </c>
      <c r="E407" t="s">
        <v>4962</v>
      </c>
      <c r="F407" t="s">
        <v>5041</v>
      </c>
      <c r="G407" t="s">
        <v>5042</v>
      </c>
      <c r="H407" t="s">
        <v>4970</v>
      </c>
      <c r="I407" t="s">
        <v>4672</v>
      </c>
      <c r="J407" t="s">
        <v>4672</v>
      </c>
      <c r="K407" t="s">
        <v>4672</v>
      </c>
      <c r="L407" t="s">
        <v>2697</v>
      </c>
      <c r="M407">
        <v>200000</v>
      </c>
      <c r="N407" s="641">
        <f>+transaction_statement_01_Jan_2026_28_Feb_2026[[#This Row],[Orig amount]]/100</f>
        <v>2000</v>
      </c>
      <c r="O407" t="s">
        <v>2697</v>
      </c>
      <c r="P407">
        <v>-200000</v>
      </c>
      <c r="Q407">
        <v>-200000</v>
      </c>
      <c r="S407">
        <v>0</v>
      </c>
      <c r="T407" t="s">
        <v>2697</v>
      </c>
      <c r="U407">
        <v>188738</v>
      </c>
      <c r="V407" t="s">
        <v>4965</v>
      </c>
      <c r="X407" t="s">
        <v>4672</v>
      </c>
      <c r="Y407" t="s">
        <v>5043</v>
      </c>
      <c r="Z407" t="s">
        <v>5044</v>
      </c>
      <c r="AB407" t="s">
        <v>4672</v>
      </c>
      <c r="AC407" t="s">
        <v>4672</v>
      </c>
    </row>
    <row r="408" spans="1:29" hidden="1">
      <c r="A408" s="10">
        <v>46048</v>
      </c>
      <c r="B408" s="10">
        <v>46048</v>
      </c>
      <c r="C408" t="s">
        <v>5681</v>
      </c>
      <c r="D408" t="s">
        <v>4961</v>
      </c>
      <c r="E408" t="s">
        <v>4962</v>
      </c>
      <c r="F408" t="s">
        <v>5025</v>
      </c>
      <c r="G408" t="s">
        <v>5026</v>
      </c>
      <c r="H408" t="s">
        <v>4672</v>
      </c>
      <c r="I408" t="s">
        <v>4672</v>
      </c>
      <c r="J408" t="s">
        <v>4672</v>
      </c>
      <c r="K408" t="s">
        <v>4672</v>
      </c>
      <c r="L408" t="s">
        <v>2697</v>
      </c>
      <c r="M408">
        <v>80457</v>
      </c>
      <c r="N408" s="641">
        <f>+transaction_statement_01_Jan_2026_28_Feb_2026[[#This Row],[Orig amount]]/100</f>
        <v>804.57</v>
      </c>
      <c r="O408" t="s">
        <v>2697</v>
      </c>
      <c r="P408">
        <v>80457</v>
      </c>
      <c r="Q408">
        <v>80457</v>
      </c>
      <c r="S408">
        <v>0</v>
      </c>
      <c r="T408" t="s">
        <v>2697</v>
      </c>
      <c r="U408">
        <v>388738</v>
      </c>
      <c r="V408" t="s">
        <v>4965</v>
      </c>
      <c r="X408" t="s">
        <v>4672</v>
      </c>
      <c r="Y408" t="s">
        <v>4672</v>
      </c>
      <c r="Z408" t="s">
        <v>4672</v>
      </c>
      <c r="AB408" t="s">
        <v>4672</v>
      </c>
      <c r="AC408" t="s">
        <v>4672</v>
      </c>
    </row>
    <row r="409" spans="1:29" hidden="1">
      <c r="A409" s="10">
        <v>46047</v>
      </c>
      <c r="B409" s="10">
        <v>46048</v>
      </c>
      <c r="C409" t="s">
        <v>5682</v>
      </c>
      <c r="D409" t="s">
        <v>4977</v>
      </c>
      <c r="E409" t="s">
        <v>4962</v>
      </c>
      <c r="F409" t="s">
        <v>5080</v>
      </c>
      <c r="G409" t="s">
        <v>4672</v>
      </c>
      <c r="H409" t="s">
        <v>4970</v>
      </c>
      <c r="I409" t="s">
        <v>4979</v>
      </c>
      <c r="J409" t="s">
        <v>4980</v>
      </c>
      <c r="K409" t="s">
        <v>4981</v>
      </c>
      <c r="L409" t="s">
        <v>2548</v>
      </c>
      <c r="M409">
        <v>23800</v>
      </c>
      <c r="N409" s="641">
        <f>+transaction_statement_01_Jan_2026_28_Feb_2026[[#This Row],[Orig amount]]/100</f>
        <v>238</v>
      </c>
      <c r="O409" t="s">
        <v>2697</v>
      </c>
      <c r="P409">
        <v>-20159</v>
      </c>
      <c r="Q409">
        <v>-20361</v>
      </c>
      <c r="R409">
        <v>1180647</v>
      </c>
      <c r="S409">
        <v>-202</v>
      </c>
      <c r="T409" t="s">
        <v>2697</v>
      </c>
      <c r="U409">
        <v>308281</v>
      </c>
      <c r="V409" t="s">
        <v>4965</v>
      </c>
      <c r="X409" t="s">
        <v>4672</v>
      </c>
      <c r="Y409" t="s">
        <v>4672</v>
      </c>
      <c r="Z409" t="s">
        <v>4672</v>
      </c>
      <c r="AA409">
        <v>7372</v>
      </c>
      <c r="AB409" t="s">
        <v>4672</v>
      </c>
      <c r="AC409" t="s">
        <v>4672</v>
      </c>
    </row>
    <row r="410" spans="1:29" hidden="1">
      <c r="A410" s="10">
        <v>46048</v>
      </c>
      <c r="B410" s="10">
        <v>46048</v>
      </c>
      <c r="C410" t="s">
        <v>5683</v>
      </c>
      <c r="D410" t="s">
        <v>4967</v>
      </c>
      <c r="E410" t="s">
        <v>4962</v>
      </c>
      <c r="F410" t="s">
        <v>5092</v>
      </c>
      <c r="G410" t="s">
        <v>5684</v>
      </c>
      <c r="H410" t="s">
        <v>4672</v>
      </c>
      <c r="I410" t="s">
        <v>4672</v>
      </c>
      <c r="J410" t="s">
        <v>4672</v>
      </c>
      <c r="K410" t="s">
        <v>4672</v>
      </c>
      <c r="L410" t="s">
        <v>2697</v>
      </c>
      <c r="M410">
        <v>330965</v>
      </c>
      <c r="N410" s="641">
        <f>+transaction_statement_01_Jan_2026_28_Feb_2026[[#This Row],[Orig amount]]/100</f>
        <v>3309.65</v>
      </c>
      <c r="O410" t="s">
        <v>2697</v>
      </c>
      <c r="P410">
        <v>-330965</v>
      </c>
      <c r="Q410">
        <v>-330965</v>
      </c>
      <c r="S410">
        <v>0</v>
      </c>
      <c r="T410" t="s">
        <v>2697</v>
      </c>
      <c r="U410">
        <v>328642</v>
      </c>
      <c r="V410" t="s">
        <v>4965</v>
      </c>
      <c r="X410" t="s">
        <v>4672</v>
      </c>
      <c r="Y410" t="s">
        <v>5094</v>
      </c>
      <c r="Z410" t="s">
        <v>5095</v>
      </c>
      <c r="AB410" t="s">
        <v>4672</v>
      </c>
      <c r="AC410" t="s">
        <v>4672</v>
      </c>
    </row>
    <row r="411" spans="1:29" hidden="1">
      <c r="A411" s="10">
        <v>46048</v>
      </c>
      <c r="B411" s="10">
        <v>46048</v>
      </c>
      <c r="C411" t="s">
        <v>5685</v>
      </c>
      <c r="D411" t="s">
        <v>4967</v>
      </c>
      <c r="E411" t="s">
        <v>4962</v>
      </c>
      <c r="F411" t="s">
        <v>3692</v>
      </c>
      <c r="G411" t="s">
        <v>5125</v>
      </c>
      <c r="H411" t="s">
        <v>4672</v>
      </c>
      <c r="I411" t="s">
        <v>4672</v>
      </c>
      <c r="J411" t="s">
        <v>4672</v>
      </c>
      <c r="K411" t="s">
        <v>4672</v>
      </c>
      <c r="L411" t="s">
        <v>2697</v>
      </c>
      <c r="M411">
        <v>2815</v>
      </c>
      <c r="N411" s="641">
        <f>+transaction_statement_01_Jan_2026_28_Feb_2026[[#This Row],[Orig amount]]/100</f>
        <v>28.15</v>
      </c>
      <c r="O411" t="s">
        <v>2697</v>
      </c>
      <c r="P411">
        <v>-2815</v>
      </c>
      <c r="Q411">
        <v>-2815</v>
      </c>
      <c r="S411">
        <v>0</v>
      </c>
      <c r="T411" t="s">
        <v>2697</v>
      </c>
      <c r="U411">
        <v>659607</v>
      </c>
      <c r="V411" t="s">
        <v>4965</v>
      </c>
      <c r="X411" t="s">
        <v>4672</v>
      </c>
      <c r="Y411" t="s">
        <v>5126</v>
      </c>
      <c r="Z411" t="s">
        <v>5127</v>
      </c>
      <c r="AB411" t="s">
        <v>4672</v>
      </c>
      <c r="AC411" t="s">
        <v>4672</v>
      </c>
    </row>
    <row r="412" spans="1:29" hidden="1">
      <c r="A412" s="10">
        <v>46048</v>
      </c>
      <c r="B412" s="10">
        <v>46048</v>
      </c>
      <c r="C412" t="s">
        <v>5686</v>
      </c>
      <c r="D412" t="s">
        <v>4961</v>
      </c>
      <c r="E412" t="s">
        <v>4962</v>
      </c>
      <c r="F412" t="s">
        <v>5025</v>
      </c>
      <c r="G412" t="s">
        <v>5026</v>
      </c>
      <c r="H412" t="s">
        <v>4672</v>
      </c>
      <c r="I412" t="s">
        <v>4672</v>
      </c>
      <c r="J412" t="s">
        <v>4672</v>
      </c>
      <c r="K412" t="s">
        <v>4672</v>
      </c>
      <c r="L412" t="s">
        <v>2697</v>
      </c>
      <c r="M412">
        <v>178377</v>
      </c>
      <c r="N412" s="641">
        <f>+transaction_statement_01_Jan_2026_28_Feb_2026[[#This Row],[Orig amount]]/100</f>
        <v>1783.77</v>
      </c>
      <c r="O412" t="s">
        <v>2697</v>
      </c>
      <c r="P412">
        <v>178377</v>
      </c>
      <c r="Q412">
        <v>178377</v>
      </c>
      <c r="S412">
        <v>0</v>
      </c>
      <c r="T412" t="s">
        <v>2697</v>
      </c>
      <c r="U412">
        <v>662422</v>
      </c>
      <c r="V412" t="s">
        <v>4965</v>
      </c>
      <c r="X412" t="s">
        <v>4672</v>
      </c>
      <c r="Y412" t="s">
        <v>4672</v>
      </c>
      <c r="Z412" t="s">
        <v>4672</v>
      </c>
      <c r="AB412" t="s">
        <v>4672</v>
      </c>
      <c r="AC412" t="s">
        <v>4672</v>
      </c>
    </row>
    <row r="413" spans="1:29" hidden="1">
      <c r="A413" s="10">
        <v>46047</v>
      </c>
      <c r="B413" s="10">
        <v>46048</v>
      </c>
      <c r="C413" t="s">
        <v>5687</v>
      </c>
      <c r="D413" t="s">
        <v>4967</v>
      </c>
      <c r="E413" t="s">
        <v>4962</v>
      </c>
      <c r="F413" t="s">
        <v>5053</v>
      </c>
      <c r="G413" t="s">
        <v>5054</v>
      </c>
      <c r="H413" t="s">
        <v>4970</v>
      </c>
      <c r="I413" t="s">
        <v>4672</v>
      </c>
      <c r="J413" t="s">
        <v>4672</v>
      </c>
      <c r="K413" t="s">
        <v>4672</v>
      </c>
      <c r="L413" t="s">
        <v>2697</v>
      </c>
      <c r="M413">
        <v>200000</v>
      </c>
      <c r="N413" s="641">
        <f>+transaction_statement_01_Jan_2026_28_Feb_2026[[#This Row],[Orig amount]]/100</f>
        <v>2000</v>
      </c>
      <c r="O413" t="s">
        <v>2697</v>
      </c>
      <c r="P413">
        <v>-200000</v>
      </c>
      <c r="Q413">
        <v>-200000</v>
      </c>
      <c r="S413">
        <v>0</v>
      </c>
      <c r="T413" t="s">
        <v>2697</v>
      </c>
      <c r="U413">
        <v>484045</v>
      </c>
      <c r="V413" t="s">
        <v>4965</v>
      </c>
      <c r="X413" t="s">
        <v>4672</v>
      </c>
      <c r="Y413" t="s">
        <v>5055</v>
      </c>
      <c r="Z413" t="s">
        <v>5056</v>
      </c>
      <c r="AB413" t="s">
        <v>4672</v>
      </c>
      <c r="AC413" t="s">
        <v>4672</v>
      </c>
    </row>
    <row r="414" spans="1:29" hidden="1">
      <c r="A414" s="10">
        <v>46047</v>
      </c>
      <c r="B414" s="10">
        <v>46048</v>
      </c>
      <c r="C414" t="s">
        <v>5688</v>
      </c>
      <c r="D414" t="s">
        <v>4967</v>
      </c>
      <c r="E414" t="s">
        <v>4962</v>
      </c>
      <c r="F414" t="s">
        <v>5058</v>
      </c>
      <c r="G414" t="s">
        <v>5689</v>
      </c>
      <c r="H414" t="s">
        <v>4970</v>
      </c>
      <c r="I414" t="s">
        <v>4672</v>
      </c>
      <c r="J414" t="s">
        <v>4672</v>
      </c>
      <c r="K414" t="s">
        <v>4672</v>
      </c>
      <c r="L414" t="s">
        <v>2697</v>
      </c>
      <c r="M414">
        <v>100000</v>
      </c>
      <c r="N414" s="641">
        <f>+transaction_statement_01_Jan_2026_28_Feb_2026[[#This Row],[Orig amount]]/100</f>
        <v>1000</v>
      </c>
      <c r="O414" t="s">
        <v>2697</v>
      </c>
      <c r="P414">
        <v>-100000</v>
      </c>
      <c r="Q414">
        <v>-100000</v>
      </c>
      <c r="S414">
        <v>0</v>
      </c>
      <c r="T414" t="s">
        <v>2697</v>
      </c>
      <c r="U414">
        <v>684045</v>
      </c>
      <c r="V414" t="s">
        <v>4965</v>
      </c>
      <c r="X414" t="s">
        <v>4672</v>
      </c>
      <c r="Y414" t="s">
        <v>5690</v>
      </c>
      <c r="Z414" t="s">
        <v>5056</v>
      </c>
      <c r="AB414" t="s">
        <v>4672</v>
      </c>
      <c r="AC414" t="s">
        <v>4672</v>
      </c>
    </row>
    <row r="415" spans="1:29" hidden="1">
      <c r="A415" s="10">
        <v>46047</v>
      </c>
      <c r="B415" s="10">
        <v>46047</v>
      </c>
      <c r="C415" t="s">
        <v>5576</v>
      </c>
      <c r="D415" t="s">
        <v>4967</v>
      </c>
      <c r="E415" t="s">
        <v>4962</v>
      </c>
      <c r="F415" t="s">
        <v>5046</v>
      </c>
      <c r="G415" t="s">
        <v>4672</v>
      </c>
      <c r="H415" t="s">
        <v>4970</v>
      </c>
      <c r="I415" t="s">
        <v>4672</v>
      </c>
      <c r="J415" t="s">
        <v>4672</v>
      </c>
      <c r="K415" t="s">
        <v>4672</v>
      </c>
      <c r="L415" t="s">
        <v>2697</v>
      </c>
      <c r="M415">
        <v>150000</v>
      </c>
      <c r="N415" s="641">
        <f>+transaction_statement_01_Jan_2026_28_Feb_2026[[#This Row],[Orig amount]]/100</f>
        <v>1500</v>
      </c>
      <c r="O415" t="s">
        <v>2697</v>
      </c>
      <c r="P415">
        <v>-150000</v>
      </c>
      <c r="Q415">
        <v>-150000</v>
      </c>
      <c r="S415">
        <v>0</v>
      </c>
      <c r="T415" t="s">
        <v>2697</v>
      </c>
      <c r="U415">
        <v>0</v>
      </c>
      <c r="V415" t="s">
        <v>5047</v>
      </c>
      <c r="X415" t="s">
        <v>4672</v>
      </c>
      <c r="Y415" t="s">
        <v>4672</v>
      </c>
      <c r="Z415" t="s">
        <v>4672</v>
      </c>
      <c r="AB415" t="s">
        <v>4672</v>
      </c>
      <c r="AC415" t="s">
        <v>4672</v>
      </c>
    </row>
    <row r="416" spans="1:29" hidden="1">
      <c r="A416" s="10">
        <v>46047</v>
      </c>
      <c r="B416" s="10">
        <v>46047</v>
      </c>
      <c r="C416" t="s">
        <v>5576</v>
      </c>
      <c r="D416" t="s">
        <v>4967</v>
      </c>
      <c r="E416" t="s">
        <v>4962</v>
      </c>
      <c r="F416" t="s">
        <v>5048</v>
      </c>
      <c r="G416" t="s">
        <v>4672</v>
      </c>
      <c r="H416" t="s">
        <v>4970</v>
      </c>
      <c r="I416" t="s">
        <v>4672</v>
      </c>
      <c r="J416" t="s">
        <v>4672</v>
      </c>
      <c r="K416" t="s">
        <v>4672</v>
      </c>
      <c r="L416" t="s">
        <v>2697</v>
      </c>
      <c r="M416">
        <v>-150000</v>
      </c>
      <c r="N416" s="641">
        <f>+transaction_statement_01_Jan_2026_28_Feb_2026[[#This Row],[Orig amount]]/100</f>
        <v>-1500</v>
      </c>
      <c r="O416" t="s">
        <v>2697</v>
      </c>
      <c r="P416">
        <v>150000</v>
      </c>
      <c r="Q416">
        <v>150000</v>
      </c>
      <c r="S416">
        <v>0</v>
      </c>
      <c r="T416" t="s">
        <v>2697</v>
      </c>
      <c r="U416">
        <v>784045</v>
      </c>
      <c r="V416" t="s">
        <v>4965</v>
      </c>
      <c r="X416" t="s">
        <v>4672</v>
      </c>
      <c r="Y416" t="s">
        <v>4672</v>
      </c>
      <c r="Z416" t="s">
        <v>4672</v>
      </c>
      <c r="AB416" t="s">
        <v>4672</v>
      </c>
      <c r="AC416" t="s">
        <v>4672</v>
      </c>
    </row>
    <row r="417" spans="1:29" hidden="1">
      <c r="A417" s="10">
        <v>46047</v>
      </c>
      <c r="B417" s="10">
        <v>46047</v>
      </c>
      <c r="C417" t="s">
        <v>5577</v>
      </c>
      <c r="D417" t="s">
        <v>4961</v>
      </c>
      <c r="E417" t="s">
        <v>4962</v>
      </c>
      <c r="F417" t="s">
        <v>5050</v>
      </c>
      <c r="G417" t="s">
        <v>5051</v>
      </c>
      <c r="H417" t="s">
        <v>4672</v>
      </c>
      <c r="I417" t="s">
        <v>4672</v>
      </c>
      <c r="J417" t="s">
        <v>4672</v>
      </c>
      <c r="K417" t="s">
        <v>4672</v>
      </c>
      <c r="L417" t="s">
        <v>2697</v>
      </c>
      <c r="M417">
        <v>150000</v>
      </c>
      <c r="N417" s="641">
        <f>+transaction_statement_01_Jan_2026_28_Feb_2026[[#This Row],[Orig amount]]/100</f>
        <v>1500</v>
      </c>
      <c r="O417" t="s">
        <v>2697</v>
      </c>
      <c r="P417">
        <v>150000</v>
      </c>
      <c r="Q417">
        <v>150000</v>
      </c>
      <c r="S417">
        <v>0</v>
      </c>
      <c r="T417" t="s">
        <v>2697</v>
      </c>
      <c r="U417">
        <v>150000</v>
      </c>
      <c r="V417" t="s">
        <v>5047</v>
      </c>
      <c r="X417" t="s">
        <v>4672</v>
      </c>
      <c r="Y417" t="s">
        <v>4672</v>
      </c>
      <c r="Z417" t="s">
        <v>4672</v>
      </c>
      <c r="AB417" t="s">
        <v>4672</v>
      </c>
      <c r="AC417" t="s">
        <v>4672</v>
      </c>
    </row>
    <row r="418" spans="1:29" hidden="1">
      <c r="A418" s="10">
        <v>46046</v>
      </c>
      <c r="B418" s="10">
        <v>46047</v>
      </c>
      <c r="C418" t="s">
        <v>5691</v>
      </c>
      <c r="D418" t="s">
        <v>4977</v>
      </c>
      <c r="E418" t="s">
        <v>4962</v>
      </c>
      <c r="F418" t="s">
        <v>5445</v>
      </c>
      <c r="G418" t="s">
        <v>4672</v>
      </c>
      <c r="H418" t="s">
        <v>4970</v>
      </c>
      <c r="I418" t="s">
        <v>4979</v>
      </c>
      <c r="J418" t="s">
        <v>4980</v>
      </c>
      <c r="K418" t="s">
        <v>4981</v>
      </c>
      <c r="L418" t="s">
        <v>2697</v>
      </c>
      <c r="M418">
        <v>50000</v>
      </c>
      <c r="N418" s="641">
        <f>+transaction_statement_01_Jan_2026_28_Feb_2026[[#This Row],[Orig amount]]/100</f>
        <v>500</v>
      </c>
      <c r="O418" t="s">
        <v>2697</v>
      </c>
      <c r="P418">
        <v>-50000</v>
      </c>
      <c r="Q418">
        <v>-50000</v>
      </c>
      <c r="S418">
        <v>0</v>
      </c>
      <c r="T418" t="s">
        <v>2697</v>
      </c>
      <c r="U418">
        <v>634045</v>
      </c>
      <c r="V418" t="s">
        <v>4965</v>
      </c>
      <c r="X418" t="s">
        <v>4672</v>
      </c>
      <c r="Y418" t="s">
        <v>4672</v>
      </c>
      <c r="Z418" t="s">
        <v>4672</v>
      </c>
      <c r="AA418">
        <v>7311</v>
      </c>
      <c r="AB418" t="s">
        <v>4672</v>
      </c>
      <c r="AC418" t="s">
        <v>4672</v>
      </c>
    </row>
    <row r="419" spans="1:29" hidden="1">
      <c r="A419" s="10">
        <v>46046</v>
      </c>
      <c r="B419" s="10">
        <v>46047</v>
      </c>
      <c r="C419" t="s">
        <v>5692</v>
      </c>
      <c r="D419" t="s">
        <v>4977</v>
      </c>
      <c r="E419" t="s">
        <v>4962</v>
      </c>
      <c r="F419" t="s">
        <v>5123</v>
      </c>
      <c r="G419" t="s">
        <v>4672</v>
      </c>
      <c r="H419" t="s">
        <v>4970</v>
      </c>
      <c r="I419" t="s">
        <v>4979</v>
      </c>
      <c r="J419" t="s">
        <v>4980</v>
      </c>
      <c r="K419" t="s">
        <v>4981</v>
      </c>
      <c r="L419" t="s">
        <v>2697</v>
      </c>
      <c r="M419">
        <v>37900</v>
      </c>
      <c r="N419" s="641">
        <f>+transaction_statement_01_Jan_2026_28_Feb_2026[[#This Row],[Orig amount]]/100</f>
        <v>379</v>
      </c>
      <c r="O419" t="s">
        <v>2697</v>
      </c>
      <c r="P419">
        <v>-37900</v>
      </c>
      <c r="Q419">
        <v>-37900</v>
      </c>
      <c r="S419">
        <v>0</v>
      </c>
      <c r="T419" t="s">
        <v>2697</v>
      </c>
      <c r="U419">
        <v>684045</v>
      </c>
      <c r="V419" t="s">
        <v>4965</v>
      </c>
      <c r="X419" t="s">
        <v>4672</v>
      </c>
      <c r="Y419" t="s">
        <v>4672</v>
      </c>
      <c r="Z419" t="s">
        <v>4672</v>
      </c>
      <c r="AA419">
        <v>5734</v>
      </c>
      <c r="AB419" t="s">
        <v>4672</v>
      </c>
      <c r="AC419" t="s">
        <v>4672</v>
      </c>
    </row>
    <row r="420" spans="1:29" hidden="1">
      <c r="A420" s="10">
        <v>46047</v>
      </c>
      <c r="B420" s="10">
        <v>46047</v>
      </c>
      <c r="C420" t="s">
        <v>5693</v>
      </c>
      <c r="D420" t="s">
        <v>4961</v>
      </c>
      <c r="E420" t="s">
        <v>4962</v>
      </c>
      <c r="F420" t="s">
        <v>5025</v>
      </c>
      <c r="G420" t="s">
        <v>5026</v>
      </c>
      <c r="H420" t="s">
        <v>4672</v>
      </c>
      <c r="I420" t="s">
        <v>4672</v>
      </c>
      <c r="J420" t="s">
        <v>4672</v>
      </c>
      <c r="K420" t="s">
        <v>4672</v>
      </c>
      <c r="L420" t="s">
        <v>2697</v>
      </c>
      <c r="M420">
        <v>591337</v>
      </c>
      <c r="N420" s="641">
        <f>+transaction_statement_01_Jan_2026_28_Feb_2026[[#This Row],[Orig amount]]/100</f>
        <v>5913.37</v>
      </c>
      <c r="O420" t="s">
        <v>2697</v>
      </c>
      <c r="P420">
        <v>591337</v>
      </c>
      <c r="Q420">
        <v>591337</v>
      </c>
      <c r="S420">
        <v>0</v>
      </c>
      <c r="T420" t="s">
        <v>2697</v>
      </c>
      <c r="U420">
        <v>721945</v>
      </c>
      <c r="V420" t="s">
        <v>4965</v>
      </c>
      <c r="X420" t="s">
        <v>4672</v>
      </c>
      <c r="Y420" t="s">
        <v>4672</v>
      </c>
      <c r="Z420" t="s">
        <v>4672</v>
      </c>
      <c r="AB420" t="s">
        <v>4672</v>
      </c>
      <c r="AC420" t="s">
        <v>4672</v>
      </c>
    </row>
    <row r="421" spans="1:29" hidden="1">
      <c r="A421" s="10">
        <v>46046</v>
      </c>
      <c r="B421" s="10">
        <v>46046</v>
      </c>
      <c r="C421" t="s">
        <v>5694</v>
      </c>
      <c r="D421" t="s">
        <v>4967</v>
      </c>
      <c r="E421" t="s">
        <v>4962</v>
      </c>
      <c r="F421" t="s">
        <v>5201</v>
      </c>
      <c r="G421" t="s">
        <v>5206</v>
      </c>
      <c r="H421" t="s">
        <v>4970</v>
      </c>
      <c r="I421" t="s">
        <v>4672</v>
      </c>
      <c r="J421" t="s">
        <v>4672</v>
      </c>
      <c r="K421" t="s">
        <v>4672</v>
      </c>
      <c r="L421" t="s">
        <v>2697</v>
      </c>
      <c r="M421">
        <v>404346</v>
      </c>
      <c r="N421" s="641">
        <f>+transaction_statement_01_Jan_2026_28_Feb_2026[[#This Row],[Orig amount]]/100</f>
        <v>4043.46</v>
      </c>
      <c r="O421" t="s">
        <v>2697</v>
      </c>
      <c r="P421">
        <v>-404346</v>
      </c>
      <c r="Q421">
        <v>-404346</v>
      </c>
      <c r="S421">
        <v>0</v>
      </c>
      <c r="T421" t="s">
        <v>2697</v>
      </c>
      <c r="U421">
        <v>130608</v>
      </c>
      <c r="V421" t="s">
        <v>4965</v>
      </c>
      <c r="X421" t="s">
        <v>4672</v>
      </c>
      <c r="Y421" t="s">
        <v>5203</v>
      </c>
      <c r="Z421" t="s">
        <v>5204</v>
      </c>
      <c r="AB421" t="s">
        <v>4672</v>
      </c>
      <c r="AC421" t="s">
        <v>4672</v>
      </c>
    </row>
    <row r="422" spans="1:29" hidden="1">
      <c r="A422" s="10">
        <v>46046</v>
      </c>
      <c r="B422" s="10">
        <v>46046</v>
      </c>
      <c r="C422" t="s">
        <v>5695</v>
      </c>
      <c r="D422" t="s">
        <v>4961</v>
      </c>
      <c r="E422" t="s">
        <v>4962</v>
      </c>
      <c r="F422" t="s">
        <v>5025</v>
      </c>
      <c r="G422" t="s">
        <v>5026</v>
      </c>
      <c r="H422" t="s">
        <v>4672</v>
      </c>
      <c r="I422" t="s">
        <v>4672</v>
      </c>
      <c r="J422" t="s">
        <v>4672</v>
      </c>
      <c r="K422" t="s">
        <v>4672</v>
      </c>
      <c r="L422" t="s">
        <v>2697</v>
      </c>
      <c r="M422">
        <v>143810</v>
      </c>
      <c r="N422" s="641">
        <f>+transaction_statement_01_Jan_2026_28_Feb_2026[[#This Row],[Orig amount]]/100</f>
        <v>1438.1</v>
      </c>
      <c r="O422" t="s">
        <v>2697</v>
      </c>
      <c r="P422">
        <v>143810</v>
      </c>
      <c r="Q422">
        <v>143810</v>
      </c>
      <c r="S422">
        <v>0</v>
      </c>
      <c r="T422" t="s">
        <v>2697</v>
      </c>
      <c r="U422">
        <v>534954</v>
      </c>
      <c r="V422" t="s">
        <v>4965</v>
      </c>
      <c r="X422" t="s">
        <v>4672</v>
      </c>
      <c r="Y422" t="s">
        <v>4672</v>
      </c>
      <c r="Z422" t="s">
        <v>4672</v>
      </c>
      <c r="AB422" t="s">
        <v>4672</v>
      </c>
      <c r="AC422" t="s">
        <v>4672</v>
      </c>
    </row>
    <row r="423" spans="1:29" hidden="1">
      <c r="A423" s="10">
        <v>46045</v>
      </c>
      <c r="B423" s="10">
        <v>46046</v>
      </c>
      <c r="C423" t="s">
        <v>5696</v>
      </c>
      <c r="D423" t="s">
        <v>4977</v>
      </c>
      <c r="E423" t="s">
        <v>4962</v>
      </c>
      <c r="F423" t="s">
        <v>5118</v>
      </c>
      <c r="G423" t="s">
        <v>4672</v>
      </c>
      <c r="H423" t="s">
        <v>4970</v>
      </c>
      <c r="I423" t="s">
        <v>4979</v>
      </c>
      <c r="J423" t="s">
        <v>4980</v>
      </c>
      <c r="K423" t="s">
        <v>4981</v>
      </c>
      <c r="L423" t="s">
        <v>2697</v>
      </c>
      <c r="M423">
        <v>16004</v>
      </c>
      <c r="N423" s="641">
        <f>+transaction_statement_01_Jan_2026_28_Feb_2026[[#This Row],[Orig amount]]/100</f>
        <v>160.04</v>
      </c>
      <c r="O423" t="s">
        <v>2697</v>
      </c>
      <c r="P423">
        <v>-16004</v>
      </c>
      <c r="Q423">
        <v>-16004</v>
      </c>
      <c r="S423">
        <v>0</v>
      </c>
      <c r="T423" t="s">
        <v>2697</v>
      </c>
      <c r="U423">
        <v>391144</v>
      </c>
      <c r="V423" t="s">
        <v>4965</v>
      </c>
      <c r="X423" t="s">
        <v>4672</v>
      </c>
      <c r="Y423" t="s">
        <v>4672</v>
      </c>
      <c r="Z423" t="s">
        <v>4672</v>
      </c>
      <c r="AA423">
        <v>5734</v>
      </c>
      <c r="AB423" t="s">
        <v>4672</v>
      </c>
      <c r="AC423" t="s">
        <v>4672</v>
      </c>
    </row>
    <row r="424" spans="1:29">
      <c r="A424" s="10">
        <v>46044</v>
      </c>
      <c r="B424" s="10">
        <v>46046</v>
      </c>
      <c r="C424" t="s">
        <v>5697</v>
      </c>
      <c r="D424" t="s">
        <v>4977</v>
      </c>
      <c r="E424" t="s">
        <v>4962</v>
      </c>
      <c r="F424" t="s">
        <v>5698</v>
      </c>
      <c r="G424" t="s">
        <v>4672</v>
      </c>
      <c r="H424" t="s">
        <v>4994</v>
      </c>
      <c r="I424" t="s">
        <v>4995</v>
      </c>
      <c r="J424" t="s">
        <v>4996</v>
      </c>
      <c r="K424" t="s">
        <v>4981</v>
      </c>
      <c r="L424" t="s">
        <v>2548</v>
      </c>
      <c r="M424">
        <v>4500</v>
      </c>
      <c r="N424" s="642">
        <f>+transaction_statement_01_Jan_2026_28_Feb_2026[[#This Row],[Orig amount]]/100</f>
        <v>45</v>
      </c>
      <c r="O424" t="s">
        <v>2697</v>
      </c>
      <c r="P424">
        <v>-3841</v>
      </c>
      <c r="Q424">
        <v>-3841</v>
      </c>
      <c r="R424">
        <v>1171586</v>
      </c>
      <c r="S424">
        <v>0</v>
      </c>
      <c r="T424" t="s">
        <v>2697</v>
      </c>
      <c r="U424">
        <v>407148</v>
      </c>
      <c r="V424" t="s">
        <v>4965</v>
      </c>
      <c r="X424" t="s">
        <v>4672</v>
      </c>
      <c r="Y424" t="s">
        <v>4672</v>
      </c>
      <c r="Z424" t="s">
        <v>4672</v>
      </c>
      <c r="AA424">
        <v>7372</v>
      </c>
      <c r="AB424" t="s">
        <v>4672</v>
      </c>
      <c r="AC424" t="s">
        <v>4672</v>
      </c>
    </row>
    <row r="425" spans="1:29" hidden="1">
      <c r="A425" s="10">
        <v>46046</v>
      </c>
      <c r="B425" s="10">
        <v>46046</v>
      </c>
      <c r="C425" t="s">
        <v>5699</v>
      </c>
      <c r="D425" t="s">
        <v>4967</v>
      </c>
      <c r="E425" t="s">
        <v>4962</v>
      </c>
      <c r="F425" t="s">
        <v>5058</v>
      </c>
      <c r="G425" t="s">
        <v>5059</v>
      </c>
      <c r="H425" t="s">
        <v>4970</v>
      </c>
      <c r="I425" t="s">
        <v>4672</v>
      </c>
      <c r="J425" t="s">
        <v>4672</v>
      </c>
      <c r="K425" t="s">
        <v>4672</v>
      </c>
      <c r="L425" t="s">
        <v>2697</v>
      </c>
      <c r="M425">
        <v>250000</v>
      </c>
      <c r="N425" s="641">
        <f>+transaction_statement_01_Jan_2026_28_Feb_2026[[#This Row],[Orig amount]]/100</f>
        <v>2500</v>
      </c>
      <c r="O425" t="s">
        <v>2697</v>
      </c>
      <c r="P425">
        <v>-250000</v>
      </c>
      <c r="Q425">
        <v>-250000</v>
      </c>
      <c r="S425">
        <v>0</v>
      </c>
      <c r="T425" t="s">
        <v>2697</v>
      </c>
      <c r="U425">
        <v>410989</v>
      </c>
      <c r="V425" t="s">
        <v>4965</v>
      </c>
      <c r="X425" t="s">
        <v>4672</v>
      </c>
      <c r="Y425" t="s">
        <v>5060</v>
      </c>
      <c r="Z425" t="s">
        <v>5031</v>
      </c>
      <c r="AB425" t="s">
        <v>4672</v>
      </c>
      <c r="AC425" t="s">
        <v>4672</v>
      </c>
    </row>
    <row r="426" spans="1:29" hidden="1">
      <c r="A426" s="10">
        <v>46046</v>
      </c>
      <c r="B426" s="10">
        <v>46046</v>
      </c>
      <c r="C426" t="s">
        <v>5700</v>
      </c>
      <c r="D426" t="s">
        <v>4961</v>
      </c>
      <c r="E426" t="s">
        <v>4962</v>
      </c>
      <c r="F426" t="s">
        <v>5025</v>
      </c>
      <c r="G426" t="s">
        <v>5026</v>
      </c>
      <c r="H426" t="s">
        <v>4672</v>
      </c>
      <c r="I426" t="s">
        <v>4672</v>
      </c>
      <c r="J426" t="s">
        <v>4672</v>
      </c>
      <c r="K426" t="s">
        <v>4672</v>
      </c>
      <c r="L426" t="s">
        <v>2697</v>
      </c>
      <c r="M426">
        <v>606190</v>
      </c>
      <c r="N426" s="641">
        <f>+transaction_statement_01_Jan_2026_28_Feb_2026[[#This Row],[Orig amount]]/100</f>
        <v>6061.9</v>
      </c>
      <c r="O426" t="s">
        <v>2697</v>
      </c>
      <c r="P426">
        <v>606190</v>
      </c>
      <c r="Q426">
        <v>606190</v>
      </c>
      <c r="S426">
        <v>0</v>
      </c>
      <c r="T426" t="s">
        <v>2697</v>
      </c>
      <c r="U426">
        <v>660989</v>
      </c>
      <c r="V426" t="s">
        <v>4965</v>
      </c>
      <c r="X426" t="s">
        <v>4672</v>
      </c>
      <c r="Y426" t="s">
        <v>4672</v>
      </c>
      <c r="Z426" t="s">
        <v>4672</v>
      </c>
      <c r="AB426" t="s">
        <v>4672</v>
      </c>
      <c r="AC426" t="s">
        <v>4672</v>
      </c>
    </row>
    <row r="427" spans="1:29" hidden="1">
      <c r="A427" s="10">
        <v>46045</v>
      </c>
      <c r="B427" s="10">
        <v>46046</v>
      </c>
      <c r="C427" t="s">
        <v>5701</v>
      </c>
      <c r="D427" t="s">
        <v>4977</v>
      </c>
      <c r="E427" t="s">
        <v>4962</v>
      </c>
      <c r="F427" t="s">
        <v>5131</v>
      </c>
      <c r="G427" t="s">
        <v>4672</v>
      </c>
      <c r="H427" t="s">
        <v>4970</v>
      </c>
      <c r="I427" t="s">
        <v>4984</v>
      </c>
      <c r="J427" t="s">
        <v>4985</v>
      </c>
      <c r="K427" t="s">
        <v>4981</v>
      </c>
      <c r="L427" t="s">
        <v>2697</v>
      </c>
      <c r="M427">
        <v>200000</v>
      </c>
      <c r="N427" s="641">
        <f>+transaction_statement_01_Jan_2026_28_Feb_2026[[#This Row],[Orig amount]]/100</f>
        <v>2000</v>
      </c>
      <c r="O427" t="s">
        <v>2697</v>
      </c>
      <c r="P427">
        <v>-200000</v>
      </c>
      <c r="Q427">
        <v>-200000</v>
      </c>
      <c r="S427">
        <v>0</v>
      </c>
      <c r="T427" t="s">
        <v>2697</v>
      </c>
      <c r="U427">
        <v>54799</v>
      </c>
      <c r="V427" t="s">
        <v>4965</v>
      </c>
      <c r="X427" t="s">
        <v>4672</v>
      </c>
      <c r="Y427" t="s">
        <v>4672</v>
      </c>
      <c r="Z427" t="s">
        <v>4672</v>
      </c>
      <c r="AA427">
        <v>7392</v>
      </c>
      <c r="AB427" t="s">
        <v>4672</v>
      </c>
      <c r="AC427" t="s">
        <v>4672</v>
      </c>
    </row>
    <row r="428" spans="1:29" hidden="1">
      <c r="A428" s="10">
        <v>46045</v>
      </c>
      <c r="B428" s="10">
        <v>46046</v>
      </c>
      <c r="C428" t="s">
        <v>5702</v>
      </c>
      <c r="D428" t="s">
        <v>4977</v>
      </c>
      <c r="E428" t="s">
        <v>4962</v>
      </c>
      <c r="F428" t="s">
        <v>5703</v>
      </c>
      <c r="G428" t="s">
        <v>4672</v>
      </c>
      <c r="H428" t="s">
        <v>4970</v>
      </c>
      <c r="I428" t="s">
        <v>4984</v>
      </c>
      <c r="J428" t="s">
        <v>4985</v>
      </c>
      <c r="K428" t="s">
        <v>4981</v>
      </c>
      <c r="L428" t="s">
        <v>2697</v>
      </c>
      <c r="M428">
        <v>18900</v>
      </c>
      <c r="N428" s="641">
        <f>+transaction_statement_01_Jan_2026_28_Feb_2026[[#This Row],[Orig amount]]/100</f>
        <v>189</v>
      </c>
      <c r="O428" t="s">
        <v>2697</v>
      </c>
      <c r="P428">
        <v>-18900</v>
      </c>
      <c r="Q428">
        <v>-18900</v>
      </c>
      <c r="S428">
        <v>0</v>
      </c>
      <c r="T428" t="s">
        <v>2697</v>
      </c>
      <c r="U428">
        <v>254799</v>
      </c>
      <c r="V428" t="s">
        <v>4965</v>
      </c>
      <c r="X428" t="s">
        <v>4672</v>
      </c>
      <c r="Y428" t="s">
        <v>4672</v>
      </c>
      <c r="Z428" t="s">
        <v>4672</v>
      </c>
      <c r="AA428">
        <v>7298</v>
      </c>
      <c r="AB428" t="s">
        <v>4672</v>
      </c>
      <c r="AC428" t="s">
        <v>4672</v>
      </c>
    </row>
    <row r="429" spans="1:29" hidden="1">
      <c r="A429" s="10">
        <v>46045</v>
      </c>
      <c r="B429" s="10">
        <v>46046</v>
      </c>
      <c r="C429" t="s">
        <v>5704</v>
      </c>
      <c r="D429" t="s">
        <v>4977</v>
      </c>
      <c r="E429" t="s">
        <v>4962</v>
      </c>
      <c r="F429" t="s">
        <v>5703</v>
      </c>
      <c r="G429" t="s">
        <v>4672</v>
      </c>
      <c r="H429" t="s">
        <v>4970</v>
      </c>
      <c r="I429" t="s">
        <v>4984</v>
      </c>
      <c r="J429" t="s">
        <v>4985</v>
      </c>
      <c r="K429" t="s">
        <v>4981</v>
      </c>
      <c r="L429" t="s">
        <v>2697</v>
      </c>
      <c r="M429">
        <v>8000</v>
      </c>
      <c r="N429" s="641">
        <f>+transaction_statement_01_Jan_2026_28_Feb_2026[[#This Row],[Orig amount]]/100</f>
        <v>80</v>
      </c>
      <c r="O429" t="s">
        <v>2697</v>
      </c>
      <c r="P429">
        <v>-8000</v>
      </c>
      <c r="Q429">
        <v>-8000</v>
      </c>
      <c r="S429">
        <v>0</v>
      </c>
      <c r="T429" t="s">
        <v>2697</v>
      </c>
      <c r="U429">
        <v>273699</v>
      </c>
      <c r="V429" t="s">
        <v>4965</v>
      </c>
      <c r="X429" t="s">
        <v>4672</v>
      </c>
      <c r="Y429" t="s">
        <v>4672</v>
      </c>
      <c r="Z429" t="s">
        <v>4672</v>
      </c>
      <c r="AA429">
        <v>7298</v>
      </c>
      <c r="AB429" t="s">
        <v>4672</v>
      </c>
      <c r="AC429" t="s">
        <v>4672</v>
      </c>
    </row>
    <row r="430" spans="1:29" hidden="1">
      <c r="A430" s="10">
        <v>46045</v>
      </c>
      <c r="B430" s="10">
        <v>46045</v>
      </c>
      <c r="C430" t="s">
        <v>5705</v>
      </c>
      <c r="D430" t="s">
        <v>4967</v>
      </c>
      <c r="E430" t="s">
        <v>4962</v>
      </c>
      <c r="F430" t="s">
        <v>5058</v>
      </c>
      <c r="G430" t="s">
        <v>5059</v>
      </c>
      <c r="H430" t="s">
        <v>4970</v>
      </c>
      <c r="I430" t="s">
        <v>4672</v>
      </c>
      <c r="J430" t="s">
        <v>4672</v>
      </c>
      <c r="K430" t="s">
        <v>4672</v>
      </c>
      <c r="L430" t="s">
        <v>2697</v>
      </c>
      <c r="M430">
        <v>300000</v>
      </c>
      <c r="N430" s="641">
        <f>+transaction_statement_01_Jan_2026_28_Feb_2026[[#This Row],[Orig amount]]/100</f>
        <v>3000</v>
      </c>
      <c r="O430" t="s">
        <v>2697</v>
      </c>
      <c r="P430">
        <v>-300000</v>
      </c>
      <c r="Q430">
        <v>-300000</v>
      </c>
      <c r="S430">
        <v>0</v>
      </c>
      <c r="T430" t="s">
        <v>2697</v>
      </c>
      <c r="U430">
        <v>281699</v>
      </c>
      <c r="V430" t="s">
        <v>4965</v>
      </c>
      <c r="X430" t="s">
        <v>4672</v>
      </c>
      <c r="Y430" t="s">
        <v>5060</v>
      </c>
      <c r="Z430" t="s">
        <v>5031</v>
      </c>
      <c r="AB430" t="s">
        <v>4672</v>
      </c>
      <c r="AC430" t="s">
        <v>4672</v>
      </c>
    </row>
    <row r="431" spans="1:29" hidden="1">
      <c r="A431" s="10">
        <v>46045</v>
      </c>
      <c r="B431" s="10">
        <v>46045</v>
      </c>
      <c r="C431" t="s">
        <v>5706</v>
      </c>
      <c r="D431" t="s">
        <v>4961</v>
      </c>
      <c r="E431" t="s">
        <v>4962</v>
      </c>
      <c r="F431" t="s">
        <v>5025</v>
      </c>
      <c r="G431" t="s">
        <v>5026</v>
      </c>
      <c r="H431" t="s">
        <v>4672</v>
      </c>
      <c r="I431" t="s">
        <v>4672</v>
      </c>
      <c r="J431" t="s">
        <v>4672</v>
      </c>
      <c r="K431" t="s">
        <v>4672</v>
      </c>
      <c r="L431" t="s">
        <v>2697</v>
      </c>
      <c r="M431">
        <v>260680</v>
      </c>
      <c r="N431" s="641">
        <f>+transaction_statement_01_Jan_2026_28_Feb_2026[[#This Row],[Orig amount]]/100</f>
        <v>2606.8000000000002</v>
      </c>
      <c r="O431" t="s">
        <v>2697</v>
      </c>
      <c r="P431">
        <v>260680</v>
      </c>
      <c r="Q431">
        <v>260680</v>
      </c>
      <c r="S431">
        <v>0</v>
      </c>
      <c r="T431" t="s">
        <v>2697</v>
      </c>
      <c r="U431">
        <v>581699</v>
      </c>
      <c r="V431" t="s">
        <v>4965</v>
      </c>
      <c r="X431" t="s">
        <v>4672</v>
      </c>
      <c r="Y431" t="s">
        <v>4672</v>
      </c>
      <c r="Z431" t="s">
        <v>4672</v>
      </c>
      <c r="AB431" t="s">
        <v>4672</v>
      </c>
      <c r="AC431" t="s">
        <v>4672</v>
      </c>
    </row>
    <row r="432" spans="1:29" hidden="1">
      <c r="A432" s="10">
        <v>46045</v>
      </c>
      <c r="B432" s="10">
        <v>46045</v>
      </c>
      <c r="C432" t="s">
        <v>5707</v>
      </c>
      <c r="D432" t="s">
        <v>4967</v>
      </c>
      <c r="E432" t="s">
        <v>4962</v>
      </c>
      <c r="F432" t="s">
        <v>5041</v>
      </c>
      <c r="G432" t="s">
        <v>5708</v>
      </c>
      <c r="H432" t="s">
        <v>4970</v>
      </c>
      <c r="I432" t="s">
        <v>4672</v>
      </c>
      <c r="J432" t="s">
        <v>4672</v>
      </c>
      <c r="K432" t="s">
        <v>4672</v>
      </c>
      <c r="L432" t="s">
        <v>2697</v>
      </c>
      <c r="M432">
        <v>150000</v>
      </c>
      <c r="N432" s="641">
        <f>+transaction_statement_01_Jan_2026_28_Feb_2026[[#This Row],[Orig amount]]/100</f>
        <v>1500</v>
      </c>
      <c r="O432" t="s">
        <v>2697</v>
      </c>
      <c r="P432">
        <v>-150000</v>
      </c>
      <c r="Q432">
        <v>-150000</v>
      </c>
      <c r="S432">
        <v>0</v>
      </c>
      <c r="T432" t="s">
        <v>2697</v>
      </c>
      <c r="U432">
        <v>321019</v>
      </c>
      <c r="V432" t="s">
        <v>4965</v>
      </c>
      <c r="X432" t="s">
        <v>4672</v>
      </c>
      <c r="Y432" t="s">
        <v>5043</v>
      </c>
      <c r="Z432" t="s">
        <v>5044</v>
      </c>
      <c r="AB432" t="s">
        <v>4672</v>
      </c>
      <c r="AC432" t="s">
        <v>4672</v>
      </c>
    </row>
    <row r="433" spans="1:29" hidden="1">
      <c r="A433" s="10">
        <v>46045</v>
      </c>
      <c r="B433" s="10">
        <v>46045</v>
      </c>
      <c r="C433" t="s">
        <v>5709</v>
      </c>
      <c r="D433" t="s">
        <v>4961</v>
      </c>
      <c r="E433" t="s">
        <v>4962</v>
      </c>
      <c r="F433" t="s">
        <v>5025</v>
      </c>
      <c r="G433" t="s">
        <v>5026</v>
      </c>
      <c r="H433" t="s">
        <v>4672</v>
      </c>
      <c r="I433" t="s">
        <v>4672</v>
      </c>
      <c r="J433" t="s">
        <v>4672</v>
      </c>
      <c r="K433" t="s">
        <v>4672</v>
      </c>
      <c r="L433" t="s">
        <v>2697</v>
      </c>
      <c r="M433">
        <v>192616</v>
      </c>
      <c r="N433" s="641">
        <f>+transaction_statement_01_Jan_2026_28_Feb_2026[[#This Row],[Orig amount]]/100</f>
        <v>1926.16</v>
      </c>
      <c r="O433" t="s">
        <v>2697</v>
      </c>
      <c r="P433">
        <v>192616</v>
      </c>
      <c r="Q433">
        <v>192616</v>
      </c>
      <c r="S433">
        <v>0</v>
      </c>
      <c r="T433" t="s">
        <v>2697</v>
      </c>
      <c r="U433">
        <v>471019</v>
      </c>
      <c r="V433" t="s">
        <v>4965</v>
      </c>
      <c r="X433" t="s">
        <v>4672</v>
      </c>
      <c r="Y433" t="s">
        <v>4672</v>
      </c>
      <c r="Z433" t="s">
        <v>4672</v>
      </c>
      <c r="AB433" t="s">
        <v>4672</v>
      </c>
      <c r="AC433" t="s">
        <v>4672</v>
      </c>
    </row>
    <row r="434" spans="1:29">
      <c r="A434" s="10">
        <v>46044</v>
      </c>
      <c r="B434" s="10">
        <v>46045</v>
      </c>
      <c r="C434" t="s">
        <v>5710</v>
      </c>
      <c r="D434" t="s">
        <v>4977</v>
      </c>
      <c r="E434" t="s">
        <v>4962</v>
      </c>
      <c r="F434" t="s">
        <v>5090</v>
      </c>
      <c r="G434" t="s">
        <v>4672</v>
      </c>
      <c r="H434" t="s">
        <v>2794</v>
      </c>
      <c r="I434" t="s">
        <v>4989</v>
      </c>
      <c r="J434" t="s">
        <v>4990</v>
      </c>
      <c r="K434" t="s">
        <v>4981</v>
      </c>
      <c r="L434" t="s">
        <v>2697</v>
      </c>
      <c r="M434">
        <v>415</v>
      </c>
      <c r="N434" s="642">
        <f>+transaction_statement_01_Jan_2026_28_Feb_2026[[#This Row],[Orig amount]]/100</f>
        <v>4.1500000000000004</v>
      </c>
      <c r="O434" t="s">
        <v>2697</v>
      </c>
      <c r="P434">
        <v>-415</v>
      </c>
      <c r="Q434">
        <v>-415</v>
      </c>
      <c r="S434">
        <v>0</v>
      </c>
      <c r="T434" t="s">
        <v>2697</v>
      </c>
      <c r="U434">
        <v>278403</v>
      </c>
      <c r="V434" t="s">
        <v>4965</v>
      </c>
      <c r="X434" t="s">
        <v>4672</v>
      </c>
      <c r="Y434" t="s">
        <v>4672</v>
      </c>
      <c r="Z434" t="s">
        <v>4672</v>
      </c>
      <c r="AA434">
        <v>4215</v>
      </c>
      <c r="AB434" t="s">
        <v>4672</v>
      </c>
      <c r="AC434" t="s">
        <v>4672</v>
      </c>
    </row>
    <row r="435" spans="1:29" hidden="1">
      <c r="A435" s="10">
        <v>46045</v>
      </c>
      <c r="B435" s="10">
        <v>46045</v>
      </c>
      <c r="C435" t="s">
        <v>5711</v>
      </c>
      <c r="D435" t="s">
        <v>4961</v>
      </c>
      <c r="E435" t="s">
        <v>4962</v>
      </c>
      <c r="F435" t="s">
        <v>5025</v>
      </c>
      <c r="G435" t="s">
        <v>5026</v>
      </c>
      <c r="H435" t="s">
        <v>4672</v>
      </c>
      <c r="I435" t="s">
        <v>4672</v>
      </c>
      <c r="J435" t="s">
        <v>4672</v>
      </c>
      <c r="K435" t="s">
        <v>4672</v>
      </c>
      <c r="L435" t="s">
        <v>2697</v>
      </c>
      <c r="M435">
        <v>79962</v>
      </c>
      <c r="N435" s="641">
        <f>+transaction_statement_01_Jan_2026_28_Feb_2026[[#This Row],[Orig amount]]/100</f>
        <v>799.62</v>
      </c>
      <c r="O435" t="s">
        <v>2697</v>
      </c>
      <c r="P435">
        <v>79962</v>
      </c>
      <c r="Q435">
        <v>79962</v>
      </c>
      <c r="S435">
        <v>0</v>
      </c>
      <c r="T435" t="s">
        <v>2697</v>
      </c>
      <c r="U435">
        <v>278818</v>
      </c>
      <c r="V435" t="s">
        <v>4965</v>
      </c>
      <c r="X435" t="s">
        <v>4672</v>
      </c>
      <c r="Y435" t="s">
        <v>4672</v>
      </c>
      <c r="Z435" t="s">
        <v>4672</v>
      </c>
      <c r="AB435" t="s">
        <v>4672</v>
      </c>
      <c r="AC435" t="s">
        <v>4672</v>
      </c>
    </row>
    <row r="436" spans="1:29" hidden="1">
      <c r="A436" s="10">
        <v>46044</v>
      </c>
      <c r="B436" s="10">
        <v>46045</v>
      </c>
      <c r="C436" t="s">
        <v>5712</v>
      </c>
      <c r="D436" t="s">
        <v>4977</v>
      </c>
      <c r="E436" t="s">
        <v>4962</v>
      </c>
      <c r="F436" t="s">
        <v>5713</v>
      </c>
      <c r="G436" t="s">
        <v>4672</v>
      </c>
      <c r="H436" t="s">
        <v>4970</v>
      </c>
      <c r="I436" t="s">
        <v>4979</v>
      </c>
      <c r="J436" t="s">
        <v>4980</v>
      </c>
      <c r="K436" t="s">
        <v>4981</v>
      </c>
      <c r="L436" t="s">
        <v>2697</v>
      </c>
      <c r="M436">
        <v>103000</v>
      </c>
      <c r="N436" s="641">
        <f>+transaction_statement_01_Jan_2026_28_Feb_2026[[#This Row],[Orig amount]]/100</f>
        <v>1030</v>
      </c>
      <c r="O436" t="s">
        <v>2697</v>
      </c>
      <c r="P436">
        <v>-103000</v>
      </c>
      <c r="Q436">
        <v>-103000</v>
      </c>
      <c r="S436">
        <v>0</v>
      </c>
      <c r="T436" t="s">
        <v>2697</v>
      </c>
      <c r="U436">
        <v>198856</v>
      </c>
      <c r="V436" t="s">
        <v>4965</v>
      </c>
      <c r="X436" t="s">
        <v>4672</v>
      </c>
      <c r="Y436" t="s">
        <v>4672</v>
      </c>
      <c r="Z436" t="s">
        <v>4672</v>
      </c>
      <c r="AA436">
        <v>8299</v>
      </c>
      <c r="AB436" t="s">
        <v>4672</v>
      </c>
      <c r="AC436" t="s">
        <v>4672</v>
      </c>
    </row>
    <row r="437" spans="1:29" hidden="1">
      <c r="A437" s="10">
        <v>46044</v>
      </c>
      <c r="B437" s="10">
        <v>46045</v>
      </c>
      <c r="C437" t="s">
        <v>5714</v>
      </c>
      <c r="D437" t="s">
        <v>4967</v>
      </c>
      <c r="E437" t="s">
        <v>4962</v>
      </c>
      <c r="F437" t="s">
        <v>5053</v>
      </c>
      <c r="G437" t="s">
        <v>5054</v>
      </c>
      <c r="H437" t="s">
        <v>4970</v>
      </c>
      <c r="I437" t="s">
        <v>4672</v>
      </c>
      <c r="J437" t="s">
        <v>4672</v>
      </c>
      <c r="K437" t="s">
        <v>4672</v>
      </c>
      <c r="L437" t="s">
        <v>2697</v>
      </c>
      <c r="M437">
        <v>120000</v>
      </c>
      <c r="N437" s="641">
        <f>+transaction_statement_01_Jan_2026_28_Feb_2026[[#This Row],[Orig amount]]/100</f>
        <v>1200</v>
      </c>
      <c r="O437" t="s">
        <v>2697</v>
      </c>
      <c r="P437">
        <v>-120000</v>
      </c>
      <c r="Q437">
        <v>-120000</v>
      </c>
      <c r="S437">
        <v>0</v>
      </c>
      <c r="T437" t="s">
        <v>2697</v>
      </c>
      <c r="U437">
        <v>301856</v>
      </c>
      <c r="V437" t="s">
        <v>4965</v>
      </c>
      <c r="X437" t="s">
        <v>4672</v>
      </c>
      <c r="Y437" t="s">
        <v>5055</v>
      </c>
      <c r="Z437" t="s">
        <v>5056</v>
      </c>
      <c r="AB437" t="s">
        <v>4672</v>
      </c>
      <c r="AC437" t="s">
        <v>4672</v>
      </c>
    </row>
    <row r="438" spans="1:29" hidden="1">
      <c r="A438" s="10">
        <v>46044</v>
      </c>
      <c r="B438" s="10">
        <v>46044</v>
      </c>
      <c r="C438" t="s">
        <v>5715</v>
      </c>
      <c r="D438" t="s">
        <v>4961</v>
      </c>
      <c r="E438" t="s">
        <v>4962</v>
      </c>
      <c r="F438" t="s">
        <v>5025</v>
      </c>
      <c r="G438" t="s">
        <v>5026</v>
      </c>
      <c r="H438" t="s">
        <v>4672</v>
      </c>
      <c r="I438" t="s">
        <v>4672</v>
      </c>
      <c r="J438" t="s">
        <v>4672</v>
      </c>
      <c r="K438" t="s">
        <v>4672</v>
      </c>
      <c r="L438" t="s">
        <v>2697</v>
      </c>
      <c r="M438">
        <v>85297</v>
      </c>
      <c r="N438" s="641">
        <f>+transaction_statement_01_Jan_2026_28_Feb_2026[[#This Row],[Orig amount]]/100</f>
        <v>852.97</v>
      </c>
      <c r="O438" t="s">
        <v>2697</v>
      </c>
      <c r="P438">
        <v>85297</v>
      </c>
      <c r="Q438">
        <v>85297</v>
      </c>
      <c r="S438">
        <v>0</v>
      </c>
      <c r="T438" t="s">
        <v>2697</v>
      </c>
      <c r="U438">
        <v>421856</v>
      </c>
      <c r="V438" t="s">
        <v>4965</v>
      </c>
      <c r="X438" t="s">
        <v>4672</v>
      </c>
      <c r="Y438" t="s">
        <v>4672</v>
      </c>
      <c r="Z438" t="s">
        <v>4672</v>
      </c>
      <c r="AB438" t="s">
        <v>4672</v>
      </c>
      <c r="AC438" t="s">
        <v>4672</v>
      </c>
    </row>
    <row r="439" spans="1:29" hidden="1">
      <c r="A439" s="10">
        <v>46044</v>
      </c>
      <c r="B439" s="10">
        <v>46044</v>
      </c>
      <c r="C439" t="s">
        <v>5716</v>
      </c>
      <c r="D439" t="s">
        <v>4961</v>
      </c>
      <c r="E439" t="s">
        <v>4962</v>
      </c>
      <c r="F439" t="s">
        <v>5025</v>
      </c>
      <c r="G439" t="s">
        <v>5026</v>
      </c>
      <c r="H439" t="s">
        <v>4672</v>
      </c>
      <c r="I439" t="s">
        <v>4672</v>
      </c>
      <c r="J439" t="s">
        <v>4672</v>
      </c>
      <c r="K439" t="s">
        <v>4672</v>
      </c>
      <c r="L439" t="s">
        <v>2697</v>
      </c>
      <c r="M439">
        <v>141954</v>
      </c>
      <c r="N439" s="641">
        <f>+transaction_statement_01_Jan_2026_28_Feb_2026[[#This Row],[Orig amount]]/100</f>
        <v>1419.54</v>
      </c>
      <c r="O439" t="s">
        <v>2697</v>
      </c>
      <c r="P439">
        <v>141954</v>
      </c>
      <c r="Q439">
        <v>141954</v>
      </c>
      <c r="S439">
        <v>0</v>
      </c>
      <c r="T439" t="s">
        <v>2697</v>
      </c>
      <c r="U439">
        <v>336559</v>
      </c>
      <c r="V439" t="s">
        <v>4965</v>
      </c>
      <c r="X439" t="s">
        <v>4672</v>
      </c>
      <c r="Y439" t="s">
        <v>4672</v>
      </c>
      <c r="Z439" t="s">
        <v>4672</v>
      </c>
      <c r="AB439" t="s">
        <v>4672</v>
      </c>
      <c r="AC439" t="s">
        <v>4672</v>
      </c>
    </row>
    <row r="440" spans="1:29" hidden="1">
      <c r="A440" s="10">
        <v>46044</v>
      </c>
      <c r="B440" s="10">
        <v>46044</v>
      </c>
      <c r="C440" t="s">
        <v>5717</v>
      </c>
      <c r="D440" t="s">
        <v>4961</v>
      </c>
      <c r="E440" t="s">
        <v>4962</v>
      </c>
      <c r="F440" t="s">
        <v>5025</v>
      </c>
      <c r="G440" t="s">
        <v>5026</v>
      </c>
      <c r="H440" t="s">
        <v>4672</v>
      </c>
      <c r="I440" t="s">
        <v>4672</v>
      </c>
      <c r="J440" t="s">
        <v>4672</v>
      </c>
      <c r="K440" t="s">
        <v>4672</v>
      </c>
      <c r="L440" t="s">
        <v>2697</v>
      </c>
      <c r="M440">
        <v>94777</v>
      </c>
      <c r="N440" s="641">
        <f>+transaction_statement_01_Jan_2026_28_Feb_2026[[#This Row],[Orig amount]]/100</f>
        <v>947.77</v>
      </c>
      <c r="O440" t="s">
        <v>2697</v>
      </c>
      <c r="P440">
        <v>94777</v>
      </c>
      <c r="Q440">
        <v>94777</v>
      </c>
      <c r="S440">
        <v>0</v>
      </c>
      <c r="T440" t="s">
        <v>2697</v>
      </c>
      <c r="U440">
        <v>194605</v>
      </c>
      <c r="V440" t="s">
        <v>4965</v>
      </c>
      <c r="X440" t="s">
        <v>4672</v>
      </c>
      <c r="Y440" t="s">
        <v>4672</v>
      </c>
      <c r="Z440" t="s">
        <v>4672</v>
      </c>
      <c r="AB440" t="s">
        <v>4672</v>
      </c>
      <c r="AC440" t="s">
        <v>4672</v>
      </c>
    </row>
    <row r="441" spans="1:29" hidden="1">
      <c r="A441" s="10">
        <v>46043</v>
      </c>
      <c r="B441" s="10">
        <v>46044</v>
      </c>
      <c r="C441" t="s">
        <v>5718</v>
      </c>
      <c r="D441" t="s">
        <v>4977</v>
      </c>
      <c r="E441" t="s">
        <v>4962</v>
      </c>
      <c r="F441" t="s">
        <v>5719</v>
      </c>
      <c r="G441" t="s">
        <v>4672</v>
      </c>
      <c r="H441" t="s">
        <v>4970</v>
      </c>
      <c r="I441" t="s">
        <v>4979</v>
      </c>
      <c r="J441" t="s">
        <v>4980</v>
      </c>
      <c r="K441" t="s">
        <v>4981</v>
      </c>
      <c r="L441" t="s">
        <v>2697</v>
      </c>
      <c r="M441">
        <v>4338</v>
      </c>
      <c r="N441" s="641">
        <f>+transaction_statement_01_Jan_2026_28_Feb_2026[[#This Row],[Orig amount]]/100</f>
        <v>43.38</v>
      </c>
      <c r="O441" t="s">
        <v>2697</v>
      </c>
      <c r="P441">
        <v>-4338</v>
      </c>
      <c r="Q441">
        <v>-4338</v>
      </c>
      <c r="S441">
        <v>0</v>
      </c>
      <c r="T441" t="s">
        <v>2697</v>
      </c>
      <c r="U441">
        <v>99828</v>
      </c>
      <c r="V441" t="s">
        <v>4965</v>
      </c>
      <c r="X441" t="s">
        <v>4672</v>
      </c>
      <c r="Y441" t="s">
        <v>4672</v>
      </c>
      <c r="Z441" t="s">
        <v>4672</v>
      </c>
      <c r="AA441">
        <v>5968</v>
      </c>
      <c r="AB441" t="s">
        <v>4672</v>
      </c>
      <c r="AC441" t="s">
        <v>4672</v>
      </c>
    </row>
    <row r="442" spans="1:29" hidden="1">
      <c r="A442" s="10">
        <v>46044</v>
      </c>
      <c r="B442" s="10">
        <v>46044</v>
      </c>
      <c r="C442" t="s">
        <v>5720</v>
      </c>
      <c r="D442" t="s">
        <v>4967</v>
      </c>
      <c r="E442" t="s">
        <v>4962</v>
      </c>
      <c r="F442" t="s">
        <v>5178</v>
      </c>
      <c r="G442" t="s">
        <v>5179</v>
      </c>
      <c r="H442" t="s">
        <v>4672</v>
      </c>
      <c r="I442" t="s">
        <v>4672</v>
      </c>
      <c r="J442" t="s">
        <v>4672</v>
      </c>
      <c r="K442" t="s">
        <v>4672</v>
      </c>
      <c r="L442" t="s">
        <v>2697</v>
      </c>
      <c r="M442">
        <v>25091</v>
      </c>
      <c r="N442" s="641">
        <f>+transaction_statement_01_Jan_2026_28_Feb_2026[[#This Row],[Orig amount]]/100</f>
        <v>250.91</v>
      </c>
      <c r="O442" t="s">
        <v>2697</v>
      </c>
      <c r="P442">
        <v>-25091</v>
      </c>
      <c r="Q442">
        <v>-25091</v>
      </c>
      <c r="S442">
        <v>0</v>
      </c>
      <c r="T442" t="s">
        <v>2697</v>
      </c>
      <c r="U442">
        <v>104166</v>
      </c>
      <c r="V442" t="s">
        <v>4965</v>
      </c>
      <c r="X442" t="s">
        <v>4672</v>
      </c>
      <c r="Y442" t="s">
        <v>5180</v>
      </c>
      <c r="Z442" t="s">
        <v>5095</v>
      </c>
      <c r="AB442" t="s">
        <v>4672</v>
      </c>
      <c r="AC442" t="s">
        <v>4672</v>
      </c>
    </row>
    <row r="443" spans="1:29" hidden="1">
      <c r="A443" s="10">
        <v>46044</v>
      </c>
      <c r="B443" s="10">
        <v>46044</v>
      </c>
      <c r="C443" t="s">
        <v>5721</v>
      </c>
      <c r="D443" t="s">
        <v>4967</v>
      </c>
      <c r="E443" t="s">
        <v>4962</v>
      </c>
      <c r="F443" t="s">
        <v>5058</v>
      </c>
      <c r="G443" t="s">
        <v>5059</v>
      </c>
      <c r="H443" t="s">
        <v>4970</v>
      </c>
      <c r="I443" t="s">
        <v>4672</v>
      </c>
      <c r="J443" t="s">
        <v>4672</v>
      </c>
      <c r="K443" t="s">
        <v>4672</v>
      </c>
      <c r="L443" t="s">
        <v>2697</v>
      </c>
      <c r="M443">
        <v>230000</v>
      </c>
      <c r="N443" s="641">
        <f>+transaction_statement_01_Jan_2026_28_Feb_2026[[#This Row],[Orig amount]]/100</f>
        <v>2300</v>
      </c>
      <c r="O443" t="s">
        <v>2697</v>
      </c>
      <c r="P443">
        <v>-230000</v>
      </c>
      <c r="Q443">
        <v>-230000</v>
      </c>
      <c r="S443">
        <v>0</v>
      </c>
      <c r="T443" t="s">
        <v>2697</v>
      </c>
      <c r="U443">
        <v>129257</v>
      </c>
      <c r="V443" t="s">
        <v>4965</v>
      </c>
      <c r="X443" t="s">
        <v>4672</v>
      </c>
      <c r="Y443" t="s">
        <v>5060</v>
      </c>
      <c r="Z443" t="s">
        <v>5031</v>
      </c>
      <c r="AB443" t="s">
        <v>4672</v>
      </c>
      <c r="AC443" t="s">
        <v>4672</v>
      </c>
    </row>
    <row r="444" spans="1:29" hidden="1">
      <c r="A444" s="10">
        <v>46044</v>
      </c>
      <c r="B444" s="10">
        <v>46044</v>
      </c>
      <c r="C444" t="s">
        <v>5722</v>
      </c>
      <c r="D444" t="s">
        <v>4961</v>
      </c>
      <c r="E444" t="s">
        <v>4962</v>
      </c>
      <c r="F444" t="s">
        <v>5442</v>
      </c>
      <c r="G444" t="s">
        <v>5443</v>
      </c>
      <c r="H444" t="s">
        <v>4672</v>
      </c>
      <c r="I444" t="s">
        <v>4672</v>
      </c>
      <c r="J444" t="s">
        <v>4672</v>
      </c>
      <c r="K444" t="s">
        <v>4672</v>
      </c>
      <c r="L444" t="s">
        <v>2697</v>
      </c>
      <c r="M444">
        <v>138000</v>
      </c>
      <c r="N444" s="641">
        <f>+transaction_statement_01_Jan_2026_28_Feb_2026[[#This Row],[Orig amount]]/100</f>
        <v>1380</v>
      </c>
      <c r="O444" t="s">
        <v>2697</v>
      </c>
      <c r="P444">
        <v>138000</v>
      </c>
      <c r="Q444">
        <v>138000</v>
      </c>
      <c r="S444">
        <v>0</v>
      </c>
      <c r="T444" t="s">
        <v>2697</v>
      </c>
      <c r="U444">
        <v>359257</v>
      </c>
      <c r="V444" t="s">
        <v>4965</v>
      </c>
      <c r="X444" t="s">
        <v>4672</v>
      </c>
      <c r="Y444" t="s">
        <v>4672</v>
      </c>
      <c r="Z444" t="s">
        <v>4672</v>
      </c>
      <c r="AB444" t="s">
        <v>4672</v>
      </c>
      <c r="AC444" t="s">
        <v>4672</v>
      </c>
    </row>
    <row r="445" spans="1:29" hidden="1">
      <c r="A445" s="10">
        <v>46044</v>
      </c>
      <c r="B445" s="10">
        <v>46044</v>
      </c>
      <c r="C445" t="s">
        <v>5723</v>
      </c>
      <c r="D445" t="s">
        <v>4961</v>
      </c>
      <c r="E445" t="s">
        <v>4962</v>
      </c>
      <c r="F445" t="s">
        <v>5025</v>
      </c>
      <c r="G445" t="s">
        <v>5026</v>
      </c>
      <c r="H445" t="s">
        <v>4672</v>
      </c>
      <c r="I445" t="s">
        <v>4672</v>
      </c>
      <c r="J445" t="s">
        <v>4672</v>
      </c>
      <c r="K445" t="s">
        <v>4672</v>
      </c>
      <c r="L445" t="s">
        <v>2697</v>
      </c>
      <c r="M445">
        <v>117150</v>
      </c>
      <c r="N445" s="641">
        <f>+transaction_statement_01_Jan_2026_28_Feb_2026[[#This Row],[Orig amount]]/100</f>
        <v>1171.5</v>
      </c>
      <c r="O445" t="s">
        <v>2697</v>
      </c>
      <c r="P445">
        <v>117150</v>
      </c>
      <c r="Q445">
        <v>117150</v>
      </c>
      <c r="S445">
        <v>0</v>
      </c>
      <c r="T445" t="s">
        <v>2697</v>
      </c>
      <c r="U445">
        <v>221257</v>
      </c>
      <c r="V445" t="s">
        <v>4965</v>
      </c>
      <c r="X445" t="s">
        <v>4672</v>
      </c>
      <c r="Y445" t="s">
        <v>4672</v>
      </c>
      <c r="Z445" t="s">
        <v>4672</v>
      </c>
      <c r="AB445" t="s">
        <v>4672</v>
      </c>
      <c r="AC445" t="s">
        <v>4672</v>
      </c>
    </row>
    <row r="446" spans="1:29" hidden="1">
      <c r="A446" s="10">
        <v>46043</v>
      </c>
      <c r="B446" s="10">
        <v>46044</v>
      </c>
      <c r="C446" t="s">
        <v>5724</v>
      </c>
      <c r="D446" t="s">
        <v>4977</v>
      </c>
      <c r="E446" t="s">
        <v>4962</v>
      </c>
      <c r="F446" t="s">
        <v>5619</v>
      </c>
      <c r="G446" t="s">
        <v>4672</v>
      </c>
      <c r="H446" t="s">
        <v>4970</v>
      </c>
      <c r="I446" t="s">
        <v>4984</v>
      </c>
      <c r="J446" t="s">
        <v>4985</v>
      </c>
      <c r="K446" t="s">
        <v>4981</v>
      </c>
      <c r="L446" t="s">
        <v>2697</v>
      </c>
      <c r="M446">
        <v>840</v>
      </c>
      <c r="N446" s="641">
        <f>+transaction_statement_01_Jan_2026_28_Feb_2026[[#This Row],[Orig amount]]/100</f>
        <v>8.4</v>
      </c>
      <c r="O446" t="s">
        <v>2697</v>
      </c>
      <c r="P446">
        <v>-840</v>
      </c>
      <c r="Q446">
        <v>-840</v>
      </c>
      <c r="S446">
        <v>0</v>
      </c>
      <c r="T446" t="s">
        <v>2697</v>
      </c>
      <c r="U446">
        <v>104107</v>
      </c>
      <c r="V446" t="s">
        <v>4965</v>
      </c>
      <c r="X446" t="s">
        <v>4672</v>
      </c>
      <c r="Y446" t="s">
        <v>4672</v>
      </c>
      <c r="Z446" t="s">
        <v>4672</v>
      </c>
      <c r="AA446">
        <v>5812</v>
      </c>
      <c r="AB446" t="s">
        <v>4672</v>
      </c>
      <c r="AC446" t="s">
        <v>4672</v>
      </c>
    </row>
    <row r="447" spans="1:29" hidden="1">
      <c r="A447" s="10">
        <v>46043</v>
      </c>
      <c r="B447" s="10">
        <v>46044</v>
      </c>
      <c r="C447" t="s">
        <v>5725</v>
      </c>
      <c r="D447" t="s">
        <v>4977</v>
      </c>
      <c r="E447" t="s">
        <v>4962</v>
      </c>
      <c r="F447" t="s">
        <v>5726</v>
      </c>
      <c r="G447" t="s">
        <v>4672</v>
      </c>
      <c r="H447" t="s">
        <v>4970</v>
      </c>
      <c r="I447" t="s">
        <v>4984</v>
      </c>
      <c r="J447" t="s">
        <v>4985</v>
      </c>
      <c r="K447" t="s">
        <v>4981</v>
      </c>
      <c r="L447" t="s">
        <v>2697</v>
      </c>
      <c r="M447">
        <v>1270</v>
      </c>
      <c r="N447" s="641">
        <f>+transaction_statement_01_Jan_2026_28_Feb_2026[[#This Row],[Orig amount]]/100</f>
        <v>12.7</v>
      </c>
      <c r="O447" t="s">
        <v>2697</v>
      </c>
      <c r="P447">
        <v>-1270</v>
      </c>
      <c r="Q447">
        <v>-1270</v>
      </c>
      <c r="S447">
        <v>0</v>
      </c>
      <c r="T447" t="s">
        <v>2697</v>
      </c>
      <c r="U447">
        <v>104947</v>
      </c>
      <c r="V447" t="s">
        <v>4965</v>
      </c>
      <c r="X447" t="s">
        <v>4672</v>
      </c>
      <c r="Y447" t="s">
        <v>4672</v>
      </c>
      <c r="Z447" t="s">
        <v>4672</v>
      </c>
      <c r="AA447">
        <v>5814</v>
      </c>
      <c r="AB447" t="s">
        <v>4672</v>
      </c>
      <c r="AC447" t="s">
        <v>4672</v>
      </c>
    </row>
    <row r="448" spans="1:29" hidden="1">
      <c r="A448" s="10">
        <v>46042</v>
      </c>
      <c r="B448" s="10">
        <v>46043</v>
      </c>
      <c r="C448" t="s">
        <v>5727</v>
      </c>
      <c r="D448" t="s">
        <v>4977</v>
      </c>
      <c r="E448" t="s">
        <v>4962</v>
      </c>
      <c r="F448" t="s">
        <v>5154</v>
      </c>
      <c r="G448" t="s">
        <v>4672</v>
      </c>
      <c r="H448" t="s">
        <v>4970</v>
      </c>
      <c r="I448" t="s">
        <v>4979</v>
      </c>
      <c r="J448" t="s">
        <v>4980</v>
      </c>
      <c r="K448" t="s">
        <v>4981</v>
      </c>
      <c r="L448" t="s">
        <v>2548</v>
      </c>
      <c r="M448">
        <v>1250</v>
      </c>
      <c r="N448" s="641">
        <f>+transaction_statement_01_Jan_2026_28_Feb_2026[[#This Row],[Orig amount]]/100</f>
        <v>12.5</v>
      </c>
      <c r="O448" t="s">
        <v>2697</v>
      </c>
      <c r="P448">
        <v>-1066</v>
      </c>
      <c r="Q448">
        <v>-1066</v>
      </c>
      <c r="R448">
        <v>1173130</v>
      </c>
      <c r="S448">
        <v>0</v>
      </c>
      <c r="T448" t="s">
        <v>2697</v>
      </c>
      <c r="U448">
        <v>106217</v>
      </c>
      <c r="V448" t="s">
        <v>4965</v>
      </c>
      <c r="X448" t="s">
        <v>4672</v>
      </c>
      <c r="Y448" t="s">
        <v>4672</v>
      </c>
      <c r="Z448" t="s">
        <v>4672</v>
      </c>
      <c r="AA448">
        <v>5734</v>
      </c>
      <c r="AB448" t="s">
        <v>4672</v>
      </c>
      <c r="AC448" t="s">
        <v>4672</v>
      </c>
    </row>
    <row r="449" spans="1:29" hidden="1">
      <c r="A449" s="10">
        <v>46043</v>
      </c>
      <c r="B449" s="10">
        <v>46043</v>
      </c>
      <c r="C449" t="s">
        <v>5728</v>
      </c>
      <c r="D449" t="s">
        <v>4967</v>
      </c>
      <c r="E449" t="s">
        <v>4962</v>
      </c>
      <c r="F449" t="s">
        <v>5729</v>
      </c>
      <c r="G449" t="s">
        <v>5730</v>
      </c>
      <c r="H449" t="s">
        <v>4970</v>
      </c>
      <c r="I449" t="s">
        <v>4672</v>
      </c>
      <c r="J449" t="s">
        <v>4672</v>
      </c>
      <c r="K449" t="s">
        <v>4672</v>
      </c>
      <c r="L449" t="s">
        <v>2697</v>
      </c>
      <c r="M449">
        <v>9520</v>
      </c>
      <c r="N449" s="641">
        <f>+transaction_statement_01_Jan_2026_28_Feb_2026[[#This Row],[Orig amount]]/100</f>
        <v>95.2</v>
      </c>
      <c r="O449" t="s">
        <v>2697</v>
      </c>
      <c r="P449">
        <v>-9520</v>
      </c>
      <c r="Q449">
        <v>-9520</v>
      </c>
      <c r="S449">
        <v>0</v>
      </c>
      <c r="T449" t="s">
        <v>2697</v>
      </c>
      <c r="U449">
        <v>107283</v>
      </c>
      <c r="V449" t="s">
        <v>4965</v>
      </c>
      <c r="X449" t="s">
        <v>4672</v>
      </c>
      <c r="Y449" t="s">
        <v>5731</v>
      </c>
      <c r="Z449" t="s">
        <v>5732</v>
      </c>
      <c r="AB449" t="s">
        <v>4672</v>
      </c>
      <c r="AC449" t="s">
        <v>4672</v>
      </c>
    </row>
    <row r="450" spans="1:29" hidden="1">
      <c r="A450" s="10">
        <v>46043</v>
      </c>
      <c r="B450" s="10">
        <v>46043</v>
      </c>
      <c r="C450" t="s">
        <v>5733</v>
      </c>
      <c r="D450" t="s">
        <v>4967</v>
      </c>
      <c r="E450" t="s">
        <v>4962</v>
      </c>
      <c r="F450" t="s">
        <v>5729</v>
      </c>
      <c r="G450" t="s">
        <v>5734</v>
      </c>
      <c r="H450" t="s">
        <v>4970</v>
      </c>
      <c r="I450" t="s">
        <v>4672</v>
      </c>
      <c r="J450" t="s">
        <v>4672</v>
      </c>
      <c r="K450" t="s">
        <v>4672</v>
      </c>
      <c r="L450" t="s">
        <v>2697</v>
      </c>
      <c r="M450">
        <v>81396</v>
      </c>
      <c r="N450" s="641">
        <f>+transaction_statement_01_Jan_2026_28_Feb_2026[[#This Row],[Orig amount]]/100</f>
        <v>813.96</v>
      </c>
      <c r="O450" t="s">
        <v>2697</v>
      </c>
      <c r="P450">
        <v>-81396</v>
      </c>
      <c r="Q450">
        <v>-81396</v>
      </c>
      <c r="S450">
        <v>0</v>
      </c>
      <c r="T450" t="s">
        <v>2697</v>
      </c>
      <c r="U450">
        <v>116803</v>
      </c>
      <c r="V450" t="s">
        <v>4965</v>
      </c>
      <c r="X450" t="s">
        <v>4672</v>
      </c>
      <c r="Y450" t="s">
        <v>5731</v>
      </c>
      <c r="Z450" t="s">
        <v>5732</v>
      </c>
      <c r="AB450" t="s">
        <v>4672</v>
      </c>
      <c r="AC450" t="s">
        <v>4672</v>
      </c>
    </row>
    <row r="451" spans="1:29" hidden="1">
      <c r="A451" s="10">
        <v>46043</v>
      </c>
      <c r="B451" s="10">
        <v>46043</v>
      </c>
      <c r="C451" t="s">
        <v>5735</v>
      </c>
      <c r="D451" t="s">
        <v>4961</v>
      </c>
      <c r="E451" t="s">
        <v>4962</v>
      </c>
      <c r="F451" t="s">
        <v>5025</v>
      </c>
      <c r="G451" t="s">
        <v>5026</v>
      </c>
      <c r="H451" t="s">
        <v>4672</v>
      </c>
      <c r="I451" t="s">
        <v>4672</v>
      </c>
      <c r="J451" t="s">
        <v>4672</v>
      </c>
      <c r="K451" t="s">
        <v>4672</v>
      </c>
      <c r="L451" t="s">
        <v>2697</v>
      </c>
      <c r="M451">
        <v>113020</v>
      </c>
      <c r="N451" s="641">
        <f>+transaction_statement_01_Jan_2026_28_Feb_2026[[#This Row],[Orig amount]]/100</f>
        <v>1130.2</v>
      </c>
      <c r="O451" t="s">
        <v>2697</v>
      </c>
      <c r="P451">
        <v>113020</v>
      </c>
      <c r="Q451">
        <v>113020</v>
      </c>
      <c r="S451">
        <v>0</v>
      </c>
      <c r="T451" t="s">
        <v>2697</v>
      </c>
      <c r="U451">
        <v>198199</v>
      </c>
      <c r="V451" t="s">
        <v>4965</v>
      </c>
      <c r="X451" t="s">
        <v>4672</v>
      </c>
      <c r="Y451" t="s">
        <v>4672</v>
      </c>
      <c r="Z451" t="s">
        <v>4672</v>
      </c>
      <c r="AB451" t="s">
        <v>4672</v>
      </c>
      <c r="AC451" t="s">
        <v>4672</v>
      </c>
    </row>
    <row r="452" spans="1:29" hidden="1">
      <c r="A452" s="10">
        <v>46042</v>
      </c>
      <c r="B452" s="10">
        <v>46043</v>
      </c>
      <c r="C452" t="s">
        <v>5736</v>
      </c>
      <c r="D452" t="s">
        <v>4977</v>
      </c>
      <c r="E452" t="s">
        <v>4962</v>
      </c>
      <c r="F452" t="s">
        <v>5161</v>
      </c>
      <c r="G452" t="s">
        <v>4672</v>
      </c>
      <c r="H452" t="s">
        <v>4970</v>
      </c>
      <c r="I452" t="s">
        <v>4979</v>
      </c>
      <c r="J452" t="s">
        <v>4980</v>
      </c>
      <c r="K452" t="s">
        <v>4981</v>
      </c>
      <c r="L452" t="s">
        <v>2697</v>
      </c>
      <c r="M452">
        <v>4499</v>
      </c>
      <c r="N452" s="641">
        <f>+transaction_statement_01_Jan_2026_28_Feb_2026[[#This Row],[Orig amount]]/100</f>
        <v>44.99</v>
      </c>
      <c r="O452" t="s">
        <v>2697</v>
      </c>
      <c r="P452">
        <v>-4499</v>
      </c>
      <c r="Q452">
        <v>-4499</v>
      </c>
      <c r="S452">
        <v>0</v>
      </c>
      <c r="T452" t="s">
        <v>2697</v>
      </c>
      <c r="U452">
        <v>85179</v>
      </c>
      <c r="V452" t="s">
        <v>4965</v>
      </c>
      <c r="X452" t="s">
        <v>4672</v>
      </c>
      <c r="Y452" t="s">
        <v>4672</v>
      </c>
      <c r="Z452" t="s">
        <v>4672</v>
      </c>
      <c r="AA452">
        <v>5815</v>
      </c>
      <c r="AB452" t="s">
        <v>4672</v>
      </c>
      <c r="AC452" t="s">
        <v>4672</v>
      </c>
    </row>
    <row r="453" spans="1:29" hidden="1">
      <c r="A453" s="10">
        <v>46042</v>
      </c>
      <c r="B453" s="10">
        <v>46043</v>
      </c>
      <c r="C453" t="s">
        <v>5737</v>
      </c>
      <c r="D453" t="s">
        <v>4977</v>
      </c>
      <c r="E453" t="s">
        <v>4962</v>
      </c>
      <c r="F453" t="s">
        <v>5165</v>
      </c>
      <c r="G453" t="s">
        <v>4672</v>
      </c>
      <c r="H453" t="s">
        <v>4970</v>
      </c>
      <c r="I453" t="s">
        <v>4979</v>
      </c>
      <c r="J453" t="s">
        <v>4980</v>
      </c>
      <c r="K453" t="s">
        <v>4981</v>
      </c>
      <c r="L453" t="s">
        <v>2697</v>
      </c>
      <c r="M453">
        <v>1933</v>
      </c>
      <c r="N453" s="641">
        <f>+transaction_statement_01_Jan_2026_28_Feb_2026[[#This Row],[Orig amount]]/100</f>
        <v>19.329999999999998</v>
      </c>
      <c r="O453" t="s">
        <v>2697</v>
      </c>
      <c r="P453">
        <v>-1933</v>
      </c>
      <c r="Q453">
        <v>-1933</v>
      </c>
      <c r="S453">
        <v>0</v>
      </c>
      <c r="T453" t="s">
        <v>2697</v>
      </c>
      <c r="U453">
        <v>89678</v>
      </c>
      <c r="V453" t="s">
        <v>4965</v>
      </c>
      <c r="X453" t="s">
        <v>4672</v>
      </c>
      <c r="Y453" t="s">
        <v>4672</v>
      </c>
      <c r="Z453" t="s">
        <v>4672</v>
      </c>
      <c r="AA453">
        <v>7372</v>
      </c>
      <c r="AB453" t="s">
        <v>4672</v>
      </c>
      <c r="AC453" t="s">
        <v>4672</v>
      </c>
    </row>
    <row r="454" spans="1:29" hidden="1">
      <c r="A454" s="10">
        <v>46042</v>
      </c>
      <c r="B454" s="10">
        <v>46043</v>
      </c>
      <c r="C454" t="s">
        <v>5738</v>
      </c>
      <c r="D454" t="s">
        <v>4977</v>
      </c>
      <c r="E454" t="s">
        <v>4962</v>
      </c>
      <c r="F454" t="s">
        <v>5739</v>
      </c>
      <c r="G454" t="s">
        <v>4672</v>
      </c>
      <c r="H454" t="s">
        <v>4970</v>
      </c>
      <c r="I454" t="s">
        <v>4979</v>
      </c>
      <c r="J454" t="s">
        <v>4980</v>
      </c>
      <c r="K454" t="s">
        <v>4981</v>
      </c>
      <c r="L454" t="s">
        <v>2697</v>
      </c>
      <c r="M454">
        <v>143530</v>
      </c>
      <c r="N454" s="641">
        <f>+transaction_statement_01_Jan_2026_28_Feb_2026[[#This Row],[Orig amount]]/100</f>
        <v>1435.3</v>
      </c>
      <c r="O454" t="s">
        <v>2697</v>
      </c>
      <c r="P454">
        <v>-143530</v>
      </c>
      <c r="Q454">
        <v>-143530</v>
      </c>
      <c r="S454">
        <v>0</v>
      </c>
      <c r="T454" t="s">
        <v>2697</v>
      </c>
      <c r="U454">
        <v>91611</v>
      </c>
      <c r="V454" t="s">
        <v>4965</v>
      </c>
      <c r="X454" t="s">
        <v>4672</v>
      </c>
      <c r="Y454" t="s">
        <v>4672</v>
      </c>
      <c r="Z454" t="s">
        <v>4672</v>
      </c>
      <c r="AA454">
        <v>7361</v>
      </c>
      <c r="AB454" t="s">
        <v>4672</v>
      </c>
      <c r="AC454" t="s">
        <v>4672</v>
      </c>
    </row>
    <row r="455" spans="1:29" hidden="1">
      <c r="A455" s="10">
        <v>46042</v>
      </c>
      <c r="B455" s="10">
        <v>46043</v>
      </c>
      <c r="C455" t="s">
        <v>5740</v>
      </c>
      <c r="D455" t="s">
        <v>4977</v>
      </c>
      <c r="E455" t="s">
        <v>4962</v>
      </c>
      <c r="F455" t="s">
        <v>5619</v>
      </c>
      <c r="G455" t="s">
        <v>4672</v>
      </c>
      <c r="H455" t="s">
        <v>4970</v>
      </c>
      <c r="I455" t="s">
        <v>4984</v>
      </c>
      <c r="J455" t="s">
        <v>4985</v>
      </c>
      <c r="K455" t="s">
        <v>4981</v>
      </c>
      <c r="L455" t="s">
        <v>2697</v>
      </c>
      <c r="M455">
        <v>1000</v>
      </c>
      <c r="N455" s="641">
        <f>+transaction_statement_01_Jan_2026_28_Feb_2026[[#This Row],[Orig amount]]/100</f>
        <v>10</v>
      </c>
      <c r="O455" t="s">
        <v>2697</v>
      </c>
      <c r="P455">
        <v>-1000</v>
      </c>
      <c r="Q455">
        <v>-1000</v>
      </c>
      <c r="S455">
        <v>0</v>
      </c>
      <c r="T455" t="s">
        <v>2697</v>
      </c>
      <c r="U455">
        <v>235141</v>
      </c>
      <c r="V455" t="s">
        <v>4965</v>
      </c>
      <c r="X455" t="s">
        <v>4672</v>
      </c>
      <c r="Y455" t="s">
        <v>4672</v>
      </c>
      <c r="Z455" t="s">
        <v>4672</v>
      </c>
      <c r="AA455">
        <v>5812</v>
      </c>
      <c r="AB455" t="s">
        <v>4672</v>
      </c>
      <c r="AC455" t="s">
        <v>4672</v>
      </c>
    </row>
    <row r="456" spans="1:29" hidden="1">
      <c r="A456" s="10">
        <v>46042</v>
      </c>
      <c r="B456" s="10">
        <v>46043</v>
      </c>
      <c r="C456" t="s">
        <v>5741</v>
      </c>
      <c r="D456" t="s">
        <v>4977</v>
      </c>
      <c r="E456" t="s">
        <v>4962</v>
      </c>
      <c r="F456" t="s">
        <v>5742</v>
      </c>
      <c r="G456" t="s">
        <v>4672</v>
      </c>
      <c r="H456" t="s">
        <v>4970</v>
      </c>
      <c r="I456" t="s">
        <v>4984</v>
      </c>
      <c r="J456" t="s">
        <v>4985</v>
      </c>
      <c r="K456" t="s">
        <v>4981</v>
      </c>
      <c r="L456" t="s">
        <v>2697</v>
      </c>
      <c r="M456">
        <v>6500</v>
      </c>
      <c r="N456" s="641">
        <f>+transaction_statement_01_Jan_2026_28_Feb_2026[[#This Row],[Orig amount]]/100</f>
        <v>65</v>
      </c>
      <c r="O456" t="s">
        <v>2697</v>
      </c>
      <c r="P456">
        <v>-6500</v>
      </c>
      <c r="Q456">
        <v>-6500</v>
      </c>
      <c r="S456">
        <v>0</v>
      </c>
      <c r="T456" t="s">
        <v>2697</v>
      </c>
      <c r="U456">
        <v>236141</v>
      </c>
      <c r="V456" t="s">
        <v>4965</v>
      </c>
      <c r="X456" t="s">
        <v>4672</v>
      </c>
      <c r="Y456" t="s">
        <v>4672</v>
      </c>
      <c r="Z456" t="s">
        <v>4672</v>
      </c>
      <c r="AA456">
        <v>5812</v>
      </c>
      <c r="AB456" t="s">
        <v>4672</v>
      </c>
      <c r="AC456" t="s">
        <v>4672</v>
      </c>
    </row>
    <row r="457" spans="1:29">
      <c r="A457" s="10">
        <v>46041</v>
      </c>
      <c r="B457" s="10">
        <v>46042</v>
      </c>
      <c r="C457" t="s">
        <v>5743</v>
      </c>
      <c r="D457" t="s">
        <v>4977</v>
      </c>
      <c r="E457" t="s">
        <v>4962</v>
      </c>
      <c r="F457" t="s">
        <v>5121</v>
      </c>
      <c r="G457" t="s">
        <v>4672</v>
      </c>
      <c r="H457" t="s">
        <v>2794</v>
      </c>
      <c r="I457" t="s">
        <v>4989</v>
      </c>
      <c r="J457" t="s">
        <v>4990</v>
      </c>
      <c r="K457" t="s">
        <v>4981</v>
      </c>
      <c r="L457" t="s">
        <v>2697</v>
      </c>
      <c r="M457">
        <v>4046</v>
      </c>
      <c r="N457" s="642">
        <f>+transaction_statement_01_Jan_2026_28_Feb_2026[[#This Row],[Orig amount]]/100</f>
        <v>40.46</v>
      </c>
      <c r="O457" t="s">
        <v>2697</v>
      </c>
      <c r="P457">
        <v>-4046</v>
      </c>
      <c r="Q457">
        <v>-4046</v>
      </c>
      <c r="S457">
        <v>0</v>
      </c>
      <c r="T457" t="s">
        <v>2697</v>
      </c>
      <c r="U457">
        <v>242641</v>
      </c>
      <c r="V457" t="s">
        <v>4965</v>
      </c>
      <c r="X457" t="s">
        <v>4672</v>
      </c>
      <c r="Y457" t="s">
        <v>4672</v>
      </c>
      <c r="Z457" t="s">
        <v>4672</v>
      </c>
      <c r="AA457">
        <v>8111</v>
      </c>
      <c r="AB457" t="s">
        <v>4672</v>
      </c>
      <c r="AC457" t="s">
        <v>4672</v>
      </c>
    </row>
    <row r="458" spans="1:29" hidden="1">
      <c r="A458" s="10">
        <v>46041</v>
      </c>
      <c r="B458" s="10">
        <v>46042</v>
      </c>
      <c r="C458" t="s">
        <v>5744</v>
      </c>
      <c r="D458" t="s">
        <v>4977</v>
      </c>
      <c r="E458" t="s">
        <v>4962</v>
      </c>
      <c r="F458" t="s">
        <v>5745</v>
      </c>
      <c r="G458" t="s">
        <v>4672</v>
      </c>
      <c r="H458" t="s">
        <v>4970</v>
      </c>
      <c r="I458" t="s">
        <v>4984</v>
      </c>
      <c r="J458" t="s">
        <v>4985</v>
      </c>
      <c r="K458" t="s">
        <v>4981</v>
      </c>
      <c r="L458" t="s">
        <v>2697</v>
      </c>
      <c r="M458">
        <v>9385</v>
      </c>
      <c r="N458" s="641">
        <f>+transaction_statement_01_Jan_2026_28_Feb_2026[[#This Row],[Orig amount]]/100</f>
        <v>93.85</v>
      </c>
      <c r="O458" t="s">
        <v>2697</v>
      </c>
      <c r="P458">
        <v>-9385</v>
      </c>
      <c r="Q458">
        <v>-9385</v>
      </c>
      <c r="S458">
        <v>0</v>
      </c>
      <c r="T458" t="s">
        <v>2697</v>
      </c>
      <c r="U458">
        <v>246687</v>
      </c>
      <c r="V458" t="s">
        <v>4965</v>
      </c>
      <c r="X458" t="s">
        <v>4672</v>
      </c>
      <c r="Y458" t="s">
        <v>4672</v>
      </c>
      <c r="Z458" t="s">
        <v>4672</v>
      </c>
      <c r="AA458">
        <v>5912</v>
      </c>
      <c r="AB458" t="s">
        <v>4672</v>
      </c>
      <c r="AC458" t="s">
        <v>4672</v>
      </c>
    </row>
    <row r="459" spans="1:29" hidden="1">
      <c r="A459" s="10">
        <v>46042</v>
      </c>
      <c r="B459" s="10">
        <v>46042</v>
      </c>
      <c r="C459" t="s">
        <v>5746</v>
      </c>
      <c r="D459" t="s">
        <v>4977</v>
      </c>
      <c r="E459" t="s">
        <v>4962</v>
      </c>
      <c r="F459" t="s">
        <v>5212</v>
      </c>
      <c r="G459" t="s">
        <v>4672</v>
      </c>
      <c r="H459" t="s">
        <v>4970</v>
      </c>
      <c r="I459" t="s">
        <v>4984</v>
      </c>
      <c r="J459" t="s">
        <v>4985</v>
      </c>
      <c r="K459" t="s">
        <v>4981</v>
      </c>
      <c r="L459" t="s">
        <v>2697</v>
      </c>
      <c r="M459">
        <v>12580</v>
      </c>
      <c r="N459" s="641">
        <f>+transaction_statement_01_Jan_2026_28_Feb_2026[[#This Row],[Orig amount]]/100</f>
        <v>125.8</v>
      </c>
      <c r="O459" t="s">
        <v>2697</v>
      </c>
      <c r="P459">
        <v>-12580</v>
      </c>
      <c r="Q459">
        <v>-12580</v>
      </c>
      <c r="S459">
        <v>0</v>
      </c>
      <c r="T459" t="s">
        <v>2697</v>
      </c>
      <c r="U459">
        <v>256072</v>
      </c>
      <c r="V459" t="s">
        <v>4965</v>
      </c>
      <c r="X459" t="s">
        <v>4672</v>
      </c>
      <c r="Y459" t="s">
        <v>4672</v>
      </c>
      <c r="Z459" t="s">
        <v>4672</v>
      </c>
      <c r="AA459">
        <v>5732</v>
      </c>
      <c r="AB459" t="s">
        <v>4672</v>
      </c>
      <c r="AC459" t="s">
        <v>4672</v>
      </c>
    </row>
    <row r="460" spans="1:29" hidden="1">
      <c r="A460" s="10">
        <v>46042</v>
      </c>
      <c r="B460" s="10">
        <v>46042</v>
      </c>
      <c r="C460" t="s">
        <v>5747</v>
      </c>
      <c r="D460" t="s">
        <v>4967</v>
      </c>
      <c r="E460" t="s">
        <v>4962</v>
      </c>
      <c r="F460" t="s">
        <v>5058</v>
      </c>
      <c r="G460" t="s">
        <v>5059</v>
      </c>
      <c r="H460" t="s">
        <v>4970</v>
      </c>
      <c r="I460" t="s">
        <v>4672</v>
      </c>
      <c r="J460" t="s">
        <v>4672</v>
      </c>
      <c r="K460" t="s">
        <v>4672</v>
      </c>
      <c r="L460" t="s">
        <v>2697</v>
      </c>
      <c r="M460">
        <v>20000</v>
      </c>
      <c r="N460" s="641">
        <f>+transaction_statement_01_Jan_2026_28_Feb_2026[[#This Row],[Orig amount]]/100</f>
        <v>200</v>
      </c>
      <c r="O460" t="s">
        <v>2697</v>
      </c>
      <c r="P460">
        <v>-20000</v>
      </c>
      <c r="Q460">
        <v>-20000</v>
      </c>
      <c r="S460">
        <v>0</v>
      </c>
      <c r="T460" t="s">
        <v>2697</v>
      </c>
      <c r="U460">
        <v>268652</v>
      </c>
      <c r="V460" t="s">
        <v>4965</v>
      </c>
      <c r="X460" t="s">
        <v>4672</v>
      </c>
      <c r="Y460" t="s">
        <v>5060</v>
      </c>
      <c r="Z460" t="s">
        <v>5031</v>
      </c>
      <c r="AB460" t="s">
        <v>4672</v>
      </c>
      <c r="AC460" t="s">
        <v>4672</v>
      </c>
    </row>
    <row r="461" spans="1:29" hidden="1">
      <c r="A461" s="10">
        <v>46041</v>
      </c>
      <c r="B461" s="10">
        <v>46042</v>
      </c>
      <c r="C461" t="s">
        <v>5748</v>
      </c>
      <c r="D461" t="s">
        <v>4977</v>
      </c>
      <c r="E461" t="s">
        <v>4962</v>
      </c>
      <c r="F461" t="s">
        <v>4992</v>
      </c>
      <c r="G461" t="s">
        <v>4672</v>
      </c>
      <c r="H461" t="s">
        <v>4970</v>
      </c>
      <c r="I461" t="s">
        <v>4979</v>
      </c>
      <c r="J461" t="s">
        <v>4980</v>
      </c>
      <c r="K461" t="s">
        <v>4981</v>
      </c>
      <c r="L461" t="s">
        <v>2697</v>
      </c>
      <c r="M461">
        <v>21980</v>
      </c>
      <c r="N461" s="641">
        <f>+transaction_statement_01_Jan_2026_28_Feb_2026[[#This Row],[Orig amount]]/100</f>
        <v>219.8</v>
      </c>
      <c r="O461" t="s">
        <v>2697</v>
      </c>
      <c r="P461">
        <v>-21980</v>
      </c>
      <c r="Q461">
        <v>-21980</v>
      </c>
      <c r="S461">
        <v>0</v>
      </c>
      <c r="T461" t="s">
        <v>2697</v>
      </c>
      <c r="U461">
        <v>288652</v>
      </c>
      <c r="V461" t="s">
        <v>4965</v>
      </c>
      <c r="X461" t="s">
        <v>4672</v>
      </c>
      <c r="Y461" t="s">
        <v>4672</v>
      </c>
      <c r="Z461" t="s">
        <v>4672</v>
      </c>
      <c r="AA461">
        <v>4112</v>
      </c>
      <c r="AB461" t="s">
        <v>4672</v>
      </c>
      <c r="AC461" t="s">
        <v>4672</v>
      </c>
    </row>
    <row r="462" spans="1:29" hidden="1">
      <c r="A462" s="10">
        <v>46041</v>
      </c>
      <c r="B462" s="10">
        <v>46042</v>
      </c>
      <c r="C462" t="s">
        <v>5749</v>
      </c>
      <c r="D462" t="s">
        <v>4977</v>
      </c>
      <c r="E462" t="s">
        <v>4962</v>
      </c>
      <c r="F462" t="s">
        <v>5176</v>
      </c>
      <c r="G462" t="s">
        <v>4672</v>
      </c>
      <c r="H462" t="s">
        <v>4970</v>
      </c>
      <c r="I462" t="s">
        <v>4979</v>
      </c>
      <c r="J462" t="s">
        <v>4980</v>
      </c>
      <c r="K462" t="s">
        <v>4981</v>
      </c>
      <c r="L462" t="s">
        <v>2697</v>
      </c>
      <c r="M462">
        <v>19244</v>
      </c>
      <c r="N462" s="641">
        <f>+transaction_statement_01_Jan_2026_28_Feb_2026[[#This Row],[Orig amount]]/100</f>
        <v>192.44</v>
      </c>
      <c r="O462" t="s">
        <v>2697</v>
      </c>
      <c r="P462">
        <v>-19244</v>
      </c>
      <c r="Q462">
        <v>-19244</v>
      </c>
      <c r="S462">
        <v>0</v>
      </c>
      <c r="T462" t="s">
        <v>2697</v>
      </c>
      <c r="U462">
        <v>310632</v>
      </c>
      <c r="V462" t="s">
        <v>4965</v>
      </c>
      <c r="X462" t="s">
        <v>4672</v>
      </c>
      <c r="Y462" t="s">
        <v>4672</v>
      </c>
      <c r="Z462" t="s">
        <v>4672</v>
      </c>
      <c r="AA462">
        <v>5734</v>
      </c>
      <c r="AB462" t="s">
        <v>4672</v>
      </c>
      <c r="AC462" t="s">
        <v>4672</v>
      </c>
    </row>
    <row r="463" spans="1:29" hidden="1">
      <c r="A463" s="10">
        <v>46042</v>
      </c>
      <c r="B463" s="10">
        <v>46042</v>
      </c>
      <c r="C463" t="s">
        <v>5750</v>
      </c>
      <c r="D463" t="s">
        <v>4961</v>
      </c>
      <c r="E463" t="s">
        <v>4962</v>
      </c>
      <c r="F463" t="s">
        <v>5025</v>
      </c>
      <c r="G463" t="s">
        <v>5026</v>
      </c>
      <c r="H463" t="s">
        <v>4672</v>
      </c>
      <c r="I463" t="s">
        <v>4672</v>
      </c>
      <c r="J463" t="s">
        <v>4672</v>
      </c>
      <c r="K463" t="s">
        <v>4672</v>
      </c>
      <c r="L463" t="s">
        <v>2697</v>
      </c>
      <c r="M463">
        <v>175313</v>
      </c>
      <c r="N463" s="641">
        <f>+transaction_statement_01_Jan_2026_28_Feb_2026[[#This Row],[Orig amount]]/100</f>
        <v>1753.13</v>
      </c>
      <c r="O463" t="s">
        <v>2697</v>
      </c>
      <c r="P463">
        <v>175313</v>
      </c>
      <c r="Q463">
        <v>175313</v>
      </c>
      <c r="S463">
        <v>0</v>
      </c>
      <c r="T463" t="s">
        <v>2697</v>
      </c>
      <c r="U463">
        <v>329876</v>
      </c>
      <c r="V463" t="s">
        <v>4965</v>
      </c>
      <c r="X463" t="s">
        <v>4672</v>
      </c>
      <c r="Y463" t="s">
        <v>4672</v>
      </c>
      <c r="Z463" t="s">
        <v>4672</v>
      </c>
      <c r="AB463" t="s">
        <v>4672</v>
      </c>
      <c r="AC463" t="s">
        <v>4672</v>
      </c>
    </row>
    <row r="464" spans="1:29" hidden="1">
      <c r="A464" s="10">
        <v>46042</v>
      </c>
      <c r="B464" s="10">
        <v>46042</v>
      </c>
      <c r="C464" t="s">
        <v>5751</v>
      </c>
      <c r="D464" t="s">
        <v>4961</v>
      </c>
      <c r="E464" t="s">
        <v>4962</v>
      </c>
      <c r="F464" t="s">
        <v>5064</v>
      </c>
      <c r="G464" t="s">
        <v>5752</v>
      </c>
      <c r="H464" t="s">
        <v>4672</v>
      </c>
      <c r="I464" t="s">
        <v>4672</v>
      </c>
      <c r="J464" t="s">
        <v>4672</v>
      </c>
      <c r="K464" t="s">
        <v>4672</v>
      </c>
      <c r="L464" t="s">
        <v>2697</v>
      </c>
      <c r="M464">
        <v>75500</v>
      </c>
      <c r="N464" s="641">
        <f>+transaction_statement_01_Jan_2026_28_Feb_2026[[#This Row],[Orig amount]]/100</f>
        <v>755</v>
      </c>
      <c r="O464" t="s">
        <v>2697</v>
      </c>
      <c r="P464">
        <v>75500</v>
      </c>
      <c r="Q464">
        <v>75500</v>
      </c>
      <c r="S464">
        <v>0</v>
      </c>
      <c r="T464" t="s">
        <v>2697</v>
      </c>
      <c r="U464">
        <v>154563</v>
      </c>
      <c r="V464" t="s">
        <v>4965</v>
      </c>
      <c r="X464" t="s">
        <v>4672</v>
      </c>
      <c r="Y464" t="s">
        <v>4672</v>
      </c>
      <c r="Z464" t="s">
        <v>4672</v>
      </c>
      <c r="AB464" t="s">
        <v>4672</v>
      </c>
      <c r="AC464" t="s">
        <v>4672</v>
      </c>
    </row>
    <row r="465" spans="1:29" hidden="1">
      <c r="A465" s="10">
        <v>46041</v>
      </c>
      <c r="B465" s="10">
        <v>46042</v>
      </c>
      <c r="C465" t="s">
        <v>5753</v>
      </c>
      <c r="D465" t="s">
        <v>4977</v>
      </c>
      <c r="E465" t="s">
        <v>4962</v>
      </c>
      <c r="F465" t="s">
        <v>5754</v>
      </c>
      <c r="G465" t="s">
        <v>4672</v>
      </c>
      <c r="H465" t="s">
        <v>4970</v>
      </c>
      <c r="I465" t="s">
        <v>4984</v>
      </c>
      <c r="J465" t="s">
        <v>4985</v>
      </c>
      <c r="K465" t="s">
        <v>4981</v>
      </c>
      <c r="L465" t="s">
        <v>2697</v>
      </c>
      <c r="M465">
        <v>28526</v>
      </c>
      <c r="N465" s="641">
        <f>+transaction_statement_01_Jan_2026_28_Feb_2026[[#This Row],[Orig amount]]/100</f>
        <v>285.26</v>
      </c>
      <c r="O465" t="s">
        <v>2697</v>
      </c>
      <c r="P465">
        <v>-28526</v>
      </c>
      <c r="Q465">
        <v>-28526</v>
      </c>
      <c r="S465">
        <v>0</v>
      </c>
      <c r="T465" t="s">
        <v>2697</v>
      </c>
      <c r="U465">
        <v>79063</v>
      </c>
      <c r="V465" t="s">
        <v>4965</v>
      </c>
      <c r="X465" t="s">
        <v>4672</v>
      </c>
      <c r="Y465" t="s">
        <v>4672</v>
      </c>
      <c r="Z465" t="s">
        <v>4672</v>
      </c>
      <c r="AA465">
        <v>5977</v>
      </c>
      <c r="AB465" t="s">
        <v>4672</v>
      </c>
      <c r="AC465" t="s">
        <v>4672</v>
      </c>
    </row>
    <row r="466" spans="1:29" hidden="1">
      <c r="A466" s="10">
        <v>46041</v>
      </c>
      <c r="B466" s="10">
        <v>46041</v>
      </c>
      <c r="C466" t="s">
        <v>5755</v>
      </c>
      <c r="D466" t="s">
        <v>4967</v>
      </c>
      <c r="E466" t="s">
        <v>4962</v>
      </c>
      <c r="F466" t="s">
        <v>5756</v>
      </c>
      <c r="G466" t="s">
        <v>5757</v>
      </c>
      <c r="H466" t="s">
        <v>4970</v>
      </c>
      <c r="I466" t="s">
        <v>4672</v>
      </c>
      <c r="J466" t="s">
        <v>4672</v>
      </c>
      <c r="K466" t="s">
        <v>4672</v>
      </c>
      <c r="L466" t="s">
        <v>2697</v>
      </c>
      <c r="M466">
        <v>1000</v>
      </c>
      <c r="N466" s="641">
        <f>+transaction_statement_01_Jan_2026_28_Feb_2026[[#This Row],[Orig amount]]/100</f>
        <v>10</v>
      </c>
      <c r="O466" t="s">
        <v>2697</v>
      </c>
      <c r="P466">
        <v>-1000</v>
      </c>
      <c r="Q466">
        <v>-1000</v>
      </c>
      <c r="S466">
        <v>0</v>
      </c>
      <c r="T466" t="s">
        <v>2697</v>
      </c>
      <c r="U466">
        <v>107589</v>
      </c>
      <c r="V466" t="s">
        <v>4965</v>
      </c>
      <c r="X466" t="s">
        <v>4672</v>
      </c>
      <c r="Y466" t="s">
        <v>5115</v>
      </c>
      <c r="Z466" t="s">
        <v>5116</v>
      </c>
      <c r="AB466" t="s">
        <v>4672</v>
      </c>
      <c r="AC466" t="s">
        <v>4672</v>
      </c>
    </row>
    <row r="467" spans="1:29" hidden="1">
      <c r="A467" s="10">
        <v>46041</v>
      </c>
      <c r="B467" s="10">
        <v>46041</v>
      </c>
      <c r="C467" t="s">
        <v>5758</v>
      </c>
      <c r="D467" t="s">
        <v>4967</v>
      </c>
      <c r="E467" t="s">
        <v>4962</v>
      </c>
      <c r="F467" t="s">
        <v>5759</v>
      </c>
      <c r="G467" t="s">
        <v>5760</v>
      </c>
      <c r="H467" t="s">
        <v>4970</v>
      </c>
      <c r="I467" t="s">
        <v>4672</v>
      </c>
      <c r="J467" t="s">
        <v>4672</v>
      </c>
      <c r="K467" t="s">
        <v>4672</v>
      </c>
      <c r="L467" t="s">
        <v>2697</v>
      </c>
      <c r="M467">
        <v>403648</v>
      </c>
      <c r="N467" s="641">
        <f>+transaction_statement_01_Jan_2026_28_Feb_2026[[#This Row],[Orig amount]]/100</f>
        <v>4036.48</v>
      </c>
      <c r="O467" t="s">
        <v>2697</v>
      </c>
      <c r="P467">
        <v>-403648</v>
      </c>
      <c r="Q467">
        <v>-403648</v>
      </c>
      <c r="S467">
        <v>0</v>
      </c>
      <c r="T467" t="s">
        <v>2697</v>
      </c>
      <c r="U467">
        <v>108589</v>
      </c>
      <c r="V467" t="s">
        <v>4965</v>
      </c>
      <c r="X467" t="s">
        <v>4672</v>
      </c>
      <c r="Y467" t="s">
        <v>5761</v>
      </c>
      <c r="Z467" t="s">
        <v>5762</v>
      </c>
      <c r="AB467" t="s">
        <v>4672</v>
      </c>
      <c r="AC467" t="s">
        <v>4672</v>
      </c>
    </row>
    <row r="468" spans="1:29" hidden="1">
      <c r="A468" s="10">
        <v>46041</v>
      </c>
      <c r="B468" s="10">
        <v>46041</v>
      </c>
      <c r="C468" t="s">
        <v>5578</v>
      </c>
      <c r="D468" t="s">
        <v>4967</v>
      </c>
      <c r="E468" t="s">
        <v>4962</v>
      </c>
      <c r="F468" t="s">
        <v>5046</v>
      </c>
      <c r="G468" t="s">
        <v>4672</v>
      </c>
      <c r="H468" t="s">
        <v>4970</v>
      </c>
      <c r="I468" t="s">
        <v>4672</v>
      </c>
      <c r="J468" t="s">
        <v>4672</v>
      </c>
      <c r="K468" t="s">
        <v>4672</v>
      </c>
      <c r="L468" t="s">
        <v>2697</v>
      </c>
      <c r="M468">
        <v>299715</v>
      </c>
      <c r="N468" s="641">
        <f>+transaction_statement_01_Jan_2026_28_Feb_2026[[#This Row],[Orig amount]]/100</f>
        <v>2997.15</v>
      </c>
      <c r="O468" t="s">
        <v>2697</v>
      </c>
      <c r="P468">
        <v>-299715</v>
      </c>
      <c r="Q468">
        <v>-299715</v>
      </c>
      <c r="S468">
        <v>0</v>
      </c>
      <c r="T468" t="s">
        <v>2697</v>
      </c>
      <c r="U468">
        <v>0</v>
      </c>
      <c r="V468" t="s">
        <v>5047</v>
      </c>
      <c r="X468" t="s">
        <v>4672</v>
      </c>
      <c r="Y468" t="s">
        <v>4672</v>
      </c>
      <c r="Z468" t="s">
        <v>4672</v>
      </c>
      <c r="AB468" t="s">
        <v>4672</v>
      </c>
      <c r="AC468" t="s">
        <v>4672</v>
      </c>
    </row>
    <row r="469" spans="1:29" hidden="1">
      <c r="A469" s="10">
        <v>46041</v>
      </c>
      <c r="B469" s="10">
        <v>46041</v>
      </c>
      <c r="C469" t="s">
        <v>5578</v>
      </c>
      <c r="D469" t="s">
        <v>4967</v>
      </c>
      <c r="E469" t="s">
        <v>4962</v>
      </c>
      <c r="F469" t="s">
        <v>5048</v>
      </c>
      <c r="G469" t="s">
        <v>4672</v>
      </c>
      <c r="H469" t="s">
        <v>4970</v>
      </c>
      <c r="I469" t="s">
        <v>4672</v>
      </c>
      <c r="J469" t="s">
        <v>4672</v>
      </c>
      <c r="K469" t="s">
        <v>4672</v>
      </c>
      <c r="L469" t="s">
        <v>2697</v>
      </c>
      <c r="M469">
        <v>-299715</v>
      </c>
      <c r="N469" s="641">
        <f>+transaction_statement_01_Jan_2026_28_Feb_2026[[#This Row],[Orig amount]]/100</f>
        <v>-2997.15</v>
      </c>
      <c r="O469" t="s">
        <v>2697</v>
      </c>
      <c r="P469">
        <v>299715</v>
      </c>
      <c r="Q469">
        <v>299715</v>
      </c>
      <c r="S469">
        <v>0</v>
      </c>
      <c r="T469" t="s">
        <v>2697</v>
      </c>
      <c r="U469">
        <v>512237</v>
      </c>
      <c r="V469" t="s">
        <v>4965</v>
      </c>
      <c r="X469" t="s">
        <v>4672</v>
      </c>
      <c r="Y469" t="s">
        <v>4672</v>
      </c>
      <c r="Z469" t="s">
        <v>4672</v>
      </c>
      <c r="AB469" t="s">
        <v>4672</v>
      </c>
      <c r="AC469" t="s">
        <v>4672</v>
      </c>
    </row>
    <row r="470" spans="1:29" hidden="1">
      <c r="A470" s="10">
        <v>46041</v>
      </c>
      <c r="B470" s="10">
        <v>46041</v>
      </c>
      <c r="C470" t="s">
        <v>5579</v>
      </c>
      <c r="D470" t="s">
        <v>4961</v>
      </c>
      <c r="E470" t="s">
        <v>4962</v>
      </c>
      <c r="F470" t="s">
        <v>5050</v>
      </c>
      <c r="G470" t="s">
        <v>5051</v>
      </c>
      <c r="H470" t="s">
        <v>4672</v>
      </c>
      <c r="I470" t="s">
        <v>4672</v>
      </c>
      <c r="J470" t="s">
        <v>4672</v>
      </c>
      <c r="K470" t="s">
        <v>4672</v>
      </c>
      <c r="L470" t="s">
        <v>2697</v>
      </c>
      <c r="M470">
        <v>299715</v>
      </c>
      <c r="N470" s="641">
        <f>+transaction_statement_01_Jan_2026_28_Feb_2026[[#This Row],[Orig amount]]/100</f>
        <v>2997.15</v>
      </c>
      <c r="O470" t="s">
        <v>2697</v>
      </c>
      <c r="P470">
        <v>299715</v>
      </c>
      <c r="Q470">
        <v>299715</v>
      </c>
      <c r="S470">
        <v>0</v>
      </c>
      <c r="T470" t="s">
        <v>2697</v>
      </c>
      <c r="U470">
        <v>299715</v>
      </c>
      <c r="V470" t="s">
        <v>5047</v>
      </c>
      <c r="X470" t="s">
        <v>4672</v>
      </c>
      <c r="Y470" t="s">
        <v>4672</v>
      </c>
      <c r="Z470" t="s">
        <v>4672</v>
      </c>
      <c r="AB470" t="s">
        <v>4672</v>
      </c>
      <c r="AC470" t="s">
        <v>4672</v>
      </c>
    </row>
    <row r="471" spans="1:29" hidden="1">
      <c r="A471" s="10">
        <v>46040</v>
      </c>
      <c r="B471" s="10">
        <v>46041</v>
      </c>
      <c r="C471" t="s">
        <v>5763</v>
      </c>
      <c r="D471" t="s">
        <v>4977</v>
      </c>
      <c r="E471" t="s">
        <v>4962</v>
      </c>
      <c r="F471" t="s">
        <v>2753</v>
      </c>
      <c r="G471" t="s">
        <v>4672</v>
      </c>
      <c r="H471" t="s">
        <v>4970</v>
      </c>
      <c r="I471" t="s">
        <v>4979</v>
      </c>
      <c r="J471" t="s">
        <v>4980</v>
      </c>
      <c r="K471" t="s">
        <v>4981</v>
      </c>
      <c r="L471" t="s">
        <v>2697</v>
      </c>
      <c r="M471">
        <v>59850</v>
      </c>
      <c r="N471" s="641">
        <f>+transaction_statement_01_Jan_2026_28_Feb_2026[[#This Row],[Orig amount]]/100</f>
        <v>598.5</v>
      </c>
      <c r="O471" t="s">
        <v>2697</v>
      </c>
      <c r="P471">
        <v>-59850</v>
      </c>
      <c r="Q471">
        <v>-59850</v>
      </c>
      <c r="S471">
        <v>0</v>
      </c>
      <c r="T471" t="s">
        <v>2697</v>
      </c>
      <c r="U471">
        <v>212522</v>
      </c>
      <c r="V471" t="s">
        <v>4965</v>
      </c>
      <c r="X471" t="s">
        <v>4672</v>
      </c>
      <c r="Y471" t="s">
        <v>4672</v>
      </c>
      <c r="Z471" t="s">
        <v>4672</v>
      </c>
      <c r="AA471">
        <v>7372</v>
      </c>
      <c r="AB471" t="s">
        <v>4672</v>
      </c>
      <c r="AC471" t="s">
        <v>4672</v>
      </c>
    </row>
    <row r="472" spans="1:29" hidden="1">
      <c r="A472" s="10">
        <v>46040</v>
      </c>
      <c r="B472" s="10">
        <v>46041</v>
      </c>
      <c r="C472" t="s">
        <v>5764</v>
      </c>
      <c r="D472" t="s">
        <v>4977</v>
      </c>
      <c r="E472" t="s">
        <v>4962</v>
      </c>
      <c r="F472" t="s">
        <v>5445</v>
      </c>
      <c r="G472" t="s">
        <v>4672</v>
      </c>
      <c r="H472" t="s">
        <v>4970</v>
      </c>
      <c r="I472" t="s">
        <v>4979</v>
      </c>
      <c r="J472" t="s">
        <v>4980</v>
      </c>
      <c r="K472" t="s">
        <v>4981</v>
      </c>
      <c r="L472" t="s">
        <v>2697</v>
      </c>
      <c r="M472">
        <v>50000</v>
      </c>
      <c r="N472" s="641">
        <f>+transaction_statement_01_Jan_2026_28_Feb_2026[[#This Row],[Orig amount]]/100</f>
        <v>500</v>
      </c>
      <c r="O472" t="s">
        <v>2697</v>
      </c>
      <c r="P472">
        <v>-50000</v>
      </c>
      <c r="Q472">
        <v>-50000</v>
      </c>
      <c r="S472">
        <v>0</v>
      </c>
      <c r="T472" t="s">
        <v>2697</v>
      </c>
      <c r="U472">
        <v>272372</v>
      </c>
      <c r="V472" t="s">
        <v>4965</v>
      </c>
      <c r="X472" t="s">
        <v>4672</v>
      </c>
      <c r="Y472" t="s">
        <v>4672</v>
      </c>
      <c r="Z472" t="s">
        <v>4672</v>
      </c>
      <c r="AA472">
        <v>7311</v>
      </c>
      <c r="AB472" t="s">
        <v>4672</v>
      </c>
      <c r="AC472" t="s">
        <v>4672</v>
      </c>
    </row>
    <row r="473" spans="1:29" hidden="1">
      <c r="A473" s="10">
        <v>46040</v>
      </c>
      <c r="B473" s="10">
        <v>46041</v>
      </c>
      <c r="C473" t="s">
        <v>5765</v>
      </c>
      <c r="D473" t="s">
        <v>4977</v>
      </c>
      <c r="E473" t="s">
        <v>4962</v>
      </c>
      <c r="F473" t="s">
        <v>5264</v>
      </c>
      <c r="G473" t="s">
        <v>4672</v>
      </c>
      <c r="H473" t="s">
        <v>4970</v>
      </c>
      <c r="I473" t="s">
        <v>4979</v>
      </c>
      <c r="J473" t="s">
        <v>4980</v>
      </c>
      <c r="K473" t="s">
        <v>4981</v>
      </c>
      <c r="L473" t="s">
        <v>2697</v>
      </c>
      <c r="M473">
        <v>18725</v>
      </c>
      <c r="N473" s="641">
        <f>+transaction_statement_01_Jan_2026_28_Feb_2026[[#This Row],[Orig amount]]/100</f>
        <v>187.25</v>
      </c>
      <c r="O473" t="s">
        <v>2697</v>
      </c>
      <c r="P473">
        <v>-18725</v>
      </c>
      <c r="Q473">
        <v>-18725</v>
      </c>
      <c r="S473">
        <v>0</v>
      </c>
      <c r="T473" t="s">
        <v>2697</v>
      </c>
      <c r="U473">
        <v>322372</v>
      </c>
      <c r="V473" t="s">
        <v>4965</v>
      </c>
      <c r="X473" t="s">
        <v>4672</v>
      </c>
      <c r="Y473" t="s">
        <v>4672</v>
      </c>
      <c r="Z473" t="s">
        <v>4672</v>
      </c>
      <c r="AA473">
        <v>7333</v>
      </c>
      <c r="AB473" t="s">
        <v>4672</v>
      </c>
      <c r="AC473" t="s">
        <v>4672</v>
      </c>
    </row>
    <row r="474" spans="1:29" hidden="1">
      <c r="A474" s="10">
        <v>46041</v>
      </c>
      <c r="B474" s="10">
        <v>46041</v>
      </c>
      <c r="C474" t="s">
        <v>5766</v>
      </c>
      <c r="D474" t="s">
        <v>4977</v>
      </c>
      <c r="E474" t="s">
        <v>4962</v>
      </c>
      <c r="F474" t="s">
        <v>5212</v>
      </c>
      <c r="G474" t="s">
        <v>4672</v>
      </c>
      <c r="H474" t="s">
        <v>4970</v>
      </c>
      <c r="I474" t="s">
        <v>4984</v>
      </c>
      <c r="J474" t="s">
        <v>4985</v>
      </c>
      <c r="K474" t="s">
        <v>4981</v>
      </c>
      <c r="L474" t="s">
        <v>2697</v>
      </c>
      <c r="M474">
        <v>6190</v>
      </c>
      <c r="N474" s="641">
        <f>+transaction_statement_01_Jan_2026_28_Feb_2026[[#This Row],[Orig amount]]/100</f>
        <v>61.9</v>
      </c>
      <c r="O474" t="s">
        <v>2697</v>
      </c>
      <c r="P474">
        <v>-6190</v>
      </c>
      <c r="Q474">
        <v>-6190</v>
      </c>
      <c r="S474">
        <v>0</v>
      </c>
      <c r="T474" t="s">
        <v>2697</v>
      </c>
      <c r="U474">
        <v>341097</v>
      </c>
      <c r="V474" t="s">
        <v>4965</v>
      </c>
      <c r="X474" t="s">
        <v>4672</v>
      </c>
      <c r="Y474" t="s">
        <v>4672</v>
      </c>
      <c r="Z474" t="s">
        <v>4672</v>
      </c>
      <c r="AA474">
        <v>5732</v>
      </c>
      <c r="AB474" t="s">
        <v>4672</v>
      </c>
      <c r="AC474" t="s">
        <v>4672</v>
      </c>
    </row>
    <row r="475" spans="1:29" hidden="1">
      <c r="A475" s="10">
        <v>46040</v>
      </c>
      <c r="B475" s="10">
        <v>46041</v>
      </c>
      <c r="C475" t="s">
        <v>5767</v>
      </c>
      <c r="D475" t="s">
        <v>4967</v>
      </c>
      <c r="E475" t="s">
        <v>4962</v>
      </c>
      <c r="F475" t="s">
        <v>5768</v>
      </c>
      <c r="G475" t="s">
        <v>5769</v>
      </c>
      <c r="H475" t="s">
        <v>4970</v>
      </c>
      <c r="I475" t="s">
        <v>4672</v>
      </c>
      <c r="J475" t="s">
        <v>4672</v>
      </c>
      <c r="K475" t="s">
        <v>4672</v>
      </c>
      <c r="L475" t="s">
        <v>2697</v>
      </c>
      <c r="M475">
        <v>35319</v>
      </c>
      <c r="N475" s="641">
        <f>+transaction_statement_01_Jan_2026_28_Feb_2026[[#This Row],[Orig amount]]/100</f>
        <v>353.19</v>
      </c>
      <c r="O475" t="s">
        <v>2697</v>
      </c>
      <c r="P475">
        <v>-35319</v>
      </c>
      <c r="Q475">
        <v>-35319</v>
      </c>
      <c r="S475">
        <v>0</v>
      </c>
      <c r="T475" t="s">
        <v>2697</v>
      </c>
      <c r="U475">
        <v>347287</v>
      </c>
      <c r="V475" t="s">
        <v>4965</v>
      </c>
      <c r="X475" t="s">
        <v>4672</v>
      </c>
      <c r="Y475" t="s">
        <v>5770</v>
      </c>
      <c r="Z475" t="s">
        <v>5771</v>
      </c>
      <c r="AB475" t="s">
        <v>4672</v>
      </c>
      <c r="AC475" t="s">
        <v>4672</v>
      </c>
    </row>
    <row r="476" spans="1:29" hidden="1">
      <c r="A476" s="10">
        <v>46040</v>
      </c>
      <c r="B476" s="10">
        <v>46040</v>
      </c>
      <c r="C476" t="s">
        <v>5772</v>
      </c>
      <c r="D476" t="s">
        <v>4977</v>
      </c>
      <c r="E476" t="s">
        <v>4962</v>
      </c>
      <c r="F476" t="s">
        <v>5261</v>
      </c>
      <c r="G476" t="s">
        <v>4672</v>
      </c>
      <c r="H476" t="s">
        <v>4970</v>
      </c>
      <c r="I476" t="s">
        <v>4984</v>
      </c>
      <c r="J476" t="s">
        <v>4985</v>
      </c>
      <c r="K476" t="s">
        <v>4981</v>
      </c>
      <c r="L476" t="s">
        <v>2548</v>
      </c>
      <c r="M476">
        <v>5999</v>
      </c>
      <c r="N476" s="641">
        <f>+transaction_statement_01_Jan_2026_28_Feb_2026[[#This Row],[Orig amount]]/100</f>
        <v>59.99</v>
      </c>
      <c r="O476" t="s">
        <v>2697</v>
      </c>
      <c r="P476">
        <v>-5177</v>
      </c>
      <c r="Q476">
        <v>-5229</v>
      </c>
      <c r="R476">
        <v>1158820</v>
      </c>
      <c r="S476">
        <v>-52</v>
      </c>
      <c r="T476" t="s">
        <v>2697</v>
      </c>
      <c r="U476">
        <v>382606</v>
      </c>
      <c r="V476" t="s">
        <v>4965</v>
      </c>
      <c r="X476" t="s">
        <v>4672</v>
      </c>
      <c r="Y476" t="s">
        <v>4672</v>
      </c>
      <c r="Z476" t="s">
        <v>4672</v>
      </c>
      <c r="AA476">
        <v>5817</v>
      </c>
      <c r="AB476" t="s">
        <v>4672</v>
      </c>
      <c r="AC476" t="s">
        <v>4672</v>
      </c>
    </row>
    <row r="477" spans="1:29" hidden="1">
      <c r="A477" s="10">
        <v>46039</v>
      </c>
      <c r="B477" s="10">
        <v>46040</v>
      </c>
      <c r="C477" t="s">
        <v>5773</v>
      </c>
      <c r="D477" t="s">
        <v>4977</v>
      </c>
      <c r="E477" t="s">
        <v>4962</v>
      </c>
      <c r="F477" t="s">
        <v>5774</v>
      </c>
      <c r="G477" t="s">
        <v>4672</v>
      </c>
      <c r="H477" t="s">
        <v>4970</v>
      </c>
      <c r="I477" t="s">
        <v>4979</v>
      </c>
      <c r="J477" t="s">
        <v>4980</v>
      </c>
      <c r="K477" t="s">
        <v>4981</v>
      </c>
      <c r="L477" t="s">
        <v>2697</v>
      </c>
      <c r="M477">
        <v>8100</v>
      </c>
      <c r="N477" s="641">
        <f>+transaction_statement_01_Jan_2026_28_Feb_2026[[#This Row],[Orig amount]]/100</f>
        <v>81</v>
      </c>
      <c r="O477" t="s">
        <v>2697</v>
      </c>
      <c r="P477">
        <v>-8100</v>
      </c>
      <c r="Q477">
        <v>-8100</v>
      </c>
      <c r="S477">
        <v>0</v>
      </c>
      <c r="T477" t="s">
        <v>2697</v>
      </c>
      <c r="U477">
        <v>387835</v>
      </c>
      <c r="V477" t="s">
        <v>4965</v>
      </c>
      <c r="X477" t="s">
        <v>4672</v>
      </c>
      <c r="Y477" t="s">
        <v>4672</v>
      </c>
      <c r="Z477" t="s">
        <v>4672</v>
      </c>
      <c r="AA477">
        <v>7333</v>
      </c>
      <c r="AB477" t="s">
        <v>4672</v>
      </c>
      <c r="AC477" t="s">
        <v>4672</v>
      </c>
    </row>
    <row r="478" spans="1:29" hidden="1">
      <c r="A478" s="10">
        <v>46039</v>
      </c>
      <c r="B478" s="10">
        <v>46040</v>
      </c>
      <c r="C478" t="s">
        <v>5775</v>
      </c>
      <c r="D478" t="s">
        <v>4977</v>
      </c>
      <c r="E478" t="s">
        <v>4962</v>
      </c>
      <c r="F478" t="s">
        <v>2786</v>
      </c>
      <c r="G478" t="s">
        <v>4672</v>
      </c>
      <c r="H478" t="s">
        <v>4970</v>
      </c>
      <c r="I478" t="s">
        <v>4979</v>
      </c>
      <c r="J478" t="s">
        <v>4980</v>
      </c>
      <c r="K478" t="s">
        <v>4981</v>
      </c>
      <c r="L478" t="s">
        <v>2548</v>
      </c>
      <c r="M478">
        <v>36000</v>
      </c>
      <c r="N478" s="641">
        <f>+transaction_statement_01_Jan_2026_28_Feb_2026[[#This Row],[Orig amount]]/100</f>
        <v>360</v>
      </c>
      <c r="O478" t="s">
        <v>2697</v>
      </c>
      <c r="P478">
        <v>-31063</v>
      </c>
      <c r="Q478">
        <v>-31374</v>
      </c>
      <c r="R478">
        <v>1158954</v>
      </c>
      <c r="S478">
        <v>-311</v>
      </c>
      <c r="T478" t="s">
        <v>2697</v>
      </c>
      <c r="U478">
        <v>395935</v>
      </c>
      <c r="V478" t="s">
        <v>4965</v>
      </c>
      <c r="X478" t="s">
        <v>4672</v>
      </c>
      <c r="Y478" t="s">
        <v>4672</v>
      </c>
      <c r="Z478" t="s">
        <v>4672</v>
      </c>
      <c r="AA478">
        <v>5734</v>
      </c>
      <c r="AB478" t="s">
        <v>4672</v>
      </c>
      <c r="AC478" t="s">
        <v>4672</v>
      </c>
    </row>
    <row r="479" spans="1:29" hidden="1">
      <c r="A479" s="10">
        <v>46040</v>
      </c>
      <c r="B479" s="10">
        <v>46040</v>
      </c>
      <c r="C479" t="s">
        <v>5776</v>
      </c>
      <c r="D479" t="s">
        <v>4967</v>
      </c>
      <c r="E479" t="s">
        <v>4962</v>
      </c>
      <c r="F479" t="s">
        <v>5058</v>
      </c>
      <c r="G479" t="s">
        <v>5777</v>
      </c>
      <c r="H479" t="s">
        <v>4970</v>
      </c>
      <c r="I479" t="s">
        <v>4672</v>
      </c>
      <c r="J479" t="s">
        <v>4672</v>
      </c>
      <c r="K479" t="s">
        <v>4672</v>
      </c>
      <c r="L479" t="s">
        <v>2697</v>
      </c>
      <c r="M479">
        <v>100000</v>
      </c>
      <c r="N479" s="641">
        <f>+transaction_statement_01_Jan_2026_28_Feb_2026[[#This Row],[Orig amount]]/100</f>
        <v>1000</v>
      </c>
      <c r="O479" t="s">
        <v>2697</v>
      </c>
      <c r="P479">
        <v>-100000</v>
      </c>
      <c r="Q479">
        <v>-100000</v>
      </c>
      <c r="S479">
        <v>0</v>
      </c>
      <c r="T479" t="s">
        <v>2697</v>
      </c>
      <c r="U479">
        <v>427309</v>
      </c>
      <c r="V479" t="s">
        <v>4965</v>
      </c>
      <c r="X479" t="s">
        <v>4672</v>
      </c>
      <c r="Y479" t="s">
        <v>5060</v>
      </c>
      <c r="Z479" t="s">
        <v>5031</v>
      </c>
      <c r="AB479" t="s">
        <v>4672</v>
      </c>
      <c r="AC479" t="s">
        <v>4672</v>
      </c>
    </row>
    <row r="480" spans="1:29" hidden="1">
      <c r="A480" s="10">
        <v>46040</v>
      </c>
      <c r="B480" s="10">
        <v>46040</v>
      </c>
      <c r="C480" t="s">
        <v>5778</v>
      </c>
      <c r="D480" t="s">
        <v>4961</v>
      </c>
      <c r="E480" t="s">
        <v>4962</v>
      </c>
      <c r="F480" t="s">
        <v>5025</v>
      </c>
      <c r="G480" t="s">
        <v>5026</v>
      </c>
      <c r="H480" t="s">
        <v>4672</v>
      </c>
      <c r="I480" t="s">
        <v>4672</v>
      </c>
      <c r="J480" t="s">
        <v>4672</v>
      </c>
      <c r="K480" t="s">
        <v>4672</v>
      </c>
      <c r="L480" t="s">
        <v>2697</v>
      </c>
      <c r="M480">
        <v>187881</v>
      </c>
      <c r="N480" s="641">
        <f>+transaction_statement_01_Jan_2026_28_Feb_2026[[#This Row],[Orig amount]]/100</f>
        <v>1878.81</v>
      </c>
      <c r="O480" t="s">
        <v>2697</v>
      </c>
      <c r="P480">
        <v>187881</v>
      </c>
      <c r="Q480">
        <v>187881</v>
      </c>
      <c r="S480">
        <v>0</v>
      </c>
      <c r="T480" t="s">
        <v>2697</v>
      </c>
      <c r="U480">
        <v>527309</v>
      </c>
      <c r="V480" t="s">
        <v>4965</v>
      </c>
      <c r="X480" t="s">
        <v>4672</v>
      </c>
      <c r="Y480" t="s">
        <v>4672</v>
      </c>
      <c r="Z480" t="s">
        <v>4672</v>
      </c>
      <c r="AB480" t="s">
        <v>4672</v>
      </c>
      <c r="AC480" t="s">
        <v>4672</v>
      </c>
    </row>
    <row r="481" spans="1:29" hidden="1">
      <c r="A481" s="10">
        <v>46040</v>
      </c>
      <c r="B481" s="10">
        <v>46040</v>
      </c>
      <c r="C481" t="s">
        <v>5779</v>
      </c>
      <c r="D481" t="s">
        <v>4967</v>
      </c>
      <c r="E481" t="s">
        <v>4962</v>
      </c>
      <c r="F481" t="s">
        <v>5780</v>
      </c>
      <c r="G481" t="s">
        <v>5781</v>
      </c>
      <c r="H481" t="s">
        <v>4970</v>
      </c>
      <c r="I481" t="s">
        <v>4672</v>
      </c>
      <c r="J481" t="s">
        <v>4672</v>
      </c>
      <c r="K481" t="s">
        <v>4672</v>
      </c>
      <c r="L481" t="s">
        <v>2697</v>
      </c>
      <c r="M481">
        <v>27450</v>
      </c>
      <c r="N481" s="641">
        <f>+transaction_statement_01_Jan_2026_28_Feb_2026[[#This Row],[Orig amount]]/100</f>
        <v>274.5</v>
      </c>
      <c r="O481" t="s">
        <v>2697</v>
      </c>
      <c r="P481">
        <v>-27450</v>
      </c>
      <c r="Q481">
        <v>-27450</v>
      </c>
      <c r="S481">
        <v>0</v>
      </c>
      <c r="T481" t="s">
        <v>2697</v>
      </c>
      <c r="U481">
        <v>339428</v>
      </c>
      <c r="V481" t="s">
        <v>4965</v>
      </c>
      <c r="X481" t="s">
        <v>4672</v>
      </c>
      <c r="Y481" t="s">
        <v>5782</v>
      </c>
      <c r="Z481" t="s">
        <v>5783</v>
      </c>
      <c r="AB481" t="s">
        <v>4672</v>
      </c>
      <c r="AC481" t="s">
        <v>4672</v>
      </c>
    </row>
    <row r="482" spans="1:29" hidden="1">
      <c r="A482" s="10">
        <v>46040</v>
      </c>
      <c r="B482" s="10">
        <v>46040</v>
      </c>
      <c r="C482" t="s">
        <v>5784</v>
      </c>
      <c r="D482" t="s">
        <v>4977</v>
      </c>
      <c r="E482" t="s">
        <v>4962</v>
      </c>
      <c r="F482" t="s">
        <v>5785</v>
      </c>
      <c r="G482" t="s">
        <v>4672</v>
      </c>
      <c r="H482" t="s">
        <v>4970</v>
      </c>
      <c r="I482" t="s">
        <v>4979</v>
      </c>
      <c r="J482" t="s">
        <v>4980</v>
      </c>
      <c r="K482" t="s">
        <v>4981</v>
      </c>
      <c r="L482" t="s">
        <v>2697</v>
      </c>
      <c r="M482">
        <v>24103</v>
      </c>
      <c r="N482" s="641">
        <f>+transaction_statement_01_Jan_2026_28_Feb_2026[[#This Row],[Orig amount]]/100</f>
        <v>241.03</v>
      </c>
      <c r="O482" t="s">
        <v>2697</v>
      </c>
      <c r="P482">
        <v>-24103</v>
      </c>
      <c r="Q482">
        <v>-24103</v>
      </c>
      <c r="S482">
        <v>0</v>
      </c>
      <c r="T482" t="s">
        <v>2697</v>
      </c>
      <c r="U482">
        <v>366878</v>
      </c>
      <c r="V482" t="s">
        <v>4965</v>
      </c>
      <c r="X482" t="s">
        <v>4672</v>
      </c>
      <c r="Y482" t="s">
        <v>4672</v>
      </c>
      <c r="Z482" t="s">
        <v>4672</v>
      </c>
      <c r="AA482">
        <v>5045</v>
      </c>
      <c r="AB482" t="s">
        <v>4672</v>
      </c>
      <c r="AC482" t="s">
        <v>4672</v>
      </c>
    </row>
    <row r="483" spans="1:29" hidden="1">
      <c r="A483" s="10">
        <v>46039</v>
      </c>
      <c r="B483" s="10">
        <v>46039</v>
      </c>
      <c r="C483" t="s">
        <v>5786</v>
      </c>
      <c r="D483" t="s">
        <v>4961</v>
      </c>
      <c r="E483" t="s">
        <v>4962</v>
      </c>
      <c r="F483" t="s">
        <v>5025</v>
      </c>
      <c r="G483" t="s">
        <v>5026</v>
      </c>
      <c r="H483" t="s">
        <v>4672</v>
      </c>
      <c r="I483" t="s">
        <v>4672</v>
      </c>
      <c r="J483" t="s">
        <v>4672</v>
      </c>
      <c r="K483" t="s">
        <v>4672</v>
      </c>
      <c r="L483" t="s">
        <v>2697</v>
      </c>
      <c r="M483">
        <v>306366</v>
      </c>
      <c r="N483" s="641">
        <f>+transaction_statement_01_Jan_2026_28_Feb_2026[[#This Row],[Orig amount]]/100</f>
        <v>3063.66</v>
      </c>
      <c r="O483" t="s">
        <v>2697</v>
      </c>
      <c r="P483">
        <v>306366</v>
      </c>
      <c r="Q483">
        <v>306366</v>
      </c>
      <c r="S483">
        <v>0</v>
      </c>
      <c r="T483" t="s">
        <v>2697</v>
      </c>
      <c r="U483">
        <v>390981</v>
      </c>
      <c r="V483" t="s">
        <v>4965</v>
      </c>
      <c r="X483" t="s">
        <v>4672</v>
      </c>
      <c r="Y483" t="s">
        <v>4672</v>
      </c>
      <c r="Z483" t="s">
        <v>4672</v>
      </c>
      <c r="AB483" t="s">
        <v>4672</v>
      </c>
      <c r="AC483" t="s">
        <v>4672</v>
      </c>
    </row>
    <row r="484" spans="1:29" hidden="1">
      <c r="A484" s="10">
        <v>46038</v>
      </c>
      <c r="B484" s="10">
        <v>46039</v>
      </c>
      <c r="C484" t="s">
        <v>5787</v>
      </c>
      <c r="D484" t="s">
        <v>4977</v>
      </c>
      <c r="E484" t="s">
        <v>4962</v>
      </c>
      <c r="F484" t="s">
        <v>5788</v>
      </c>
      <c r="G484" t="s">
        <v>4672</v>
      </c>
      <c r="H484" t="s">
        <v>4970</v>
      </c>
      <c r="I484" t="s">
        <v>4984</v>
      </c>
      <c r="J484" t="s">
        <v>4985</v>
      </c>
      <c r="K484" t="s">
        <v>4981</v>
      </c>
      <c r="L484" t="s">
        <v>2697</v>
      </c>
      <c r="M484">
        <v>1140</v>
      </c>
      <c r="N484" s="641">
        <f>+transaction_statement_01_Jan_2026_28_Feb_2026[[#This Row],[Orig amount]]/100</f>
        <v>11.4</v>
      </c>
      <c r="O484" t="s">
        <v>2697</v>
      </c>
      <c r="P484">
        <v>-1140</v>
      </c>
      <c r="Q484">
        <v>-1140</v>
      </c>
      <c r="S484">
        <v>0</v>
      </c>
      <c r="T484" t="s">
        <v>2697</v>
      </c>
      <c r="U484">
        <v>84615</v>
      </c>
      <c r="V484" t="s">
        <v>4965</v>
      </c>
      <c r="X484" t="s">
        <v>4672</v>
      </c>
      <c r="Y484" t="s">
        <v>4672</v>
      </c>
      <c r="Z484" t="s">
        <v>4672</v>
      </c>
      <c r="AA484">
        <v>7523</v>
      </c>
      <c r="AB484" t="s">
        <v>4672</v>
      </c>
      <c r="AC484" t="s">
        <v>4672</v>
      </c>
    </row>
    <row r="485" spans="1:29" hidden="1">
      <c r="A485" s="10">
        <v>46038</v>
      </c>
      <c r="B485" s="10">
        <v>46039</v>
      </c>
      <c r="C485" t="s">
        <v>5789</v>
      </c>
      <c r="D485" t="s">
        <v>4977</v>
      </c>
      <c r="E485" t="s">
        <v>4962</v>
      </c>
      <c r="F485" t="s">
        <v>5790</v>
      </c>
      <c r="G485" t="s">
        <v>4672</v>
      </c>
      <c r="H485" t="s">
        <v>4970</v>
      </c>
      <c r="I485" t="s">
        <v>4984</v>
      </c>
      <c r="J485" t="s">
        <v>4985</v>
      </c>
      <c r="K485" t="s">
        <v>4981</v>
      </c>
      <c r="L485" t="s">
        <v>2697</v>
      </c>
      <c r="M485">
        <v>565</v>
      </c>
      <c r="N485" s="641">
        <f>+transaction_statement_01_Jan_2026_28_Feb_2026[[#This Row],[Orig amount]]/100</f>
        <v>5.65</v>
      </c>
      <c r="O485" t="s">
        <v>2697</v>
      </c>
      <c r="P485">
        <v>-565</v>
      </c>
      <c r="Q485">
        <v>-565</v>
      </c>
      <c r="S485">
        <v>0</v>
      </c>
      <c r="T485" t="s">
        <v>2697</v>
      </c>
      <c r="U485">
        <v>85755</v>
      </c>
      <c r="V485" t="s">
        <v>4965</v>
      </c>
      <c r="X485" t="s">
        <v>4672</v>
      </c>
      <c r="Y485" t="s">
        <v>4672</v>
      </c>
      <c r="Z485" t="s">
        <v>4672</v>
      </c>
      <c r="AA485">
        <v>5311</v>
      </c>
      <c r="AB485" t="s">
        <v>4672</v>
      </c>
      <c r="AC485" t="s">
        <v>4672</v>
      </c>
    </row>
    <row r="486" spans="1:29" hidden="1">
      <c r="A486" s="10">
        <v>46038</v>
      </c>
      <c r="B486" s="10">
        <v>46039</v>
      </c>
      <c r="C486" t="s">
        <v>5791</v>
      </c>
      <c r="D486" t="s">
        <v>4977</v>
      </c>
      <c r="E486" t="s">
        <v>4962</v>
      </c>
      <c r="F486" t="s">
        <v>5792</v>
      </c>
      <c r="G486" t="s">
        <v>4672</v>
      </c>
      <c r="H486" t="s">
        <v>4970</v>
      </c>
      <c r="I486" t="s">
        <v>4984</v>
      </c>
      <c r="J486" t="s">
        <v>4985</v>
      </c>
      <c r="K486" t="s">
        <v>4981</v>
      </c>
      <c r="L486" t="s">
        <v>2697</v>
      </c>
      <c r="M486">
        <v>339</v>
      </c>
      <c r="N486" s="641">
        <f>+transaction_statement_01_Jan_2026_28_Feb_2026[[#This Row],[Orig amount]]/100</f>
        <v>3.39</v>
      </c>
      <c r="O486" t="s">
        <v>2697</v>
      </c>
      <c r="P486">
        <v>-339</v>
      </c>
      <c r="Q486">
        <v>-339</v>
      </c>
      <c r="S486">
        <v>0</v>
      </c>
      <c r="T486" t="s">
        <v>2697</v>
      </c>
      <c r="U486">
        <v>86320</v>
      </c>
      <c r="V486" t="s">
        <v>4965</v>
      </c>
      <c r="X486" t="s">
        <v>4672</v>
      </c>
      <c r="Y486" t="s">
        <v>4672</v>
      </c>
      <c r="Z486" t="s">
        <v>4672</v>
      </c>
      <c r="AA486">
        <v>5912</v>
      </c>
      <c r="AB486" t="s">
        <v>4672</v>
      </c>
      <c r="AC486" t="s">
        <v>4672</v>
      </c>
    </row>
    <row r="487" spans="1:29" hidden="1">
      <c r="A487" s="10">
        <v>46038</v>
      </c>
      <c r="B487" s="10">
        <v>46039</v>
      </c>
      <c r="C487" t="s">
        <v>5793</v>
      </c>
      <c r="D487" t="s">
        <v>4977</v>
      </c>
      <c r="E487" t="s">
        <v>4962</v>
      </c>
      <c r="F487" t="s">
        <v>5794</v>
      </c>
      <c r="G487" t="s">
        <v>4672</v>
      </c>
      <c r="H487" t="s">
        <v>4970</v>
      </c>
      <c r="I487" t="s">
        <v>4984</v>
      </c>
      <c r="J487" t="s">
        <v>4985</v>
      </c>
      <c r="K487" t="s">
        <v>4981</v>
      </c>
      <c r="L487" t="s">
        <v>2697</v>
      </c>
      <c r="M487">
        <v>640</v>
      </c>
      <c r="N487" s="641">
        <f>+transaction_statement_01_Jan_2026_28_Feb_2026[[#This Row],[Orig amount]]/100</f>
        <v>6.4</v>
      </c>
      <c r="O487" t="s">
        <v>2697</v>
      </c>
      <c r="P487">
        <v>-640</v>
      </c>
      <c r="Q487">
        <v>-640</v>
      </c>
      <c r="S487">
        <v>0</v>
      </c>
      <c r="T487" t="s">
        <v>2697</v>
      </c>
      <c r="U487">
        <v>86659</v>
      </c>
      <c r="V487" t="s">
        <v>4965</v>
      </c>
      <c r="X487" t="s">
        <v>4672</v>
      </c>
      <c r="Y487" t="s">
        <v>4672</v>
      </c>
      <c r="Z487" t="s">
        <v>4672</v>
      </c>
      <c r="AA487">
        <v>5499</v>
      </c>
      <c r="AB487" t="s">
        <v>4672</v>
      </c>
      <c r="AC487" t="s">
        <v>4672</v>
      </c>
    </row>
    <row r="488" spans="1:29" hidden="1">
      <c r="A488" s="10">
        <v>46038</v>
      </c>
      <c r="B488" s="10">
        <v>46039</v>
      </c>
      <c r="C488" t="s">
        <v>5795</v>
      </c>
      <c r="D488" t="s">
        <v>4977</v>
      </c>
      <c r="E488" t="s">
        <v>4962</v>
      </c>
      <c r="F488" t="s">
        <v>5796</v>
      </c>
      <c r="G488" t="s">
        <v>4672</v>
      </c>
      <c r="H488" t="s">
        <v>4970</v>
      </c>
      <c r="I488" t="s">
        <v>4984</v>
      </c>
      <c r="J488" t="s">
        <v>4985</v>
      </c>
      <c r="K488" t="s">
        <v>4981</v>
      </c>
      <c r="L488" t="s">
        <v>2697</v>
      </c>
      <c r="M488">
        <v>3875</v>
      </c>
      <c r="N488" s="641">
        <f>+transaction_statement_01_Jan_2026_28_Feb_2026[[#This Row],[Orig amount]]/100</f>
        <v>38.75</v>
      </c>
      <c r="O488" t="s">
        <v>2697</v>
      </c>
      <c r="P488">
        <v>-3875</v>
      </c>
      <c r="Q488">
        <v>-3875</v>
      </c>
      <c r="S488">
        <v>0</v>
      </c>
      <c r="T488" t="s">
        <v>2697</v>
      </c>
      <c r="U488">
        <v>87299</v>
      </c>
      <c r="V488" t="s">
        <v>4965</v>
      </c>
      <c r="X488" t="s">
        <v>4672</v>
      </c>
      <c r="Y488" t="s">
        <v>4672</v>
      </c>
      <c r="Z488" t="s">
        <v>4672</v>
      </c>
      <c r="AA488">
        <v>5812</v>
      </c>
      <c r="AB488" t="s">
        <v>4672</v>
      </c>
      <c r="AC488" t="s">
        <v>4672</v>
      </c>
    </row>
    <row r="489" spans="1:29" hidden="1">
      <c r="A489" s="10">
        <v>46038</v>
      </c>
      <c r="B489" s="10">
        <v>46039</v>
      </c>
      <c r="C489" t="s">
        <v>5797</v>
      </c>
      <c r="D489" t="s">
        <v>4977</v>
      </c>
      <c r="E489" t="s">
        <v>4962</v>
      </c>
      <c r="F489" t="s">
        <v>5798</v>
      </c>
      <c r="G489" t="s">
        <v>4672</v>
      </c>
      <c r="H489" t="s">
        <v>4970</v>
      </c>
      <c r="I489" t="s">
        <v>4979</v>
      </c>
      <c r="J489" t="s">
        <v>4980</v>
      </c>
      <c r="K489" t="s">
        <v>4981</v>
      </c>
      <c r="L489" t="s">
        <v>2697</v>
      </c>
      <c r="M489">
        <v>1299</v>
      </c>
      <c r="N489" s="641">
        <f>+transaction_statement_01_Jan_2026_28_Feb_2026[[#This Row],[Orig amount]]/100</f>
        <v>12.99</v>
      </c>
      <c r="O489" t="s">
        <v>2697</v>
      </c>
      <c r="P489">
        <v>-1299</v>
      </c>
      <c r="Q489">
        <v>-1299</v>
      </c>
      <c r="S489">
        <v>0</v>
      </c>
      <c r="T489" t="s">
        <v>2697</v>
      </c>
      <c r="U489">
        <v>91174</v>
      </c>
      <c r="V489" t="s">
        <v>4965</v>
      </c>
      <c r="X489" t="s">
        <v>4672</v>
      </c>
      <c r="Y489" t="s">
        <v>4672</v>
      </c>
      <c r="Z489" t="s">
        <v>4672</v>
      </c>
      <c r="AA489">
        <v>5815</v>
      </c>
      <c r="AB489" t="s">
        <v>4672</v>
      </c>
      <c r="AC489" t="s">
        <v>4672</v>
      </c>
    </row>
    <row r="490" spans="1:29" hidden="1">
      <c r="A490" s="10">
        <v>46038</v>
      </c>
      <c r="B490" s="10">
        <v>46039</v>
      </c>
      <c r="C490" t="s">
        <v>5799</v>
      </c>
      <c r="D490" t="s">
        <v>4977</v>
      </c>
      <c r="E490" t="s">
        <v>4962</v>
      </c>
      <c r="F490" t="s">
        <v>5800</v>
      </c>
      <c r="G490" t="s">
        <v>4672</v>
      </c>
      <c r="H490" t="s">
        <v>4970</v>
      </c>
      <c r="I490" t="s">
        <v>4984</v>
      </c>
      <c r="J490" t="s">
        <v>4985</v>
      </c>
      <c r="K490" t="s">
        <v>4981</v>
      </c>
      <c r="L490" t="s">
        <v>2697</v>
      </c>
      <c r="M490">
        <v>6336</v>
      </c>
      <c r="N490" s="641">
        <f>+transaction_statement_01_Jan_2026_28_Feb_2026[[#This Row],[Orig amount]]/100</f>
        <v>63.36</v>
      </c>
      <c r="O490" t="s">
        <v>2697</v>
      </c>
      <c r="P490">
        <v>-6336</v>
      </c>
      <c r="Q490">
        <v>-6336</v>
      </c>
      <c r="S490">
        <v>0</v>
      </c>
      <c r="T490" t="s">
        <v>2697</v>
      </c>
      <c r="U490">
        <v>92473</v>
      </c>
      <c r="V490" t="s">
        <v>4965</v>
      </c>
      <c r="X490" t="s">
        <v>4672</v>
      </c>
      <c r="Y490" t="s">
        <v>4672</v>
      </c>
      <c r="Z490" t="s">
        <v>4672</v>
      </c>
      <c r="AA490">
        <v>5814</v>
      </c>
      <c r="AB490" t="s">
        <v>4672</v>
      </c>
      <c r="AC490" t="s">
        <v>4672</v>
      </c>
    </row>
    <row r="491" spans="1:29" hidden="1">
      <c r="A491" s="10">
        <v>46038</v>
      </c>
      <c r="B491" s="10">
        <v>46038</v>
      </c>
      <c r="C491" t="s">
        <v>5801</v>
      </c>
      <c r="D491" t="s">
        <v>4967</v>
      </c>
      <c r="E491" t="s">
        <v>4962</v>
      </c>
      <c r="F491" t="s">
        <v>5058</v>
      </c>
      <c r="G491" t="s">
        <v>5777</v>
      </c>
      <c r="H491" t="s">
        <v>4970</v>
      </c>
      <c r="I491" t="s">
        <v>4672</v>
      </c>
      <c r="J491" t="s">
        <v>4672</v>
      </c>
      <c r="K491" t="s">
        <v>4672</v>
      </c>
      <c r="L491" t="s">
        <v>2697</v>
      </c>
      <c r="M491">
        <v>200000</v>
      </c>
      <c r="N491" s="641">
        <f>+transaction_statement_01_Jan_2026_28_Feb_2026[[#This Row],[Orig amount]]/100</f>
        <v>2000</v>
      </c>
      <c r="O491" t="s">
        <v>2697</v>
      </c>
      <c r="P491">
        <v>-200000</v>
      </c>
      <c r="Q491">
        <v>-200000</v>
      </c>
      <c r="S491">
        <v>0</v>
      </c>
      <c r="T491" t="s">
        <v>2697</v>
      </c>
      <c r="U491">
        <v>98809</v>
      </c>
      <c r="V491" t="s">
        <v>4965</v>
      </c>
      <c r="X491" t="s">
        <v>4672</v>
      </c>
      <c r="Y491" t="s">
        <v>5060</v>
      </c>
      <c r="Z491" t="s">
        <v>5031</v>
      </c>
      <c r="AB491" t="s">
        <v>4672</v>
      </c>
      <c r="AC491" t="s">
        <v>4672</v>
      </c>
    </row>
    <row r="492" spans="1:29" hidden="1">
      <c r="A492" s="10">
        <v>46038</v>
      </c>
      <c r="B492" s="10">
        <v>46038</v>
      </c>
      <c r="C492" t="s">
        <v>5802</v>
      </c>
      <c r="D492" t="s">
        <v>4961</v>
      </c>
      <c r="E492" t="s">
        <v>4962</v>
      </c>
      <c r="F492" t="s">
        <v>5025</v>
      </c>
      <c r="G492" t="s">
        <v>5026</v>
      </c>
      <c r="H492" t="s">
        <v>4672</v>
      </c>
      <c r="I492" t="s">
        <v>4672</v>
      </c>
      <c r="J492" t="s">
        <v>4672</v>
      </c>
      <c r="K492" t="s">
        <v>4672</v>
      </c>
      <c r="L492" t="s">
        <v>2697</v>
      </c>
      <c r="M492">
        <v>205918</v>
      </c>
      <c r="N492" s="641">
        <f>+transaction_statement_01_Jan_2026_28_Feb_2026[[#This Row],[Orig amount]]/100</f>
        <v>2059.1799999999998</v>
      </c>
      <c r="O492" t="s">
        <v>2697</v>
      </c>
      <c r="P492">
        <v>205918</v>
      </c>
      <c r="Q492">
        <v>205918</v>
      </c>
      <c r="S492">
        <v>0</v>
      </c>
      <c r="T492" t="s">
        <v>2697</v>
      </c>
      <c r="U492">
        <v>298809</v>
      </c>
      <c r="V492" t="s">
        <v>4965</v>
      </c>
      <c r="X492" t="s">
        <v>4672</v>
      </c>
      <c r="Y492" t="s">
        <v>4672</v>
      </c>
      <c r="Z492" t="s">
        <v>4672</v>
      </c>
      <c r="AB492" t="s">
        <v>4672</v>
      </c>
      <c r="AC492" t="s">
        <v>4672</v>
      </c>
    </row>
    <row r="493" spans="1:29" hidden="1">
      <c r="A493" s="10">
        <v>46037</v>
      </c>
      <c r="B493" s="10">
        <v>46038</v>
      </c>
      <c r="C493" t="s">
        <v>5803</v>
      </c>
      <c r="D493" t="s">
        <v>4977</v>
      </c>
      <c r="E493" t="s">
        <v>4962</v>
      </c>
      <c r="F493" t="s">
        <v>5293</v>
      </c>
      <c r="G493" t="s">
        <v>4672</v>
      </c>
      <c r="H493" t="s">
        <v>4970</v>
      </c>
      <c r="I493" t="s">
        <v>4979</v>
      </c>
      <c r="J493" t="s">
        <v>4980</v>
      </c>
      <c r="K493" t="s">
        <v>4981</v>
      </c>
      <c r="L493" t="s">
        <v>2697</v>
      </c>
      <c r="M493">
        <v>18600</v>
      </c>
      <c r="N493" s="641">
        <f>+transaction_statement_01_Jan_2026_28_Feb_2026[[#This Row],[Orig amount]]/100</f>
        <v>186</v>
      </c>
      <c r="O493" t="s">
        <v>2697</v>
      </c>
      <c r="P493">
        <v>-18600</v>
      </c>
      <c r="Q493">
        <v>-18600</v>
      </c>
      <c r="S493">
        <v>0</v>
      </c>
      <c r="T493" t="s">
        <v>2697</v>
      </c>
      <c r="U493">
        <v>92891</v>
      </c>
      <c r="V493" t="s">
        <v>4965</v>
      </c>
      <c r="X493" t="s">
        <v>4672</v>
      </c>
      <c r="Y493" t="s">
        <v>4672</v>
      </c>
      <c r="Z493" t="s">
        <v>4672</v>
      </c>
      <c r="AA493">
        <v>5817</v>
      </c>
      <c r="AB493" t="s">
        <v>4672</v>
      </c>
      <c r="AC493" t="s">
        <v>4672</v>
      </c>
    </row>
    <row r="494" spans="1:29" hidden="1">
      <c r="A494" s="10">
        <v>46037</v>
      </c>
      <c r="B494" s="10">
        <v>46038</v>
      </c>
      <c r="C494" t="s">
        <v>5804</v>
      </c>
      <c r="D494" t="s">
        <v>4977</v>
      </c>
      <c r="E494" t="s">
        <v>4962</v>
      </c>
      <c r="F494" t="s">
        <v>5264</v>
      </c>
      <c r="G494" t="s">
        <v>4672</v>
      </c>
      <c r="H494" t="s">
        <v>4970</v>
      </c>
      <c r="I494" t="s">
        <v>4979</v>
      </c>
      <c r="J494" t="s">
        <v>4980</v>
      </c>
      <c r="K494" t="s">
        <v>4981</v>
      </c>
      <c r="L494" t="s">
        <v>2697</v>
      </c>
      <c r="M494">
        <v>23968</v>
      </c>
      <c r="N494" s="641">
        <f>+transaction_statement_01_Jan_2026_28_Feb_2026[[#This Row],[Orig amount]]/100</f>
        <v>239.68</v>
      </c>
      <c r="O494" t="s">
        <v>2697</v>
      </c>
      <c r="P494">
        <v>-23968</v>
      </c>
      <c r="Q494">
        <v>-23968</v>
      </c>
      <c r="S494">
        <v>0</v>
      </c>
      <c r="T494" t="s">
        <v>2697</v>
      </c>
      <c r="U494">
        <v>111491</v>
      </c>
      <c r="V494" t="s">
        <v>4965</v>
      </c>
      <c r="X494" t="s">
        <v>4672</v>
      </c>
      <c r="Y494" t="s">
        <v>4672</v>
      </c>
      <c r="Z494" t="s">
        <v>4672</v>
      </c>
      <c r="AA494">
        <v>7333</v>
      </c>
      <c r="AB494" t="s">
        <v>4672</v>
      </c>
      <c r="AC494" t="s">
        <v>4672</v>
      </c>
    </row>
    <row r="495" spans="1:29" hidden="1">
      <c r="A495" s="10">
        <v>46038</v>
      </c>
      <c r="B495" s="10">
        <v>46038</v>
      </c>
      <c r="C495" t="s">
        <v>5805</v>
      </c>
      <c r="D495" t="s">
        <v>4977</v>
      </c>
      <c r="E495" t="s">
        <v>4962</v>
      </c>
      <c r="F495" t="s">
        <v>5806</v>
      </c>
      <c r="G495" t="s">
        <v>4672</v>
      </c>
      <c r="H495" t="s">
        <v>4970</v>
      </c>
      <c r="I495" t="s">
        <v>4979</v>
      </c>
      <c r="J495" t="s">
        <v>4980</v>
      </c>
      <c r="K495" t="s">
        <v>4981</v>
      </c>
      <c r="L495" t="s">
        <v>2697</v>
      </c>
      <c r="M495">
        <v>1288</v>
      </c>
      <c r="N495" s="641">
        <f>+transaction_statement_01_Jan_2026_28_Feb_2026[[#This Row],[Orig amount]]/100</f>
        <v>12.88</v>
      </c>
      <c r="O495" t="s">
        <v>2697</v>
      </c>
      <c r="P495">
        <v>-1288</v>
      </c>
      <c r="Q495">
        <v>-1288</v>
      </c>
      <c r="S495">
        <v>0</v>
      </c>
      <c r="T495" t="s">
        <v>2697</v>
      </c>
      <c r="U495">
        <v>135459</v>
      </c>
      <c r="V495" t="s">
        <v>4965</v>
      </c>
      <c r="X495" t="s">
        <v>4672</v>
      </c>
      <c r="Y495" t="s">
        <v>4672</v>
      </c>
      <c r="Z495" t="s">
        <v>4672</v>
      </c>
      <c r="AA495">
        <v>5045</v>
      </c>
      <c r="AB495" t="s">
        <v>4672</v>
      </c>
      <c r="AC495" t="s">
        <v>4672</v>
      </c>
    </row>
    <row r="496" spans="1:29" hidden="1">
      <c r="A496" s="10">
        <v>46037</v>
      </c>
      <c r="B496" s="10">
        <v>46038</v>
      </c>
      <c r="C496" t="s">
        <v>5807</v>
      </c>
      <c r="D496" t="s">
        <v>4977</v>
      </c>
      <c r="E496" t="s">
        <v>4962</v>
      </c>
      <c r="F496" t="s">
        <v>5808</v>
      </c>
      <c r="G496" t="s">
        <v>4672</v>
      </c>
      <c r="H496" t="s">
        <v>4970</v>
      </c>
      <c r="I496" t="s">
        <v>4984</v>
      </c>
      <c r="J496" t="s">
        <v>4985</v>
      </c>
      <c r="K496" t="s">
        <v>4981</v>
      </c>
      <c r="L496" t="s">
        <v>2697</v>
      </c>
      <c r="M496">
        <v>5759</v>
      </c>
      <c r="N496" s="641">
        <f>+transaction_statement_01_Jan_2026_28_Feb_2026[[#This Row],[Orig amount]]/100</f>
        <v>57.59</v>
      </c>
      <c r="O496" t="s">
        <v>2697</v>
      </c>
      <c r="P496">
        <v>-5759</v>
      </c>
      <c r="Q496">
        <v>-5759</v>
      </c>
      <c r="S496">
        <v>0</v>
      </c>
      <c r="T496" t="s">
        <v>2697</v>
      </c>
      <c r="U496">
        <v>136747</v>
      </c>
      <c r="V496" t="s">
        <v>4965</v>
      </c>
      <c r="X496" t="s">
        <v>4672</v>
      </c>
      <c r="Y496" t="s">
        <v>4672</v>
      </c>
      <c r="Z496" t="s">
        <v>4672</v>
      </c>
      <c r="AA496">
        <v>5541</v>
      </c>
      <c r="AB496" t="s">
        <v>4672</v>
      </c>
      <c r="AC496" t="s">
        <v>4672</v>
      </c>
    </row>
    <row r="497" spans="1:29" hidden="1">
      <c r="A497" s="10">
        <v>46037</v>
      </c>
      <c r="B497" s="10">
        <v>46038</v>
      </c>
      <c r="C497" t="s">
        <v>5809</v>
      </c>
      <c r="D497" t="s">
        <v>4977</v>
      </c>
      <c r="E497" t="s">
        <v>4962</v>
      </c>
      <c r="F497" t="s">
        <v>5291</v>
      </c>
      <c r="G497" t="s">
        <v>4672</v>
      </c>
      <c r="H497" t="s">
        <v>4970</v>
      </c>
      <c r="I497" t="s">
        <v>4984</v>
      </c>
      <c r="J497" t="s">
        <v>4985</v>
      </c>
      <c r="K497" t="s">
        <v>4981</v>
      </c>
      <c r="L497" t="s">
        <v>2697</v>
      </c>
      <c r="M497">
        <v>14000</v>
      </c>
      <c r="N497" s="641">
        <f>+transaction_statement_01_Jan_2026_28_Feb_2026[[#This Row],[Orig amount]]/100</f>
        <v>140</v>
      </c>
      <c r="O497" t="s">
        <v>2697</v>
      </c>
      <c r="P497">
        <v>-14000</v>
      </c>
      <c r="Q497">
        <v>-14000</v>
      </c>
      <c r="S497">
        <v>0</v>
      </c>
      <c r="T497" t="s">
        <v>2697</v>
      </c>
      <c r="U497">
        <v>142506</v>
      </c>
      <c r="V497" t="s">
        <v>4965</v>
      </c>
      <c r="X497" t="s">
        <v>4672</v>
      </c>
      <c r="Y497" t="s">
        <v>4672</v>
      </c>
      <c r="Z497" t="s">
        <v>4672</v>
      </c>
      <c r="AA497">
        <v>5734</v>
      </c>
      <c r="AB497" t="s">
        <v>4672</v>
      </c>
      <c r="AC497" t="s">
        <v>4672</v>
      </c>
    </row>
    <row r="498" spans="1:29" hidden="1">
      <c r="A498" s="10">
        <v>46037</v>
      </c>
      <c r="B498" s="10">
        <v>46038</v>
      </c>
      <c r="C498" t="s">
        <v>5810</v>
      </c>
      <c r="D498" t="s">
        <v>4967</v>
      </c>
      <c r="E498" t="s">
        <v>4962</v>
      </c>
      <c r="F498" t="s">
        <v>5276</v>
      </c>
      <c r="G498" t="s">
        <v>5277</v>
      </c>
      <c r="H498" t="s">
        <v>4970</v>
      </c>
      <c r="I498" t="s">
        <v>4672</v>
      </c>
      <c r="J498" t="s">
        <v>4672</v>
      </c>
      <c r="K498" t="s">
        <v>4672</v>
      </c>
      <c r="L498" t="s">
        <v>2697</v>
      </c>
      <c r="M498">
        <v>4630</v>
      </c>
      <c r="N498" s="641">
        <f>+transaction_statement_01_Jan_2026_28_Feb_2026[[#This Row],[Orig amount]]/100</f>
        <v>46.3</v>
      </c>
      <c r="O498" t="s">
        <v>2697</v>
      </c>
      <c r="P498">
        <v>-4630</v>
      </c>
      <c r="Q498">
        <v>-4630</v>
      </c>
      <c r="S498">
        <v>0</v>
      </c>
      <c r="T498" t="s">
        <v>2697</v>
      </c>
      <c r="U498">
        <v>156506</v>
      </c>
      <c r="V498" t="s">
        <v>4965</v>
      </c>
      <c r="X498" t="s">
        <v>4672</v>
      </c>
      <c r="Y498" t="s">
        <v>5278</v>
      </c>
      <c r="Z498" t="s">
        <v>5279</v>
      </c>
      <c r="AB498" t="s">
        <v>4672</v>
      </c>
      <c r="AC498" t="s">
        <v>4672</v>
      </c>
    </row>
    <row r="499" spans="1:29" hidden="1">
      <c r="A499" s="10">
        <v>46036</v>
      </c>
      <c r="B499" s="10">
        <v>46037</v>
      </c>
      <c r="C499" t="s">
        <v>5811</v>
      </c>
      <c r="D499" t="s">
        <v>4977</v>
      </c>
      <c r="E499" t="s">
        <v>4962</v>
      </c>
      <c r="F499" t="s">
        <v>5808</v>
      </c>
      <c r="G499" t="s">
        <v>4672</v>
      </c>
      <c r="H499" t="s">
        <v>4970</v>
      </c>
      <c r="I499" t="s">
        <v>4984</v>
      </c>
      <c r="J499" t="s">
        <v>4985</v>
      </c>
      <c r="K499" t="s">
        <v>4981</v>
      </c>
      <c r="L499" t="s">
        <v>2697</v>
      </c>
      <c r="M499">
        <v>2289</v>
      </c>
      <c r="N499" s="641">
        <f>+transaction_statement_01_Jan_2026_28_Feb_2026[[#This Row],[Orig amount]]/100</f>
        <v>22.89</v>
      </c>
      <c r="O499" t="s">
        <v>2697</v>
      </c>
      <c r="P499">
        <v>-2289</v>
      </c>
      <c r="Q499">
        <v>-2289</v>
      </c>
      <c r="S499">
        <v>0</v>
      </c>
      <c r="T499" t="s">
        <v>2697</v>
      </c>
      <c r="U499">
        <v>161136</v>
      </c>
      <c r="V499" t="s">
        <v>4965</v>
      </c>
      <c r="X499" t="s">
        <v>4672</v>
      </c>
      <c r="Y499" t="s">
        <v>4672</v>
      </c>
      <c r="Z499" t="s">
        <v>4672</v>
      </c>
      <c r="AA499">
        <v>5541</v>
      </c>
      <c r="AB499" t="s">
        <v>4672</v>
      </c>
      <c r="AC499" t="s">
        <v>4672</v>
      </c>
    </row>
    <row r="500" spans="1:29" hidden="1">
      <c r="A500" s="10">
        <v>46037</v>
      </c>
      <c r="B500" s="10">
        <v>46037</v>
      </c>
      <c r="C500" t="s">
        <v>5812</v>
      </c>
      <c r="D500" t="s">
        <v>4977</v>
      </c>
      <c r="E500" t="s">
        <v>4962</v>
      </c>
      <c r="F500" t="s">
        <v>5312</v>
      </c>
      <c r="G500" t="s">
        <v>4672</v>
      </c>
      <c r="H500" t="s">
        <v>4970</v>
      </c>
      <c r="I500" t="s">
        <v>4979</v>
      </c>
      <c r="J500" t="s">
        <v>4980</v>
      </c>
      <c r="K500" t="s">
        <v>4981</v>
      </c>
      <c r="L500" t="s">
        <v>2697</v>
      </c>
      <c r="M500">
        <v>14400</v>
      </c>
      <c r="N500" s="641">
        <f>+transaction_statement_01_Jan_2026_28_Feb_2026[[#This Row],[Orig amount]]/100</f>
        <v>144</v>
      </c>
      <c r="O500" t="s">
        <v>2697</v>
      </c>
      <c r="P500">
        <v>-14400</v>
      </c>
      <c r="Q500">
        <v>-14400</v>
      </c>
      <c r="S500">
        <v>0</v>
      </c>
      <c r="T500" t="s">
        <v>2697</v>
      </c>
      <c r="U500">
        <v>163425</v>
      </c>
      <c r="V500" t="s">
        <v>4965</v>
      </c>
      <c r="X500" t="s">
        <v>4672</v>
      </c>
      <c r="Y500" t="s">
        <v>4672</v>
      </c>
      <c r="Z500" t="s">
        <v>4672</v>
      </c>
      <c r="AA500">
        <v>5817</v>
      </c>
      <c r="AB500" t="s">
        <v>4672</v>
      </c>
      <c r="AC500" t="s">
        <v>4672</v>
      </c>
    </row>
    <row r="501" spans="1:29">
      <c r="A501" s="10">
        <v>46036</v>
      </c>
      <c r="B501" s="10">
        <v>46037</v>
      </c>
      <c r="C501" t="s">
        <v>5813</v>
      </c>
      <c r="D501" t="s">
        <v>4977</v>
      </c>
      <c r="E501" t="s">
        <v>4962</v>
      </c>
      <c r="F501" t="s">
        <v>5314</v>
      </c>
      <c r="G501" t="s">
        <v>4672</v>
      </c>
      <c r="H501" t="s">
        <v>5315</v>
      </c>
      <c r="I501" t="s">
        <v>5316</v>
      </c>
      <c r="J501" t="s">
        <v>4980</v>
      </c>
      <c r="K501" t="s">
        <v>4981</v>
      </c>
      <c r="L501" t="s">
        <v>2697</v>
      </c>
      <c r="M501">
        <v>6554</v>
      </c>
      <c r="N501" s="642">
        <f>+transaction_statement_01_Jan_2026_28_Feb_2026[[#This Row],[Orig amount]]/100</f>
        <v>65.540000000000006</v>
      </c>
      <c r="O501" t="s">
        <v>2697</v>
      </c>
      <c r="P501">
        <v>-6554</v>
      </c>
      <c r="Q501">
        <v>-6554</v>
      </c>
      <c r="S501">
        <v>0</v>
      </c>
      <c r="T501" t="s">
        <v>2697</v>
      </c>
      <c r="U501">
        <v>177825</v>
      </c>
      <c r="V501" t="s">
        <v>4965</v>
      </c>
      <c r="X501" t="s">
        <v>4672</v>
      </c>
      <c r="Y501" t="s">
        <v>4672</v>
      </c>
      <c r="Z501" t="s">
        <v>4672</v>
      </c>
      <c r="AA501">
        <v>5817</v>
      </c>
      <c r="AB501" t="s">
        <v>4672</v>
      </c>
      <c r="AC501" t="s">
        <v>4672</v>
      </c>
    </row>
    <row r="502" spans="1:29" hidden="1">
      <c r="A502" s="10">
        <v>46037</v>
      </c>
      <c r="B502" s="10">
        <v>46037</v>
      </c>
      <c r="C502" t="s">
        <v>5814</v>
      </c>
      <c r="D502" t="s">
        <v>4967</v>
      </c>
      <c r="E502" t="s">
        <v>4962</v>
      </c>
      <c r="F502" t="s">
        <v>5041</v>
      </c>
      <c r="G502" t="s">
        <v>5815</v>
      </c>
      <c r="H502" t="s">
        <v>4970</v>
      </c>
      <c r="I502" t="s">
        <v>4672</v>
      </c>
      <c r="J502" t="s">
        <v>4672</v>
      </c>
      <c r="K502" t="s">
        <v>4672</v>
      </c>
      <c r="L502" t="s">
        <v>2697</v>
      </c>
      <c r="M502">
        <v>200000</v>
      </c>
      <c r="N502" s="641">
        <f>+transaction_statement_01_Jan_2026_28_Feb_2026[[#This Row],[Orig amount]]/100</f>
        <v>2000</v>
      </c>
      <c r="O502" t="s">
        <v>2697</v>
      </c>
      <c r="P502">
        <v>-200000</v>
      </c>
      <c r="Q502">
        <v>-200000</v>
      </c>
      <c r="S502">
        <v>0</v>
      </c>
      <c r="T502" t="s">
        <v>2697</v>
      </c>
      <c r="U502">
        <v>184379</v>
      </c>
      <c r="V502" t="s">
        <v>4965</v>
      </c>
      <c r="X502" t="s">
        <v>4672</v>
      </c>
      <c r="Y502" t="s">
        <v>5043</v>
      </c>
      <c r="Z502" t="s">
        <v>5044</v>
      </c>
      <c r="AB502" t="s">
        <v>4672</v>
      </c>
      <c r="AC502" t="s">
        <v>4672</v>
      </c>
    </row>
    <row r="503" spans="1:29" hidden="1">
      <c r="A503" s="10">
        <v>46037</v>
      </c>
      <c r="B503" s="10">
        <v>46037</v>
      </c>
      <c r="C503" t="s">
        <v>5816</v>
      </c>
      <c r="D503" t="s">
        <v>4961</v>
      </c>
      <c r="E503" t="s">
        <v>4962</v>
      </c>
      <c r="F503" t="s">
        <v>5025</v>
      </c>
      <c r="G503" t="s">
        <v>5026</v>
      </c>
      <c r="H503" t="s">
        <v>4672</v>
      </c>
      <c r="I503" t="s">
        <v>4672</v>
      </c>
      <c r="J503" t="s">
        <v>4672</v>
      </c>
      <c r="K503" t="s">
        <v>4672</v>
      </c>
      <c r="L503" t="s">
        <v>2697</v>
      </c>
      <c r="M503">
        <v>249401</v>
      </c>
      <c r="N503" s="641">
        <f>+transaction_statement_01_Jan_2026_28_Feb_2026[[#This Row],[Orig amount]]/100</f>
        <v>2494.0100000000002</v>
      </c>
      <c r="O503" t="s">
        <v>2697</v>
      </c>
      <c r="P503">
        <v>249401</v>
      </c>
      <c r="Q503">
        <v>249401</v>
      </c>
      <c r="S503">
        <v>0</v>
      </c>
      <c r="T503" t="s">
        <v>2697</v>
      </c>
      <c r="U503">
        <v>384379</v>
      </c>
      <c r="V503" t="s">
        <v>4965</v>
      </c>
      <c r="X503" t="s">
        <v>4672</v>
      </c>
      <c r="Y503" t="s">
        <v>4672</v>
      </c>
      <c r="Z503" t="s">
        <v>4672</v>
      </c>
      <c r="AB503" t="s">
        <v>4672</v>
      </c>
      <c r="AC503" t="s">
        <v>4672</v>
      </c>
    </row>
    <row r="504" spans="1:29" hidden="1">
      <c r="A504" s="10">
        <v>46036</v>
      </c>
      <c r="B504" s="10">
        <v>46037</v>
      </c>
      <c r="C504" t="s">
        <v>5817</v>
      </c>
      <c r="D504" t="s">
        <v>4967</v>
      </c>
      <c r="E504" t="s">
        <v>4962</v>
      </c>
      <c r="F504" t="s">
        <v>5818</v>
      </c>
      <c r="G504" t="s">
        <v>5819</v>
      </c>
      <c r="H504" t="s">
        <v>4970</v>
      </c>
      <c r="I504" t="s">
        <v>4672</v>
      </c>
      <c r="J504" t="s">
        <v>4672</v>
      </c>
      <c r="K504" t="s">
        <v>4672</v>
      </c>
      <c r="L504" t="s">
        <v>2697</v>
      </c>
      <c r="M504">
        <v>84010</v>
      </c>
      <c r="N504" s="641">
        <f>+transaction_statement_01_Jan_2026_28_Feb_2026[[#This Row],[Orig amount]]/100</f>
        <v>840.1</v>
      </c>
      <c r="O504" t="s">
        <v>2697</v>
      </c>
      <c r="P504">
        <v>-84010</v>
      </c>
      <c r="Q504">
        <v>-84010</v>
      </c>
      <c r="S504">
        <v>0</v>
      </c>
      <c r="T504" t="s">
        <v>2697</v>
      </c>
      <c r="U504">
        <v>134978</v>
      </c>
      <c r="V504" t="s">
        <v>4965</v>
      </c>
      <c r="X504" t="s">
        <v>4672</v>
      </c>
      <c r="Y504" t="s">
        <v>5820</v>
      </c>
      <c r="Z504" t="s">
        <v>5821</v>
      </c>
      <c r="AB504" t="s">
        <v>4672</v>
      </c>
      <c r="AC504" t="s">
        <v>4672</v>
      </c>
    </row>
    <row r="505" spans="1:29" hidden="1">
      <c r="A505" s="10">
        <v>46036</v>
      </c>
      <c r="B505" s="10">
        <v>46036</v>
      </c>
      <c r="C505" t="s">
        <v>5822</v>
      </c>
      <c r="D505" t="s">
        <v>4967</v>
      </c>
      <c r="E505" t="s">
        <v>4962</v>
      </c>
      <c r="F505" t="s">
        <v>5511</v>
      </c>
      <c r="G505" t="s">
        <v>5823</v>
      </c>
      <c r="H505" t="s">
        <v>4970</v>
      </c>
      <c r="I505" t="s">
        <v>4672</v>
      </c>
      <c r="J505" t="s">
        <v>4672</v>
      </c>
      <c r="K505" t="s">
        <v>4672</v>
      </c>
      <c r="L505" t="s">
        <v>2697</v>
      </c>
      <c r="M505">
        <v>32844</v>
      </c>
      <c r="N505" s="641">
        <f>+transaction_statement_01_Jan_2026_28_Feb_2026[[#This Row],[Orig amount]]/100</f>
        <v>328.44</v>
      </c>
      <c r="O505" t="s">
        <v>2697</v>
      </c>
      <c r="P505">
        <v>-32844</v>
      </c>
      <c r="Q505">
        <v>-32844</v>
      </c>
      <c r="S505">
        <v>0</v>
      </c>
      <c r="T505" t="s">
        <v>2697</v>
      </c>
      <c r="U505">
        <v>218988</v>
      </c>
      <c r="V505" t="s">
        <v>4965</v>
      </c>
      <c r="X505" t="s">
        <v>4672</v>
      </c>
      <c r="Y505" t="s">
        <v>5513</v>
      </c>
      <c r="Z505" t="s">
        <v>5514</v>
      </c>
      <c r="AB505" t="s">
        <v>4672</v>
      </c>
      <c r="AC505" t="s">
        <v>4672</v>
      </c>
    </row>
    <row r="506" spans="1:29" hidden="1">
      <c r="A506" s="10">
        <v>46036</v>
      </c>
      <c r="B506" s="10">
        <v>46036</v>
      </c>
      <c r="C506" t="s">
        <v>5580</v>
      </c>
      <c r="D506" t="s">
        <v>4967</v>
      </c>
      <c r="E506" t="s">
        <v>4962</v>
      </c>
      <c r="F506" t="s">
        <v>5046</v>
      </c>
      <c r="G506" t="s">
        <v>4672</v>
      </c>
      <c r="H506" t="s">
        <v>4970</v>
      </c>
      <c r="I506" t="s">
        <v>4672</v>
      </c>
      <c r="J506" t="s">
        <v>4672</v>
      </c>
      <c r="K506" t="s">
        <v>4672</v>
      </c>
      <c r="L506" t="s">
        <v>2697</v>
      </c>
      <c r="M506">
        <v>96000</v>
      </c>
      <c r="N506" s="641">
        <f>+transaction_statement_01_Jan_2026_28_Feb_2026[[#This Row],[Orig amount]]/100</f>
        <v>960</v>
      </c>
      <c r="O506" t="s">
        <v>2697</v>
      </c>
      <c r="P506">
        <v>-96000</v>
      </c>
      <c r="Q506">
        <v>-96000</v>
      </c>
      <c r="S506">
        <v>0</v>
      </c>
      <c r="T506" t="s">
        <v>2697</v>
      </c>
      <c r="U506">
        <v>0</v>
      </c>
      <c r="V506" t="s">
        <v>5047</v>
      </c>
      <c r="X506" t="s">
        <v>4672</v>
      </c>
      <c r="Y506" t="s">
        <v>4672</v>
      </c>
      <c r="Z506" t="s">
        <v>4672</v>
      </c>
      <c r="AB506" t="s">
        <v>4672</v>
      </c>
      <c r="AC506" t="s">
        <v>4672</v>
      </c>
    </row>
    <row r="507" spans="1:29" hidden="1">
      <c r="A507" s="10">
        <v>46036</v>
      </c>
      <c r="B507" s="10">
        <v>46036</v>
      </c>
      <c r="C507" t="s">
        <v>5580</v>
      </c>
      <c r="D507" t="s">
        <v>4967</v>
      </c>
      <c r="E507" t="s">
        <v>4962</v>
      </c>
      <c r="F507" t="s">
        <v>5048</v>
      </c>
      <c r="G507" t="s">
        <v>4672</v>
      </c>
      <c r="H507" t="s">
        <v>4970</v>
      </c>
      <c r="I507" t="s">
        <v>4672</v>
      </c>
      <c r="J507" t="s">
        <v>4672</v>
      </c>
      <c r="K507" t="s">
        <v>4672</v>
      </c>
      <c r="L507" t="s">
        <v>2697</v>
      </c>
      <c r="M507">
        <v>-96000</v>
      </c>
      <c r="N507" s="641">
        <f>+transaction_statement_01_Jan_2026_28_Feb_2026[[#This Row],[Orig amount]]/100</f>
        <v>-960</v>
      </c>
      <c r="O507" t="s">
        <v>2697</v>
      </c>
      <c r="P507">
        <v>96000</v>
      </c>
      <c r="Q507">
        <v>96000</v>
      </c>
      <c r="S507">
        <v>0</v>
      </c>
      <c r="T507" t="s">
        <v>2697</v>
      </c>
      <c r="U507">
        <v>251832</v>
      </c>
      <c r="V507" t="s">
        <v>4965</v>
      </c>
      <c r="X507" t="s">
        <v>4672</v>
      </c>
      <c r="Y507" t="s">
        <v>4672</v>
      </c>
      <c r="Z507" t="s">
        <v>4672</v>
      </c>
      <c r="AB507" t="s">
        <v>4672</v>
      </c>
      <c r="AC507" t="s">
        <v>4672</v>
      </c>
    </row>
    <row r="508" spans="1:29" hidden="1">
      <c r="A508" s="10">
        <v>46036</v>
      </c>
      <c r="B508" s="10">
        <v>46036</v>
      </c>
      <c r="C508" t="s">
        <v>5581</v>
      </c>
      <c r="D508" t="s">
        <v>4961</v>
      </c>
      <c r="E508" t="s">
        <v>4962</v>
      </c>
      <c r="F508" t="s">
        <v>5050</v>
      </c>
      <c r="G508" t="s">
        <v>5051</v>
      </c>
      <c r="H508" t="s">
        <v>4672</v>
      </c>
      <c r="I508" t="s">
        <v>4672</v>
      </c>
      <c r="J508" t="s">
        <v>4672</v>
      </c>
      <c r="K508" t="s">
        <v>4672</v>
      </c>
      <c r="L508" t="s">
        <v>2697</v>
      </c>
      <c r="M508">
        <v>96000</v>
      </c>
      <c r="N508" s="641">
        <f>+transaction_statement_01_Jan_2026_28_Feb_2026[[#This Row],[Orig amount]]/100</f>
        <v>960</v>
      </c>
      <c r="O508" t="s">
        <v>2697</v>
      </c>
      <c r="P508">
        <v>96000</v>
      </c>
      <c r="Q508">
        <v>96000</v>
      </c>
      <c r="S508">
        <v>0</v>
      </c>
      <c r="T508" t="s">
        <v>2697</v>
      </c>
      <c r="U508">
        <v>96000</v>
      </c>
      <c r="V508" t="s">
        <v>5047</v>
      </c>
      <c r="X508" t="s">
        <v>4672</v>
      </c>
      <c r="Y508" t="s">
        <v>4672</v>
      </c>
      <c r="Z508" t="s">
        <v>4672</v>
      </c>
      <c r="AB508" t="s">
        <v>4672</v>
      </c>
      <c r="AC508" t="s">
        <v>4672</v>
      </c>
    </row>
    <row r="509" spans="1:29" hidden="1">
      <c r="A509" s="10">
        <v>46036</v>
      </c>
      <c r="B509" s="10">
        <v>46036</v>
      </c>
      <c r="C509" t="s">
        <v>5824</v>
      </c>
      <c r="D509" t="s">
        <v>4961</v>
      </c>
      <c r="E509" t="s">
        <v>4962</v>
      </c>
      <c r="F509" t="s">
        <v>5025</v>
      </c>
      <c r="G509" t="s">
        <v>5026</v>
      </c>
      <c r="H509" t="s">
        <v>4672</v>
      </c>
      <c r="I509" t="s">
        <v>4672</v>
      </c>
      <c r="J509" t="s">
        <v>4672</v>
      </c>
      <c r="K509" t="s">
        <v>4672</v>
      </c>
      <c r="L509" t="s">
        <v>2697</v>
      </c>
      <c r="M509">
        <v>94658</v>
      </c>
      <c r="N509" s="641">
        <f>+transaction_statement_01_Jan_2026_28_Feb_2026[[#This Row],[Orig amount]]/100</f>
        <v>946.58</v>
      </c>
      <c r="O509" t="s">
        <v>2697</v>
      </c>
      <c r="P509">
        <v>94658</v>
      </c>
      <c r="Q509">
        <v>94658</v>
      </c>
      <c r="S509">
        <v>0</v>
      </c>
      <c r="T509" t="s">
        <v>2697</v>
      </c>
      <c r="U509">
        <v>155832</v>
      </c>
      <c r="V509" t="s">
        <v>4965</v>
      </c>
      <c r="X509" t="s">
        <v>4672</v>
      </c>
      <c r="Y509" t="s">
        <v>4672</v>
      </c>
      <c r="Z509" t="s">
        <v>4672</v>
      </c>
      <c r="AB509" t="s">
        <v>4672</v>
      </c>
      <c r="AC509" t="s">
        <v>4672</v>
      </c>
    </row>
    <row r="510" spans="1:29" hidden="1">
      <c r="A510" s="10">
        <v>46036</v>
      </c>
      <c r="B510" s="10">
        <v>46036</v>
      </c>
      <c r="C510" t="s">
        <v>5825</v>
      </c>
      <c r="D510" t="s">
        <v>4967</v>
      </c>
      <c r="E510" t="s">
        <v>4962</v>
      </c>
      <c r="F510" t="s">
        <v>3692</v>
      </c>
      <c r="G510" t="s">
        <v>5125</v>
      </c>
      <c r="H510" t="s">
        <v>4672</v>
      </c>
      <c r="I510" t="s">
        <v>4672</v>
      </c>
      <c r="J510" t="s">
        <v>4672</v>
      </c>
      <c r="K510" t="s">
        <v>4672</v>
      </c>
      <c r="L510" t="s">
        <v>2697</v>
      </c>
      <c r="M510">
        <v>12380</v>
      </c>
      <c r="N510" s="641">
        <f>+transaction_statement_01_Jan_2026_28_Feb_2026[[#This Row],[Orig amount]]/100</f>
        <v>123.8</v>
      </c>
      <c r="O510" t="s">
        <v>2697</v>
      </c>
      <c r="P510">
        <v>-12380</v>
      </c>
      <c r="Q510">
        <v>-12380</v>
      </c>
      <c r="S510">
        <v>0</v>
      </c>
      <c r="T510" t="s">
        <v>2697</v>
      </c>
      <c r="U510">
        <v>61174</v>
      </c>
      <c r="V510" t="s">
        <v>4965</v>
      </c>
      <c r="X510" t="s">
        <v>4672</v>
      </c>
      <c r="Y510" t="s">
        <v>5126</v>
      </c>
      <c r="Z510" t="s">
        <v>5127</v>
      </c>
      <c r="AB510" t="s">
        <v>4672</v>
      </c>
      <c r="AC510" t="s">
        <v>4672</v>
      </c>
    </row>
    <row r="511" spans="1:29" hidden="1">
      <c r="A511" s="10">
        <v>46036</v>
      </c>
      <c r="B511" s="10">
        <v>46036</v>
      </c>
      <c r="C511" t="s">
        <v>5826</v>
      </c>
      <c r="D511" t="s">
        <v>4967</v>
      </c>
      <c r="E511" t="s">
        <v>4962</v>
      </c>
      <c r="F511" t="s">
        <v>5058</v>
      </c>
      <c r="G511" t="s">
        <v>5777</v>
      </c>
      <c r="H511" t="s">
        <v>4970</v>
      </c>
      <c r="I511" t="s">
        <v>4672</v>
      </c>
      <c r="J511" t="s">
        <v>4672</v>
      </c>
      <c r="K511" t="s">
        <v>4672</v>
      </c>
      <c r="L511" t="s">
        <v>2697</v>
      </c>
      <c r="M511">
        <v>100000</v>
      </c>
      <c r="N511" s="641">
        <f>+transaction_statement_01_Jan_2026_28_Feb_2026[[#This Row],[Orig amount]]/100</f>
        <v>1000</v>
      </c>
      <c r="O511" t="s">
        <v>2697</v>
      </c>
      <c r="P511">
        <v>-100000</v>
      </c>
      <c r="Q511">
        <v>-100000</v>
      </c>
      <c r="S511">
        <v>0</v>
      </c>
      <c r="T511" t="s">
        <v>2697</v>
      </c>
      <c r="U511">
        <v>73554</v>
      </c>
      <c r="V511" t="s">
        <v>4965</v>
      </c>
      <c r="X511" t="s">
        <v>4672</v>
      </c>
      <c r="Y511" t="s">
        <v>5060</v>
      </c>
      <c r="Z511" t="s">
        <v>5031</v>
      </c>
      <c r="AB511" t="s">
        <v>4672</v>
      </c>
      <c r="AC511" t="s">
        <v>4672</v>
      </c>
    </row>
    <row r="512" spans="1:29" hidden="1">
      <c r="A512" s="10">
        <v>46036</v>
      </c>
      <c r="B512" s="10">
        <v>46036</v>
      </c>
      <c r="C512" t="s">
        <v>5827</v>
      </c>
      <c r="D512" t="s">
        <v>4977</v>
      </c>
      <c r="E512" t="s">
        <v>4962</v>
      </c>
      <c r="F512" t="s">
        <v>5828</v>
      </c>
      <c r="G512" t="s">
        <v>4672</v>
      </c>
      <c r="H512" t="s">
        <v>4970</v>
      </c>
      <c r="I512" t="s">
        <v>4979</v>
      </c>
      <c r="J512" t="s">
        <v>4980</v>
      </c>
      <c r="K512" t="s">
        <v>4981</v>
      </c>
      <c r="L512" t="s">
        <v>2697</v>
      </c>
      <c r="M512">
        <v>403</v>
      </c>
      <c r="N512" s="641">
        <f>+transaction_statement_01_Jan_2026_28_Feb_2026[[#This Row],[Orig amount]]/100</f>
        <v>4.03</v>
      </c>
      <c r="O512" t="s">
        <v>2697</v>
      </c>
      <c r="P512">
        <v>-403</v>
      </c>
      <c r="Q512">
        <v>-403</v>
      </c>
      <c r="S512">
        <v>0</v>
      </c>
      <c r="T512" t="s">
        <v>2697</v>
      </c>
      <c r="U512">
        <v>173554</v>
      </c>
      <c r="V512" t="s">
        <v>4965</v>
      </c>
      <c r="X512" t="s">
        <v>4672</v>
      </c>
      <c r="Y512" t="s">
        <v>4672</v>
      </c>
      <c r="Z512" t="s">
        <v>4672</v>
      </c>
      <c r="AA512">
        <v>5045</v>
      </c>
      <c r="AB512" t="s">
        <v>4672</v>
      </c>
      <c r="AC512" t="s">
        <v>4672</v>
      </c>
    </row>
    <row r="513" spans="1:29" hidden="1">
      <c r="A513" s="10">
        <v>46035</v>
      </c>
      <c r="B513" s="10">
        <v>46036</v>
      </c>
      <c r="C513" t="s">
        <v>5829</v>
      </c>
      <c r="D513" t="s">
        <v>4977</v>
      </c>
      <c r="E513" t="s">
        <v>4962</v>
      </c>
      <c r="F513" t="s">
        <v>5808</v>
      </c>
      <c r="G513" t="s">
        <v>4672</v>
      </c>
      <c r="H513" t="s">
        <v>4970</v>
      </c>
      <c r="I513" t="s">
        <v>4984</v>
      </c>
      <c r="J513" t="s">
        <v>4985</v>
      </c>
      <c r="K513" t="s">
        <v>4981</v>
      </c>
      <c r="L513" t="s">
        <v>2697</v>
      </c>
      <c r="M513">
        <v>4430</v>
      </c>
      <c r="N513" s="641">
        <f>+transaction_statement_01_Jan_2026_28_Feb_2026[[#This Row],[Orig amount]]/100</f>
        <v>44.3</v>
      </c>
      <c r="O513" t="s">
        <v>2697</v>
      </c>
      <c r="P513">
        <v>-4430</v>
      </c>
      <c r="Q513">
        <v>-4430</v>
      </c>
      <c r="S513">
        <v>0</v>
      </c>
      <c r="T513" t="s">
        <v>2697</v>
      </c>
      <c r="U513">
        <v>173957</v>
      </c>
      <c r="V513" t="s">
        <v>4965</v>
      </c>
      <c r="X513" t="s">
        <v>4672</v>
      </c>
      <c r="Y513" t="s">
        <v>4672</v>
      </c>
      <c r="Z513" t="s">
        <v>4672</v>
      </c>
      <c r="AA513">
        <v>5541</v>
      </c>
      <c r="AB513" t="s">
        <v>4672</v>
      </c>
      <c r="AC513" t="s">
        <v>4672</v>
      </c>
    </row>
    <row r="514" spans="1:29" hidden="1">
      <c r="A514" s="10">
        <v>46035</v>
      </c>
      <c r="B514" s="10">
        <v>46036</v>
      </c>
      <c r="C514" t="s">
        <v>5830</v>
      </c>
      <c r="D514" t="s">
        <v>4977</v>
      </c>
      <c r="E514" t="s">
        <v>4962</v>
      </c>
      <c r="F514" t="s">
        <v>5831</v>
      </c>
      <c r="G514" t="s">
        <v>4672</v>
      </c>
      <c r="H514" t="s">
        <v>4970</v>
      </c>
      <c r="I514" t="s">
        <v>4979</v>
      </c>
      <c r="J514" t="s">
        <v>4980</v>
      </c>
      <c r="K514" t="s">
        <v>4981</v>
      </c>
      <c r="L514" t="s">
        <v>2697</v>
      </c>
      <c r="M514">
        <v>4900</v>
      </c>
      <c r="N514" s="641">
        <f>+transaction_statement_01_Jan_2026_28_Feb_2026[[#This Row],[Orig amount]]/100</f>
        <v>49</v>
      </c>
      <c r="O514" t="s">
        <v>2697</v>
      </c>
      <c r="P514">
        <v>-4900</v>
      </c>
      <c r="Q514">
        <v>-4900</v>
      </c>
      <c r="S514">
        <v>0</v>
      </c>
      <c r="T514" t="s">
        <v>2697</v>
      </c>
      <c r="U514">
        <v>178387</v>
      </c>
      <c r="V514" t="s">
        <v>4965</v>
      </c>
      <c r="X514" t="s">
        <v>4672</v>
      </c>
      <c r="Y514" t="s">
        <v>4672</v>
      </c>
      <c r="Z514" t="s">
        <v>4672</v>
      </c>
      <c r="AA514">
        <v>7997</v>
      </c>
      <c r="AB514" t="s">
        <v>4672</v>
      </c>
      <c r="AC514" t="s">
        <v>4672</v>
      </c>
    </row>
    <row r="515" spans="1:29" hidden="1">
      <c r="A515" s="10">
        <v>46036</v>
      </c>
      <c r="B515" s="10">
        <v>46036</v>
      </c>
      <c r="C515" t="s">
        <v>5832</v>
      </c>
      <c r="D515" t="s">
        <v>4961</v>
      </c>
      <c r="E515" t="s">
        <v>4962</v>
      </c>
      <c r="F515" t="s">
        <v>5025</v>
      </c>
      <c r="G515" t="s">
        <v>5026</v>
      </c>
      <c r="H515" t="s">
        <v>4672</v>
      </c>
      <c r="I515" t="s">
        <v>4672</v>
      </c>
      <c r="J515" t="s">
        <v>4672</v>
      </c>
      <c r="K515" t="s">
        <v>4672</v>
      </c>
      <c r="L515" t="s">
        <v>2697</v>
      </c>
      <c r="M515">
        <v>123045</v>
      </c>
      <c r="N515" s="641">
        <f>+transaction_statement_01_Jan_2026_28_Feb_2026[[#This Row],[Orig amount]]/100</f>
        <v>1230.45</v>
      </c>
      <c r="O515" t="s">
        <v>2697</v>
      </c>
      <c r="P515">
        <v>123045</v>
      </c>
      <c r="Q515">
        <v>123045</v>
      </c>
      <c r="S515">
        <v>0</v>
      </c>
      <c r="T515" t="s">
        <v>2697</v>
      </c>
      <c r="U515">
        <v>183287</v>
      </c>
      <c r="V515" t="s">
        <v>4965</v>
      </c>
      <c r="X515" t="s">
        <v>4672</v>
      </c>
      <c r="Y515" t="s">
        <v>4672</v>
      </c>
      <c r="Z515" t="s">
        <v>4672</v>
      </c>
      <c r="AB515" t="s">
        <v>4672</v>
      </c>
      <c r="AC515" t="s">
        <v>4672</v>
      </c>
    </row>
    <row r="516" spans="1:29" hidden="1">
      <c r="A516" s="10">
        <v>46036</v>
      </c>
      <c r="B516" s="10">
        <v>46036</v>
      </c>
      <c r="C516" t="s">
        <v>5833</v>
      </c>
      <c r="D516" t="s">
        <v>4977</v>
      </c>
      <c r="E516" t="s">
        <v>4962</v>
      </c>
      <c r="F516" t="s">
        <v>5212</v>
      </c>
      <c r="G516" t="s">
        <v>4672</v>
      </c>
      <c r="H516" t="s">
        <v>4970</v>
      </c>
      <c r="I516" t="s">
        <v>4984</v>
      </c>
      <c r="J516" t="s">
        <v>4985</v>
      </c>
      <c r="K516" t="s">
        <v>4981</v>
      </c>
      <c r="L516" t="s">
        <v>2697</v>
      </c>
      <c r="M516">
        <v>5490</v>
      </c>
      <c r="N516" s="641">
        <f>+transaction_statement_01_Jan_2026_28_Feb_2026[[#This Row],[Orig amount]]/100</f>
        <v>54.9</v>
      </c>
      <c r="O516" t="s">
        <v>2697</v>
      </c>
      <c r="P516">
        <v>-5490</v>
      </c>
      <c r="Q516">
        <v>-5490</v>
      </c>
      <c r="S516">
        <v>0</v>
      </c>
      <c r="T516" t="s">
        <v>2697</v>
      </c>
      <c r="U516">
        <v>60242</v>
      </c>
      <c r="V516" t="s">
        <v>4965</v>
      </c>
      <c r="X516" t="s">
        <v>4672</v>
      </c>
      <c r="Y516" t="s">
        <v>4672</v>
      </c>
      <c r="Z516" t="s">
        <v>4672</v>
      </c>
      <c r="AA516">
        <v>5732</v>
      </c>
      <c r="AB516" t="s">
        <v>4672</v>
      </c>
      <c r="AC516" t="s">
        <v>4672</v>
      </c>
    </row>
    <row r="517" spans="1:29" hidden="1">
      <c r="A517" s="10">
        <v>46035</v>
      </c>
      <c r="B517" s="10">
        <v>46036</v>
      </c>
      <c r="C517" t="s">
        <v>5834</v>
      </c>
      <c r="D517" t="s">
        <v>4967</v>
      </c>
      <c r="E517" t="s">
        <v>4962</v>
      </c>
      <c r="F517" t="s">
        <v>5053</v>
      </c>
      <c r="G517" t="s">
        <v>5054</v>
      </c>
      <c r="H517" t="s">
        <v>4970</v>
      </c>
      <c r="I517" t="s">
        <v>4672</v>
      </c>
      <c r="J517" t="s">
        <v>4672</v>
      </c>
      <c r="K517" t="s">
        <v>4672</v>
      </c>
      <c r="L517" t="s">
        <v>2697</v>
      </c>
      <c r="M517">
        <v>100000</v>
      </c>
      <c r="N517" s="641">
        <f>+transaction_statement_01_Jan_2026_28_Feb_2026[[#This Row],[Orig amount]]/100</f>
        <v>1000</v>
      </c>
      <c r="O517" t="s">
        <v>2697</v>
      </c>
      <c r="P517">
        <v>-100000</v>
      </c>
      <c r="Q517">
        <v>-100000</v>
      </c>
      <c r="S517">
        <v>0</v>
      </c>
      <c r="T517" t="s">
        <v>2697</v>
      </c>
      <c r="U517">
        <v>65732</v>
      </c>
      <c r="V517" t="s">
        <v>4965</v>
      </c>
      <c r="X517" t="s">
        <v>4672</v>
      </c>
      <c r="Y517" t="s">
        <v>5055</v>
      </c>
      <c r="Z517" t="s">
        <v>5056</v>
      </c>
      <c r="AB517" t="s">
        <v>4672</v>
      </c>
      <c r="AC517" t="s">
        <v>4672</v>
      </c>
    </row>
    <row r="518" spans="1:29" hidden="1">
      <c r="A518" s="10">
        <v>46035</v>
      </c>
      <c r="B518" s="10">
        <v>46035</v>
      </c>
      <c r="C518" t="s">
        <v>5835</v>
      </c>
      <c r="D518" t="s">
        <v>4967</v>
      </c>
      <c r="E518" t="s">
        <v>4962</v>
      </c>
      <c r="F518" t="s">
        <v>5041</v>
      </c>
      <c r="G518" t="s">
        <v>5836</v>
      </c>
      <c r="H518" t="s">
        <v>4970</v>
      </c>
      <c r="I518" t="s">
        <v>4672</v>
      </c>
      <c r="J518" t="s">
        <v>4672</v>
      </c>
      <c r="K518" t="s">
        <v>4672</v>
      </c>
      <c r="L518" t="s">
        <v>2697</v>
      </c>
      <c r="M518">
        <v>150000</v>
      </c>
      <c r="N518" s="641">
        <f>+transaction_statement_01_Jan_2026_28_Feb_2026[[#This Row],[Orig amount]]/100</f>
        <v>1500</v>
      </c>
      <c r="O518" t="s">
        <v>2697</v>
      </c>
      <c r="P518">
        <v>-150000</v>
      </c>
      <c r="Q518">
        <v>-150000</v>
      </c>
      <c r="S518">
        <v>0</v>
      </c>
      <c r="T518" t="s">
        <v>2697</v>
      </c>
      <c r="U518">
        <v>165732</v>
      </c>
      <c r="V518" t="s">
        <v>4965</v>
      </c>
      <c r="X518" t="s">
        <v>4672</v>
      </c>
      <c r="Y518" t="s">
        <v>5043</v>
      </c>
      <c r="Z518" t="s">
        <v>5044</v>
      </c>
      <c r="AB518" t="s">
        <v>4672</v>
      </c>
      <c r="AC518" t="s">
        <v>4672</v>
      </c>
    </row>
    <row r="519" spans="1:29" hidden="1">
      <c r="A519" s="10">
        <v>46035</v>
      </c>
      <c r="B519" s="10">
        <v>46035</v>
      </c>
      <c r="C519" t="s">
        <v>5837</v>
      </c>
      <c r="D519" t="s">
        <v>4967</v>
      </c>
      <c r="E519" t="s">
        <v>4962</v>
      </c>
      <c r="F519" t="s">
        <v>5182</v>
      </c>
      <c r="G519" t="s">
        <v>5838</v>
      </c>
      <c r="H519" t="s">
        <v>4970</v>
      </c>
      <c r="I519" t="s">
        <v>4672</v>
      </c>
      <c r="J519" t="s">
        <v>4672</v>
      </c>
      <c r="K519" t="s">
        <v>4672</v>
      </c>
      <c r="L519" t="s">
        <v>2697</v>
      </c>
      <c r="M519">
        <v>200000</v>
      </c>
      <c r="N519" s="641">
        <f>+transaction_statement_01_Jan_2026_28_Feb_2026[[#This Row],[Orig amount]]/100</f>
        <v>2000</v>
      </c>
      <c r="O519" t="s">
        <v>2697</v>
      </c>
      <c r="P519">
        <v>-200000</v>
      </c>
      <c r="Q519">
        <v>-200000</v>
      </c>
      <c r="S519">
        <v>0</v>
      </c>
      <c r="T519" t="s">
        <v>2697</v>
      </c>
      <c r="U519">
        <v>315732</v>
      </c>
      <c r="V519" t="s">
        <v>4965</v>
      </c>
      <c r="X519" t="s">
        <v>4672</v>
      </c>
      <c r="Y519" t="s">
        <v>4672</v>
      </c>
      <c r="Z519" t="s">
        <v>4672</v>
      </c>
      <c r="AB519" t="s">
        <v>4672</v>
      </c>
      <c r="AC519" t="s">
        <v>4672</v>
      </c>
    </row>
    <row r="520" spans="1:29" hidden="1">
      <c r="A520" s="10">
        <v>46035</v>
      </c>
      <c r="B520" s="10">
        <v>46035</v>
      </c>
      <c r="C520" t="s">
        <v>5839</v>
      </c>
      <c r="D520" t="s">
        <v>4961</v>
      </c>
      <c r="E520" t="s">
        <v>4962</v>
      </c>
      <c r="F520" t="s">
        <v>5025</v>
      </c>
      <c r="G520" t="s">
        <v>5026</v>
      </c>
      <c r="H520" t="s">
        <v>4672</v>
      </c>
      <c r="I520" t="s">
        <v>4672</v>
      </c>
      <c r="J520" t="s">
        <v>4672</v>
      </c>
      <c r="K520" t="s">
        <v>4672</v>
      </c>
      <c r="L520" t="s">
        <v>2697</v>
      </c>
      <c r="M520">
        <v>473886</v>
      </c>
      <c r="N520" s="641">
        <f>+transaction_statement_01_Jan_2026_28_Feb_2026[[#This Row],[Orig amount]]/100</f>
        <v>4738.8599999999997</v>
      </c>
      <c r="O520" t="s">
        <v>2697</v>
      </c>
      <c r="P520">
        <v>473886</v>
      </c>
      <c r="Q520">
        <v>473886</v>
      </c>
      <c r="S520">
        <v>0</v>
      </c>
      <c r="T520" t="s">
        <v>2697</v>
      </c>
      <c r="U520">
        <v>515732</v>
      </c>
      <c r="V520" t="s">
        <v>4965</v>
      </c>
      <c r="X520" t="s">
        <v>4672</v>
      </c>
      <c r="Y520" t="s">
        <v>4672</v>
      </c>
      <c r="Z520" t="s">
        <v>4672</v>
      </c>
      <c r="AB520" t="s">
        <v>4672</v>
      </c>
      <c r="AC520" t="s">
        <v>4672</v>
      </c>
    </row>
    <row r="521" spans="1:29" hidden="1">
      <c r="A521" s="10">
        <v>46035</v>
      </c>
      <c r="B521" s="10">
        <v>46035</v>
      </c>
      <c r="C521" t="s">
        <v>5840</v>
      </c>
      <c r="D521" t="s">
        <v>4961</v>
      </c>
      <c r="E521" t="s">
        <v>4962</v>
      </c>
      <c r="F521" t="s">
        <v>5025</v>
      </c>
      <c r="G521" t="s">
        <v>5026</v>
      </c>
      <c r="H521" t="s">
        <v>4672</v>
      </c>
      <c r="I521" t="s">
        <v>4672</v>
      </c>
      <c r="J521" t="s">
        <v>4672</v>
      </c>
      <c r="K521" t="s">
        <v>4672</v>
      </c>
      <c r="L521" t="s">
        <v>2697</v>
      </c>
      <c r="M521">
        <v>21259</v>
      </c>
      <c r="N521" s="641">
        <f>+transaction_statement_01_Jan_2026_28_Feb_2026[[#This Row],[Orig amount]]/100</f>
        <v>212.59</v>
      </c>
      <c r="O521" t="s">
        <v>2697</v>
      </c>
      <c r="P521">
        <v>21259</v>
      </c>
      <c r="Q521">
        <v>21259</v>
      </c>
      <c r="S521">
        <v>0</v>
      </c>
      <c r="T521" t="s">
        <v>2697</v>
      </c>
      <c r="U521">
        <v>41846</v>
      </c>
      <c r="V521" t="s">
        <v>4965</v>
      </c>
      <c r="X521" t="s">
        <v>4672</v>
      </c>
      <c r="Y521" t="s">
        <v>4672</v>
      </c>
      <c r="Z521" t="s">
        <v>4672</v>
      </c>
      <c r="AB521" t="s">
        <v>4672</v>
      </c>
      <c r="AC521" t="s">
        <v>4672</v>
      </c>
    </row>
    <row r="522" spans="1:29" hidden="1">
      <c r="A522" s="10">
        <v>46034</v>
      </c>
      <c r="B522" s="10">
        <v>46035</v>
      </c>
      <c r="C522" t="s">
        <v>5841</v>
      </c>
      <c r="D522" t="s">
        <v>4977</v>
      </c>
      <c r="E522" t="s">
        <v>4962</v>
      </c>
      <c r="F522" t="s">
        <v>5842</v>
      </c>
      <c r="G522" t="s">
        <v>4672</v>
      </c>
      <c r="H522" t="s">
        <v>4970</v>
      </c>
      <c r="I522" t="s">
        <v>4979</v>
      </c>
      <c r="J522" t="s">
        <v>4980</v>
      </c>
      <c r="K522" t="s">
        <v>4981</v>
      </c>
      <c r="L522" t="s">
        <v>2697</v>
      </c>
      <c r="M522">
        <v>135681</v>
      </c>
      <c r="N522" s="641">
        <f>+transaction_statement_01_Jan_2026_28_Feb_2026[[#This Row],[Orig amount]]/100</f>
        <v>1356.81</v>
      </c>
      <c r="O522" t="s">
        <v>2697</v>
      </c>
      <c r="P522">
        <v>-135681</v>
      </c>
      <c r="Q522">
        <v>-135681</v>
      </c>
      <c r="S522">
        <v>0</v>
      </c>
      <c r="T522" t="s">
        <v>2697</v>
      </c>
      <c r="U522">
        <v>20587</v>
      </c>
      <c r="V522" t="s">
        <v>4965</v>
      </c>
      <c r="X522" t="s">
        <v>4672</v>
      </c>
      <c r="Y522" t="s">
        <v>4672</v>
      </c>
      <c r="Z522" t="s">
        <v>4672</v>
      </c>
      <c r="AA522">
        <v>7361</v>
      </c>
      <c r="AB522" t="s">
        <v>4672</v>
      </c>
      <c r="AC522" t="s">
        <v>4672</v>
      </c>
    </row>
    <row r="523" spans="1:29" hidden="1">
      <c r="A523" s="10">
        <v>46035</v>
      </c>
      <c r="B523" s="10">
        <v>46035</v>
      </c>
      <c r="C523" t="s">
        <v>5843</v>
      </c>
      <c r="D523" t="s">
        <v>4977</v>
      </c>
      <c r="E523" t="s">
        <v>4962</v>
      </c>
      <c r="F523" t="s">
        <v>5844</v>
      </c>
      <c r="G523" t="s">
        <v>4672</v>
      </c>
      <c r="H523" t="s">
        <v>4970</v>
      </c>
      <c r="I523" t="s">
        <v>4979</v>
      </c>
      <c r="J523" t="s">
        <v>4980</v>
      </c>
      <c r="K523" t="s">
        <v>4981</v>
      </c>
      <c r="L523" t="s">
        <v>2697</v>
      </c>
      <c r="M523">
        <v>418</v>
      </c>
      <c r="N523" s="641">
        <f>+transaction_statement_01_Jan_2026_28_Feb_2026[[#This Row],[Orig amount]]/100</f>
        <v>4.18</v>
      </c>
      <c r="O523" t="s">
        <v>2697</v>
      </c>
      <c r="P523">
        <v>-418</v>
      </c>
      <c r="Q523">
        <v>-418</v>
      </c>
      <c r="S523">
        <v>0</v>
      </c>
      <c r="T523" t="s">
        <v>2697</v>
      </c>
      <c r="U523">
        <v>156268</v>
      </c>
      <c r="V523" t="s">
        <v>4965</v>
      </c>
      <c r="X523" t="s">
        <v>4672</v>
      </c>
      <c r="Y523" t="s">
        <v>4672</v>
      </c>
      <c r="Z523" t="s">
        <v>4672</v>
      </c>
      <c r="AA523">
        <v>5045</v>
      </c>
      <c r="AB523" t="s">
        <v>4672</v>
      </c>
      <c r="AC523" t="s">
        <v>4672</v>
      </c>
    </row>
    <row r="524" spans="1:29" hidden="1">
      <c r="A524" s="10">
        <v>46034</v>
      </c>
      <c r="B524" s="10">
        <v>46035</v>
      </c>
      <c r="C524" t="s">
        <v>5845</v>
      </c>
      <c r="D524" t="s">
        <v>4977</v>
      </c>
      <c r="E524" t="s">
        <v>4962</v>
      </c>
      <c r="F524" t="s">
        <v>5445</v>
      </c>
      <c r="G524" t="s">
        <v>4672</v>
      </c>
      <c r="H524" t="s">
        <v>4970</v>
      </c>
      <c r="I524" t="s">
        <v>4979</v>
      </c>
      <c r="J524" t="s">
        <v>4980</v>
      </c>
      <c r="K524" t="s">
        <v>4981</v>
      </c>
      <c r="L524" t="s">
        <v>2697</v>
      </c>
      <c r="M524">
        <v>50000</v>
      </c>
      <c r="N524" s="641">
        <f>+transaction_statement_01_Jan_2026_28_Feb_2026[[#This Row],[Orig amount]]/100</f>
        <v>500</v>
      </c>
      <c r="O524" t="s">
        <v>2697</v>
      </c>
      <c r="P524">
        <v>-50000</v>
      </c>
      <c r="Q524">
        <v>-50000</v>
      </c>
      <c r="S524">
        <v>0</v>
      </c>
      <c r="T524" t="s">
        <v>2697</v>
      </c>
      <c r="U524">
        <v>156686</v>
      </c>
      <c r="V524" t="s">
        <v>4965</v>
      </c>
      <c r="X524" t="s">
        <v>4672</v>
      </c>
      <c r="Y524" t="s">
        <v>4672</v>
      </c>
      <c r="Z524" t="s">
        <v>4672</v>
      </c>
      <c r="AA524">
        <v>7311</v>
      </c>
      <c r="AB524" t="s">
        <v>4672</v>
      </c>
      <c r="AC524" t="s">
        <v>4672</v>
      </c>
    </row>
    <row r="525" spans="1:29" hidden="1">
      <c r="A525" s="10">
        <v>46032</v>
      </c>
      <c r="B525" s="10">
        <v>46035</v>
      </c>
      <c r="C525" t="s">
        <v>5846</v>
      </c>
      <c r="D525" t="s">
        <v>4977</v>
      </c>
      <c r="E525" t="s">
        <v>4962</v>
      </c>
      <c r="F525" t="s">
        <v>5163</v>
      </c>
      <c r="G525" t="s">
        <v>4672</v>
      </c>
      <c r="H525" t="s">
        <v>4970</v>
      </c>
      <c r="I525" t="s">
        <v>4979</v>
      </c>
      <c r="J525" t="s">
        <v>4980</v>
      </c>
      <c r="K525" t="s">
        <v>4981</v>
      </c>
      <c r="L525" t="s">
        <v>2697</v>
      </c>
      <c r="M525">
        <v>7900</v>
      </c>
      <c r="N525" s="641">
        <f>+transaction_statement_01_Jan_2026_28_Feb_2026[[#This Row],[Orig amount]]/100</f>
        <v>79</v>
      </c>
      <c r="O525" t="s">
        <v>2697</v>
      </c>
      <c r="P525">
        <v>-7900</v>
      </c>
      <c r="Q525">
        <v>-7900</v>
      </c>
      <c r="S525">
        <v>0</v>
      </c>
      <c r="T525" t="s">
        <v>2697</v>
      </c>
      <c r="U525">
        <v>206686</v>
      </c>
      <c r="V525" t="s">
        <v>4965</v>
      </c>
      <c r="X525" t="s">
        <v>4672</v>
      </c>
      <c r="Y525" t="s">
        <v>4672</v>
      </c>
      <c r="Z525" t="s">
        <v>4672</v>
      </c>
      <c r="AA525">
        <v>5815</v>
      </c>
      <c r="AB525" t="s">
        <v>4672</v>
      </c>
      <c r="AC525" t="s">
        <v>4672</v>
      </c>
    </row>
    <row r="526" spans="1:29" hidden="1">
      <c r="A526" s="10">
        <v>46034</v>
      </c>
      <c r="B526" s="10">
        <v>46035</v>
      </c>
      <c r="C526" t="s">
        <v>5847</v>
      </c>
      <c r="D526" t="s">
        <v>4977</v>
      </c>
      <c r="E526" t="s">
        <v>4962</v>
      </c>
      <c r="F526" t="s">
        <v>5848</v>
      </c>
      <c r="G526" t="s">
        <v>4672</v>
      </c>
      <c r="H526" t="s">
        <v>4970</v>
      </c>
      <c r="I526" t="s">
        <v>4984</v>
      </c>
      <c r="J526" t="s">
        <v>4985</v>
      </c>
      <c r="K526" t="s">
        <v>4981</v>
      </c>
      <c r="L526" t="s">
        <v>2697</v>
      </c>
      <c r="M526">
        <v>9996</v>
      </c>
      <c r="N526" s="641">
        <f>+transaction_statement_01_Jan_2026_28_Feb_2026[[#This Row],[Orig amount]]/100</f>
        <v>99.96</v>
      </c>
      <c r="O526" t="s">
        <v>2697</v>
      </c>
      <c r="P526">
        <v>-9996</v>
      </c>
      <c r="Q526">
        <v>-9996</v>
      </c>
      <c r="S526">
        <v>0</v>
      </c>
      <c r="T526" t="s">
        <v>2697</v>
      </c>
      <c r="U526">
        <v>214586</v>
      </c>
      <c r="V526" t="s">
        <v>4965</v>
      </c>
      <c r="X526" t="s">
        <v>4672</v>
      </c>
      <c r="Y526" t="s">
        <v>4672</v>
      </c>
      <c r="Z526" t="s">
        <v>4672</v>
      </c>
      <c r="AA526">
        <v>5541</v>
      </c>
      <c r="AB526" t="s">
        <v>4672</v>
      </c>
      <c r="AC526" t="s">
        <v>4672</v>
      </c>
    </row>
    <row r="527" spans="1:29" hidden="1">
      <c r="A527" s="10">
        <v>46034</v>
      </c>
      <c r="B527" s="10">
        <v>46035</v>
      </c>
      <c r="C527" t="s">
        <v>5849</v>
      </c>
      <c r="D527" t="s">
        <v>4977</v>
      </c>
      <c r="E527" t="s">
        <v>4962</v>
      </c>
      <c r="F527" t="s">
        <v>5349</v>
      </c>
      <c r="G527" t="s">
        <v>4672</v>
      </c>
      <c r="H527" t="s">
        <v>4970</v>
      </c>
      <c r="I527" t="s">
        <v>4984</v>
      </c>
      <c r="J527" t="s">
        <v>4985</v>
      </c>
      <c r="K527" t="s">
        <v>4981</v>
      </c>
      <c r="L527" t="s">
        <v>2697</v>
      </c>
      <c r="M527">
        <v>499</v>
      </c>
      <c r="N527" s="641">
        <f>+transaction_statement_01_Jan_2026_28_Feb_2026[[#This Row],[Orig amount]]/100</f>
        <v>4.99</v>
      </c>
      <c r="O527" t="s">
        <v>2697</v>
      </c>
      <c r="P527">
        <v>-499</v>
      </c>
      <c r="Q527">
        <v>-499</v>
      </c>
      <c r="S527">
        <v>0</v>
      </c>
      <c r="T527" t="s">
        <v>2697</v>
      </c>
      <c r="U527">
        <v>224582</v>
      </c>
      <c r="V527" t="s">
        <v>4965</v>
      </c>
      <c r="X527" t="s">
        <v>4672</v>
      </c>
      <c r="Y527" t="s">
        <v>4672</v>
      </c>
      <c r="Z527" t="s">
        <v>4672</v>
      </c>
      <c r="AA527">
        <v>5812</v>
      </c>
      <c r="AB527" t="s">
        <v>4672</v>
      </c>
      <c r="AC527" t="s">
        <v>4672</v>
      </c>
    </row>
    <row r="528" spans="1:29" hidden="1">
      <c r="A528" s="10">
        <v>46034</v>
      </c>
      <c r="B528" s="10">
        <v>46034</v>
      </c>
      <c r="C528" t="s">
        <v>5850</v>
      </c>
      <c r="D528" t="s">
        <v>4967</v>
      </c>
      <c r="E528" t="s">
        <v>4962</v>
      </c>
      <c r="F528" t="s">
        <v>5058</v>
      </c>
      <c r="G528" t="s">
        <v>5777</v>
      </c>
      <c r="H528" t="s">
        <v>4970</v>
      </c>
      <c r="I528" t="s">
        <v>4672</v>
      </c>
      <c r="J528" t="s">
        <v>4672</v>
      </c>
      <c r="K528" t="s">
        <v>4672</v>
      </c>
      <c r="L528" t="s">
        <v>2697</v>
      </c>
      <c r="M528">
        <v>40000</v>
      </c>
      <c r="N528" s="641">
        <f>+transaction_statement_01_Jan_2026_28_Feb_2026[[#This Row],[Orig amount]]/100</f>
        <v>400</v>
      </c>
      <c r="O528" t="s">
        <v>2697</v>
      </c>
      <c r="P528">
        <v>-40000</v>
      </c>
      <c r="Q528">
        <v>-40000</v>
      </c>
      <c r="S528">
        <v>0</v>
      </c>
      <c r="T528" t="s">
        <v>2697</v>
      </c>
      <c r="U528">
        <v>225081</v>
      </c>
      <c r="V528" t="s">
        <v>4965</v>
      </c>
      <c r="X528" t="s">
        <v>4672</v>
      </c>
      <c r="Y528" t="s">
        <v>5060</v>
      </c>
      <c r="Z528" t="s">
        <v>5031</v>
      </c>
      <c r="AB528" t="s">
        <v>4672</v>
      </c>
      <c r="AC528" t="s">
        <v>4672</v>
      </c>
    </row>
    <row r="529" spans="1:29" hidden="1">
      <c r="A529" s="10">
        <v>46034</v>
      </c>
      <c r="B529" s="10">
        <v>46034</v>
      </c>
      <c r="C529" t="s">
        <v>5851</v>
      </c>
      <c r="D529" t="s">
        <v>4967</v>
      </c>
      <c r="E529" t="s">
        <v>4962</v>
      </c>
      <c r="F529" t="s">
        <v>5041</v>
      </c>
      <c r="G529" t="s">
        <v>5852</v>
      </c>
      <c r="H529" t="s">
        <v>4970</v>
      </c>
      <c r="I529" t="s">
        <v>4672</v>
      </c>
      <c r="J529" t="s">
        <v>4672</v>
      </c>
      <c r="K529" t="s">
        <v>4672</v>
      </c>
      <c r="L529" t="s">
        <v>2697</v>
      </c>
      <c r="M529">
        <v>200000</v>
      </c>
      <c r="N529" s="641">
        <f>+transaction_statement_01_Jan_2026_28_Feb_2026[[#This Row],[Orig amount]]/100</f>
        <v>2000</v>
      </c>
      <c r="O529" t="s">
        <v>2697</v>
      </c>
      <c r="P529">
        <v>-200000</v>
      </c>
      <c r="Q529">
        <v>-200000</v>
      </c>
      <c r="S529">
        <v>0</v>
      </c>
      <c r="T529" t="s">
        <v>2697</v>
      </c>
      <c r="U529">
        <v>265081</v>
      </c>
      <c r="V529" t="s">
        <v>4965</v>
      </c>
      <c r="X529" t="s">
        <v>4672</v>
      </c>
      <c r="Y529" t="s">
        <v>5043</v>
      </c>
      <c r="Z529" t="s">
        <v>5044</v>
      </c>
      <c r="AB529" t="s">
        <v>4672</v>
      </c>
      <c r="AC529" t="s">
        <v>4672</v>
      </c>
    </row>
    <row r="530" spans="1:29" hidden="1">
      <c r="A530" s="10">
        <v>46034</v>
      </c>
      <c r="B530" s="10">
        <v>46034</v>
      </c>
      <c r="C530" t="s">
        <v>5853</v>
      </c>
      <c r="D530" t="s">
        <v>4961</v>
      </c>
      <c r="E530" t="s">
        <v>4962</v>
      </c>
      <c r="F530" t="s">
        <v>5025</v>
      </c>
      <c r="G530" t="s">
        <v>5026</v>
      </c>
      <c r="H530" t="s">
        <v>4672</v>
      </c>
      <c r="I530" t="s">
        <v>4672</v>
      </c>
      <c r="J530" t="s">
        <v>4672</v>
      </c>
      <c r="K530" t="s">
        <v>4672</v>
      </c>
      <c r="L530" t="s">
        <v>2697</v>
      </c>
      <c r="M530">
        <v>255495</v>
      </c>
      <c r="N530" s="641">
        <f>+transaction_statement_01_Jan_2026_28_Feb_2026[[#This Row],[Orig amount]]/100</f>
        <v>2554.9499999999998</v>
      </c>
      <c r="O530" t="s">
        <v>2697</v>
      </c>
      <c r="P530">
        <v>255495</v>
      </c>
      <c r="Q530">
        <v>255495</v>
      </c>
      <c r="S530">
        <v>0</v>
      </c>
      <c r="T530" t="s">
        <v>2697</v>
      </c>
      <c r="U530">
        <v>465081</v>
      </c>
      <c r="V530" t="s">
        <v>4965</v>
      </c>
      <c r="X530" t="s">
        <v>4672</v>
      </c>
      <c r="Y530" t="s">
        <v>4672</v>
      </c>
      <c r="Z530" t="s">
        <v>4672</v>
      </c>
      <c r="AB530" t="s">
        <v>4672</v>
      </c>
      <c r="AC530" t="s">
        <v>4672</v>
      </c>
    </row>
    <row r="531" spans="1:29" hidden="1">
      <c r="A531" s="10">
        <v>46034</v>
      </c>
      <c r="B531" s="10">
        <v>46034</v>
      </c>
      <c r="C531" t="s">
        <v>5854</v>
      </c>
      <c r="D531" t="s">
        <v>4961</v>
      </c>
      <c r="E531" t="s">
        <v>4962</v>
      </c>
      <c r="F531" t="s">
        <v>5025</v>
      </c>
      <c r="G531" t="s">
        <v>5026</v>
      </c>
      <c r="H531" t="s">
        <v>4672</v>
      </c>
      <c r="I531" t="s">
        <v>4672</v>
      </c>
      <c r="J531" t="s">
        <v>4672</v>
      </c>
      <c r="K531" t="s">
        <v>4672</v>
      </c>
      <c r="L531" t="s">
        <v>2697</v>
      </c>
      <c r="M531">
        <v>170594</v>
      </c>
      <c r="N531" s="641">
        <f>+transaction_statement_01_Jan_2026_28_Feb_2026[[#This Row],[Orig amount]]/100</f>
        <v>1705.94</v>
      </c>
      <c r="O531" t="s">
        <v>2697</v>
      </c>
      <c r="P531">
        <v>170594</v>
      </c>
      <c r="Q531">
        <v>170594</v>
      </c>
      <c r="S531">
        <v>0</v>
      </c>
      <c r="T531" t="s">
        <v>2697</v>
      </c>
      <c r="U531">
        <v>209586</v>
      </c>
      <c r="V531" t="s">
        <v>4965</v>
      </c>
      <c r="X531" t="s">
        <v>4672</v>
      </c>
      <c r="Y531" t="s">
        <v>4672</v>
      </c>
      <c r="Z531" t="s">
        <v>4672</v>
      </c>
      <c r="AB531" t="s">
        <v>4672</v>
      </c>
      <c r="AC531" t="s">
        <v>4672</v>
      </c>
    </row>
    <row r="532" spans="1:29" hidden="1">
      <c r="A532" s="10">
        <v>46032</v>
      </c>
      <c r="B532" s="10">
        <v>46034</v>
      </c>
      <c r="C532" t="s">
        <v>5855</v>
      </c>
      <c r="D532" t="s">
        <v>4977</v>
      </c>
      <c r="E532" t="s">
        <v>4962</v>
      </c>
      <c r="F532" t="s">
        <v>5351</v>
      </c>
      <c r="G532" t="s">
        <v>4672</v>
      </c>
      <c r="H532" t="s">
        <v>4970</v>
      </c>
      <c r="I532" t="s">
        <v>4979</v>
      </c>
      <c r="J532" t="s">
        <v>4980</v>
      </c>
      <c r="K532" t="s">
        <v>4981</v>
      </c>
      <c r="L532" t="s">
        <v>2548</v>
      </c>
      <c r="M532">
        <v>49900</v>
      </c>
      <c r="N532" s="641">
        <f>+transaction_statement_01_Jan_2026_28_Feb_2026[[#This Row],[Orig amount]]/100</f>
        <v>499</v>
      </c>
      <c r="O532" t="s">
        <v>2697</v>
      </c>
      <c r="P532">
        <v>-42937</v>
      </c>
      <c r="Q532">
        <v>-43366</v>
      </c>
      <c r="R532">
        <v>1162182</v>
      </c>
      <c r="S532">
        <v>-429</v>
      </c>
      <c r="T532" t="s">
        <v>2697</v>
      </c>
      <c r="U532">
        <v>38992</v>
      </c>
      <c r="V532" t="s">
        <v>4965</v>
      </c>
      <c r="X532" t="s">
        <v>4672</v>
      </c>
      <c r="Y532" t="s">
        <v>4672</v>
      </c>
      <c r="Z532" t="s">
        <v>4672</v>
      </c>
      <c r="AA532">
        <v>5045</v>
      </c>
      <c r="AB532" t="s">
        <v>4672</v>
      </c>
      <c r="AC532" t="s">
        <v>4672</v>
      </c>
    </row>
    <row r="533" spans="1:29" hidden="1">
      <c r="A533" s="10">
        <v>46032</v>
      </c>
      <c r="B533" s="10">
        <v>46034</v>
      </c>
      <c r="C533" t="s">
        <v>5856</v>
      </c>
      <c r="D533" t="s">
        <v>4977</v>
      </c>
      <c r="E533" t="s">
        <v>4962</v>
      </c>
      <c r="F533" t="s">
        <v>5857</v>
      </c>
      <c r="G533" t="s">
        <v>4672</v>
      </c>
      <c r="H533" t="s">
        <v>4970</v>
      </c>
      <c r="I533" t="s">
        <v>4979</v>
      </c>
      <c r="J533" t="s">
        <v>4980</v>
      </c>
      <c r="K533" t="s">
        <v>4981</v>
      </c>
      <c r="L533" t="s">
        <v>2697</v>
      </c>
      <c r="M533">
        <v>2499</v>
      </c>
      <c r="N533" s="641">
        <f>+transaction_statement_01_Jan_2026_28_Feb_2026[[#This Row],[Orig amount]]/100</f>
        <v>24.99</v>
      </c>
      <c r="O533" t="s">
        <v>2697</v>
      </c>
      <c r="P533">
        <v>-2499</v>
      </c>
      <c r="Q533">
        <v>-2499</v>
      </c>
      <c r="S533">
        <v>0</v>
      </c>
      <c r="T533" t="s">
        <v>2697</v>
      </c>
      <c r="U533">
        <v>82358</v>
      </c>
      <c r="V533" t="s">
        <v>4965</v>
      </c>
      <c r="X533" t="s">
        <v>4672</v>
      </c>
      <c r="Y533" t="s">
        <v>4672</v>
      </c>
      <c r="Z533" t="s">
        <v>4672</v>
      </c>
      <c r="AA533">
        <v>5722</v>
      </c>
      <c r="AB533" t="s">
        <v>4672</v>
      </c>
      <c r="AC533" t="s">
        <v>4672</v>
      </c>
    </row>
    <row r="534" spans="1:29" hidden="1">
      <c r="A534" s="10">
        <v>46033</v>
      </c>
      <c r="B534" s="10">
        <v>46034</v>
      </c>
      <c r="C534" t="s">
        <v>5858</v>
      </c>
      <c r="D534" t="s">
        <v>4977</v>
      </c>
      <c r="E534" t="s">
        <v>4962</v>
      </c>
      <c r="F534" t="s">
        <v>5268</v>
      </c>
      <c r="G534" t="s">
        <v>4672</v>
      </c>
      <c r="H534" t="s">
        <v>4970</v>
      </c>
      <c r="I534" t="s">
        <v>4979</v>
      </c>
      <c r="J534" t="s">
        <v>4980</v>
      </c>
      <c r="K534" t="s">
        <v>4981</v>
      </c>
      <c r="L534" t="s">
        <v>2697</v>
      </c>
      <c r="M534">
        <v>9359</v>
      </c>
      <c r="N534" s="641">
        <f>+transaction_statement_01_Jan_2026_28_Feb_2026[[#This Row],[Orig amount]]/100</f>
        <v>93.59</v>
      </c>
      <c r="O534" t="s">
        <v>2697</v>
      </c>
      <c r="P534">
        <v>-9359</v>
      </c>
      <c r="Q534">
        <v>-9359</v>
      </c>
      <c r="S534">
        <v>0</v>
      </c>
      <c r="T534" t="s">
        <v>2697</v>
      </c>
      <c r="U534">
        <v>84857</v>
      </c>
      <c r="V534" t="s">
        <v>4965</v>
      </c>
      <c r="X534" t="s">
        <v>4672</v>
      </c>
      <c r="Y534" t="s">
        <v>4672</v>
      </c>
      <c r="Z534" t="s">
        <v>4672</v>
      </c>
      <c r="AA534">
        <v>5734</v>
      </c>
      <c r="AB534" t="s">
        <v>4672</v>
      </c>
      <c r="AC534" t="s">
        <v>4672</v>
      </c>
    </row>
    <row r="535" spans="1:29" hidden="1">
      <c r="A535" s="10">
        <v>46031</v>
      </c>
      <c r="B535" s="10">
        <v>46034</v>
      </c>
      <c r="C535" t="s">
        <v>5859</v>
      </c>
      <c r="D535" t="s">
        <v>4977</v>
      </c>
      <c r="E535" t="s">
        <v>4962</v>
      </c>
      <c r="F535" t="s">
        <v>5163</v>
      </c>
      <c r="G535" t="s">
        <v>4672</v>
      </c>
      <c r="H535" t="s">
        <v>4970</v>
      </c>
      <c r="I535" t="s">
        <v>4979</v>
      </c>
      <c r="J535" t="s">
        <v>4980</v>
      </c>
      <c r="K535" t="s">
        <v>4981</v>
      </c>
      <c r="L535" t="s">
        <v>2697</v>
      </c>
      <c r="M535">
        <v>20999</v>
      </c>
      <c r="N535" s="641">
        <f>+transaction_statement_01_Jan_2026_28_Feb_2026[[#This Row],[Orig amount]]/100</f>
        <v>209.99</v>
      </c>
      <c r="O535" t="s">
        <v>2697</v>
      </c>
      <c r="P535">
        <v>-20999</v>
      </c>
      <c r="Q535">
        <v>-20999</v>
      </c>
      <c r="S535">
        <v>0</v>
      </c>
      <c r="T535" t="s">
        <v>2697</v>
      </c>
      <c r="U535">
        <v>94216</v>
      </c>
      <c r="V535" t="s">
        <v>4965</v>
      </c>
      <c r="X535" t="s">
        <v>4672</v>
      </c>
      <c r="Y535" t="s">
        <v>4672</v>
      </c>
      <c r="Z535" t="s">
        <v>4672</v>
      </c>
      <c r="AA535">
        <v>5815</v>
      </c>
      <c r="AB535" t="s">
        <v>4672</v>
      </c>
      <c r="AC535" t="s">
        <v>4672</v>
      </c>
    </row>
    <row r="536" spans="1:29" hidden="1">
      <c r="A536" s="10">
        <v>46034</v>
      </c>
      <c r="B536" s="10">
        <v>46034</v>
      </c>
      <c r="C536" t="s">
        <v>5860</v>
      </c>
      <c r="D536" t="s">
        <v>4961</v>
      </c>
      <c r="E536" t="s">
        <v>4962</v>
      </c>
      <c r="F536" t="s">
        <v>5025</v>
      </c>
      <c r="G536" t="s">
        <v>5026</v>
      </c>
      <c r="H536" t="s">
        <v>4672</v>
      </c>
      <c r="I536" t="s">
        <v>4672</v>
      </c>
      <c r="J536" t="s">
        <v>4672</v>
      </c>
      <c r="K536" t="s">
        <v>4672</v>
      </c>
      <c r="L536" t="s">
        <v>2697</v>
      </c>
      <c r="M536">
        <v>19467</v>
      </c>
      <c r="N536" s="641">
        <f>+transaction_statement_01_Jan_2026_28_Feb_2026[[#This Row],[Orig amount]]/100</f>
        <v>194.67</v>
      </c>
      <c r="O536" t="s">
        <v>2697</v>
      </c>
      <c r="P536">
        <v>19467</v>
      </c>
      <c r="Q536">
        <v>19467</v>
      </c>
      <c r="S536">
        <v>0</v>
      </c>
      <c r="T536" t="s">
        <v>2697</v>
      </c>
      <c r="U536">
        <v>115215</v>
      </c>
      <c r="V536" t="s">
        <v>4965</v>
      </c>
      <c r="X536" t="s">
        <v>4672</v>
      </c>
      <c r="Y536" t="s">
        <v>4672</v>
      </c>
      <c r="Z536" t="s">
        <v>4672</v>
      </c>
      <c r="AB536" t="s">
        <v>4672</v>
      </c>
      <c r="AC536" t="s">
        <v>4672</v>
      </c>
    </row>
    <row r="537" spans="1:29" hidden="1">
      <c r="A537" s="10">
        <v>46033</v>
      </c>
      <c r="B537" s="10">
        <v>46034</v>
      </c>
      <c r="C537" t="s">
        <v>5861</v>
      </c>
      <c r="D537" t="s">
        <v>4967</v>
      </c>
      <c r="E537" t="s">
        <v>4962</v>
      </c>
      <c r="F537" t="s">
        <v>5053</v>
      </c>
      <c r="G537" t="s">
        <v>5054</v>
      </c>
      <c r="H537" t="s">
        <v>4970</v>
      </c>
      <c r="I537" t="s">
        <v>4672</v>
      </c>
      <c r="J537" t="s">
        <v>4672</v>
      </c>
      <c r="K537" t="s">
        <v>4672</v>
      </c>
      <c r="L537" t="s">
        <v>2697</v>
      </c>
      <c r="M537">
        <v>130000</v>
      </c>
      <c r="N537" s="641">
        <f>+transaction_statement_01_Jan_2026_28_Feb_2026[[#This Row],[Orig amount]]/100</f>
        <v>1300</v>
      </c>
      <c r="O537" t="s">
        <v>2697</v>
      </c>
      <c r="P537">
        <v>-130000</v>
      </c>
      <c r="Q537">
        <v>-130000</v>
      </c>
      <c r="S537">
        <v>0</v>
      </c>
      <c r="T537" t="s">
        <v>2697</v>
      </c>
      <c r="U537">
        <v>95748</v>
      </c>
      <c r="V537" t="s">
        <v>4965</v>
      </c>
      <c r="X537" t="s">
        <v>4672</v>
      </c>
      <c r="Y537" t="s">
        <v>5055</v>
      </c>
      <c r="Z537" t="s">
        <v>5056</v>
      </c>
      <c r="AB537" t="s">
        <v>4672</v>
      </c>
      <c r="AC537" t="s">
        <v>4672</v>
      </c>
    </row>
    <row r="538" spans="1:29" hidden="1">
      <c r="A538" s="10">
        <v>46033</v>
      </c>
      <c r="B538" s="10">
        <v>46033</v>
      </c>
      <c r="C538" t="s">
        <v>5862</v>
      </c>
      <c r="D538" t="s">
        <v>4967</v>
      </c>
      <c r="E538" t="s">
        <v>4962</v>
      </c>
      <c r="F538" t="s">
        <v>5058</v>
      </c>
      <c r="G538" t="s">
        <v>5777</v>
      </c>
      <c r="H538" t="s">
        <v>4970</v>
      </c>
      <c r="I538" t="s">
        <v>4672</v>
      </c>
      <c r="J538" t="s">
        <v>4672</v>
      </c>
      <c r="K538" t="s">
        <v>4672</v>
      </c>
      <c r="L538" t="s">
        <v>2697</v>
      </c>
      <c r="M538">
        <v>35000</v>
      </c>
      <c r="N538" s="641">
        <f>+transaction_statement_01_Jan_2026_28_Feb_2026[[#This Row],[Orig amount]]/100</f>
        <v>350</v>
      </c>
      <c r="O538" t="s">
        <v>2697</v>
      </c>
      <c r="P538">
        <v>-35000</v>
      </c>
      <c r="Q538">
        <v>-35000</v>
      </c>
      <c r="S538">
        <v>0</v>
      </c>
      <c r="T538" t="s">
        <v>2697</v>
      </c>
      <c r="U538">
        <v>225748</v>
      </c>
      <c r="V538" t="s">
        <v>4965</v>
      </c>
      <c r="X538" t="s">
        <v>4672</v>
      </c>
      <c r="Y538" t="s">
        <v>5060</v>
      </c>
      <c r="Z538" t="s">
        <v>5031</v>
      </c>
      <c r="AB538" t="s">
        <v>4672</v>
      </c>
      <c r="AC538" t="s">
        <v>4672</v>
      </c>
    </row>
    <row r="539" spans="1:29" hidden="1">
      <c r="A539" s="10">
        <v>46033</v>
      </c>
      <c r="B539" s="10">
        <v>46033</v>
      </c>
      <c r="C539" t="s">
        <v>5863</v>
      </c>
      <c r="D539" t="s">
        <v>4977</v>
      </c>
      <c r="E539" t="s">
        <v>4962</v>
      </c>
      <c r="F539" t="s">
        <v>5864</v>
      </c>
      <c r="G539" t="s">
        <v>4672</v>
      </c>
      <c r="H539" t="s">
        <v>4970</v>
      </c>
      <c r="I539" t="s">
        <v>4979</v>
      </c>
      <c r="J539" t="s">
        <v>4980</v>
      </c>
      <c r="K539" t="s">
        <v>4981</v>
      </c>
      <c r="L539" t="s">
        <v>2697</v>
      </c>
      <c r="M539">
        <v>448</v>
      </c>
      <c r="N539" s="641">
        <f>+transaction_statement_01_Jan_2026_28_Feb_2026[[#This Row],[Orig amount]]/100</f>
        <v>4.4800000000000004</v>
      </c>
      <c r="O539" t="s">
        <v>2697</v>
      </c>
      <c r="P539">
        <v>-448</v>
      </c>
      <c r="Q539">
        <v>-448</v>
      </c>
      <c r="S539">
        <v>0</v>
      </c>
      <c r="T539" t="s">
        <v>2697</v>
      </c>
      <c r="U539">
        <v>260748</v>
      </c>
      <c r="V539" t="s">
        <v>4965</v>
      </c>
      <c r="X539" t="s">
        <v>4672</v>
      </c>
      <c r="Y539" t="s">
        <v>4672</v>
      </c>
      <c r="Z539" t="s">
        <v>4672</v>
      </c>
      <c r="AA539">
        <v>5045</v>
      </c>
      <c r="AB539" t="s">
        <v>4672</v>
      </c>
      <c r="AC539" t="s">
        <v>4672</v>
      </c>
    </row>
    <row r="540" spans="1:29" hidden="1">
      <c r="A540" s="10">
        <v>46033</v>
      </c>
      <c r="B540" s="10">
        <v>46033</v>
      </c>
      <c r="C540" t="s">
        <v>5865</v>
      </c>
      <c r="D540" t="s">
        <v>4967</v>
      </c>
      <c r="E540" t="s">
        <v>4962</v>
      </c>
      <c r="F540" t="s">
        <v>5413</v>
      </c>
      <c r="G540" t="s">
        <v>5866</v>
      </c>
      <c r="H540" t="s">
        <v>4970</v>
      </c>
      <c r="I540" t="s">
        <v>4672</v>
      </c>
      <c r="J540" t="s">
        <v>4672</v>
      </c>
      <c r="K540" t="s">
        <v>4672</v>
      </c>
      <c r="L540" t="s">
        <v>2543</v>
      </c>
      <c r="M540">
        <v>1747750</v>
      </c>
      <c r="N540" s="641">
        <f>+transaction_statement_01_Jan_2026_28_Feb_2026[[#This Row],[Orig amount]]/100</f>
        <v>17477.5</v>
      </c>
      <c r="O540" t="s">
        <v>2697</v>
      </c>
      <c r="P540">
        <v>-168076</v>
      </c>
      <c r="Q540">
        <v>-169757</v>
      </c>
      <c r="R540">
        <v>1039861680</v>
      </c>
      <c r="S540">
        <v>-1681</v>
      </c>
      <c r="T540" t="s">
        <v>2697</v>
      </c>
      <c r="U540">
        <v>261196</v>
      </c>
      <c r="V540" t="s">
        <v>4965</v>
      </c>
      <c r="W540">
        <v>70520577</v>
      </c>
      <c r="X540" t="s">
        <v>4672</v>
      </c>
      <c r="Y540" t="s">
        <v>4672</v>
      </c>
      <c r="Z540" t="s">
        <v>5415</v>
      </c>
      <c r="AB540" t="s">
        <v>4672</v>
      </c>
      <c r="AC540" t="s">
        <v>4672</v>
      </c>
    </row>
    <row r="541" spans="1:29" hidden="1">
      <c r="A541" s="10">
        <v>46033</v>
      </c>
      <c r="B541" s="10">
        <v>46033</v>
      </c>
      <c r="C541" t="s">
        <v>5867</v>
      </c>
      <c r="D541" t="s">
        <v>4961</v>
      </c>
      <c r="E541" t="s">
        <v>4962</v>
      </c>
      <c r="F541" t="s">
        <v>5025</v>
      </c>
      <c r="G541" t="s">
        <v>5026</v>
      </c>
      <c r="H541" t="s">
        <v>4672</v>
      </c>
      <c r="I541" t="s">
        <v>4672</v>
      </c>
      <c r="J541" t="s">
        <v>4672</v>
      </c>
      <c r="K541" t="s">
        <v>4672</v>
      </c>
      <c r="L541" t="s">
        <v>2697</v>
      </c>
      <c r="M541">
        <v>354071</v>
      </c>
      <c r="N541" s="641">
        <f>+transaction_statement_01_Jan_2026_28_Feb_2026[[#This Row],[Orig amount]]/100</f>
        <v>3540.71</v>
      </c>
      <c r="O541" t="s">
        <v>2697</v>
      </c>
      <c r="P541">
        <v>354071</v>
      </c>
      <c r="Q541">
        <v>354071</v>
      </c>
      <c r="S541">
        <v>0</v>
      </c>
      <c r="T541" t="s">
        <v>2697</v>
      </c>
      <c r="U541">
        <v>430953</v>
      </c>
      <c r="V541" t="s">
        <v>4965</v>
      </c>
      <c r="X541" t="s">
        <v>4672</v>
      </c>
      <c r="Y541" t="s">
        <v>4672</v>
      </c>
      <c r="Z541" t="s">
        <v>4672</v>
      </c>
      <c r="AB541" t="s">
        <v>4672</v>
      </c>
      <c r="AC541" t="s">
        <v>4672</v>
      </c>
    </row>
    <row r="542" spans="1:29" hidden="1">
      <c r="A542" s="10">
        <v>46032</v>
      </c>
      <c r="B542" s="10">
        <v>46032</v>
      </c>
      <c r="C542" t="s">
        <v>5868</v>
      </c>
      <c r="D542" t="s">
        <v>4967</v>
      </c>
      <c r="E542" t="s">
        <v>4962</v>
      </c>
      <c r="F542" t="s">
        <v>5058</v>
      </c>
      <c r="G542" t="s">
        <v>5777</v>
      </c>
      <c r="H542" t="s">
        <v>4970</v>
      </c>
      <c r="I542" t="s">
        <v>4672</v>
      </c>
      <c r="J542" t="s">
        <v>4672</v>
      </c>
      <c r="K542" t="s">
        <v>4672</v>
      </c>
      <c r="L542" t="s">
        <v>2697</v>
      </c>
      <c r="M542">
        <v>40000</v>
      </c>
      <c r="N542" s="641">
        <f>+transaction_statement_01_Jan_2026_28_Feb_2026[[#This Row],[Orig amount]]/100</f>
        <v>400</v>
      </c>
      <c r="O542" t="s">
        <v>2697</v>
      </c>
      <c r="P542">
        <v>-40000</v>
      </c>
      <c r="Q542">
        <v>-40000</v>
      </c>
      <c r="S542">
        <v>0</v>
      </c>
      <c r="T542" t="s">
        <v>2697</v>
      </c>
      <c r="U542">
        <v>76882</v>
      </c>
      <c r="V542" t="s">
        <v>4965</v>
      </c>
      <c r="X542" t="s">
        <v>4672</v>
      </c>
      <c r="Y542" t="s">
        <v>5060</v>
      </c>
      <c r="Z542" t="s">
        <v>5031</v>
      </c>
      <c r="AB542" t="s">
        <v>4672</v>
      </c>
      <c r="AC542" t="s">
        <v>4672</v>
      </c>
    </row>
    <row r="543" spans="1:29" hidden="1">
      <c r="A543" s="10">
        <v>46032</v>
      </c>
      <c r="B543" s="10">
        <v>46032</v>
      </c>
      <c r="C543" t="s">
        <v>5869</v>
      </c>
      <c r="D543" t="s">
        <v>4977</v>
      </c>
      <c r="E543" t="s">
        <v>4962</v>
      </c>
      <c r="F543" t="s">
        <v>5870</v>
      </c>
      <c r="G543" t="s">
        <v>4672</v>
      </c>
      <c r="H543" t="s">
        <v>4970</v>
      </c>
      <c r="I543" t="s">
        <v>4979</v>
      </c>
      <c r="J543" t="s">
        <v>4980</v>
      </c>
      <c r="K543" t="s">
        <v>4981</v>
      </c>
      <c r="L543" t="s">
        <v>2697</v>
      </c>
      <c r="M543">
        <v>80546</v>
      </c>
      <c r="N543" s="641">
        <f>+transaction_statement_01_Jan_2026_28_Feb_2026[[#This Row],[Orig amount]]/100</f>
        <v>805.46</v>
      </c>
      <c r="O543" t="s">
        <v>2697</v>
      </c>
      <c r="P543">
        <v>-80546</v>
      </c>
      <c r="Q543">
        <v>-80546</v>
      </c>
      <c r="S543">
        <v>0</v>
      </c>
      <c r="T543" t="s">
        <v>2697</v>
      </c>
      <c r="U543">
        <v>116882</v>
      </c>
      <c r="V543" t="s">
        <v>4965</v>
      </c>
      <c r="X543" t="s">
        <v>4672</v>
      </c>
      <c r="Y543" t="s">
        <v>4672</v>
      </c>
      <c r="Z543" t="s">
        <v>4672</v>
      </c>
      <c r="AA543">
        <v>5045</v>
      </c>
      <c r="AB543" t="s">
        <v>4672</v>
      </c>
      <c r="AC543" t="s">
        <v>4672</v>
      </c>
    </row>
    <row r="544" spans="1:29" hidden="1">
      <c r="A544" s="10">
        <v>46032</v>
      </c>
      <c r="B544" s="10">
        <v>46032</v>
      </c>
      <c r="C544" t="s">
        <v>5871</v>
      </c>
      <c r="D544" t="s">
        <v>4967</v>
      </c>
      <c r="E544" t="s">
        <v>4962</v>
      </c>
      <c r="F544" t="s">
        <v>5058</v>
      </c>
      <c r="G544" t="s">
        <v>5777</v>
      </c>
      <c r="H544" t="s">
        <v>4970</v>
      </c>
      <c r="I544" t="s">
        <v>4672</v>
      </c>
      <c r="J544" t="s">
        <v>4672</v>
      </c>
      <c r="K544" t="s">
        <v>4672</v>
      </c>
      <c r="L544" t="s">
        <v>2697</v>
      </c>
      <c r="M544">
        <v>110000</v>
      </c>
      <c r="N544" s="641">
        <f>+transaction_statement_01_Jan_2026_28_Feb_2026[[#This Row],[Orig amount]]/100</f>
        <v>1100</v>
      </c>
      <c r="O544" t="s">
        <v>2697</v>
      </c>
      <c r="P544">
        <v>-110000</v>
      </c>
      <c r="Q544">
        <v>-110000</v>
      </c>
      <c r="S544">
        <v>0</v>
      </c>
      <c r="T544" t="s">
        <v>2697</v>
      </c>
      <c r="U544">
        <v>197428</v>
      </c>
      <c r="V544" t="s">
        <v>4965</v>
      </c>
      <c r="X544" t="s">
        <v>4672</v>
      </c>
      <c r="Y544" t="s">
        <v>5060</v>
      </c>
      <c r="Z544" t="s">
        <v>5031</v>
      </c>
      <c r="AB544" t="s">
        <v>4672</v>
      </c>
      <c r="AC544" t="s">
        <v>4672</v>
      </c>
    </row>
    <row r="545" spans="1:29" hidden="1">
      <c r="A545" s="10">
        <v>46032</v>
      </c>
      <c r="B545" s="10">
        <v>46032</v>
      </c>
      <c r="C545" t="s">
        <v>5872</v>
      </c>
      <c r="D545" t="s">
        <v>4967</v>
      </c>
      <c r="E545" t="s">
        <v>4962</v>
      </c>
      <c r="F545" t="s">
        <v>5334</v>
      </c>
      <c r="G545" t="s">
        <v>5873</v>
      </c>
      <c r="H545" t="s">
        <v>4970</v>
      </c>
      <c r="I545" t="s">
        <v>4672</v>
      </c>
      <c r="J545" t="s">
        <v>4672</v>
      </c>
      <c r="K545" t="s">
        <v>4672</v>
      </c>
      <c r="L545" t="s">
        <v>2697</v>
      </c>
      <c r="M545">
        <v>28886</v>
      </c>
      <c r="N545" s="641">
        <f>+transaction_statement_01_Jan_2026_28_Feb_2026[[#This Row],[Orig amount]]/100</f>
        <v>288.86</v>
      </c>
      <c r="O545" t="s">
        <v>2697</v>
      </c>
      <c r="P545">
        <v>-28886</v>
      </c>
      <c r="Q545">
        <v>-28886</v>
      </c>
      <c r="S545">
        <v>0</v>
      </c>
      <c r="T545" t="s">
        <v>2697</v>
      </c>
      <c r="U545">
        <v>307428</v>
      </c>
      <c r="V545" t="s">
        <v>4965</v>
      </c>
      <c r="X545" t="s">
        <v>4672</v>
      </c>
      <c r="Y545" t="s">
        <v>5336</v>
      </c>
      <c r="Z545" t="s">
        <v>5337</v>
      </c>
      <c r="AB545" t="s">
        <v>4672</v>
      </c>
      <c r="AC545" t="s">
        <v>4672</v>
      </c>
    </row>
    <row r="546" spans="1:29" hidden="1">
      <c r="A546" s="10">
        <v>46032</v>
      </c>
      <c r="B546" s="10">
        <v>46032</v>
      </c>
      <c r="C546" t="s">
        <v>5874</v>
      </c>
      <c r="D546" t="s">
        <v>4967</v>
      </c>
      <c r="E546" t="s">
        <v>4962</v>
      </c>
      <c r="F546" t="s">
        <v>5041</v>
      </c>
      <c r="G546" t="s">
        <v>5875</v>
      </c>
      <c r="H546" t="s">
        <v>4970</v>
      </c>
      <c r="I546" t="s">
        <v>4672</v>
      </c>
      <c r="J546" t="s">
        <v>4672</v>
      </c>
      <c r="K546" t="s">
        <v>4672</v>
      </c>
      <c r="L546" t="s">
        <v>2697</v>
      </c>
      <c r="M546">
        <v>200000</v>
      </c>
      <c r="N546" s="641">
        <f>+transaction_statement_01_Jan_2026_28_Feb_2026[[#This Row],[Orig amount]]/100</f>
        <v>2000</v>
      </c>
      <c r="O546" t="s">
        <v>2697</v>
      </c>
      <c r="P546">
        <v>-200000</v>
      </c>
      <c r="Q546">
        <v>-200000</v>
      </c>
      <c r="S546">
        <v>0</v>
      </c>
      <c r="T546" t="s">
        <v>2697</v>
      </c>
      <c r="U546">
        <v>336314</v>
      </c>
      <c r="V546" t="s">
        <v>4965</v>
      </c>
      <c r="X546" t="s">
        <v>4672</v>
      </c>
      <c r="Y546" t="s">
        <v>5043</v>
      </c>
      <c r="Z546" t="s">
        <v>5044</v>
      </c>
      <c r="AB546" t="s">
        <v>4672</v>
      </c>
      <c r="AC546" t="s">
        <v>4672</v>
      </c>
    </row>
    <row r="547" spans="1:29" hidden="1">
      <c r="A547" s="10">
        <v>46032</v>
      </c>
      <c r="B547" s="10">
        <v>46032</v>
      </c>
      <c r="C547" t="s">
        <v>5876</v>
      </c>
      <c r="D547" t="s">
        <v>4961</v>
      </c>
      <c r="E547" t="s">
        <v>4962</v>
      </c>
      <c r="F547" t="s">
        <v>5025</v>
      </c>
      <c r="G547" t="s">
        <v>5026</v>
      </c>
      <c r="H547" t="s">
        <v>4672</v>
      </c>
      <c r="I547" t="s">
        <v>4672</v>
      </c>
      <c r="J547" t="s">
        <v>4672</v>
      </c>
      <c r="K547" t="s">
        <v>4672</v>
      </c>
      <c r="L547" t="s">
        <v>2697</v>
      </c>
      <c r="M547">
        <v>329383</v>
      </c>
      <c r="N547" s="641">
        <f>+transaction_statement_01_Jan_2026_28_Feb_2026[[#This Row],[Orig amount]]/100</f>
        <v>3293.83</v>
      </c>
      <c r="O547" t="s">
        <v>2697</v>
      </c>
      <c r="P547">
        <v>329383</v>
      </c>
      <c r="Q547">
        <v>329383</v>
      </c>
      <c r="S547">
        <v>0</v>
      </c>
      <c r="T547" t="s">
        <v>2697</v>
      </c>
      <c r="U547">
        <v>536314</v>
      </c>
      <c r="V547" t="s">
        <v>4965</v>
      </c>
      <c r="X547" t="s">
        <v>4672</v>
      </c>
      <c r="Y547" t="s">
        <v>4672</v>
      </c>
      <c r="Z547" t="s">
        <v>4672</v>
      </c>
      <c r="AB547" t="s">
        <v>4672</v>
      </c>
      <c r="AC547" t="s">
        <v>4672</v>
      </c>
    </row>
    <row r="548" spans="1:29" hidden="1">
      <c r="A548" s="10">
        <v>46031</v>
      </c>
      <c r="B548" s="10">
        <v>46031</v>
      </c>
      <c r="C548" t="s">
        <v>5582</v>
      </c>
      <c r="D548" t="s">
        <v>4967</v>
      </c>
      <c r="E548" t="s">
        <v>4962</v>
      </c>
      <c r="F548" t="s">
        <v>5046</v>
      </c>
      <c r="G548" t="s">
        <v>4672</v>
      </c>
      <c r="H548" t="s">
        <v>4970</v>
      </c>
      <c r="I548" t="s">
        <v>4672</v>
      </c>
      <c r="J548" t="s">
        <v>4672</v>
      </c>
      <c r="K548" t="s">
        <v>4672</v>
      </c>
      <c r="L548" t="s">
        <v>2697</v>
      </c>
      <c r="M548">
        <v>64700</v>
      </c>
      <c r="N548" s="641">
        <f>+transaction_statement_01_Jan_2026_28_Feb_2026[[#This Row],[Orig amount]]/100</f>
        <v>647</v>
      </c>
      <c r="O548" t="s">
        <v>2697</v>
      </c>
      <c r="P548">
        <v>-64700</v>
      </c>
      <c r="Q548">
        <v>-64700</v>
      </c>
      <c r="S548">
        <v>0</v>
      </c>
      <c r="T548" t="s">
        <v>2697</v>
      </c>
      <c r="U548">
        <v>0</v>
      </c>
      <c r="V548" t="s">
        <v>5047</v>
      </c>
      <c r="X548" t="s">
        <v>4672</v>
      </c>
      <c r="Y548" t="s">
        <v>4672</v>
      </c>
      <c r="Z548" t="s">
        <v>4672</v>
      </c>
      <c r="AB548" t="s">
        <v>4672</v>
      </c>
      <c r="AC548" t="s">
        <v>4672</v>
      </c>
    </row>
    <row r="549" spans="1:29" hidden="1">
      <c r="A549" s="10">
        <v>46031</v>
      </c>
      <c r="B549" s="10">
        <v>46031</v>
      </c>
      <c r="C549" t="s">
        <v>5582</v>
      </c>
      <c r="D549" t="s">
        <v>4967</v>
      </c>
      <c r="E549" t="s">
        <v>4962</v>
      </c>
      <c r="F549" t="s">
        <v>5048</v>
      </c>
      <c r="G549" t="s">
        <v>4672</v>
      </c>
      <c r="H549" t="s">
        <v>4970</v>
      </c>
      <c r="I549" t="s">
        <v>4672</v>
      </c>
      <c r="J549" t="s">
        <v>4672</v>
      </c>
      <c r="K549" t="s">
        <v>4672</v>
      </c>
      <c r="L549" t="s">
        <v>2697</v>
      </c>
      <c r="M549">
        <v>-64700</v>
      </c>
      <c r="N549" s="641">
        <f>+transaction_statement_01_Jan_2026_28_Feb_2026[[#This Row],[Orig amount]]/100</f>
        <v>-647</v>
      </c>
      <c r="O549" t="s">
        <v>2697</v>
      </c>
      <c r="P549">
        <v>64700</v>
      </c>
      <c r="Q549">
        <v>64700</v>
      </c>
      <c r="S549">
        <v>0</v>
      </c>
      <c r="T549" t="s">
        <v>2697</v>
      </c>
      <c r="U549">
        <v>206931</v>
      </c>
      <c r="V549" t="s">
        <v>4965</v>
      </c>
      <c r="X549" t="s">
        <v>4672</v>
      </c>
      <c r="Y549" t="s">
        <v>4672</v>
      </c>
      <c r="Z549" t="s">
        <v>4672</v>
      </c>
      <c r="AB549" t="s">
        <v>4672</v>
      </c>
      <c r="AC549" t="s">
        <v>4672</v>
      </c>
    </row>
    <row r="550" spans="1:29" hidden="1">
      <c r="A550" s="10">
        <v>46031</v>
      </c>
      <c r="B550" s="10">
        <v>46031</v>
      </c>
      <c r="C550" t="s">
        <v>5583</v>
      </c>
      <c r="D550" t="s">
        <v>4961</v>
      </c>
      <c r="E550" t="s">
        <v>4962</v>
      </c>
      <c r="F550" t="s">
        <v>5064</v>
      </c>
      <c r="G550" t="s">
        <v>5584</v>
      </c>
      <c r="H550" t="s">
        <v>4672</v>
      </c>
      <c r="I550" t="s">
        <v>4672</v>
      </c>
      <c r="J550" t="s">
        <v>4672</v>
      </c>
      <c r="K550" t="s">
        <v>4672</v>
      </c>
      <c r="L550" t="s">
        <v>2697</v>
      </c>
      <c r="M550">
        <v>64700</v>
      </c>
      <c r="N550" s="641">
        <f>+transaction_statement_01_Jan_2026_28_Feb_2026[[#This Row],[Orig amount]]/100</f>
        <v>647</v>
      </c>
      <c r="O550" t="s">
        <v>2697</v>
      </c>
      <c r="P550">
        <v>64700</v>
      </c>
      <c r="Q550">
        <v>64700</v>
      </c>
      <c r="S550">
        <v>0</v>
      </c>
      <c r="T550" t="s">
        <v>2697</v>
      </c>
      <c r="U550">
        <v>64700</v>
      </c>
      <c r="V550" t="s">
        <v>5047</v>
      </c>
      <c r="X550" t="s">
        <v>4672</v>
      </c>
      <c r="Y550" t="s">
        <v>4672</v>
      </c>
      <c r="Z550" t="s">
        <v>4672</v>
      </c>
      <c r="AB550" t="s">
        <v>4672</v>
      </c>
      <c r="AC550" t="s">
        <v>4672</v>
      </c>
    </row>
    <row r="551" spans="1:29" hidden="1">
      <c r="A551" s="10">
        <v>46031</v>
      </c>
      <c r="B551" s="10">
        <v>46031</v>
      </c>
      <c r="C551" t="s">
        <v>5877</v>
      </c>
      <c r="D551" t="s">
        <v>4967</v>
      </c>
      <c r="E551" t="s">
        <v>4962</v>
      </c>
      <c r="F551" t="s">
        <v>5334</v>
      </c>
      <c r="G551" t="s">
        <v>5873</v>
      </c>
      <c r="H551" t="s">
        <v>4970</v>
      </c>
      <c r="I551" t="s">
        <v>4672</v>
      </c>
      <c r="J551" t="s">
        <v>4672</v>
      </c>
      <c r="K551" t="s">
        <v>4672</v>
      </c>
      <c r="L551" t="s">
        <v>2697</v>
      </c>
      <c r="M551">
        <v>500000</v>
      </c>
      <c r="N551" s="641">
        <f>+transaction_statement_01_Jan_2026_28_Feb_2026[[#This Row],[Orig amount]]/100</f>
        <v>5000</v>
      </c>
      <c r="O551" t="s">
        <v>2697</v>
      </c>
      <c r="P551">
        <v>-500000</v>
      </c>
      <c r="Q551">
        <v>-500000</v>
      </c>
      <c r="S551">
        <v>0</v>
      </c>
      <c r="T551" t="s">
        <v>2697</v>
      </c>
      <c r="U551">
        <v>142231</v>
      </c>
      <c r="V551" t="s">
        <v>4965</v>
      </c>
      <c r="X551" t="s">
        <v>4672</v>
      </c>
      <c r="Y551" t="s">
        <v>5336</v>
      </c>
      <c r="Z551" t="s">
        <v>5337</v>
      </c>
      <c r="AB551" t="s">
        <v>4672</v>
      </c>
      <c r="AC551" t="s">
        <v>4672</v>
      </c>
    </row>
    <row r="552" spans="1:29" hidden="1">
      <c r="A552" s="10">
        <v>46031</v>
      </c>
      <c r="B552" s="10">
        <v>46031</v>
      </c>
      <c r="C552" t="s">
        <v>5878</v>
      </c>
      <c r="D552" t="s">
        <v>4961</v>
      </c>
      <c r="E552" t="s">
        <v>4962</v>
      </c>
      <c r="F552" t="s">
        <v>4963</v>
      </c>
      <c r="G552" t="s">
        <v>4964</v>
      </c>
      <c r="H552" t="s">
        <v>4672</v>
      </c>
      <c r="I552" t="s">
        <v>4672</v>
      </c>
      <c r="J552" t="s">
        <v>4672</v>
      </c>
      <c r="K552" t="s">
        <v>4672</v>
      </c>
      <c r="L552" t="s">
        <v>2697</v>
      </c>
      <c r="M552">
        <v>576436</v>
      </c>
      <c r="N552" s="641">
        <f>+transaction_statement_01_Jan_2026_28_Feb_2026[[#This Row],[Orig amount]]/100</f>
        <v>5764.36</v>
      </c>
      <c r="O552" t="s">
        <v>2697</v>
      </c>
      <c r="P552">
        <v>576436</v>
      </c>
      <c r="Q552">
        <v>576436</v>
      </c>
      <c r="S552">
        <v>0</v>
      </c>
      <c r="T552" t="s">
        <v>2697</v>
      </c>
      <c r="U552">
        <v>642231</v>
      </c>
      <c r="V552" t="s">
        <v>4965</v>
      </c>
      <c r="X552" t="s">
        <v>4672</v>
      </c>
      <c r="Y552" t="s">
        <v>4672</v>
      </c>
      <c r="Z552" t="s">
        <v>4672</v>
      </c>
      <c r="AB552" t="s">
        <v>4672</v>
      </c>
      <c r="AC552" t="s">
        <v>4672</v>
      </c>
    </row>
    <row r="553" spans="1:29" hidden="1">
      <c r="A553" s="10">
        <v>46030</v>
      </c>
      <c r="B553" s="10">
        <v>46031</v>
      </c>
      <c r="C553" t="s">
        <v>5879</v>
      </c>
      <c r="D553" t="s">
        <v>4977</v>
      </c>
      <c r="E553" t="s">
        <v>4962</v>
      </c>
      <c r="F553" t="s">
        <v>5000</v>
      </c>
      <c r="G553" t="s">
        <v>4672</v>
      </c>
      <c r="H553" t="s">
        <v>4970</v>
      </c>
      <c r="I553" t="s">
        <v>4979</v>
      </c>
      <c r="J553" t="s">
        <v>4980</v>
      </c>
      <c r="K553" t="s">
        <v>4981</v>
      </c>
      <c r="L553" t="s">
        <v>2697</v>
      </c>
      <c r="M553">
        <v>3574</v>
      </c>
      <c r="N553" s="641">
        <f>+transaction_statement_01_Jan_2026_28_Feb_2026[[#This Row],[Orig amount]]/100</f>
        <v>35.74</v>
      </c>
      <c r="O553" t="s">
        <v>2697</v>
      </c>
      <c r="P553">
        <v>-3574</v>
      </c>
      <c r="Q553">
        <v>-3574</v>
      </c>
      <c r="S553">
        <v>0</v>
      </c>
      <c r="T553" t="s">
        <v>2697</v>
      </c>
      <c r="U553">
        <v>65795</v>
      </c>
      <c r="V553" t="s">
        <v>4965</v>
      </c>
      <c r="X553" t="s">
        <v>4672</v>
      </c>
      <c r="Y553" t="s">
        <v>4672</v>
      </c>
      <c r="Z553" t="s">
        <v>4672</v>
      </c>
      <c r="AA553">
        <v>7372</v>
      </c>
      <c r="AB553" t="s">
        <v>4672</v>
      </c>
      <c r="AC553" t="s">
        <v>4672</v>
      </c>
    </row>
    <row r="554" spans="1:29" hidden="1">
      <c r="A554" s="10">
        <v>46030</v>
      </c>
      <c r="B554" s="10">
        <v>46031</v>
      </c>
      <c r="C554" t="s">
        <v>5880</v>
      </c>
      <c r="D554" t="s">
        <v>4977</v>
      </c>
      <c r="E554" t="s">
        <v>4962</v>
      </c>
      <c r="F554" t="s">
        <v>5409</v>
      </c>
      <c r="G554" t="s">
        <v>4672</v>
      </c>
      <c r="H554" t="s">
        <v>4970</v>
      </c>
      <c r="I554" t="s">
        <v>4979</v>
      </c>
      <c r="J554" t="s">
        <v>4980</v>
      </c>
      <c r="K554" t="s">
        <v>4981</v>
      </c>
      <c r="L554" t="s">
        <v>2697</v>
      </c>
      <c r="M554">
        <v>23681</v>
      </c>
      <c r="N554" s="641">
        <f>+transaction_statement_01_Jan_2026_28_Feb_2026[[#This Row],[Orig amount]]/100</f>
        <v>236.81</v>
      </c>
      <c r="O554" t="s">
        <v>2697</v>
      </c>
      <c r="P554">
        <v>-23681</v>
      </c>
      <c r="Q554">
        <v>-23681</v>
      </c>
      <c r="S554">
        <v>0</v>
      </c>
      <c r="T554" t="s">
        <v>2697</v>
      </c>
      <c r="U554">
        <v>69369</v>
      </c>
      <c r="V554" t="s">
        <v>4965</v>
      </c>
      <c r="X554" t="s">
        <v>4672</v>
      </c>
      <c r="Y554" t="s">
        <v>4672</v>
      </c>
      <c r="Z554" t="s">
        <v>4672</v>
      </c>
      <c r="AA554">
        <v>5734</v>
      </c>
      <c r="AB554" t="s">
        <v>4672</v>
      </c>
      <c r="AC554" t="s">
        <v>4672</v>
      </c>
    </row>
    <row r="555" spans="1:29" hidden="1">
      <c r="A555" s="10">
        <v>46030</v>
      </c>
      <c r="B555" s="10">
        <v>46031</v>
      </c>
      <c r="C555" t="s">
        <v>5881</v>
      </c>
      <c r="D555" t="s">
        <v>4977</v>
      </c>
      <c r="E555" t="s">
        <v>4962</v>
      </c>
      <c r="F555" t="s">
        <v>5281</v>
      </c>
      <c r="G555" t="s">
        <v>4672</v>
      </c>
      <c r="H555" t="s">
        <v>4970</v>
      </c>
      <c r="I555" t="s">
        <v>4979</v>
      </c>
      <c r="J555" t="s">
        <v>4980</v>
      </c>
      <c r="K555" t="s">
        <v>4981</v>
      </c>
      <c r="L555" t="s">
        <v>2697</v>
      </c>
      <c r="M555">
        <v>4999</v>
      </c>
      <c r="N555" s="641">
        <f>+transaction_statement_01_Jan_2026_28_Feb_2026[[#This Row],[Orig amount]]/100</f>
        <v>49.99</v>
      </c>
      <c r="O555" t="s">
        <v>2697</v>
      </c>
      <c r="P555">
        <v>-4999</v>
      </c>
      <c r="Q555">
        <v>-4999</v>
      </c>
      <c r="S555">
        <v>0</v>
      </c>
      <c r="T555" t="s">
        <v>2697</v>
      </c>
      <c r="U555">
        <v>93050</v>
      </c>
      <c r="V555" t="s">
        <v>4965</v>
      </c>
      <c r="X555" t="s">
        <v>4672</v>
      </c>
      <c r="Y555" t="s">
        <v>4672</v>
      </c>
      <c r="Z555" t="s">
        <v>4672</v>
      </c>
      <c r="AA555">
        <v>5734</v>
      </c>
      <c r="AB555" t="s">
        <v>4672</v>
      </c>
      <c r="AC555" t="s">
        <v>4672</v>
      </c>
    </row>
    <row r="556" spans="1:29" hidden="1">
      <c r="A556" s="10">
        <v>46031</v>
      </c>
      <c r="B556" s="10">
        <v>46031</v>
      </c>
      <c r="C556" t="s">
        <v>5882</v>
      </c>
      <c r="D556" t="s">
        <v>4967</v>
      </c>
      <c r="E556" t="s">
        <v>4962</v>
      </c>
      <c r="F556" t="s">
        <v>5400</v>
      </c>
      <c r="G556" t="s">
        <v>5883</v>
      </c>
      <c r="H556" t="s">
        <v>4672</v>
      </c>
      <c r="I556" t="s">
        <v>4672</v>
      </c>
      <c r="J556" t="s">
        <v>4672</v>
      </c>
      <c r="K556" t="s">
        <v>4672</v>
      </c>
      <c r="L556" t="s">
        <v>2697</v>
      </c>
      <c r="M556">
        <v>4855</v>
      </c>
      <c r="N556" s="641">
        <f>+transaction_statement_01_Jan_2026_28_Feb_2026[[#This Row],[Orig amount]]/100</f>
        <v>48.55</v>
      </c>
      <c r="O556" t="s">
        <v>2697</v>
      </c>
      <c r="P556">
        <v>-4855</v>
      </c>
      <c r="Q556">
        <v>-4855</v>
      </c>
      <c r="S556">
        <v>0</v>
      </c>
      <c r="T556" t="s">
        <v>2697</v>
      </c>
      <c r="U556">
        <v>98049</v>
      </c>
      <c r="V556" t="s">
        <v>4965</v>
      </c>
      <c r="X556" t="s">
        <v>4672</v>
      </c>
      <c r="Y556" t="s">
        <v>5402</v>
      </c>
      <c r="Z556" t="s">
        <v>5403</v>
      </c>
      <c r="AB556" t="s">
        <v>4672</v>
      </c>
      <c r="AC556" t="s">
        <v>4672</v>
      </c>
    </row>
    <row r="557" spans="1:29" hidden="1">
      <c r="A557" s="10">
        <v>46031</v>
      </c>
      <c r="B557" s="10">
        <v>46031</v>
      </c>
      <c r="C557" t="s">
        <v>5884</v>
      </c>
      <c r="D557" t="s">
        <v>4967</v>
      </c>
      <c r="E557" t="s">
        <v>4962</v>
      </c>
      <c r="F557" t="s">
        <v>5058</v>
      </c>
      <c r="G557" t="s">
        <v>5777</v>
      </c>
      <c r="H557" t="s">
        <v>4970</v>
      </c>
      <c r="I557" t="s">
        <v>4672</v>
      </c>
      <c r="J557" t="s">
        <v>4672</v>
      </c>
      <c r="K557" t="s">
        <v>4672</v>
      </c>
      <c r="L557" t="s">
        <v>2697</v>
      </c>
      <c r="M557">
        <v>50000</v>
      </c>
      <c r="N557" s="641">
        <f>+transaction_statement_01_Jan_2026_28_Feb_2026[[#This Row],[Orig amount]]/100</f>
        <v>500</v>
      </c>
      <c r="O557" t="s">
        <v>2697</v>
      </c>
      <c r="P557">
        <v>-50000</v>
      </c>
      <c r="Q557">
        <v>-50000</v>
      </c>
      <c r="S557">
        <v>0</v>
      </c>
      <c r="T557" t="s">
        <v>2697</v>
      </c>
      <c r="U557">
        <v>102904</v>
      </c>
      <c r="V557" t="s">
        <v>4965</v>
      </c>
      <c r="X557" t="s">
        <v>4672</v>
      </c>
      <c r="Y557" t="s">
        <v>5060</v>
      </c>
      <c r="Z557" t="s">
        <v>5031</v>
      </c>
      <c r="AB557" t="s">
        <v>4672</v>
      </c>
      <c r="AC557" t="s">
        <v>4672</v>
      </c>
    </row>
    <row r="558" spans="1:29" hidden="1">
      <c r="A558" s="10">
        <v>46031</v>
      </c>
      <c r="B558" s="10">
        <v>46031</v>
      </c>
      <c r="C558" t="s">
        <v>5885</v>
      </c>
      <c r="D558" t="s">
        <v>4977</v>
      </c>
      <c r="E558" t="s">
        <v>4962</v>
      </c>
      <c r="F558" t="s">
        <v>5411</v>
      </c>
      <c r="G558" t="s">
        <v>4672</v>
      </c>
      <c r="H558" t="s">
        <v>4970</v>
      </c>
      <c r="I558" t="s">
        <v>4979</v>
      </c>
      <c r="J558" t="s">
        <v>4980</v>
      </c>
      <c r="K558" t="s">
        <v>4981</v>
      </c>
      <c r="L558" t="s">
        <v>2697</v>
      </c>
      <c r="M558">
        <v>21301</v>
      </c>
      <c r="N558" s="641">
        <f>+transaction_statement_01_Jan_2026_28_Feb_2026[[#This Row],[Orig amount]]/100</f>
        <v>213.01</v>
      </c>
      <c r="O558" t="s">
        <v>2697</v>
      </c>
      <c r="P558">
        <v>-21301</v>
      </c>
      <c r="Q558">
        <v>-21301</v>
      </c>
      <c r="S558">
        <v>0</v>
      </c>
      <c r="T558" t="s">
        <v>2697</v>
      </c>
      <c r="U558">
        <v>152904</v>
      </c>
      <c r="V558" t="s">
        <v>4965</v>
      </c>
      <c r="X558" t="s">
        <v>4672</v>
      </c>
      <c r="Y558" t="s">
        <v>4672</v>
      </c>
      <c r="Z558" t="s">
        <v>4672</v>
      </c>
      <c r="AA558">
        <v>5734</v>
      </c>
      <c r="AB558" t="s">
        <v>4672</v>
      </c>
      <c r="AC558" t="s">
        <v>4672</v>
      </c>
    </row>
    <row r="559" spans="1:29" hidden="1">
      <c r="A559" s="10">
        <v>46030</v>
      </c>
      <c r="B559" s="10">
        <v>46031</v>
      </c>
      <c r="C559" t="s">
        <v>5886</v>
      </c>
      <c r="D559" t="s">
        <v>4977</v>
      </c>
      <c r="E559" t="s">
        <v>4962</v>
      </c>
      <c r="F559" t="s">
        <v>5887</v>
      </c>
      <c r="G559" t="s">
        <v>4672</v>
      </c>
      <c r="H559" t="s">
        <v>4970</v>
      </c>
      <c r="I559" t="s">
        <v>4984</v>
      </c>
      <c r="J559" t="s">
        <v>4985</v>
      </c>
      <c r="K559" t="s">
        <v>4981</v>
      </c>
      <c r="L559" t="s">
        <v>2697</v>
      </c>
      <c r="M559">
        <v>785</v>
      </c>
      <c r="N559" s="641">
        <f>+transaction_statement_01_Jan_2026_28_Feb_2026[[#This Row],[Orig amount]]/100</f>
        <v>7.85</v>
      </c>
      <c r="O559" t="s">
        <v>2697</v>
      </c>
      <c r="P559">
        <v>-785</v>
      </c>
      <c r="Q559">
        <v>-785</v>
      </c>
      <c r="S559">
        <v>0</v>
      </c>
      <c r="T559" t="s">
        <v>2697</v>
      </c>
      <c r="U559">
        <v>174205</v>
      </c>
      <c r="V559" t="s">
        <v>4965</v>
      </c>
      <c r="X559" t="s">
        <v>4672</v>
      </c>
      <c r="Y559" t="s">
        <v>4672</v>
      </c>
      <c r="Z559" t="s">
        <v>4672</v>
      </c>
      <c r="AA559">
        <v>5993</v>
      </c>
      <c r="AB559" t="s">
        <v>4672</v>
      </c>
      <c r="AC559" t="s">
        <v>4672</v>
      </c>
    </row>
    <row r="560" spans="1:29" hidden="1">
      <c r="A560" s="10">
        <v>46030</v>
      </c>
      <c r="B560" s="10">
        <v>46030</v>
      </c>
      <c r="C560" t="s">
        <v>5888</v>
      </c>
      <c r="D560" t="s">
        <v>4961</v>
      </c>
      <c r="E560" t="s">
        <v>4962</v>
      </c>
      <c r="F560" t="s">
        <v>5025</v>
      </c>
      <c r="G560" t="s">
        <v>5026</v>
      </c>
      <c r="H560" t="s">
        <v>4672</v>
      </c>
      <c r="I560" t="s">
        <v>4672</v>
      </c>
      <c r="J560" t="s">
        <v>4672</v>
      </c>
      <c r="K560" t="s">
        <v>4672</v>
      </c>
      <c r="L560" t="s">
        <v>2697</v>
      </c>
      <c r="M560">
        <v>94777</v>
      </c>
      <c r="N560" s="641">
        <f>+transaction_statement_01_Jan_2026_28_Feb_2026[[#This Row],[Orig amount]]/100</f>
        <v>947.77</v>
      </c>
      <c r="O560" t="s">
        <v>2697</v>
      </c>
      <c r="P560">
        <v>94777</v>
      </c>
      <c r="Q560">
        <v>94777</v>
      </c>
      <c r="S560">
        <v>0</v>
      </c>
      <c r="T560" t="s">
        <v>2697</v>
      </c>
      <c r="U560">
        <v>174990</v>
      </c>
      <c r="V560" t="s">
        <v>4965</v>
      </c>
      <c r="X560" t="s">
        <v>4672</v>
      </c>
      <c r="Y560" t="s">
        <v>4672</v>
      </c>
      <c r="Z560" t="s">
        <v>4672</v>
      </c>
      <c r="AB560" t="s">
        <v>4672</v>
      </c>
      <c r="AC560" t="s">
        <v>4672</v>
      </c>
    </row>
    <row r="561" spans="1:29" hidden="1">
      <c r="A561" s="10">
        <v>46030</v>
      </c>
      <c r="B561" s="10">
        <v>46030</v>
      </c>
      <c r="C561" t="s">
        <v>5889</v>
      </c>
      <c r="D561" t="s">
        <v>4967</v>
      </c>
      <c r="E561" t="s">
        <v>4962</v>
      </c>
      <c r="F561" t="s">
        <v>5519</v>
      </c>
      <c r="G561" t="s">
        <v>5042</v>
      </c>
      <c r="H561" t="s">
        <v>4970</v>
      </c>
      <c r="I561" t="s">
        <v>4672</v>
      </c>
      <c r="J561" t="s">
        <v>4672</v>
      </c>
      <c r="K561" t="s">
        <v>4672</v>
      </c>
      <c r="L561" t="s">
        <v>2697</v>
      </c>
      <c r="M561">
        <v>100000</v>
      </c>
      <c r="N561" s="641">
        <f>+transaction_statement_01_Jan_2026_28_Feb_2026[[#This Row],[Orig amount]]/100</f>
        <v>1000</v>
      </c>
      <c r="O561" t="s">
        <v>2697</v>
      </c>
      <c r="P561">
        <v>-100000</v>
      </c>
      <c r="Q561">
        <v>-100000</v>
      </c>
      <c r="S561">
        <v>0</v>
      </c>
      <c r="T561" t="s">
        <v>2697</v>
      </c>
      <c r="U561">
        <v>80213</v>
      </c>
      <c r="V561" t="s">
        <v>4965</v>
      </c>
      <c r="X561" t="s">
        <v>4672</v>
      </c>
      <c r="Y561" t="s">
        <v>5521</v>
      </c>
      <c r="Z561" t="s">
        <v>5522</v>
      </c>
      <c r="AB561" t="s">
        <v>4672</v>
      </c>
      <c r="AC561" t="s">
        <v>4672</v>
      </c>
    </row>
    <row r="562" spans="1:29" hidden="1">
      <c r="A562" s="10">
        <v>46030</v>
      </c>
      <c r="B562" s="10">
        <v>46030</v>
      </c>
      <c r="C562" t="s">
        <v>5890</v>
      </c>
      <c r="D562" t="s">
        <v>4961</v>
      </c>
      <c r="E562" t="s">
        <v>4962</v>
      </c>
      <c r="F562" t="s">
        <v>5025</v>
      </c>
      <c r="G562" t="s">
        <v>5026</v>
      </c>
      <c r="H562" t="s">
        <v>4672</v>
      </c>
      <c r="I562" t="s">
        <v>4672</v>
      </c>
      <c r="J562" t="s">
        <v>4672</v>
      </c>
      <c r="K562" t="s">
        <v>4672</v>
      </c>
      <c r="L562" t="s">
        <v>2697</v>
      </c>
      <c r="M562">
        <v>94777</v>
      </c>
      <c r="N562" s="641">
        <f>+transaction_statement_01_Jan_2026_28_Feb_2026[[#This Row],[Orig amount]]/100</f>
        <v>947.77</v>
      </c>
      <c r="O562" t="s">
        <v>2697</v>
      </c>
      <c r="P562">
        <v>94777</v>
      </c>
      <c r="Q562">
        <v>94777</v>
      </c>
      <c r="S562">
        <v>0</v>
      </c>
      <c r="T562" t="s">
        <v>2697</v>
      </c>
      <c r="U562">
        <v>180213</v>
      </c>
      <c r="V562" t="s">
        <v>4965</v>
      </c>
      <c r="X562" t="s">
        <v>4672</v>
      </c>
      <c r="Y562" t="s">
        <v>4672</v>
      </c>
      <c r="Z562" t="s">
        <v>4672</v>
      </c>
      <c r="AB562" t="s">
        <v>4672</v>
      </c>
      <c r="AC562" t="s">
        <v>4672</v>
      </c>
    </row>
    <row r="563" spans="1:29" hidden="1">
      <c r="A563" s="10">
        <v>46023</v>
      </c>
      <c r="B563" s="10">
        <v>46030</v>
      </c>
      <c r="C563" t="s">
        <v>5891</v>
      </c>
      <c r="D563" t="s">
        <v>4977</v>
      </c>
      <c r="E563" t="s">
        <v>4962</v>
      </c>
      <c r="F563" t="s">
        <v>5892</v>
      </c>
      <c r="G563" t="s">
        <v>4672</v>
      </c>
      <c r="H563" t="s">
        <v>4970</v>
      </c>
      <c r="I563" t="s">
        <v>4984</v>
      </c>
      <c r="J563" t="s">
        <v>4985</v>
      </c>
      <c r="K563" t="s">
        <v>4981</v>
      </c>
      <c r="L563" t="s">
        <v>2697</v>
      </c>
      <c r="M563">
        <v>570</v>
      </c>
      <c r="N563" s="641">
        <f>+transaction_statement_01_Jan_2026_28_Feb_2026[[#This Row],[Orig amount]]/100</f>
        <v>5.7</v>
      </c>
      <c r="O563" t="s">
        <v>2697</v>
      </c>
      <c r="P563">
        <v>-570</v>
      </c>
      <c r="Q563">
        <v>-570</v>
      </c>
      <c r="S563">
        <v>0</v>
      </c>
      <c r="T563" t="s">
        <v>2697</v>
      </c>
      <c r="U563">
        <v>85436</v>
      </c>
      <c r="V563" t="s">
        <v>4965</v>
      </c>
      <c r="X563" t="s">
        <v>4672</v>
      </c>
      <c r="Y563" t="s">
        <v>4672</v>
      </c>
      <c r="Z563" t="s">
        <v>4672</v>
      </c>
      <c r="AA563">
        <v>4784</v>
      </c>
      <c r="AB563" t="s">
        <v>4672</v>
      </c>
      <c r="AC563" t="s">
        <v>4672</v>
      </c>
    </row>
    <row r="564" spans="1:29" hidden="1">
      <c r="A564" s="10">
        <v>46029</v>
      </c>
      <c r="B564" s="10">
        <v>46030</v>
      </c>
      <c r="C564" t="s">
        <v>5893</v>
      </c>
      <c r="D564" t="s">
        <v>4977</v>
      </c>
      <c r="E564" t="s">
        <v>4962</v>
      </c>
      <c r="F564" t="s">
        <v>5433</v>
      </c>
      <c r="G564" t="s">
        <v>4672</v>
      </c>
      <c r="H564" t="s">
        <v>4970</v>
      </c>
      <c r="I564" t="s">
        <v>4979</v>
      </c>
      <c r="J564" t="s">
        <v>4980</v>
      </c>
      <c r="K564" t="s">
        <v>4981</v>
      </c>
      <c r="L564" t="s">
        <v>2697</v>
      </c>
      <c r="M564">
        <v>27232</v>
      </c>
      <c r="N564" s="641">
        <f>+transaction_statement_01_Jan_2026_28_Feb_2026[[#This Row],[Orig amount]]/100</f>
        <v>272.32</v>
      </c>
      <c r="O564" t="s">
        <v>2697</v>
      </c>
      <c r="P564">
        <v>-27232</v>
      </c>
      <c r="Q564">
        <v>-27232</v>
      </c>
      <c r="S564">
        <v>0</v>
      </c>
      <c r="T564" t="s">
        <v>2697</v>
      </c>
      <c r="U564">
        <v>86006</v>
      </c>
      <c r="V564" t="s">
        <v>4965</v>
      </c>
      <c r="X564" t="s">
        <v>4672</v>
      </c>
      <c r="Y564" t="s">
        <v>4672</v>
      </c>
      <c r="Z564" t="s">
        <v>4672</v>
      </c>
      <c r="AA564">
        <v>5734</v>
      </c>
      <c r="AB564" t="s">
        <v>4672</v>
      </c>
      <c r="AC564" t="s">
        <v>4672</v>
      </c>
    </row>
    <row r="565" spans="1:29" hidden="1">
      <c r="A565" s="10">
        <v>46029</v>
      </c>
      <c r="B565" s="10">
        <v>46030</v>
      </c>
      <c r="C565" t="s">
        <v>5894</v>
      </c>
      <c r="D565" t="s">
        <v>4977</v>
      </c>
      <c r="E565" t="s">
        <v>4962</v>
      </c>
      <c r="F565" t="s">
        <v>5445</v>
      </c>
      <c r="G565" t="s">
        <v>4672</v>
      </c>
      <c r="H565" t="s">
        <v>4970</v>
      </c>
      <c r="I565" t="s">
        <v>4979</v>
      </c>
      <c r="J565" t="s">
        <v>4980</v>
      </c>
      <c r="K565" t="s">
        <v>4981</v>
      </c>
      <c r="L565" t="s">
        <v>2697</v>
      </c>
      <c r="M565">
        <v>50000</v>
      </c>
      <c r="N565" s="641">
        <f>+transaction_statement_01_Jan_2026_28_Feb_2026[[#This Row],[Orig amount]]/100</f>
        <v>500</v>
      </c>
      <c r="O565" t="s">
        <v>2697</v>
      </c>
      <c r="P565">
        <v>-50000</v>
      </c>
      <c r="Q565">
        <v>-50000</v>
      </c>
      <c r="S565">
        <v>0</v>
      </c>
      <c r="T565" t="s">
        <v>2697</v>
      </c>
      <c r="U565">
        <v>113238</v>
      </c>
      <c r="V565" t="s">
        <v>4965</v>
      </c>
      <c r="X565" t="s">
        <v>4672</v>
      </c>
      <c r="Y565" t="s">
        <v>4672</v>
      </c>
      <c r="Z565" t="s">
        <v>4672</v>
      </c>
      <c r="AA565">
        <v>7311</v>
      </c>
      <c r="AB565" t="s">
        <v>4672</v>
      </c>
      <c r="AC565" t="s">
        <v>4672</v>
      </c>
    </row>
    <row r="566" spans="1:29" hidden="1">
      <c r="A566" s="10">
        <v>46029</v>
      </c>
      <c r="B566" s="10">
        <v>46030</v>
      </c>
      <c r="C566" t="s">
        <v>5895</v>
      </c>
      <c r="D566" t="s">
        <v>4977</v>
      </c>
      <c r="E566" t="s">
        <v>4962</v>
      </c>
      <c r="F566" t="s">
        <v>5896</v>
      </c>
      <c r="G566" t="s">
        <v>4672</v>
      </c>
      <c r="H566" t="s">
        <v>4970</v>
      </c>
      <c r="I566" t="s">
        <v>4979</v>
      </c>
      <c r="J566" t="s">
        <v>4980</v>
      </c>
      <c r="K566" t="s">
        <v>4981</v>
      </c>
      <c r="L566" t="s">
        <v>2697</v>
      </c>
      <c r="M566">
        <v>14560</v>
      </c>
      <c r="N566" s="641">
        <f>+transaction_statement_01_Jan_2026_28_Feb_2026[[#This Row],[Orig amount]]/100</f>
        <v>145.6</v>
      </c>
      <c r="O566" t="s">
        <v>2697</v>
      </c>
      <c r="P566">
        <v>-14560</v>
      </c>
      <c r="Q566">
        <v>-14560</v>
      </c>
      <c r="S566">
        <v>0</v>
      </c>
      <c r="T566" t="s">
        <v>2697</v>
      </c>
      <c r="U566">
        <v>163238</v>
      </c>
      <c r="V566" t="s">
        <v>4965</v>
      </c>
      <c r="X566" t="s">
        <v>4672</v>
      </c>
      <c r="Y566" t="s">
        <v>4672</v>
      </c>
      <c r="Z566" t="s">
        <v>4672</v>
      </c>
      <c r="AA566">
        <v>5045</v>
      </c>
      <c r="AB566" t="s">
        <v>4672</v>
      </c>
      <c r="AC566" t="s">
        <v>4672</v>
      </c>
    </row>
    <row r="567" spans="1:29" hidden="1">
      <c r="A567" s="10">
        <v>46029</v>
      </c>
      <c r="B567" s="10">
        <v>46030</v>
      </c>
      <c r="C567" t="s">
        <v>5897</v>
      </c>
      <c r="D567" t="s">
        <v>4977</v>
      </c>
      <c r="E567" t="s">
        <v>4962</v>
      </c>
      <c r="F567" t="s">
        <v>5000</v>
      </c>
      <c r="G567" t="s">
        <v>4672</v>
      </c>
      <c r="H567" t="s">
        <v>4970</v>
      </c>
      <c r="I567" t="s">
        <v>4979</v>
      </c>
      <c r="J567" t="s">
        <v>4980</v>
      </c>
      <c r="K567" t="s">
        <v>4981</v>
      </c>
      <c r="L567" t="s">
        <v>2697</v>
      </c>
      <c r="M567">
        <v>3761</v>
      </c>
      <c r="N567" s="641">
        <f>+transaction_statement_01_Jan_2026_28_Feb_2026[[#This Row],[Orig amount]]/100</f>
        <v>37.61</v>
      </c>
      <c r="O567" t="s">
        <v>2697</v>
      </c>
      <c r="P567">
        <v>-3761</v>
      </c>
      <c r="Q567">
        <v>-3761</v>
      </c>
      <c r="S567">
        <v>0</v>
      </c>
      <c r="T567" t="s">
        <v>2697</v>
      </c>
      <c r="U567">
        <v>177798</v>
      </c>
      <c r="V567" t="s">
        <v>4965</v>
      </c>
      <c r="X567" t="s">
        <v>4672</v>
      </c>
      <c r="Y567" t="s">
        <v>4672</v>
      </c>
      <c r="Z567" t="s">
        <v>4672</v>
      </c>
      <c r="AA567">
        <v>7372</v>
      </c>
      <c r="AB567" t="s">
        <v>4672</v>
      </c>
      <c r="AC567" t="s">
        <v>4672</v>
      </c>
    </row>
    <row r="568" spans="1:29" hidden="1">
      <c r="A568" s="10">
        <v>46030</v>
      </c>
      <c r="B568" s="10">
        <v>46030</v>
      </c>
      <c r="C568" t="s">
        <v>5585</v>
      </c>
      <c r="D568" t="s">
        <v>4967</v>
      </c>
      <c r="E568" t="s">
        <v>4962</v>
      </c>
      <c r="F568" t="s">
        <v>5046</v>
      </c>
      <c r="G568" t="s">
        <v>4672</v>
      </c>
      <c r="H568" t="s">
        <v>4970</v>
      </c>
      <c r="I568" t="s">
        <v>4672</v>
      </c>
      <c r="J568" t="s">
        <v>4672</v>
      </c>
      <c r="K568" t="s">
        <v>4672</v>
      </c>
      <c r="L568" t="s">
        <v>2697</v>
      </c>
      <c r="M568">
        <v>10000</v>
      </c>
      <c r="N568" s="641">
        <f>+transaction_statement_01_Jan_2026_28_Feb_2026[[#This Row],[Orig amount]]/100</f>
        <v>100</v>
      </c>
      <c r="O568" t="s">
        <v>2697</v>
      </c>
      <c r="P568">
        <v>-10000</v>
      </c>
      <c r="Q568">
        <v>-10000</v>
      </c>
      <c r="S568">
        <v>0</v>
      </c>
      <c r="T568" t="s">
        <v>2697</v>
      </c>
      <c r="U568">
        <v>0</v>
      </c>
      <c r="V568" t="s">
        <v>5047</v>
      </c>
      <c r="X568" t="s">
        <v>4672</v>
      </c>
      <c r="Y568" t="s">
        <v>4672</v>
      </c>
      <c r="Z568" t="s">
        <v>4672</v>
      </c>
      <c r="AB568" t="s">
        <v>4672</v>
      </c>
      <c r="AC568" t="s">
        <v>4672</v>
      </c>
    </row>
    <row r="569" spans="1:29" hidden="1">
      <c r="A569" s="10">
        <v>46030</v>
      </c>
      <c r="B569" s="10">
        <v>46030</v>
      </c>
      <c r="C569" t="s">
        <v>5585</v>
      </c>
      <c r="D569" t="s">
        <v>4967</v>
      </c>
      <c r="E569" t="s">
        <v>4962</v>
      </c>
      <c r="F569" t="s">
        <v>5048</v>
      </c>
      <c r="G569" t="s">
        <v>4672</v>
      </c>
      <c r="H569" t="s">
        <v>4970</v>
      </c>
      <c r="I569" t="s">
        <v>4672</v>
      </c>
      <c r="J569" t="s">
        <v>4672</v>
      </c>
      <c r="K569" t="s">
        <v>4672</v>
      </c>
      <c r="L569" t="s">
        <v>2697</v>
      </c>
      <c r="M569">
        <v>-10000</v>
      </c>
      <c r="N569" s="641">
        <f>+transaction_statement_01_Jan_2026_28_Feb_2026[[#This Row],[Orig amount]]/100</f>
        <v>-100</v>
      </c>
      <c r="O569" t="s">
        <v>2697</v>
      </c>
      <c r="P569">
        <v>10000</v>
      </c>
      <c r="Q569">
        <v>10000</v>
      </c>
      <c r="S569">
        <v>0</v>
      </c>
      <c r="T569" t="s">
        <v>2697</v>
      </c>
      <c r="U569">
        <v>181559</v>
      </c>
      <c r="V569" t="s">
        <v>4965</v>
      </c>
      <c r="X569" t="s">
        <v>4672</v>
      </c>
      <c r="Y569" t="s">
        <v>4672</v>
      </c>
      <c r="Z569" t="s">
        <v>4672</v>
      </c>
      <c r="AB569" t="s">
        <v>4672</v>
      </c>
      <c r="AC569" t="s">
        <v>4672</v>
      </c>
    </row>
    <row r="570" spans="1:29" hidden="1">
      <c r="A570" s="10">
        <v>46030</v>
      </c>
      <c r="B570" s="10">
        <v>46030</v>
      </c>
      <c r="C570" t="s">
        <v>5898</v>
      </c>
      <c r="D570" t="s">
        <v>4967</v>
      </c>
      <c r="E570" t="s">
        <v>4962</v>
      </c>
      <c r="F570" t="s">
        <v>5334</v>
      </c>
      <c r="G570" t="s">
        <v>5873</v>
      </c>
      <c r="H570" t="s">
        <v>4970</v>
      </c>
      <c r="I570" t="s">
        <v>4672</v>
      </c>
      <c r="J570" t="s">
        <v>4672</v>
      </c>
      <c r="K570" t="s">
        <v>4672</v>
      </c>
      <c r="L570" t="s">
        <v>2697</v>
      </c>
      <c r="M570">
        <v>250000</v>
      </c>
      <c r="N570" s="641">
        <f>+transaction_statement_01_Jan_2026_28_Feb_2026[[#This Row],[Orig amount]]/100</f>
        <v>2500</v>
      </c>
      <c r="O570" t="s">
        <v>2697</v>
      </c>
      <c r="P570">
        <v>-250000</v>
      </c>
      <c r="Q570">
        <v>-250000</v>
      </c>
      <c r="S570">
        <v>0</v>
      </c>
      <c r="T570" t="s">
        <v>2697</v>
      </c>
      <c r="U570">
        <v>171559</v>
      </c>
      <c r="V570" t="s">
        <v>4965</v>
      </c>
      <c r="X570" t="s">
        <v>4672</v>
      </c>
      <c r="Y570" t="s">
        <v>5336</v>
      </c>
      <c r="Z570" t="s">
        <v>5337</v>
      </c>
      <c r="AB570" t="s">
        <v>4672</v>
      </c>
      <c r="AC570" t="s">
        <v>4672</v>
      </c>
    </row>
    <row r="571" spans="1:29" hidden="1">
      <c r="A571" s="10">
        <v>46030</v>
      </c>
      <c r="B571" s="10">
        <v>46030</v>
      </c>
      <c r="C571" t="s">
        <v>5899</v>
      </c>
      <c r="D571" t="s">
        <v>4961</v>
      </c>
      <c r="E571" t="s">
        <v>4962</v>
      </c>
      <c r="F571" t="s">
        <v>5025</v>
      </c>
      <c r="G571" t="s">
        <v>5026</v>
      </c>
      <c r="H571" t="s">
        <v>4672</v>
      </c>
      <c r="I571" t="s">
        <v>4672</v>
      </c>
      <c r="J571" t="s">
        <v>4672</v>
      </c>
      <c r="K571" t="s">
        <v>4672</v>
      </c>
      <c r="L571" t="s">
        <v>2697</v>
      </c>
      <c r="M571">
        <v>114457</v>
      </c>
      <c r="N571" s="641">
        <f>+transaction_statement_01_Jan_2026_28_Feb_2026[[#This Row],[Orig amount]]/100</f>
        <v>1144.57</v>
      </c>
      <c r="O571" t="s">
        <v>2697</v>
      </c>
      <c r="P571">
        <v>114457</v>
      </c>
      <c r="Q571">
        <v>114457</v>
      </c>
      <c r="S571">
        <v>0</v>
      </c>
      <c r="T571" t="s">
        <v>2697</v>
      </c>
      <c r="U571">
        <v>421559</v>
      </c>
      <c r="V571" t="s">
        <v>4965</v>
      </c>
      <c r="X571" t="s">
        <v>4672</v>
      </c>
      <c r="Y571" t="s">
        <v>4672</v>
      </c>
      <c r="Z571" t="s">
        <v>4672</v>
      </c>
      <c r="AB571" t="s">
        <v>4672</v>
      </c>
      <c r="AC571" t="s">
        <v>4672</v>
      </c>
    </row>
    <row r="572" spans="1:29" hidden="1">
      <c r="A572" s="10">
        <v>46030</v>
      </c>
      <c r="B572" s="10">
        <v>46030</v>
      </c>
      <c r="C572" t="s">
        <v>5900</v>
      </c>
      <c r="D572" t="s">
        <v>5418</v>
      </c>
      <c r="E572" t="s">
        <v>4962</v>
      </c>
      <c r="F572" t="s">
        <v>5419</v>
      </c>
      <c r="G572" t="s">
        <v>4672</v>
      </c>
      <c r="H572" t="s">
        <v>4970</v>
      </c>
      <c r="I572" t="s">
        <v>4672</v>
      </c>
      <c r="J572" t="s">
        <v>4672</v>
      </c>
      <c r="K572" t="s">
        <v>4672</v>
      </c>
      <c r="L572" t="s">
        <v>2697</v>
      </c>
      <c r="M572">
        <v>57429</v>
      </c>
      <c r="N572" s="641">
        <f>+transaction_statement_01_Jan_2026_28_Feb_2026[[#This Row],[Orig amount]]/100</f>
        <v>574.29</v>
      </c>
      <c r="O572" t="s">
        <v>2548</v>
      </c>
      <c r="P572">
        <v>-67079</v>
      </c>
      <c r="Q572">
        <v>-67079</v>
      </c>
      <c r="R572">
        <v>856153</v>
      </c>
      <c r="S572">
        <v>0</v>
      </c>
      <c r="T572" t="s">
        <v>2548</v>
      </c>
      <c r="U572">
        <v>0</v>
      </c>
      <c r="V572" t="s">
        <v>5420</v>
      </c>
      <c r="X572" t="s">
        <v>4672</v>
      </c>
      <c r="Y572" t="s">
        <v>4672</v>
      </c>
      <c r="Z572" t="s">
        <v>4672</v>
      </c>
      <c r="AB572" t="s">
        <v>4672</v>
      </c>
      <c r="AC572" t="s">
        <v>4672</v>
      </c>
    </row>
    <row r="573" spans="1:29" hidden="1">
      <c r="A573" s="10">
        <v>46030</v>
      </c>
      <c r="B573" s="10">
        <v>46030</v>
      </c>
      <c r="C573" t="s">
        <v>5900</v>
      </c>
      <c r="D573" t="s">
        <v>5418</v>
      </c>
      <c r="E573" t="s">
        <v>4962</v>
      </c>
      <c r="F573" t="s">
        <v>5419</v>
      </c>
      <c r="G573" t="s">
        <v>4672</v>
      </c>
      <c r="H573" t="s">
        <v>4970</v>
      </c>
      <c r="I573" t="s">
        <v>4672</v>
      </c>
      <c r="J573" t="s">
        <v>4672</v>
      </c>
      <c r="K573" t="s">
        <v>4672</v>
      </c>
      <c r="L573" t="s">
        <v>2548</v>
      </c>
      <c r="M573">
        <v>-67079</v>
      </c>
      <c r="N573" s="641">
        <f>+transaction_statement_01_Jan_2026_28_Feb_2026[[#This Row],[Orig amount]]/100</f>
        <v>-670.79</v>
      </c>
      <c r="O573" t="s">
        <v>2697</v>
      </c>
      <c r="P573">
        <v>57429</v>
      </c>
      <c r="Q573">
        <v>57429</v>
      </c>
      <c r="R573">
        <v>1168015</v>
      </c>
      <c r="S573">
        <v>0</v>
      </c>
      <c r="T573" t="s">
        <v>2548</v>
      </c>
      <c r="U573">
        <v>307102</v>
      </c>
      <c r="V573" t="s">
        <v>4965</v>
      </c>
      <c r="X573" t="s">
        <v>4672</v>
      </c>
      <c r="Y573" t="s">
        <v>4672</v>
      </c>
      <c r="Z573" t="s">
        <v>4672</v>
      </c>
      <c r="AB573" t="s">
        <v>4672</v>
      </c>
      <c r="AC573" t="s">
        <v>4672</v>
      </c>
    </row>
    <row r="574" spans="1:29" hidden="1">
      <c r="A574" s="10">
        <v>46030</v>
      </c>
      <c r="B574" s="10">
        <v>46030</v>
      </c>
      <c r="C574" t="s">
        <v>5901</v>
      </c>
      <c r="D574" t="s">
        <v>4961</v>
      </c>
      <c r="E574" t="s">
        <v>4962</v>
      </c>
      <c r="F574" t="s">
        <v>5424</v>
      </c>
      <c r="G574" t="s">
        <v>5902</v>
      </c>
      <c r="H574" t="s">
        <v>4672</v>
      </c>
      <c r="I574" t="s">
        <v>4672</v>
      </c>
      <c r="J574" t="s">
        <v>4672</v>
      </c>
      <c r="K574" t="s">
        <v>4672</v>
      </c>
      <c r="L574" t="s">
        <v>2548</v>
      </c>
      <c r="M574">
        <v>67079</v>
      </c>
      <c r="N574" s="641">
        <f>+transaction_statement_01_Jan_2026_28_Feb_2026[[#This Row],[Orig amount]]/100</f>
        <v>670.79</v>
      </c>
      <c r="O574" t="s">
        <v>2548</v>
      </c>
      <c r="P574">
        <v>67079</v>
      </c>
      <c r="Q574">
        <v>67079</v>
      </c>
      <c r="S574">
        <v>0</v>
      </c>
      <c r="T574" t="s">
        <v>2548</v>
      </c>
      <c r="U574">
        <v>67079</v>
      </c>
      <c r="V574" t="s">
        <v>5420</v>
      </c>
      <c r="X574" t="s">
        <v>4672</v>
      </c>
      <c r="Y574" t="s">
        <v>4672</v>
      </c>
      <c r="Z574" t="s">
        <v>4672</v>
      </c>
      <c r="AB574" t="s">
        <v>4672</v>
      </c>
      <c r="AC574" t="s">
        <v>4672</v>
      </c>
    </row>
    <row r="575" spans="1:29" hidden="1">
      <c r="A575" s="10">
        <v>46029</v>
      </c>
      <c r="B575" s="10">
        <v>46029</v>
      </c>
      <c r="C575" t="s">
        <v>5903</v>
      </c>
      <c r="D575" t="s">
        <v>4977</v>
      </c>
      <c r="E575" t="s">
        <v>4962</v>
      </c>
      <c r="F575" t="s">
        <v>3864</v>
      </c>
      <c r="G575" t="s">
        <v>4672</v>
      </c>
      <c r="H575" t="s">
        <v>4970</v>
      </c>
      <c r="I575" t="s">
        <v>4979</v>
      </c>
      <c r="J575" t="s">
        <v>4980</v>
      </c>
      <c r="K575" t="s">
        <v>4981</v>
      </c>
      <c r="L575" t="s">
        <v>2548</v>
      </c>
      <c r="M575">
        <v>34900</v>
      </c>
      <c r="N575" s="641">
        <f>+transaction_statement_01_Jan_2026_28_Feb_2026[[#This Row],[Orig amount]]/100</f>
        <v>349</v>
      </c>
      <c r="O575" t="s">
        <v>2697</v>
      </c>
      <c r="P575">
        <v>-29837</v>
      </c>
      <c r="Q575">
        <v>-29837</v>
      </c>
      <c r="R575">
        <v>1169696</v>
      </c>
      <c r="S575">
        <v>0</v>
      </c>
      <c r="T575" t="s">
        <v>2697</v>
      </c>
      <c r="U575">
        <v>249673</v>
      </c>
      <c r="V575" t="s">
        <v>4965</v>
      </c>
      <c r="X575" t="s">
        <v>4672</v>
      </c>
      <c r="Y575" t="s">
        <v>4672</v>
      </c>
      <c r="Z575" t="s">
        <v>4672</v>
      </c>
      <c r="AA575">
        <v>5734</v>
      </c>
      <c r="AB575" t="s">
        <v>4672</v>
      </c>
      <c r="AC575" t="s">
        <v>4672</v>
      </c>
    </row>
    <row r="576" spans="1:29" hidden="1">
      <c r="A576" s="10">
        <v>46029</v>
      </c>
      <c r="B576" s="10">
        <v>46029</v>
      </c>
      <c r="C576" t="s">
        <v>5904</v>
      </c>
      <c r="D576" t="s">
        <v>4967</v>
      </c>
      <c r="E576" t="s">
        <v>4962</v>
      </c>
      <c r="F576" t="s">
        <v>5905</v>
      </c>
      <c r="G576" t="s">
        <v>5906</v>
      </c>
      <c r="H576" t="s">
        <v>4970</v>
      </c>
      <c r="I576" t="s">
        <v>4672</v>
      </c>
      <c r="J576" t="s">
        <v>4672</v>
      </c>
      <c r="K576" t="s">
        <v>4672</v>
      </c>
      <c r="L576" t="s">
        <v>2543</v>
      </c>
      <c r="M576">
        <v>800000</v>
      </c>
      <c r="N576" s="641">
        <f>+transaction_statement_01_Jan_2026_28_Feb_2026[[#This Row],[Orig amount]]/100</f>
        <v>8000</v>
      </c>
      <c r="O576" t="s">
        <v>2697</v>
      </c>
      <c r="P576">
        <v>-76507</v>
      </c>
      <c r="Q576">
        <v>-76507</v>
      </c>
      <c r="R576">
        <v>1045665248</v>
      </c>
      <c r="S576">
        <v>0</v>
      </c>
      <c r="T576" t="s">
        <v>2697</v>
      </c>
      <c r="U576">
        <v>279510</v>
      </c>
      <c r="V576" t="s">
        <v>4965</v>
      </c>
      <c r="W576">
        <v>83445769</v>
      </c>
      <c r="X576" t="s">
        <v>4672</v>
      </c>
      <c r="Y576" t="s">
        <v>4672</v>
      </c>
      <c r="Z576" t="s">
        <v>5907</v>
      </c>
      <c r="AB576" t="s">
        <v>4672</v>
      </c>
      <c r="AC576" t="s">
        <v>4672</v>
      </c>
    </row>
    <row r="577" spans="1:29" hidden="1">
      <c r="A577" s="10">
        <v>46029</v>
      </c>
      <c r="B577" s="10">
        <v>46029</v>
      </c>
      <c r="C577" t="s">
        <v>5908</v>
      </c>
      <c r="D577" t="s">
        <v>5418</v>
      </c>
      <c r="E577" t="s">
        <v>4962</v>
      </c>
      <c r="F577" t="s">
        <v>5419</v>
      </c>
      <c r="G577" t="s">
        <v>4672</v>
      </c>
      <c r="H577" t="s">
        <v>4970</v>
      </c>
      <c r="I577" t="s">
        <v>4672</v>
      </c>
      <c r="J577" t="s">
        <v>4672</v>
      </c>
      <c r="K577" t="s">
        <v>4672</v>
      </c>
      <c r="L577" t="s">
        <v>2697</v>
      </c>
      <c r="M577">
        <v>120782</v>
      </c>
      <c r="N577" s="641">
        <f>+transaction_statement_01_Jan_2026_28_Feb_2026[[#This Row],[Orig amount]]/100</f>
        <v>1207.82</v>
      </c>
      <c r="O577" t="s">
        <v>2548</v>
      </c>
      <c r="P577">
        <v>-141279</v>
      </c>
      <c r="Q577">
        <v>-141279</v>
      </c>
      <c r="R577">
        <v>854923</v>
      </c>
      <c r="S577">
        <v>0</v>
      </c>
      <c r="T577" t="s">
        <v>2548</v>
      </c>
      <c r="U577">
        <v>0</v>
      </c>
      <c r="V577" t="s">
        <v>5420</v>
      </c>
      <c r="X577" t="s">
        <v>4672</v>
      </c>
      <c r="Y577" t="s">
        <v>4672</v>
      </c>
      <c r="Z577" t="s">
        <v>4672</v>
      </c>
      <c r="AB577" t="s">
        <v>4672</v>
      </c>
      <c r="AC577" t="s">
        <v>4672</v>
      </c>
    </row>
    <row r="578" spans="1:29" hidden="1">
      <c r="A578" s="10">
        <v>46029</v>
      </c>
      <c r="B578" s="10">
        <v>46029</v>
      </c>
      <c r="C578" t="s">
        <v>5908</v>
      </c>
      <c r="D578" t="s">
        <v>5418</v>
      </c>
      <c r="E578" t="s">
        <v>4962</v>
      </c>
      <c r="F578" t="s">
        <v>5419</v>
      </c>
      <c r="G578" t="s">
        <v>4672</v>
      </c>
      <c r="H578" t="s">
        <v>4970</v>
      </c>
      <c r="I578" t="s">
        <v>4672</v>
      </c>
      <c r="J578" t="s">
        <v>4672</v>
      </c>
      <c r="K578" t="s">
        <v>4672</v>
      </c>
      <c r="L578" t="s">
        <v>2548</v>
      </c>
      <c r="M578">
        <v>-141279</v>
      </c>
      <c r="N578" s="641">
        <f>+transaction_statement_01_Jan_2026_28_Feb_2026[[#This Row],[Orig amount]]/100</f>
        <v>-1412.79</v>
      </c>
      <c r="O578" t="s">
        <v>2697</v>
      </c>
      <c r="P578">
        <v>120782</v>
      </c>
      <c r="Q578">
        <v>120782</v>
      </c>
      <c r="R578">
        <v>1169696</v>
      </c>
      <c r="S578">
        <v>0</v>
      </c>
      <c r="T578" t="s">
        <v>2548</v>
      </c>
      <c r="U578">
        <v>356017</v>
      </c>
      <c r="V578" t="s">
        <v>4965</v>
      </c>
      <c r="X578" t="s">
        <v>4672</v>
      </c>
      <c r="Y578" t="s">
        <v>4672</v>
      </c>
      <c r="Z578" t="s">
        <v>4672</v>
      </c>
      <c r="AB578" t="s">
        <v>4672</v>
      </c>
      <c r="AC578" t="s">
        <v>4672</v>
      </c>
    </row>
    <row r="579" spans="1:29" hidden="1">
      <c r="A579" s="10">
        <v>46028</v>
      </c>
      <c r="B579" s="10">
        <v>46029</v>
      </c>
      <c r="C579" t="s">
        <v>5909</v>
      </c>
      <c r="D579" t="s">
        <v>4977</v>
      </c>
      <c r="E579" t="s">
        <v>4962</v>
      </c>
      <c r="F579" t="s">
        <v>5910</v>
      </c>
      <c r="G579" t="s">
        <v>4672</v>
      </c>
      <c r="H579" t="s">
        <v>4970</v>
      </c>
      <c r="I579" t="s">
        <v>4979</v>
      </c>
      <c r="J579" t="s">
        <v>4980</v>
      </c>
      <c r="K579" t="s">
        <v>4981</v>
      </c>
      <c r="L579" t="s">
        <v>2548</v>
      </c>
      <c r="M579">
        <v>6900</v>
      </c>
      <c r="N579" s="641">
        <f>+transaction_statement_01_Jan_2026_28_Feb_2026[[#This Row],[Orig amount]]/100</f>
        <v>69</v>
      </c>
      <c r="O579" t="s">
        <v>2697</v>
      </c>
      <c r="P579">
        <v>-5893</v>
      </c>
      <c r="Q579">
        <v>-5893</v>
      </c>
      <c r="R579">
        <v>1170926</v>
      </c>
      <c r="S579">
        <v>0</v>
      </c>
      <c r="T579" t="s">
        <v>2697</v>
      </c>
      <c r="U579">
        <v>235235</v>
      </c>
      <c r="V579" t="s">
        <v>4965</v>
      </c>
      <c r="X579" t="s">
        <v>4672</v>
      </c>
      <c r="Y579" t="s">
        <v>4672</v>
      </c>
      <c r="Z579" t="s">
        <v>4672</v>
      </c>
      <c r="AA579">
        <v>5734</v>
      </c>
      <c r="AB579" t="s">
        <v>4672</v>
      </c>
      <c r="AC579" t="s">
        <v>4672</v>
      </c>
    </row>
    <row r="580" spans="1:29" hidden="1">
      <c r="A580" s="10">
        <v>46028</v>
      </c>
      <c r="B580" s="10">
        <v>46029</v>
      </c>
      <c r="C580" t="s">
        <v>5911</v>
      </c>
      <c r="D580" t="s">
        <v>4977</v>
      </c>
      <c r="E580" t="s">
        <v>4962</v>
      </c>
      <c r="F580" t="s">
        <v>5447</v>
      </c>
      <c r="G580" t="s">
        <v>4672</v>
      </c>
      <c r="H580" t="s">
        <v>4970</v>
      </c>
      <c r="I580" t="s">
        <v>4979</v>
      </c>
      <c r="J580" t="s">
        <v>4980</v>
      </c>
      <c r="K580" t="s">
        <v>4981</v>
      </c>
      <c r="L580" t="s">
        <v>2697</v>
      </c>
      <c r="M580">
        <v>8900</v>
      </c>
      <c r="N580" s="641">
        <f>+transaction_statement_01_Jan_2026_28_Feb_2026[[#This Row],[Orig amount]]/100</f>
        <v>89</v>
      </c>
      <c r="O580" t="s">
        <v>2697</v>
      </c>
      <c r="P580">
        <v>-8900</v>
      </c>
      <c r="Q580">
        <v>-8900</v>
      </c>
      <c r="S580">
        <v>0</v>
      </c>
      <c r="T580" t="s">
        <v>2697</v>
      </c>
      <c r="U580">
        <v>241128</v>
      </c>
      <c r="V580" t="s">
        <v>4965</v>
      </c>
      <c r="X580" t="s">
        <v>4672</v>
      </c>
      <c r="Y580" t="s">
        <v>4672</v>
      </c>
      <c r="Z580" t="s">
        <v>4672</v>
      </c>
      <c r="AA580">
        <v>5734</v>
      </c>
      <c r="AB580" t="s">
        <v>4672</v>
      </c>
      <c r="AC580" t="s">
        <v>4672</v>
      </c>
    </row>
    <row r="581" spans="1:29" hidden="1">
      <c r="A581" s="10">
        <v>46028</v>
      </c>
      <c r="B581" s="10">
        <v>46029</v>
      </c>
      <c r="C581" t="s">
        <v>5912</v>
      </c>
      <c r="D581" t="s">
        <v>4977</v>
      </c>
      <c r="E581" t="s">
        <v>4962</v>
      </c>
      <c r="F581" t="s">
        <v>5913</v>
      </c>
      <c r="G581" t="s">
        <v>4672</v>
      </c>
      <c r="H581" t="s">
        <v>4970</v>
      </c>
      <c r="I581" t="s">
        <v>4979</v>
      </c>
      <c r="J581" t="s">
        <v>4980</v>
      </c>
      <c r="K581" t="s">
        <v>4981</v>
      </c>
      <c r="L581" t="s">
        <v>2697</v>
      </c>
      <c r="M581">
        <v>8264</v>
      </c>
      <c r="N581" s="641">
        <f>+transaction_statement_01_Jan_2026_28_Feb_2026[[#This Row],[Orig amount]]/100</f>
        <v>82.64</v>
      </c>
      <c r="O581" t="s">
        <v>2697</v>
      </c>
      <c r="P581">
        <v>-8264</v>
      </c>
      <c r="Q581">
        <v>-8264</v>
      </c>
      <c r="S581">
        <v>0</v>
      </c>
      <c r="T581" t="s">
        <v>2697</v>
      </c>
      <c r="U581">
        <v>250028</v>
      </c>
      <c r="V581" t="s">
        <v>4965</v>
      </c>
      <c r="X581" t="s">
        <v>4672</v>
      </c>
      <c r="Y581" t="s">
        <v>4672</v>
      </c>
      <c r="Z581" t="s">
        <v>4672</v>
      </c>
      <c r="AA581">
        <v>5968</v>
      </c>
      <c r="AB581" t="s">
        <v>4672</v>
      </c>
      <c r="AC581" t="s">
        <v>4672</v>
      </c>
    </row>
    <row r="582" spans="1:29" hidden="1">
      <c r="A582" s="10">
        <v>46029</v>
      </c>
      <c r="B582" s="10">
        <v>46029</v>
      </c>
      <c r="C582" t="s">
        <v>5914</v>
      </c>
      <c r="D582" t="s">
        <v>4961</v>
      </c>
      <c r="E582" t="s">
        <v>4962</v>
      </c>
      <c r="F582" t="s">
        <v>5424</v>
      </c>
      <c r="G582" t="s">
        <v>5915</v>
      </c>
      <c r="H582" t="s">
        <v>4672</v>
      </c>
      <c r="I582" t="s">
        <v>4672</v>
      </c>
      <c r="J582" t="s">
        <v>4672</v>
      </c>
      <c r="K582" t="s">
        <v>4672</v>
      </c>
      <c r="L582" t="s">
        <v>2548</v>
      </c>
      <c r="M582">
        <v>141279</v>
      </c>
      <c r="N582" s="641">
        <f>+transaction_statement_01_Jan_2026_28_Feb_2026[[#This Row],[Orig amount]]/100</f>
        <v>1412.79</v>
      </c>
      <c r="O582" t="s">
        <v>2548</v>
      </c>
      <c r="P582">
        <v>141279</v>
      </c>
      <c r="Q582">
        <v>141279</v>
      </c>
      <c r="S582">
        <v>0</v>
      </c>
      <c r="T582" t="s">
        <v>2548</v>
      </c>
      <c r="U582">
        <v>141279</v>
      </c>
      <c r="V582" t="s">
        <v>5420</v>
      </c>
      <c r="X582" t="s">
        <v>4672</v>
      </c>
      <c r="Y582" t="s">
        <v>4672</v>
      </c>
      <c r="Z582" t="s">
        <v>4672</v>
      </c>
      <c r="AB582" t="s">
        <v>4672</v>
      </c>
      <c r="AC582" t="s">
        <v>4672</v>
      </c>
    </row>
    <row r="583" spans="1:29" hidden="1">
      <c r="A583" s="10">
        <v>46029</v>
      </c>
      <c r="B583" s="10">
        <v>46029</v>
      </c>
      <c r="C583" t="s">
        <v>5916</v>
      </c>
      <c r="D583" t="s">
        <v>4967</v>
      </c>
      <c r="E583" t="s">
        <v>4962</v>
      </c>
      <c r="F583" t="s">
        <v>5187</v>
      </c>
      <c r="G583" t="s">
        <v>5917</v>
      </c>
      <c r="H583" t="s">
        <v>4970</v>
      </c>
      <c r="I583" t="s">
        <v>4672</v>
      </c>
      <c r="J583" t="s">
        <v>4672</v>
      </c>
      <c r="K583" t="s">
        <v>4672</v>
      </c>
      <c r="L583" t="s">
        <v>2697</v>
      </c>
      <c r="M583">
        <v>300000</v>
      </c>
      <c r="N583" s="641">
        <f>+transaction_statement_01_Jan_2026_28_Feb_2026[[#This Row],[Orig amount]]/100</f>
        <v>3000</v>
      </c>
      <c r="O583" t="s">
        <v>2697</v>
      </c>
      <c r="P583">
        <v>-300000</v>
      </c>
      <c r="Q583">
        <v>-300000</v>
      </c>
      <c r="S583">
        <v>0</v>
      </c>
      <c r="T583" t="s">
        <v>2697</v>
      </c>
      <c r="U583">
        <v>258292</v>
      </c>
      <c r="V583" t="s">
        <v>4965</v>
      </c>
      <c r="X583" t="s">
        <v>4672</v>
      </c>
      <c r="Y583" t="s">
        <v>5189</v>
      </c>
      <c r="Z583" t="s">
        <v>5190</v>
      </c>
      <c r="AB583" t="s">
        <v>4672</v>
      </c>
      <c r="AC583" t="s">
        <v>4672</v>
      </c>
    </row>
    <row r="584" spans="1:29" hidden="1">
      <c r="A584" s="10">
        <v>46029</v>
      </c>
      <c r="B584" s="10">
        <v>46029</v>
      </c>
      <c r="C584" t="s">
        <v>5586</v>
      </c>
      <c r="D584" t="s">
        <v>4967</v>
      </c>
      <c r="E584" t="s">
        <v>4962</v>
      </c>
      <c r="F584" t="s">
        <v>5046</v>
      </c>
      <c r="G584" t="s">
        <v>4672</v>
      </c>
      <c r="H584" t="s">
        <v>4970</v>
      </c>
      <c r="I584" t="s">
        <v>4672</v>
      </c>
      <c r="J584" t="s">
        <v>4672</v>
      </c>
      <c r="K584" t="s">
        <v>4672</v>
      </c>
      <c r="L584" t="s">
        <v>2697</v>
      </c>
      <c r="M584">
        <v>30000</v>
      </c>
      <c r="N584" s="641">
        <f>+transaction_statement_01_Jan_2026_28_Feb_2026[[#This Row],[Orig amount]]/100</f>
        <v>300</v>
      </c>
      <c r="O584" t="s">
        <v>2697</v>
      </c>
      <c r="P584">
        <v>-30000</v>
      </c>
      <c r="Q584">
        <v>-30000</v>
      </c>
      <c r="S584">
        <v>0</v>
      </c>
      <c r="T584" t="s">
        <v>2697</v>
      </c>
      <c r="U584">
        <v>10000</v>
      </c>
      <c r="V584" t="s">
        <v>5047</v>
      </c>
      <c r="X584" t="s">
        <v>4672</v>
      </c>
      <c r="Y584" t="s">
        <v>4672</v>
      </c>
      <c r="Z584" t="s">
        <v>4672</v>
      </c>
      <c r="AB584" t="s">
        <v>4672</v>
      </c>
      <c r="AC584" t="s">
        <v>4672</v>
      </c>
    </row>
    <row r="585" spans="1:29" hidden="1">
      <c r="A585" s="10">
        <v>46029</v>
      </c>
      <c r="B585" s="10">
        <v>46029</v>
      </c>
      <c r="C585" t="s">
        <v>5586</v>
      </c>
      <c r="D585" t="s">
        <v>4967</v>
      </c>
      <c r="E585" t="s">
        <v>4962</v>
      </c>
      <c r="F585" t="s">
        <v>5048</v>
      </c>
      <c r="G585" t="s">
        <v>4672</v>
      </c>
      <c r="H585" t="s">
        <v>4970</v>
      </c>
      <c r="I585" t="s">
        <v>4672</v>
      </c>
      <c r="J585" t="s">
        <v>4672</v>
      </c>
      <c r="K585" t="s">
        <v>4672</v>
      </c>
      <c r="L585" t="s">
        <v>2697</v>
      </c>
      <c r="M585">
        <v>-30000</v>
      </c>
      <c r="N585" s="641">
        <f>+transaction_statement_01_Jan_2026_28_Feb_2026[[#This Row],[Orig amount]]/100</f>
        <v>-300</v>
      </c>
      <c r="O585" t="s">
        <v>2697</v>
      </c>
      <c r="P585">
        <v>30000</v>
      </c>
      <c r="Q585">
        <v>30000</v>
      </c>
      <c r="S585">
        <v>0</v>
      </c>
      <c r="T585" t="s">
        <v>2697</v>
      </c>
      <c r="U585">
        <v>558292</v>
      </c>
      <c r="V585" t="s">
        <v>4965</v>
      </c>
      <c r="X585" t="s">
        <v>4672</v>
      </c>
      <c r="Y585" t="s">
        <v>4672</v>
      </c>
      <c r="Z585" t="s">
        <v>4672</v>
      </c>
      <c r="AB585" t="s">
        <v>4672</v>
      </c>
      <c r="AC585" t="s">
        <v>4672</v>
      </c>
    </row>
    <row r="586" spans="1:29" hidden="1">
      <c r="A586" s="10">
        <v>46029</v>
      </c>
      <c r="B586" s="10">
        <v>46029</v>
      </c>
      <c r="C586" t="s">
        <v>5587</v>
      </c>
      <c r="D586" t="s">
        <v>4961</v>
      </c>
      <c r="E586" t="s">
        <v>4962</v>
      </c>
      <c r="F586" t="s">
        <v>5050</v>
      </c>
      <c r="G586" t="s">
        <v>5051</v>
      </c>
      <c r="H586" t="s">
        <v>4672</v>
      </c>
      <c r="I586" t="s">
        <v>4672</v>
      </c>
      <c r="J586" t="s">
        <v>4672</v>
      </c>
      <c r="K586" t="s">
        <v>4672</v>
      </c>
      <c r="L586" t="s">
        <v>2697</v>
      </c>
      <c r="M586">
        <v>40000</v>
      </c>
      <c r="N586" s="641">
        <f>+transaction_statement_01_Jan_2026_28_Feb_2026[[#This Row],[Orig amount]]/100</f>
        <v>400</v>
      </c>
      <c r="O586" t="s">
        <v>2697</v>
      </c>
      <c r="P586">
        <v>40000</v>
      </c>
      <c r="Q586">
        <v>40000</v>
      </c>
      <c r="S586">
        <v>0</v>
      </c>
      <c r="T586" t="s">
        <v>2697</v>
      </c>
      <c r="U586">
        <v>40000</v>
      </c>
      <c r="V586" t="s">
        <v>5047</v>
      </c>
      <c r="X586" t="s">
        <v>4672</v>
      </c>
      <c r="Y586" t="s">
        <v>4672</v>
      </c>
      <c r="Z586" t="s">
        <v>4672</v>
      </c>
      <c r="AB586" t="s">
        <v>4672</v>
      </c>
      <c r="AC586" t="s">
        <v>4672</v>
      </c>
    </row>
    <row r="587" spans="1:29" hidden="1">
      <c r="A587" s="10">
        <v>46029</v>
      </c>
      <c r="B587" s="10">
        <v>46029</v>
      </c>
      <c r="C587" t="s">
        <v>5918</v>
      </c>
      <c r="D587" t="s">
        <v>4967</v>
      </c>
      <c r="E587" t="s">
        <v>4962</v>
      </c>
      <c r="F587" t="s">
        <v>5759</v>
      </c>
      <c r="G587" t="s">
        <v>5919</v>
      </c>
      <c r="H587" t="s">
        <v>4970</v>
      </c>
      <c r="I587" t="s">
        <v>4672</v>
      </c>
      <c r="J587" t="s">
        <v>4672</v>
      </c>
      <c r="K587" t="s">
        <v>4672</v>
      </c>
      <c r="L587" t="s">
        <v>2697</v>
      </c>
      <c r="M587">
        <v>220864</v>
      </c>
      <c r="N587" s="641">
        <f>+transaction_statement_01_Jan_2026_28_Feb_2026[[#This Row],[Orig amount]]/100</f>
        <v>2208.64</v>
      </c>
      <c r="O587" t="s">
        <v>2697</v>
      </c>
      <c r="P587">
        <v>-220864</v>
      </c>
      <c r="Q587">
        <v>-220864</v>
      </c>
      <c r="S587">
        <v>0</v>
      </c>
      <c r="T587" t="s">
        <v>2697</v>
      </c>
      <c r="U587">
        <v>528292</v>
      </c>
      <c r="V587" t="s">
        <v>4965</v>
      </c>
      <c r="X587" t="s">
        <v>4672</v>
      </c>
      <c r="Y587" t="s">
        <v>5761</v>
      </c>
      <c r="Z587" t="s">
        <v>5762</v>
      </c>
      <c r="AB587" t="s">
        <v>4672</v>
      </c>
      <c r="AC587" t="s">
        <v>4672</v>
      </c>
    </row>
    <row r="588" spans="1:29" hidden="1">
      <c r="A588" s="10">
        <v>46029</v>
      </c>
      <c r="B588" s="10">
        <v>46029</v>
      </c>
      <c r="C588" t="s">
        <v>5920</v>
      </c>
      <c r="D588" t="s">
        <v>4961</v>
      </c>
      <c r="E588" t="s">
        <v>4962</v>
      </c>
      <c r="F588" t="s">
        <v>5025</v>
      </c>
      <c r="G588" t="s">
        <v>5026</v>
      </c>
      <c r="H588" t="s">
        <v>4672</v>
      </c>
      <c r="I588" t="s">
        <v>4672</v>
      </c>
      <c r="J588" t="s">
        <v>4672</v>
      </c>
      <c r="K588" t="s">
        <v>4672</v>
      </c>
      <c r="L588" t="s">
        <v>2697</v>
      </c>
      <c r="M588">
        <v>714755</v>
      </c>
      <c r="N588" s="641">
        <f>+transaction_statement_01_Jan_2026_28_Feb_2026[[#This Row],[Orig amount]]/100</f>
        <v>7147.55</v>
      </c>
      <c r="O588" t="s">
        <v>2697</v>
      </c>
      <c r="P588">
        <v>714755</v>
      </c>
      <c r="Q588">
        <v>714755</v>
      </c>
      <c r="S588">
        <v>0</v>
      </c>
      <c r="T588" t="s">
        <v>2697</v>
      </c>
      <c r="U588">
        <v>749156</v>
      </c>
      <c r="V588" t="s">
        <v>4965</v>
      </c>
      <c r="X588" t="s">
        <v>4672</v>
      </c>
      <c r="Y588" t="s">
        <v>4672</v>
      </c>
      <c r="Z588" t="s">
        <v>4672</v>
      </c>
      <c r="AB588" t="s">
        <v>4672</v>
      </c>
      <c r="AC588" t="s">
        <v>4672</v>
      </c>
    </row>
    <row r="589" spans="1:29" hidden="1">
      <c r="A589" s="10">
        <v>46028</v>
      </c>
      <c r="B589" s="10">
        <v>46028</v>
      </c>
      <c r="C589" t="s">
        <v>5588</v>
      </c>
      <c r="D589" t="s">
        <v>4967</v>
      </c>
      <c r="E589" t="s">
        <v>4962</v>
      </c>
      <c r="F589" t="s">
        <v>5046</v>
      </c>
      <c r="G589" t="s">
        <v>4672</v>
      </c>
      <c r="H589" t="s">
        <v>4970</v>
      </c>
      <c r="I589" t="s">
        <v>4672</v>
      </c>
      <c r="J589" t="s">
        <v>4672</v>
      </c>
      <c r="K589" t="s">
        <v>4672</v>
      </c>
      <c r="L589" t="s">
        <v>2697</v>
      </c>
      <c r="M589">
        <v>20000</v>
      </c>
      <c r="N589" s="641">
        <f>+transaction_statement_01_Jan_2026_28_Feb_2026[[#This Row],[Orig amount]]/100</f>
        <v>200</v>
      </c>
      <c r="O589" t="s">
        <v>2697</v>
      </c>
      <c r="P589">
        <v>-20000</v>
      </c>
      <c r="Q589">
        <v>-20000</v>
      </c>
      <c r="S589">
        <v>0</v>
      </c>
      <c r="T589" t="s">
        <v>2697</v>
      </c>
      <c r="U589">
        <v>0</v>
      </c>
      <c r="V589" t="s">
        <v>5047</v>
      </c>
      <c r="X589" t="s">
        <v>4672</v>
      </c>
      <c r="Y589" t="s">
        <v>4672</v>
      </c>
      <c r="Z589" t="s">
        <v>4672</v>
      </c>
      <c r="AB589" t="s">
        <v>4672</v>
      </c>
      <c r="AC589" t="s">
        <v>4672</v>
      </c>
    </row>
    <row r="590" spans="1:29" hidden="1">
      <c r="A590" s="10">
        <v>46028</v>
      </c>
      <c r="B590" s="10">
        <v>46028</v>
      </c>
      <c r="C590" t="s">
        <v>5588</v>
      </c>
      <c r="D590" t="s">
        <v>4967</v>
      </c>
      <c r="E590" t="s">
        <v>4962</v>
      </c>
      <c r="F590" t="s">
        <v>5048</v>
      </c>
      <c r="G590" t="s">
        <v>4672</v>
      </c>
      <c r="H590" t="s">
        <v>4970</v>
      </c>
      <c r="I590" t="s">
        <v>4672</v>
      </c>
      <c r="J590" t="s">
        <v>4672</v>
      </c>
      <c r="K590" t="s">
        <v>4672</v>
      </c>
      <c r="L590" t="s">
        <v>2697</v>
      </c>
      <c r="M590">
        <v>-20000</v>
      </c>
      <c r="N590" s="641">
        <f>+transaction_statement_01_Jan_2026_28_Feb_2026[[#This Row],[Orig amount]]/100</f>
        <v>-200</v>
      </c>
      <c r="O590" t="s">
        <v>2697</v>
      </c>
      <c r="P590">
        <v>20000</v>
      </c>
      <c r="Q590">
        <v>20000</v>
      </c>
      <c r="S590">
        <v>0</v>
      </c>
      <c r="T590" t="s">
        <v>2697</v>
      </c>
      <c r="U590">
        <v>34401</v>
      </c>
      <c r="V590" t="s">
        <v>4965</v>
      </c>
      <c r="X590" t="s">
        <v>4672</v>
      </c>
      <c r="Y590" t="s">
        <v>4672</v>
      </c>
      <c r="Z590" t="s">
        <v>4672</v>
      </c>
      <c r="AB590" t="s">
        <v>4672</v>
      </c>
      <c r="AC590" t="s">
        <v>4672</v>
      </c>
    </row>
    <row r="591" spans="1:29" hidden="1">
      <c r="A591" s="10">
        <v>46028</v>
      </c>
      <c r="B591" s="10">
        <v>46028</v>
      </c>
      <c r="C591" t="s">
        <v>5589</v>
      </c>
      <c r="D591" t="s">
        <v>4961</v>
      </c>
      <c r="E591" t="s">
        <v>4962</v>
      </c>
      <c r="F591" t="s">
        <v>5050</v>
      </c>
      <c r="G591" t="s">
        <v>5051</v>
      </c>
      <c r="H591" t="s">
        <v>4672</v>
      </c>
      <c r="I591" t="s">
        <v>4672</v>
      </c>
      <c r="J591" t="s">
        <v>4672</v>
      </c>
      <c r="K591" t="s">
        <v>4672</v>
      </c>
      <c r="L591" t="s">
        <v>2697</v>
      </c>
      <c r="M591">
        <v>20000</v>
      </c>
      <c r="N591" s="641">
        <f>+transaction_statement_01_Jan_2026_28_Feb_2026[[#This Row],[Orig amount]]/100</f>
        <v>200</v>
      </c>
      <c r="O591" t="s">
        <v>2697</v>
      </c>
      <c r="P591">
        <v>20000</v>
      </c>
      <c r="Q591">
        <v>20000</v>
      </c>
      <c r="S591">
        <v>0</v>
      </c>
      <c r="T591" t="s">
        <v>2697</v>
      </c>
      <c r="U591">
        <v>20000</v>
      </c>
      <c r="V591" t="s">
        <v>5047</v>
      </c>
      <c r="X591" t="s">
        <v>4672</v>
      </c>
      <c r="Y591" t="s">
        <v>4672</v>
      </c>
      <c r="Z591" t="s">
        <v>4672</v>
      </c>
      <c r="AB591" t="s">
        <v>4672</v>
      </c>
      <c r="AC591" t="s">
        <v>4672</v>
      </c>
    </row>
    <row r="592" spans="1:29">
      <c r="A592" s="10">
        <v>46027</v>
      </c>
      <c r="B592" s="10">
        <v>46028</v>
      </c>
      <c r="C592" t="s">
        <v>5921</v>
      </c>
      <c r="D592" t="s">
        <v>4977</v>
      </c>
      <c r="E592" t="s">
        <v>4962</v>
      </c>
      <c r="F592" t="s">
        <v>5460</v>
      </c>
      <c r="G592" t="s">
        <v>4672</v>
      </c>
      <c r="H592" t="s">
        <v>5315</v>
      </c>
      <c r="I592" t="s">
        <v>5316</v>
      </c>
      <c r="J592" t="s">
        <v>4980</v>
      </c>
      <c r="K592" t="s">
        <v>4981</v>
      </c>
      <c r="L592" t="s">
        <v>2548</v>
      </c>
      <c r="M592">
        <v>2500</v>
      </c>
      <c r="N592" s="642">
        <f>+transaction_statement_01_Jan_2026_28_Feb_2026[[#This Row],[Orig amount]]/100</f>
        <v>25</v>
      </c>
      <c r="O592" t="s">
        <v>2697</v>
      </c>
      <c r="P592">
        <v>-2133</v>
      </c>
      <c r="Q592">
        <v>-2133</v>
      </c>
      <c r="R592">
        <v>1172075</v>
      </c>
      <c r="S592">
        <v>0</v>
      </c>
      <c r="T592" t="s">
        <v>2697</v>
      </c>
      <c r="U592">
        <v>14401</v>
      </c>
      <c r="V592" t="s">
        <v>4965</v>
      </c>
      <c r="X592" t="s">
        <v>4672</v>
      </c>
      <c r="Y592" t="s">
        <v>4672</v>
      </c>
      <c r="Z592" t="s">
        <v>4672</v>
      </c>
      <c r="AA592">
        <v>5734</v>
      </c>
      <c r="AB592" t="s">
        <v>4672</v>
      </c>
      <c r="AC592" t="s">
        <v>4672</v>
      </c>
    </row>
    <row r="593" spans="1:29" hidden="1">
      <c r="A593" s="10">
        <v>46028</v>
      </c>
      <c r="B593" s="10">
        <v>46028</v>
      </c>
      <c r="C593" t="s">
        <v>5922</v>
      </c>
      <c r="D593" t="s">
        <v>4967</v>
      </c>
      <c r="E593" t="s">
        <v>4962</v>
      </c>
      <c r="F593" t="s">
        <v>5092</v>
      </c>
      <c r="G593" t="s">
        <v>5923</v>
      </c>
      <c r="H593" t="s">
        <v>4672</v>
      </c>
      <c r="I593" t="s">
        <v>4672</v>
      </c>
      <c r="J593" t="s">
        <v>4672</v>
      </c>
      <c r="K593" t="s">
        <v>4672</v>
      </c>
      <c r="L593" t="s">
        <v>2697</v>
      </c>
      <c r="M593">
        <v>330965</v>
      </c>
      <c r="N593" s="641">
        <f>+transaction_statement_01_Jan_2026_28_Feb_2026[[#This Row],[Orig amount]]/100</f>
        <v>3309.65</v>
      </c>
      <c r="O593" t="s">
        <v>2697</v>
      </c>
      <c r="P593">
        <v>-330965</v>
      </c>
      <c r="Q593">
        <v>-330965</v>
      </c>
      <c r="S593">
        <v>0</v>
      </c>
      <c r="T593" t="s">
        <v>2697</v>
      </c>
      <c r="U593">
        <v>16534</v>
      </c>
      <c r="V593" t="s">
        <v>4965</v>
      </c>
      <c r="X593" t="s">
        <v>4672</v>
      </c>
      <c r="Y593" t="s">
        <v>5094</v>
      </c>
      <c r="Z593" t="s">
        <v>5095</v>
      </c>
      <c r="AB593" t="s">
        <v>4672</v>
      </c>
      <c r="AC593" t="s">
        <v>4672</v>
      </c>
    </row>
    <row r="594" spans="1:29" hidden="1">
      <c r="A594" s="10">
        <v>46028</v>
      </c>
      <c r="B594" s="10">
        <v>46028</v>
      </c>
      <c r="C594" t="s">
        <v>5924</v>
      </c>
      <c r="D594" t="s">
        <v>4967</v>
      </c>
      <c r="E594" t="s">
        <v>4962</v>
      </c>
      <c r="F594" t="s">
        <v>5092</v>
      </c>
      <c r="G594" t="s">
        <v>5925</v>
      </c>
      <c r="H594" t="s">
        <v>4672</v>
      </c>
      <c r="I594" t="s">
        <v>4672</v>
      </c>
      <c r="J594" t="s">
        <v>4672</v>
      </c>
      <c r="K594" t="s">
        <v>4672</v>
      </c>
      <c r="L594" t="s">
        <v>2697</v>
      </c>
      <c r="M594">
        <v>330965</v>
      </c>
      <c r="N594" s="641">
        <f>+transaction_statement_01_Jan_2026_28_Feb_2026[[#This Row],[Orig amount]]/100</f>
        <v>3309.65</v>
      </c>
      <c r="O594" t="s">
        <v>2697</v>
      </c>
      <c r="P594">
        <v>-330965</v>
      </c>
      <c r="Q594">
        <v>-330965</v>
      </c>
      <c r="S594">
        <v>0</v>
      </c>
      <c r="T594" t="s">
        <v>2697</v>
      </c>
      <c r="U594">
        <v>347499</v>
      </c>
      <c r="V594" t="s">
        <v>4965</v>
      </c>
      <c r="X594" t="s">
        <v>4672</v>
      </c>
      <c r="Y594" t="s">
        <v>5094</v>
      </c>
      <c r="Z594" t="s">
        <v>5095</v>
      </c>
      <c r="AB594" t="s">
        <v>4672</v>
      </c>
      <c r="AC594" t="s">
        <v>4672</v>
      </c>
    </row>
    <row r="595" spans="1:29" hidden="1">
      <c r="A595" s="10">
        <v>46027</v>
      </c>
      <c r="B595" s="10">
        <v>46028</v>
      </c>
      <c r="C595" t="s">
        <v>5926</v>
      </c>
      <c r="D595" t="s">
        <v>4977</v>
      </c>
      <c r="E595" t="s">
        <v>4962</v>
      </c>
      <c r="F595" t="s">
        <v>5927</v>
      </c>
      <c r="G595" t="s">
        <v>4672</v>
      </c>
      <c r="H595" t="s">
        <v>4970</v>
      </c>
      <c r="I595" t="s">
        <v>4979</v>
      </c>
      <c r="J595" t="s">
        <v>4980</v>
      </c>
      <c r="K595" t="s">
        <v>4981</v>
      </c>
      <c r="L595" t="s">
        <v>2697</v>
      </c>
      <c r="M595">
        <v>31321</v>
      </c>
      <c r="N595" s="641">
        <f>+transaction_statement_01_Jan_2026_28_Feb_2026[[#This Row],[Orig amount]]/100</f>
        <v>313.20999999999998</v>
      </c>
      <c r="O595" t="s">
        <v>2697</v>
      </c>
      <c r="P595">
        <v>-31321</v>
      </c>
      <c r="Q595">
        <v>-31321</v>
      </c>
      <c r="S595">
        <v>0</v>
      </c>
      <c r="T595" t="s">
        <v>2697</v>
      </c>
      <c r="U595">
        <v>678464</v>
      </c>
      <c r="V595" t="s">
        <v>4965</v>
      </c>
      <c r="X595" t="s">
        <v>4672</v>
      </c>
      <c r="Y595" t="s">
        <v>4672</v>
      </c>
      <c r="Z595" t="s">
        <v>4672</v>
      </c>
      <c r="AA595">
        <v>6513</v>
      </c>
      <c r="AB595" t="s">
        <v>4672</v>
      </c>
      <c r="AC595" t="s">
        <v>4672</v>
      </c>
    </row>
    <row r="596" spans="1:29" hidden="1">
      <c r="A596" s="10">
        <v>46027</v>
      </c>
      <c r="B596" s="10">
        <v>46028</v>
      </c>
      <c r="C596" t="s">
        <v>5928</v>
      </c>
      <c r="D596" t="s">
        <v>4977</v>
      </c>
      <c r="E596" t="s">
        <v>4962</v>
      </c>
      <c r="F596" t="s">
        <v>5929</v>
      </c>
      <c r="G596" t="s">
        <v>4672</v>
      </c>
      <c r="H596" t="s">
        <v>4970</v>
      </c>
      <c r="I596" t="s">
        <v>4979</v>
      </c>
      <c r="J596" t="s">
        <v>4980</v>
      </c>
      <c r="K596" t="s">
        <v>4981</v>
      </c>
      <c r="L596" t="s">
        <v>2697</v>
      </c>
      <c r="M596">
        <v>111964</v>
      </c>
      <c r="N596" s="641">
        <f>+transaction_statement_01_Jan_2026_28_Feb_2026[[#This Row],[Orig amount]]/100</f>
        <v>1119.6400000000001</v>
      </c>
      <c r="O596" t="s">
        <v>2697</v>
      </c>
      <c r="P596">
        <v>-111964</v>
      </c>
      <c r="Q596">
        <v>-111964</v>
      </c>
      <c r="S596">
        <v>0</v>
      </c>
      <c r="T596" t="s">
        <v>2697</v>
      </c>
      <c r="U596">
        <v>709785</v>
      </c>
      <c r="V596" t="s">
        <v>4965</v>
      </c>
      <c r="X596" t="s">
        <v>4672</v>
      </c>
      <c r="Y596" t="s">
        <v>4672</v>
      </c>
      <c r="Z596" t="s">
        <v>4672</v>
      </c>
      <c r="AA596">
        <v>7361</v>
      </c>
      <c r="AB596" t="s">
        <v>4672</v>
      </c>
      <c r="AC596" t="s">
        <v>4672</v>
      </c>
    </row>
    <row r="597" spans="1:29" hidden="1">
      <c r="A597" s="10">
        <v>46028</v>
      </c>
      <c r="B597" s="10">
        <v>46028</v>
      </c>
      <c r="C597" t="s">
        <v>5930</v>
      </c>
      <c r="D597" t="s">
        <v>4967</v>
      </c>
      <c r="E597" t="s">
        <v>4962</v>
      </c>
      <c r="F597" t="s">
        <v>5334</v>
      </c>
      <c r="G597" t="s">
        <v>5873</v>
      </c>
      <c r="H597" t="s">
        <v>4970</v>
      </c>
      <c r="I597" t="s">
        <v>4672</v>
      </c>
      <c r="J597" t="s">
        <v>4672</v>
      </c>
      <c r="K597" t="s">
        <v>4672</v>
      </c>
      <c r="L597" t="s">
        <v>2697</v>
      </c>
      <c r="M597">
        <v>700000</v>
      </c>
      <c r="N597" s="641">
        <f>+transaction_statement_01_Jan_2026_28_Feb_2026[[#This Row],[Orig amount]]/100</f>
        <v>7000</v>
      </c>
      <c r="O597" t="s">
        <v>2697</v>
      </c>
      <c r="P597">
        <v>-700000</v>
      </c>
      <c r="Q597">
        <v>-700000</v>
      </c>
      <c r="S597">
        <v>0</v>
      </c>
      <c r="T597" t="s">
        <v>2697</v>
      </c>
      <c r="U597">
        <v>821749</v>
      </c>
      <c r="V597" t="s">
        <v>4965</v>
      </c>
      <c r="X597" t="s">
        <v>4672</v>
      </c>
      <c r="Y597" t="s">
        <v>5336</v>
      </c>
      <c r="Z597" t="s">
        <v>5337</v>
      </c>
      <c r="AB597" t="s">
        <v>4672</v>
      </c>
      <c r="AC597" t="s">
        <v>4672</v>
      </c>
    </row>
    <row r="598" spans="1:29" hidden="1">
      <c r="A598" s="10">
        <v>46028</v>
      </c>
      <c r="B598" s="10">
        <v>46028</v>
      </c>
      <c r="C598" t="s">
        <v>5931</v>
      </c>
      <c r="D598" t="s">
        <v>4961</v>
      </c>
      <c r="E598" t="s">
        <v>4962</v>
      </c>
      <c r="F598" t="s">
        <v>5025</v>
      </c>
      <c r="G598" t="s">
        <v>5026</v>
      </c>
      <c r="H598" t="s">
        <v>4672</v>
      </c>
      <c r="I598" t="s">
        <v>4672</v>
      </c>
      <c r="J598" t="s">
        <v>4672</v>
      </c>
      <c r="K598" t="s">
        <v>4672</v>
      </c>
      <c r="L598" t="s">
        <v>2697</v>
      </c>
      <c r="M598">
        <v>249407</v>
      </c>
      <c r="N598" s="641">
        <f>+transaction_statement_01_Jan_2026_28_Feb_2026[[#This Row],[Orig amount]]/100</f>
        <v>2494.0700000000002</v>
      </c>
      <c r="O598" t="s">
        <v>2697</v>
      </c>
      <c r="P598">
        <v>249407</v>
      </c>
      <c r="Q598">
        <v>249407</v>
      </c>
      <c r="S598">
        <v>0</v>
      </c>
      <c r="T598" t="s">
        <v>2697</v>
      </c>
      <c r="U598">
        <v>1521749</v>
      </c>
      <c r="V598" t="s">
        <v>4965</v>
      </c>
      <c r="X598" t="s">
        <v>4672</v>
      </c>
      <c r="Y598" t="s">
        <v>4672</v>
      </c>
      <c r="Z598" t="s">
        <v>4672</v>
      </c>
      <c r="AB598" t="s">
        <v>4672</v>
      </c>
      <c r="AC598" t="s">
        <v>4672</v>
      </c>
    </row>
    <row r="599" spans="1:29" hidden="1">
      <c r="A599" s="10">
        <v>46028</v>
      </c>
      <c r="B599" s="10">
        <v>46028</v>
      </c>
      <c r="C599" t="s">
        <v>5590</v>
      </c>
      <c r="D599" t="s">
        <v>4967</v>
      </c>
      <c r="E599" t="s">
        <v>4962</v>
      </c>
      <c r="F599" t="s">
        <v>5469</v>
      </c>
      <c r="G599" t="s">
        <v>4672</v>
      </c>
      <c r="H599" t="s">
        <v>4672</v>
      </c>
      <c r="I599" t="s">
        <v>4672</v>
      </c>
      <c r="J599" t="s">
        <v>4672</v>
      </c>
      <c r="K599" t="s">
        <v>4672</v>
      </c>
      <c r="L599" t="s">
        <v>2697</v>
      </c>
      <c r="M599">
        <v>1600</v>
      </c>
      <c r="N599" s="641">
        <f>+transaction_statement_01_Jan_2026_28_Feb_2026[[#This Row],[Orig amount]]/100</f>
        <v>16</v>
      </c>
      <c r="O599" t="s">
        <v>2697</v>
      </c>
      <c r="P599">
        <v>-1600</v>
      </c>
      <c r="Q599">
        <v>-1600</v>
      </c>
      <c r="S599">
        <v>0</v>
      </c>
      <c r="T599" t="s">
        <v>2697</v>
      </c>
      <c r="U599">
        <v>1272342</v>
      </c>
      <c r="V599" t="s">
        <v>4965</v>
      </c>
      <c r="X599" t="s">
        <v>4672</v>
      </c>
      <c r="Y599" t="s">
        <v>4672</v>
      </c>
      <c r="Z599" t="s">
        <v>4672</v>
      </c>
      <c r="AB599" t="s">
        <v>4672</v>
      </c>
      <c r="AC599" t="s">
        <v>4672</v>
      </c>
    </row>
    <row r="600" spans="1:29" hidden="1">
      <c r="A600" s="10">
        <v>46028</v>
      </c>
      <c r="B600" s="10">
        <v>46028</v>
      </c>
      <c r="C600" t="s">
        <v>5590</v>
      </c>
      <c r="D600" t="s">
        <v>4967</v>
      </c>
      <c r="E600" t="s">
        <v>4962</v>
      </c>
      <c r="F600" t="s">
        <v>5470</v>
      </c>
      <c r="G600" t="s">
        <v>4672</v>
      </c>
      <c r="H600" t="s">
        <v>4672</v>
      </c>
      <c r="I600" t="s">
        <v>4672</v>
      </c>
      <c r="J600" t="s">
        <v>4672</v>
      </c>
      <c r="K600" t="s">
        <v>4672</v>
      </c>
      <c r="L600" t="s">
        <v>2697</v>
      </c>
      <c r="M600">
        <v>-1600</v>
      </c>
      <c r="N600" s="641">
        <f>+transaction_statement_01_Jan_2026_28_Feb_2026[[#This Row],[Orig amount]]/100</f>
        <v>-16</v>
      </c>
      <c r="O600" t="s">
        <v>2697</v>
      </c>
      <c r="P600">
        <v>1600</v>
      </c>
      <c r="Q600">
        <v>1600</v>
      </c>
      <c r="S600">
        <v>0</v>
      </c>
      <c r="T600" t="s">
        <v>2697</v>
      </c>
      <c r="U600">
        <v>0</v>
      </c>
      <c r="V600" t="s">
        <v>5047</v>
      </c>
      <c r="X600" t="s">
        <v>4672</v>
      </c>
      <c r="Y600" t="s">
        <v>4672</v>
      </c>
      <c r="Z600" t="s">
        <v>4672</v>
      </c>
      <c r="AB600" t="s">
        <v>4672</v>
      </c>
      <c r="AC600" t="s">
        <v>4672</v>
      </c>
    </row>
    <row r="601" spans="1:29" hidden="1">
      <c r="A601" s="10">
        <v>46028</v>
      </c>
      <c r="B601" s="10">
        <v>46028</v>
      </c>
      <c r="C601" t="s">
        <v>5591</v>
      </c>
      <c r="D601" t="s">
        <v>5472</v>
      </c>
      <c r="E601" t="s">
        <v>4962</v>
      </c>
      <c r="F601" t="s">
        <v>5473</v>
      </c>
      <c r="G601" t="s">
        <v>5477</v>
      </c>
      <c r="H601" t="s">
        <v>4672</v>
      </c>
      <c r="I601" t="s">
        <v>4672</v>
      </c>
      <c r="J601" t="s">
        <v>4672</v>
      </c>
      <c r="K601" t="s">
        <v>4672</v>
      </c>
      <c r="L601" t="s">
        <v>2697</v>
      </c>
      <c r="M601">
        <v>1600</v>
      </c>
      <c r="N601" s="641">
        <f>+transaction_statement_01_Jan_2026_28_Feb_2026[[#This Row],[Orig amount]]/100</f>
        <v>16</v>
      </c>
      <c r="O601" t="s">
        <v>2697</v>
      </c>
      <c r="P601">
        <v>-1600</v>
      </c>
      <c r="Q601">
        <v>-1600</v>
      </c>
      <c r="S601">
        <v>0</v>
      </c>
      <c r="T601" t="s">
        <v>2697</v>
      </c>
      <c r="U601">
        <v>-1600</v>
      </c>
      <c r="V601" t="s">
        <v>5047</v>
      </c>
      <c r="X601" t="s">
        <v>4672</v>
      </c>
      <c r="Y601" t="s">
        <v>4672</v>
      </c>
      <c r="Z601" t="s">
        <v>4672</v>
      </c>
      <c r="AB601" t="s">
        <v>4672</v>
      </c>
      <c r="AC601" t="s">
        <v>4672</v>
      </c>
    </row>
    <row r="602" spans="1:29" hidden="1">
      <c r="A602" s="10">
        <v>46028</v>
      </c>
      <c r="B602" s="10">
        <v>46028</v>
      </c>
      <c r="C602" t="s">
        <v>5592</v>
      </c>
      <c r="D602" t="s">
        <v>4967</v>
      </c>
      <c r="E602" t="s">
        <v>4962</v>
      </c>
      <c r="F602" t="s">
        <v>5469</v>
      </c>
      <c r="G602" t="s">
        <v>4672</v>
      </c>
      <c r="H602" t="s">
        <v>4672</v>
      </c>
      <c r="I602" t="s">
        <v>4672</v>
      </c>
      <c r="J602" t="s">
        <v>4672</v>
      </c>
      <c r="K602" t="s">
        <v>4672</v>
      </c>
      <c r="L602" t="s">
        <v>2697</v>
      </c>
      <c r="M602">
        <v>12500</v>
      </c>
      <c r="N602" s="641">
        <f>+transaction_statement_01_Jan_2026_28_Feb_2026[[#This Row],[Orig amount]]/100</f>
        <v>125</v>
      </c>
      <c r="O602" t="s">
        <v>2697</v>
      </c>
      <c r="P602">
        <v>-12500</v>
      </c>
      <c r="Q602">
        <v>-12500</v>
      </c>
      <c r="S602">
        <v>0</v>
      </c>
      <c r="T602" t="s">
        <v>2697</v>
      </c>
      <c r="U602">
        <v>1273942</v>
      </c>
      <c r="V602" t="s">
        <v>4965</v>
      </c>
      <c r="X602" t="s">
        <v>4672</v>
      </c>
      <c r="Y602" t="s">
        <v>4672</v>
      </c>
      <c r="Z602" t="s">
        <v>4672</v>
      </c>
      <c r="AB602" t="s">
        <v>4672</v>
      </c>
      <c r="AC602" t="s">
        <v>4672</v>
      </c>
    </row>
    <row r="603" spans="1:29" hidden="1">
      <c r="A603" s="10">
        <v>46028</v>
      </c>
      <c r="B603" s="10">
        <v>46028</v>
      </c>
      <c r="C603" t="s">
        <v>5592</v>
      </c>
      <c r="D603" t="s">
        <v>4967</v>
      </c>
      <c r="E603" t="s">
        <v>4962</v>
      </c>
      <c r="F603" t="s">
        <v>5470</v>
      </c>
      <c r="G603" t="s">
        <v>4672</v>
      </c>
      <c r="H603" t="s">
        <v>4672</v>
      </c>
      <c r="I603" t="s">
        <v>4672</v>
      </c>
      <c r="J603" t="s">
        <v>4672</v>
      </c>
      <c r="K603" t="s">
        <v>4672</v>
      </c>
      <c r="L603" t="s">
        <v>2697</v>
      </c>
      <c r="M603">
        <v>-12500</v>
      </c>
      <c r="N603" s="641">
        <f>+transaction_statement_01_Jan_2026_28_Feb_2026[[#This Row],[Orig amount]]/100</f>
        <v>-125</v>
      </c>
      <c r="O603" t="s">
        <v>2697</v>
      </c>
      <c r="P603">
        <v>12500</v>
      </c>
      <c r="Q603">
        <v>12500</v>
      </c>
      <c r="S603">
        <v>0</v>
      </c>
      <c r="T603" t="s">
        <v>2697</v>
      </c>
      <c r="U603">
        <v>0</v>
      </c>
      <c r="V603" t="s">
        <v>5047</v>
      </c>
      <c r="X603" t="s">
        <v>4672</v>
      </c>
      <c r="Y603" t="s">
        <v>4672</v>
      </c>
      <c r="Z603" t="s">
        <v>4672</v>
      </c>
      <c r="AB603" t="s">
        <v>4672</v>
      </c>
      <c r="AC603" t="s">
        <v>4672</v>
      </c>
    </row>
    <row r="604" spans="1:29" hidden="1">
      <c r="A604" s="10">
        <v>46028</v>
      </c>
      <c r="B604" s="10">
        <v>46028</v>
      </c>
      <c r="C604" t="s">
        <v>5593</v>
      </c>
      <c r="D604" t="s">
        <v>5472</v>
      </c>
      <c r="E604" t="s">
        <v>4962</v>
      </c>
      <c r="F604" t="s">
        <v>5473</v>
      </c>
      <c r="G604" t="s">
        <v>5474</v>
      </c>
      <c r="H604" t="s">
        <v>4672</v>
      </c>
      <c r="I604" t="s">
        <v>4672</v>
      </c>
      <c r="J604" t="s">
        <v>4672</v>
      </c>
      <c r="K604" t="s">
        <v>4672</v>
      </c>
      <c r="L604" t="s">
        <v>2697</v>
      </c>
      <c r="M604">
        <v>12500</v>
      </c>
      <c r="N604" s="641">
        <f>+transaction_statement_01_Jan_2026_28_Feb_2026[[#This Row],[Orig amount]]/100</f>
        <v>125</v>
      </c>
      <c r="O604" t="s">
        <v>2697</v>
      </c>
      <c r="P604">
        <v>-12500</v>
      </c>
      <c r="Q604">
        <v>-12500</v>
      </c>
      <c r="S604">
        <v>0</v>
      </c>
      <c r="T604" t="s">
        <v>2697</v>
      </c>
      <c r="U604">
        <v>-12500</v>
      </c>
      <c r="V604" t="s">
        <v>5047</v>
      </c>
      <c r="X604" t="s">
        <v>4672</v>
      </c>
      <c r="Y604" t="s">
        <v>4672</v>
      </c>
      <c r="Z604" t="s">
        <v>4672</v>
      </c>
      <c r="AB604" t="s">
        <v>4672</v>
      </c>
      <c r="AC604" t="s">
        <v>4672</v>
      </c>
    </row>
    <row r="605" spans="1:29" hidden="1">
      <c r="A605" s="10">
        <v>46028</v>
      </c>
      <c r="B605" s="10">
        <v>46028</v>
      </c>
      <c r="C605" t="s">
        <v>5932</v>
      </c>
      <c r="D605" t="s">
        <v>4961</v>
      </c>
      <c r="E605" t="s">
        <v>4962</v>
      </c>
      <c r="F605" t="s">
        <v>5025</v>
      </c>
      <c r="G605" t="s">
        <v>5026</v>
      </c>
      <c r="H605" t="s">
        <v>4672</v>
      </c>
      <c r="I605" t="s">
        <v>4672</v>
      </c>
      <c r="J605" t="s">
        <v>4672</v>
      </c>
      <c r="K605" t="s">
        <v>4672</v>
      </c>
      <c r="L605" t="s">
        <v>2697</v>
      </c>
      <c r="M605">
        <v>500593</v>
      </c>
      <c r="N605" s="641">
        <f>+transaction_statement_01_Jan_2026_28_Feb_2026[[#This Row],[Orig amount]]/100</f>
        <v>5005.93</v>
      </c>
      <c r="O605" t="s">
        <v>2697</v>
      </c>
      <c r="P605">
        <v>500593</v>
      </c>
      <c r="Q605">
        <v>500593</v>
      </c>
      <c r="S605">
        <v>0</v>
      </c>
      <c r="T605" t="s">
        <v>2697</v>
      </c>
      <c r="U605">
        <v>1286442</v>
      </c>
      <c r="V605" t="s">
        <v>4965</v>
      </c>
      <c r="X605" t="s">
        <v>4672</v>
      </c>
      <c r="Y605" t="s">
        <v>4672</v>
      </c>
      <c r="Z605" t="s">
        <v>4672</v>
      </c>
      <c r="AB605" t="s">
        <v>4672</v>
      </c>
      <c r="AC605" t="s">
        <v>4672</v>
      </c>
    </row>
    <row r="606" spans="1:29" hidden="1">
      <c r="A606" s="10">
        <v>46027</v>
      </c>
      <c r="B606" s="10">
        <v>46027</v>
      </c>
      <c r="C606" t="s">
        <v>5933</v>
      </c>
      <c r="D606" t="s">
        <v>4961</v>
      </c>
      <c r="E606" t="s">
        <v>4962</v>
      </c>
      <c r="F606" t="s">
        <v>5025</v>
      </c>
      <c r="G606" t="s">
        <v>5026</v>
      </c>
      <c r="H606" t="s">
        <v>4672</v>
      </c>
      <c r="I606" t="s">
        <v>4672</v>
      </c>
      <c r="J606" t="s">
        <v>4672</v>
      </c>
      <c r="K606" t="s">
        <v>4672</v>
      </c>
      <c r="L606" t="s">
        <v>2697</v>
      </c>
      <c r="M606">
        <v>82212</v>
      </c>
      <c r="N606" s="641">
        <f>+transaction_statement_01_Jan_2026_28_Feb_2026[[#This Row],[Orig amount]]/100</f>
        <v>822.12</v>
      </c>
      <c r="O606" t="s">
        <v>2697</v>
      </c>
      <c r="P606">
        <v>82212</v>
      </c>
      <c r="Q606">
        <v>82212</v>
      </c>
      <c r="S606">
        <v>0</v>
      </c>
      <c r="T606" t="s">
        <v>2697</v>
      </c>
      <c r="U606">
        <v>785849</v>
      </c>
      <c r="V606" t="s">
        <v>4965</v>
      </c>
      <c r="X606" t="s">
        <v>4672</v>
      </c>
      <c r="Y606" t="s">
        <v>4672</v>
      </c>
      <c r="Z606" t="s">
        <v>4672</v>
      </c>
      <c r="AB606" t="s">
        <v>4672</v>
      </c>
      <c r="AC606" t="s">
        <v>4672</v>
      </c>
    </row>
    <row r="607" spans="1:29" hidden="1">
      <c r="A607" s="10">
        <v>46027</v>
      </c>
      <c r="B607" s="10">
        <v>46027</v>
      </c>
      <c r="C607" t="s">
        <v>5934</v>
      </c>
      <c r="D607" t="s">
        <v>4977</v>
      </c>
      <c r="E607" t="s">
        <v>4962</v>
      </c>
      <c r="F607" t="s">
        <v>5490</v>
      </c>
      <c r="G607" t="s">
        <v>4672</v>
      </c>
      <c r="H607" t="s">
        <v>4970</v>
      </c>
      <c r="I607" t="s">
        <v>4979</v>
      </c>
      <c r="J607" t="s">
        <v>4980</v>
      </c>
      <c r="K607" t="s">
        <v>4981</v>
      </c>
      <c r="L607" t="s">
        <v>2548</v>
      </c>
      <c r="M607">
        <v>8700</v>
      </c>
      <c r="N607" s="641">
        <f>+transaction_statement_01_Jan_2026_28_Feb_2026[[#This Row],[Orig amount]]/100</f>
        <v>87</v>
      </c>
      <c r="O607" t="s">
        <v>2697</v>
      </c>
      <c r="P607">
        <v>-7448</v>
      </c>
      <c r="Q607">
        <v>-7448</v>
      </c>
      <c r="R607">
        <v>1168099</v>
      </c>
      <c r="S607">
        <v>0</v>
      </c>
      <c r="T607" t="s">
        <v>2697</v>
      </c>
      <c r="U607">
        <v>703637</v>
      </c>
      <c r="V607" t="s">
        <v>4965</v>
      </c>
      <c r="X607" t="s">
        <v>4672</v>
      </c>
      <c r="Y607" t="s">
        <v>4672</v>
      </c>
      <c r="Z607" t="s">
        <v>4672</v>
      </c>
      <c r="AA607">
        <v>5734</v>
      </c>
      <c r="AB607" t="s">
        <v>4672</v>
      </c>
      <c r="AC607" t="s">
        <v>4672</v>
      </c>
    </row>
    <row r="608" spans="1:29" hidden="1">
      <c r="A608" s="10">
        <v>46027</v>
      </c>
      <c r="B608" s="10">
        <v>46027</v>
      </c>
      <c r="C608" t="s">
        <v>5935</v>
      </c>
      <c r="D608" t="s">
        <v>4977</v>
      </c>
      <c r="E608" t="s">
        <v>4962</v>
      </c>
      <c r="F608" t="s">
        <v>5462</v>
      </c>
      <c r="G608" t="s">
        <v>4672</v>
      </c>
      <c r="H608" t="s">
        <v>4970</v>
      </c>
      <c r="I608" t="s">
        <v>4979</v>
      </c>
      <c r="J608" t="s">
        <v>4980</v>
      </c>
      <c r="K608" t="s">
        <v>4981</v>
      </c>
      <c r="L608" t="s">
        <v>2548</v>
      </c>
      <c r="M608">
        <v>9900</v>
      </c>
      <c r="N608" s="641">
        <f>+transaction_statement_01_Jan_2026_28_Feb_2026[[#This Row],[Orig amount]]/100</f>
        <v>99</v>
      </c>
      <c r="O608" t="s">
        <v>2697</v>
      </c>
      <c r="P608">
        <v>-8484</v>
      </c>
      <c r="Q608">
        <v>-8484</v>
      </c>
      <c r="R608">
        <v>1166990</v>
      </c>
      <c r="S608">
        <v>0</v>
      </c>
      <c r="T608" t="s">
        <v>2697</v>
      </c>
      <c r="U608">
        <v>711085</v>
      </c>
      <c r="V608" t="s">
        <v>4965</v>
      </c>
      <c r="X608" t="s">
        <v>4672</v>
      </c>
      <c r="Y608" t="s">
        <v>4672</v>
      </c>
      <c r="Z608" t="s">
        <v>4672</v>
      </c>
      <c r="AA608">
        <v>5734</v>
      </c>
      <c r="AB608" t="s">
        <v>4672</v>
      </c>
      <c r="AC608" t="s">
        <v>4672</v>
      </c>
    </row>
    <row r="609" spans="1:29" hidden="1">
      <c r="A609" s="10">
        <v>46027</v>
      </c>
      <c r="B609" s="10">
        <v>46027</v>
      </c>
      <c r="C609" t="s">
        <v>5936</v>
      </c>
      <c r="D609" t="s">
        <v>4977</v>
      </c>
      <c r="E609" t="s">
        <v>4962</v>
      </c>
      <c r="F609" t="s">
        <v>5937</v>
      </c>
      <c r="G609" t="s">
        <v>4672</v>
      </c>
      <c r="H609" t="s">
        <v>4970</v>
      </c>
      <c r="I609" t="s">
        <v>4979</v>
      </c>
      <c r="J609" t="s">
        <v>4980</v>
      </c>
      <c r="K609" t="s">
        <v>4981</v>
      </c>
      <c r="L609" t="s">
        <v>2697</v>
      </c>
      <c r="M609">
        <v>2966</v>
      </c>
      <c r="N609" s="641">
        <f>+transaction_statement_01_Jan_2026_28_Feb_2026[[#This Row],[Orig amount]]/100</f>
        <v>29.66</v>
      </c>
      <c r="O609" t="s">
        <v>2697</v>
      </c>
      <c r="P609">
        <v>-2966</v>
      </c>
      <c r="Q609">
        <v>-2966</v>
      </c>
      <c r="S609">
        <v>0</v>
      </c>
      <c r="T609" t="s">
        <v>2697</v>
      </c>
      <c r="U609">
        <v>719569</v>
      </c>
      <c r="V609" t="s">
        <v>4965</v>
      </c>
      <c r="X609" t="s">
        <v>4672</v>
      </c>
      <c r="Y609" t="s">
        <v>4672</v>
      </c>
      <c r="Z609" t="s">
        <v>4672</v>
      </c>
      <c r="AA609">
        <v>5045</v>
      </c>
      <c r="AB609" t="s">
        <v>4672</v>
      </c>
      <c r="AC609" t="s">
        <v>4672</v>
      </c>
    </row>
    <row r="610" spans="1:29" hidden="1">
      <c r="A610" s="10">
        <v>46025</v>
      </c>
      <c r="B610" s="10">
        <v>46027</v>
      </c>
      <c r="C610" t="s">
        <v>5938</v>
      </c>
      <c r="D610" t="s">
        <v>5362</v>
      </c>
      <c r="E610" t="s">
        <v>4962</v>
      </c>
      <c r="F610" t="s">
        <v>5939</v>
      </c>
      <c r="G610" t="s">
        <v>4672</v>
      </c>
      <c r="H610" t="s">
        <v>4970</v>
      </c>
      <c r="I610" t="s">
        <v>4979</v>
      </c>
      <c r="J610" t="s">
        <v>4980</v>
      </c>
      <c r="K610" t="s">
        <v>4981</v>
      </c>
      <c r="L610" t="s">
        <v>2697</v>
      </c>
      <c r="M610">
        <v>456</v>
      </c>
      <c r="N610" s="641">
        <f>+transaction_statement_01_Jan_2026_28_Feb_2026[[#This Row],[Orig amount]]/100</f>
        <v>4.5599999999999996</v>
      </c>
      <c r="O610" t="s">
        <v>2697</v>
      </c>
      <c r="P610">
        <v>456</v>
      </c>
      <c r="Q610">
        <v>456</v>
      </c>
      <c r="S610">
        <v>0</v>
      </c>
      <c r="T610" t="s">
        <v>2697</v>
      </c>
      <c r="U610">
        <v>722535</v>
      </c>
      <c r="V610" t="s">
        <v>4965</v>
      </c>
      <c r="X610" t="s">
        <v>4672</v>
      </c>
      <c r="Y610" t="s">
        <v>4672</v>
      </c>
      <c r="Z610" t="s">
        <v>4672</v>
      </c>
      <c r="AA610">
        <v>5817</v>
      </c>
      <c r="AB610" t="s">
        <v>4672</v>
      </c>
      <c r="AC610" t="s">
        <v>4672</v>
      </c>
    </row>
    <row r="611" spans="1:29" hidden="1">
      <c r="A611" s="10">
        <v>46027</v>
      </c>
      <c r="B611" s="10">
        <v>46027</v>
      </c>
      <c r="C611" t="s">
        <v>5940</v>
      </c>
      <c r="D611" t="s">
        <v>4961</v>
      </c>
      <c r="E611" t="s">
        <v>4962</v>
      </c>
      <c r="F611" t="s">
        <v>5025</v>
      </c>
      <c r="G611" t="s">
        <v>5026</v>
      </c>
      <c r="H611" t="s">
        <v>4672</v>
      </c>
      <c r="I611" t="s">
        <v>4672</v>
      </c>
      <c r="J611" t="s">
        <v>4672</v>
      </c>
      <c r="K611" t="s">
        <v>4672</v>
      </c>
      <c r="L611" t="s">
        <v>2697</v>
      </c>
      <c r="M611">
        <v>667788</v>
      </c>
      <c r="N611" s="641">
        <f>+transaction_statement_01_Jan_2026_28_Feb_2026[[#This Row],[Orig amount]]/100</f>
        <v>6677.88</v>
      </c>
      <c r="O611" t="s">
        <v>2697</v>
      </c>
      <c r="P611">
        <v>667788</v>
      </c>
      <c r="Q611">
        <v>667788</v>
      </c>
      <c r="S611">
        <v>0</v>
      </c>
      <c r="T611" t="s">
        <v>2697</v>
      </c>
      <c r="U611">
        <v>722079</v>
      </c>
      <c r="V611" t="s">
        <v>4965</v>
      </c>
      <c r="X611" t="s">
        <v>4672</v>
      </c>
      <c r="Y611" t="s">
        <v>4672</v>
      </c>
      <c r="Z611" t="s">
        <v>4672</v>
      </c>
      <c r="AB611" t="s">
        <v>4672</v>
      </c>
      <c r="AC611" t="s">
        <v>4672</v>
      </c>
    </row>
    <row r="612" spans="1:29" hidden="1">
      <c r="A612" s="10">
        <v>46025</v>
      </c>
      <c r="B612" s="10">
        <v>46026</v>
      </c>
      <c r="C612" t="s">
        <v>5941</v>
      </c>
      <c r="D612" t="s">
        <v>4977</v>
      </c>
      <c r="E612" t="s">
        <v>4962</v>
      </c>
      <c r="F612" t="s">
        <v>2737</v>
      </c>
      <c r="G612" t="s">
        <v>4672</v>
      </c>
      <c r="H612" t="s">
        <v>4970</v>
      </c>
      <c r="I612" t="s">
        <v>4979</v>
      </c>
      <c r="J612" t="s">
        <v>4980</v>
      </c>
      <c r="K612" t="s">
        <v>4981</v>
      </c>
      <c r="L612" t="s">
        <v>2548</v>
      </c>
      <c r="M612">
        <v>18000</v>
      </c>
      <c r="N612" s="641">
        <f>+transaction_statement_01_Jan_2026_28_Feb_2026[[#This Row],[Orig amount]]/100</f>
        <v>180</v>
      </c>
      <c r="O612" t="s">
        <v>2697</v>
      </c>
      <c r="P612">
        <v>-15372</v>
      </c>
      <c r="Q612">
        <v>-15526</v>
      </c>
      <c r="R612">
        <v>1171000</v>
      </c>
      <c r="S612">
        <v>-154</v>
      </c>
      <c r="T612" t="s">
        <v>2697</v>
      </c>
      <c r="U612">
        <v>54291</v>
      </c>
      <c r="V612" t="s">
        <v>4965</v>
      </c>
      <c r="X612" t="s">
        <v>4672</v>
      </c>
      <c r="Y612" t="s">
        <v>4672</v>
      </c>
      <c r="Z612" t="s">
        <v>4672</v>
      </c>
      <c r="AA612">
        <v>5734</v>
      </c>
      <c r="AB612" t="s">
        <v>4672</v>
      </c>
      <c r="AC612" t="s">
        <v>4672</v>
      </c>
    </row>
    <row r="613" spans="1:29">
      <c r="A613" s="10">
        <v>46025</v>
      </c>
      <c r="B613" s="10">
        <v>46026</v>
      </c>
      <c r="C613" t="s">
        <v>5942</v>
      </c>
      <c r="D613" t="s">
        <v>4977</v>
      </c>
      <c r="E613" t="s">
        <v>4962</v>
      </c>
      <c r="F613" t="s">
        <v>3462</v>
      </c>
      <c r="G613" t="s">
        <v>4672</v>
      </c>
      <c r="H613" t="s">
        <v>5315</v>
      </c>
      <c r="I613" t="s">
        <v>5316</v>
      </c>
      <c r="J613" t="s">
        <v>4980</v>
      </c>
      <c r="K613" t="s">
        <v>4981</v>
      </c>
      <c r="L613" t="s">
        <v>2697</v>
      </c>
      <c r="M613">
        <v>2399</v>
      </c>
      <c r="N613" s="642">
        <f>+transaction_statement_01_Jan_2026_28_Feb_2026[[#This Row],[Orig amount]]/100</f>
        <v>23.99</v>
      </c>
      <c r="O613" t="s">
        <v>2697</v>
      </c>
      <c r="P613">
        <v>-2399</v>
      </c>
      <c r="Q613">
        <v>-2399</v>
      </c>
      <c r="S613">
        <v>0</v>
      </c>
      <c r="T613" t="s">
        <v>2697</v>
      </c>
      <c r="U613">
        <v>69817</v>
      </c>
      <c r="V613" t="s">
        <v>4965</v>
      </c>
      <c r="X613" t="s">
        <v>4672</v>
      </c>
      <c r="Y613" t="s">
        <v>4672</v>
      </c>
      <c r="Z613" t="s">
        <v>4672</v>
      </c>
      <c r="AA613">
        <v>5817</v>
      </c>
      <c r="AB613" t="s">
        <v>4672</v>
      </c>
      <c r="AC613" t="s">
        <v>4672</v>
      </c>
    </row>
    <row r="614" spans="1:29" hidden="1">
      <c r="A614" s="10">
        <v>46023</v>
      </c>
      <c r="B614" s="10">
        <v>46026</v>
      </c>
      <c r="C614" t="s">
        <v>5943</v>
      </c>
      <c r="D614" t="s">
        <v>4977</v>
      </c>
      <c r="E614" t="s">
        <v>4962</v>
      </c>
      <c r="F614" t="s">
        <v>5944</v>
      </c>
      <c r="G614" t="s">
        <v>4672</v>
      </c>
      <c r="H614" t="s">
        <v>4970</v>
      </c>
      <c r="I614" t="s">
        <v>4979</v>
      </c>
      <c r="J614" t="s">
        <v>4980</v>
      </c>
      <c r="K614" t="s">
        <v>4981</v>
      </c>
      <c r="L614" t="s">
        <v>2697</v>
      </c>
      <c r="M614">
        <v>13999</v>
      </c>
      <c r="N614" s="641">
        <f>+transaction_statement_01_Jan_2026_28_Feb_2026[[#This Row],[Orig amount]]/100</f>
        <v>139.99</v>
      </c>
      <c r="O614" t="s">
        <v>2697</v>
      </c>
      <c r="P614">
        <v>-13999</v>
      </c>
      <c r="Q614">
        <v>-13999</v>
      </c>
      <c r="S614">
        <v>0</v>
      </c>
      <c r="T614" t="s">
        <v>2697</v>
      </c>
      <c r="U614">
        <v>72216</v>
      </c>
      <c r="V614" t="s">
        <v>4965</v>
      </c>
      <c r="X614" t="s">
        <v>4672</v>
      </c>
      <c r="Y614" t="s">
        <v>4672</v>
      </c>
      <c r="Z614" t="s">
        <v>4672</v>
      </c>
      <c r="AA614">
        <v>5817</v>
      </c>
      <c r="AB614" t="s">
        <v>4672</v>
      </c>
      <c r="AC614" t="s">
        <v>4672</v>
      </c>
    </row>
    <row r="615" spans="1:29" hidden="1">
      <c r="A615" s="10">
        <v>46026</v>
      </c>
      <c r="B615" s="10">
        <v>46026</v>
      </c>
      <c r="C615" t="s">
        <v>5945</v>
      </c>
      <c r="D615" t="s">
        <v>4967</v>
      </c>
      <c r="E615" t="s">
        <v>4962</v>
      </c>
      <c r="F615" t="s">
        <v>5946</v>
      </c>
      <c r="G615" t="s">
        <v>5947</v>
      </c>
      <c r="H615" t="s">
        <v>4970</v>
      </c>
      <c r="I615" t="s">
        <v>4672</v>
      </c>
      <c r="J615" t="s">
        <v>4672</v>
      </c>
      <c r="K615" t="s">
        <v>4672</v>
      </c>
      <c r="L615" t="s">
        <v>2697</v>
      </c>
      <c r="M615">
        <v>714000</v>
      </c>
      <c r="N615" s="641">
        <f>+transaction_statement_01_Jan_2026_28_Feb_2026[[#This Row],[Orig amount]]/100</f>
        <v>7140</v>
      </c>
      <c r="O615" t="s">
        <v>2697</v>
      </c>
      <c r="P615">
        <v>-714000</v>
      </c>
      <c r="Q615">
        <v>-714000</v>
      </c>
      <c r="S615">
        <v>0</v>
      </c>
      <c r="T615" t="s">
        <v>2697</v>
      </c>
      <c r="U615">
        <v>86215</v>
      </c>
      <c r="V615" t="s">
        <v>4965</v>
      </c>
      <c r="X615" t="s">
        <v>4672</v>
      </c>
      <c r="Y615" t="s">
        <v>5948</v>
      </c>
      <c r="Z615" t="s">
        <v>5949</v>
      </c>
      <c r="AB615" t="s">
        <v>4672</v>
      </c>
      <c r="AC615" t="s">
        <v>4672</v>
      </c>
    </row>
    <row r="616" spans="1:29" hidden="1">
      <c r="A616" s="10">
        <v>46026</v>
      </c>
      <c r="B616" s="10">
        <v>46026</v>
      </c>
      <c r="C616" t="s">
        <v>5950</v>
      </c>
      <c r="D616" t="s">
        <v>4961</v>
      </c>
      <c r="E616" t="s">
        <v>4962</v>
      </c>
      <c r="F616" t="s">
        <v>5025</v>
      </c>
      <c r="G616" t="s">
        <v>5026</v>
      </c>
      <c r="H616" t="s">
        <v>4672</v>
      </c>
      <c r="I616" t="s">
        <v>4672</v>
      </c>
      <c r="J616" t="s">
        <v>4672</v>
      </c>
      <c r="K616" t="s">
        <v>4672</v>
      </c>
      <c r="L616" t="s">
        <v>2697</v>
      </c>
      <c r="M616">
        <v>149766</v>
      </c>
      <c r="N616" s="641">
        <f>+transaction_statement_01_Jan_2026_28_Feb_2026[[#This Row],[Orig amount]]/100</f>
        <v>1497.66</v>
      </c>
      <c r="O616" t="s">
        <v>2697</v>
      </c>
      <c r="P616">
        <v>149766</v>
      </c>
      <c r="Q616">
        <v>149766</v>
      </c>
      <c r="S616">
        <v>0</v>
      </c>
      <c r="T616" t="s">
        <v>2697</v>
      </c>
      <c r="U616">
        <v>800215</v>
      </c>
      <c r="V616" t="s">
        <v>4965</v>
      </c>
      <c r="X616" t="s">
        <v>4672</v>
      </c>
      <c r="Y616" t="s">
        <v>4672</v>
      </c>
      <c r="Z616" t="s">
        <v>4672</v>
      </c>
      <c r="AB616" t="s">
        <v>4672</v>
      </c>
      <c r="AC616" t="s">
        <v>4672</v>
      </c>
    </row>
    <row r="617" spans="1:29" hidden="1">
      <c r="A617" s="10">
        <v>46023</v>
      </c>
      <c r="B617" s="10">
        <v>46026</v>
      </c>
      <c r="C617" t="s">
        <v>5951</v>
      </c>
      <c r="D617" t="s">
        <v>4977</v>
      </c>
      <c r="E617" t="s">
        <v>4962</v>
      </c>
      <c r="F617" t="s">
        <v>5952</v>
      </c>
      <c r="G617" t="s">
        <v>4672</v>
      </c>
      <c r="H617" t="s">
        <v>4970</v>
      </c>
      <c r="I617" t="s">
        <v>4984</v>
      </c>
      <c r="J617" t="s">
        <v>4985</v>
      </c>
      <c r="K617" t="s">
        <v>4981</v>
      </c>
      <c r="L617" t="s">
        <v>2697</v>
      </c>
      <c r="M617">
        <v>3075</v>
      </c>
      <c r="N617" s="641">
        <f>+transaction_statement_01_Jan_2026_28_Feb_2026[[#This Row],[Orig amount]]/100</f>
        <v>30.75</v>
      </c>
      <c r="O617" t="s">
        <v>2697</v>
      </c>
      <c r="P617">
        <v>-3075</v>
      </c>
      <c r="Q617">
        <v>-3075</v>
      </c>
      <c r="S617">
        <v>0</v>
      </c>
      <c r="T617" t="s">
        <v>2697</v>
      </c>
      <c r="U617">
        <v>650449</v>
      </c>
      <c r="V617" t="s">
        <v>4965</v>
      </c>
      <c r="X617" t="s">
        <v>4672</v>
      </c>
      <c r="Y617" t="s">
        <v>4672</v>
      </c>
      <c r="Z617" t="s">
        <v>4672</v>
      </c>
      <c r="AA617">
        <v>5812</v>
      </c>
      <c r="AB617" t="s">
        <v>4672</v>
      </c>
      <c r="AC617" t="s">
        <v>4672</v>
      </c>
    </row>
    <row r="618" spans="1:29" hidden="1">
      <c r="A618" s="10">
        <v>46024</v>
      </c>
      <c r="B618" s="10">
        <v>46024</v>
      </c>
      <c r="C618" t="s">
        <v>5953</v>
      </c>
      <c r="D618" t="s">
        <v>4961</v>
      </c>
      <c r="E618" t="s">
        <v>4962</v>
      </c>
      <c r="F618" t="s">
        <v>5025</v>
      </c>
      <c r="G618" t="s">
        <v>5026</v>
      </c>
      <c r="H618" t="s">
        <v>4672</v>
      </c>
      <c r="I618" t="s">
        <v>4672</v>
      </c>
      <c r="J618" t="s">
        <v>4672</v>
      </c>
      <c r="K618" t="s">
        <v>4672</v>
      </c>
      <c r="L618" t="s">
        <v>2697</v>
      </c>
      <c r="M618">
        <v>589839</v>
      </c>
      <c r="N618" s="641">
        <f>+transaction_statement_01_Jan_2026_28_Feb_2026[[#This Row],[Orig amount]]/100</f>
        <v>5898.39</v>
      </c>
      <c r="O618" t="s">
        <v>2697</v>
      </c>
      <c r="P618">
        <v>589839</v>
      </c>
      <c r="Q618">
        <v>589839</v>
      </c>
      <c r="S618">
        <v>0</v>
      </c>
      <c r="T618" t="s">
        <v>2697</v>
      </c>
      <c r="U618">
        <v>653524</v>
      </c>
      <c r="V618" t="s">
        <v>4965</v>
      </c>
      <c r="X618" t="s">
        <v>4672</v>
      </c>
      <c r="Y618" t="s">
        <v>4672</v>
      </c>
      <c r="Z618" t="s">
        <v>4672</v>
      </c>
      <c r="AB618" t="s">
        <v>4672</v>
      </c>
      <c r="AC618" t="s">
        <v>4672</v>
      </c>
    </row>
    <row r="619" spans="1:29" hidden="1">
      <c r="A619" s="10">
        <v>46024</v>
      </c>
      <c r="B619" s="10">
        <v>46024</v>
      </c>
      <c r="C619" t="s">
        <v>5954</v>
      </c>
      <c r="D619" t="s">
        <v>4977</v>
      </c>
      <c r="E619" t="s">
        <v>4962</v>
      </c>
      <c r="F619" t="s">
        <v>2786</v>
      </c>
      <c r="G619" t="s">
        <v>4672</v>
      </c>
      <c r="H619" t="s">
        <v>4970</v>
      </c>
      <c r="I619" t="s">
        <v>4979</v>
      </c>
      <c r="J619" t="s">
        <v>4980</v>
      </c>
      <c r="K619" t="s">
        <v>4981</v>
      </c>
      <c r="L619" t="s">
        <v>2548</v>
      </c>
      <c r="M619">
        <v>3088</v>
      </c>
      <c r="N619" s="641">
        <f>+transaction_statement_01_Jan_2026_28_Feb_2026[[#This Row],[Orig amount]]/100</f>
        <v>30.88</v>
      </c>
      <c r="O619" t="s">
        <v>2697</v>
      </c>
      <c r="P619">
        <v>-2632</v>
      </c>
      <c r="Q619">
        <v>-2632</v>
      </c>
      <c r="R619">
        <v>1173576</v>
      </c>
      <c r="S619">
        <v>0</v>
      </c>
      <c r="T619" t="s">
        <v>2697</v>
      </c>
      <c r="U619">
        <v>63685</v>
      </c>
      <c r="V619" t="s">
        <v>4965</v>
      </c>
      <c r="X619" t="s">
        <v>4672</v>
      </c>
      <c r="Y619" t="s">
        <v>4672</v>
      </c>
      <c r="Z619" t="s">
        <v>4672</v>
      </c>
      <c r="AA619">
        <v>5734</v>
      </c>
      <c r="AB619" t="s">
        <v>4672</v>
      </c>
      <c r="AC619" t="s">
        <v>4672</v>
      </c>
    </row>
    <row r="620" spans="1:29" hidden="1">
      <c r="A620" s="10">
        <v>46023</v>
      </c>
      <c r="B620" s="10">
        <v>46024</v>
      </c>
      <c r="C620" t="s">
        <v>5955</v>
      </c>
      <c r="D620" t="s">
        <v>4977</v>
      </c>
      <c r="E620" t="s">
        <v>4962</v>
      </c>
      <c r="F620" t="s">
        <v>5956</v>
      </c>
      <c r="G620" t="s">
        <v>4672</v>
      </c>
      <c r="H620" t="s">
        <v>4970</v>
      </c>
      <c r="I620" t="s">
        <v>4979</v>
      </c>
      <c r="J620" t="s">
        <v>4980</v>
      </c>
      <c r="K620" t="s">
        <v>4981</v>
      </c>
      <c r="L620" t="s">
        <v>2548</v>
      </c>
      <c r="M620">
        <v>3650</v>
      </c>
      <c r="N620" s="641">
        <f>+transaction_statement_01_Jan_2026_28_Feb_2026[[#This Row],[Orig amount]]/100</f>
        <v>36.5</v>
      </c>
      <c r="O620" t="s">
        <v>2697</v>
      </c>
      <c r="P620">
        <v>-3111</v>
      </c>
      <c r="Q620">
        <v>-3111</v>
      </c>
      <c r="R620">
        <v>1173480</v>
      </c>
      <c r="S620">
        <v>0</v>
      </c>
      <c r="T620" t="s">
        <v>2697</v>
      </c>
      <c r="U620">
        <v>66317</v>
      </c>
      <c r="V620" t="s">
        <v>4965</v>
      </c>
      <c r="X620" t="s">
        <v>4672</v>
      </c>
      <c r="Y620" t="s">
        <v>4672</v>
      </c>
      <c r="Z620" t="s">
        <v>4672</v>
      </c>
      <c r="AA620">
        <v>5817</v>
      </c>
      <c r="AB620" t="s">
        <v>4672</v>
      </c>
      <c r="AC620" t="s">
        <v>4672</v>
      </c>
    </row>
    <row r="621" spans="1:29" hidden="1">
      <c r="A621" s="10">
        <v>46023</v>
      </c>
      <c r="B621" s="10">
        <v>46024</v>
      </c>
      <c r="C621" t="s">
        <v>5957</v>
      </c>
      <c r="D621" t="s">
        <v>4977</v>
      </c>
      <c r="E621" t="s">
        <v>4962</v>
      </c>
      <c r="F621" t="s">
        <v>5445</v>
      </c>
      <c r="G621" t="s">
        <v>4672</v>
      </c>
      <c r="H621" t="s">
        <v>4970</v>
      </c>
      <c r="I621" t="s">
        <v>4979</v>
      </c>
      <c r="J621" t="s">
        <v>4980</v>
      </c>
      <c r="K621" t="s">
        <v>4981</v>
      </c>
      <c r="L621" t="s">
        <v>2697</v>
      </c>
      <c r="M621">
        <v>46032</v>
      </c>
      <c r="N621" s="641">
        <f>+transaction_statement_01_Jan_2026_28_Feb_2026[[#This Row],[Orig amount]]/100</f>
        <v>460.32</v>
      </c>
      <c r="O621" t="s">
        <v>2697</v>
      </c>
      <c r="P621">
        <v>-46032</v>
      </c>
      <c r="Q621">
        <v>-46032</v>
      </c>
      <c r="S621">
        <v>0</v>
      </c>
      <c r="T621" t="s">
        <v>2697</v>
      </c>
      <c r="U621">
        <v>69428</v>
      </c>
      <c r="V621" t="s">
        <v>4965</v>
      </c>
      <c r="X621" t="s">
        <v>4672</v>
      </c>
      <c r="Y621" t="s">
        <v>4672</v>
      </c>
      <c r="Z621" t="s">
        <v>4672</v>
      </c>
      <c r="AA621">
        <v>7311</v>
      </c>
      <c r="AB621" t="s">
        <v>4672</v>
      </c>
      <c r="AC621" t="s">
        <v>4672</v>
      </c>
    </row>
    <row r="622" spans="1:29" hidden="1">
      <c r="A622" s="10">
        <v>46023</v>
      </c>
      <c r="B622" s="10">
        <v>46024</v>
      </c>
      <c r="C622" t="s">
        <v>5958</v>
      </c>
      <c r="D622" t="s">
        <v>4977</v>
      </c>
      <c r="E622" t="s">
        <v>4962</v>
      </c>
      <c r="F622" t="s">
        <v>5370</v>
      </c>
      <c r="G622" t="s">
        <v>4672</v>
      </c>
      <c r="H622" t="s">
        <v>4970</v>
      </c>
      <c r="I622" t="s">
        <v>4984</v>
      </c>
      <c r="J622" t="s">
        <v>4985</v>
      </c>
      <c r="K622" t="s">
        <v>4981</v>
      </c>
      <c r="L622" t="s">
        <v>2697</v>
      </c>
      <c r="M622">
        <v>10788</v>
      </c>
      <c r="N622" s="641">
        <f>+transaction_statement_01_Jan_2026_28_Feb_2026[[#This Row],[Orig amount]]/100</f>
        <v>107.88</v>
      </c>
      <c r="O622" t="s">
        <v>2697</v>
      </c>
      <c r="P622">
        <v>-10788</v>
      </c>
      <c r="Q622">
        <v>-10788</v>
      </c>
      <c r="S622">
        <v>0</v>
      </c>
      <c r="T622" t="s">
        <v>2697</v>
      </c>
      <c r="U622">
        <v>115460</v>
      </c>
      <c r="V622" t="s">
        <v>4965</v>
      </c>
      <c r="X622" t="s">
        <v>4672</v>
      </c>
      <c r="Y622" t="s">
        <v>4672</v>
      </c>
      <c r="Z622" t="s">
        <v>4672</v>
      </c>
      <c r="AA622">
        <v>4121</v>
      </c>
      <c r="AB622" t="s">
        <v>4672</v>
      </c>
      <c r="AC622" t="s">
        <v>4672</v>
      </c>
    </row>
    <row r="623" spans="1:29" hidden="1">
      <c r="A623" s="10">
        <v>46023</v>
      </c>
      <c r="B623" s="10">
        <v>46023</v>
      </c>
      <c r="C623" t="s">
        <v>5959</v>
      </c>
      <c r="D623" t="s">
        <v>4967</v>
      </c>
      <c r="E623" t="s">
        <v>4962</v>
      </c>
      <c r="F623" t="s">
        <v>5058</v>
      </c>
      <c r="G623" t="s">
        <v>5960</v>
      </c>
      <c r="H623" t="s">
        <v>4970</v>
      </c>
      <c r="I623" t="s">
        <v>4672</v>
      </c>
      <c r="J623" t="s">
        <v>4672</v>
      </c>
      <c r="K623" t="s">
        <v>4672</v>
      </c>
      <c r="L623" t="s">
        <v>2697</v>
      </c>
      <c r="M623">
        <v>100000</v>
      </c>
      <c r="N623" s="641">
        <f>+transaction_statement_01_Jan_2026_28_Feb_2026[[#This Row],[Orig amount]]/100</f>
        <v>1000</v>
      </c>
      <c r="O623" t="s">
        <v>2697</v>
      </c>
      <c r="P623">
        <v>-100000</v>
      </c>
      <c r="Q623">
        <v>-100000</v>
      </c>
      <c r="S623">
        <v>0</v>
      </c>
      <c r="T623" t="s">
        <v>2697</v>
      </c>
      <c r="U623">
        <v>126248</v>
      </c>
      <c r="V623" t="s">
        <v>4965</v>
      </c>
      <c r="X623" t="s">
        <v>4672</v>
      </c>
      <c r="Y623" t="s">
        <v>5060</v>
      </c>
      <c r="Z623" t="s">
        <v>5031</v>
      </c>
      <c r="AB623" t="s">
        <v>4672</v>
      </c>
      <c r="AC623" t="s">
        <v>4672</v>
      </c>
    </row>
    <row r="624" spans="1:29" hidden="1">
      <c r="A624" s="10">
        <v>46023</v>
      </c>
      <c r="B624" s="10">
        <v>46023</v>
      </c>
      <c r="C624" t="s">
        <v>5961</v>
      </c>
      <c r="D624" t="s">
        <v>4967</v>
      </c>
      <c r="E624" t="s">
        <v>4962</v>
      </c>
      <c r="F624" t="s">
        <v>5962</v>
      </c>
      <c r="G624" t="s">
        <v>5963</v>
      </c>
      <c r="H624" t="s">
        <v>4970</v>
      </c>
      <c r="I624" t="s">
        <v>4672</v>
      </c>
      <c r="J624" t="s">
        <v>4672</v>
      </c>
      <c r="K624" t="s">
        <v>4672</v>
      </c>
      <c r="L624" t="s">
        <v>2697</v>
      </c>
      <c r="M624">
        <v>90000</v>
      </c>
      <c r="N624" s="641">
        <f>+transaction_statement_01_Jan_2026_28_Feb_2026[[#This Row],[Orig amount]]/100</f>
        <v>900</v>
      </c>
      <c r="O624" t="s">
        <v>2697</v>
      </c>
      <c r="P624">
        <v>-90000</v>
      </c>
      <c r="Q624">
        <v>-90000</v>
      </c>
      <c r="S624">
        <v>0</v>
      </c>
      <c r="T624" t="s">
        <v>2697</v>
      </c>
      <c r="U624">
        <v>226248</v>
      </c>
      <c r="V624" t="s">
        <v>4965</v>
      </c>
      <c r="X624" t="s">
        <v>4672</v>
      </c>
      <c r="Y624" t="s">
        <v>5563</v>
      </c>
      <c r="Z624" t="s">
        <v>5564</v>
      </c>
      <c r="AB624" t="s">
        <v>4672</v>
      </c>
      <c r="AC624" t="s">
        <v>4672</v>
      </c>
    </row>
    <row r="625" spans="1:29" hidden="1">
      <c r="A625" s="10">
        <v>46023</v>
      </c>
      <c r="B625" s="10">
        <v>46023</v>
      </c>
      <c r="C625" t="s">
        <v>5964</v>
      </c>
      <c r="D625" t="s">
        <v>4967</v>
      </c>
      <c r="E625" t="s">
        <v>4962</v>
      </c>
      <c r="F625" t="s">
        <v>5454</v>
      </c>
      <c r="G625" t="s">
        <v>5965</v>
      </c>
      <c r="H625" t="s">
        <v>4970</v>
      </c>
      <c r="I625" t="s">
        <v>4672</v>
      </c>
      <c r="J625" t="s">
        <v>4672</v>
      </c>
      <c r="K625" t="s">
        <v>4672</v>
      </c>
      <c r="L625" t="s">
        <v>2697</v>
      </c>
      <c r="M625">
        <v>278590</v>
      </c>
      <c r="N625" s="641">
        <f>+transaction_statement_01_Jan_2026_28_Feb_2026[[#This Row],[Orig amount]]/100</f>
        <v>2785.9</v>
      </c>
      <c r="O625" t="s">
        <v>2697</v>
      </c>
      <c r="P625">
        <v>-278590</v>
      </c>
      <c r="Q625">
        <v>-278590</v>
      </c>
      <c r="S625">
        <v>0</v>
      </c>
      <c r="T625" t="s">
        <v>2697</v>
      </c>
      <c r="U625">
        <v>316248</v>
      </c>
      <c r="V625" t="s">
        <v>4965</v>
      </c>
      <c r="X625" t="s">
        <v>4672</v>
      </c>
      <c r="Y625" t="s">
        <v>5456</v>
      </c>
      <c r="Z625" t="s">
        <v>5457</v>
      </c>
      <c r="AB625" t="s">
        <v>4672</v>
      </c>
      <c r="AC625" t="s">
        <v>4672</v>
      </c>
    </row>
    <row r="626" spans="1:29" hidden="1">
      <c r="A626" s="10">
        <v>46023</v>
      </c>
      <c r="B626" s="10">
        <v>46023</v>
      </c>
      <c r="C626" t="s">
        <v>5966</v>
      </c>
      <c r="D626" t="s">
        <v>4961</v>
      </c>
      <c r="E626" t="s">
        <v>4962</v>
      </c>
      <c r="F626" t="s">
        <v>5025</v>
      </c>
      <c r="G626" t="s">
        <v>5026</v>
      </c>
      <c r="H626" t="s">
        <v>4672</v>
      </c>
      <c r="I626" t="s">
        <v>4672</v>
      </c>
      <c r="J626" t="s">
        <v>4672</v>
      </c>
      <c r="K626" t="s">
        <v>4672</v>
      </c>
      <c r="L626" t="s">
        <v>2697</v>
      </c>
      <c r="M626">
        <v>471199</v>
      </c>
      <c r="N626" s="641">
        <f>+transaction_statement_01_Jan_2026_28_Feb_2026[[#This Row],[Orig amount]]/100</f>
        <v>4711.99</v>
      </c>
      <c r="O626" t="s">
        <v>2697</v>
      </c>
      <c r="P626">
        <v>471199</v>
      </c>
      <c r="Q626">
        <v>471199</v>
      </c>
      <c r="S626">
        <v>0</v>
      </c>
      <c r="T626" t="s">
        <v>2697</v>
      </c>
      <c r="U626">
        <v>594838</v>
      </c>
      <c r="V626" t="s">
        <v>4965</v>
      </c>
      <c r="X626" t="s">
        <v>4672</v>
      </c>
      <c r="Y626" t="s">
        <v>4672</v>
      </c>
      <c r="Z626" t="s">
        <v>4672</v>
      </c>
      <c r="AB626" t="s">
        <v>4672</v>
      </c>
      <c r="AC626" t="s">
        <v>4672</v>
      </c>
    </row>
    <row r="627" spans="1:29" hidden="1">
      <c r="A627" s="10">
        <v>46023</v>
      </c>
      <c r="B627" s="10">
        <v>46023</v>
      </c>
      <c r="C627" t="s">
        <v>5967</v>
      </c>
      <c r="D627" t="s">
        <v>4977</v>
      </c>
      <c r="E627" t="s">
        <v>4962</v>
      </c>
      <c r="F627" t="s">
        <v>5968</v>
      </c>
      <c r="G627" t="s">
        <v>4672</v>
      </c>
      <c r="H627" t="s">
        <v>4970</v>
      </c>
      <c r="I627" t="s">
        <v>4979</v>
      </c>
      <c r="J627" t="s">
        <v>4980</v>
      </c>
      <c r="K627" t="s">
        <v>4981</v>
      </c>
      <c r="L627" t="s">
        <v>2697</v>
      </c>
      <c r="M627">
        <v>3287</v>
      </c>
      <c r="N627" s="642">
        <f>+transaction_statement_01_Jan_2026_28_Feb_2026[[#This Row],[Orig amount]]/100</f>
        <v>32.869999999999997</v>
      </c>
      <c r="O627" t="s">
        <v>2697</v>
      </c>
      <c r="P627">
        <v>-3287</v>
      </c>
      <c r="Q627">
        <v>-3287</v>
      </c>
      <c r="S627">
        <v>0</v>
      </c>
      <c r="T627" t="s">
        <v>2697</v>
      </c>
      <c r="U627">
        <v>123639</v>
      </c>
      <c r="V627" t="s">
        <v>4965</v>
      </c>
      <c r="X627" t="s">
        <v>4672</v>
      </c>
      <c r="Y627" t="s">
        <v>4672</v>
      </c>
      <c r="Z627" t="s">
        <v>4672</v>
      </c>
      <c r="AA627">
        <v>5734</v>
      </c>
      <c r="AB627" t="s">
        <v>4672</v>
      </c>
      <c r="AC627" t="s">
        <v>4672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E66FAA-2101-4867-9045-6ECE01154A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MATRIZ INGRESO MES-PAIS</vt:lpstr>
      <vt:lpstr>UNIT ECONOMICS</vt:lpstr>
      <vt:lpstr>KPIs</vt:lpstr>
      <vt:lpstr>EERR</vt:lpstr>
      <vt:lpstr>RESUMEN CLIENTES</vt:lpstr>
      <vt:lpstr>MICHAEL</vt:lpstr>
      <vt:lpstr>INGRESOS</vt:lpstr>
      <vt:lpstr>CALENDARIO INGRESOS</vt:lpstr>
      <vt:lpstr>SALIDAS</vt:lpstr>
      <vt:lpstr>PROVEEDORES</vt:lpstr>
      <vt:lpstr>LINGODA</vt:lpstr>
      <vt:lpstr>SaaS</vt:lpstr>
      <vt:lpstr>COHORTES PAIS</vt:lpstr>
      <vt:lpstr>COHORTES INGRESO</vt:lpstr>
      <vt:lpstr>TC</vt:lpstr>
      <vt:lpstr>BACK UP REVOLUT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Sebastián Arellano</dc:creator>
  <cp:keywords/>
  <dc:description/>
  <cp:lastModifiedBy>Pagos NOMII</cp:lastModifiedBy>
  <cp:revision/>
  <dcterms:created xsi:type="dcterms:W3CDTF">2025-06-26T16:11:57Z</dcterms:created>
  <dcterms:modified xsi:type="dcterms:W3CDTF">2026-03-07T18:42:24Z</dcterms:modified>
  <cp:category/>
  <cp:contentStatus/>
</cp:coreProperties>
</file>